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comments13.xml" ContentType="application/vnd.openxmlformats-officedocument.spreadsheetml.comments+xml"/>
  <Override PartName="/xl/drawings/drawing14.xml" ContentType="application/vnd.openxmlformats-officedocument.drawing+xml"/>
  <Override PartName="/xl/comments14.xml" ContentType="application/vnd.openxmlformats-officedocument.spreadsheetml.comments+xml"/>
  <Override PartName="/xl/drawings/drawing15.xml" ContentType="application/vnd.openxmlformats-officedocument.drawing+xml"/>
  <Override PartName="/xl/comments15.xml" ContentType="application/vnd.openxmlformats-officedocument.spreadsheetml.comments+xml"/>
  <Override PartName="/xl/drawings/drawing16.xml" ContentType="application/vnd.openxmlformats-officedocument.drawing+xml"/>
  <Override PartName="/xl/comments16.xml" ContentType="application/vnd.openxmlformats-officedocument.spreadsheetml.comments+xml"/>
  <Override PartName="/xl/drawings/drawing17.xml" ContentType="application/vnd.openxmlformats-officedocument.drawing+xml"/>
  <Override PartName="/xl/comments17.xml" ContentType="application/vnd.openxmlformats-officedocument.spreadsheetml.comments+xml"/>
  <Override PartName="/xl/drawings/drawing18.xml" ContentType="application/vnd.openxmlformats-officedocument.drawing+xml"/>
  <Override PartName="/xl/comments18.xml" ContentType="application/vnd.openxmlformats-officedocument.spreadsheetml.comments+xml"/>
  <Override PartName="/xl/drawings/drawing19.xml" ContentType="application/vnd.openxmlformats-officedocument.drawing+xml"/>
  <Override PartName="/xl/comments19.xml" ContentType="application/vnd.openxmlformats-officedocument.spreadsheetml.comments+xml"/>
  <Override PartName="/xl/drawings/drawing20.xml" ContentType="application/vnd.openxmlformats-officedocument.drawing+xml"/>
  <Override PartName="/xl/comments20.xml" ContentType="application/vnd.openxmlformats-officedocument.spreadsheetml.comments+xml"/>
  <Override PartName="/xl/drawings/drawing21.xml" ContentType="application/vnd.openxmlformats-officedocument.drawing+xml"/>
  <Override PartName="/xl/comments21.xml" ContentType="application/vnd.openxmlformats-officedocument.spreadsheetml.comments+xml"/>
  <Override PartName="/xl/drawings/drawing22.xml" ContentType="application/vnd.openxmlformats-officedocument.drawing+xml"/>
  <Override PartName="/xl/comments22.xml" ContentType="application/vnd.openxmlformats-officedocument.spreadsheetml.comments+xml"/>
  <Override PartName="/xl/drawings/drawing23.xml" ContentType="application/vnd.openxmlformats-officedocument.drawing+xml"/>
  <Override PartName="/xl/comments23.xml" ContentType="application/vnd.openxmlformats-officedocument.spreadsheetml.comments+xml"/>
  <Override PartName="/xl/drawings/drawing24.xml" ContentType="application/vnd.openxmlformats-officedocument.drawing+xml"/>
  <Override PartName="/xl/comments24.xml" ContentType="application/vnd.openxmlformats-officedocument.spreadsheetml.comments+xml"/>
  <Override PartName="/xl/drawings/drawing25.xml" ContentType="application/vnd.openxmlformats-officedocument.drawing+xml"/>
  <Override PartName="/xl/comments25.xml" ContentType="application/vnd.openxmlformats-officedocument.spreadsheetml.comments+xml"/>
  <Override PartName="/xl/drawings/drawing26.xml" ContentType="application/vnd.openxmlformats-officedocument.drawing+xml"/>
  <Override PartName="/xl/comments26.xml" ContentType="application/vnd.openxmlformats-officedocument.spreadsheetml.comments+xml"/>
  <Override PartName="/xl/drawings/drawing27.xml" ContentType="application/vnd.openxmlformats-officedocument.drawing+xml"/>
  <Override PartName="/xl/comments27.xml" ContentType="application/vnd.openxmlformats-officedocument.spreadsheetml.comments+xml"/>
  <Override PartName="/xl/drawings/drawing28.xml" ContentType="application/vnd.openxmlformats-officedocument.drawing+xml"/>
  <Override PartName="/xl/comments28.xml" ContentType="application/vnd.openxmlformats-officedocument.spreadsheetml.comments+xml"/>
  <Override PartName="/xl/drawings/drawing29.xml" ContentType="application/vnd.openxmlformats-officedocument.drawing+xml"/>
  <Override PartName="/xl/comments29.xml" ContentType="application/vnd.openxmlformats-officedocument.spreadsheetml.comments+xml"/>
  <Override PartName="/xl/drawings/drawing30.xml" ContentType="application/vnd.openxmlformats-officedocument.drawing+xml"/>
  <Override PartName="/xl/comments30.xml" ContentType="application/vnd.openxmlformats-officedocument.spreadsheetml.comments+xml"/>
  <Override PartName="/xl/drawings/drawing31.xml" ContentType="application/vnd.openxmlformats-officedocument.drawing+xml"/>
  <Override PartName="/xl/comments31.xml" ContentType="application/vnd.openxmlformats-officedocument.spreadsheetml.comments+xml"/>
  <Override PartName="/xl/drawings/drawing32.xml" ContentType="application/vnd.openxmlformats-officedocument.drawing+xml"/>
  <Override PartName="/xl/comments32.xml" ContentType="application/vnd.openxmlformats-officedocument.spreadsheetml.comments+xml"/>
  <Override PartName="/xl/drawings/drawing33.xml" ContentType="application/vnd.openxmlformats-officedocument.drawing+xml"/>
  <Override PartName="/xl/comments33.xml" ContentType="application/vnd.openxmlformats-officedocument.spreadsheetml.comments+xml"/>
  <Override PartName="/xl/drawings/drawing34.xml" ContentType="application/vnd.openxmlformats-officedocument.drawing+xml"/>
  <Override PartName="/xl/comments34.xml" ContentType="application/vnd.openxmlformats-officedocument.spreadsheetml.comments+xml"/>
  <Override PartName="/xl/drawings/drawing35.xml" ContentType="application/vnd.openxmlformats-officedocument.drawing+xml"/>
  <Override PartName="/xl/comments35.xml" ContentType="application/vnd.openxmlformats-officedocument.spreadsheetml.comments+xml"/>
  <Override PartName="/xl/drawings/drawing36.xml" ContentType="application/vnd.openxmlformats-officedocument.drawing+xml"/>
  <Override PartName="/xl/comments3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714"/>
  <workbookPr showInkAnnotation="0" defaultThemeVersion="124226"/>
  <mc:AlternateContent xmlns:mc="http://schemas.openxmlformats.org/markup-compatibility/2006">
    <mc:Choice Requires="x15">
      <x15ac:absPath xmlns:x15ac="http://schemas.microsoft.com/office/spreadsheetml/2010/11/ac" url="/Users/klarabruhn/Dropbox/"/>
    </mc:Choice>
  </mc:AlternateContent>
  <xr:revisionPtr revIDLastSave="0" documentId="13_ncr:1_{D239C98C-4043-8545-A2D7-7ED427E836C3}" xr6:coauthVersionLast="47" xr6:coauthVersionMax="47" xr10:uidLastSave="{00000000-0000-0000-0000-000000000000}"/>
  <bookViews>
    <workbookView xWindow="0" yWindow="500" windowWidth="28800" windowHeight="15780" tabRatio="842" firstSheet="22" activeTab="35" xr2:uid="{00000000-000D-0000-FFFF-FFFF00000000}"/>
  </bookViews>
  <sheets>
    <sheet name="Australia" sheetId="1" r:id="rId1"/>
    <sheet name="Austria" sheetId="2" r:id="rId2"/>
    <sheet name="Belgium" sheetId="3" r:id="rId3"/>
    <sheet name="Bulgaria" sheetId="28" r:id="rId4"/>
    <sheet name="Canada" sheetId="5" r:id="rId5"/>
    <sheet name="Croatia" sheetId="30" r:id="rId6"/>
    <sheet name="Cyprus" sheetId="6" r:id="rId7"/>
    <sheet name="Czech Republic" sheetId="29" r:id="rId8"/>
    <sheet name="Denmark" sheetId="7" r:id="rId9"/>
    <sheet name="Estonia" sheetId="31" r:id="rId10"/>
    <sheet name="Finland" sheetId="8" r:id="rId11"/>
    <sheet name="France" sheetId="15" r:id="rId12"/>
    <sheet name="Germany" sheetId="14" r:id="rId13"/>
    <sheet name="Greece" sheetId="13" r:id="rId14"/>
    <sheet name="Hungary" sheetId="32" r:id="rId15"/>
    <sheet name="Iceland" sheetId="12" r:id="rId16"/>
    <sheet name="Ireland" sheetId="11" r:id="rId17"/>
    <sheet name="Italy" sheetId="10" r:id="rId18"/>
    <sheet name="Japan" sheetId="9" r:id="rId19"/>
    <sheet name="Latvia" sheetId="33" r:id="rId20"/>
    <sheet name="Lithuania" sheetId="34" r:id="rId21"/>
    <sheet name="Luxembourg" sheetId="21" r:id="rId22"/>
    <sheet name="Malta" sheetId="20" r:id="rId23"/>
    <sheet name="Netherlands" sheetId="19" r:id="rId24"/>
    <sheet name="New Zealand" sheetId="18" r:id="rId25"/>
    <sheet name="Norway" sheetId="17" r:id="rId26"/>
    <sheet name="Poland" sheetId="35" r:id="rId27"/>
    <sheet name="Portugal" sheetId="16" r:id="rId28"/>
    <sheet name="Romania" sheetId="36" r:id="rId29"/>
    <sheet name="Slovakia" sheetId="37" r:id="rId30"/>
    <sheet name="Slovenia" sheetId="38" r:id="rId31"/>
    <sheet name="Spain" sheetId="26" r:id="rId32"/>
    <sheet name="Sweden" sheetId="25" r:id="rId33"/>
    <sheet name="Switzerland" sheetId="24" r:id="rId34"/>
    <sheet name="United Kingdom" sheetId="23" r:id="rId35"/>
    <sheet name="United States" sheetId="22" r:id="rId3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M69" i="31" l="1"/>
  <c r="K154" i="15"/>
  <c r="L154" i="15"/>
  <c r="N154" i="15" s="1"/>
  <c r="M154" i="15"/>
  <c r="R154" i="15"/>
  <c r="R153" i="15"/>
  <c r="R152" i="15"/>
  <c r="R151" i="15"/>
  <c r="K151" i="15"/>
  <c r="L151" i="15"/>
  <c r="M151" i="15"/>
  <c r="N151" i="15" l="1"/>
  <c r="M71" i="31"/>
  <c r="D111" i="31" s="1"/>
  <c r="K138" i="14"/>
  <c r="K137" i="14"/>
  <c r="K136" i="14"/>
  <c r="M138" i="14"/>
  <c r="U111" i="31"/>
  <c r="T111" i="31"/>
  <c r="S111" i="31"/>
  <c r="C111" i="31"/>
  <c r="L122" i="28"/>
  <c r="J122" i="28"/>
  <c r="H122" i="28"/>
  <c r="W111" i="31" l="1"/>
  <c r="U123" i="28"/>
  <c r="T123" i="28"/>
  <c r="S123" i="28"/>
  <c r="L123" i="28"/>
  <c r="J123" i="28"/>
  <c r="H123" i="28"/>
  <c r="D123" i="28"/>
  <c r="C123" i="28"/>
  <c r="B123" i="28"/>
  <c r="B207" i="14"/>
  <c r="U118" i="38"/>
  <c r="T118" i="38"/>
  <c r="S118" i="38"/>
  <c r="D118" i="38"/>
  <c r="C118" i="38"/>
  <c r="B118" i="38"/>
  <c r="R79" i="38"/>
  <c r="R78" i="38"/>
  <c r="N78" i="38"/>
  <c r="M79" i="38"/>
  <c r="N79" i="38" s="1"/>
  <c r="M78" i="38"/>
  <c r="U113" i="33"/>
  <c r="T113" i="33"/>
  <c r="S113" i="33"/>
  <c r="L113" i="33"/>
  <c r="J113" i="33"/>
  <c r="H113" i="33"/>
  <c r="D113" i="33"/>
  <c r="C113" i="33"/>
  <c r="B113" i="33"/>
  <c r="K74" i="33"/>
  <c r="N74" i="33"/>
  <c r="L74" i="33"/>
  <c r="W123" i="28" l="1"/>
  <c r="N123" i="28"/>
  <c r="E123" i="28"/>
  <c r="W118" i="38"/>
  <c r="E118" i="38"/>
  <c r="W113" i="33"/>
  <c r="N113" i="33"/>
  <c r="E113" i="33"/>
  <c r="H229" i="10"/>
  <c r="B229" i="10"/>
  <c r="U224" i="15"/>
  <c r="T224" i="15"/>
  <c r="S224" i="15"/>
  <c r="U122" i="37"/>
  <c r="U123" i="37"/>
  <c r="T123" i="37"/>
  <c r="S123" i="37"/>
  <c r="L123" i="37"/>
  <c r="J123" i="37"/>
  <c r="H123" i="37"/>
  <c r="D123" i="37"/>
  <c r="C123" i="37"/>
  <c r="B123" i="37"/>
  <c r="R85" i="37"/>
  <c r="R84" i="37"/>
  <c r="K85" i="37"/>
  <c r="N85" i="37" s="1"/>
  <c r="L85" i="37"/>
  <c r="M85" i="37"/>
  <c r="K84" i="37"/>
  <c r="N84" i="37" s="1"/>
  <c r="L84" i="37"/>
  <c r="M84" i="37"/>
  <c r="R83" i="37"/>
  <c r="K83" i="37"/>
  <c r="L83" i="37"/>
  <c r="M83" i="37"/>
  <c r="R82" i="37"/>
  <c r="K82" i="37"/>
  <c r="L82" i="37"/>
  <c r="M82" i="37"/>
  <c r="R81" i="37"/>
  <c r="K81" i="37"/>
  <c r="L81" i="37"/>
  <c r="M81" i="37"/>
  <c r="W224" i="15" l="1"/>
  <c r="W123" i="37"/>
  <c r="N123" i="37"/>
  <c r="E123" i="37"/>
  <c r="N83" i="37"/>
  <c r="N82" i="37"/>
  <c r="N81" i="37"/>
  <c r="R80" i="37"/>
  <c r="K80" i="37"/>
  <c r="L80" i="37"/>
  <c r="M80" i="37"/>
  <c r="U145" i="36"/>
  <c r="T145" i="36"/>
  <c r="S145" i="36"/>
  <c r="L145" i="36"/>
  <c r="J145" i="36"/>
  <c r="H145" i="36"/>
  <c r="D145" i="36"/>
  <c r="D144" i="36"/>
  <c r="D143" i="36"/>
  <c r="C144" i="36"/>
  <c r="C145" i="36"/>
  <c r="E145" i="36" s="1"/>
  <c r="B145" i="36"/>
  <c r="W145" i="36"/>
  <c r="K107" i="36"/>
  <c r="L107" i="36"/>
  <c r="M107" i="36"/>
  <c r="N107" i="36"/>
  <c r="K106" i="36"/>
  <c r="L106" i="36"/>
  <c r="M106" i="36"/>
  <c r="N106" i="36"/>
  <c r="K105" i="36"/>
  <c r="L105" i="36"/>
  <c r="M105" i="36"/>
  <c r="R107" i="36"/>
  <c r="R106" i="36"/>
  <c r="R105" i="36"/>
  <c r="R104" i="36"/>
  <c r="K104" i="36"/>
  <c r="N104" i="36" s="1"/>
  <c r="L104" i="36"/>
  <c r="M104" i="36"/>
  <c r="U152" i="35"/>
  <c r="T152" i="35"/>
  <c r="S152" i="35"/>
  <c r="L152" i="35"/>
  <c r="J152" i="35"/>
  <c r="H152" i="35"/>
  <c r="D152" i="35"/>
  <c r="C152" i="35"/>
  <c r="B152" i="35"/>
  <c r="K113" i="35"/>
  <c r="N113" i="35" s="1"/>
  <c r="L113" i="35"/>
  <c r="M113" i="35"/>
  <c r="K112" i="35"/>
  <c r="L112" i="35"/>
  <c r="M112" i="35"/>
  <c r="K111" i="35"/>
  <c r="L111" i="35"/>
  <c r="M111" i="35"/>
  <c r="K110" i="35"/>
  <c r="L110" i="35"/>
  <c r="M110" i="35"/>
  <c r="K109" i="35"/>
  <c r="L109" i="35"/>
  <c r="M109" i="35"/>
  <c r="K108" i="35"/>
  <c r="L108" i="35"/>
  <c r="M108" i="35"/>
  <c r="U222" i="9"/>
  <c r="T222" i="9"/>
  <c r="S222" i="9"/>
  <c r="L222" i="9"/>
  <c r="J222" i="9"/>
  <c r="H222" i="9"/>
  <c r="R152" i="9"/>
  <c r="K152" i="9"/>
  <c r="B222" i="9" s="1"/>
  <c r="L152" i="9"/>
  <c r="C222" i="9" s="1"/>
  <c r="M152" i="9"/>
  <c r="D222" i="9" s="1"/>
  <c r="R151" i="9"/>
  <c r="K151" i="9"/>
  <c r="L151" i="9"/>
  <c r="M151" i="9"/>
  <c r="R150" i="9"/>
  <c r="K150" i="9"/>
  <c r="L150" i="9"/>
  <c r="M150" i="9"/>
  <c r="L153" i="15"/>
  <c r="K153" i="15"/>
  <c r="M153" i="15"/>
  <c r="K152" i="15"/>
  <c r="L152" i="15"/>
  <c r="M152" i="15"/>
  <c r="R150" i="15"/>
  <c r="M150" i="15"/>
  <c r="L150" i="15"/>
  <c r="K150" i="15"/>
  <c r="U216" i="8"/>
  <c r="T216" i="8"/>
  <c r="S216" i="8"/>
  <c r="L216" i="8"/>
  <c r="J216" i="8"/>
  <c r="H216" i="8"/>
  <c r="D216" i="8"/>
  <c r="C216" i="8"/>
  <c r="B216" i="8"/>
  <c r="R146" i="8"/>
  <c r="R145" i="8"/>
  <c r="K146" i="8"/>
  <c r="N146" i="8" s="1"/>
  <c r="L146" i="8"/>
  <c r="M146" i="8"/>
  <c r="K145" i="8"/>
  <c r="N145" i="8" s="1"/>
  <c r="L145" i="8"/>
  <c r="M145" i="8"/>
  <c r="U214" i="23"/>
  <c r="T214" i="23"/>
  <c r="S214" i="23"/>
  <c r="H214" i="23"/>
  <c r="N214" i="23" s="1"/>
  <c r="D214" i="23"/>
  <c r="C214" i="23"/>
  <c r="B214" i="23"/>
  <c r="J214" i="23"/>
  <c r="L214" i="23"/>
  <c r="N144" i="23"/>
  <c r="N143" i="23"/>
  <c r="M144" i="23"/>
  <c r="M143" i="23"/>
  <c r="L144" i="23"/>
  <c r="L143" i="23"/>
  <c r="K144" i="23"/>
  <c r="K143" i="23"/>
  <c r="R144" i="23"/>
  <c r="R143" i="23"/>
  <c r="R142" i="23"/>
  <c r="R141" i="23"/>
  <c r="R140" i="23"/>
  <c r="R139" i="23"/>
  <c r="K142" i="23"/>
  <c r="N142" i="23" s="1"/>
  <c r="L142" i="23"/>
  <c r="M142" i="23"/>
  <c r="K141" i="23"/>
  <c r="L141" i="23"/>
  <c r="M141" i="23"/>
  <c r="K140" i="23"/>
  <c r="N140" i="23" s="1"/>
  <c r="L140" i="23"/>
  <c r="M140" i="23"/>
  <c r="K139" i="23"/>
  <c r="L139" i="23"/>
  <c r="M139" i="23"/>
  <c r="R138" i="23"/>
  <c r="K138" i="23"/>
  <c r="L138" i="23"/>
  <c r="M138" i="23"/>
  <c r="U204" i="24"/>
  <c r="T204" i="24"/>
  <c r="S204" i="24"/>
  <c r="L204" i="24"/>
  <c r="J204" i="24"/>
  <c r="H204" i="24"/>
  <c r="D204" i="24"/>
  <c r="C204" i="24"/>
  <c r="B204" i="24"/>
  <c r="K133" i="24"/>
  <c r="N133" i="24" s="1"/>
  <c r="L133" i="24"/>
  <c r="M133" i="24"/>
  <c r="N132" i="24"/>
  <c r="K132" i="24"/>
  <c r="L132" i="24"/>
  <c r="M132" i="24"/>
  <c r="U207" i="25"/>
  <c r="T207" i="25"/>
  <c r="S207" i="25"/>
  <c r="L207" i="25"/>
  <c r="J207" i="25"/>
  <c r="H207" i="25"/>
  <c r="D207" i="25"/>
  <c r="C207" i="25"/>
  <c r="B207" i="25"/>
  <c r="N137" i="25"/>
  <c r="M137" i="25"/>
  <c r="L137" i="25"/>
  <c r="K137" i="25"/>
  <c r="R137" i="25"/>
  <c r="R136" i="25"/>
  <c r="R135" i="25"/>
  <c r="K136" i="25"/>
  <c r="L136" i="25"/>
  <c r="M136" i="25"/>
  <c r="N136" i="25"/>
  <c r="K135" i="25"/>
  <c r="N135" i="25" s="1"/>
  <c r="L135" i="25"/>
  <c r="M135" i="25"/>
  <c r="U167" i="26"/>
  <c r="T167" i="26"/>
  <c r="S167" i="26"/>
  <c r="L167" i="26"/>
  <c r="L166" i="26"/>
  <c r="J167" i="26"/>
  <c r="H167" i="26"/>
  <c r="D167" i="26"/>
  <c r="C167" i="26"/>
  <c r="B167" i="26"/>
  <c r="R98" i="26"/>
  <c r="R97" i="26"/>
  <c r="K98" i="26"/>
  <c r="N98" i="26" s="1"/>
  <c r="L98" i="26"/>
  <c r="M98" i="26"/>
  <c r="K97" i="26"/>
  <c r="N97" i="26" s="1"/>
  <c r="L97" i="26"/>
  <c r="M97" i="26"/>
  <c r="U116" i="38"/>
  <c r="T116" i="38"/>
  <c r="S116" i="38"/>
  <c r="L116" i="38"/>
  <c r="J116" i="38"/>
  <c r="H116" i="38"/>
  <c r="D116" i="38"/>
  <c r="C116" i="38"/>
  <c r="B116" i="38"/>
  <c r="R72" i="38"/>
  <c r="N67" i="38"/>
  <c r="K72" i="38"/>
  <c r="L72" i="38"/>
  <c r="N72" i="38" s="1"/>
  <c r="M72" i="38"/>
  <c r="L73" i="38"/>
  <c r="R74" i="38"/>
  <c r="R73" i="38"/>
  <c r="R77" i="38"/>
  <c r="M77" i="38"/>
  <c r="L77" i="38"/>
  <c r="K77" i="38"/>
  <c r="U175" i="16"/>
  <c r="T175" i="16"/>
  <c r="S175" i="16"/>
  <c r="L175" i="16"/>
  <c r="J175" i="16"/>
  <c r="H175" i="16"/>
  <c r="D175" i="16"/>
  <c r="C175" i="16"/>
  <c r="B175" i="16"/>
  <c r="K106" i="16"/>
  <c r="L106" i="16"/>
  <c r="M106" i="16"/>
  <c r="R106" i="16"/>
  <c r="R103" i="16"/>
  <c r="N103" i="16"/>
  <c r="M103" i="16"/>
  <c r="L103" i="16"/>
  <c r="K103" i="16"/>
  <c r="U207" i="17"/>
  <c r="T207" i="17"/>
  <c r="S207" i="17"/>
  <c r="L207" i="17"/>
  <c r="J207" i="17"/>
  <c r="H207" i="17"/>
  <c r="D207" i="17"/>
  <c r="C207" i="17"/>
  <c r="B207" i="17"/>
  <c r="R137" i="17"/>
  <c r="R136" i="17"/>
  <c r="R135" i="17"/>
  <c r="K137" i="17"/>
  <c r="N137" i="17" s="1"/>
  <c r="L137" i="17"/>
  <c r="M137" i="17"/>
  <c r="K136" i="17"/>
  <c r="N136" i="17" s="1"/>
  <c r="L136" i="17"/>
  <c r="M136" i="17"/>
  <c r="K135" i="17"/>
  <c r="L135" i="17"/>
  <c r="M135" i="17"/>
  <c r="U210" i="18"/>
  <c r="T210" i="18"/>
  <c r="S210" i="18"/>
  <c r="L210" i="18"/>
  <c r="J210" i="18"/>
  <c r="H210" i="18"/>
  <c r="K139" i="18"/>
  <c r="B210" i="18" s="1"/>
  <c r="L139" i="18"/>
  <c r="C210" i="18" s="1"/>
  <c r="M139" i="18"/>
  <c r="D210" i="18" s="1"/>
  <c r="K138" i="18"/>
  <c r="N138" i="18" s="1"/>
  <c r="L138" i="18"/>
  <c r="M138" i="18"/>
  <c r="U216" i="19"/>
  <c r="T216" i="19"/>
  <c r="S216" i="19"/>
  <c r="L216" i="19"/>
  <c r="J216" i="19"/>
  <c r="H216" i="19"/>
  <c r="D216" i="19"/>
  <c r="C216" i="19"/>
  <c r="B216" i="19"/>
  <c r="K146" i="19"/>
  <c r="N146" i="19" s="1"/>
  <c r="L146" i="19"/>
  <c r="M146" i="19"/>
  <c r="K145" i="19"/>
  <c r="L145" i="19"/>
  <c r="M145" i="19"/>
  <c r="K144" i="19"/>
  <c r="N144" i="19" s="1"/>
  <c r="L144" i="19"/>
  <c r="M144" i="19"/>
  <c r="K143" i="19"/>
  <c r="L143" i="19"/>
  <c r="M143" i="19"/>
  <c r="U183" i="20"/>
  <c r="T183" i="20"/>
  <c r="S183" i="20"/>
  <c r="L183" i="20"/>
  <c r="J183" i="20"/>
  <c r="H183" i="20"/>
  <c r="D183" i="20"/>
  <c r="C183" i="20"/>
  <c r="B183" i="20"/>
  <c r="K120" i="20"/>
  <c r="N120" i="20" s="1"/>
  <c r="L120" i="20"/>
  <c r="M120" i="20"/>
  <c r="K119" i="20"/>
  <c r="N119" i="20" s="1"/>
  <c r="L119" i="20"/>
  <c r="M119" i="20"/>
  <c r="U205" i="21"/>
  <c r="T205" i="21"/>
  <c r="S205" i="21"/>
  <c r="L205" i="21"/>
  <c r="J205" i="21"/>
  <c r="H205" i="21"/>
  <c r="D205" i="21"/>
  <c r="C205" i="21"/>
  <c r="B205" i="21"/>
  <c r="K133" i="21"/>
  <c r="N133" i="21" s="1"/>
  <c r="L133" i="21"/>
  <c r="M133" i="21"/>
  <c r="K132" i="21"/>
  <c r="N132" i="21" s="1"/>
  <c r="L132" i="21"/>
  <c r="M132" i="21"/>
  <c r="R133" i="21"/>
  <c r="R132" i="21"/>
  <c r="U113" i="34"/>
  <c r="T113" i="34"/>
  <c r="S113" i="34"/>
  <c r="L113" i="34"/>
  <c r="J113" i="34"/>
  <c r="H113" i="34"/>
  <c r="D113" i="34"/>
  <c r="C113" i="34"/>
  <c r="B113" i="34"/>
  <c r="K73" i="34"/>
  <c r="N73" i="34" s="1"/>
  <c r="L73" i="34"/>
  <c r="M73" i="34"/>
  <c r="K72" i="34"/>
  <c r="L72" i="34"/>
  <c r="M72" i="34"/>
  <c r="M74" i="33"/>
  <c r="R73" i="33"/>
  <c r="K73" i="33"/>
  <c r="L73" i="33"/>
  <c r="M73" i="33"/>
  <c r="U229" i="10"/>
  <c r="T229" i="10"/>
  <c r="S229" i="10"/>
  <c r="L229" i="10"/>
  <c r="J229" i="10"/>
  <c r="H227" i="10"/>
  <c r="J227" i="10"/>
  <c r="L227" i="10"/>
  <c r="D229" i="10"/>
  <c r="C229" i="10"/>
  <c r="K158" i="10"/>
  <c r="L158" i="10"/>
  <c r="M158" i="10"/>
  <c r="K157" i="10"/>
  <c r="N157" i="10" s="1"/>
  <c r="L157" i="10"/>
  <c r="M157" i="10"/>
  <c r="U207" i="11"/>
  <c r="T207" i="11"/>
  <c r="S207" i="11"/>
  <c r="L207" i="11"/>
  <c r="J207" i="11"/>
  <c r="H207" i="11"/>
  <c r="D207" i="11"/>
  <c r="C207" i="11"/>
  <c r="B207" i="11"/>
  <c r="K138" i="11"/>
  <c r="N138" i="11" s="1"/>
  <c r="L138" i="11"/>
  <c r="M138" i="11"/>
  <c r="K137" i="11"/>
  <c r="N137" i="11" s="1"/>
  <c r="L137" i="11"/>
  <c r="M137" i="11"/>
  <c r="U204" i="12"/>
  <c r="T204" i="12"/>
  <c r="S204" i="12"/>
  <c r="L204" i="12"/>
  <c r="J204" i="12"/>
  <c r="H204" i="12"/>
  <c r="K135" i="12"/>
  <c r="L135" i="12"/>
  <c r="M135" i="12"/>
  <c r="N135" i="12"/>
  <c r="D204" i="12"/>
  <c r="C204" i="12"/>
  <c r="B204" i="12"/>
  <c r="R135" i="12"/>
  <c r="R134" i="12"/>
  <c r="K134" i="12"/>
  <c r="N134" i="12" s="1"/>
  <c r="L134" i="12"/>
  <c r="M134" i="12"/>
  <c r="U115" i="32"/>
  <c r="T115" i="32"/>
  <c r="S115" i="32"/>
  <c r="K77" i="32"/>
  <c r="L77" i="32"/>
  <c r="M77" i="32"/>
  <c r="K76" i="32"/>
  <c r="L76" i="32"/>
  <c r="M76" i="32"/>
  <c r="R77" i="32"/>
  <c r="R76" i="32"/>
  <c r="R75" i="32"/>
  <c r="K75" i="32"/>
  <c r="L75" i="32"/>
  <c r="M75" i="32"/>
  <c r="R74" i="32"/>
  <c r="L115" i="32" s="1"/>
  <c r="K74" i="32"/>
  <c r="L74" i="32"/>
  <c r="C115" i="32" s="1"/>
  <c r="M74" i="32"/>
  <c r="U220" i="13"/>
  <c r="T220" i="13"/>
  <c r="S220" i="13"/>
  <c r="L220" i="13"/>
  <c r="J220" i="13"/>
  <c r="H220" i="13"/>
  <c r="D220" i="13"/>
  <c r="C220" i="13"/>
  <c r="B220" i="13"/>
  <c r="R151" i="13"/>
  <c r="R150" i="13"/>
  <c r="K151" i="13"/>
  <c r="N151" i="13" s="1"/>
  <c r="L151" i="13"/>
  <c r="M151" i="13"/>
  <c r="K150" i="13"/>
  <c r="N150" i="13" s="1"/>
  <c r="L150" i="13"/>
  <c r="M150" i="13"/>
  <c r="U207" i="14"/>
  <c r="T207" i="14"/>
  <c r="S207" i="14"/>
  <c r="R138" i="14"/>
  <c r="R137" i="14"/>
  <c r="L138" i="14"/>
  <c r="N138" i="14" s="1"/>
  <c r="L137" i="14"/>
  <c r="M137" i="14"/>
  <c r="D207" i="14" s="1"/>
  <c r="K149" i="15"/>
  <c r="L149" i="15"/>
  <c r="M149" i="15"/>
  <c r="R149" i="15"/>
  <c r="R71" i="31"/>
  <c r="K71" i="31"/>
  <c r="B111" i="31" s="1"/>
  <c r="E111" i="31" s="1"/>
  <c r="R70" i="31"/>
  <c r="K70" i="31"/>
  <c r="M70" i="31"/>
  <c r="R69" i="31"/>
  <c r="K69" i="31"/>
  <c r="L69" i="31"/>
  <c r="W204" i="7"/>
  <c r="U204" i="7"/>
  <c r="T204" i="7"/>
  <c r="S204" i="7"/>
  <c r="L204" i="7"/>
  <c r="J204" i="7"/>
  <c r="H204" i="7"/>
  <c r="D204" i="7"/>
  <c r="K135" i="7"/>
  <c r="B204" i="7" s="1"/>
  <c r="N135" i="7"/>
  <c r="L135" i="7"/>
  <c r="C204" i="7" s="1"/>
  <c r="M135" i="7"/>
  <c r="K134" i="7"/>
  <c r="N134" i="7" s="1"/>
  <c r="L134" i="7"/>
  <c r="M134" i="7"/>
  <c r="U117" i="29"/>
  <c r="T117" i="29"/>
  <c r="S117" i="29"/>
  <c r="L117" i="29"/>
  <c r="N117" i="29" s="1"/>
  <c r="J117" i="29"/>
  <c r="H117" i="29"/>
  <c r="D117" i="29"/>
  <c r="C117" i="29"/>
  <c r="B117" i="29"/>
  <c r="R77" i="29"/>
  <c r="R78" i="29"/>
  <c r="K78" i="29"/>
  <c r="N78" i="29" s="1"/>
  <c r="L78" i="29"/>
  <c r="M78" i="29"/>
  <c r="K77" i="29"/>
  <c r="N77" i="29" s="1"/>
  <c r="L77" i="29"/>
  <c r="M77" i="29"/>
  <c r="W210" i="1"/>
  <c r="U210" i="1"/>
  <c r="T210" i="1"/>
  <c r="S210" i="1"/>
  <c r="E210" i="1"/>
  <c r="C210" i="1"/>
  <c r="D210" i="1"/>
  <c r="B210" i="1"/>
  <c r="C209" i="1"/>
  <c r="R141" i="1"/>
  <c r="L210" i="1" s="1"/>
  <c r="L141" i="1"/>
  <c r="R140" i="1"/>
  <c r="K140" i="1"/>
  <c r="L140" i="1"/>
  <c r="N140" i="1" s="1"/>
  <c r="M140" i="1"/>
  <c r="U159" i="6"/>
  <c r="T159" i="6"/>
  <c r="S159" i="6"/>
  <c r="L159" i="6"/>
  <c r="J159" i="6"/>
  <c r="H159" i="6"/>
  <c r="D159" i="6"/>
  <c r="C159" i="6"/>
  <c r="B159" i="6"/>
  <c r="N159" i="6"/>
  <c r="R108" i="6"/>
  <c r="K108" i="6"/>
  <c r="N108" i="6" s="1"/>
  <c r="L108" i="6"/>
  <c r="M108" i="6"/>
  <c r="R109" i="6"/>
  <c r="R107" i="6"/>
  <c r="K109" i="6"/>
  <c r="L109" i="6"/>
  <c r="M109" i="6"/>
  <c r="K107" i="6"/>
  <c r="L107" i="6"/>
  <c r="M107" i="6"/>
  <c r="U97" i="30"/>
  <c r="T97" i="30"/>
  <c r="S97" i="30"/>
  <c r="L97" i="30"/>
  <c r="J97" i="30"/>
  <c r="H97" i="30"/>
  <c r="D97" i="30"/>
  <c r="C97" i="30"/>
  <c r="B97" i="30"/>
  <c r="R58" i="30"/>
  <c r="K58" i="30"/>
  <c r="N58" i="30" s="1"/>
  <c r="L58" i="30"/>
  <c r="M58" i="30"/>
  <c r="R57" i="30"/>
  <c r="R59" i="30"/>
  <c r="K59" i="30"/>
  <c r="N59" i="30" s="1"/>
  <c r="L59" i="30"/>
  <c r="M59" i="30"/>
  <c r="K57" i="30"/>
  <c r="L57" i="30"/>
  <c r="M57" i="30"/>
  <c r="W205" i="5"/>
  <c r="U205" i="5"/>
  <c r="T205" i="5"/>
  <c r="S205" i="5"/>
  <c r="L205" i="5"/>
  <c r="J205" i="5"/>
  <c r="H205" i="5"/>
  <c r="C205" i="5"/>
  <c r="D205" i="5"/>
  <c r="B205" i="5"/>
  <c r="R135" i="5"/>
  <c r="R134" i="5"/>
  <c r="K135" i="5"/>
  <c r="N135" i="5" s="1"/>
  <c r="L135" i="5"/>
  <c r="M135" i="5"/>
  <c r="K134" i="5"/>
  <c r="L134" i="5"/>
  <c r="M134" i="5"/>
  <c r="N134" i="5"/>
  <c r="R83" i="28"/>
  <c r="N82" i="28"/>
  <c r="L83" i="28"/>
  <c r="N83" i="28" s="1"/>
  <c r="R82" i="28"/>
  <c r="K82" i="28"/>
  <c r="L82" i="28"/>
  <c r="M82" i="28"/>
  <c r="W215" i="3"/>
  <c r="U215" i="3"/>
  <c r="T215" i="3"/>
  <c r="S215" i="3"/>
  <c r="L215" i="3"/>
  <c r="J215" i="3"/>
  <c r="H215" i="3"/>
  <c r="D215" i="3"/>
  <c r="C215" i="3"/>
  <c r="B215" i="3"/>
  <c r="I215" i="3"/>
  <c r="K215" i="3"/>
  <c r="M215" i="3"/>
  <c r="R142" i="3"/>
  <c r="R143" i="3"/>
  <c r="R144" i="3"/>
  <c r="R145" i="3"/>
  <c r="K145" i="3"/>
  <c r="L145" i="3"/>
  <c r="M145" i="3"/>
  <c r="N145" i="3" s="1"/>
  <c r="K144" i="3"/>
  <c r="N144" i="3" s="1"/>
  <c r="L144" i="3"/>
  <c r="M144" i="3"/>
  <c r="K143" i="3"/>
  <c r="N143" i="3" s="1"/>
  <c r="L143" i="3"/>
  <c r="M143" i="3"/>
  <c r="K142" i="3"/>
  <c r="N142" i="3" s="1"/>
  <c r="L142" i="3"/>
  <c r="M142" i="3"/>
  <c r="R141" i="3"/>
  <c r="M141" i="3"/>
  <c r="L141" i="3"/>
  <c r="K141" i="3"/>
  <c r="W207" i="2"/>
  <c r="U207" i="2"/>
  <c r="T207" i="2"/>
  <c r="S207" i="2"/>
  <c r="L207" i="2"/>
  <c r="J207" i="2"/>
  <c r="H207" i="2"/>
  <c r="D207" i="2"/>
  <c r="R135" i="2"/>
  <c r="R136" i="2"/>
  <c r="K136" i="2"/>
  <c r="L136" i="2"/>
  <c r="M136" i="2"/>
  <c r="K135" i="2"/>
  <c r="L135" i="2"/>
  <c r="M135" i="2"/>
  <c r="U217" i="22"/>
  <c r="T217" i="22"/>
  <c r="S217" i="22"/>
  <c r="L217" i="22"/>
  <c r="J217" i="22"/>
  <c r="H217" i="22"/>
  <c r="D217" i="22"/>
  <c r="C217" i="22"/>
  <c r="B217" i="22"/>
  <c r="K147" i="22"/>
  <c r="N147" i="22" s="1"/>
  <c r="L147" i="22"/>
  <c r="M147" i="22"/>
  <c r="K146" i="22"/>
  <c r="L146" i="22"/>
  <c r="M146" i="22"/>
  <c r="N146" i="22"/>
  <c r="U117" i="38"/>
  <c r="T117" i="38"/>
  <c r="S117" i="38"/>
  <c r="R76" i="38"/>
  <c r="R75" i="38"/>
  <c r="K75" i="38"/>
  <c r="L75" i="38"/>
  <c r="M75" i="38"/>
  <c r="L111" i="31" l="1"/>
  <c r="J111" i="31"/>
  <c r="H111" i="31"/>
  <c r="N111" i="31" s="1"/>
  <c r="C224" i="15"/>
  <c r="B224" i="15"/>
  <c r="D224" i="15"/>
  <c r="N135" i="2"/>
  <c r="B207" i="2"/>
  <c r="C207" i="2"/>
  <c r="J207" i="14"/>
  <c r="N137" i="14"/>
  <c r="C207" i="14"/>
  <c r="E207" i="14" s="1"/>
  <c r="H224" i="15"/>
  <c r="L224" i="15"/>
  <c r="J224" i="15"/>
  <c r="J118" i="38"/>
  <c r="L118" i="38"/>
  <c r="H118" i="38"/>
  <c r="N153" i="15"/>
  <c r="N152" i="15"/>
  <c r="N80" i="37"/>
  <c r="N145" i="36"/>
  <c r="N105" i="36"/>
  <c r="W152" i="35"/>
  <c r="N152" i="35"/>
  <c r="E152" i="35"/>
  <c r="N112" i="35"/>
  <c r="N110" i="35"/>
  <c r="N108" i="35"/>
  <c r="N109" i="35"/>
  <c r="N111" i="35"/>
  <c r="W222" i="9"/>
  <c r="N222" i="9"/>
  <c r="E222" i="9"/>
  <c r="N150" i="9"/>
  <c r="N151" i="9"/>
  <c r="N152" i="9"/>
  <c r="N77" i="32"/>
  <c r="D115" i="32"/>
  <c r="H115" i="32"/>
  <c r="J115" i="32"/>
  <c r="N115" i="32" s="1"/>
  <c r="N74" i="32"/>
  <c r="N75" i="32"/>
  <c r="B115" i="32"/>
  <c r="E115" i="32" s="1"/>
  <c r="N150" i="15"/>
  <c r="N149" i="15"/>
  <c r="W216" i="8"/>
  <c r="N216" i="8"/>
  <c r="E216" i="8"/>
  <c r="W214" i="23"/>
  <c r="E214" i="23"/>
  <c r="N141" i="23"/>
  <c r="N139" i="23"/>
  <c r="N138" i="23"/>
  <c r="W204" i="24"/>
  <c r="N204" i="24"/>
  <c r="E204" i="24"/>
  <c r="W207" i="25"/>
  <c r="N207" i="25"/>
  <c r="E207" i="25"/>
  <c r="W167" i="26"/>
  <c r="N167" i="26"/>
  <c r="E167" i="26"/>
  <c r="N77" i="38"/>
  <c r="N75" i="38"/>
  <c r="W175" i="16"/>
  <c r="N175" i="16"/>
  <c r="E175" i="16"/>
  <c r="N106" i="16"/>
  <c r="W207" i="17"/>
  <c r="N207" i="17"/>
  <c r="E207" i="17"/>
  <c r="N135" i="17"/>
  <c r="W210" i="18"/>
  <c r="N210" i="18"/>
  <c r="E210" i="18"/>
  <c r="N139" i="18"/>
  <c r="W216" i="19"/>
  <c r="N216" i="19"/>
  <c r="E216" i="19"/>
  <c r="N143" i="19"/>
  <c r="N145" i="19"/>
  <c r="W183" i="20"/>
  <c r="N183" i="20"/>
  <c r="E183" i="20"/>
  <c r="W205" i="21"/>
  <c r="N205" i="21"/>
  <c r="E205" i="21"/>
  <c r="W113" i="34"/>
  <c r="N113" i="34"/>
  <c r="E113" i="34"/>
  <c r="N72" i="34"/>
  <c r="N73" i="33"/>
  <c r="W229" i="10"/>
  <c r="N229" i="10"/>
  <c r="E229" i="10"/>
  <c r="N158" i="10"/>
  <c r="W207" i="11"/>
  <c r="N207" i="11"/>
  <c r="E207" i="11"/>
  <c r="W204" i="12"/>
  <c r="N204" i="12"/>
  <c r="E204" i="12"/>
  <c r="W115" i="32"/>
  <c r="N76" i="32"/>
  <c r="W220" i="13"/>
  <c r="N220" i="13"/>
  <c r="E220" i="13"/>
  <c r="W207" i="14"/>
  <c r="L207" i="14"/>
  <c r="H207" i="14"/>
  <c r="N207" i="14" s="1"/>
  <c r="N69" i="31"/>
  <c r="N204" i="7"/>
  <c r="E204" i="7"/>
  <c r="W117" i="29"/>
  <c r="E117" i="29"/>
  <c r="H210" i="1"/>
  <c r="N210" i="1" s="1"/>
  <c r="J210" i="1"/>
  <c r="W159" i="6"/>
  <c r="E159" i="6"/>
  <c r="N109" i="6"/>
  <c r="N107" i="6"/>
  <c r="N57" i="30"/>
  <c r="N97" i="30"/>
  <c r="E97" i="30"/>
  <c r="W97" i="30"/>
  <c r="N205" i="5"/>
  <c r="E205" i="5"/>
  <c r="N215" i="3"/>
  <c r="E215" i="3"/>
  <c r="N141" i="3"/>
  <c r="N207" i="2"/>
  <c r="N136" i="2"/>
  <c r="W217" i="22"/>
  <c r="N217" i="22"/>
  <c r="E217" i="22"/>
  <c r="T114" i="32"/>
  <c r="T122" i="28"/>
  <c r="E224" i="15" l="1"/>
  <c r="E207" i="2"/>
  <c r="N224" i="15"/>
  <c r="N118" i="38"/>
  <c r="U116" i="29"/>
  <c r="T116" i="29"/>
  <c r="S116" i="29"/>
  <c r="W116" i="29" s="1"/>
  <c r="U206" i="14"/>
  <c r="T206" i="14"/>
  <c r="S206" i="14"/>
  <c r="U114" i="32"/>
  <c r="S114" i="32"/>
  <c r="W114" i="32" s="1"/>
  <c r="U206" i="11"/>
  <c r="T206" i="11"/>
  <c r="S206" i="11"/>
  <c r="U205" i="11"/>
  <c r="T205" i="11"/>
  <c r="S205" i="11"/>
  <c r="W206" i="11" l="1"/>
  <c r="W206" i="14"/>
  <c r="M134" i="11" l="1"/>
  <c r="L134" i="11"/>
  <c r="K134" i="11"/>
  <c r="R136" i="11"/>
  <c r="M136" i="11"/>
  <c r="L136" i="11"/>
  <c r="K136" i="11"/>
  <c r="R135" i="11"/>
  <c r="M135" i="11"/>
  <c r="D206" i="11" s="1"/>
  <c r="L135" i="11"/>
  <c r="C206" i="11" s="1"/>
  <c r="K135" i="11"/>
  <c r="B206" i="11" s="1"/>
  <c r="R73" i="32"/>
  <c r="M73" i="32"/>
  <c r="L73" i="32"/>
  <c r="K73" i="32"/>
  <c r="R72" i="32"/>
  <c r="M72" i="32"/>
  <c r="L72" i="32"/>
  <c r="C114" i="32" s="1"/>
  <c r="K72" i="32"/>
  <c r="B114" i="32" s="1"/>
  <c r="R136" i="14"/>
  <c r="M136" i="14"/>
  <c r="L136" i="14"/>
  <c r="B206" i="14"/>
  <c r="R135" i="14"/>
  <c r="M135" i="14"/>
  <c r="D206" i="14" s="1"/>
  <c r="L135" i="14"/>
  <c r="N135" i="14" s="1"/>
  <c r="R76" i="29"/>
  <c r="M76" i="29"/>
  <c r="L76" i="29"/>
  <c r="K76" i="29"/>
  <c r="R75" i="29"/>
  <c r="M75" i="29"/>
  <c r="D116" i="29" s="1"/>
  <c r="L75" i="29"/>
  <c r="C116" i="29" s="1"/>
  <c r="K75" i="29"/>
  <c r="U215" i="19"/>
  <c r="T215" i="19"/>
  <c r="S215" i="19"/>
  <c r="R138" i="19"/>
  <c r="J215" i="19" s="1"/>
  <c r="K138" i="19"/>
  <c r="L138" i="19"/>
  <c r="M138" i="19"/>
  <c r="K142" i="19"/>
  <c r="L142" i="19"/>
  <c r="M142" i="19"/>
  <c r="K141" i="19"/>
  <c r="L141" i="19"/>
  <c r="M141" i="19"/>
  <c r="K140" i="19"/>
  <c r="L140" i="19"/>
  <c r="M140" i="19"/>
  <c r="K139" i="19"/>
  <c r="L139" i="19"/>
  <c r="M139" i="19"/>
  <c r="U228" i="10"/>
  <c r="T228" i="10"/>
  <c r="S228" i="10"/>
  <c r="K155" i="10"/>
  <c r="L155" i="10"/>
  <c r="M155" i="10"/>
  <c r="E206" i="14" l="1"/>
  <c r="C215" i="19"/>
  <c r="N142" i="19"/>
  <c r="B215" i="19"/>
  <c r="D215" i="19"/>
  <c r="E215" i="19" s="1"/>
  <c r="H215" i="19"/>
  <c r="L215" i="19"/>
  <c r="N138" i="19"/>
  <c r="E206" i="11"/>
  <c r="N136" i="11"/>
  <c r="N134" i="11"/>
  <c r="J206" i="11"/>
  <c r="H206" i="11"/>
  <c r="L206" i="11"/>
  <c r="N73" i="32"/>
  <c r="N72" i="32"/>
  <c r="D114" i="32"/>
  <c r="E114" i="32" s="1"/>
  <c r="L116" i="29"/>
  <c r="J116" i="29"/>
  <c r="H116" i="29"/>
  <c r="N116" i="29" s="1"/>
  <c r="N75" i="29"/>
  <c r="B116" i="29"/>
  <c r="E116" i="29" s="1"/>
  <c r="C206" i="14"/>
  <c r="J206" i="14"/>
  <c r="H206" i="14"/>
  <c r="N206" i="14" s="1"/>
  <c r="L206" i="14"/>
  <c r="N136" i="14"/>
  <c r="J114" i="32"/>
  <c r="H114" i="32"/>
  <c r="L114" i="32"/>
  <c r="N76" i="29"/>
  <c r="N135" i="11"/>
  <c r="W215" i="19"/>
  <c r="N139" i="19"/>
  <c r="N141" i="19"/>
  <c r="N140" i="19"/>
  <c r="N155" i="10"/>
  <c r="K145" i="22"/>
  <c r="L145" i="22"/>
  <c r="M145" i="22"/>
  <c r="K144" i="22"/>
  <c r="L144" i="22"/>
  <c r="M144" i="22"/>
  <c r="N144" i="22"/>
  <c r="L206" i="2"/>
  <c r="U214" i="3"/>
  <c r="T214" i="3"/>
  <c r="S214" i="3"/>
  <c r="U122" i="28"/>
  <c r="S122" i="28"/>
  <c r="R81" i="28"/>
  <c r="M81" i="28"/>
  <c r="L81" i="28"/>
  <c r="K81" i="28"/>
  <c r="R80" i="28"/>
  <c r="M80" i="28"/>
  <c r="L80" i="28"/>
  <c r="K80" i="28"/>
  <c r="R79" i="28"/>
  <c r="M79" i="28"/>
  <c r="L79" i="28"/>
  <c r="K79" i="28"/>
  <c r="R78" i="28"/>
  <c r="M78" i="28"/>
  <c r="L78" i="28"/>
  <c r="K78" i="28"/>
  <c r="T122" i="37"/>
  <c r="S122" i="37"/>
  <c r="R78" i="37"/>
  <c r="R77" i="37"/>
  <c r="K78" i="37"/>
  <c r="L78" i="37"/>
  <c r="M78" i="37"/>
  <c r="K77" i="37"/>
  <c r="L77" i="37"/>
  <c r="M77" i="37"/>
  <c r="U206" i="17"/>
  <c r="T206" i="17"/>
  <c r="S206" i="17"/>
  <c r="R133" i="17"/>
  <c r="K133" i="17"/>
  <c r="L133" i="17"/>
  <c r="M133" i="17"/>
  <c r="N78" i="37" l="1"/>
  <c r="N133" i="17"/>
  <c r="N215" i="19"/>
  <c r="N206" i="11"/>
  <c r="D122" i="28"/>
  <c r="N78" i="28"/>
  <c r="N79" i="28"/>
  <c r="N81" i="28"/>
  <c r="C122" i="28"/>
  <c r="B122" i="28"/>
  <c r="W122" i="28"/>
  <c r="N114" i="32"/>
  <c r="N145" i="22"/>
  <c r="N80" i="28"/>
  <c r="N77" i="37"/>
  <c r="U216" i="22"/>
  <c r="T216" i="22"/>
  <c r="S216" i="22"/>
  <c r="L216" i="22"/>
  <c r="J216" i="22"/>
  <c r="H216" i="22"/>
  <c r="B216" i="22"/>
  <c r="D216" i="22"/>
  <c r="C216" i="22"/>
  <c r="U227" i="10"/>
  <c r="T227" i="10"/>
  <c r="S227" i="10"/>
  <c r="U112" i="33"/>
  <c r="T112" i="33"/>
  <c r="S112" i="33"/>
  <c r="L112" i="33"/>
  <c r="R79" i="37"/>
  <c r="R76" i="37"/>
  <c r="K79" i="37"/>
  <c r="L79" i="37"/>
  <c r="M79" i="37"/>
  <c r="K76" i="37"/>
  <c r="B122" i="37" s="1"/>
  <c r="L76" i="37"/>
  <c r="M76" i="37"/>
  <c r="U144" i="36"/>
  <c r="T144" i="36"/>
  <c r="S144" i="36"/>
  <c r="R103" i="36"/>
  <c r="K103" i="36"/>
  <c r="L103" i="36"/>
  <c r="M103" i="36"/>
  <c r="R102" i="36"/>
  <c r="K102" i="36"/>
  <c r="M102" i="36"/>
  <c r="L102" i="36"/>
  <c r="K101" i="36"/>
  <c r="L101" i="36"/>
  <c r="M101" i="36"/>
  <c r="R101" i="36"/>
  <c r="R100" i="36"/>
  <c r="R99" i="36"/>
  <c r="R98" i="36"/>
  <c r="K100" i="36"/>
  <c r="L100" i="36"/>
  <c r="M100" i="36"/>
  <c r="K99" i="36"/>
  <c r="L99" i="36"/>
  <c r="M99" i="36"/>
  <c r="K98" i="36"/>
  <c r="L98" i="36"/>
  <c r="M98" i="36"/>
  <c r="K76" i="38"/>
  <c r="M76" i="38"/>
  <c r="L76" i="38"/>
  <c r="K74" i="38"/>
  <c r="L74" i="38"/>
  <c r="M74" i="38"/>
  <c r="K73" i="38"/>
  <c r="M73" i="38"/>
  <c r="U166" i="26"/>
  <c r="T166" i="26"/>
  <c r="S166" i="26"/>
  <c r="B166" i="26"/>
  <c r="R96" i="26"/>
  <c r="J166" i="26" s="1"/>
  <c r="R95" i="26"/>
  <c r="K96" i="26"/>
  <c r="L96" i="26"/>
  <c r="M96" i="26"/>
  <c r="K95" i="26"/>
  <c r="L95" i="26"/>
  <c r="M95" i="26"/>
  <c r="N95" i="26"/>
  <c r="U206" i="25"/>
  <c r="T206" i="25"/>
  <c r="S206" i="25"/>
  <c r="R134" i="25"/>
  <c r="K134" i="25"/>
  <c r="L134" i="25"/>
  <c r="M134" i="25"/>
  <c r="R131" i="25"/>
  <c r="K131" i="25"/>
  <c r="L131" i="25"/>
  <c r="M131" i="25"/>
  <c r="R133" i="25"/>
  <c r="K133" i="25"/>
  <c r="L133" i="25"/>
  <c r="M133" i="25"/>
  <c r="R132" i="25"/>
  <c r="K132" i="25"/>
  <c r="L132" i="25"/>
  <c r="M132" i="25"/>
  <c r="R130" i="25"/>
  <c r="K130" i="25"/>
  <c r="B206" i="25" s="1"/>
  <c r="L130" i="25"/>
  <c r="M130" i="25"/>
  <c r="U204" i="11"/>
  <c r="T204" i="11"/>
  <c r="S204" i="11"/>
  <c r="U203" i="12"/>
  <c r="U201" i="12"/>
  <c r="T203" i="12"/>
  <c r="T201" i="12"/>
  <c r="S203" i="12"/>
  <c r="W203" i="12" s="1"/>
  <c r="S201" i="12"/>
  <c r="L203" i="12"/>
  <c r="L201" i="12"/>
  <c r="J203" i="12"/>
  <c r="J201" i="12"/>
  <c r="H203" i="12"/>
  <c r="H201" i="12"/>
  <c r="C203" i="12"/>
  <c r="R133" i="12"/>
  <c r="M133" i="12"/>
  <c r="L133" i="12"/>
  <c r="K133" i="12"/>
  <c r="N133" i="12" s="1"/>
  <c r="R132" i="12"/>
  <c r="K132" i="12"/>
  <c r="L132" i="12"/>
  <c r="M132" i="12"/>
  <c r="D203" i="12" s="1"/>
  <c r="U112" i="32"/>
  <c r="T112" i="32"/>
  <c r="S112" i="32"/>
  <c r="U219" i="13"/>
  <c r="U216" i="13"/>
  <c r="T219" i="13"/>
  <c r="T216" i="13"/>
  <c r="S219" i="13"/>
  <c r="S216" i="13"/>
  <c r="R148" i="13"/>
  <c r="L219" i="13" s="1"/>
  <c r="R149" i="13"/>
  <c r="K149" i="13"/>
  <c r="L149" i="13"/>
  <c r="C219" i="13" s="1"/>
  <c r="M149" i="13"/>
  <c r="N149" i="13" s="1"/>
  <c r="K148" i="13"/>
  <c r="B219" i="13" s="1"/>
  <c r="L148" i="13"/>
  <c r="M148" i="13"/>
  <c r="U203" i="24"/>
  <c r="T203" i="24"/>
  <c r="S203" i="24"/>
  <c r="L203" i="24"/>
  <c r="J203" i="24"/>
  <c r="H203" i="24"/>
  <c r="K131" i="24"/>
  <c r="L131" i="24"/>
  <c r="M131" i="24"/>
  <c r="M130" i="24"/>
  <c r="L130" i="24"/>
  <c r="K130" i="24"/>
  <c r="B203" i="24" s="1"/>
  <c r="K129" i="24"/>
  <c r="U213" i="23"/>
  <c r="T213" i="23"/>
  <c r="S213" i="23"/>
  <c r="R137" i="23"/>
  <c r="K137" i="23"/>
  <c r="L137" i="23"/>
  <c r="M137" i="23"/>
  <c r="K136" i="23"/>
  <c r="L136" i="23"/>
  <c r="M136" i="23"/>
  <c r="R136" i="23"/>
  <c r="R135" i="23"/>
  <c r="K135" i="23"/>
  <c r="L135" i="23"/>
  <c r="M135" i="23"/>
  <c r="R134" i="23"/>
  <c r="K134" i="23"/>
  <c r="L134" i="23"/>
  <c r="M134" i="23"/>
  <c r="U174" i="16"/>
  <c r="T174" i="16"/>
  <c r="S174" i="16"/>
  <c r="R102" i="16"/>
  <c r="H174" i="16" s="1"/>
  <c r="K102" i="16"/>
  <c r="B174" i="16" s="1"/>
  <c r="L102" i="16"/>
  <c r="C174" i="16" s="1"/>
  <c r="M102" i="16"/>
  <c r="D174" i="16" s="1"/>
  <c r="U151" i="35"/>
  <c r="T151" i="35"/>
  <c r="S151" i="35"/>
  <c r="L151" i="35"/>
  <c r="J151" i="35"/>
  <c r="H151" i="35"/>
  <c r="K107" i="35"/>
  <c r="L107" i="35"/>
  <c r="M107" i="35"/>
  <c r="K106" i="35"/>
  <c r="L106" i="35"/>
  <c r="M106" i="35"/>
  <c r="K105" i="35"/>
  <c r="L105" i="35"/>
  <c r="M105" i="35"/>
  <c r="U204" i="14"/>
  <c r="T204" i="14"/>
  <c r="S204" i="14"/>
  <c r="B204" i="14"/>
  <c r="K129" i="14"/>
  <c r="U223" i="15"/>
  <c r="U221" i="15"/>
  <c r="T223" i="15"/>
  <c r="T221" i="15"/>
  <c r="S223" i="15"/>
  <c r="S221" i="15"/>
  <c r="R148" i="15"/>
  <c r="K148" i="15"/>
  <c r="L148" i="15"/>
  <c r="M148" i="15"/>
  <c r="R147" i="15"/>
  <c r="L223" i="15" s="1"/>
  <c r="K147" i="15"/>
  <c r="B223" i="15" s="1"/>
  <c r="L147" i="15"/>
  <c r="M147" i="15"/>
  <c r="U215" i="8"/>
  <c r="U212" i="8"/>
  <c r="U213" i="8"/>
  <c r="T215" i="8"/>
  <c r="T212" i="8"/>
  <c r="S215" i="8"/>
  <c r="S212" i="8"/>
  <c r="M144" i="8"/>
  <c r="R143" i="8"/>
  <c r="M143" i="8"/>
  <c r="L143" i="8"/>
  <c r="K143" i="8"/>
  <c r="R144" i="8"/>
  <c r="M142" i="8"/>
  <c r="L144" i="8"/>
  <c r="C215" i="8" s="1"/>
  <c r="L141" i="8"/>
  <c r="K144" i="8"/>
  <c r="K142" i="8"/>
  <c r="U110" i="31"/>
  <c r="U108" i="31"/>
  <c r="T110" i="31"/>
  <c r="T108" i="31"/>
  <c r="S110" i="31"/>
  <c r="S108" i="31"/>
  <c r="R68" i="31"/>
  <c r="K68" i="31"/>
  <c r="L68" i="31"/>
  <c r="M68" i="31"/>
  <c r="R67" i="31"/>
  <c r="L110" i="31" s="1"/>
  <c r="L67" i="31"/>
  <c r="K67" i="31"/>
  <c r="M67" i="31"/>
  <c r="U203" i="7"/>
  <c r="U201" i="7"/>
  <c r="T203" i="7"/>
  <c r="T201" i="7"/>
  <c r="S203" i="7"/>
  <c r="S201" i="7"/>
  <c r="R132" i="7"/>
  <c r="J203" i="7" s="1"/>
  <c r="K133" i="7"/>
  <c r="L133" i="7"/>
  <c r="M133" i="7"/>
  <c r="K132" i="7"/>
  <c r="B203" i="7" s="1"/>
  <c r="L132" i="7"/>
  <c r="M132" i="7"/>
  <c r="U114" i="29"/>
  <c r="T114" i="29"/>
  <c r="S114" i="29"/>
  <c r="U158" i="6"/>
  <c r="U155" i="6"/>
  <c r="T158" i="6"/>
  <c r="T155" i="6"/>
  <c r="S158" i="6"/>
  <c r="S155" i="6"/>
  <c r="R106" i="6"/>
  <c r="K106" i="6"/>
  <c r="R105" i="6"/>
  <c r="J158" i="6" s="1"/>
  <c r="K105" i="6"/>
  <c r="L106" i="6"/>
  <c r="M106" i="6"/>
  <c r="L105" i="6"/>
  <c r="C158" i="6" s="1"/>
  <c r="M105" i="6"/>
  <c r="U96" i="30"/>
  <c r="U94" i="30"/>
  <c r="T96" i="30"/>
  <c r="T94" i="30"/>
  <c r="S96" i="30"/>
  <c r="S94" i="30"/>
  <c r="R56" i="30"/>
  <c r="H96" i="30" s="1"/>
  <c r="M56" i="30"/>
  <c r="M55" i="30"/>
  <c r="D96" i="30" s="1"/>
  <c r="L56" i="30"/>
  <c r="L55" i="30"/>
  <c r="C96" i="30" s="1"/>
  <c r="K56" i="30"/>
  <c r="K55" i="30"/>
  <c r="B96" i="30" s="1"/>
  <c r="R55" i="30"/>
  <c r="U204" i="5"/>
  <c r="U202" i="5"/>
  <c r="T204" i="5"/>
  <c r="T202" i="5"/>
  <c r="S204" i="5"/>
  <c r="S202" i="5"/>
  <c r="M133" i="5"/>
  <c r="N133" i="5"/>
  <c r="R133" i="5"/>
  <c r="R132" i="5"/>
  <c r="J204" i="5" s="1"/>
  <c r="K133" i="5"/>
  <c r="L133" i="5"/>
  <c r="K132" i="5"/>
  <c r="L132" i="5"/>
  <c r="M132" i="5"/>
  <c r="D204" i="5" s="1"/>
  <c r="R134" i="17"/>
  <c r="K134" i="17"/>
  <c r="L134" i="17"/>
  <c r="M134" i="17"/>
  <c r="R132" i="17"/>
  <c r="K132" i="17"/>
  <c r="B206" i="17" s="1"/>
  <c r="L132" i="17"/>
  <c r="C206" i="17" s="1"/>
  <c r="M132" i="17"/>
  <c r="D206" i="17" s="1"/>
  <c r="U209" i="18"/>
  <c r="T209" i="18"/>
  <c r="S209" i="18"/>
  <c r="W209" i="18" s="1"/>
  <c r="L209" i="18"/>
  <c r="J209" i="18"/>
  <c r="H209" i="18"/>
  <c r="B209" i="18"/>
  <c r="K137" i="18"/>
  <c r="L137" i="18"/>
  <c r="M137" i="18"/>
  <c r="N137" i="18"/>
  <c r="K136" i="18"/>
  <c r="L136" i="18"/>
  <c r="C209" i="18" s="1"/>
  <c r="M136" i="18"/>
  <c r="D209" i="18" s="1"/>
  <c r="U182" i="20"/>
  <c r="T182" i="20"/>
  <c r="S182" i="20"/>
  <c r="L182" i="20"/>
  <c r="J182" i="20"/>
  <c r="H182" i="20"/>
  <c r="B182" i="20"/>
  <c r="N182" i="20"/>
  <c r="W182" i="20"/>
  <c r="K118" i="20"/>
  <c r="N118" i="20" s="1"/>
  <c r="L118" i="20"/>
  <c r="M118" i="20"/>
  <c r="K117" i="20"/>
  <c r="L117" i="20"/>
  <c r="C182" i="20" s="1"/>
  <c r="M117" i="20"/>
  <c r="D182" i="20" s="1"/>
  <c r="U204" i="21"/>
  <c r="T204" i="21"/>
  <c r="S204" i="21"/>
  <c r="W204" i="21" s="1"/>
  <c r="L204" i="21"/>
  <c r="R131" i="21"/>
  <c r="K131" i="21"/>
  <c r="L131" i="21"/>
  <c r="M131" i="21"/>
  <c r="R130" i="21"/>
  <c r="J204" i="21" s="1"/>
  <c r="K130" i="21"/>
  <c r="L130" i="21"/>
  <c r="C204" i="21" s="1"/>
  <c r="M130" i="21"/>
  <c r="D204" i="21" s="1"/>
  <c r="U221" i="9"/>
  <c r="T221" i="9"/>
  <c r="S221" i="9"/>
  <c r="U112" i="34"/>
  <c r="T112" i="34"/>
  <c r="S112" i="34"/>
  <c r="L112" i="34"/>
  <c r="J112" i="34"/>
  <c r="H112" i="34"/>
  <c r="K71" i="34"/>
  <c r="L71" i="34"/>
  <c r="M71" i="34"/>
  <c r="K70" i="34"/>
  <c r="B112" i="34" s="1"/>
  <c r="L70" i="34"/>
  <c r="C112" i="34" s="1"/>
  <c r="M70" i="34"/>
  <c r="R72" i="33"/>
  <c r="K72" i="33"/>
  <c r="L72" i="33"/>
  <c r="M72" i="33"/>
  <c r="R71" i="33"/>
  <c r="K71" i="33"/>
  <c r="N71" i="33" s="1"/>
  <c r="L71" i="33"/>
  <c r="M71" i="33"/>
  <c r="R70" i="33"/>
  <c r="K70" i="33"/>
  <c r="L70" i="33"/>
  <c r="M70" i="33"/>
  <c r="R149" i="9"/>
  <c r="K149" i="9"/>
  <c r="L149" i="9"/>
  <c r="M149" i="9"/>
  <c r="R148" i="9"/>
  <c r="K148" i="9"/>
  <c r="L148" i="9"/>
  <c r="M148" i="9"/>
  <c r="R147" i="9"/>
  <c r="K147" i="9"/>
  <c r="L147" i="9"/>
  <c r="M147" i="9"/>
  <c r="R146" i="9"/>
  <c r="L221" i="9" s="1"/>
  <c r="K146" i="9"/>
  <c r="B221" i="9" s="1"/>
  <c r="L146" i="9"/>
  <c r="C221" i="9" s="1"/>
  <c r="M146" i="9"/>
  <c r="R140" i="3"/>
  <c r="M140" i="3"/>
  <c r="L140" i="3"/>
  <c r="K140" i="3"/>
  <c r="R139" i="3"/>
  <c r="M139" i="3"/>
  <c r="D214" i="3" s="1"/>
  <c r="L139" i="3"/>
  <c r="K139" i="3"/>
  <c r="B214" i="3" s="1"/>
  <c r="U206" i="2"/>
  <c r="T206" i="2"/>
  <c r="S206" i="2"/>
  <c r="J206" i="2"/>
  <c r="H206" i="2"/>
  <c r="R134" i="2"/>
  <c r="M134" i="2"/>
  <c r="L134" i="2"/>
  <c r="K134" i="2"/>
  <c r="R133" i="2"/>
  <c r="M133" i="2"/>
  <c r="L133" i="2"/>
  <c r="K133" i="2"/>
  <c r="R132" i="2"/>
  <c r="M132" i="2"/>
  <c r="L132" i="2"/>
  <c r="K132" i="2"/>
  <c r="U209" i="1"/>
  <c r="T209" i="1"/>
  <c r="S209" i="1"/>
  <c r="K156" i="10"/>
  <c r="M156" i="10"/>
  <c r="L156" i="10"/>
  <c r="K154" i="10"/>
  <c r="L154" i="10"/>
  <c r="M154" i="10"/>
  <c r="R139" i="1"/>
  <c r="R138" i="1"/>
  <c r="R137" i="1"/>
  <c r="K139" i="1"/>
  <c r="K137" i="1"/>
  <c r="L137" i="1"/>
  <c r="M137" i="1"/>
  <c r="K138" i="1"/>
  <c r="L138" i="1"/>
  <c r="M138" i="1"/>
  <c r="L139" i="1"/>
  <c r="M139" i="1"/>
  <c r="D209" i="1" s="1"/>
  <c r="K135" i="1"/>
  <c r="S208" i="1"/>
  <c r="D223" i="15" l="1"/>
  <c r="W223" i="15"/>
  <c r="C223" i="15"/>
  <c r="D206" i="2"/>
  <c r="W112" i="33"/>
  <c r="C122" i="37"/>
  <c r="D122" i="37"/>
  <c r="L122" i="37"/>
  <c r="J122" i="37"/>
  <c r="H122" i="37"/>
  <c r="L144" i="36"/>
  <c r="N101" i="36"/>
  <c r="N103" i="36"/>
  <c r="W144" i="36"/>
  <c r="B144" i="36"/>
  <c r="H144" i="36"/>
  <c r="J144" i="36"/>
  <c r="N106" i="35"/>
  <c r="D151" i="35"/>
  <c r="W151" i="35"/>
  <c r="C151" i="35"/>
  <c r="N105" i="35"/>
  <c r="B151" i="35"/>
  <c r="N107" i="35"/>
  <c r="D221" i="9"/>
  <c r="H221" i="9"/>
  <c r="N148" i="15"/>
  <c r="J223" i="15"/>
  <c r="H223" i="15"/>
  <c r="W215" i="8"/>
  <c r="C213" i="23"/>
  <c r="N135" i="23"/>
  <c r="B213" i="23"/>
  <c r="L213" i="23"/>
  <c r="D213" i="23"/>
  <c r="E213" i="23" s="1"/>
  <c r="H213" i="23"/>
  <c r="N136" i="23"/>
  <c r="J213" i="23"/>
  <c r="N137" i="23"/>
  <c r="C203" i="24"/>
  <c r="D203" i="24"/>
  <c r="N131" i="24"/>
  <c r="N130" i="24"/>
  <c r="C206" i="25"/>
  <c r="N132" i="25"/>
  <c r="N133" i="25"/>
  <c r="N131" i="25"/>
  <c r="D206" i="25"/>
  <c r="L206" i="25"/>
  <c r="D166" i="26"/>
  <c r="C166" i="26"/>
  <c r="H166" i="26"/>
  <c r="N166" i="26" s="1"/>
  <c r="N96" i="26"/>
  <c r="D117" i="38"/>
  <c r="B117" i="38"/>
  <c r="C117" i="38"/>
  <c r="J117" i="38"/>
  <c r="H117" i="38"/>
  <c r="L117" i="38"/>
  <c r="L174" i="16"/>
  <c r="J174" i="16"/>
  <c r="N136" i="18"/>
  <c r="E182" i="20"/>
  <c r="N117" i="20"/>
  <c r="N130" i="21"/>
  <c r="N131" i="21"/>
  <c r="H204" i="21"/>
  <c r="B204" i="21"/>
  <c r="D112" i="34"/>
  <c r="E112" i="34" s="1"/>
  <c r="N71" i="34"/>
  <c r="N70" i="34"/>
  <c r="N112" i="34"/>
  <c r="C112" i="33"/>
  <c r="N70" i="33"/>
  <c r="J112" i="33"/>
  <c r="B112" i="33"/>
  <c r="D112" i="33"/>
  <c r="J221" i="9"/>
  <c r="B228" i="10"/>
  <c r="C228" i="10"/>
  <c r="D228" i="10"/>
  <c r="N203" i="12"/>
  <c r="N132" i="12"/>
  <c r="B203" i="12"/>
  <c r="E203" i="12" s="1"/>
  <c r="W219" i="13"/>
  <c r="D219" i="13"/>
  <c r="E219" i="13" s="1"/>
  <c r="J219" i="13"/>
  <c r="H219" i="13"/>
  <c r="N219" i="13" s="1"/>
  <c r="J110" i="31"/>
  <c r="C110" i="31"/>
  <c r="W110" i="31"/>
  <c r="H110" i="31"/>
  <c r="B110" i="31"/>
  <c r="C203" i="7"/>
  <c r="D203" i="7"/>
  <c r="H203" i="7"/>
  <c r="L203" i="7"/>
  <c r="N203" i="7" s="1"/>
  <c r="W203" i="7"/>
  <c r="N133" i="7"/>
  <c r="E96" i="30"/>
  <c r="L96" i="30"/>
  <c r="W158" i="6"/>
  <c r="D158" i="6"/>
  <c r="B158" i="6"/>
  <c r="H158" i="6"/>
  <c r="N158" i="6" s="1"/>
  <c r="W155" i="6"/>
  <c r="L158" i="6"/>
  <c r="B204" i="5"/>
  <c r="C204" i="5"/>
  <c r="E122" i="28"/>
  <c r="C214" i="3"/>
  <c r="E214" i="3" s="1"/>
  <c r="C206" i="2"/>
  <c r="N134" i="2"/>
  <c r="W206" i="2"/>
  <c r="J209" i="1"/>
  <c r="L209" i="1"/>
  <c r="B209" i="1"/>
  <c r="W209" i="1"/>
  <c r="N139" i="1"/>
  <c r="H209" i="1"/>
  <c r="N209" i="1" s="1"/>
  <c r="N216" i="22"/>
  <c r="H206" i="25"/>
  <c r="J206" i="25"/>
  <c r="N134" i="25"/>
  <c r="H206" i="17"/>
  <c r="N206" i="17" s="1"/>
  <c r="J206" i="17"/>
  <c r="L206" i="17"/>
  <c r="L215" i="8"/>
  <c r="B215" i="8"/>
  <c r="J215" i="8"/>
  <c r="H215" i="8"/>
  <c r="D110" i="31"/>
  <c r="N68" i="31"/>
  <c r="N132" i="2"/>
  <c r="B206" i="2"/>
  <c r="N67" i="31"/>
  <c r="J96" i="30"/>
  <c r="N96" i="30" s="1"/>
  <c r="W96" i="30"/>
  <c r="E204" i="5"/>
  <c r="I214" i="3"/>
  <c r="K214" i="3"/>
  <c r="W214" i="3"/>
  <c r="L214" i="3"/>
  <c r="H214" i="3"/>
  <c r="J214" i="3"/>
  <c r="M214" i="3"/>
  <c r="D215" i="8"/>
  <c r="N143" i="8"/>
  <c r="N122" i="28"/>
  <c r="N72" i="33"/>
  <c r="H204" i="5"/>
  <c r="L204" i="5"/>
  <c r="W204" i="5"/>
  <c r="N73" i="38"/>
  <c r="N56" i="30"/>
  <c r="N154" i="10"/>
  <c r="N227" i="10"/>
  <c r="N76" i="38"/>
  <c r="N76" i="37"/>
  <c r="E122" i="37"/>
  <c r="N132" i="17"/>
  <c r="N134" i="17"/>
  <c r="W206" i="17"/>
  <c r="E206" i="17"/>
  <c r="H112" i="33"/>
  <c r="W216" i="22"/>
  <c r="E216" i="22"/>
  <c r="W228" i="10"/>
  <c r="N228" i="10"/>
  <c r="W227" i="10"/>
  <c r="N156" i="10"/>
  <c r="W122" i="37"/>
  <c r="N79" i="37"/>
  <c r="N102" i="36"/>
  <c r="N98" i="36"/>
  <c r="N100" i="36"/>
  <c r="N99" i="36"/>
  <c r="W117" i="38"/>
  <c r="N74" i="38"/>
  <c r="W166" i="26"/>
  <c r="E166" i="26"/>
  <c r="W206" i="25"/>
  <c r="E206" i="25"/>
  <c r="N130" i="25"/>
  <c r="N148" i="13"/>
  <c r="W203" i="24"/>
  <c r="N203" i="24"/>
  <c r="E203" i="24"/>
  <c r="W213" i="23"/>
  <c r="N134" i="23"/>
  <c r="W174" i="16"/>
  <c r="E174" i="16"/>
  <c r="N102" i="16"/>
  <c r="N151" i="35"/>
  <c r="N147" i="15"/>
  <c r="N144" i="8"/>
  <c r="N132" i="7"/>
  <c r="N105" i="6"/>
  <c r="N106" i="6"/>
  <c r="N55" i="30"/>
  <c r="N132" i="5"/>
  <c r="N209" i="18"/>
  <c r="E209" i="18"/>
  <c r="N204" i="21"/>
  <c r="E204" i="21"/>
  <c r="W221" i="9"/>
  <c r="E221" i="9"/>
  <c r="W112" i="34"/>
  <c r="N148" i="9"/>
  <c r="N149" i="9"/>
  <c r="N146" i="9"/>
  <c r="N147" i="9"/>
  <c r="N139" i="3"/>
  <c r="N140" i="3"/>
  <c r="N206" i="2"/>
  <c r="N133" i="2"/>
  <c r="N138" i="1"/>
  <c r="N137" i="1"/>
  <c r="U143" i="36"/>
  <c r="T143" i="36"/>
  <c r="S143" i="36"/>
  <c r="R133" i="11"/>
  <c r="M133" i="11"/>
  <c r="L133" i="11"/>
  <c r="K133" i="11"/>
  <c r="T215" i="22"/>
  <c r="S215" i="22"/>
  <c r="U215" i="22"/>
  <c r="L215" i="22"/>
  <c r="J215" i="22"/>
  <c r="H215" i="22"/>
  <c r="K143" i="22"/>
  <c r="L143" i="22"/>
  <c r="M143" i="22"/>
  <c r="K142" i="22"/>
  <c r="L142" i="22"/>
  <c r="M142" i="22"/>
  <c r="U212" i="23"/>
  <c r="T212" i="23"/>
  <c r="S212" i="23"/>
  <c r="R133" i="23"/>
  <c r="R132" i="23"/>
  <c r="R131" i="23"/>
  <c r="R130" i="23"/>
  <c r="K133" i="23"/>
  <c r="L133" i="23"/>
  <c r="M133" i="23"/>
  <c r="K132" i="23"/>
  <c r="L132" i="23"/>
  <c r="M132" i="23"/>
  <c r="K131" i="23"/>
  <c r="L131" i="23"/>
  <c r="M131" i="23"/>
  <c r="K130" i="23"/>
  <c r="L130" i="23"/>
  <c r="M130" i="23"/>
  <c r="U205" i="25"/>
  <c r="T205" i="25"/>
  <c r="S205" i="25"/>
  <c r="R129" i="25"/>
  <c r="R128" i="25"/>
  <c r="K129" i="25"/>
  <c r="L129" i="25"/>
  <c r="M129" i="25"/>
  <c r="K128" i="25"/>
  <c r="L128" i="25"/>
  <c r="M128" i="25"/>
  <c r="T202" i="24"/>
  <c r="U202" i="24"/>
  <c r="S202" i="24"/>
  <c r="S201" i="24"/>
  <c r="R129" i="24"/>
  <c r="R128" i="24"/>
  <c r="L129" i="24"/>
  <c r="M129" i="24"/>
  <c r="K128" i="24"/>
  <c r="L128" i="24"/>
  <c r="M128" i="24"/>
  <c r="U165" i="26"/>
  <c r="T165" i="26"/>
  <c r="S165" i="26"/>
  <c r="R94" i="26"/>
  <c r="K94" i="26"/>
  <c r="L94" i="26"/>
  <c r="M94" i="26"/>
  <c r="R93" i="26"/>
  <c r="J165" i="26" s="1"/>
  <c r="K93" i="26"/>
  <c r="L93" i="26"/>
  <c r="M93" i="26"/>
  <c r="E223" i="15" l="1"/>
  <c r="N223" i="15"/>
  <c r="E206" i="2"/>
  <c r="N112" i="33"/>
  <c r="E112" i="33"/>
  <c r="N122" i="37"/>
  <c r="N144" i="36"/>
  <c r="E144" i="36"/>
  <c r="E151" i="35"/>
  <c r="N221" i="9"/>
  <c r="N110" i="31"/>
  <c r="E215" i="8"/>
  <c r="N213" i="23"/>
  <c r="H202" i="24"/>
  <c r="N206" i="25"/>
  <c r="D205" i="25"/>
  <c r="L205" i="25"/>
  <c r="N174" i="16"/>
  <c r="E228" i="10"/>
  <c r="E110" i="31"/>
  <c r="E203" i="7"/>
  <c r="E158" i="6"/>
  <c r="E209" i="1"/>
  <c r="N215" i="8"/>
  <c r="N214" i="3"/>
  <c r="N204" i="5"/>
  <c r="E117" i="38"/>
  <c r="N117" i="38"/>
  <c r="N128" i="25"/>
  <c r="C205" i="25"/>
  <c r="W205" i="25"/>
  <c r="N128" i="24"/>
  <c r="W165" i="26"/>
  <c r="N143" i="22"/>
  <c r="W215" i="22"/>
  <c r="N215" i="22"/>
  <c r="J212" i="23"/>
  <c r="N94" i="26"/>
  <c r="D202" i="24"/>
  <c r="D212" i="23"/>
  <c r="N132" i="23"/>
  <c r="W212" i="23"/>
  <c r="W116" i="38"/>
  <c r="B215" i="22"/>
  <c r="E215" i="22" s="1"/>
  <c r="N133" i="11"/>
  <c r="N129" i="24"/>
  <c r="C212" i="23"/>
  <c r="H205" i="25"/>
  <c r="B212" i="23"/>
  <c r="J205" i="25"/>
  <c r="B165" i="26"/>
  <c r="J202" i="24"/>
  <c r="L165" i="26"/>
  <c r="C202" i="24"/>
  <c r="N131" i="23"/>
  <c r="H212" i="23"/>
  <c r="D215" i="22"/>
  <c r="D165" i="26"/>
  <c r="H165" i="26"/>
  <c r="W202" i="24"/>
  <c r="C215" i="22"/>
  <c r="C165" i="26"/>
  <c r="N129" i="25"/>
  <c r="N130" i="23"/>
  <c r="W143" i="36"/>
  <c r="N142" i="22"/>
  <c r="L212" i="23"/>
  <c r="N133" i="23"/>
  <c r="B205" i="25"/>
  <c r="B202" i="24"/>
  <c r="L202" i="24"/>
  <c r="N93" i="26"/>
  <c r="R71" i="38"/>
  <c r="K71" i="38"/>
  <c r="L71" i="38"/>
  <c r="M71" i="38"/>
  <c r="R70" i="38"/>
  <c r="K70" i="38"/>
  <c r="L70" i="38"/>
  <c r="M70" i="38"/>
  <c r="U121" i="37"/>
  <c r="T121" i="37"/>
  <c r="S121" i="37"/>
  <c r="R75" i="37"/>
  <c r="R74" i="37"/>
  <c r="M75" i="37"/>
  <c r="K75" i="37"/>
  <c r="L75" i="37"/>
  <c r="U150" i="35"/>
  <c r="T150" i="35"/>
  <c r="S150" i="35"/>
  <c r="K104" i="35"/>
  <c r="L104" i="35"/>
  <c r="M104" i="35"/>
  <c r="K103" i="35"/>
  <c r="L103" i="35"/>
  <c r="M103" i="35"/>
  <c r="N165" i="26" l="1"/>
  <c r="E205" i="25"/>
  <c r="E202" i="24"/>
  <c r="N202" i="24"/>
  <c r="E212" i="23"/>
  <c r="W150" i="35"/>
  <c r="N104" i="35"/>
  <c r="N75" i="37"/>
  <c r="N205" i="25"/>
  <c r="E165" i="26"/>
  <c r="N103" i="35"/>
  <c r="N212" i="23"/>
  <c r="J121" i="37"/>
  <c r="H121" i="37"/>
  <c r="W121" i="37"/>
  <c r="L121" i="37"/>
  <c r="E116" i="38"/>
  <c r="N71" i="38"/>
  <c r="U208" i="18"/>
  <c r="T208" i="18"/>
  <c r="S208" i="18"/>
  <c r="R134" i="18"/>
  <c r="R133" i="18"/>
  <c r="K133" i="18"/>
  <c r="L133" i="18"/>
  <c r="M133" i="18"/>
  <c r="K74" i="37"/>
  <c r="B121" i="37" s="1"/>
  <c r="L74" i="37"/>
  <c r="C121" i="37" s="1"/>
  <c r="M74" i="37"/>
  <c r="D121" i="37" s="1"/>
  <c r="R97" i="36"/>
  <c r="K97" i="36"/>
  <c r="L97" i="36"/>
  <c r="M97" i="36"/>
  <c r="K96" i="36"/>
  <c r="L96" i="36"/>
  <c r="M96" i="36"/>
  <c r="R95" i="36"/>
  <c r="R96" i="36"/>
  <c r="K95" i="36"/>
  <c r="L95" i="36"/>
  <c r="M95" i="36"/>
  <c r="T173" i="16"/>
  <c r="U173" i="16"/>
  <c r="S173" i="16"/>
  <c r="R101" i="16"/>
  <c r="R100" i="16"/>
  <c r="L101" i="16"/>
  <c r="M101" i="16"/>
  <c r="K101" i="16"/>
  <c r="K100" i="16"/>
  <c r="L100" i="16"/>
  <c r="M100" i="16"/>
  <c r="R102" i="35"/>
  <c r="K102" i="35"/>
  <c r="B150" i="35" s="1"/>
  <c r="L102" i="35"/>
  <c r="C150" i="35" s="1"/>
  <c r="M102" i="35"/>
  <c r="D150" i="35" s="1"/>
  <c r="U205" i="17"/>
  <c r="T205" i="17"/>
  <c r="S205" i="17"/>
  <c r="K131" i="17"/>
  <c r="L131" i="17"/>
  <c r="M131" i="17"/>
  <c r="R130" i="17"/>
  <c r="R131" i="17"/>
  <c r="K130" i="17"/>
  <c r="L130" i="17"/>
  <c r="M130" i="17"/>
  <c r="K134" i="18"/>
  <c r="M134" i="18"/>
  <c r="M135" i="18"/>
  <c r="L134" i="18"/>
  <c r="L135" i="18"/>
  <c r="K135" i="18"/>
  <c r="R132" i="18"/>
  <c r="K132" i="18"/>
  <c r="L132" i="18"/>
  <c r="M132" i="18"/>
  <c r="U214" i="19"/>
  <c r="T214" i="19"/>
  <c r="S214" i="19"/>
  <c r="M137" i="19"/>
  <c r="K137" i="19"/>
  <c r="L137" i="19"/>
  <c r="R136" i="19"/>
  <c r="R137" i="19"/>
  <c r="K136" i="19"/>
  <c r="L136" i="19"/>
  <c r="M136" i="19"/>
  <c r="R135" i="19"/>
  <c r="M135" i="19"/>
  <c r="K135" i="19"/>
  <c r="L135" i="19"/>
  <c r="R134" i="19"/>
  <c r="K134" i="19"/>
  <c r="L134" i="19"/>
  <c r="M134" i="19"/>
  <c r="U181" i="20"/>
  <c r="T181" i="20"/>
  <c r="S181" i="20"/>
  <c r="K116" i="20"/>
  <c r="L116" i="20"/>
  <c r="M116" i="20"/>
  <c r="K115" i="20"/>
  <c r="L115" i="20"/>
  <c r="M115" i="20"/>
  <c r="R114" i="20"/>
  <c r="L181" i="20" s="1"/>
  <c r="K114" i="20"/>
  <c r="B181" i="20" s="1"/>
  <c r="L114" i="20"/>
  <c r="M114" i="20"/>
  <c r="U203" i="21"/>
  <c r="T203" i="21"/>
  <c r="S203" i="21"/>
  <c r="R129" i="21"/>
  <c r="K129" i="21"/>
  <c r="L129" i="21"/>
  <c r="M129" i="21"/>
  <c r="R128" i="21"/>
  <c r="K128" i="21"/>
  <c r="L128" i="21"/>
  <c r="M128" i="21"/>
  <c r="U111" i="34"/>
  <c r="T111" i="34"/>
  <c r="S111" i="34"/>
  <c r="R69" i="34"/>
  <c r="K69" i="34"/>
  <c r="L69" i="34"/>
  <c r="M69" i="34"/>
  <c r="R68" i="34"/>
  <c r="K68" i="34"/>
  <c r="B111" i="34" s="1"/>
  <c r="L68" i="34"/>
  <c r="M68" i="34"/>
  <c r="U220" i="9"/>
  <c r="T220" i="9"/>
  <c r="S220" i="9"/>
  <c r="R145" i="9"/>
  <c r="K145" i="9"/>
  <c r="L145" i="9"/>
  <c r="M145" i="9"/>
  <c r="R144" i="9"/>
  <c r="K144" i="9"/>
  <c r="L144" i="9"/>
  <c r="M144" i="9"/>
  <c r="U111" i="33"/>
  <c r="T111" i="33"/>
  <c r="S111" i="33"/>
  <c r="R68" i="33"/>
  <c r="R69" i="33"/>
  <c r="K69" i="33"/>
  <c r="L69" i="33"/>
  <c r="M69" i="33"/>
  <c r="K68" i="33"/>
  <c r="L68" i="33"/>
  <c r="M68" i="33"/>
  <c r="S225" i="10"/>
  <c r="M153" i="10"/>
  <c r="K153" i="10"/>
  <c r="L153" i="10"/>
  <c r="K152" i="10"/>
  <c r="L152" i="10"/>
  <c r="M152" i="10"/>
  <c r="L203" i="21" l="1"/>
  <c r="B227" i="10"/>
  <c r="D227" i="10"/>
  <c r="C227" i="10"/>
  <c r="C205" i="17"/>
  <c r="L205" i="17"/>
  <c r="L208" i="18"/>
  <c r="C111" i="33"/>
  <c r="H205" i="17"/>
  <c r="W208" i="18"/>
  <c r="N121" i="37"/>
  <c r="C111" i="34"/>
  <c r="D208" i="18"/>
  <c r="N97" i="36"/>
  <c r="N133" i="18"/>
  <c r="H208" i="18"/>
  <c r="B111" i="33"/>
  <c r="C181" i="20"/>
  <c r="C208" i="18"/>
  <c r="H111" i="33"/>
  <c r="L220" i="9"/>
  <c r="D111" i="34"/>
  <c r="W181" i="20"/>
  <c r="B208" i="18"/>
  <c r="D205" i="17"/>
  <c r="N95" i="36"/>
  <c r="B143" i="36"/>
  <c r="H143" i="36"/>
  <c r="J143" i="36"/>
  <c r="L143" i="36"/>
  <c r="C143" i="36"/>
  <c r="N96" i="36"/>
  <c r="N116" i="38"/>
  <c r="E121" i="37"/>
  <c r="E150" i="35"/>
  <c r="L150" i="35"/>
  <c r="J150" i="35"/>
  <c r="H150" i="35"/>
  <c r="J208" i="18"/>
  <c r="N208" i="18" s="1"/>
  <c r="N134" i="18"/>
  <c r="N74" i="37"/>
  <c r="N102" i="35"/>
  <c r="L111" i="33"/>
  <c r="J173" i="16"/>
  <c r="N68" i="33"/>
  <c r="N135" i="18"/>
  <c r="W173" i="16"/>
  <c r="D214" i="19"/>
  <c r="W205" i="17"/>
  <c r="N134" i="19"/>
  <c r="N136" i="19"/>
  <c r="J205" i="17"/>
  <c r="B173" i="16"/>
  <c r="J214" i="19"/>
  <c r="N153" i="10"/>
  <c r="L111" i="34"/>
  <c r="H203" i="21"/>
  <c r="D173" i="16"/>
  <c r="C203" i="21"/>
  <c r="J203" i="21"/>
  <c r="C173" i="16"/>
  <c r="N152" i="10"/>
  <c r="D220" i="9"/>
  <c r="W220" i="9"/>
  <c r="N69" i="34"/>
  <c r="N115" i="20"/>
  <c r="D111" i="33"/>
  <c r="C220" i="9"/>
  <c r="N137" i="19"/>
  <c r="N101" i="16"/>
  <c r="J111" i="33"/>
  <c r="C214" i="19"/>
  <c r="L214" i="19"/>
  <c r="N131" i="17"/>
  <c r="N69" i="33"/>
  <c r="N129" i="21"/>
  <c r="D181" i="20"/>
  <c r="B214" i="19"/>
  <c r="W214" i="19"/>
  <c r="L173" i="16"/>
  <c r="N145" i="9"/>
  <c r="D203" i="21"/>
  <c r="H173" i="16"/>
  <c r="N100" i="16"/>
  <c r="N130" i="17"/>
  <c r="B205" i="17"/>
  <c r="N132" i="18"/>
  <c r="N135" i="19"/>
  <c r="H214" i="19"/>
  <c r="N116" i="20"/>
  <c r="H181" i="20"/>
  <c r="J181" i="20"/>
  <c r="N114" i="20"/>
  <c r="N128" i="21"/>
  <c r="B203" i="21"/>
  <c r="W203" i="21"/>
  <c r="N68" i="34"/>
  <c r="H111" i="34"/>
  <c r="J111" i="34"/>
  <c r="W111" i="34"/>
  <c r="N144" i="9"/>
  <c r="H220" i="9"/>
  <c r="B220" i="9"/>
  <c r="J220" i="9"/>
  <c r="W111" i="33"/>
  <c r="R132" i="11"/>
  <c r="K132" i="11"/>
  <c r="B205" i="11" s="1"/>
  <c r="L132" i="11"/>
  <c r="C205" i="11" s="1"/>
  <c r="M132" i="11"/>
  <c r="D205" i="11" s="1"/>
  <c r="U202" i="12"/>
  <c r="T202" i="12"/>
  <c r="S202" i="12"/>
  <c r="L202" i="12"/>
  <c r="J202" i="12"/>
  <c r="H202" i="12"/>
  <c r="R128" i="12"/>
  <c r="R129" i="12"/>
  <c r="R130" i="12"/>
  <c r="R131" i="12"/>
  <c r="K131" i="12"/>
  <c r="N131" i="12" s="1"/>
  <c r="L131" i="12"/>
  <c r="M131" i="12"/>
  <c r="K130" i="12"/>
  <c r="L130" i="12"/>
  <c r="M130" i="12"/>
  <c r="N150" i="35" l="1"/>
  <c r="E111" i="34"/>
  <c r="E227" i="10"/>
  <c r="L205" i="11"/>
  <c r="J205" i="11"/>
  <c r="H205" i="11"/>
  <c r="N205" i="17"/>
  <c r="E208" i="18"/>
  <c r="N111" i="33"/>
  <c r="E111" i="33"/>
  <c r="C202" i="12"/>
  <c r="E203" i="21"/>
  <c r="E173" i="16"/>
  <c r="E220" i="9"/>
  <c r="D202" i="12"/>
  <c r="N143" i="36"/>
  <c r="E143" i="36"/>
  <c r="W205" i="11"/>
  <c r="N111" i="34"/>
  <c r="E205" i="17"/>
  <c r="E214" i="19"/>
  <c r="N203" i="21"/>
  <c r="E181" i="20"/>
  <c r="N173" i="16"/>
  <c r="N214" i="19"/>
  <c r="N181" i="20"/>
  <c r="N220" i="9"/>
  <c r="N132" i="11"/>
  <c r="N130" i="12"/>
  <c r="B202" i="12"/>
  <c r="W202" i="12"/>
  <c r="N202" i="12"/>
  <c r="U222" i="15"/>
  <c r="T222" i="15"/>
  <c r="S222" i="15"/>
  <c r="S219" i="15"/>
  <c r="R146" i="15"/>
  <c r="K146" i="15"/>
  <c r="L146" i="15"/>
  <c r="M146" i="15"/>
  <c r="N205" i="11" l="1"/>
  <c r="E202" i="12"/>
  <c r="E205" i="11"/>
  <c r="W222" i="15"/>
  <c r="N146" i="15"/>
  <c r="R145" i="15"/>
  <c r="M145" i="15"/>
  <c r="K145" i="15"/>
  <c r="L145" i="15"/>
  <c r="N145" i="15" l="1"/>
  <c r="T109" i="31"/>
  <c r="S113" i="32" l="1"/>
  <c r="U113" i="32"/>
  <c r="T113" i="32"/>
  <c r="R71" i="32"/>
  <c r="K71" i="32"/>
  <c r="L71" i="32"/>
  <c r="M71" i="32"/>
  <c r="R70" i="32"/>
  <c r="K70" i="32"/>
  <c r="L70" i="32"/>
  <c r="M70" i="32"/>
  <c r="S218" i="13"/>
  <c r="U218" i="13"/>
  <c r="T218" i="13"/>
  <c r="S205" i="14"/>
  <c r="B205" i="14"/>
  <c r="R146" i="13"/>
  <c r="R147" i="13"/>
  <c r="K147" i="13"/>
  <c r="L147" i="13"/>
  <c r="M147" i="13"/>
  <c r="K146" i="13"/>
  <c r="L146" i="13"/>
  <c r="M146" i="13"/>
  <c r="U205" i="14"/>
  <c r="T205" i="14"/>
  <c r="R134" i="14"/>
  <c r="R133" i="14"/>
  <c r="M133" i="14"/>
  <c r="M134" i="14"/>
  <c r="L134" i="14"/>
  <c r="L133" i="14"/>
  <c r="R144" i="15"/>
  <c r="K144" i="15"/>
  <c r="B222" i="15" s="1"/>
  <c r="K143" i="15"/>
  <c r="L144" i="15"/>
  <c r="C222" i="15" s="1"/>
  <c r="M144" i="15"/>
  <c r="D222" i="15" s="1"/>
  <c r="U214" i="8"/>
  <c r="T214" i="8"/>
  <c r="T213" i="8"/>
  <c r="S214" i="8"/>
  <c r="R141" i="8"/>
  <c r="R142" i="8"/>
  <c r="L142" i="8"/>
  <c r="N142" i="8" s="1"/>
  <c r="K141" i="8"/>
  <c r="M141" i="8"/>
  <c r="U109" i="31"/>
  <c r="S109" i="31"/>
  <c r="R65" i="31"/>
  <c r="R66" i="31"/>
  <c r="K66" i="31"/>
  <c r="L66" i="31"/>
  <c r="M66" i="31"/>
  <c r="K65" i="31"/>
  <c r="L65" i="31"/>
  <c r="M65" i="31"/>
  <c r="U202" i="7"/>
  <c r="T202" i="7"/>
  <c r="S202" i="7"/>
  <c r="R130" i="7"/>
  <c r="R131" i="7"/>
  <c r="M131" i="7"/>
  <c r="K131" i="7"/>
  <c r="L131" i="7"/>
  <c r="K130" i="7"/>
  <c r="L130" i="7"/>
  <c r="M130" i="7"/>
  <c r="U115" i="29"/>
  <c r="T115" i="29"/>
  <c r="S115" i="29"/>
  <c r="R73" i="29"/>
  <c r="R74" i="29"/>
  <c r="K74" i="29"/>
  <c r="L74" i="29"/>
  <c r="M74" i="29"/>
  <c r="K73" i="29"/>
  <c r="L73" i="29"/>
  <c r="M73" i="29"/>
  <c r="U157" i="6"/>
  <c r="T157" i="6"/>
  <c r="S157" i="6"/>
  <c r="R104" i="6"/>
  <c r="K104" i="6"/>
  <c r="L104" i="6"/>
  <c r="M104" i="6"/>
  <c r="R103" i="6"/>
  <c r="K103" i="6"/>
  <c r="L103" i="6"/>
  <c r="M103" i="6"/>
  <c r="U95" i="30"/>
  <c r="T95" i="30"/>
  <c r="S95" i="30"/>
  <c r="R54" i="30"/>
  <c r="K54" i="30"/>
  <c r="L54" i="30"/>
  <c r="M54" i="30"/>
  <c r="R53" i="30"/>
  <c r="M53" i="30"/>
  <c r="K53" i="30"/>
  <c r="L53" i="30"/>
  <c r="U203" i="5"/>
  <c r="T203" i="5"/>
  <c r="S203" i="5"/>
  <c r="R130" i="5"/>
  <c r="R131" i="5"/>
  <c r="K131" i="5"/>
  <c r="L131" i="5"/>
  <c r="M131" i="5"/>
  <c r="K130" i="5"/>
  <c r="L130" i="5"/>
  <c r="M130" i="5"/>
  <c r="U121" i="28"/>
  <c r="T121" i="28"/>
  <c r="S121" i="28"/>
  <c r="R77" i="28"/>
  <c r="K77" i="28"/>
  <c r="L77" i="28"/>
  <c r="M77" i="28"/>
  <c r="R76" i="28"/>
  <c r="K76" i="28"/>
  <c r="B121" i="28" s="1"/>
  <c r="L76" i="28"/>
  <c r="M76" i="28"/>
  <c r="U213" i="3"/>
  <c r="S213" i="3"/>
  <c r="T213" i="3"/>
  <c r="E222" i="15" l="1"/>
  <c r="W113" i="32"/>
  <c r="D121" i="28"/>
  <c r="J121" i="28"/>
  <c r="H121" i="28"/>
  <c r="C218" i="13"/>
  <c r="N134" i="14"/>
  <c r="D109" i="31"/>
  <c r="W109" i="31"/>
  <c r="L113" i="32"/>
  <c r="N130" i="7"/>
  <c r="L109" i="31"/>
  <c r="L203" i="5"/>
  <c r="J205" i="14"/>
  <c r="N147" i="13"/>
  <c r="D113" i="32"/>
  <c r="B157" i="6"/>
  <c r="C109" i="31"/>
  <c r="C113" i="32"/>
  <c r="D205" i="14"/>
  <c r="W218" i="13"/>
  <c r="H157" i="6"/>
  <c r="J95" i="30"/>
  <c r="C205" i="14"/>
  <c r="D218" i="13"/>
  <c r="H202" i="7"/>
  <c r="N141" i="8"/>
  <c r="H113" i="32"/>
  <c r="L121" i="28"/>
  <c r="C95" i="30"/>
  <c r="D95" i="30"/>
  <c r="J113" i="32"/>
  <c r="H203" i="5"/>
  <c r="D157" i="6"/>
  <c r="L205" i="14"/>
  <c r="W157" i="6"/>
  <c r="J109" i="31"/>
  <c r="L95" i="30"/>
  <c r="C214" i="8"/>
  <c r="W214" i="8"/>
  <c r="H109" i="31"/>
  <c r="B95" i="30"/>
  <c r="C157" i="6"/>
  <c r="W205" i="14"/>
  <c r="L218" i="13"/>
  <c r="N77" i="28"/>
  <c r="H95" i="30"/>
  <c r="N95" i="30" s="1"/>
  <c r="B115" i="29"/>
  <c r="H214" i="8"/>
  <c r="D214" i="8"/>
  <c r="B214" i="8"/>
  <c r="N131" i="7"/>
  <c r="L157" i="6"/>
  <c r="B203" i="5"/>
  <c r="L214" i="8"/>
  <c r="N131" i="5"/>
  <c r="N146" i="13"/>
  <c r="N130" i="5"/>
  <c r="W203" i="5"/>
  <c r="J157" i="6"/>
  <c r="D202" i="7"/>
  <c r="N104" i="6"/>
  <c r="W202" i="7"/>
  <c r="D203" i="5"/>
  <c r="N103" i="6"/>
  <c r="C202" i="7"/>
  <c r="N66" i="31"/>
  <c r="W115" i="29"/>
  <c r="J214" i="8"/>
  <c r="N133" i="14"/>
  <c r="C203" i="5"/>
  <c r="J203" i="5"/>
  <c r="B202" i="7"/>
  <c r="N71" i="32"/>
  <c r="L222" i="15"/>
  <c r="J222" i="15"/>
  <c r="H222" i="15"/>
  <c r="B113" i="32"/>
  <c r="N70" i="32"/>
  <c r="H218" i="13"/>
  <c r="B218" i="13"/>
  <c r="J218" i="13"/>
  <c r="H205" i="14"/>
  <c r="W121" i="28"/>
  <c r="N144" i="15"/>
  <c r="N65" i="31"/>
  <c r="B109" i="31"/>
  <c r="J202" i="7"/>
  <c r="L202" i="7"/>
  <c r="L115" i="29"/>
  <c r="N73" i="29"/>
  <c r="D115" i="29"/>
  <c r="H115" i="29"/>
  <c r="N74" i="29"/>
  <c r="C115" i="29"/>
  <c r="J115" i="29"/>
  <c r="W95" i="30"/>
  <c r="N53" i="30"/>
  <c r="N54" i="30"/>
  <c r="C121" i="28"/>
  <c r="N76" i="28"/>
  <c r="R138" i="3"/>
  <c r="M138" i="3"/>
  <c r="L138" i="3"/>
  <c r="K138" i="3"/>
  <c r="R137" i="3"/>
  <c r="M137" i="3"/>
  <c r="L137" i="3"/>
  <c r="K137" i="3"/>
  <c r="R136" i="3"/>
  <c r="K136" i="3"/>
  <c r="L136" i="3"/>
  <c r="M136" i="3"/>
  <c r="U205" i="2"/>
  <c r="T205" i="2"/>
  <c r="S205" i="2"/>
  <c r="H204" i="2"/>
  <c r="N222" i="15" l="1"/>
  <c r="E214" i="8"/>
  <c r="E157" i="6"/>
  <c r="N214" i="8"/>
  <c r="E113" i="32"/>
  <c r="N205" i="14"/>
  <c r="E95" i="30"/>
  <c r="E121" i="28"/>
  <c r="E218" i="13"/>
  <c r="E205" i="14"/>
  <c r="E109" i="31"/>
  <c r="N157" i="6"/>
  <c r="N203" i="5"/>
  <c r="N113" i="32"/>
  <c r="N137" i="3"/>
  <c r="N138" i="3"/>
  <c r="N109" i="31"/>
  <c r="E202" i="7"/>
  <c r="E203" i="5"/>
  <c r="D213" i="3"/>
  <c r="N121" i="28"/>
  <c r="E115" i="29"/>
  <c r="N115" i="29"/>
  <c r="N218" i="13"/>
  <c r="N202" i="7"/>
  <c r="B213" i="3"/>
  <c r="J213" i="3"/>
  <c r="C213" i="3"/>
  <c r="H213" i="3"/>
  <c r="W213" i="3"/>
  <c r="N136" i="3"/>
  <c r="R131" i="2"/>
  <c r="M131" i="2"/>
  <c r="L131" i="2"/>
  <c r="K131" i="2"/>
  <c r="R130" i="2"/>
  <c r="K130" i="2"/>
  <c r="L130" i="2"/>
  <c r="M130" i="2"/>
  <c r="U208" i="1"/>
  <c r="T208" i="1"/>
  <c r="R136" i="1"/>
  <c r="R135" i="1"/>
  <c r="K136" i="1"/>
  <c r="L136" i="1"/>
  <c r="M136" i="1"/>
  <c r="L135" i="1"/>
  <c r="M135" i="1"/>
  <c r="B205" i="2" l="1"/>
  <c r="D208" i="1"/>
  <c r="B208" i="1"/>
  <c r="N136" i="1"/>
  <c r="W205" i="2"/>
  <c r="E213" i="3"/>
  <c r="C208" i="1"/>
  <c r="J205" i="2"/>
  <c r="L205" i="2"/>
  <c r="H205" i="2"/>
  <c r="N135" i="1"/>
  <c r="L208" i="1"/>
  <c r="J208" i="1"/>
  <c r="H208" i="1"/>
  <c r="W208" i="1"/>
  <c r="D205" i="2"/>
  <c r="C205" i="2"/>
  <c r="N131" i="2"/>
  <c r="N130" i="2"/>
  <c r="S89" i="38"/>
  <c r="N205" i="2" l="1"/>
  <c r="E205" i="2"/>
  <c r="E208" i="1"/>
  <c r="N208" i="1"/>
  <c r="K7" i="38"/>
  <c r="B89" i="38" s="1"/>
  <c r="M7" i="38"/>
  <c r="K8" i="38"/>
  <c r="M8" i="38"/>
  <c r="K21" i="38"/>
  <c r="M21" i="38"/>
  <c r="U190" i="2" l="1"/>
  <c r="T190" i="2"/>
  <c r="S190" i="2"/>
  <c r="S188" i="2"/>
  <c r="H188" i="2"/>
  <c r="R99" i="2"/>
  <c r="M99" i="2"/>
  <c r="L99" i="2"/>
  <c r="K99" i="2"/>
  <c r="N99" i="2" l="1"/>
  <c r="U153" i="6"/>
  <c r="T153" i="6"/>
  <c r="T154" i="6"/>
  <c r="U154" i="6"/>
  <c r="S153" i="6"/>
  <c r="R94" i="6"/>
  <c r="M94" i="6"/>
  <c r="L94" i="6"/>
  <c r="K94" i="6"/>
  <c r="N94" i="6" l="1"/>
  <c r="S213" i="22"/>
  <c r="T164" i="26"/>
  <c r="U164" i="26"/>
  <c r="S164" i="26"/>
  <c r="U163" i="26"/>
  <c r="T163" i="26"/>
  <c r="S163" i="26"/>
  <c r="R90" i="26"/>
  <c r="R91" i="26"/>
  <c r="R92" i="26"/>
  <c r="R89" i="26"/>
  <c r="T114" i="38"/>
  <c r="S149" i="35"/>
  <c r="S156" i="6"/>
  <c r="U156" i="6"/>
  <c r="T156" i="6"/>
  <c r="R102" i="6"/>
  <c r="M102" i="6"/>
  <c r="L102" i="6"/>
  <c r="K102" i="6"/>
  <c r="K100" i="6"/>
  <c r="L100" i="6"/>
  <c r="M100" i="6"/>
  <c r="R100" i="6"/>
  <c r="T207" i="1"/>
  <c r="U207" i="1"/>
  <c r="S207" i="1"/>
  <c r="R140" i="22"/>
  <c r="R141" i="22"/>
  <c r="R139" i="22"/>
  <c r="S214" i="22"/>
  <c r="T214" i="22"/>
  <c r="U214" i="22"/>
  <c r="M141" i="22"/>
  <c r="L141" i="22"/>
  <c r="K141" i="22"/>
  <c r="M140" i="22"/>
  <c r="L140" i="22"/>
  <c r="K140" i="22"/>
  <c r="U211" i="23"/>
  <c r="T211" i="23"/>
  <c r="S211" i="23"/>
  <c r="R129" i="23"/>
  <c r="M129" i="23"/>
  <c r="L129" i="23"/>
  <c r="K129" i="23"/>
  <c r="R128" i="23"/>
  <c r="K128" i="23"/>
  <c r="L128" i="23"/>
  <c r="M128" i="23"/>
  <c r="R127" i="23"/>
  <c r="M127" i="23"/>
  <c r="L127" i="23"/>
  <c r="K127" i="23"/>
  <c r="T201" i="24"/>
  <c r="U201" i="24"/>
  <c r="R127" i="24"/>
  <c r="M127" i="24"/>
  <c r="L127" i="24"/>
  <c r="K127" i="24"/>
  <c r="R126" i="24"/>
  <c r="M126" i="24"/>
  <c r="L126" i="24"/>
  <c r="K126" i="24"/>
  <c r="U204" i="25"/>
  <c r="S204" i="25"/>
  <c r="T204" i="25"/>
  <c r="R127" i="25"/>
  <c r="K127" i="25"/>
  <c r="L127" i="25"/>
  <c r="M127" i="25"/>
  <c r="R126" i="25"/>
  <c r="M126" i="25"/>
  <c r="L126" i="25"/>
  <c r="K126" i="25"/>
  <c r="M91" i="26"/>
  <c r="L91" i="26"/>
  <c r="K91" i="26"/>
  <c r="M92" i="26"/>
  <c r="L92" i="26"/>
  <c r="K92" i="26"/>
  <c r="M90" i="26"/>
  <c r="L90" i="26"/>
  <c r="K90" i="26"/>
  <c r="U115" i="38"/>
  <c r="S115" i="38"/>
  <c r="T115" i="38"/>
  <c r="R69" i="38"/>
  <c r="M69" i="38"/>
  <c r="L69" i="38"/>
  <c r="K69" i="38"/>
  <c r="R68" i="38"/>
  <c r="J115" i="38" s="1"/>
  <c r="M68" i="38"/>
  <c r="L68" i="38"/>
  <c r="K68" i="38"/>
  <c r="U120" i="37"/>
  <c r="S120" i="37"/>
  <c r="T120" i="37"/>
  <c r="R73" i="37"/>
  <c r="M73" i="37"/>
  <c r="L73" i="37"/>
  <c r="K73" i="37"/>
  <c r="R72" i="37"/>
  <c r="M72" i="37"/>
  <c r="L72" i="37"/>
  <c r="K72" i="37"/>
  <c r="U142" i="36"/>
  <c r="T142" i="36"/>
  <c r="S142" i="36"/>
  <c r="R93" i="36"/>
  <c r="R94" i="36"/>
  <c r="K94" i="36"/>
  <c r="L94" i="36"/>
  <c r="M94" i="36"/>
  <c r="M93" i="36"/>
  <c r="L93" i="36"/>
  <c r="K93" i="36"/>
  <c r="M92" i="36"/>
  <c r="L92" i="36"/>
  <c r="K92" i="36"/>
  <c r="M91" i="36"/>
  <c r="L91" i="36"/>
  <c r="K91" i="36"/>
  <c r="M90" i="36"/>
  <c r="L90" i="36"/>
  <c r="K90" i="36"/>
  <c r="U172" i="16"/>
  <c r="T172" i="16"/>
  <c r="S172" i="16"/>
  <c r="K99" i="16"/>
  <c r="L99" i="16"/>
  <c r="M99" i="16"/>
  <c r="R99" i="16"/>
  <c r="R98" i="16"/>
  <c r="M98" i="16"/>
  <c r="L98" i="16"/>
  <c r="K98" i="16"/>
  <c r="R97" i="16"/>
  <c r="M97" i="16"/>
  <c r="L97" i="16"/>
  <c r="K97" i="16"/>
  <c r="U149" i="35"/>
  <c r="T149" i="35"/>
  <c r="R101" i="35"/>
  <c r="H149" i="35" s="1"/>
  <c r="K101" i="35"/>
  <c r="L101" i="35"/>
  <c r="M101" i="35"/>
  <c r="M99" i="35"/>
  <c r="L99" i="35"/>
  <c r="K99" i="35"/>
  <c r="M100" i="35"/>
  <c r="L100" i="35"/>
  <c r="K100" i="35"/>
  <c r="M98" i="35"/>
  <c r="L98" i="35"/>
  <c r="K98" i="35"/>
  <c r="U204" i="17"/>
  <c r="S204" i="17"/>
  <c r="T204" i="17"/>
  <c r="R128" i="17"/>
  <c r="M128" i="17"/>
  <c r="L128" i="17"/>
  <c r="K128" i="17"/>
  <c r="R129" i="17"/>
  <c r="M129" i="17"/>
  <c r="L129" i="17"/>
  <c r="K129" i="17"/>
  <c r="U207" i="18"/>
  <c r="S207" i="18"/>
  <c r="T207" i="18"/>
  <c r="R131" i="18"/>
  <c r="M131" i="18"/>
  <c r="L131" i="18"/>
  <c r="K131" i="18"/>
  <c r="R130" i="18"/>
  <c r="M130" i="18"/>
  <c r="L130" i="18"/>
  <c r="K130" i="18"/>
  <c r="U217" i="13"/>
  <c r="T217" i="13"/>
  <c r="S217" i="13"/>
  <c r="R143" i="13"/>
  <c r="K143" i="13"/>
  <c r="L143" i="13"/>
  <c r="M143" i="13"/>
  <c r="T213" i="19"/>
  <c r="U213" i="19"/>
  <c r="S213" i="19"/>
  <c r="R133" i="19"/>
  <c r="R132" i="19"/>
  <c r="K133" i="19"/>
  <c r="L133" i="19"/>
  <c r="M133" i="19"/>
  <c r="K132" i="19"/>
  <c r="L132" i="19"/>
  <c r="M132" i="19"/>
  <c r="S180" i="20"/>
  <c r="T180" i="20"/>
  <c r="U180" i="20"/>
  <c r="R113" i="20"/>
  <c r="M113" i="20"/>
  <c r="L113" i="20"/>
  <c r="K113" i="20"/>
  <c r="R112" i="20"/>
  <c r="M112" i="20"/>
  <c r="L112" i="20"/>
  <c r="K112" i="20"/>
  <c r="T202" i="21"/>
  <c r="S202" i="21"/>
  <c r="U202" i="21"/>
  <c r="R127" i="21"/>
  <c r="M127" i="21"/>
  <c r="L127" i="21"/>
  <c r="K127" i="21"/>
  <c r="R126" i="21"/>
  <c r="M126" i="21"/>
  <c r="L126" i="21"/>
  <c r="K126" i="21"/>
  <c r="U110" i="34"/>
  <c r="S110" i="34"/>
  <c r="T110" i="34"/>
  <c r="R66" i="34"/>
  <c r="M66" i="34"/>
  <c r="L66" i="34"/>
  <c r="K66" i="34"/>
  <c r="R65" i="34"/>
  <c r="M65" i="34"/>
  <c r="L65" i="34"/>
  <c r="K65" i="34"/>
  <c r="R67" i="34"/>
  <c r="M67" i="34"/>
  <c r="L67" i="34"/>
  <c r="K67" i="34"/>
  <c r="S110" i="33"/>
  <c r="T110" i="33"/>
  <c r="U110" i="33"/>
  <c r="R67" i="33"/>
  <c r="K67" i="33"/>
  <c r="L67" i="33"/>
  <c r="M67" i="33"/>
  <c r="R66" i="33"/>
  <c r="M66" i="33"/>
  <c r="L66" i="33"/>
  <c r="K66" i="33"/>
  <c r="S219" i="9"/>
  <c r="T219" i="9"/>
  <c r="U219" i="9"/>
  <c r="R143" i="9"/>
  <c r="M143" i="9"/>
  <c r="L143" i="9"/>
  <c r="K143" i="9"/>
  <c r="R142" i="9"/>
  <c r="M142" i="9"/>
  <c r="L142" i="9"/>
  <c r="K142" i="9"/>
  <c r="U226" i="10"/>
  <c r="T226" i="10"/>
  <c r="S226" i="10"/>
  <c r="R151" i="10"/>
  <c r="M151" i="10"/>
  <c r="L151" i="10"/>
  <c r="K151" i="10"/>
  <c r="R150" i="10"/>
  <c r="M150" i="10"/>
  <c r="L150" i="10"/>
  <c r="K150" i="10"/>
  <c r="K149" i="10"/>
  <c r="R148" i="10"/>
  <c r="M148" i="10"/>
  <c r="L148" i="10"/>
  <c r="K148" i="10"/>
  <c r="R149" i="10"/>
  <c r="M149" i="10"/>
  <c r="L149" i="10"/>
  <c r="R131" i="11"/>
  <c r="M131" i="11"/>
  <c r="L131" i="11"/>
  <c r="K131" i="11"/>
  <c r="R130" i="11"/>
  <c r="M130" i="11"/>
  <c r="L130" i="11"/>
  <c r="K130" i="11"/>
  <c r="M129" i="12"/>
  <c r="L129" i="12"/>
  <c r="K129" i="12"/>
  <c r="M128" i="12"/>
  <c r="L128" i="12"/>
  <c r="C201" i="12" s="1"/>
  <c r="K128" i="12"/>
  <c r="R69" i="32"/>
  <c r="M69" i="32"/>
  <c r="L69" i="32"/>
  <c r="K69" i="32"/>
  <c r="R68" i="32"/>
  <c r="M68" i="32"/>
  <c r="L68" i="32"/>
  <c r="K68" i="32"/>
  <c r="B112" i="32" s="1"/>
  <c r="R145" i="13"/>
  <c r="M145" i="13"/>
  <c r="L145" i="13"/>
  <c r="K145" i="13"/>
  <c r="R144" i="13"/>
  <c r="M144" i="13"/>
  <c r="L144" i="13"/>
  <c r="K144" i="13"/>
  <c r="R142" i="13"/>
  <c r="M142" i="13"/>
  <c r="L142" i="13"/>
  <c r="K142" i="13"/>
  <c r="R132" i="14"/>
  <c r="M132" i="14"/>
  <c r="L132" i="14"/>
  <c r="R131" i="14"/>
  <c r="M131" i="14"/>
  <c r="L131" i="14"/>
  <c r="K142" i="15"/>
  <c r="B221" i="15" s="1"/>
  <c r="L142" i="15"/>
  <c r="M142" i="15"/>
  <c r="R142" i="15"/>
  <c r="L143" i="15"/>
  <c r="M143" i="15"/>
  <c r="R143" i="15"/>
  <c r="S213" i="8"/>
  <c r="R140" i="8"/>
  <c r="R139" i="8"/>
  <c r="K140" i="8"/>
  <c r="L140" i="8"/>
  <c r="M140" i="8"/>
  <c r="M139" i="8"/>
  <c r="K139" i="8"/>
  <c r="L139" i="8"/>
  <c r="R138" i="8"/>
  <c r="M138" i="8"/>
  <c r="L138" i="8"/>
  <c r="K138" i="8"/>
  <c r="R137" i="8"/>
  <c r="M137" i="8"/>
  <c r="L137" i="8"/>
  <c r="K137" i="8"/>
  <c r="L221" i="15" l="1"/>
  <c r="H221" i="15"/>
  <c r="J221" i="15"/>
  <c r="D221" i="15"/>
  <c r="C221" i="15"/>
  <c r="D201" i="12"/>
  <c r="B201" i="12"/>
  <c r="C112" i="32"/>
  <c r="N70" i="38"/>
  <c r="D204" i="11"/>
  <c r="J204" i="11"/>
  <c r="L204" i="11"/>
  <c r="H204" i="11"/>
  <c r="B204" i="11"/>
  <c r="C204" i="11"/>
  <c r="L112" i="32"/>
  <c r="J112" i="32"/>
  <c r="H112" i="32"/>
  <c r="D112" i="32"/>
  <c r="C204" i="14"/>
  <c r="D204" i="14"/>
  <c r="L204" i="14"/>
  <c r="H204" i="14"/>
  <c r="J204" i="14"/>
  <c r="B201" i="24"/>
  <c r="N102" i="6"/>
  <c r="C164" i="26"/>
  <c r="B213" i="19"/>
  <c r="C211" i="23"/>
  <c r="C204" i="25"/>
  <c r="J164" i="26"/>
  <c r="H120" i="37"/>
  <c r="J213" i="19"/>
  <c r="B204" i="25"/>
  <c r="C202" i="21"/>
  <c r="C207" i="18"/>
  <c r="D207" i="18"/>
  <c r="D110" i="34"/>
  <c r="J204" i="17"/>
  <c r="B207" i="18"/>
  <c r="J180" i="20"/>
  <c r="W202" i="21"/>
  <c r="D219" i="9"/>
  <c r="D149" i="35"/>
  <c r="W219" i="9"/>
  <c r="B110" i="33"/>
  <c r="C180" i="20"/>
  <c r="D120" i="37"/>
  <c r="J211" i="23"/>
  <c r="B214" i="22"/>
  <c r="H204" i="25"/>
  <c r="H219" i="9"/>
  <c r="L202" i="21"/>
  <c r="D180" i="20"/>
  <c r="B217" i="13"/>
  <c r="B120" i="37"/>
  <c r="N127" i="25"/>
  <c r="N132" i="14"/>
  <c r="N126" i="21"/>
  <c r="B172" i="16"/>
  <c r="W204" i="14"/>
  <c r="H213" i="19"/>
  <c r="B149" i="35"/>
  <c r="D164" i="26"/>
  <c r="W204" i="25"/>
  <c r="L226" i="10"/>
  <c r="W180" i="20"/>
  <c r="C149" i="35"/>
  <c r="D211" i="23"/>
  <c r="N143" i="13"/>
  <c r="W115" i="38"/>
  <c r="J214" i="22"/>
  <c r="C217" i="13"/>
  <c r="H207" i="18"/>
  <c r="N99" i="16"/>
  <c r="C142" i="36"/>
  <c r="D217" i="13"/>
  <c r="H226" i="10"/>
  <c r="D226" i="10"/>
  <c r="W226" i="10"/>
  <c r="J149" i="35"/>
  <c r="H115" i="38"/>
  <c r="N128" i="23"/>
  <c r="J204" i="25"/>
  <c r="B110" i="34"/>
  <c r="L213" i="19"/>
  <c r="L172" i="16"/>
  <c r="D142" i="36"/>
  <c r="L211" i="23"/>
  <c r="B226" i="10"/>
  <c r="L149" i="35"/>
  <c r="H172" i="16"/>
  <c r="B115" i="38"/>
  <c r="B164" i="26"/>
  <c r="H211" i="23"/>
  <c r="B142" i="36"/>
  <c r="H110" i="33"/>
  <c r="C226" i="10"/>
  <c r="C219" i="9"/>
  <c r="C120" i="37"/>
  <c r="H201" i="24"/>
  <c r="B211" i="23"/>
  <c r="L164" i="26"/>
  <c r="W110" i="33"/>
  <c r="D213" i="19"/>
  <c r="D172" i="16"/>
  <c r="D115" i="38"/>
  <c r="D201" i="24"/>
  <c r="N150" i="10"/>
  <c r="N144" i="13"/>
  <c r="N142" i="9"/>
  <c r="C213" i="19"/>
  <c r="L142" i="36"/>
  <c r="N112" i="20"/>
  <c r="N91" i="26"/>
  <c r="H164" i="26"/>
  <c r="B219" i="9"/>
  <c r="J207" i="18"/>
  <c r="J120" i="37"/>
  <c r="J217" i="13"/>
  <c r="J226" i="10"/>
  <c r="H180" i="20"/>
  <c r="J172" i="16"/>
  <c r="B213" i="8"/>
  <c r="D202" i="21"/>
  <c r="B204" i="17"/>
  <c r="C213" i="8"/>
  <c r="H202" i="21"/>
  <c r="B202" i="21"/>
  <c r="W204" i="17"/>
  <c r="C172" i="16"/>
  <c r="C115" i="38"/>
  <c r="C201" i="24"/>
  <c r="D213" i="8"/>
  <c r="H213" i="8"/>
  <c r="L214" i="22"/>
  <c r="H214" i="22"/>
  <c r="N100" i="6"/>
  <c r="W221" i="15"/>
  <c r="N142" i="15"/>
  <c r="H142" i="36"/>
  <c r="J142" i="36"/>
  <c r="H217" i="13"/>
  <c r="L217" i="13"/>
  <c r="C214" i="22"/>
  <c r="W214" i="22"/>
  <c r="N140" i="22"/>
  <c r="N141" i="22"/>
  <c r="D214" i="22"/>
  <c r="W211" i="23"/>
  <c r="N127" i="23"/>
  <c r="N129" i="23"/>
  <c r="W201" i="24"/>
  <c r="J201" i="24"/>
  <c r="L201" i="24"/>
  <c r="N127" i="24"/>
  <c r="N126" i="24"/>
  <c r="D204" i="25"/>
  <c r="L204" i="25"/>
  <c r="N126" i="25"/>
  <c r="W164" i="26"/>
  <c r="N90" i="26"/>
  <c r="N92" i="26"/>
  <c r="L115" i="38"/>
  <c r="N69" i="38"/>
  <c r="N73" i="37"/>
  <c r="W120" i="37"/>
  <c r="N72" i="37"/>
  <c r="L120" i="37"/>
  <c r="W142" i="36"/>
  <c r="N94" i="36"/>
  <c r="N91" i="36"/>
  <c r="N90" i="36"/>
  <c r="N93" i="36"/>
  <c r="N92" i="36"/>
  <c r="W172" i="16"/>
  <c r="N97" i="16"/>
  <c r="N98" i="16"/>
  <c r="N101" i="35"/>
  <c r="W149" i="35"/>
  <c r="N99" i="35"/>
  <c r="N100" i="35"/>
  <c r="N98" i="35"/>
  <c r="C204" i="17"/>
  <c r="D204" i="17"/>
  <c r="H204" i="17"/>
  <c r="L204" i="17"/>
  <c r="N129" i="17"/>
  <c r="N128" i="17"/>
  <c r="W207" i="18"/>
  <c r="N130" i="18"/>
  <c r="L207" i="18"/>
  <c r="N131" i="18"/>
  <c r="J110" i="34"/>
  <c r="W110" i="34"/>
  <c r="J213" i="8"/>
  <c r="L213" i="8"/>
  <c r="W213" i="19"/>
  <c r="N133" i="19"/>
  <c r="N132" i="19"/>
  <c r="N113" i="20"/>
  <c r="L180" i="20"/>
  <c r="B180" i="20"/>
  <c r="N127" i="21"/>
  <c r="J202" i="21"/>
  <c r="H110" i="34"/>
  <c r="N65" i="34"/>
  <c r="N66" i="34"/>
  <c r="L110" i="34"/>
  <c r="C110" i="34"/>
  <c r="N67" i="34"/>
  <c r="D110" i="33"/>
  <c r="N66" i="33"/>
  <c r="N67" i="33"/>
  <c r="L110" i="33"/>
  <c r="J110" i="33"/>
  <c r="C110" i="33"/>
  <c r="N143" i="9"/>
  <c r="L219" i="9"/>
  <c r="J219" i="9"/>
  <c r="N148" i="10"/>
  <c r="N151" i="10"/>
  <c r="N149" i="10"/>
  <c r="W204" i="11"/>
  <c r="N130" i="11"/>
  <c r="N131" i="11"/>
  <c r="N201" i="12"/>
  <c r="N128" i="12"/>
  <c r="N129" i="12"/>
  <c r="W201" i="12"/>
  <c r="W112" i="32"/>
  <c r="N69" i="32"/>
  <c r="N68" i="32"/>
  <c r="W217" i="13"/>
  <c r="N142" i="13"/>
  <c r="N145" i="13"/>
  <c r="N131" i="14"/>
  <c r="N143" i="15"/>
  <c r="W213" i="8"/>
  <c r="N137" i="8"/>
  <c r="N138" i="8"/>
  <c r="N139" i="8"/>
  <c r="N140" i="8"/>
  <c r="R64" i="31"/>
  <c r="R59" i="31"/>
  <c r="R60" i="31"/>
  <c r="R61" i="31"/>
  <c r="R62" i="31"/>
  <c r="R63" i="31"/>
  <c r="R58" i="31"/>
  <c r="K64" i="31"/>
  <c r="L64" i="31"/>
  <c r="M64" i="31"/>
  <c r="M63" i="31"/>
  <c r="L63" i="31"/>
  <c r="K63" i="31"/>
  <c r="R129" i="7"/>
  <c r="K129" i="7"/>
  <c r="L129" i="7"/>
  <c r="M129" i="7"/>
  <c r="R128" i="7"/>
  <c r="M128" i="7"/>
  <c r="L128" i="7"/>
  <c r="C201" i="7" s="1"/>
  <c r="K128" i="7"/>
  <c r="R72" i="29"/>
  <c r="M72" i="29"/>
  <c r="L72" i="29"/>
  <c r="K72" i="29"/>
  <c r="R71" i="29"/>
  <c r="M71" i="29"/>
  <c r="D114" i="29" s="1"/>
  <c r="L71" i="29"/>
  <c r="K71" i="29"/>
  <c r="B114" i="29" s="1"/>
  <c r="R101" i="6"/>
  <c r="L156" i="6" s="1"/>
  <c r="K101" i="6"/>
  <c r="B156" i="6" s="1"/>
  <c r="L101" i="6"/>
  <c r="C156" i="6" s="1"/>
  <c r="M101" i="6"/>
  <c r="D156" i="6" s="1"/>
  <c r="R52" i="30"/>
  <c r="M52" i="30"/>
  <c r="L52" i="30"/>
  <c r="K52" i="30"/>
  <c r="R51" i="30"/>
  <c r="M51" i="30"/>
  <c r="D94" i="30" s="1"/>
  <c r="L51" i="30"/>
  <c r="C94" i="30" s="1"/>
  <c r="K51" i="30"/>
  <c r="B94" i="30" s="1"/>
  <c r="R129" i="5"/>
  <c r="K129" i="5"/>
  <c r="L129" i="5"/>
  <c r="M129" i="5"/>
  <c r="R128" i="5"/>
  <c r="M128" i="5"/>
  <c r="L128" i="5"/>
  <c r="C202" i="5" s="1"/>
  <c r="K128" i="5"/>
  <c r="B202" i="5" s="1"/>
  <c r="S120" i="28"/>
  <c r="U120" i="28"/>
  <c r="T120" i="28"/>
  <c r="R75" i="28"/>
  <c r="M75" i="28"/>
  <c r="L75" i="28"/>
  <c r="K75" i="28"/>
  <c r="R74" i="28"/>
  <c r="M74" i="28"/>
  <c r="L74" i="28"/>
  <c r="K74" i="28"/>
  <c r="U212" i="3"/>
  <c r="T212" i="3"/>
  <c r="S212" i="3"/>
  <c r="R135" i="3"/>
  <c r="L213" i="3" s="1"/>
  <c r="N213" i="3" s="1"/>
  <c r="R134" i="3"/>
  <c r="K135" i="3"/>
  <c r="L135" i="3"/>
  <c r="M135" i="3"/>
  <c r="K134" i="3"/>
  <c r="L134" i="3"/>
  <c r="M134" i="3"/>
  <c r="U204" i="2"/>
  <c r="T204" i="2"/>
  <c r="S204" i="2"/>
  <c r="K127" i="2"/>
  <c r="L127" i="2"/>
  <c r="M127" i="2"/>
  <c r="R127" i="2"/>
  <c r="K128" i="2"/>
  <c r="L128" i="2"/>
  <c r="M128" i="2"/>
  <c r="R128" i="2"/>
  <c r="L204" i="2" s="1"/>
  <c r="K129" i="2"/>
  <c r="L129" i="2"/>
  <c r="M129" i="2"/>
  <c r="R129" i="2"/>
  <c r="K126" i="2"/>
  <c r="L126" i="2"/>
  <c r="M126" i="2"/>
  <c r="R126" i="2"/>
  <c r="R134" i="1"/>
  <c r="R133" i="1"/>
  <c r="K133" i="1"/>
  <c r="L133" i="1"/>
  <c r="M133" i="1"/>
  <c r="K134" i="1"/>
  <c r="L134" i="1"/>
  <c r="M134" i="1"/>
  <c r="B108" i="31" l="1"/>
  <c r="D108" i="31"/>
  <c r="C108" i="31"/>
  <c r="J108" i="31"/>
  <c r="L108" i="31"/>
  <c r="H108" i="31"/>
  <c r="B201" i="7"/>
  <c r="D201" i="7"/>
  <c r="L201" i="7"/>
  <c r="H201" i="7"/>
  <c r="J201" i="7"/>
  <c r="W201" i="7"/>
  <c r="C114" i="29"/>
  <c r="H94" i="30"/>
  <c r="L94" i="30"/>
  <c r="J94" i="30"/>
  <c r="D202" i="5"/>
  <c r="W202" i="5"/>
  <c r="J202" i="5"/>
  <c r="H202" i="5"/>
  <c r="L202" i="5"/>
  <c r="C207" i="1"/>
  <c r="L114" i="29"/>
  <c r="J114" i="29"/>
  <c r="H114" i="29"/>
  <c r="C120" i="28"/>
  <c r="N129" i="5"/>
  <c r="E204" i="14"/>
  <c r="N213" i="19"/>
  <c r="E112" i="32"/>
  <c r="E204" i="25"/>
  <c r="E217" i="13"/>
  <c r="E201" i="24"/>
  <c r="B207" i="1"/>
  <c r="J156" i="6"/>
  <c r="E211" i="23"/>
  <c r="E201" i="12"/>
  <c r="N149" i="35"/>
  <c r="N201" i="24"/>
  <c r="E164" i="26"/>
  <c r="E120" i="37"/>
  <c r="E149" i="35"/>
  <c r="E207" i="18"/>
  <c r="E142" i="36"/>
  <c r="E172" i="16"/>
  <c r="N172" i="16"/>
  <c r="N180" i="20"/>
  <c r="E204" i="11"/>
  <c r="N204" i="14"/>
  <c r="E213" i="19"/>
  <c r="E213" i="8"/>
  <c r="N204" i="25"/>
  <c r="D212" i="3"/>
  <c r="N142" i="36"/>
  <c r="N115" i="38"/>
  <c r="W204" i="2"/>
  <c r="W108" i="31"/>
  <c r="E180" i="20"/>
  <c r="W120" i="28"/>
  <c r="N75" i="28"/>
  <c r="D120" i="28"/>
  <c r="N219" i="9"/>
  <c r="E219" i="9"/>
  <c r="L207" i="1"/>
  <c r="J207" i="1"/>
  <c r="L120" i="28"/>
  <c r="W94" i="30"/>
  <c r="N214" i="22"/>
  <c r="E202" i="21"/>
  <c r="C204" i="2"/>
  <c r="H120" i="28"/>
  <c r="E115" i="38"/>
  <c r="D204" i="2"/>
  <c r="B204" i="2"/>
  <c r="C212" i="3"/>
  <c r="J120" i="28"/>
  <c r="D207" i="1"/>
  <c r="N74" i="28"/>
  <c r="B120" i="28"/>
  <c r="N129" i="7"/>
  <c r="B212" i="3"/>
  <c r="J212" i="3"/>
  <c r="H212" i="3"/>
  <c r="J204" i="2"/>
  <c r="N204" i="2" s="1"/>
  <c r="H156" i="6"/>
  <c r="N110" i="33"/>
  <c r="N164" i="26"/>
  <c r="N101" i="6"/>
  <c r="E156" i="6"/>
  <c r="W156" i="6"/>
  <c r="W207" i="1"/>
  <c r="H207" i="1"/>
  <c r="E214" i="22"/>
  <c r="N211" i="23"/>
  <c r="N120" i="37"/>
  <c r="E204" i="17"/>
  <c r="N204" i="17"/>
  <c r="N207" i="18"/>
  <c r="N202" i="21"/>
  <c r="N110" i="34"/>
  <c r="E110" i="34"/>
  <c r="E110" i="33"/>
  <c r="N226" i="10"/>
  <c r="E226" i="10"/>
  <c r="N204" i="11"/>
  <c r="N112" i="32"/>
  <c r="N217" i="13"/>
  <c r="E221" i="15"/>
  <c r="N221" i="15"/>
  <c r="N213" i="8"/>
  <c r="N63" i="31"/>
  <c r="N64" i="31"/>
  <c r="N128" i="7"/>
  <c r="N72" i="29"/>
  <c r="W114" i="29"/>
  <c r="N71" i="29"/>
  <c r="N52" i="30"/>
  <c r="N51" i="30"/>
  <c r="N128" i="5"/>
  <c r="N135" i="3"/>
  <c r="N134" i="3"/>
  <c r="N128" i="2"/>
  <c r="N127" i="2"/>
  <c r="N126" i="2"/>
  <c r="N129" i="2"/>
  <c r="N133" i="1"/>
  <c r="N134" i="1"/>
  <c r="N156" i="6" l="1"/>
  <c r="E94" i="30"/>
  <c r="E108" i="31"/>
  <c r="N108" i="31"/>
  <c r="E201" i="7"/>
  <c r="N114" i="29"/>
  <c r="E202" i="5"/>
  <c r="N202" i="5"/>
  <c r="E114" i="29"/>
  <c r="E120" i="28"/>
  <c r="N207" i="1"/>
  <c r="N201" i="7"/>
  <c r="E204" i="2"/>
  <c r="E207" i="1"/>
  <c r="N94" i="30"/>
  <c r="N120" i="28"/>
  <c r="R147" i="10" l="1"/>
  <c r="H107" i="31" l="1"/>
  <c r="S201" i="21" l="1"/>
  <c r="T201" i="21"/>
  <c r="U201" i="21"/>
  <c r="S206" i="18"/>
  <c r="T206" i="18"/>
  <c r="U206" i="18"/>
  <c r="U213" i="22"/>
  <c r="T213" i="22"/>
  <c r="R138" i="22"/>
  <c r="L213" i="22" s="1"/>
  <c r="K139" i="22"/>
  <c r="L139" i="22"/>
  <c r="M139" i="22"/>
  <c r="K138" i="22"/>
  <c r="L138" i="22"/>
  <c r="M138" i="22"/>
  <c r="S210" i="23"/>
  <c r="T210" i="23"/>
  <c r="U210" i="23"/>
  <c r="R126" i="23"/>
  <c r="M126" i="23"/>
  <c r="L126" i="23"/>
  <c r="K126" i="23"/>
  <c r="R125" i="23"/>
  <c r="H210" i="23" s="1"/>
  <c r="M125" i="23"/>
  <c r="L125" i="23"/>
  <c r="K125" i="23"/>
  <c r="S200" i="24"/>
  <c r="T200" i="24"/>
  <c r="U200" i="24"/>
  <c r="R125" i="24"/>
  <c r="M125" i="24"/>
  <c r="L125" i="24"/>
  <c r="K125" i="24"/>
  <c r="R124" i="24"/>
  <c r="M124" i="24"/>
  <c r="L124" i="24"/>
  <c r="K124" i="24"/>
  <c r="B200" i="24" s="1"/>
  <c r="U203" i="25"/>
  <c r="S203" i="25"/>
  <c r="T203" i="25"/>
  <c r="R125" i="25"/>
  <c r="R124" i="25"/>
  <c r="R123" i="25"/>
  <c r="K125" i="25"/>
  <c r="L125" i="25"/>
  <c r="M125" i="25"/>
  <c r="K124" i="25"/>
  <c r="L124" i="25"/>
  <c r="M124" i="25"/>
  <c r="L89" i="26"/>
  <c r="M89" i="26"/>
  <c r="K89" i="26"/>
  <c r="R88" i="26"/>
  <c r="M88" i="26"/>
  <c r="L88" i="26"/>
  <c r="K88" i="26"/>
  <c r="U114" i="38"/>
  <c r="S114" i="38"/>
  <c r="R67" i="38"/>
  <c r="K67" i="38"/>
  <c r="L67" i="38"/>
  <c r="M67" i="38"/>
  <c r="R66" i="38"/>
  <c r="M66" i="38"/>
  <c r="L66" i="38"/>
  <c r="K66" i="38"/>
  <c r="U119" i="37"/>
  <c r="S119" i="37"/>
  <c r="T119" i="37"/>
  <c r="R71" i="37"/>
  <c r="R70" i="37"/>
  <c r="K71" i="37"/>
  <c r="L71" i="37"/>
  <c r="M71" i="37"/>
  <c r="K70" i="37"/>
  <c r="L70" i="37"/>
  <c r="C119" i="37" s="1"/>
  <c r="M70" i="37"/>
  <c r="T141" i="36"/>
  <c r="U141" i="36"/>
  <c r="S141" i="36"/>
  <c r="J141" i="36"/>
  <c r="L141" i="36"/>
  <c r="H141" i="36"/>
  <c r="L89" i="36"/>
  <c r="K89" i="36"/>
  <c r="M89" i="36"/>
  <c r="K88" i="36"/>
  <c r="L88" i="36"/>
  <c r="M88" i="36"/>
  <c r="M87" i="36"/>
  <c r="L87" i="36"/>
  <c r="K87" i="36"/>
  <c r="S171" i="16"/>
  <c r="T171" i="16"/>
  <c r="U171" i="16"/>
  <c r="R96" i="16"/>
  <c r="M96" i="16"/>
  <c r="L96" i="16"/>
  <c r="K96" i="16"/>
  <c r="R95" i="16"/>
  <c r="M95" i="16"/>
  <c r="L95" i="16"/>
  <c r="K95" i="16"/>
  <c r="S148" i="35"/>
  <c r="H148" i="35"/>
  <c r="J148" i="35"/>
  <c r="L148" i="35"/>
  <c r="T148" i="35"/>
  <c r="U148" i="35"/>
  <c r="K97" i="35"/>
  <c r="L97" i="35"/>
  <c r="M97" i="35"/>
  <c r="K96" i="35"/>
  <c r="L96" i="35"/>
  <c r="M96" i="35"/>
  <c r="T203" i="17"/>
  <c r="S203" i="17"/>
  <c r="U203" i="17"/>
  <c r="R127" i="17"/>
  <c r="R126" i="17"/>
  <c r="K127" i="17"/>
  <c r="L127" i="17"/>
  <c r="M127" i="17"/>
  <c r="K126" i="17"/>
  <c r="L126" i="17"/>
  <c r="M126" i="17"/>
  <c r="R129" i="18"/>
  <c r="R128" i="18"/>
  <c r="K128" i="18"/>
  <c r="L128" i="18"/>
  <c r="M128" i="18"/>
  <c r="K129" i="18"/>
  <c r="L129" i="18"/>
  <c r="M129" i="18"/>
  <c r="U212" i="19"/>
  <c r="T212" i="19"/>
  <c r="S212" i="19"/>
  <c r="R131" i="19"/>
  <c r="R130" i="19"/>
  <c r="K130" i="19"/>
  <c r="L130" i="19"/>
  <c r="M130" i="19"/>
  <c r="K131" i="19"/>
  <c r="L131" i="19"/>
  <c r="M131" i="19"/>
  <c r="S179" i="20"/>
  <c r="T179" i="20"/>
  <c r="U179" i="20"/>
  <c r="R111" i="20"/>
  <c r="M111" i="20"/>
  <c r="L111" i="20"/>
  <c r="K111" i="20"/>
  <c r="R110" i="20"/>
  <c r="M110" i="20"/>
  <c r="L110" i="20"/>
  <c r="K110" i="20"/>
  <c r="R125" i="21"/>
  <c r="K125" i="21"/>
  <c r="L125" i="21"/>
  <c r="M125" i="21"/>
  <c r="R124" i="21"/>
  <c r="M124" i="21"/>
  <c r="L124" i="21"/>
  <c r="K124" i="21"/>
  <c r="T109" i="34"/>
  <c r="S109" i="34"/>
  <c r="U109" i="34"/>
  <c r="R64" i="34"/>
  <c r="K64" i="34"/>
  <c r="L64" i="34"/>
  <c r="M64" i="34"/>
  <c r="T109" i="33"/>
  <c r="S109" i="33"/>
  <c r="U109" i="33"/>
  <c r="R65" i="33"/>
  <c r="K65" i="33"/>
  <c r="L65" i="33"/>
  <c r="M65" i="33"/>
  <c r="R64" i="33"/>
  <c r="M64" i="33"/>
  <c r="L64" i="33"/>
  <c r="C109" i="33" s="1"/>
  <c r="K64" i="33"/>
  <c r="S218" i="9"/>
  <c r="T218" i="9"/>
  <c r="U218" i="9"/>
  <c r="R141" i="9"/>
  <c r="R140" i="9"/>
  <c r="K141" i="9"/>
  <c r="L141" i="9"/>
  <c r="M141" i="9"/>
  <c r="K140" i="9"/>
  <c r="L140" i="9"/>
  <c r="M140" i="9"/>
  <c r="H218" i="9" l="1"/>
  <c r="B213" i="22"/>
  <c r="B171" i="16"/>
  <c r="H206" i="18"/>
  <c r="H203" i="17"/>
  <c r="B163" i="26"/>
  <c r="D210" i="23"/>
  <c r="J119" i="37"/>
  <c r="H114" i="38"/>
  <c r="J114" i="38"/>
  <c r="B212" i="19"/>
  <c r="L163" i="26"/>
  <c r="J163" i="26"/>
  <c r="H163" i="26"/>
  <c r="H171" i="16"/>
  <c r="C201" i="21"/>
  <c r="C179" i="20"/>
  <c r="D200" i="24"/>
  <c r="D179" i="20"/>
  <c r="H201" i="21"/>
  <c r="H179" i="20"/>
  <c r="B148" i="35"/>
  <c r="C210" i="23"/>
  <c r="H109" i="33"/>
  <c r="N138" i="22"/>
  <c r="N139" i="22"/>
  <c r="H213" i="22"/>
  <c r="W213" i="22"/>
  <c r="C213" i="22"/>
  <c r="W210" i="23"/>
  <c r="J200" i="24"/>
  <c r="W203" i="25"/>
  <c r="D203" i="25"/>
  <c r="C203" i="25"/>
  <c r="N125" i="25"/>
  <c r="L203" i="25"/>
  <c r="H203" i="25"/>
  <c r="C163" i="26"/>
  <c r="N68" i="38"/>
  <c r="B114" i="38"/>
  <c r="B119" i="37"/>
  <c r="W119" i="37"/>
  <c r="D119" i="37"/>
  <c r="N88" i="36"/>
  <c r="W141" i="36"/>
  <c r="N87" i="36"/>
  <c r="D171" i="16"/>
  <c r="L171" i="16"/>
  <c r="W171" i="16"/>
  <c r="D148" i="35"/>
  <c r="N148" i="35"/>
  <c r="D203" i="17"/>
  <c r="W203" i="17"/>
  <c r="B203" i="17"/>
  <c r="B206" i="18"/>
  <c r="W206" i="18"/>
  <c r="W212" i="19"/>
  <c r="W179" i="20"/>
  <c r="L179" i="20"/>
  <c r="B201" i="21"/>
  <c r="W109" i="34"/>
  <c r="W109" i="33"/>
  <c r="B109" i="33"/>
  <c r="W218" i="9"/>
  <c r="B218" i="9"/>
  <c r="D218" i="9"/>
  <c r="N141" i="9"/>
  <c r="C218" i="9"/>
  <c r="D109" i="33"/>
  <c r="N110" i="20"/>
  <c r="N111" i="20"/>
  <c r="L212" i="19"/>
  <c r="N129" i="18"/>
  <c r="H119" i="37"/>
  <c r="N97" i="35"/>
  <c r="L114" i="38"/>
  <c r="N89" i="26"/>
  <c r="H200" i="24"/>
  <c r="D213" i="22"/>
  <c r="J213" i="22"/>
  <c r="D212" i="19"/>
  <c r="N130" i="19"/>
  <c r="D206" i="18"/>
  <c r="C148" i="35"/>
  <c r="D114" i="38"/>
  <c r="N65" i="33"/>
  <c r="N128" i="18"/>
  <c r="N127" i="17"/>
  <c r="L203" i="17"/>
  <c r="D141" i="36"/>
  <c r="N141" i="36"/>
  <c r="L119" i="37"/>
  <c r="N88" i="26"/>
  <c r="N124" i="24"/>
  <c r="N125" i="23"/>
  <c r="N126" i="23"/>
  <c r="B210" i="23"/>
  <c r="W114" i="38"/>
  <c r="C114" i="38"/>
  <c r="C141" i="36"/>
  <c r="N89" i="36"/>
  <c r="B109" i="34"/>
  <c r="C109" i="34"/>
  <c r="D109" i="34"/>
  <c r="H109" i="34"/>
  <c r="J109" i="34"/>
  <c r="W201" i="21"/>
  <c r="L201" i="21"/>
  <c r="N125" i="21"/>
  <c r="D201" i="21"/>
  <c r="J201" i="21"/>
  <c r="L206" i="18"/>
  <c r="J206" i="18"/>
  <c r="C206" i="18"/>
  <c r="L210" i="23"/>
  <c r="J210" i="23"/>
  <c r="N125" i="24"/>
  <c r="W200" i="24"/>
  <c r="L200" i="24"/>
  <c r="C200" i="24"/>
  <c r="B203" i="25"/>
  <c r="J203" i="25"/>
  <c r="N124" i="25"/>
  <c r="D163" i="26"/>
  <c r="W163" i="26"/>
  <c r="N70" i="37"/>
  <c r="N71" i="37"/>
  <c r="B141" i="36"/>
  <c r="N95" i="16"/>
  <c r="J171" i="16"/>
  <c r="C171" i="16"/>
  <c r="N96" i="16"/>
  <c r="W148" i="35"/>
  <c r="N96" i="35"/>
  <c r="N126" i="17"/>
  <c r="J203" i="17"/>
  <c r="C203" i="17"/>
  <c r="H212" i="19"/>
  <c r="J212" i="19"/>
  <c r="N131" i="19"/>
  <c r="C212" i="19"/>
  <c r="J179" i="20"/>
  <c r="B179" i="20"/>
  <c r="N124" i="21"/>
  <c r="N64" i="34"/>
  <c r="L109" i="34"/>
  <c r="L109" i="33"/>
  <c r="J109" i="33"/>
  <c r="N64" i="33"/>
  <c r="L218" i="9"/>
  <c r="J218" i="9"/>
  <c r="N140" i="9"/>
  <c r="T225" i="10"/>
  <c r="U225" i="10"/>
  <c r="K147" i="10"/>
  <c r="L147" i="10"/>
  <c r="M147" i="10"/>
  <c r="R146" i="10"/>
  <c r="K146" i="10"/>
  <c r="B225" i="10" s="1"/>
  <c r="L146" i="10"/>
  <c r="M146" i="10"/>
  <c r="S203" i="11"/>
  <c r="T203" i="11"/>
  <c r="U203" i="11"/>
  <c r="R129" i="11"/>
  <c r="R128" i="11"/>
  <c r="K129" i="11"/>
  <c r="L129" i="11"/>
  <c r="M129" i="11"/>
  <c r="K128" i="11"/>
  <c r="L128" i="11"/>
  <c r="M128" i="11"/>
  <c r="T200" i="12"/>
  <c r="U200" i="12"/>
  <c r="S200" i="12"/>
  <c r="L200" i="12"/>
  <c r="J200" i="12"/>
  <c r="H200" i="12"/>
  <c r="R127" i="12"/>
  <c r="R126" i="12"/>
  <c r="K126" i="12"/>
  <c r="L126" i="12"/>
  <c r="M126" i="12"/>
  <c r="K127" i="12"/>
  <c r="L127" i="12"/>
  <c r="M127" i="12"/>
  <c r="T111" i="32"/>
  <c r="U111" i="32"/>
  <c r="S111" i="32"/>
  <c r="R67" i="32"/>
  <c r="R66" i="32"/>
  <c r="K67" i="32"/>
  <c r="L67" i="32"/>
  <c r="M67" i="32"/>
  <c r="K66" i="32"/>
  <c r="L66" i="32"/>
  <c r="M66" i="32"/>
  <c r="R141" i="13"/>
  <c r="R140" i="13"/>
  <c r="K140" i="13"/>
  <c r="B216" i="13" s="1"/>
  <c r="L140" i="13"/>
  <c r="M140" i="13"/>
  <c r="K141" i="13"/>
  <c r="L141" i="13"/>
  <c r="M141" i="13"/>
  <c r="T203" i="14"/>
  <c r="U203" i="14"/>
  <c r="S203" i="14"/>
  <c r="R130" i="14"/>
  <c r="L130" i="14"/>
  <c r="M130" i="14"/>
  <c r="R129" i="14"/>
  <c r="M129" i="14"/>
  <c r="L129" i="14"/>
  <c r="U220" i="15"/>
  <c r="T220" i="15"/>
  <c r="S220" i="15"/>
  <c r="R141" i="15"/>
  <c r="R140" i="15"/>
  <c r="K141" i="15"/>
  <c r="L141" i="15"/>
  <c r="M141" i="15"/>
  <c r="K140" i="15"/>
  <c r="L140" i="15"/>
  <c r="M140" i="15"/>
  <c r="R136" i="8"/>
  <c r="R135" i="8"/>
  <c r="M136" i="8"/>
  <c r="L136" i="8"/>
  <c r="K136" i="8"/>
  <c r="K135" i="8"/>
  <c r="L135" i="8"/>
  <c r="M135" i="8"/>
  <c r="U107" i="31"/>
  <c r="J107" i="31"/>
  <c r="L107" i="31"/>
  <c r="S107" i="31"/>
  <c r="T107" i="31"/>
  <c r="M62" i="31"/>
  <c r="L62" i="31"/>
  <c r="K62" i="31"/>
  <c r="M61" i="31"/>
  <c r="L61" i="31"/>
  <c r="K61" i="31"/>
  <c r="S200" i="7"/>
  <c r="T200" i="7"/>
  <c r="U200" i="7"/>
  <c r="R126" i="7"/>
  <c r="R127" i="7"/>
  <c r="K127" i="7"/>
  <c r="L127" i="7"/>
  <c r="M127" i="7"/>
  <c r="K126" i="7"/>
  <c r="L126" i="7"/>
  <c r="M126" i="7"/>
  <c r="S113" i="29"/>
  <c r="T113" i="29"/>
  <c r="U113" i="29"/>
  <c r="R70" i="29"/>
  <c r="R69" i="29"/>
  <c r="K70" i="29"/>
  <c r="L70" i="29"/>
  <c r="M70" i="29"/>
  <c r="K69" i="29"/>
  <c r="L69" i="29"/>
  <c r="M69" i="29"/>
  <c r="R99" i="6"/>
  <c r="R98" i="6"/>
  <c r="K98" i="6"/>
  <c r="L98" i="6"/>
  <c r="M98" i="6"/>
  <c r="D155" i="6" s="1"/>
  <c r="K99" i="6"/>
  <c r="L99" i="6"/>
  <c r="M99" i="6"/>
  <c r="S93" i="30"/>
  <c r="T93" i="30"/>
  <c r="U93" i="30"/>
  <c r="R50" i="30"/>
  <c r="R49" i="30"/>
  <c r="K49" i="30"/>
  <c r="L49" i="30"/>
  <c r="M49" i="30"/>
  <c r="K50" i="30"/>
  <c r="L50" i="30"/>
  <c r="M50" i="30"/>
  <c r="T201" i="5"/>
  <c r="S201" i="5"/>
  <c r="U201" i="5"/>
  <c r="R127" i="5"/>
  <c r="R126" i="5"/>
  <c r="K127" i="5"/>
  <c r="L127" i="5"/>
  <c r="M127" i="5"/>
  <c r="K126" i="5"/>
  <c r="L126" i="5"/>
  <c r="M126" i="5"/>
  <c r="U119" i="28"/>
  <c r="T119" i="28"/>
  <c r="S119" i="28"/>
  <c r="R73" i="28"/>
  <c r="R72" i="28"/>
  <c r="K73" i="28"/>
  <c r="L73" i="28"/>
  <c r="M73" i="28"/>
  <c r="K72" i="28"/>
  <c r="L72" i="28"/>
  <c r="M72" i="28"/>
  <c r="U211" i="3"/>
  <c r="T211" i="3"/>
  <c r="S211" i="3"/>
  <c r="R133" i="3"/>
  <c r="M133" i="3"/>
  <c r="L133" i="3"/>
  <c r="K133" i="3"/>
  <c r="R132" i="3"/>
  <c r="R131" i="3"/>
  <c r="K132" i="3"/>
  <c r="L132" i="3"/>
  <c r="M132" i="3"/>
  <c r="K131" i="3"/>
  <c r="L131" i="3"/>
  <c r="M131" i="3"/>
  <c r="H203" i="2"/>
  <c r="S203" i="2"/>
  <c r="J203" i="2"/>
  <c r="L203" i="2"/>
  <c r="T203" i="2"/>
  <c r="U203" i="2"/>
  <c r="R125" i="2"/>
  <c r="R124" i="2"/>
  <c r="K124" i="2"/>
  <c r="L124" i="2"/>
  <c r="M124" i="2"/>
  <c r="K125" i="2"/>
  <c r="L125" i="2"/>
  <c r="M125" i="2"/>
  <c r="U206" i="1"/>
  <c r="T206" i="1"/>
  <c r="S206" i="1"/>
  <c r="R132" i="1"/>
  <c r="K132" i="1"/>
  <c r="L132" i="1"/>
  <c r="M132" i="1"/>
  <c r="R131" i="1"/>
  <c r="K131" i="1"/>
  <c r="L131" i="1"/>
  <c r="M131" i="1"/>
  <c r="C212" i="8" l="1"/>
  <c r="B212" i="8"/>
  <c r="H216" i="13"/>
  <c r="L216" i="13"/>
  <c r="J216" i="13"/>
  <c r="D216" i="13"/>
  <c r="C216" i="13"/>
  <c r="C155" i="6"/>
  <c r="L155" i="6"/>
  <c r="H155" i="6"/>
  <c r="J155" i="6"/>
  <c r="D212" i="8"/>
  <c r="L212" i="8"/>
  <c r="H212" i="8"/>
  <c r="J212" i="8"/>
  <c r="W212" i="3"/>
  <c r="L212" i="3"/>
  <c r="H119" i="28"/>
  <c r="W203" i="2"/>
  <c r="J225" i="10"/>
  <c r="H225" i="10"/>
  <c r="E200" i="24"/>
  <c r="N203" i="17"/>
  <c r="C206" i="1"/>
  <c r="J206" i="1"/>
  <c r="E109" i="33"/>
  <c r="L93" i="30"/>
  <c r="D119" i="28"/>
  <c r="N126" i="7"/>
  <c r="H203" i="11"/>
  <c r="E179" i="20"/>
  <c r="D206" i="1"/>
  <c r="C113" i="29"/>
  <c r="D225" i="10"/>
  <c r="N203" i="25"/>
  <c r="B155" i="6"/>
  <c r="W113" i="29"/>
  <c r="J203" i="14"/>
  <c r="E210" i="23"/>
  <c r="C203" i="14"/>
  <c r="D203" i="2"/>
  <c r="E119" i="37"/>
  <c r="N203" i="2"/>
  <c r="L220" i="15"/>
  <c r="W220" i="15"/>
  <c r="N213" i="22"/>
  <c r="E213" i="22"/>
  <c r="N210" i="23"/>
  <c r="N200" i="24"/>
  <c r="E203" i="25"/>
  <c r="E163" i="26"/>
  <c r="N163" i="26"/>
  <c r="E114" i="38"/>
  <c r="N119" i="37"/>
  <c r="E141" i="36"/>
  <c r="E171" i="16"/>
  <c r="N171" i="16"/>
  <c r="E148" i="35"/>
  <c r="E203" i="17"/>
  <c r="N206" i="18"/>
  <c r="E212" i="19"/>
  <c r="N179" i="20"/>
  <c r="E201" i="21"/>
  <c r="E109" i="34"/>
  <c r="N109" i="34"/>
  <c r="E218" i="9"/>
  <c r="D203" i="11"/>
  <c r="W200" i="12"/>
  <c r="C200" i="12"/>
  <c r="N126" i="12"/>
  <c r="N127" i="12"/>
  <c r="D200" i="12"/>
  <c r="C111" i="32"/>
  <c r="B111" i="32"/>
  <c r="J111" i="32"/>
  <c r="D111" i="32"/>
  <c r="W203" i="14"/>
  <c r="D203" i="14"/>
  <c r="D220" i="15"/>
  <c r="H220" i="15"/>
  <c r="J220" i="15"/>
  <c r="N140" i="15"/>
  <c r="C220" i="15"/>
  <c r="N141" i="15"/>
  <c r="N107" i="31"/>
  <c r="W107" i="31"/>
  <c r="B200" i="7"/>
  <c r="H200" i="7"/>
  <c r="N70" i="29"/>
  <c r="J113" i="29"/>
  <c r="H113" i="29"/>
  <c r="D113" i="29"/>
  <c r="W93" i="30"/>
  <c r="N50" i="30"/>
  <c r="C93" i="30"/>
  <c r="D93" i="30"/>
  <c r="D201" i="5"/>
  <c r="H201" i="5"/>
  <c r="J201" i="5"/>
  <c r="B201" i="5"/>
  <c r="N127" i="5"/>
  <c r="W201" i="5"/>
  <c r="C119" i="28"/>
  <c r="B119" i="28"/>
  <c r="N73" i="28"/>
  <c r="J119" i="28"/>
  <c r="L119" i="28"/>
  <c r="E212" i="3"/>
  <c r="N131" i="3"/>
  <c r="N132" i="3"/>
  <c r="J211" i="3"/>
  <c r="C211" i="3"/>
  <c r="D211" i="3"/>
  <c r="N124" i="2"/>
  <c r="N131" i="1"/>
  <c r="B206" i="1"/>
  <c r="N132" i="1"/>
  <c r="H211" i="3"/>
  <c r="L211" i="3"/>
  <c r="N72" i="28"/>
  <c r="H93" i="30"/>
  <c r="N98" i="6"/>
  <c r="B113" i="29"/>
  <c r="N62" i="31"/>
  <c r="L203" i="14"/>
  <c r="L111" i="32"/>
  <c r="B203" i="2"/>
  <c r="W211" i="3"/>
  <c r="L206" i="1"/>
  <c r="N133" i="3"/>
  <c r="W206" i="1"/>
  <c r="C203" i="2"/>
  <c r="N49" i="30"/>
  <c r="J93" i="30"/>
  <c r="N99" i="6"/>
  <c r="D200" i="7"/>
  <c r="N61" i="31"/>
  <c r="C107" i="31"/>
  <c r="N135" i="8"/>
  <c r="W212" i="8"/>
  <c r="B220" i="15"/>
  <c r="N66" i="32"/>
  <c r="C203" i="11"/>
  <c r="N129" i="14"/>
  <c r="H203" i="14"/>
  <c r="H111" i="32"/>
  <c r="W111" i="32"/>
  <c r="B200" i="12"/>
  <c r="B203" i="11"/>
  <c r="W203" i="11"/>
  <c r="H206" i="1"/>
  <c r="B93" i="30"/>
  <c r="N125" i="2"/>
  <c r="B211" i="3"/>
  <c r="C201" i="5"/>
  <c r="N69" i="29"/>
  <c r="L113" i="29"/>
  <c r="D107" i="31"/>
  <c r="B107" i="31"/>
  <c r="B203" i="14"/>
  <c r="N128" i="11"/>
  <c r="J203" i="11"/>
  <c r="N218" i="9"/>
  <c r="N109" i="33"/>
  <c r="E206" i="18"/>
  <c r="N114" i="38"/>
  <c r="N136" i="8"/>
  <c r="W225" i="10"/>
  <c r="L225" i="10"/>
  <c r="C225" i="10"/>
  <c r="N201" i="21"/>
  <c r="N146" i="10"/>
  <c r="N147" i="10"/>
  <c r="N129" i="11"/>
  <c r="L203" i="11"/>
  <c r="N200" i="12"/>
  <c r="N67" i="32"/>
  <c r="W216" i="13"/>
  <c r="N141" i="13"/>
  <c r="N140" i="13"/>
  <c r="N130" i="14"/>
  <c r="W200" i="7"/>
  <c r="N127" i="7"/>
  <c r="L200" i="7"/>
  <c r="J200" i="7"/>
  <c r="C200" i="7"/>
  <c r="L201" i="5"/>
  <c r="N126" i="5"/>
  <c r="W119" i="28"/>
  <c r="S211" i="19"/>
  <c r="U219" i="15"/>
  <c r="T219" i="15"/>
  <c r="E119" i="28" l="1"/>
  <c r="E155" i="6"/>
  <c r="N206" i="1"/>
  <c r="N113" i="29"/>
  <c r="E203" i="11"/>
  <c r="E200" i="7"/>
  <c r="E225" i="10"/>
  <c r="N203" i="11"/>
  <c r="N111" i="32"/>
  <c r="E216" i="13"/>
  <c r="E107" i="31"/>
  <c r="E113" i="29"/>
  <c r="N155" i="6"/>
  <c r="E93" i="30"/>
  <c r="N201" i="5"/>
  <c r="E201" i="5"/>
  <c r="N119" i="28"/>
  <c r="N212" i="3"/>
  <c r="E211" i="3"/>
  <c r="N211" i="3"/>
  <c r="E203" i="2"/>
  <c r="E206" i="1"/>
  <c r="N93" i="30"/>
  <c r="N200" i="7"/>
  <c r="N225" i="10"/>
  <c r="N216" i="13"/>
  <c r="U170" i="16"/>
  <c r="S170" i="16"/>
  <c r="U169" i="16"/>
  <c r="S169" i="16"/>
  <c r="U168" i="16"/>
  <c r="S168" i="16"/>
  <c r="R90" i="16"/>
  <c r="R91" i="16"/>
  <c r="R92" i="16"/>
  <c r="R93" i="16"/>
  <c r="R94" i="16"/>
  <c r="L170" i="16" l="1"/>
  <c r="L169" i="16"/>
  <c r="H170" i="16"/>
  <c r="H169" i="16"/>
  <c r="T212" i="22"/>
  <c r="U212" i="22"/>
  <c r="S212" i="22"/>
  <c r="U209" i="23"/>
  <c r="T209" i="23"/>
  <c r="S209" i="23"/>
  <c r="T199" i="24"/>
  <c r="U199" i="24"/>
  <c r="S199" i="24"/>
  <c r="T202" i="25"/>
  <c r="U202" i="25"/>
  <c r="S202" i="25"/>
  <c r="S162" i="26"/>
  <c r="T162" i="26"/>
  <c r="U162" i="26"/>
  <c r="S113" i="38"/>
  <c r="T113" i="38"/>
  <c r="U113" i="38"/>
  <c r="T118" i="37"/>
  <c r="U118" i="37"/>
  <c r="S118" i="37"/>
  <c r="T140" i="36"/>
  <c r="U140" i="36"/>
  <c r="S140" i="36"/>
  <c r="J140" i="36"/>
  <c r="L140" i="36"/>
  <c r="H140" i="36"/>
  <c r="T170" i="16"/>
  <c r="T147" i="35"/>
  <c r="U147" i="35"/>
  <c r="S147" i="35"/>
  <c r="J147" i="35"/>
  <c r="L147" i="35"/>
  <c r="H147" i="35"/>
  <c r="H146" i="35"/>
  <c r="T202" i="17"/>
  <c r="U202" i="17"/>
  <c r="S202" i="17"/>
  <c r="T205" i="18"/>
  <c r="U205" i="18"/>
  <c r="S205" i="18"/>
  <c r="T211" i="19"/>
  <c r="U211" i="19"/>
  <c r="T178" i="20"/>
  <c r="U178" i="20"/>
  <c r="S178" i="20"/>
  <c r="S200" i="21"/>
  <c r="T200" i="21"/>
  <c r="U200" i="21"/>
  <c r="T108" i="33"/>
  <c r="U108" i="33"/>
  <c r="S108" i="33"/>
  <c r="T217" i="9"/>
  <c r="U217" i="9"/>
  <c r="S217" i="9"/>
  <c r="T224" i="10"/>
  <c r="U224" i="10"/>
  <c r="S224" i="10"/>
  <c r="T202" i="11"/>
  <c r="U202" i="11"/>
  <c r="S202" i="11"/>
  <c r="T199" i="12"/>
  <c r="U199" i="12"/>
  <c r="S199" i="12"/>
  <c r="J199" i="12"/>
  <c r="L199" i="12"/>
  <c r="H199" i="12"/>
  <c r="T110" i="32"/>
  <c r="U110" i="32"/>
  <c r="S110" i="32"/>
  <c r="U215" i="13"/>
  <c r="T215" i="13"/>
  <c r="S215" i="13"/>
  <c r="U202" i="14"/>
  <c r="T202" i="14"/>
  <c r="S202" i="14"/>
  <c r="W219" i="15"/>
  <c r="T108" i="34"/>
  <c r="U108" i="34"/>
  <c r="S108" i="34"/>
  <c r="T211" i="8"/>
  <c r="U211" i="8"/>
  <c r="S211" i="8"/>
  <c r="T106" i="31"/>
  <c r="U106" i="31"/>
  <c r="S106" i="31"/>
  <c r="J106" i="31"/>
  <c r="L106" i="31"/>
  <c r="H106" i="31"/>
  <c r="K55" i="31"/>
  <c r="L55" i="31"/>
  <c r="M55" i="31"/>
  <c r="K56" i="31"/>
  <c r="L56" i="31"/>
  <c r="M56" i="31"/>
  <c r="K54" i="31"/>
  <c r="T199" i="7"/>
  <c r="U199" i="7"/>
  <c r="S199" i="7"/>
  <c r="T112" i="29"/>
  <c r="U112" i="29"/>
  <c r="S112" i="29"/>
  <c r="W224" i="10" l="1"/>
  <c r="W112" i="29"/>
  <c r="W212" i="22"/>
  <c r="W209" i="23"/>
  <c r="W199" i="24"/>
  <c r="W202" i="25"/>
  <c r="W162" i="26"/>
  <c r="W113" i="38"/>
  <c r="W118" i="37"/>
  <c r="W140" i="36"/>
  <c r="N140" i="36"/>
  <c r="W170" i="16"/>
  <c r="W147" i="35"/>
  <c r="N147" i="35"/>
  <c r="W202" i="17"/>
  <c r="W205" i="18"/>
  <c r="W211" i="19"/>
  <c r="W178" i="20"/>
  <c r="W200" i="21"/>
  <c r="W108" i="33"/>
  <c r="W217" i="9"/>
  <c r="W202" i="11"/>
  <c r="W199" i="12"/>
  <c r="N199" i="12"/>
  <c r="W110" i="32"/>
  <c r="W215" i="13"/>
  <c r="W202" i="14"/>
  <c r="W108" i="34"/>
  <c r="W211" i="8"/>
  <c r="W106" i="31"/>
  <c r="N106" i="31"/>
  <c r="N56" i="31"/>
  <c r="N55" i="31"/>
  <c r="S154" i="6"/>
  <c r="T92" i="30"/>
  <c r="U92" i="30"/>
  <c r="S92" i="30"/>
  <c r="T200" i="5"/>
  <c r="U200" i="5"/>
  <c r="S200" i="5"/>
  <c r="T118" i="28"/>
  <c r="U118" i="28"/>
  <c r="S118" i="28"/>
  <c r="R70" i="28"/>
  <c r="R71" i="28"/>
  <c r="T210" i="3"/>
  <c r="U210" i="3"/>
  <c r="S210" i="3"/>
  <c r="T202" i="2"/>
  <c r="U202" i="2"/>
  <c r="S201" i="2"/>
  <c r="S202" i="2"/>
  <c r="L202" i="2"/>
  <c r="J202" i="2"/>
  <c r="H202" i="2"/>
  <c r="T205" i="1"/>
  <c r="U205" i="1"/>
  <c r="S205" i="1"/>
  <c r="W154" i="6" l="1"/>
  <c r="W92" i="30"/>
  <c r="W118" i="28"/>
  <c r="N202" i="2"/>
  <c r="K116" i="17"/>
  <c r="L116" i="17"/>
  <c r="M116" i="17"/>
  <c r="K117" i="17"/>
  <c r="L117" i="17"/>
  <c r="M117" i="17"/>
  <c r="K118" i="17"/>
  <c r="L118" i="17"/>
  <c r="M118" i="17"/>
  <c r="K119" i="17"/>
  <c r="L119" i="17"/>
  <c r="M119" i="17"/>
  <c r="K120" i="17"/>
  <c r="L120" i="17"/>
  <c r="M120" i="17"/>
  <c r="K121" i="17"/>
  <c r="L121" i="17"/>
  <c r="M121" i="17"/>
  <c r="K122" i="17"/>
  <c r="L122" i="17"/>
  <c r="M122" i="17"/>
  <c r="K123" i="17"/>
  <c r="L123" i="17"/>
  <c r="M123" i="17"/>
  <c r="K124" i="17"/>
  <c r="L124" i="17"/>
  <c r="M124" i="17"/>
  <c r="K125" i="17"/>
  <c r="L125" i="17"/>
  <c r="M125" i="17"/>
  <c r="K113" i="24"/>
  <c r="L113" i="24"/>
  <c r="M113" i="24"/>
  <c r="K114" i="24"/>
  <c r="L114" i="24"/>
  <c r="M114" i="24"/>
  <c r="K115" i="24"/>
  <c r="L115" i="24"/>
  <c r="M115" i="24"/>
  <c r="K116" i="24"/>
  <c r="L116" i="24"/>
  <c r="M116" i="24"/>
  <c r="K117" i="24"/>
  <c r="L117" i="24"/>
  <c r="M117" i="24"/>
  <c r="K118" i="24"/>
  <c r="L118" i="24"/>
  <c r="M118" i="24"/>
  <c r="K119" i="24"/>
  <c r="L119" i="24"/>
  <c r="M119" i="24"/>
  <c r="K120" i="24"/>
  <c r="L120" i="24"/>
  <c r="M120" i="24"/>
  <c r="K121" i="24"/>
  <c r="L121" i="24"/>
  <c r="M121" i="24"/>
  <c r="K122" i="24"/>
  <c r="L122" i="24"/>
  <c r="M122" i="24"/>
  <c r="K123" i="24"/>
  <c r="L123" i="24"/>
  <c r="M123" i="24"/>
  <c r="R109" i="23"/>
  <c r="R110" i="23"/>
  <c r="R111" i="23"/>
  <c r="R112" i="23"/>
  <c r="R113" i="23"/>
  <c r="R114" i="23"/>
  <c r="R115" i="23"/>
  <c r="R116" i="23"/>
  <c r="R117" i="23"/>
  <c r="R118" i="23"/>
  <c r="R119" i="23"/>
  <c r="R120" i="23"/>
  <c r="R121" i="23"/>
  <c r="R122" i="23"/>
  <c r="R123" i="23"/>
  <c r="R124" i="23"/>
  <c r="R125" i="22"/>
  <c r="R126" i="22"/>
  <c r="R127" i="22"/>
  <c r="R128" i="22"/>
  <c r="R129" i="22"/>
  <c r="R130" i="22"/>
  <c r="R131" i="22"/>
  <c r="R132" i="22"/>
  <c r="R133" i="22"/>
  <c r="R134" i="22"/>
  <c r="R135" i="22"/>
  <c r="R136" i="22"/>
  <c r="R137" i="22"/>
  <c r="K126" i="22"/>
  <c r="L126" i="22"/>
  <c r="M126" i="22"/>
  <c r="K127" i="22"/>
  <c r="L127" i="22"/>
  <c r="M127" i="22"/>
  <c r="K128" i="22"/>
  <c r="L128" i="22"/>
  <c r="M128" i="22"/>
  <c r="K129" i="22"/>
  <c r="L129" i="22"/>
  <c r="M129" i="22"/>
  <c r="K130" i="22"/>
  <c r="L130" i="22"/>
  <c r="M130" i="22"/>
  <c r="K131" i="22"/>
  <c r="L131" i="22"/>
  <c r="M131" i="22"/>
  <c r="K132" i="22"/>
  <c r="L132" i="22"/>
  <c r="M132" i="22"/>
  <c r="K133" i="22"/>
  <c r="L133" i="22"/>
  <c r="M133" i="22"/>
  <c r="K134" i="22"/>
  <c r="L134" i="22"/>
  <c r="M134" i="22"/>
  <c r="K135" i="22"/>
  <c r="L135" i="22"/>
  <c r="M135" i="22"/>
  <c r="K136" i="22"/>
  <c r="L136" i="22"/>
  <c r="M136" i="22"/>
  <c r="K137" i="22"/>
  <c r="L137" i="22"/>
  <c r="M137" i="22"/>
  <c r="K124" i="23"/>
  <c r="L124" i="23"/>
  <c r="M124" i="23"/>
  <c r="K123" i="23"/>
  <c r="L123" i="23"/>
  <c r="M123" i="23"/>
  <c r="R123" i="24"/>
  <c r="R122" i="24"/>
  <c r="K123" i="25"/>
  <c r="L123" i="25"/>
  <c r="M123" i="25"/>
  <c r="R122" i="25"/>
  <c r="M122" i="25"/>
  <c r="L122" i="25"/>
  <c r="K122" i="25"/>
  <c r="R87" i="26"/>
  <c r="M87" i="26"/>
  <c r="L87" i="26"/>
  <c r="K87" i="26"/>
  <c r="R86" i="26"/>
  <c r="M86" i="26"/>
  <c r="L86" i="26"/>
  <c r="K86" i="26"/>
  <c r="R65" i="38"/>
  <c r="M65" i="38"/>
  <c r="L65" i="38"/>
  <c r="K65" i="38"/>
  <c r="R64" i="38"/>
  <c r="M64" i="38"/>
  <c r="L64" i="38"/>
  <c r="K64" i="38"/>
  <c r="R69" i="37"/>
  <c r="M69" i="37"/>
  <c r="L69" i="37"/>
  <c r="K69" i="37"/>
  <c r="R68" i="37"/>
  <c r="M68" i="37"/>
  <c r="L68" i="37"/>
  <c r="K68" i="37"/>
  <c r="B210" i="22" l="1"/>
  <c r="B118" i="37"/>
  <c r="C202" i="25"/>
  <c r="C212" i="22"/>
  <c r="C118" i="37"/>
  <c r="B209" i="23"/>
  <c r="C162" i="26"/>
  <c r="B162" i="26"/>
  <c r="D162" i="26"/>
  <c r="C113" i="38"/>
  <c r="B113" i="38"/>
  <c r="C209" i="23"/>
  <c r="D209" i="23"/>
  <c r="N124" i="23"/>
  <c r="N118" i="24"/>
  <c r="N114" i="24"/>
  <c r="N113" i="24"/>
  <c r="N116" i="24"/>
  <c r="D199" i="24"/>
  <c r="N120" i="24"/>
  <c r="B202" i="25"/>
  <c r="N87" i="26"/>
  <c r="D113" i="38"/>
  <c r="N66" i="38"/>
  <c r="D118" i="37"/>
  <c r="D202" i="17"/>
  <c r="L118" i="37"/>
  <c r="J118" i="37"/>
  <c r="H118" i="37"/>
  <c r="J113" i="38"/>
  <c r="H113" i="38"/>
  <c r="L113" i="38"/>
  <c r="L162" i="26"/>
  <c r="J162" i="26"/>
  <c r="H162" i="26"/>
  <c r="J202" i="25"/>
  <c r="H202" i="25"/>
  <c r="L202" i="25"/>
  <c r="B212" i="22"/>
  <c r="J212" i="22"/>
  <c r="H212" i="22"/>
  <c r="L212" i="22"/>
  <c r="H199" i="24"/>
  <c r="L199" i="24"/>
  <c r="J199" i="24"/>
  <c r="N136" i="22"/>
  <c r="D212" i="22"/>
  <c r="N128" i="22"/>
  <c r="C199" i="24"/>
  <c r="C202" i="17"/>
  <c r="D202" i="25"/>
  <c r="N123" i="25"/>
  <c r="L209" i="23"/>
  <c r="J209" i="23"/>
  <c r="H209" i="23"/>
  <c r="B199" i="24"/>
  <c r="N117" i="24"/>
  <c r="B202" i="17"/>
  <c r="N130" i="22"/>
  <c r="N127" i="22"/>
  <c r="N132" i="22"/>
  <c r="N134" i="22"/>
  <c r="N126" i="22"/>
  <c r="N133" i="22"/>
  <c r="N135" i="22"/>
  <c r="N137" i="22"/>
  <c r="N129" i="22"/>
  <c r="N131" i="22"/>
  <c r="N123" i="23"/>
  <c r="N119" i="24"/>
  <c r="N123" i="24"/>
  <c r="N122" i="24"/>
  <c r="N121" i="24"/>
  <c r="N115" i="24"/>
  <c r="N122" i="25"/>
  <c r="N86" i="26"/>
  <c r="N65" i="38"/>
  <c r="N69" i="37"/>
  <c r="N68" i="37"/>
  <c r="N120" i="17"/>
  <c r="N124" i="17"/>
  <c r="N116" i="17"/>
  <c r="N118" i="17"/>
  <c r="N122" i="17"/>
  <c r="N117" i="17"/>
  <c r="N119" i="17"/>
  <c r="N121" i="17"/>
  <c r="N125" i="17"/>
  <c r="N123" i="17"/>
  <c r="M86" i="36"/>
  <c r="L86" i="36"/>
  <c r="K86" i="36"/>
  <c r="K85" i="36"/>
  <c r="L85" i="36"/>
  <c r="M85" i="36"/>
  <c r="K84" i="36"/>
  <c r="L84" i="36"/>
  <c r="M84" i="36"/>
  <c r="K83" i="36"/>
  <c r="L83" i="36"/>
  <c r="M83" i="36"/>
  <c r="K82" i="36"/>
  <c r="L82" i="36"/>
  <c r="M82" i="36"/>
  <c r="K81" i="36"/>
  <c r="L81" i="36"/>
  <c r="M81" i="36"/>
  <c r="K93" i="16"/>
  <c r="L93" i="16"/>
  <c r="M93" i="16"/>
  <c r="K94" i="16"/>
  <c r="L94" i="16"/>
  <c r="M94" i="16"/>
  <c r="K95" i="35"/>
  <c r="L95" i="35"/>
  <c r="M95" i="35"/>
  <c r="M94" i="35"/>
  <c r="L94" i="35"/>
  <c r="K94" i="35"/>
  <c r="R125" i="17"/>
  <c r="R124" i="17"/>
  <c r="R127" i="18"/>
  <c r="K127" i="18"/>
  <c r="L127" i="18"/>
  <c r="M127" i="18"/>
  <c r="R126" i="18"/>
  <c r="M126" i="18"/>
  <c r="L126" i="18"/>
  <c r="K126" i="18"/>
  <c r="R129" i="19"/>
  <c r="K129" i="19"/>
  <c r="L129" i="19"/>
  <c r="M129" i="19"/>
  <c r="R128" i="19"/>
  <c r="K128" i="19"/>
  <c r="L128" i="19"/>
  <c r="M128" i="19"/>
  <c r="R127" i="19"/>
  <c r="M127" i="19"/>
  <c r="L127" i="19"/>
  <c r="K127" i="19"/>
  <c r="R109" i="20"/>
  <c r="K109" i="20"/>
  <c r="L109" i="20"/>
  <c r="M109" i="20"/>
  <c r="R108" i="20"/>
  <c r="M108" i="20"/>
  <c r="L108" i="20"/>
  <c r="K108" i="20"/>
  <c r="R123" i="21"/>
  <c r="R122" i="21"/>
  <c r="K123" i="21"/>
  <c r="L123" i="21"/>
  <c r="M123" i="21"/>
  <c r="K122" i="21"/>
  <c r="L122" i="21"/>
  <c r="M122" i="21"/>
  <c r="R63" i="34"/>
  <c r="R62" i="34"/>
  <c r="K62" i="34"/>
  <c r="L62" i="34"/>
  <c r="M62" i="34"/>
  <c r="K63" i="34"/>
  <c r="L63" i="34"/>
  <c r="M63" i="34"/>
  <c r="R63" i="33"/>
  <c r="R62" i="33"/>
  <c r="K63" i="33"/>
  <c r="L63" i="33"/>
  <c r="M63" i="33"/>
  <c r="K62" i="33"/>
  <c r="L62" i="33"/>
  <c r="M62" i="33"/>
  <c r="R139" i="9"/>
  <c r="R138" i="9"/>
  <c r="K139" i="9"/>
  <c r="L139" i="9"/>
  <c r="M139" i="9"/>
  <c r="K138" i="9"/>
  <c r="L138" i="9"/>
  <c r="M138" i="9"/>
  <c r="R145" i="10"/>
  <c r="R144" i="10"/>
  <c r="K144" i="10"/>
  <c r="L144" i="10"/>
  <c r="M144" i="10"/>
  <c r="K145" i="10"/>
  <c r="L145" i="10"/>
  <c r="M145" i="10"/>
  <c r="R127" i="11"/>
  <c r="K127" i="11"/>
  <c r="L127" i="11"/>
  <c r="M127" i="11"/>
  <c r="R126" i="11"/>
  <c r="K126" i="11"/>
  <c r="L126" i="11"/>
  <c r="M126" i="11"/>
  <c r="R125" i="12"/>
  <c r="M125" i="12"/>
  <c r="K125" i="12"/>
  <c r="L125" i="12"/>
  <c r="R124" i="12"/>
  <c r="K124" i="12"/>
  <c r="L124" i="12"/>
  <c r="M124" i="12"/>
  <c r="R123" i="12"/>
  <c r="K123" i="12"/>
  <c r="L123" i="12"/>
  <c r="M123" i="12"/>
  <c r="R65" i="32"/>
  <c r="R64" i="32"/>
  <c r="R63" i="32"/>
  <c r="K65" i="32"/>
  <c r="L65" i="32"/>
  <c r="M65" i="32"/>
  <c r="K64" i="32"/>
  <c r="L64" i="32"/>
  <c r="M64" i="32"/>
  <c r="K63" i="32"/>
  <c r="L63" i="32"/>
  <c r="M63" i="32"/>
  <c r="R139" i="13"/>
  <c r="R138" i="13"/>
  <c r="K139" i="13"/>
  <c r="L139" i="13"/>
  <c r="M139" i="13"/>
  <c r="K138" i="13"/>
  <c r="L138" i="13"/>
  <c r="M138" i="13"/>
  <c r="R128" i="14"/>
  <c r="M128" i="14"/>
  <c r="L128" i="14"/>
  <c r="K128" i="14"/>
  <c r="R127" i="14"/>
  <c r="R126" i="14"/>
  <c r="M127" i="14"/>
  <c r="L127" i="14"/>
  <c r="K127" i="14"/>
  <c r="M126" i="14"/>
  <c r="L126" i="14"/>
  <c r="K126" i="14"/>
  <c r="R139" i="15"/>
  <c r="K139" i="15"/>
  <c r="E220" i="15" s="1"/>
  <c r="L139" i="15"/>
  <c r="M139" i="15"/>
  <c r="R138" i="15"/>
  <c r="K138" i="15"/>
  <c r="L138" i="15"/>
  <c r="M138" i="15"/>
  <c r="R137" i="15"/>
  <c r="K137" i="15"/>
  <c r="L137" i="15"/>
  <c r="M137" i="15"/>
  <c r="R132" i="8"/>
  <c r="K132" i="8"/>
  <c r="L132" i="8"/>
  <c r="M132" i="8"/>
  <c r="R134" i="8"/>
  <c r="R133" i="8"/>
  <c r="K134" i="8"/>
  <c r="L134" i="8"/>
  <c r="M134" i="8"/>
  <c r="K133" i="8"/>
  <c r="L133" i="8"/>
  <c r="M133" i="8"/>
  <c r="K59" i="31"/>
  <c r="L59" i="31"/>
  <c r="M59" i="31"/>
  <c r="K60" i="31"/>
  <c r="L60" i="31"/>
  <c r="M60" i="31"/>
  <c r="R125" i="7"/>
  <c r="R124" i="7"/>
  <c r="K124" i="7"/>
  <c r="L124" i="7"/>
  <c r="M124" i="7"/>
  <c r="K125" i="7"/>
  <c r="L125" i="7"/>
  <c r="M125" i="7"/>
  <c r="R68" i="29"/>
  <c r="K68" i="29"/>
  <c r="L68" i="29"/>
  <c r="M68" i="29"/>
  <c r="R67" i="29"/>
  <c r="M67" i="29"/>
  <c r="L67" i="29"/>
  <c r="K67" i="29"/>
  <c r="R95" i="6"/>
  <c r="K95" i="6"/>
  <c r="L95" i="6"/>
  <c r="M95" i="6"/>
  <c r="R97" i="6"/>
  <c r="R96" i="6"/>
  <c r="K97" i="6"/>
  <c r="L97" i="6"/>
  <c r="M97" i="6"/>
  <c r="K96" i="6"/>
  <c r="L96" i="6"/>
  <c r="M96" i="6"/>
  <c r="R47" i="30"/>
  <c r="R48" i="30"/>
  <c r="K47" i="30"/>
  <c r="L47" i="30"/>
  <c r="M47" i="30"/>
  <c r="K48" i="30"/>
  <c r="L48" i="30"/>
  <c r="M48" i="30"/>
  <c r="R124" i="5"/>
  <c r="R125" i="5"/>
  <c r="K125" i="5"/>
  <c r="L125" i="5"/>
  <c r="M125" i="5"/>
  <c r="K124" i="5"/>
  <c r="L124" i="5"/>
  <c r="M124" i="5"/>
  <c r="D202" i="11" l="1"/>
  <c r="C112" i="29"/>
  <c r="H154" i="6"/>
  <c r="B211" i="19"/>
  <c r="C205" i="18"/>
  <c r="B219" i="15"/>
  <c r="H219" i="15"/>
  <c r="C202" i="11"/>
  <c r="B202" i="11"/>
  <c r="C211" i="19"/>
  <c r="C154" i="6"/>
  <c r="N212" i="22"/>
  <c r="E162" i="26"/>
  <c r="E113" i="38"/>
  <c r="C178" i="20"/>
  <c r="B108" i="33"/>
  <c r="C219" i="15"/>
  <c r="N68" i="29"/>
  <c r="C92" i="30"/>
  <c r="C200" i="5"/>
  <c r="D112" i="29"/>
  <c r="B106" i="31"/>
  <c r="C147" i="35"/>
  <c r="D199" i="12"/>
  <c r="B178" i="20"/>
  <c r="B112" i="29"/>
  <c r="L110" i="32"/>
  <c r="J110" i="32"/>
  <c r="H110" i="32"/>
  <c r="C217" i="9"/>
  <c r="B205" i="18"/>
  <c r="E199" i="24"/>
  <c r="E202" i="25"/>
  <c r="N162" i="26"/>
  <c r="N113" i="38"/>
  <c r="B140" i="36"/>
  <c r="N85" i="36"/>
  <c r="B170" i="16"/>
  <c r="C170" i="16"/>
  <c r="D147" i="35"/>
  <c r="B147" i="35"/>
  <c r="E202" i="17"/>
  <c r="D200" i="21"/>
  <c r="C200" i="21"/>
  <c r="B108" i="34"/>
  <c r="C108" i="33"/>
  <c r="D108" i="33"/>
  <c r="N139" i="9"/>
  <c r="D217" i="9"/>
  <c r="N125" i="12"/>
  <c r="E200" i="12"/>
  <c r="E111" i="32"/>
  <c r="C110" i="32"/>
  <c r="D110" i="32"/>
  <c r="C215" i="13"/>
  <c r="D215" i="13"/>
  <c r="N128" i="14"/>
  <c r="E203" i="14"/>
  <c r="C202" i="14"/>
  <c r="B202" i="14"/>
  <c r="N220" i="15"/>
  <c r="E212" i="8"/>
  <c r="N134" i="8"/>
  <c r="N133" i="8"/>
  <c r="C106" i="31"/>
  <c r="B199" i="7"/>
  <c r="D199" i="7"/>
  <c r="C199" i="7"/>
  <c r="N97" i="6"/>
  <c r="D154" i="6"/>
  <c r="D92" i="30"/>
  <c r="D200" i="5"/>
  <c r="N125" i="5"/>
  <c r="D106" i="31"/>
  <c r="D211" i="8"/>
  <c r="D219" i="15"/>
  <c r="C224" i="10"/>
  <c r="C108" i="34"/>
  <c r="L202" i="17"/>
  <c r="J202" i="17"/>
  <c r="H202" i="17"/>
  <c r="C211" i="8"/>
  <c r="C199" i="12"/>
  <c r="N144" i="10"/>
  <c r="B224" i="10"/>
  <c r="N123" i="21"/>
  <c r="B200" i="5"/>
  <c r="B154" i="6"/>
  <c r="L154" i="6"/>
  <c r="J154" i="6"/>
  <c r="N124" i="5"/>
  <c r="J200" i="5"/>
  <c r="H200" i="5"/>
  <c r="W200" i="5"/>
  <c r="L200" i="5"/>
  <c r="N67" i="29"/>
  <c r="N132" i="8"/>
  <c r="B211" i="8"/>
  <c r="N137" i="15"/>
  <c r="N138" i="15"/>
  <c r="D202" i="14"/>
  <c r="L202" i="14"/>
  <c r="H202" i="14"/>
  <c r="J202" i="14"/>
  <c r="B215" i="13"/>
  <c r="H215" i="13"/>
  <c r="L215" i="13"/>
  <c r="J215" i="13"/>
  <c r="B110" i="32"/>
  <c r="B199" i="12"/>
  <c r="N145" i="10"/>
  <c r="J224" i="10"/>
  <c r="L224" i="10"/>
  <c r="H224" i="10"/>
  <c r="B217" i="9"/>
  <c r="H217" i="9"/>
  <c r="L217" i="9"/>
  <c r="J217" i="9"/>
  <c r="J108" i="33"/>
  <c r="H108" i="33"/>
  <c r="L108" i="33"/>
  <c r="L108" i="34"/>
  <c r="H108" i="34"/>
  <c r="J108" i="34"/>
  <c r="B200" i="21"/>
  <c r="H200" i="21"/>
  <c r="L200" i="21"/>
  <c r="J200" i="21"/>
  <c r="D178" i="20"/>
  <c r="D211" i="19"/>
  <c r="D205" i="18"/>
  <c r="N94" i="35"/>
  <c r="N94" i="16"/>
  <c r="D140" i="36"/>
  <c r="B92" i="30"/>
  <c r="L112" i="29"/>
  <c r="H112" i="29"/>
  <c r="J112" i="29"/>
  <c r="W199" i="7"/>
  <c r="J199" i="7"/>
  <c r="H199" i="7"/>
  <c r="L199" i="7"/>
  <c r="N60" i="31"/>
  <c r="J211" i="8"/>
  <c r="L211" i="8"/>
  <c r="H211" i="8"/>
  <c r="L219" i="15"/>
  <c r="J219" i="15"/>
  <c r="L202" i="11"/>
  <c r="J202" i="11"/>
  <c r="H202" i="11"/>
  <c r="D224" i="10"/>
  <c r="D108" i="34"/>
  <c r="H178" i="20"/>
  <c r="L178" i="20"/>
  <c r="J178" i="20"/>
  <c r="H211" i="19"/>
  <c r="L211" i="19"/>
  <c r="J211" i="19"/>
  <c r="H205" i="18"/>
  <c r="L205" i="18"/>
  <c r="J205" i="18"/>
  <c r="N95" i="35"/>
  <c r="D170" i="16"/>
  <c r="C140" i="36"/>
  <c r="N139" i="15"/>
  <c r="L92" i="30"/>
  <c r="H92" i="30"/>
  <c r="J92" i="30"/>
  <c r="J170" i="16"/>
  <c r="E212" i="22"/>
  <c r="E209" i="23"/>
  <c r="N209" i="23"/>
  <c r="N199" i="24"/>
  <c r="N202" i="25"/>
  <c r="N82" i="36"/>
  <c r="N83" i="36"/>
  <c r="N84" i="36"/>
  <c r="N93" i="16"/>
  <c r="N127" i="18"/>
  <c r="N126" i="18"/>
  <c r="N127" i="19"/>
  <c r="N128" i="19"/>
  <c r="N129" i="19"/>
  <c r="N109" i="20"/>
  <c r="N108" i="20"/>
  <c r="N122" i="21"/>
  <c r="N62" i="33"/>
  <c r="N138" i="9"/>
  <c r="N126" i="11"/>
  <c r="N127" i="11"/>
  <c r="N123" i="12"/>
  <c r="N124" i="12"/>
  <c r="N65" i="32"/>
  <c r="N63" i="32"/>
  <c r="N64" i="32"/>
  <c r="N138" i="13"/>
  <c r="N139" i="13"/>
  <c r="N126" i="14"/>
  <c r="N127" i="14"/>
  <c r="N63" i="34"/>
  <c r="N47" i="30"/>
  <c r="N59" i="31"/>
  <c r="N86" i="36"/>
  <c r="N81" i="36"/>
  <c r="N62" i="34"/>
  <c r="N63" i="33"/>
  <c r="N125" i="7"/>
  <c r="N124" i="7"/>
  <c r="N96" i="6"/>
  <c r="N95" i="6"/>
  <c r="N48" i="30"/>
  <c r="K71" i="28"/>
  <c r="L71" i="28"/>
  <c r="M71" i="28"/>
  <c r="K70" i="28"/>
  <c r="L70" i="28"/>
  <c r="M70" i="28"/>
  <c r="R69" i="28"/>
  <c r="K69" i="28"/>
  <c r="L69" i="28"/>
  <c r="M69" i="28"/>
  <c r="E215" i="13" l="1"/>
  <c r="E112" i="29"/>
  <c r="E217" i="9"/>
  <c r="E211" i="8"/>
  <c r="E170" i="16"/>
  <c r="E205" i="18"/>
  <c r="E200" i="21"/>
  <c r="E219" i="15"/>
  <c r="E199" i="7"/>
  <c r="E200" i="5"/>
  <c r="D118" i="28"/>
  <c r="B118" i="28"/>
  <c r="N70" i="28"/>
  <c r="N215" i="13"/>
  <c r="E92" i="30"/>
  <c r="N219" i="15"/>
  <c r="N112" i="29"/>
  <c r="E140" i="36"/>
  <c r="E211" i="19"/>
  <c r="N212" i="19"/>
  <c r="N211" i="19"/>
  <c r="N178" i="20"/>
  <c r="N108" i="33"/>
  <c r="E108" i="33"/>
  <c r="N202" i="11"/>
  <c r="E199" i="12"/>
  <c r="N203" i="14"/>
  <c r="N212" i="8"/>
  <c r="E106" i="31"/>
  <c r="N199" i="7"/>
  <c r="E154" i="6"/>
  <c r="N154" i="6"/>
  <c r="N71" i="28"/>
  <c r="N211" i="8"/>
  <c r="N69" i="28"/>
  <c r="N200" i="5"/>
  <c r="L118" i="28"/>
  <c r="J118" i="28"/>
  <c r="H118" i="28"/>
  <c r="C118" i="28"/>
  <c r="N92" i="30"/>
  <c r="N170" i="16"/>
  <c r="N202" i="17"/>
  <c r="N205" i="18"/>
  <c r="E178" i="20"/>
  <c r="N200" i="21"/>
  <c r="N217" i="9"/>
  <c r="E202" i="11"/>
  <c r="E110" i="32"/>
  <c r="N110" i="32"/>
  <c r="E202" i="14"/>
  <c r="N202" i="14"/>
  <c r="R130" i="3"/>
  <c r="R129" i="3"/>
  <c r="K130" i="3"/>
  <c r="L130" i="3"/>
  <c r="M130" i="3"/>
  <c r="K129" i="3"/>
  <c r="L129" i="3"/>
  <c r="M129" i="3"/>
  <c r="R123" i="2"/>
  <c r="K123" i="2"/>
  <c r="L123" i="2"/>
  <c r="M123" i="2"/>
  <c r="R122" i="2"/>
  <c r="M122" i="2"/>
  <c r="L122" i="2"/>
  <c r="K122" i="2"/>
  <c r="K129" i="1"/>
  <c r="L129" i="1"/>
  <c r="M129" i="1"/>
  <c r="K130" i="1"/>
  <c r="L130" i="1"/>
  <c r="M130" i="1"/>
  <c r="R130" i="1"/>
  <c r="R129" i="1"/>
  <c r="S204" i="1"/>
  <c r="W210" i="3" l="1"/>
  <c r="H210" i="3"/>
  <c r="C202" i="2"/>
  <c r="B202" i="2"/>
  <c r="N130" i="1"/>
  <c r="D202" i="2"/>
  <c r="E118" i="28"/>
  <c r="B205" i="1"/>
  <c r="C210" i="3"/>
  <c r="N130" i="3"/>
  <c r="B210" i="3"/>
  <c r="W202" i="2"/>
  <c r="D205" i="1"/>
  <c r="C205" i="1"/>
  <c r="J205" i="1"/>
  <c r="H205" i="1"/>
  <c r="W205" i="1"/>
  <c r="L205" i="1"/>
  <c r="N129" i="3"/>
  <c r="D210" i="3"/>
  <c r="N118" i="28"/>
  <c r="L210" i="3"/>
  <c r="J210" i="3"/>
  <c r="N129" i="1"/>
  <c r="N123" i="2"/>
  <c r="N122" i="2"/>
  <c r="J198" i="12"/>
  <c r="H198" i="12"/>
  <c r="H197" i="12"/>
  <c r="S218" i="15"/>
  <c r="T218" i="15"/>
  <c r="U218" i="15"/>
  <c r="U216" i="15"/>
  <c r="T201" i="2"/>
  <c r="E205" i="1" l="1"/>
  <c r="E210" i="3"/>
  <c r="E202" i="2"/>
  <c r="N210" i="3"/>
  <c r="N205" i="1"/>
  <c r="W218" i="15"/>
  <c r="T117" i="37"/>
  <c r="U117" i="37"/>
  <c r="S117" i="37"/>
  <c r="T198" i="7"/>
  <c r="U198" i="7"/>
  <c r="S198" i="7"/>
  <c r="T91" i="30"/>
  <c r="U91" i="30"/>
  <c r="S91" i="30"/>
  <c r="R46" i="30"/>
  <c r="M46" i="30"/>
  <c r="K46" i="30"/>
  <c r="L46" i="30"/>
  <c r="R45" i="30"/>
  <c r="K45" i="30"/>
  <c r="L45" i="30"/>
  <c r="M45" i="30"/>
  <c r="N45" i="30" l="1"/>
  <c r="N46" i="30"/>
  <c r="W117" i="37"/>
  <c r="W91" i="30"/>
  <c r="U107" i="33"/>
  <c r="T107" i="33"/>
  <c r="S107" i="33"/>
  <c r="W107" i="33" l="1"/>
  <c r="U211" i="22"/>
  <c r="T211" i="22"/>
  <c r="S211" i="22"/>
  <c r="L211" i="22"/>
  <c r="J211" i="22"/>
  <c r="H211" i="22"/>
  <c r="D211" i="22"/>
  <c r="C211" i="22"/>
  <c r="B211" i="22"/>
  <c r="U208" i="23"/>
  <c r="T208" i="23"/>
  <c r="S208" i="23"/>
  <c r="L208" i="23"/>
  <c r="J208" i="23"/>
  <c r="H208" i="23"/>
  <c r="K122" i="23"/>
  <c r="L122" i="23"/>
  <c r="M122" i="23"/>
  <c r="K121" i="23"/>
  <c r="L121" i="23"/>
  <c r="M121" i="23"/>
  <c r="S198" i="24"/>
  <c r="U198" i="24"/>
  <c r="T198" i="24"/>
  <c r="D198" i="24"/>
  <c r="C198" i="24"/>
  <c r="B198" i="24"/>
  <c r="R121" i="24"/>
  <c r="R120" i="24"/>
  <c r="U201" i="25"/>
  <c r="T201" i="25"/>
  <c r="S201" i="25"/>
  <c r="R121" i="25"/>
  <c r="R120" i="25"/>
  <c r="K120" i="25"/>
  <c r="L120" i="25"/>
  <c r="M120" i="25"/>
  <c r="K121" i="25"/>
  <c r="L121" i="25"/>
  <c r="M121" i="25"/>
  <c r="U161" i="26"/>
  <c r="T161" i="26"/>
  <c r="S161" i="26"/>
  <c r="R85" i="26"/>
  <c r="K85" i="26"/>
  <c r="L85" i="26"/>
  <c r="M85" i="26"/>
  <c r="R84" i="26"/>
  <c r="K84" i="26"/>
  <c r="L84" i="26"/>
  <c r="M84" i="26"/>
  <c r="U112" i="38"/>
  <c r="T112" i="38"/>
  <c r="S112" i="38"/>
  <c r="R63" i="38"/>
  <c r="R62" i="38"/>
  <c r="K63" i="38"/>
  <c r="L63" i="38"/>
  <c r="M63" i="38"/>
  <c r="K62" i="38"/>
  <c r="L62" i="38"/>
  <c r="M62" i="38"/>
  <c r="D161" i="26" l="1"/>
  <c r="L161" i="26"/>
  <c r="J198" i="24"/>
  <c r="B161" i="26"/>
  <c r="C112" i="38"/>
  <c r="B208" i="23"/>
  <c r="D208" i="23"/>
  <c r="C208" i="23"/>
  <c r="N122" i="23"/>
  <c r="J201" i="25"/>
  <c r="D201" i="25"/>
  <c r="C201" i="25"/>
  <c r="N120" i="25"/>
  <c r="N85" i="26"/>
  <c r="B112" i="38"/>
  <c r="H112" i="38"/>
  <c r="D112" i="38"/>
  <c r="W112" i="38"/>
  <c r="C161" i="26"/>
  <c r="L198" i="24"/>
  <c r="L201" i="25"/>
  <c r="H198" i="24"/>
  <c r="J112" i="38"/>
  <c r="H161" i="26"/>
  <c r="N208" i="23"/>
  <c r="W198" i="24"/>
  <c r="E198" i="24"/>
  <c r="B201" i="25"/>
  <c r="H201" i="25"/>
  <c r="N84" i="26"/>
  <c r="J161" i="26"/>
  <c r="L112" i="38"/>
  <c r="N64" i="38"/>
  <c r="N63" i="38"/>
  <c r="N211" i="22"/>
  <c r="W211" i="22"/>
  <c r="E211" i="22"/>
  <c r="W208" i="23"/>
  <c r="N121" i="23"/>
  <c r="N121" i="25"/>
  <c r="W201" i="25"/>
  <c r="W161" i="26"/>
  <c r="R67" i="37"/>
  <c r="K67" i="37"/>
  <c r="L67" i="37"/>
  <c r="M67" i="37"/>
  <c r="N201" i="25" l="1"/>
  <c r="E161" i="26"/>
  <c r="E112" i="38"/>
  <c r="E208" i="23"/>
  <c r="N198" i="24"/>
  <c r="E201" i="25"/>
  <c r="N161" i="26"/>
  <c r="N112" i="38"/>
  <c r="N67" i="37"/>
  <c r="E118" i="37"/>
  <c r="R66" i="37"/>
  <c r="K66" i="37"/>
  <c r="L66" i="37"/>
  <c r="M66" i="37"/>
  <c r="R65" i="37"/>
  <c r="K65" i="37"/>
  <c r="L65" i="37"/>
  <c r="M65" i="37"/>
  <c r="T139" i="36"/>
  <c r="U139" i="36"/>
  <c r="S139" i="36"/>
  <c r="K79" i="36"/>
  <c r="L79" i="36"/>
  <c r="M79" i="36"/>
  <c r="K80" i="36"/>
  <c r="L80" i="36"/>
  <c r="M80" i="36"/>
  <c r="T169" i="16"/>
  <c r="K91" i="16"/>
  <c r="L91" i="16"/>
  <c r="M91" i="16"/>
  <c r="K92" i="16"/>
  <c r="L92" i="16"/>
  <c r="M92" i="16"/>
  <c r="U146" i="35"/>
  <c r="T146" i="35"/>
  <c r="S146" i="35"/>
  <c r="L146" i="35"/>
  <c r="J146" i="35"/>
  <c r="K93" i="35"/>
  <c r="L93" i="35"/>
  <c r="M93" i="35"/>
  <c r="K92" i="35"/>
  <c r="L92" i="35"/>
  <c r="M92" i="35"/>
  <c r="K91" i="35"/>
  <c r="L91" i="35"/>
  <c r="M91" i="35"/>
  <c r="U201" i="17"/>
  <c r="T201" i="17"/>
  <c r="S201" i="17"/>
  <c r="D201" i="17"/>
  <c r="C201" i="17"/>
  <c r="B201" i="17"/>
  <c r="R123" i="17"/>
  <c r="R122" i="17"/>
  <c r="S204" i="18"/>
  <c r="U204" i="18"/>
  <c r="T204" i="18"/>
  <c r="R125" i="18"/>
  <c r="K125" i="18"/>
  <c r="L125" i="18"/>
  <c r="M125" i="18"/>
  <c r="R124" i="18"/>
  <c r="M124" i="18"/>
  <c r="L124" i="18"/>
  <c r="K124" i="18"/>
  <c r="U210" i="19"/>
  <c r="T210" i="19"/>
  <c r="S210" i="19"/>
  <c r="R126" i="19"/>
  <c r="M126" i="19"/>
  <c r="L126" i="19"/>
  <c r="K126" i="19"/>
  <c r="R125" i="19"/>
  <c r="M125" i="19"/>
  <c r="L125" i="19"/>
  <c r="C210" i="19" s="1"/>
  <c r="K125" i="19"/>
  <c r="R107" i="20"/>
  <c r="R106" i="20"/>
  <c r="U177" i="20"/>
  <c r="T177" i="20"/>
  <c r="S177" i="20"/>
  <c r="K107" i="20"/>
  <c r="L107" i="20"/>
  <c r="M107" i="20"/>
  <c r="K106" i="20"/>
  <c r="L106" i="20"/>
  <c r="M106" i="20"/>
  <c r="U199" i="21"/>
  <c r="T199" i="21"/>
  <c r="S199" i="21"/>
  <c r="R120" i="21"/>
  <c r="R121" i="21"/>
  <c r="K120" i="21"/>
  <c r="L120" i="21"/>
  <c r="M120" i="21"/>
  <c r="K121" i="21"/>
  <c r="L121" i="21"/>
  <c r="M121" i="21"/>
  <c r="J204" i="18" l="1"/>
  <c r="L210" i="19"/>
  <c r="C204" i="18"/>
  <c r="C117" i="37"/>
  <c r="D117" i="37"/>
  <c r="B177" i="20"/>
  <c r="L177" i="20"/>
  <c r="C177" i="20"/>
  <c r="W146" i="35"/>
  <c r="D177" i="20"/>
  <c r="D199" i="21"/>
  <c r="B199" i="21"/>
  <c r="H199" i="21"/>
  <c r="C199" i="21"/>
  <c r="L199" i="21"/>
  <c r="N124" i="18"/>
  <c r="L204" i="18"/>
  <c r="D146" i="35"/>
  <c r="N66" i="37"/>
  <c r="N92" i="35"/>
  <c r="N107" i="20"/>
  <c r="W177" i="20"/>
  <c r="D204" i="18"/>
  <c r="C169" i="16"/>
  <c r="W169" i="16"/>
  <c r="N118" i="37"/>
  <c r="B169" i="16"/>
  <c r="N93" i="35"/>
  <c r="E147" i="35"/>
  <c r="N91" i="35"/>
  <c r="B146" i="35"/>
  <c r="C146" i="35"/>
  <c r="J201" i="17"/>
  <c r="L201" i="17"/>
  <c r="B204" i="18"/>
  <c r="H204" i="18"/>
  <c r="N125" i="19"/>
  <c r="J210" i="19"/>
  <c r="H210" i="19"/>
  <c r="D210" i="19"/>
  <c r="B210" i="19"/>
  <c r="H177" i="20"/>
  <c r="J199" i="21"/>
  <c r="H117" i="37"/>
  <c r="J117" i="37"/>
  <c r="L117" i="37"/>
  <c r="N65" i="37"/>
  <c r="B117" i="37"/>
  <c r="N92" i="16"/>
  <c r="N91" i="16"/>
  <c r="J169" i="16"/>
  <c r="D169" i="16"/>
  <c r="H201" i="17"/>
  <c r="N139" i="36"/>
  <c r="C139" i="36"/>
  <c r="B139" i="36"/>
  <c r="N80" i="36"/>
  <c r="N79" i="36"/>
  <c r="W139" i="36"/>
  <c r="D139" i="36"/>
  <c r="N146" i="35"/>
  <c r="W201" i="17"/>
  <c r="E201" i="17"/>
  <c r="W204" i="18"/>
  <c r="N125" i="18"/>
  <c r="W210" i="19"/>
  <c r="N126" i="19"/>
  <c r="J177" i="20"/>
  <c r="N106" i="20"/>
  <c r="W199" i="21"/>
  <c r="N120" i="21"/>
  <c r="N121" i="21"/>
  <c r="T107" i="34"/>
  <c r="U107" i="34"/>
  <c r="S107" i="34"/>
  <c r="R61" i="34"/>
  <c r="K61" i="34"/>
  <c r="L61" i="34"/>
  <c r="M61" i="34"/>
  <c r="R60" i="34"/>
  <c r="J107" i="34" s="1"/>
  <c r="K60" i="34"/>
  <c r="L60" i="34"/>
  <c r="M60" i="34"/>
  <c r="R61" i="33"/>
  <c r="K61" i="33"/>
  <c r="L61" i="33"/>
  <c r="M61" i="33"/>
  <c r="R60" i="33"/>
  <c r="K60" i="33"/>
  <c r="L60" i="33"/>
  <c r="M60" i="33"/>
  <c r="U216" i="9"/>
  <c r="T216" i="9"/>
  <c r="S216" i="9"/>
  <c r="R137" i="9"/>
  <c r="M137" i="9"/>
  <c r="L137" i="9"/>
  <c r="K137" i="9"/>
  <c r="R136" i="9"/>
  <c r="K136" i="9"/>
  <c r="L136" i="9"/>
  <c r="M136" i="9"/>
  <c r="C216" i="9" l="1"/>
  <c r="D107" i="33"/>
  <c r="E117" i="37"/>
  <c r="E146" i="35"/>
  <c r="E204" i="18"/>
  <c r="N204" i="18"/>
  <c r="E177" i="20"/>
  <c r="C107" i="33"/>
  <c r="N210" i="19"/>
  <c r="W216" i="9"/>
  <c r="E169" i="16"/>
  <c r="N177" i="20"/>
  <c r="E199" i="21"/>
  <c r="N199" i="21"/>
  <c r="B216" i="9"/>
  <c r="W107" i="34"/>
  <c r="E210" i="19"/>
  <c r="N201" i="17"/>
  <c r="L216" i="9"/>
  <c r="E108" i="34"/>
  <c r="N108" i="34"/>
  <c r="D107" i="34"/>
  <c r="N117" i="37"/>
  <c r="E139" i="36"/>
  <c r="N169" i="16"/>
  <c r="C107" i="34"/>
  <c r="L107" i="34"/>
  <c r="N61" i="34"/>
  <c r="N60" i="34"/>
  <c r="H107" i="34"/>
  <c r="B107" i="34"/>
  <c r="B107" i="33"/>
  <c r="E107" i="33" s="1"/>
  <c r="L107" i="33"/>
  <c r="J107" i="33"/>
  <c r="H107" i="33"/>
  <c r="N61" i="33"/>
  <c r="D216" i="9"/>
  <c r="H216" i="9"/>
  <c r="J216" i="9"/>
  <c r="N137" i="9"/>
  <c r="N60" i="33"/>
  <c r="N136" i="9"/>
  <c r="U223" i="10"/>
  <c r="T223" i="10"/>
  <c r="S223" i="10"/>
  <c r="K141" i="10"/>
  <c r="L141" i="10"/>
  <c r="M141" i="10"/>
  <c r="R143" i="10"/>
  <c r="K143" i="10"/>
  <c r="L143" i="10"/>
  <c r="M143" i="10"/>
  <c r="R141" i="10"/>
  <c r="R142" i="10"/>
  <c r="K142" i="10"/>
  <c r="L142" i="10"/>
  <c r="M142" i="10"/>
  <c r="U198" i="12"/>
  <c r="T198" i="12"/>
  <c r="S198" i="12"/>
  <c r="L198" i="12"/>
  <c r="N107" i="34" l="1"/>
  <c r="E107" i="34"/>
  <c r="E216" i="9"/>
  <c r="W223" i="10"/>
  <c r="J223" i="10"/>
  <c r="L223" i="10"/>
  <c r="W198" i="12"/>
  <c r="D223" i="10"/>
  <c r="E224" i="10"/>
  <c r="H223" i="10"/>
  <c r="N224" i="10"/>
  <c r="C223" i="10"/>
  <c r="B223" i="10"/>
  <c r="N107" i="33"/>
  <c r="N216" i="9"/>
  <c r="N141" i="10"/>
  <c r="N143" i="10"/>
  <c r="N142" i="10"/>
  <c r="N198" i="12"/>
  <c r="R122" i="12"/>
  <c r="M122" i="12"/>
  <c r="L122" i="12"/>
  <c r="K122" i="12"/>
  <c r="R134" i="15"/>
  <c r="R135" i="15"/>
  <c r="R136" i="15"/>
  <c r="R132" i="15"/>
  <c r="R133" i="15"/>
  <c r="R131" i="15"/>
  <c r="T82" i="30"/>
  <c r="U201" i="11"/>
  <c r="T201" i="11"/>
  <c r="S201" i="11"/>
  <c r="R125" i="11"/>
  <c r="M125" i="11"/>
  <c r="K125" i="11"/>
  <c r="L125" i="11"/>
  <c r="R124" i="11"/>
  <c r="K124" i="11"/>
  <c r="L124" i="11"/>
  <c r="M124" i="11"/>
  <c r="R121" i="12"/>
  <c r="K121" i="12"/>
  <c r="L121" i="12"/>
  <c r="M121" i="12"/>
  <c r="N223" i="10" l="1"/>
  <c r="W201" i="11"/>
  <c r="J201" i="11"/>
  <c r="D201" i="11"/>
  <c r="C201" i="11"/>
  <c r="C198" i="12"/>
  <c r="B198" i="12"/>
  <c r="L201" i="11"/>
  <c r="N124" i="11"/>
  <c r="H201" i="11"/>
  <c r="B201" i="11"/>
  <c r="D198" i="12"/>
  <c r="E223" i="10"/>
  <c r="J218" i="15"/>
  <c r="H218" i="15"/>
  <c r="L218" i="15"/>
  <c r="N121" i="12"/>
  <c r="N122" i="12"/>
  <c r="N125" i="11"/>
  <c r="U109" i="32"/>
  <c r="T109" i="32"/>
  <c r="S109" i="32"/>
  <c r="R61" i="32"/>
  <c r="M61" i="32"/>
  <c r="L61" i="32"/>
  <c r="K61" i="32"/>
  <c r="R62" i="32"/>
  <c r="M62" i="32"/>
  <c r="L62" i="32"/>
  <c r="K62" i="32"/>
  <c r="U214" i="13"/>
  <c r="T214" i="13"/>
  <c r="S214" i="13"/>
  <c r="K137" i="13"/>
  <c r="L137" i="13"/>
  <c r="M137" i="13"/>
  <c r="R136" i="13"/>
  <c r="R137" i="13"/>
  <c r="K136" i="13"/>
  <c r="L136" i="13"/>
  <c r="M136" i="13"/>
  <c r="U201" i="14"/>
  <c r="T201" i="14"/>
  <c r="S201" i="14"/>
  <c r="R124" i="14"/>
  <c r="M124" i="14"/>
  <c r="L124" i="14"/>
  <c r="K124" i="14"/>
  <c r="R125" i="14"/>
  <c r="M125" i="14"/>
  <c r="L125" i="14"/>
  <c r="K125" i="14"/>
  <c r="K136" i="15"/>
  <c r="L136" i="15"/>
  <c r="M136" i="15"/>
  <c r="K132" i="15"/>
  <c r="L132" i="15"/>
  <c r="M132" i="15"/>
  <c r="K133" i="15"/>
  <c r="L133" i="15"/>
  <c r="M133" i="15"/>
  <c r="K134" i="15"/>
  <c r="L134" i="15"/>
  <c r="M134" i="15"/>
  <c r="K135" i="15"/>
  <c r="L135" i="15"/>
  <c r="M135" i="15"/>
  <c r="U210" i="8"/>
  <c r="T210" i="8"/>
  <c r="S210" i="8"/>
  <c r="K130" i="8"/>
  <c r="L130" i="8"/>
  <c r="M130" i="8"/>
  <c r="R130" i="8"/>
  <c r="K131" i="8"/>
  <c r="L131" i="8"/>
  <c r="M131" i="8"/>
  <c r="R131" i="8"/>
  <c r="U105" i="31"/>
  <c r="T105" i="31"/>
  <c r="S105" i="31"/>
  <c r="K57" i="31"/>
  <c r="K58" i="31"/>
  <c r="L58" i="31"/>
  <c r="M58" i="31"/>
  <c r="R57" i="31"/>
  <c r="R56" i="31"/>
  <c r="L57" i="31"/>
  <c r="M57" i="31"/>
  <c r="R123" i="7"/>
  <c r="K123" i="7"/>
  <c r="L123" i="7"/>
  <c r="M123" i="7"/>
  <c r="R122" i="7"/>
  <c r="W198" i="7" s="1"/>
  <c r="K122" i="7"/>
  <c r="L122" i="7"/>
  <c r="M122" i="7"/>
  <c r="U111" i="29"/>
  <c r="T111" i="29"/>
  <c r="S111" i="29"/>
  <c r="K66" i="29"/>
  <c r="L66" i="29"/>
  <c r="M66" i="29"/>
  <c r="R66" i="29"/>
  <c r="R65" i="29"/>
  <c r="K65" i="29"/>
  <c r="L65" i="29"/>
  <c r="M65" i="29"/>
  <c r="D210" i="8" l="1"/>
  <c r="C201" i="14"/>
  <c r="D105" i="31"/>
  <c r="D214" i="13"/>
  <c r="D111" i="29"/>
  <c r="W111" i="29"/>
  <c r="N58" i="31"/>
  <c r="N131" i="8"/>
  <c r="L105" i="31"/>
  <c r="E201" i="11"/>
  <c r="N201" i="11"/>
  <c r="E198" i="12"/>
  <c r="D109" i="32"/>
  <c r="C214" i="13"/>
  <c r="B214" i="13"/>
  <c r="L214" i="13"/>
  <c r="B201" i="14"/>
  <c r="N125" i="14"/>
  <c r="W210" i="8"/>
  <c r="C210" i="8"/>
  <c r="B210" i="8"/>
  <c r="L210" i="8"/>
  <c r="H210" i="8"/>
  <c r="C105" i="31"/>
  <c r="B105" i="31"/>
  <c r="L201" i="14"/>
  <c r="C109" i="32"/>
  <c r="J210" i="8"/>
  <c r="B111" i="29"/>
  <c r="N66" i="29"/>
  <c r="J105" i="31"/>
  <c r="L109" i="32"/>
  <c r="N65" i="29"/>
  <c r="J111" i="29"/>
  <c r="W105" i="31"/>
  <c r="N130" i="8"/>
  <c r="N124" i="14"/>
  <c r="J214" i="13"/>
  <c r="N62" i="32"/>
  <c r="B109" i="32"/>
  <c r="W109" i="32"/>
  <c r="H109" i="32"/>
  <c r="J109" i="32"/>
  <c r="N61" i="32"/>
  <c r="H214" i="13"/>
  <c r="W201" i="14"/>
  <c r="D201" i="14"/>
  <c r="H201" i="14"/>
  <c r="J201" i="14"/>
  <c r="H105" i="31"/>
  <c r="N57" i="31"/>
  <c r="N135" i="15"/>
  <c r="N134" i="15"/>
  <c r="D218" i="15"/>
  <c r="C218" i="15"/>
  <c r="N218" i="15"/>
  <c r="N132" i="15"/>
  <c r="B218" i="15"/>
  <c r="C198" i="7"/>
  <c r="B198" i="7"/>
  <c r="N123" i="7"/>
  <c r="D198" i="7"/>
  <c r="J198" i="7"/>
  <c r="H198" i="7"/>
  <c r="L198" i="7"/>
  <c r="N122" i="7"/>
  <c r="L111" i="29"/>
  <c r="C111" i="29"/>
  <c r="H111" i="29"/>
  <c r="N136" i="15"/>
  <c r="N133" i="15"/>
  <c r="W214" i="13"/>
  <c r="N136" i="13"/>
  <c r="N137" i="13"/>
  <c r="W153" i="6"/>
  <c r="R93" i="6"/>
  <c r="K93" i="6"/>
  <c r="B153" i="6" s="1"/>
  <c r="L93" i="6"/>
  <c r="C153" i="6" s="1"/>
  <c r="M93" i="6"/>
  <c r="D153" i="6" s="1"/>
  <c r="L153" i="6" l="1"/>
  <c r="H153" i="6"/>
  <c r="J153" i="6"/>
  <c r="E214" i="13"/>
  <c r="E201" i="14"/>
  <c r="E210" i="8"/>
  <c r="E109" i="32"/>
  <c r="N214" i="13"/>
  <c r="E218" i="15"/>
  <c r="N210" i="8"/>
  <c r="N105" i="31"/>
  <c r="E111" i="29"/>
  <c r="N111" i="29"/>
  <c r="N201" i="14"/>
  <c r="N109" i="32"/>
  <c r="E198" i="7"/>
  <c r="N198" i="7"/>
  <c r="N93" i="6"/>
  <c r="E153" i="6"/>
  <c r="R44" i="30"/>
  <c r="K44" i="30"/>
  <c r="L44" i="30"/>
  <c r="C91" i="30" s="1"/>
  <c r="M44" i="30"/>
  <c r="D91" i="30" s="1"/>
  <c r="T199" i="5"/>
  <c r="U199" i="5"/>
  <c r="S199" i="5"/>
  <c r="R122" i="5"/>
  <c r="R123" i="5"/>
  <c r="K122" i="5"/>
  <c r="L122" i="5"/>
  <c r="M122" i="5"/>
  <c r="K123" i="5"/>
  <c r="L123" i="5"/>
  <c r="M123" i="5"/>
  <c r="U117" i="28"/>
  <c r="T117" i="28"/>
  <c r="S117" i="28"/>
  <c r="R67" i="28"/>
  <c r="R68" i="28"/>
  <c r="K68" i="28"/>
  <c r="L68" i="28"/>
  <c r="M68" i="28"/>
  <c r="K67" i="28"/>
  <c r="L67" i="28"/>
  <c r="M67" i="28"/>
  <c r="U209" i="3"/>
  <c r="T209" i="3"/>
  <c r="S209" i="3"/>
  <c r="K128" i="3"/>
  <c r="L128" i="3"/>
  <c r="M128" i="3"/>
  <c r="R128" i="3"/>
  <c r="R127" i="3"/>
  <c r="K127" i="3"/>
  <c r="L127" i="3"/>
  <c r="M127" i="3"/>
  <c r="N67" i="28" l="1"/>
  <c r="N153" i="6"/>
  <c r="C209" i="3"/>
  <c r="W209" i="3"/>
  <c r="N128" i="3"/>
  <c r="L199" i="5"/>
  <c r="C199" i="5"/>
  <c r="C117" i="28"/>
  <c r="D117" i="28"/>
  <c r="L117" i="28"/>
  <c r="D209" i="3"/>
  <c r="H209" i="3"/>
  <c r="J209" i="3"/>
  <c r="D199" i="5"/>
  <c r="W199" i="5"/>
  <c r="L209" i="3"/>
  <c r="J199" i="5"/>
  <c r="N122" i="5"/>
  <c r="B199" i="5"/>
  <c r="N44" i="30"/>
  <c r="B91" i="30"/>
  <c r="E91" i="30" s="1"/>
  <c r="L91" i="30"/>
  <c r="J91" i="30"/>
  <c r="H91" i="30"/>
  <c r="B117" i="28"/>
  <c r="N68" i="28"/>
  <c r="H117" i="28"/>
  <c r="J117" i="28"/>
  <c r="H199" i="5"/>
  <c r="N123" i="5"/>
  <c r="W117" i="28"/>
  <c r="N127" i="3"/>
  <c r="U201" i="2"/>
  <c r="L201" i="2"/>
  <c r="J201" i="2"/>
  <c r="H201" i="2"/>
  <c r="H200" i="2"/>
  <c r="R121" i="2"/>
  <c r="K121" i="2"/>
  <c r="L121" i="2"/>
  <c r="M121" i="2"/>
  <c r="R120" i="2"/>
  <c r="K120" i="2"/>
  <c r="L120" i="2"/>
  <c r="M120" i="2"/>
  <c r="U204" i="1"/>
  <c r="T204" i="1"/>
  <c r="R128" i="1"/>
  <c r="L128" i="1"/>
  <c r="M128" i="1"/>
  <c r="K128" i="1"/>
  <c r="N199" i="5" l="1"/>
  <c r="E117" i="28"/>
  <c r="E199" i="5"/>
  <c r="N201" i="2"/>
  <c r="W201" i="2"/>
  <c r="N209" i="3"/>
  <c r="N91" i="30"/>
  <c r="N117" i="28"/>
  <c r="D201" i="2"/>
  <c r="C201" i="2"/>
  <c r="B201" i="2"/>
  <c r="N128" i="1"/>
  <c r="N120" i="2"/>
  <c r="N121" i="2"/>
  <c r="R126" i="1"/>
  <c r="M126" i="1"/>
  <c r="L126" i="1"/>
  <c r="K126" i="1"/>
  <c r="R127" i="1"/>
  <c r="M127" i="1"/>
  <c r="L127" i="1"/>
  <c r="K127" i="1"/>
  <c r="C204" i="1" l="1"/>
  <c r="E201" i="2"/>
  <c r="D204" i="1"/>
  <c r="L204" i="1"/>
  <c r="J204" i="1"/>
  <c r="H204" i="1"/>
  <c r="W204" i="1"/>
  <c r="B204" i="1"/>
  <c r="N126" i="1"/>
  <c r="N127" i="1"/>
  <c r="K115" i="23"/>
  <c r="L115" i="23"/>
  <c r="M115" i="23"/>
  <c r="K116" i="23"/>
  <c r="L116" i="23"/>
  <c r="M116" i="23"/>
  <c r="K117" i="23"/>
  <c r="L117" i="23"/>
  <c r="M117" i="23"/>
  <c r="K118" i="23"/>
  <c r="L118" i="23"/>
  <c r="M118" i="23"/>
  <c r="K119" i="23"/>
  <c r="L119" i="23"/>
  <c r="M119" i="23"/>
  <c r="K120" i="23"/>
  <c r="L120" i="23"/>
  <c r="M120" i="23"/>
  <c r="N117" i="23" l="1"/>
  <c r="B207" i="23"/>
  <c r="E204" i="1"/>
  <c r="N204" i="1"/>
  <c r="N118" i="23"/>
  <c r="N119" i="23"/>
  <c r="N115" i="23"/>
  <c r="D207" i="23"/>
  <c r="N116" i="23"/>
  <c r="C207" i="23"/>
  <c r="N120" i="23"/>
  <c r="E207" i="23" l="1"/>
  <c r="S116" i="37"/>
  <c r="S209" i="8" l="1"/>
  <c r="T209" i="8"/>
  <c r="U116" i="28" l="1"/>
  <c r="T116" i="28"/>
  <c r="S116" i="28"/>
  <c r="U210" i="22" l="1"/>
  <c r="T210" i="22"/>
  <c r="S210" i="22"/>
  <c r="L210" i="22"/>
  <c r="J210" i="22"/>
  <c r="H210" i="22"/>
  <c r="D210" i="22"/>
  <c r="C210" i="22"/>
  <c r="S207" i="23"/>
  <c r="T207" i="23"/>
  <c r="U207" i="23"/>
  <c r="H207" i="23"/>
  <c r="J207" i="23"/>
  <c r="L207" i="23"/>
  <c r="B197" i="24"/>
  <c r="C197" i="24"/>
  <c r="D197" i="24"/>
  <c r="S197" i="24"/>
  <c r="T197" i="24"/>
  <c r="U197" i="24"/>
  <c r="R119" i="24"/>
  <c r="L197" i="24" s="1"/>
  <c r="S200" i="25"/>
  <c r="T200" i="25"/>
  <c r="U200" i="25"/>
  <c r="R119" i="25"/>
  <c r="R118" i="25"/>
  <c r="K118" i="25"/>
  <c r="L118" i="25"/>
  <c r="M118" i="25"/>
  <c r="K119" i="25"/>
  <c r="L119" i="25"/>
  <c r="M119" i="25"/>
  <c r="J200" i="25" l="1"/>
  <c r="W200" i="25"/>
  <c r="J197" i="24"/>
  <c r="H197" i="24"/>
  <c r="D200" i="25"/>
  <c r="C200" i="25"/>
  <c r="E197" i="24"/>
  <c r="W197" i="24"/>
  <c r="H200" i="25"/>
  <c r="N119" i="25"/>
  <c r="B200" i="25"/>
  <c r="N118" i="25"/>
  <c r="L200" i="25"/>
  <c r="N207" i="23"/>
  <c r="W207" i="23"/>
  <c r="W210" i="22"/>
  <c r="N210" i="22"/>
  <c r="E210" i="22"/>
  <c r="S160" i="26"/>
  <c r="T160" i="26"/>
  <c r="U160" i="26"/>
  <c r="R83" i="26"/>
  <c r="R82" i="26"/>
  <c r="K82" i="26"/>
  <c r="L82" i="26"/>
  <c r="M82" i="26"/>
  <c r="K83" i="26"/>
  <c r="L83" i="26"/>
  <c r="M83" i="26"/>
  <c r="U111" i="38"/>
  <c r="T111" i="38"/>
  <c r="S111" i="38"/>
  <c r="R61" i="38"/>
  <c r="R60" i="38"/>
  <c r="K60" i="38"/>
  <c r="L60" i="38"/>
  <c r="M60" i="38"/>
  <c r="K61" i="38"/>
  <c r="L61" i="38"/>
  <c r="M61" i="38"/>
  <c r="T116" i="37"/>
  <c r="U116" i="37"/>
  <c r="R64" i="37"/>
  <c r="R63" i="37"/>
  <c r="K63" i="37"/>
  <c r="L63" i="37"/>
  <c r="M63" i="37"/>
  <c r="K64" i="37"/>
  <c r="L64" i="37"/>
  <c r="M64" i="37"/>
  <c r="U138" i="36"/>
  <c r="T138" i="36"/>
  <c r="S138" i="36"/>
  <c r="U137" i="36"/>
  <c r="T137" i="36"/>
  <c r="S137" i="36"/>
  <c r="R75" i="36"/>
  <c r="H138" i="36" s="1"/>
  <c r="M78" i="36"/>
  <c r="L78" i="36"/>
  <c r="K78" i="36"/>
  <c r="K77" i="36"/>
  <c r="L77" i="36"/>
  <c r="M77" i="36"/>
  <c r="K76" i="36"/>
  <c r="L76" i="36"/>
  <c r="M76" i="36"/>
  <c r="K75" i="36"/>
  <c r="L75" i="36"/>
  <c r="M75" i="36"/>
  <c r="L160" i="26" l="1"/>
  <c r="W116" i="37"/>
  <c r="N197" i="24"/>
  <c r="B160" i="26"/>
  <c r="J116" i="37"/>
  <c r="D116" i="37"/>
  <c r="W111" i="38"/>
  <c r="L116" i="37"/>
  <c r="E200" i="25"/>
  <c r="L111" i="38"/>
  <c r="N200" i="25"/>
  <c r="W160" i="26"/>
  <c r="C160" i="26"/>
  <c r="N83" i="26"/>
  <c r="C111" i="38"/>
  <c r="N64" i="37"/>
  <c r="C116" i="37"/>
  <c r="B116" i="37"/>
  <c r="D160" i="26"/>
  <c r="H111" i="38"/>
  <c r="N62" i="38"/>
  <c r="N61" i="38"/>
  <c r="D111" i="38"/>
  <c r="N75" i="36"/>
  <c r="J138" i="36"/>
  <c r="N78" i="36"/>
  <c r="N77" i="36"/>
  <c r="C138" i="36"/>
  <c r="L138" i="36"/>
  <c r="W138" i="36"/>
  <c r="J160" i="26"/>
  <c r="B138" i="36"/>
  <c r="H116" i="37"/>
  <c r="J111" i="38"/>
  <c r="D138" i="36"/>
  <c r="H160" i="26"/>
  <c r="N76" i="36"/>
  <c r="N63" i="37"/>
  <c r="B111" i="38"/>
  <c r="N82" i="26"/>
  <c r="T168" i="16"/>
  <c r="M90" i="16"/>
  <c r="L90" i="16"/>
  <c r="K90" i="16"/>
  <c r="R89" i="16"/>
  <c r="R88" i="16"/>
  <c r="K89" i="16"/>
  <c r="L89" i="16"/>
  <c r="M89" i="16"/>
  <c r="K88" i="16"/>
  <c r="L88" i="16"/>
  <c r="M88" i="16"/>
  <c r="S145" i="35"/>
  <c r="T145" i="35"/>
  <c r="U145" i="35"/>
  <c r="R88" i="35"/>
  <c r="R89" i="35"/>
  <c r="K88" i="35"/>
  <c r="L88" i="35"/>
  <c r="M88" i="35"/>
  <c r="K89" i="35"/>
  <c r="L89" i="35"/>
  <c r="M89" i="35"/>
  <c r="K90" i="35"/>
  <c r="L90" i="35"/>
  <c r="M90" i="35"/>
  <c r="S200" i="17"/>
  <c r="T200" i="17"/>
  <c r="U200" i="17"/>
  <c r="B200" i="17"/>
  <c r="C200" i="17"/>
  <c r="D200" i="17"/>
  <c r="R121" i="17"/>
  <c r="R120" i="17"/>
  <c r="U203" i="18"/>
  <c r="T203" i="18"/>
  <c r="S203" i="18"/>
  <c r="R123" i="18"/>
  <c r="R122" i="18"/>
  <c r="K122" i="18"/>
  <c r="L122" i="18"/>
  <c r="M122" i="18"/>
  <c r="K123" i="18"/>
  <c r="L123" i="18"/>
  <c r="M123" i="18"/>
  <c r="S209" i="19"/>
  <c r="T209" i="19"/>
  <c r="U209" i="19"/>
  <c r="R124" i="19"/>
  <c r="R123" i="19"/>
  <c r="K123" i="19"/>
  <c r="L123" i="19"/>
  <c r="M123" i="19"/>
  <c r="K124" i="19"/>
  <c r="L124" i="19"/>
  <c r="M124" i="19"/>
  <c r="E111" i="38" l="1"/>
  <c r="N116" i="37"/>
  <c r="L209" i="19"/>
  <c r="E116" i="37"/>
  <c r="W145" i="35"/>
  <c r="H145" i="35"/>
  <c r="D145" i="35"/>
  <c r="L168" i="16"/>
  <c r="H168" i="16"/>
  <c r="L203" i="18"/>
  <c r="C145" i="35"/>
  <c r="W203" i="18"/>
  <c r="E160" i="26"/>
  <c r="N111" i="38"/>
  <c r="J145" i="35"/>
  <c r="B145" i="35"/>
  <c r="E200" i="17"/>
  <c r="L200" i="17"/>
  <c r="W200" i="17"/>
  <c r="J203" i="18"/>
  <c r="C203" i="18"/>
  <c r="D203" i="18"/>
  <c r="B203" i="18"/>
  <c r="N123" i="19"/>
  <c r="B209" i="19"/>
  <c r="D209" i="19"/>
  <c r="N88" i="16"/>
  <c r="D168" i="16"/>
  <c r="C168" i="16"/>
  <c r="H200" i="17"/>
  <c r="N160" i="26"/>
  <c r="N138" i="36"/>
  <c r="H203" i="18"/>
  <c r="N123" i="18"/>
  <c r="J200" i="17"/>
  <c r="B168" i="16"/>
  <c r="W209" i="19"/>
  <c r="N124" i="19"/>
  <c r="C209" i="19"/>
  <c r="N89" i="35"/>
  <c r="E138" i="36"/>
  <c r="N88" i="35"/>
  <c r="H209" i="19"/>
  <c r="N90" i="35"/>
  <c r="N89" i="16"/>
  <c r="L145" i="35"/>
  <c r="N90" i="16"/>
  <c r="J168" i="16"/>
  <c r="J209" i="19"/>
  <c r="N122" i="18"/>
  <c r="W168" i="16"/>
  <c r="S176" i="20"/>
  <c r="T176" i="20"/>
  <c r="U176" i="20"/>
  <c r="M102" i="20"/>
  <c r="M104" i="20"/>
  <c r="R105" i="20"/>
  <c r="M105" i="20"/>
  <c r="L105" i="20"/>
  <c r="K105" i="20"/>
  <c r="R104" i="20"/>
  <c r="L104" i="20"/>
  <c r="K104" i="20"/>
  <c r="S198" i="21"/>
  <c r="T198" i="21"/>
  <c r="U198" i="21"/>
  <c r="R118" i="21"/>
  <c r="R119" i="21"/>
  <c r="K118" i="21"/>
  <c r="L118" i="21"/>
  <c r="M118" i="21"/>
  <c r="K119" i="21"/>
  <c r="L119" i="21"/>
  <c r="M119" i="21"/>
  <c r="S106" i="34"/>
  <c r="T106" i="34"/>
  <c r="U106" i="34"/>
  <c r="K57" i="34"/>
  <c r="L57" i="34"/>
  <c r="M57" i="34"/>
  <c r="K58" i="34"/>
  <c r="L58" i="34"/>
  <c r="M58" i="34"/>
  <c r="K59" i="34"/>
  <c r="L59" i="34"/>
  <c r="M59" i="34"/>
  <c r="L56" i="34"/>
  <c r="R59" i="34"/>
  <c r="R58" i="34"/>
  <c r="U106" i="33"/>
  <c r="T106" i="33"/>
  <c r="S106" i="33"/>
  <c r="R59" i="33"/>
  <c r="R58" i="33"/>
  <c r="K58" i="33"/>
  <c r="L58" i="33"/>
  <c r="M58" i="33"/>
  <c r="K59" i="33"/>
  <c r="L59" i="33"/>
  <c r="M59" i="33"/>
  <c r="S215" i="9"/>
  <c r="T215" i="9"/>
  <c r="U215" i="9"/>
  <c r="R135" i="9"/>
  <c r="R134" i="9"/>
  <c r="K134" i="9"/>
  <c r="L134" i="9"/>
  <c r="M134" i="9"/>
  <c r="K135" i="9"/>
  <c r="L135" i="9"/>
  <c r="M135" i="9"/>
  <c r="U222" i="10"/>
  <c r="T222" i="10"/>
  <c r="S222" i="10"/>
  <c r="R140" i="10"/>
  <c r="R139" i="10"/>
  <c r="R138" i="10"/>
  <c r="R137" i="10"/>
  <c r="K137" i="10"/>
  <c r="L137" i="10"/>
  <c r="M137" i="10"/>
  <c r="K138" i="10"/>
  <c r="L138" i="10"/>
  <c r="M138" i="10"/>
  <c r="K139" i="10"/>
  <c r="L139" i="10"/>
  <c r="M139" i="10"/>
  <c r="K140" i="10"/>
  <c r="L140" i="10"/>
  <c r="M140" i="10"/>
  <c r="E145" i="35" l="1"/>
  <c r="N145" i="35"/>
  <c r="N203" i="18"/>
  <c r="E203" i="18"/>
  <c r="L198" i="21"/>
  <c r="D106" i="33"/>
  <c r="L106" i="33"/>
  <c r="H215" i="9"/>
  <c r="C106" i="34"/>
  <c r="B198" i="21"/>
  <c r="N59" i="33"/>
  <c r="N59" i="34"/>
  <c r="J198" i="21"/>
  <c r="E168" i="16"/>
  <c r="N200" i="17"/>
  <c r="E209" i="19"/>
  <c r="W176" i="20"/>
  <c r="L176" i="20"/>
  <c r="D198" i="21"/>
  <c r="N168" i="16"/>
  <c r="N57" i="34"/>
  <c r="W222" i="10"/>
  <c r="C106" i="33"/>
  <c r="N58" i="33"/>
  <c r="D215" i="9"/>
  <c r="C215" i="9"/>
  <c r="N209" i="19"/>
  <c r="D176" i="20"/>
  <c r="N104" i="20"/>
  <c r="C176" i="20"/>
  <c r="J176" i="20"/>
  <c r="N119" i="21"/>
  <c r="C198" i="21"/>
  <c r="W198" i="21"/>
  <c r="H198" i="21"/>
  <c r="B106" i="33"/>
  <c r="W215" i="9"/>
  <c r="L215" i="9"/>
  <c r="B215" i="9"/>
  <c r="D222" i="10"/>
  <c r="B222" i="10"/>
  <c r="C222" i="10"/>
  <c r="N138" i="10"/>
  <c r="N140" i="10"/>
  <c r="L222" i="10"/>
  <c r="H176" i="20"/>
  <c r="N137" i="10"/>
  <c r="H222" i="10"/>
  <c r="H106" i="34"/>
  <c r="N58" i="34"/>
  <c r="J215" i="9"/>
  <c r="N139" i="10"/>
  <c r="J222" i="10"/>
  <c r="N135" i="9"/>
  <c r="H106" i="33"/>
  <c r="N105" i="20"/>
  <c r="B176" i="20"/>
  <c r="N134" i="9"/>
  <c r="J106" i="33"/>
  <c r="N118" i="21"/>
  <c r="W106" i="34"/>
  <c r="D106" i="34"/>
  <c r="B106" i="34"/>
  <c r="L106" i="34"/>
  <c r="J106" i="34"/>
  <c r="W106" i="33"/>
  <c r="S200" i="11"/>
  <c r="T200" i="11"/>
  <c r="U200" i="11"/>
  <c r="R123" i="11"/>
  <c r="M123" i="11"/>
  <c r="L123" i="11"/>
  <c r="K123" i="11"/>
  <c r="R122" i="11"/>
  <c r="M122" i="11"/>
  <c r="L122" i="11"/>
  <c r="K122" i="11"/>
  <c r="T197" i="12"/>
  <c r="S197" i="12"/>
  <c r="U197" i="12"/>
  <c r="J197" i="12"/>
  <c r="L197" i="12"/>
  <c r="R120" i="12"/>
  <c r="M120" i="12"/>
  <c r="L120" i="12"/>
  <c r="K120" i="12"/>
  <c r="R119" i="12"/>
  <c r="M119" i="12"/>
  <c r="L119" i="12"/>
  <c r="K119" i="12"/>
  <c r="S108" i="32"/>
  <c r="T108" i="32"/>
  <c r="U108" i="32"/>
  <c r="S213" i="13"/>
  <c r="R60" i="32"/>
  <c r="M60" i="32"/>
  <c r="L60" i="32"/>
  <c r="K60" i="32"/>
  <c r="R59" i="32"/>
  <c r="K59" i="32"/>
  <c r="L59" i="32"/>
  <c r="M59" i="32"/>
  <c r="U213" i="13"/>
  <c r="T213" i="13"/>
  <c r="R135" i="13"/>
  <c r="L135" i="13"/>
  <c r="M135" i="13"/>
  <c r="K135" i="13"/>
  <c r="K134" i="13"/>
  <c r="L134" i="13"/>
  <c r="M134" i="13"/>
  <c r="R134" i="13"/>
  <c r="R133" i="13"/>
  <c r="K133" i="13"/>
  <c r="L133" i="13"/>
  <c r="M133" i="13"/>
  <c r="K132" i="13"/>
  <c r="R132" i="13"/>
  <c r="M132" i="13"/>
  <c r="L132" i="13"/>
  <c r="S200" i="14"/>
  <c r="T200" i="14"/>
  <c r="U200" i="14"/>
  <c r="R123" i="14"/>
  <c r="R122" i="14"/>
  <c r="K122" i="14"/>
  <c r="L122" i="14"/>
  <c r="M122" i="14"/>
  <c r="K123" i="14"/>
  <c r="L123" i="14"/>
  <c r="M123" i="14"/>
  <c r="B200" i="11" l="1"/>
  <c r="J200" i="14"/>
  <c r="L108" i="32"/>
  <c r="C200" i="11"/>
  <c r="W200" i="11"/>
  <c r="N198" i="21"/>
  <c r="N176" i="20"/>
  <c r="E106" i="34"/>
  <c r="C108" i="32"/>
  <c r="D108" i="32"/>
  <c r="N132" i="13"/>
  <c r="N133" i="13"/>
  <c r="D200" i="14"/>
  <c r="W200" i="14"/>
  <c r="L200" i="14"/>
  <c r="N59" i="32"/>
  <c r="D197" i="12"/>
  <c r="N106" i="34"/>
  <c r="E215" i="9"/>
  <c r="N122" i="14"/>
  <c r="E198" i="21"/>
  <c r="E176" i="20"/>
  <c r="E106" i="33"/>
  <c r="D200" i="11"/>
  <c r="E200" i="11" s="1"/>
  <c r="L200" i="11"/>
  <c r="B197" i="12"/>
  <c r="C197" i="12"/>
  <c r="B108" i="32"/>
  <c r="W108" i="32"/>
  <c r="H108" i="32"/>
  <c r="N135" i="13"/>
  <c r="C200" i="14"/>
  <c r="B200" i="14"/>
  <c r="N106" i="33"/>
  <c r="N215" i="9"/>
  <c r="E222" i="10"/>
  <c r="N222" i="10"/>
  <c r="N120" i="12"/>
  <c r="C213" i="13"/>
  <c r="D213" i="13"/>
  <c r="J108" i="32"/>
  <c r="H200" i="14"/>
  <c r="H213" i="13"/>
  <c r="N123" i="11"/>
  <c r="J200" i="11"/>
  <c r="B213" i="13"/>
  <c r="N134" i="13"/>
  <c r="W197" i="12"/>
  <c r="H200" i="11"/>
  <c r="N197" i="12"/>
  <c r="N123" i="14"/>
  <c r="J213" i="13"/>
  <c r="N122" i="11"/>
  <c r="L213" i="13"/>
  <c r="N60" i="32"/>
  <c r="N119" i="12"/>
  <c r="W213" i="13"/>
  <c r="U217" i="15"/>
  <c r="T217" i="15"/>
  <c r="S217" i="15"/>
  <c r="R130" i="15"/>
  <c r="L217" i="15" s="1"/>
  <c r="L128" i="15"/>
  <c r="M130" i="15"/>
  <c r="M131" i="15"/>
  <c r="K129" i="15"/>
  <c r="K130" i="15"/>
  <c r="K131" i="15"/>
  <c r="L125" i="15"/>
  <c r="L126" i="15"/>
  <c r="L127" i="15"/>
  <c r="L129" i="15"/>
  <c r="L130" i="15"/>
  <c r="L131" i="15"/>
  <c r="M129" i="15"/>
  <c r="K123" i="15"/>
  <c r="U209" i="8"/>
  <c r="R129" i="8"/>
  <c r="K129" i="8"/>
  <c r="L129" i="8"/>
  <c r="M129" i="8"/>
  <c r="R128" i="8"/>
  <c r="H209" i="8" s="1"/>
  <c r="K128" i="8"/>
  <c r="L128" i="8"/>
  <c r="M128" i="8"/>
  <c r="U104" i="31"/>
  <c r="T104" i="31"/>
  <c r="S104" i="31"/>
  <c r="R54" i="31"/>
  <c r="R55" i="31"/>
  <c r="R53" i="31"/>
  <c r="K53" i="31"/>
  <c r="L53" i="31"/>
  <c r="M53" i="31"/>
  <c r="L54" i="31"/>
  <c r="M54" i="31"/>
  <c r="D209" i="8" l="1"/>
  <c r="N108" i="32"/>
  <c r="E108" i="32"/>
  <c r="C209" i="8"/>
  <c r="N200" i="14"/>
  <c r="E200" i="14"/>
  <c r="B217" i="15"/>
  <c r="N128" i="8"/>
  <c r="W104" i="31"/>
  <c r="C104" i="31"/>
  <c r="J209" i="8"/>
  <c r="L209" i="8"/>
  <c r="N53" i="31"/>
  <c r="B104" i="31"/>
  <c r="D104" i="31"/>
  <c r="B209" i="8"/>
  <c r="E197" i="12"/>
  <c r="L104" i="31"/>
  <c r="E105" i="31"/>
  <c r="C217" i="15"/>
  <c r="N130" i="15"/>
  <c r="E213" i="13"/>
  <c r="N213" i="13"/>
  <c r="D217" i="15"/>
  <c r="J217" i="15"/>
  <c r="N200" i="11"/>
  <c r="N129" i="8"/>
  <c r="H104" i="31"/>
  <c r="J104" i="31"/>
  <c r="H217" i="15"/>
  <c r="N54" i="31"/>
  <c r="W217" i="15"/>
  <c r="N131" i="15"/>
  <c r="W209" i="8"/>
  <c r="U197" i="7"/>
  <c r="T197" i="7"/>
  <c r="S197" i="7"/>
  <c r="R121" i="7"/>
  <c r="K120" i="7"/>
  <c r="L120" i="7"/>
  <c r="M120" i="7"/>
  <c r="K121" i="7"/>
  <c r="L121" i="7"/>
  <c r="M121" i="7"/>
  <c r="R120" i="7"/>
  <c r="S109" i="29"/>
  <c r="S110" i="29"/>
  <c r="T110" i="29"/>
  <c r="U110" i="29"/>
  <c r="R64" i="29"/>
  <c r="R63" i="29"/>
  <c r="K63" i="29"/>
  <c r="L63" i="29"/>
  <c r="M63" i="29"/>
  <c r="K64" i="29"/>
  <c r="L64" i="29"/>
  <c r="M64" i="29"/>
  <c r="U90" i="30"/>
  <c r="T90" i="30"/>
  <c r="S90" i="30"/>
  <c r="U152" i="6"/>
  <c r="T152" i="6"/>
  <c r="S152" i="6"/>
  <c r="R92" i="6"/>
  <c r="R91" i="6"/>
  <c r="K92" i="6"/>
  <c r="K91" i="6"/>
  <c r="L91" i="6"/>
  <c r="M91" i="6"/>
  <c r="L92" i="6"/>
  <c r="M92" i="6"/>
  <c r="N209" i="8" l="1"/>
  <c r="E209" i="8"/>
  <c r="E104" i="31"/>
  <c r="N104" i="31"/>
  <c r="H152" i="6"/>
  <c r="N91" i="6"/>
  <c r="L110" i="29"/>
  <c r="W197" i="7"/>
  <c r="B152" i="6"/>
  <c r="C197" i="7"/>
  <c r="E217" i="15"/>
  <c r="H197" i="7"/>
  <c r="B197" i="7"/>
  <c r="N121" i="7"/>
  <c r="C110" i="29"/>
  <c r="B110" i="29"/>
  <c r="D110" i="29"/>
  <c r="L152" i="6"/>
  <c r="N92" i="6"/>
  <c r="D152" i="6"/>
  <c r="N217" i="15"/>
  <c r="H110" i="29"/>
  <c r="C152" i="6"/>
  <c r="J152" i="6"/>
  <c r="J110" i="29"/>
  <c r="W110" i="29"/>
  <c r="N63" i="29"/>
  <c r="N120" i="7"/>
  <c r="W152" i="6"/>
  <c r="N64" i="29"/>
  <c r="J197" i="7"/>
  <c r="D197" i="7"/>
  <c r="L197" i="7"/>
  <c r="W90" i="30"/>
  <c r="R43" i="30"/>
  <c r="R42" i="30"/>
  <c r="R41" i="30"/>
  <c r="K41" i="30"/>
  <c r="L41" i="30"/>
  <c r="M41" i="30"/>
  <c r="K42" i="30"/>
  <c r="L42" i="30"/>
  <c r="M42" i="30"/>
  <c r="K43" i="30"/>
  <c r="L43" i="30"/>
  <c r="M43" i="30"/>
  <c r="S198" i="5"/>
  <c r="T198" i="5"/>
  <c r="U198" i="5"/>
  <c r="R121" i="5"/>
  <c r="R66" i="28"/>
  <c r="K121" i="5"/>
  <c r="L121" i="5"/>
  <c r="M121" i="5"/>
  <c r="R120" i="5"/>
  <c r="K120" i="5"/>
  <c r="L120" i="5"/>
  <c r="M120" i="5"/>
  <c r="N121" i="5" l="1"/>
  <c r="E152" i="6"/>
  <c r="D198" i="5"/>
  <c r="N152" i="6"/>
  <c r="E197" i="7"/>
  <c r="E110" i="29"/>
  <c r="C198" i="5"/>
  <c r="N41" i="30"/>
  <c r="B90" i="30"/>
  <c r="N42" i="30"/>
  <c r="N120" i="5"/>
  <c r="J198" i="5"/>
  <c r="W198" i="5"/>
  <c r="B198" i="5"/>
  <c r="N197" i="7"/>
  <c r="L198" i="5"/>
  <c r="N110" i="29"/>
  <c r="D90" i="30"/>
  <c r="C90" i="30"/>
  <c r="H198" i="5"/>
  <c r="L90" i="30"/>
  <c r="J90" i="30"/>
  <c r="H90" i="30"/>
  <c r="N43" i="30"/>
  <c r="W116" i="28"/>
  <c r="S115" i="28"/>
  <c r="R65" i="28"/>
  <c r="K66" i="28"/>
  <c r="M66" i="28"/>
  <c r="M65" i="28"/>
  <c r="K65" i="28"/>
  <c r="L66" i="28"/>
  <c r="L65" i="28"/>
  <c r="U208" i="3"/>
  <c r="T208" i="3"/>
  <c r="S208" i="3"/>
  <c r="R126" i="3"/>
  <c r="R125" i="3"/>
  <c r="K125" i="3"/>
  <c r="L125" i="3"/>
  <c r="M125" i="3"/>
  <c r="K126" i="3"/>
  <c r="B209" i="3" s="1"/>
  <c r="E209" i="3" s="1"/>
  <c r="L126" i="3"/>
  <c r="M126" i="3"/>
  <c r="T200" i="2"/>
  <c r="S200" i="2"/>
  <c r="U200" i="2"/>
  <c r="J200" i="2"/>
  <c r="L200" i="2"/>
  <c r="R119" i="2"/>
  <c r="R118" i="2"/>
  <c r="K118" i="2"/>
  <c r="L118" i="2"/>
  <c r="M118" i="2"/>
  <c r="K119" i="2"/>
  <c r="L119" i="2"/>
  <c r="M119" i="2"/>
  <c r="S203" i="1"/>
  <c r="T203" i="1"/>
  <c r="U203" i="1"/>
  <c r="R125" i="1"/>
  <c r="K125" i="1"/>
  <c r="L125" i="1"/>
  <c r="M125" i="1"/>
  <c r="R124" i="1"/>
  <c r="K124" i="1"/>
  <c r="L124" i="1"/>
  <c r="M124" i="1"/>
  <c r="N125" i="3" l="1"/>
  <c r="J208" i="3"/>
  <c r="E198" i="5"/>
  <c r="D116" i="28"/>
  <c r="D208" i="3"/>
  <c r="E90" i="30"/>
  <c r="C116" i="28"/>
  <c r="N200" i="2"/>
  <c r="W200" i="2"/>
  <c r="C203" i="1"/>
  <c r="D203" i="1"/>
  <c r="B116" i="28"/>
  <c r="B200" i="2"/>
  <c r="D200" i="2"/>
  <c r="C200" i="2"/>
  <c r="N124" i="1"/>
  <c r="J203" i="1"/>
  <c r="W203" i="1"/>
  <c r="N119" i="2"/>
  <c r="W208" i="3"/>
  <c r="N198" i="5"/>
  <c r="H203" i="1"/>
  <c r="N118" i="2"/>
  <c r="C208" i="3"/>
  <c r="L208" i="3"/>
  <c r="L116" i="28"/>
  <c r="J116" i="28"/>
  <c r="H116" i="28"/>
  <c r="L203" i="1"/>
  <c r="N125" i="1"/>
  <c r="B203" i="1"/>
  <c r="B208" i="3"/>
  <c r="N90" i="30"/>
  <c r="N65" i="28"/>
  <c r="N66" i="28"/>
  <c r="N126" i="3"/>
  <c r="H208" i="3"/>
  <c r="N126" i="6"/>
  <c r="N127" i="6"/>
  <c r="N128" i="6"/>
  <c r="N129" i="6"/>
  <c r="U122" i="6"/>
  <c r="T122" i="6"/>
  <c r="S122" i="6"/>
  <c r="U120" i="6"/>
  <c r="T120" i="6"/>
  <c r="S120" i="6"/>
  <c r="U117" i="6"/>
  <c r="T117" i="6"/>
  <c r="S117" i="6"/>
  <c r="U115" i="6"/>
  <c r="T115" i="6"/>
  <c r="S115" i="6"/>
  <c r="M42" i="6"/>
  <c r="L42" i="6"/>
  <c r="K42" i="6"/>
  <c r="M41" i="6"/>
  <c r="L41" i="6"/>
  <c r="K41" i="6"/>
  <c r="M40" i="6"/>
  <c r="L40" i="6"/>
  <c r="K40" i="6"/>
  <c r="M39" i="6"/>
  <c r="L39" i="6"/>
  <c r="K39" i="6"/>
  <c r="R24" i="6"/>
  <c r="R25" i="6"/>
  <c r="K25" i="6"/>
  <c r="L25" i="6"/>
  <c r="M25" i="6"/>
  <c r="K24" i="6"/>
  <c r="L24" i="6"/>
  <c r="M24" i="6"/>
  <c r="R21" i="6"/>
  <c r="K21" i="6"/>
  <c r="L21" i="6"/>
  <c r="M21" i="6"/>
  <c r="R13" i="6"/>
  <c r="K13" i="6"/>
  <c r="L13" i="6"/>
  <c r="M13" i="6"/>
  <c r="E116" i="28" l="1"/>
  <c r="N116" i="28"/>
  <c r="N203" i="1"/>
  <c r="E203" i="1"/>
  <c r="E200" i="2"/>
  <c r="N21" i="6"/>
  <c r="N25" i="6"/>
  <c r="N13" i="6"/>
  <c r="N24" i="6"/>
  <c r="K59" i="38"/>
  <c r="U110" i="38" l="1"/>
  <c r="T110" i="38"/>
  <c r="S110" i="38"/>
  <c r="R59" i="38"/>
  <c r="M59" i="38"/>
  <c r="L59" i="38"/>
  <c r="R58" i="38"/>
  <c r="K58" i="38"/>
  <c r="L58" i="38"/>
  <c r="M58" i="38"/>
  <c r="R57" i="38"/>
  <c r="K57" i="38"/>
  <c r="L57" i="38"/>
  <c r="M57" i="38"/>
  <c r="U119" i="6"/>
  <c r="T119" i="6"/>
  <c r="S119" i="6"/>
  <c r="U118" i="6"/>
  <c r="T118" i="6"/>
  <c r="S118" i="6"/>
  <c r="U126" i="6"/>
  <c r="T126" i="6"/>
  <c r="S126" i="6"/>
  <c r="U124" i="6"/>
  <c r="T124" i="6"/>
  <c r="S124" i="6"/>
  <c r="U123" i="6"/>
  <c r="T123" i="6"/>
  <c r="S123" i="6"/>
  <c r="U125" i="6"/>
  <c r="T125" i="6"/>
  <c r="S125" i="6"/>
  <c r="S121" i="6"/>
  <c r="T121" i="6"/>
  <c r="U121" i="6"/>
  <c r="S116" i="6"/>
  <c r="T116" i="6"/>
  <c r="U116" i="6"/>
  <c r="T144" i="6"/>
  <c r="U144" i="6"/>
  <c r="S144" i="6"/>
  <c r="U143" i="6"/>
  <c r="T143" i="6"/>
  <c r="S143" i="6"/>
  <c r="U142" i="6"/>
  <c r="T142" i="6"/>
  <c r="S142" i="6"/>
  <c r="M9" i="6"/>
  <c r="D115" i="6" s="1"/>
  <c r="M10" i="6"/>
  <c r="M11" i="6"/>
  <c r="M12" i="6"/>
  <c r="M14" i="6"/>
  <c r="M15" i="6"/>
  <c r="M16" i="6"/>
  <c r="M17" i="6"/>
  <c r="M18" i="6"/>
  <c r="M19" i="6"/>
  <c r="M20" i="6"/>
  <c r="M22" i="6"/>
  <c r="M23" i="6"/>
  <c r="M26" i="6"/>
  <c r="M27" i="6"/>
  <c r="M28" i="6"/>
  <c r="M29" i="6"/>
  <c r="M30" i="6"/>
  <c r="M31" i="6"/>
  <c r="M32" i="6"/>
  <c r="M33" i="6"/>
  <c r="M34" i="6"/>
  <c r="M35" i="6"/>
  <c r="L9" i="6"/>
  <c r="C115" i="6" s="1"/>
  <c r="L10" i="6"/>
  <c r="L11" i="6"/>
  <c r="L12" i="6"/>
  <c r="L14" i="6"/>
  <c r="L15" i="6"/>
  <c r="L16" i="6"/>
  <c r="L17" i="6"/>
  <c r="L18" i="6"/>
  <c r="L19" i="6"/>
  <c r="L20" i="6"/>
  <c r="L22" i="6"/>
  <c r="L23" i="6"/>
  <c r="L26" i="6"/>
  <c r="L27" i="6"/>
  <c r="L28" i="6"/>
  <c r="L29" i="6"/>
  <c r="L30" i="6"/>
  <c r="L31" i="6"/>
  <c r="L32" i="6"/>
  <c r="L33" i="6"/>
  <c r="L34" i="6"/>
  <c r="L35" i="6"/>
  <c r="K9" i="6"/>
  <c r="B115" i="6" s="1"/>
  <c r="K10" i="6"/>
  <c r="K11" i="6"/>
  <c r="K12" i="6"/>
  <c r="K14" i="6"/>
  <c r="K15" i="6"/>
  <c r="K16" i="6"/>
  <c r="K17" i="6"/>
  <c r="K18" i="6"/>
  <c r="K19" i="6"/>
  <c r="K20" i="6"/>
  <c r="K22" i="6"/>
  <c r="K23" i="6"/>
  <c r="K26" i="6"/>
  <c r="K27" i="6"/>
  <c r="K28" i="6"/>
  <c r="K29" i="6"/>
  <c r="K30" i="6"/>
  <c r="K31" i="6"/>
  <c r="K32" i="6"/>
  <c r="K33" i="6"/>
  <c r="K34" i="6"/>
  <c r="K35" i="6"/>
  <c r="R9" i="6"/>
  <c r="R10" i="6"/>
  <c r="R11" i="6"/>
  <c r="R12" i="6"/>
  <c r="R14" i="6"/>
  <c r="R15" i="6"/>
  <c r="R16" i="6"/>
  <c r="R17" i="6"/>
  <c r="R18" i="6"/>
  <c r="R19" i="6"/>
  <c r="R20" i="6"/>
  <c r="R22" i="6"/>
  <c r="R23" i="6"/>
  <c r="R26" i="6"/>
  <c r="R27" i="6"/>
  <c r="R28" i="6"/>
  <c r="R29" i="6"/>
  <c r="R30" i="6"/>
  <c r="R31" i="6"/>
  <c r="R32" i="6"/>
  <c r="R33" i="6"/>
  <c r="R34" i="6"/>
  <c r="R35" i="6"/>
  <c r="N60" i="38" l="1"/>
  <c r="B120" i="6"/>
  <c r="B124" i="6"/>
  <c r="B117" i="6"/>
  <c r="D110" i="38"/>
  <c r="N58" i="38"/>
  <c r="J110" i="38"/>
  <c r="N59" i="38"/>
  <c r="C110" i="38"/>
  <c r="B110" i="38"/>
  <c r="H124" i="6"/>
  <c r="L124" i="6"/>
  <c r="J124" i="6"/>
  <c r="C122" i="6"/>
  <c r="C117" i="6"/>
  <c r="B121" i="6"/>
  <c r="J125" i="6"/>
  <c r="L125" i="6"/>
  <c r="H125" i="6"/>
  <c r="J117" i="6"/>
  <c r="L117" i="6"/>
  <c r="H117" i="6"/>
  <c r="C120" i="6"/>
  <c r="L120" i="6"/>
  <c r="J120" i="6"/>
  <c r="H120" i="6"/>
  <c r="L115" i="6"/>
  <c r="H115" i="6"/>
  <c r="J115" i="6"/>
  <c r="C118" i="6"/>
  <c r="B122" i="6"/>
  <c r="D117" i="6"/>
  <c r="H122" i="6"/>
  <c r="J122" i="6"/>
  <c r="L122" i="6"/>
  <c r="D120" i="6"/>
  <c r="B116" i="6"/>
  <c r="D122" i="6"/>
  <c r="L121" i="6"/>
  <c r="W125" i="6"/>
  <c r="N19" i="6"/>
  <c r="W120" i="6"/>
  <c r="B125" i="6"/>
  <c r="W117" i="6"/>
  <c r="W124" i="6"/>
  <c r="W126" i="6"/>
  <c r="N29" i="6"/>
  <c r="N18" i="6"/>
  <c r="D123" i="6"/>
  <c r="N17" i="6"/>
  <c r="W122" i="6"/>
  <c r="L118" i="6"/>
  <c r="N27" i="6"/>
  <c r="W119" i="6"/>
  <c r="W116" i="6"/>
  <c r="W121" i="6"/>
  <c r="W123" i="6"/>
  <c r="D119" i="6"/>
  <c r="D125" i="6"/>
  <c r="N22" i="6"/>
  <c r="L116" i="6"/>
  <c r="C119" i="6"/>
  <c r="H121" i="6"/>
  <c r="N16" i="6"/>
  <c r="D126" i="6"/>
  <c r="D118" i="6"/>
  <c r="J116" i="6"/>
  <c r="B126" i="6"/>
  <c r="C126" i="6"/>
  <c r="N23" i="6"/>
  <c r="H116" i="6"/>
  <c r="L123" i="6"/>
  <c r="L119" i="6"/>
  <c r="D124" i="6"/>
  <c r="D116" i="6"/>
  <c r="H118" i="6"/>
  <c r="C124" i="6"/>
  <c r="W115" i="6"/>
  <c r="W118" i="6"/>
  <c r="C121" i="6"/>
  <c r="H119" i="6"/>
  <c r="C123" i="6"/>
  <c r="J119" i="6"/>
  <c r="N15" i="6"/>
  <c r="D121" i="6"/>
  <c r="B119" i="6"/>
  <c r="N30" i="6"/>
  <c r="N28" i="6"/>
  <c r="N26" i="6"/>
  <c r="J121" i="6"/>
  <c r="N14" i="6"/>
  <c r="N33" i="6"/>
  <c r="C125" i="6"/>
  <c r="B123" i="6"/>
  <c r="H123" i="6"/>
  <c r="N32" i="6"/>
  <c r="N12" i="6"/>
  <c r="B118" i="6"/>
  <c r="J123" i="6"/>
  <c r="J118" i="6"/>
  <c r="N10" i="6"/>
  <c r="C116" i="6"/>
  <c r="E115" i="6"/>
  <c r="W110" i="38"/>
  <c r="H110" i="38"/>
  <c r="L110" i="38"/>
  <c r="N35" i="6"/>
  <c r="N34" i="6"/>
  <c r="N9" i="6"/>
  <c r="N31" i="6"/>
  <c r="N20" i="6"/>
  <c r="N11" i="6"/>
  <c r="S199" i="25"/>
  <c r="T199" i="25"/>
  <c r="U199" i="25"/>
  <c r="K117" i="25"/>
  <c r="L117" i="25"/>
  <c r="M117" i="25"/>
  <c r="R117" i="25"/>
  <c r="R116" i="25"/>
  <c r="M116" i="25"/>
  <c r="L116" i="25"/>
  <c r="K116" i="25"/>
  <c r="S159" i="26"/>
  <c r="T159" i="26"/>
  <c r="U159" i="26"/>
  <c r="R81" i="26"/>
  <c r="M81" i="26"/>
  <c r="L81" i="26"/>
  <c r="K81" i="26"/>
  <c r="R80" i="26"/>
  <c r="M80" i="26"/>
  <c r="L80" i="26"/>
  <c r="K80" i="26"/>
  <c r="S115" i="37"/>
  <c r="T115" i="37"/>
  <c r="U115" i="37"/>
  <c r="R62" i="37"/>
  <c r="M62" i="37"/>
  <c r="L62" i="37"/>
  <c r="K62" i="37"/>
  <c r="R61" i="37"/>
  <c r="M61" i="37"/>
  <c r="L61" i="37"/>
  <c r="K61" i="37"/>
  <c r="R74" i="36"/>
  <c r="K74" i="36"/>
  <c r="L74" i="36"/>
  <c r="M74" i="36"/>
  <c r="R73" i="36"/>
  <c r="K73" i="36"/>
  <c r="L73" i="36"/>
  <c r="M73" i="36"/>
  <c r="R72" i="36"/>
  <c r="K72" i="36"/>
  <c r="L72" i="36"/>
  <c r="M72" i="36"/>
  <c r="R71" i="36"/>
  <c r="R70" i="36"/>
  <c r="R69" i="36"/>
  <c r="K71" i="36"/>
  <c r="L71" i="36"/>
  <c r="M71" i="36"/>
  <c r="K70" i="36"/>
  <c r="L70" i="36"/>
  <c r="M70" i="36"/>
  <c r="K69" i="36"/>
  <c r="L69" i="36"/>
  <c r="M69" i="36"/>
  <c r="R68" i="36"/>
  <c r="K68" i="36"/>
  <c r="L68" i="36"/>
  <c r="M68" i="36"/>
  <c r="R67" i="36"/>
  <c r="L67" i="36"/>
  <c r="M67" i="36"/>
  <c r="K67" i="36"/>
  <c r="S167" i="16"/>
  <c r="T167" i="16"/>
  <c r="U167" i="16"/>
  <c r="R87" i="16"/>
  <c r="M87" i="16"/>
  <c r="L87" i="16"/>
  <c r="K87" i="16"/>
  <c r="R86" i="16"/>
  <c r="M86" i="16"/>
  <c r="L86" i="16"/>
  <c r="K86" i="16"/>
  <c r="U144" i="35"/>
  <c r="T144" i="35"/>
  <c r="S144" i="35"/>
  <c r="R87" i="35"/>
  <c r="M87" i="35"/>
  <c r="K87" i="35"/>
  <c r="L87" i="35"/>
  <c r="R86" i="35"/>
  <c r="M86" i="35"/>
  <c r="L86" i="35"/>
  <c r="K86" i="35"/>
  <c r="R85" i="35"/>
  <c r="M85" i="35"/>
  <c r="L85" i="35"/>
  <c r="K85" i="35"/>
  <c r="S199" i="17"/>
  <c r="T199" i="17"/>
  <c r="U199" i="17"/>
  <c r="B199" i="17"/>
  <c r="C199" i="17"/>
  <c r="D199" i="17"/>
  <c r="R119" i="17"/>
  <c r="R118" i="17"/>
  <c r="S202" i="18"/>
  <c r="U202" i="18"/>
  <c r="T202" i="18"/>
  <c r="R121" i="18"/>
  <c r="K121" i="18"/>
  <c r="L121" i="18"/>
  <c r="M121" i="18"/>
  <c r="R120" i="18"/>
  <c r="M120" i="18"/>
  <c r="L120" i="18"/>
  <c r="K120" i="18"/>
  <c r="R119" i="18"/>
  <c r="M119" i="18"/>
  <c r="L119" i="18"/>
  <c r="K119" i="18"/>
  <c r="S208" i="19"/>
  <c r="T208" i="19"/>
  <c r="U208" i="19"/>
  <c r="R122" i="19"/>
  <c r="M122" i="19"/>
  <c r="L122" i="19"/>
  <c r="K122" i="19"/>
  <c r="R121" i="19"/>
  <c r="M121" i="19"/>
  <c r="L121" i="19"/>
  <c r="K121" i="19"/>
  <c r="U175" i="20"/>
  <c r="S175" i="20"/>
  <c r="T175" i="20"/>
  <c r="R103" i="20"/>
  <c r="R102" i="20"/>
  <c r="K102" i="20"/>
  <c r="L102" i="20"/>
  <c r="K103" i="20"/>
  <c r="L103" i="20"/>
  <c r="M103" i="20"/>
  <c r="R36" i="6"/>
  <c r="U100" i="33"/>
  <c r="U105" i="33"/>
  <c r="U102" i="33"/>
  <c r="U101" i="33"/>
  <c r="U91" i="33"/>
  <c r="T105" i="33"/>
  <c r="T102" i="33"/>
  <c r="T101" i="33"/>
  <c r="T100" i="33"/>
  <c r="T99" i="33"/>
  <c r="T109" i="29"/>
  <c r="S221" i="10"/>
  <c r="T221" i="10"/>
  <c r="U221" i="10"/>
  <c r="U220" i="10"/>
  <c r="T220" i="10"/>
  <c r="S220" i="10"/>
  <c r="R136" i="10"/>
  <c r="K134" i="10"/>
  <c r="L134" i="10"/>
  <c r="M134" i="10"/>
  <c r="K135" i="10"/>
  <c r="L135" i="10"/>
  <c r="M135" i="10"/>
  <c r="R133" i="10"/>
  <c r="R134" i="10"/>
  <c r="R135" i="10"/>
  <c r="K133" i="10"/>
  <c r="L133" i="10"/>
  <c r="M133" i="10"/>
  <c r="U115" i="28"/>
  <c r="T115" i="28"/>
  <c r="S196" i="24"/>
  <c r="T196" i="24"/>
  <c r="U196" i="24"/>
  <c r="H196" i="24"/>
  <c r="J196" i="24"/>
  <c r="L196" i="24"/>
  <c r="B196" i="24"/>
  <c r="C196" i="24"/>
  <c r="D196" i="24"/>
  <c r="S206" i="23"/>
  <c r="T206" i="23"/>
  <c r="U206" i="23"/>
  <c r="H206" i="23"/>
  <c r="J206" i="23"/>
  <c r="L206" i="23"/>
  <c r="B206" i="23"/>
  <c r="C206" i="23"/>
  <c r="D206" i="23"/>
  <c r="U209" i="22"/>
  <c r="T209" i="22"/>
  <c r="S209" i="22"/>
  <c r="L209" i="22"/>
  <c r="J209" i="22"/>
  <c r="H209" i="22"/>
  <c r="D209" i="22"/>
  <c r="C209" i="22"/>
  <c r="B209" i="22"/>
  <c r="U197" i="21"/>
  <c r="S197" i="21"/>
  <c r="T197" i="21"/>
  <c r="R117" i="21"/>
  <c r="M117" i="21"/>
  <c r="L117" i="21"/>
  <c r="K117" i="21"/>
  <c r="R116" i="21"/>
  <c r="M116" i="21"/>
  <c r="L116" i="21"/>
  <c r="K116" i="21"/>
  <c r="B197" i="21" s="1"/>
  <c r="S105" i="34"/>
  <c r="T105" i="34"/>
  <c r="U105" i="34"/>
  <c r="R57" i="34"/>
  <c r="R56" i="34"/>
  <c r="K56" i="34"/>
  <c r="B105" i="34" s="1"/>
  <c r="C105" i="34"/>
  <c r="M56" i="34"/>
  <c r="S105" i="33"/>
  <c r="R57" i="33"/>
  <c r="K57" i="33"/>
  <c r="L57" i="33"/>
  <c r="M57" i="33"/>
  <c r="R55" i="33"/>
  <c r="R56" i="33"/>
  <c r="S102" i="33"/>
  <c r="S101" i="33"/>
  <c r="S100" i="33"/>
  <c r="K56" i="33"/>
  <c r="L56" i="33"/>
  <c r="M56" i="33"/>
  <c r="M55" i="33"/>
  <c r="K55" i="33"/>
  <c r="L55" i="33"/>
  <c r="R54" i="33"/>
  <c r="M54" i="33"/>
  <c r="L54" i="33"/>
  <c r="K54" i="33"/>
  <c r="S214" i="9"/>
  <c r="T214" i="9"/>
  <c r="U214" i="9"/>
  <c r="S213" i="9"/>
  <c r="R133" i="9"/>
  <c r="M133" i="9"/>
  <c r="L133" i="9"/>
  <c r="K133" i="9"/>
  <c r="R132" i="9"/>
  <c r="M132" i="9"/>
  <c r="L132" i="9"/>
  <c r="K132" i="9"/>
  <c r="M136" i="10"/>
  <c r="L136" i="10"/>
  <c r="K136" i="10"/>
  <c r="S199" i="11"/>
  <c r="T199" i="11"/>
  <c r="U199" i="11"/>
  <c r="R121" i="11"/>
  <c r="M121" i="11"/>
  <c r="L121" i="11"/>
  <c r="K121" i="11"/>
  <c r="R120" i="11"/>
  <c r="M120" i="11"/>
  <c r="L120" i="11"/>
  <c r="K120" i="11"/>
  <c r="J196" i="12"/>
  <c r="H196" i="12"/>
  <c r="S196" i="12"/>
  <c r="T196" i="12"/>
  <c r="U196" i="12"/>
  <c r="L196" i="12"/>
  <c r="R118" i="12"/>
  <c r="K118" i="12"/>
  <c r="M118" i="12"/>
  <c r="L118" i="12"/>
  <c r="R117" i="12"/>
  <c r="M117" i="12"/>
  <c r="L117" i="12"/>
  <c r="K117" i="12"/>
  <c r="S107" i="32"/>
  <c r="T107" i="32"/>
  <c r="U107" i="32"/>
  <c r="R58" i="32"/>
  <c r="K58" i="32"/>
  <c r="L58" i="32"/>
  <c r="M58" i="32"/>
  <c r="R57" i="32"/>
  <c r="M57" i="32"/>
  <c r="L57" i="32"/>
  <c r="K57" i="32"/>
  <c r="S212" i="13"/>
  <c r="T212" i="13"/>
  <c r="U212" i="13"/>
  <c r="R131" i="13"/>
  <c r="R130" i="13"/>
  <c r="M131" i="13"/>
  <c r="L131" i="13"/>
  <c r="K131" i="13"/>
  <c r="M130" i="13"/>
  <c r="L130" i="13"/>
  <c r="K130" i="13"/>
  <c r="U199" i="14"/>
  <c r="S199" i="14"/>
  <c r="T199" i="14"/>
  <c r="R121" i="14"/>
  <c r="R120" i="14"/>
  <c r="M121" i="14"/>
  <c r="L121" i="14"/>
  <c r="K121" i="14"/>
  <c r="M120" i="14"/>
  <c r="L120" i="14"/>
  <c r="K120" i="14"/>
  <c r="C216" i="15"/>
  <c r="T216" i="15"/>
  <c r="S216" i="15"/>
  <c r="R129" i="15"/>
  <c r="R128" i="15"/>
  <c r="M128" i="15"/>
  <c r="K128" i="15"/>
  <c r="R127" i="15"/>
  <c r="M127" i="15"/>
  <c r="K127" i="15"/>
  <c r="U208" i="8"/>
  <c r="S208" i="8"/>
  <c r="T208" i="8"/>
  <c r="K127" i="8"/>
  <c r="L127" i="8"/>
  <c r="M127" i="8"/>
  <c r="R127" i="8"/>
  <c r="R126" i="8"/>
  <c r="M126" i="8"/>
  <c r="L126" i="8"/>
  <c r="K126" i="8"/>
  <c r="R125" i="8"/>
  <c r="K125" i="8"/>
  <c r="L125" i="8"/>
  <c r="M125" i="8"/>
  <c r="R124" i="8"/>
  <c r="M124" i="8"/>
  <c r="L124" i="8"/>
  <c r="K124" i="8"/>
  <c r="S103" i="31"/>
  <c r="T103" i="31"/>
  <c r="U103" i="31"/>
  <c r="R52" i="31"/>
  <c r="K52" i="31"/>
  <c r="L52" i="31"/>
  <c r="M52" i="31"/>
  <c r="R51" i="31"/>
  <c r="K51" i="31"/>
  <c r="L51" i="31"/>
  <c r="M51" i="31"/>
  <c r="S196" i="7"/>
  <c r="T196" i="7"/>
  <c r="U196" i="7"/>
  <c r="R118" i="7"/>
  <c r="R119" i="7"/>
  <c r="M119" i="7"/>
  <c r="K119" i="7"/>
  <c r="M118" i="7"/>
  <c r="K118" i="7"/>
  <c r="L119" i="7"/>
  <c r="L118" i="7"/>
  <c r="R117" i="7"/>
  <c r="M117" i="7"/>
  <c r="L117" i="7"/>
  <c r="K117" i="7"/>
  <c r="U109" i="29"/>
  <c r="R62" i="29"/>
  <c r="M62" i="29"/>
  <c r="K62" i="29"/>
  <c r="L62" i="29"/>
  <c r="R61" i="29"/>
  <c r="K61" i="29"/>
  <c r="L61" i="29"/>
  <c r="M61" i="29"/>
  <c r="U151" i="6"/>
  <c r="T151" i="6"/>
  <c r="S151" i="6"/>
  <c r="K88" i="6"/>
  <c r="K89" i="6"/>
  <c r="R90" i="6"/>
  <c r="K90" i="6"/>
  <c r="L90" i="6"/>
  <c r="M90" i="6"/>
  <c r="R89" i="6"/>
  <c r="L89" i="6"/>
  <c r="M89" i="6"/>
  <c r="R88" i="6"/>
  <c r="L88" i="6"/>
  <c r="M88" i="6"/>
  <c r="S89" i="30"/>
  <c r="T89" i="30"/>
  <c r="U89" i="30"/>
  <c r="R40" i="30"/>
  <c r="K40" i="30"/>
  <c r="L40" i="30"/>
  <c r="M40" i="30"/>
  <c r="R39" i="30"/>
  <c r="K39" i="30"/>
  <c r="L39" i="30"/>
  <c r="M39" i="30"/>
  <c r="S197" i="5"/>
  <c r="T197" i="5"/>
  <c r="U197" i="5"/>
  <c r="R119" i="5"/>
  <c r="R118" i="5"/>
  <c r="M119" i="5"/>
  <c r="L119" i="5"/>
  <c r="K119" i="5"/>
  <c r="M118" i="5"/>
  <c r="L118" i="5"/>
  <c r="K118" i="5"/>
  <c r="R64" i="28"/>
  <c r="M63" i="28"/>
  <c r="M64" i="28"/>
  <c r="K63" i="28"/>
  <c r="K64" i="28"/>
  <c r="L64" i="28"/>
  <c r="R63" i="28"/>
  <c r="L63" i="28"/>
  <c r="R62" i="28"/>
  <c r="H115" i="28" s="1"/>
  <c r="M62" i="28"/>
  <c r="L62" i="28"/>
  <c r="K62" i="28"/>
  <c r="U207" i="3"/>
  <c r="T207" i="3"/>
  <c r="S207" i="3"/>
  <c r="R124" i="3"/>
  <c r="N208" i="3" s="1"/>
  <c r="L124" i="3"/>
  <c r="K124" i="3"/>
  <c r="M124" i="3"/>
  <c r="E208" i="3" s="1"/>
  <c r="R123" i="3"/>
  <c r="K104" i="3"/>
  <c r="K123" i="3"/>
  <c r="L123" i="3"/>
  <c r="M123" i="3"/>
  <c r="K122" i="3"/>
  <c r="R122" i="3"/>
  <c r="L122" i="3"/>
  <c r="M122" i="3"/>
  <c r="H186" i="2"/>
  <c r="H196" i="2"/>
  <c r="J199" i="2"/>
  <c r="L199" i="2"/>
  <c r="S199" i="2"/>
  <c r="T199" i="2"/>
  <c r="U199" i="2"/>
  <c r="H199" i="2"/>
  <c r="R116" i="2"/>
  <c r="R117" i="2"/>
  <c r="K117" i="2"/>
  <c r="L117" i="2"/>
  <c r="M117" i="2"/>
  <c r="K116" i="2"/>
  <c r="L116" i="2"/>
  <c r="M116" i="2"/>
  <c r="S202" i="1"/>
  <c r="U202" i="1"/>
  <c r="T202" i="1"/>
  <c r="R120" i="1"/>
  <c r="R122" i="1"/>
  <c r="R123" i="1"/>
  <c r="M122" i="1"/>
  <c r="M123" i="1"/>
  <c r="L122" i="1"/>
  <c r="L123" i="1"/>
  <c r="K122" i="1"/>
  <c r="K123" i="1"/>
  <c r="K117" i="1"/>
  <c r="U173" i="20"/>
  <c r="T173" i="20"/>
  <c r="S173" i="20"/>
  <c r="U172" i="20"/>
  <c r="T172" i="20"/>
  <c r="S172" i="20"/>
  <c r="U171" i="20"/>
  <c r="T171" i="20"/>
  <c r="S171" i="20"/>
  <c r="U170" i="20"/>
  <c r="T170" i="20"/>
  <c r="S170" i="20"/>
  <c r="U168" i="20"/>
  <c r="T168" i="20"/>
  <c r="S168" i="20"/>
  <c r="U161" i="20"/>
  <c r="T161" i="20"/>
  <c r="S161" i="20"/>
  <c r="U150" i="20"/>
  <c r="T150" i="20"/>
  <c r="S150" i="20"/>
  <c r="U149" i="20"/>
  <c r="T149" i="20"/>
  <c r="S149" i="20"/>
  <c r="U147" i="20"/>
  <c r="T147" i="20"/>
  <c r="S147" i="20"/>
  <c r="U146" i="20"/>
  <c r="T146" i="20"/>
  <c r="S146" i="20"/>
  <c r="U144" i="20"/>
  <c r="T144" i="20"/>
  <c r="S144" i="20"/>
  <c r="U143" i="20"/>
  <c r="T143" i="20"/>
  <c r="S143" i="20"/>
  <c r="U141" i="20"/>
  <c r="T141" i="20"/>
  <c r="S141" i="20"/>
  <c r="U140" i="20"/>
  <c r="T140" i="20"/>
  <c r="S140" i="20"/>
  <c r="U139" i="20"/>
  <c r="T139" i="20"/>
  <c r="S139" i="20"/>
  <c r="U138" i="20"/>
  <c r="T138" i="20"/>
  <c r="S138" i="20"/>
  <c r="U136" i="20"/>
  <c r="T136" i="20"/>
  <c r="S136" i="20"/>
  <c r="U135" i="20"/>
  <c r="T135" i="20"/>
  <c r="S135" i="20"/>
  <c r="U134" i="20"/>
  <c r="T134" i="20"/>
  <c r="S134" i="20"/>
  <c r="U133" i="20"/>
  <c r="T133" i="20"/>
  <c r="S133" i="20"/>
  <c r="U131" i="20"/>
  <c r="T131" i="20"/>
  <c r="S131" i="20"/>
  <c r="U130" i="20"/>
  <c r="T130" i="20"/>
  <c r="S130" i="20"/>
  <c r="U129" i="20"/>
  <c r="T129" i="20"/>
  <c r="S129" i="20"/>
  <c r="U128" i="20"/>
  <c r="T128" i="20"/>
  <c r="S128" i="20"/>
  <c r="R101" i="20"/>
  <c r="M101" i="20"/>
  <c r="L101" i="20"/>
  <c r="K101" i="20"/>
  <c r="E101" i="20"/>
  <c r="U174" i="20" s="1"/>
  <c r="R100" i="20"/>
  <c r="M100" i="20"/>
  <c r="L100" i="20"/>
  <c r="K100" i="20"/>
  <c r="R99" i="20"/>
  <c r="M99" i="20"/>
  <c r="L99" i="20"/>
  <c r="K99" i="20"/>
  <c r="R98" i="20"/>
  <c r="H173" i="20" s="1"/>
  <c r="M98" i="20"/>
  <c r="D173" i="20" s="1"/>
  <c r="L98" i="20"/>
  <c r="K98" i="20"/>
  <c r="R97" i="20"/>
  <c r="M97" i="20"/>
  <c r="L97" i="20"/>
  <c r="K97" i="20"/>
  <c r="R96" i="20"/>
  <c r="M96" i="20"/>
  <c r="D172" i="20" s="1"/>
  <c r="L96" i="20"/>
  <c r="K96" i="20"/>
  <c r="R95" i="20"/>
  <c r="M95" i="20"/>
  <c r="L95" i="20"/>
  <c r="K95" i="20"/>
  <c r="R94" i="20"/>
  <c r="M94" i="20"/>
  <c r="L94" i="20"/>
  <c r="K94" i="20"/>
  <c r="R93" i="20"/>
  <c r="M93" i="20"/>
  <c r="L93" i="20"/>
  <c r="K93" i="20"/>
  <c r="R92" i="20"/>
  <c r="M92" i="20"/>
  <c r="L92" i="20"/>
  <c r="K92" i="20"/>
  <c r="R91" i="20"/>
  <c r="M91" i="20"/>
  <c r="L91" i="20"/>
  <c r="K91" i="20"/>
  <c r="E91" i="20"/>
  <c r="R90" i="20"/>
  <c r="M90" i="20"/>
  <c r="L90" i="20"/>
  <c r="K90" i="20"/>
  <c r="R89" i="20"/>
  <c r="M89" i="20"/>
  <c r="L89" i="20"/>
  <c r="K89" i="20"/>
  <c r="R88" i="20"/>
  <c r="M88" i="20"/>
  <c r="L88" i="20"/>
  <c r="K88" i="20"/>
  <c r="R87" i="20"/>
  <c r="M87" i="20"/>
  <c r="L87" i="20"/>
  <c r="K87" i="20"/>
  <c r="E87" i="20"/>
  <c r="R86" i="20"/>
  <c r="M86" i="20"/>
  <c r="L86" i="20"/>
  <c r="K86" i="20"/>
  <c r="R85" i="20"/>
  <c r="M85" i="20"/>
  <c r="L85" i="20"/>
  <c r="K85" i="20"/>
  <c r="E85" i="20"/>
  <c r="S166" i="20" s="1"/>
  <c r="R84" i="20"/>
  <c r="M84" i="20"/>
  <c r="L84" i="20"/>
  <c r="K84" i="20"/>
  <c r="R83" i="20"/>
  <c r="M83" i="20"/>
  <c r="L83" i="20"/>
  <c r="K83" i="20"/>
  <c r="E83" i="20"/>
  <c r="R82" i="20"/>
  <c r="M82" i="20"/>
  <c r="L82" i="20"/>
  <c r="K82" i="20"/>
  <c r="R81" i="20"/>
  <c r="M81" i="20"/>
  <c r="L81" i="20"/>
  <c r="K81" i="20"/>
  <c r="E81" i="20"/>
  <c r="S164" i="20" s="1"/>
  <c r="R80" i="20"/>
  <c r="M80" i="20"/>
  <c r="L80" i="20"/>
  <c r="K80" i="20"/>
  <c r="R79" i="20"/>
  <c r="M79" i="20"/>
  <c r="L79" i="20"/>
  <c r="K79" i="20"/>
  <c r="E79" i="20"/>
  <c r="R78" i="20"/>
  <c r="M78" i="20"/>
  <c r="L78" i="20"/>
  <c r="K78" i="20"/>
  <c r="R77" i="20"/>
  <c r="M77" i="20"/>
  <c r="L77" i="20"/>
  <c r="K77" i="20"/>
  <c r="E77" i="20"/>
  <c r="U162" i="20" s="1"/>
  <c r="R76" i="20"/>
  <c r="M76" i="20"/>
  <c r="L76" i="20"/>
  <c r="K76" i="20"/>
  <c r="R75" i="20"/>
  <c r="M75" i="20"/>
  <c r="L75" i="20"/>
  <c r="K75" i="20"/>
  <c r="R74" i="20"/>
  <c r="H161" i="20" s="1"/>
  <c r="M74" i="20"/>
  <c r="L74" i="20"/>
  <c r="K74" i="20"/>
  <c r="R73" i="20"/>
  <c r="M73" i="20"/>
  <c r="L73" i="20"/>
  <c r="K73" i="20"/>
  <c r="E73" i="20"/>
  <c r="U160" i="20" s="1"/>
  <c r="R72" i="20"/>
  <c r="M72" i="20"/>
  <c r="L72" i="20"/>
  <c r="K72" i="20"/>
  <c r="R71" i="20"/>
  <c r="M71" i="20"/>
  <c r="L71" i="20"/>
  <c r="K71" i="20"/>
  <c r="E71" i="20"/>
  <c r="R70" i="20"/>
  <c r="M70" i="20"/>
  <c r="L70" i="20"/>
  <c r="K70" i="20"/>
  <c r="R69" i="20"/>
  <c r="M69" i="20"/>
  <c r="L69" i="20"/>
  <c r="K69" i="20"/>
  <c r="E69" i="20"/>
  <c r="R68" i="20"/>
  <c r="M68" i="20"/>
  <c r="L68" i="20"/>
  <c r="K68" i="20"/>
  <c r="R67" i="20"/>
  <c r="M67" i="20"/>
  <c r="L67" i="20"/>
  <c r="K67" i="20"/>
  <c r="E67" i="20"/>
  <c r="R66" i="20"/>
  <c r="M66" i="20"/>
  <c r="L66" i="20"/>
  <c r="K66" i="20"/>
  <c r="R65" i="20"/>
  <c r="M65" i="20"/>
  <c r="L65" i="20"/>
  <c r="K65" i="20"/>
  <c r="E65" i="20"/>
  <c r="U156" i="20" s="1"/>
  <c r="R64" i="20"/>
  <c r="M64" i="20"/>
  <c r="L64" i="20"/>
  <c r="K64" i="20"/>
  <c r="R63" i="20"/>
  <c r="M63" i="20"/>
  <c r="L63" i="20"/>
  <c r="K63" i="20"/>
  <c r="E63" i="20"/>
  <c r="R62" i="20"/>
  <c r="M62" i="20"/>
  <c r="L62" i="20"/>
  <c r="K62" i="20"/>
  <c r="R61" i="20"/>
  <c r="M61" i="20"/>
  <c r="L61" i="20"/>
  <c r="K61" i="20"/>
  <c r="E61" i="20"/>
  <c r="S154" i="20" s="1"/>
  <c r="R60" i="20"/>
  <c r="M60" i="20"/>
  <c r="L60" i="20"/>
  <c r="K60" i="20"/>
  <c r="R59" i="20"/>
  <c r="M59" i="20"/>
  <c r="L59" i="20"/>
  <c r="K59" i="20"/>
  <c r="E59" i="20"/>
  <c r="R58" i="20"/>
  <c r="M58" i="20"/>
  <c r="L58" i="20"/>
  <c r="K58" i="20"/>
  <c r="R57" i="20"/>
  <c r="M57" i="20"/>
  <c r="L57" i="20"/>
  <c r="K57" i="20"/>
  <c r="E57" i="20"/>
  <c r="R56" i="20"/>
  <c r="M56" i="20"/>
  <c r="L56" i="20"/>
  <c r="K56" i="20"/>
  <c r="R55" i="20"/>
  <c r="M55" i="20"/>
  <c r="L55" i="20"/>
  <c r="K55" i="20"/>
  <c r="E55" i="20"/>
  <c r="R54" i="20"/>
  <c r="M54" i="20"/>
  <c r="L54" i="20"/>
  <c r="K54" i="20"/>
  <c r="R53" i="20"/>
  <c r="M53" i="20"/>
  <c r="L53" i="20"/>
  <c r="K53" i="20"/>
  <c r="R52" i="20"/>
  <c r="M52" i="20"/>
  <c r="L52" i="20"/>
  <c r="K52" i="20"/>
  <c r="R51" i="20"/>
  <c r="M51" i="20"/>
  <c r="L51" i="20"/>
  <c r="K51" i="20"/>
  <c r="R50" i="20"/>
  <c r="M50" i="20"/>
  <c r="L50" i="20"/>
  <c r="K50" i="20"/>
  <c r="R49" i="20"/>
  <c r="M49" i="20"/>
  <c r="L49" i="20"/>
  <c r="K49" i="20"/>
  <c r="E49" i="20"/>
  <c r="S148" i="20" s="1"/>
  <c r="R48" i="20"/>
  <c r="M48" i="20"/>
  <c r="L48" i="20"/>
  <c r="K48" i="20"/>
  <c r="R47" i="20"/>
  <c r="M47" i="20"/>
  <c r="L47" i="20"/>
  <c r="K47" i="20"/>
  <c r="R46" i="20"/>
  <c r="M46" i="20"/>
  <c r="L46" i="20"/>
  <c r="K46" i="20"/>
  <c r="R45" i="20"/>
  <c r="M45" i="20"/>
  <c r="L45" i="20"/>
  <c r="K45" i="20"/>
  <c r="R44" i="20"/>
  <c r="M44" i="20"/>
  <c r="L44" i="20"/>
  <c r="K44" i="20"/>
  <c r="R43" i="20"/>
  <c r="M43" i="20"/>
  <c r="L43" i="20"/>
  <c r="K43" i="20"/>
  <c r="E43" i="20"/>
  <c r="S145" i="20" s="1"/>
  <c r="R42" i="20"/>
  <c r="M42" i="20"/>
  <c r="L42" i="20"/>
  <c r="K42" i="20"/>
  <c r="R41" i="20"/>
  <c r="M41" i="20"/>
  <c r="L41" i="20"/>
  <c r="K41" i="20"/>
  <c r="R40" i="20"/>
  <c r="M40" i="20"/>
  <c r="L40" i="20"/>
  <c r="K40" i="20"/>
  <c r="R39" i="20"/>
  <c r="M39" i="20"/>
  <c r="L39" i="20"/>
  <c r="K39" i="20"/>
  <c r="R38" i="20"/>
  <c r="M38" i="20"/>
  <c r="L38" i="20"/>
  <c r="K38" i="20"/>
  <c r="R37" i="20"/>
  <c r="M37" i="20"/>
  <c r="L37" i="20"/>
  <c r="K37" i="20"/>
  <c r="E37" i="20"/>
  <c r="R36" i="20"/>
  <c r="M36" i="20"/>
  <c r="L36" i="20"/>
  <c r="K36" i="20"/>
  <c r="R35" i="20"/>
  <c r="M35" i="20"/>
  <c r="L35" i="20"/>
  <c r="K35" i="20"/>
  <c r="R34" i="20"/>
  <c r="M34" i="20"/>
  <c r="L34" i="20"/>
  <c r="K34" i="20"/>
  <c r="R33" i="20"/>
  <c r="M33" i="20"/>
  <c r="L33" i="20"/>
  <c r="K33" i="20"/>
  <c r="R32" i="20"/>
  <c r="M32" i="20"/>
  <c r="L32" i="20"/>
  <c r="K32" i="20"/>
  <c r="R31" i="20"/>
  <c r="M31" i="20"/>
  <c r="L31" i="20"/>
  <c r="K31" i="20"/>
  <c r="R30" i="20"/>
  <c r="M30" i="20"/>
  <c r="L30" i="20"/>
  <c r="K30" i="20"/>
  <c r="R29" i="20"/>
  <c r="M29" i="20"/>
  <c r="L29" i="20"/>
  <c r="K29" i="20"/>
  <c r="R28" i="20"/>
  <c r="M28" i="20"/>
  <c r="L28" i="20"/>
  <c r="K28" i="20"/>
  <c r="R27" i="20"/>
  <c r="M27" i="20"/>
  <c r="L27" i="20"/>
  <c r="K27" i="20"/>
  <c r="E27" i="20"/>
  <c r="R26" i="20"/>
  <c r="M26" i="20"/>
  <c r="L26" i="20"/>
  <c r="K26" i="20"/>
  <c r="R25" i="20"/>
  <c r="M25" i="20"/>
  <c r="L25" i="20"/>
  <c r="K25" i="20"/>
  <c r="R24" i="20"/>
  <c r="M24" i="20"/>
  <c r="L24" i="20"/>
  <c r="K24" i="20"/>
  <c r="R23" i="20"/>
  <c r="M23" i="20"/>
  <c r="L23" i="20"/>
  <c r="K23" i="20"/>
  <c r="R22" i="20"/>
  <c r="M22" i="20"/>
  <c r="L22" i="20"/>
  <c r="K22" i="20"/>
  <c r="R21" i="20"/>
  <c r="M21" i="20"/>
  <c r="L21" i="20"/>
  <c r="K21" i="20"/>
  <c r="R20" i="20"/>
  <c r="M20" i="20"/>
  <c r="L20" i="20"/>
  <c r="K20" i="20"/>
  <c r="R19" i="20"/>
  <c r="M19" i="20"/>
  <c r="L19" i="20"/>
  <c r="K19" i="20"/>
  <c r="R18" i="20"/>
  <c r="M18" i="20"/>
  <c r="L18" i="20"/>
  <c r="K18" i="20"/>
  <c r="R17" i="20"/>
  <c r="M17" i="20"/>
  <c r="L17" i="20"/>
  <c r="K17" i="20"/>
  <c r="E17" i="20"/>
  <c r="R16" i="20"/>
  <c r="M16" i="20"/>
  <c r="L16" i="20"/>
  <c r="K16" i="20"/>
  <c r="R15" i="20"/>
  <c r="M15" i="20"/>
  <c r="L15" i="20"/>
  <c r="K15" i="20"/>
  <c r="R14" i="20"/>
  <c r="M14" i="20"/>
  <c r="L14" i="20"/>
  <c r="K14" i="20"/>
  <c r="R13" i="20"/>
  <c r="M13" i="20"/>
  <c r="L13" i="20"/>
  <c r="K13" i="20"/>
  <c r="R12" i="20"/>
  <c r="M12" i="20"/>
  <c r="L12" i="20"/>
  <c r="K12" i="20"/>
  <c r="R11" i="20"/>
  <c r="M11" i="20"/>
  <c r="L11" i="20"/>
  <c r="K11" i="20"/>
  <c r="R10" i="20"/>
  <c r="M10" i="20"/>
  <c r="L10" i="20"/>
  <c r="K10" i="20"/>
  <c r="R9" i="20"/>
  <c r="M9" i="20"/>
  <c r="L9" i="20"/>
  <c r="K9" i="20"/>
  <c r="R8" i="20"/>
  <c r="M8" i="20"/>
  <c r="L8" i="20"/>
  <c r="K8" i="20"/>
  <c r="R7" i="20"/>
  <c r="M7" i="20"/>
  <c r="L7" i="20"/>
  <c r="K7" i="20"/>
  <c r="E7" i="20"/>
  <c r="U104" i="34"/>
  <c r="T104" i="34"/>
  <c r="S104" i="34"/>
  <c r="E61" i="28"/>
  <c r="T114" i="28" s="1"/>
  <c r="R61" i="28"/>
  <c r="M61" i="28"/>
  <c r="L61" i="28"/>
  <c r="K61" i="28"/>
  <c r="E56" i="38"/>
  <c r="U109" i="38" s="1"/>
  <c r="R56" i="38"/>
  <c r="R55" i="38"/>
  <c r="K56" i="38"/>
  <c r="L56" i="38"/>
  <c r="M56" i="38"/>
  <c r="K55" i="38"/>
  <c r="L55" i="38"/>
  <c r="M55" i="38"/>
  <c r="E84" i="35"/>
  <c r="T143" i="35" s="1"/>
  <c r="R82" i="35"/>
  <c r="K82" i="35"/>
  <c r="L82" i="35"/>
  <c r="M82" i="35"/>
  <c r="R83" i="35"/>
  <c r="R84" i="35"/>
  <c r="K83" i="35"/>
  <c r="L83" i="35"/>
  <c r="M83" i="35"/>
  <c r="E56" i="32"/>
  <c r="U106" i="32" s="1"/>
  <c r="R54" i="32"/>
  <c r="K54" i="32"/>
  <c r="L54" i="32"/>
  <c r="M54" i="32"/>
  <c r="E54" i="32"/>
  <c r="U105" i="32" s="1"/>
  <c r="K52" i="32"/>
  <c r="E51" i="32"/>
  <c r="L60" i="29"/>
  <c r="M60" i="29"/>
  <c r="U149" i="6"/>
  <c r="R86" i="6"/>
  <c r="U214" i="10"/>
  <c r="T214" i="10"/>
  <c r="S214" i="10"/>
  <c r="N219" i="10"/>
  <c r="R132" i="10"/>
  <c r="M132" i="10"/>
  <c r="L132" i="10"/>
  <c r="K132" i="10"/>
  <c r="R54" i="38"/>
  <c r="K53" i="38"/>
  <c r="K54" i="38"/>
  <c r="L54" i="38"/>
  <c r="M54" i="38"/>
  <c r="R53" i="38"/>
  <c r="L53" i="38"/>
  <c r="M53" i="38"/>
  <c r="K52" i="38"/>
  <c r="L52" i="38"/>
  <c r="M52" i="38"/>
  <c r="R52" i="38"/>
  <c r="U114" i="37"/>
  <c r="T114" i="37"/>
  <c r="S114" i="37"/>
  <c r="R59" i="37"/>
  <c r="R60" i="37"/>
  <c r="M60" i="37"/>
  <c r="K60" i="37"/>
  <c r="L60" i="37"/>
  <c r="K59" i="37"/>
  <c r="L59" i="37"/>
  <c r="M59" i="37"/>
  <c r="E66" i="36"/>
  <c r="S136" i="36" s="1"/>
  <c r="R66" i="36"/>
  <c r="R65" i="36"/>
  <c r="L66" i="36"/>
  <c r="K66" i="36"/>
  <c r="M66" i="36"/>
  <c r="K65" i="36"/>
  <c r="L65" i="36"/>
  <c r="M65" i="36"/>
  <c r="K84" i="35"/>
  <c r="L84" i="35"/>
  <c r="M84" i="35"/>
  <c r="R81" i="35"/>
  <c r="M81" i="35"/>
  <c r="L81" i="35"/>
  <c r="K81" i="35"/>
  <c r="R55" i="34"/>
  <c r="M55" i="34"/>
  <c r="L55" i="34"/>
  <c r="K55" i="34"/>
  <c r="R54" i="34"/>
  <c r="L104" i="34" s="1"/>
  <c r="M54" i="34"/>
  <c r="L54" i="34"/>
  <c r="K54" i="34"/>
  <c r="U104" i="33"/>
  <c r="T104" i="33"/>
  <c r="S104" i="33"/>
  <c r="R53" i="33"/>
  <c r="M53" i="33"/>
  <c r="L53" i="33"/>
  <c r="K53" i="33"/>
  <c r="R52" i="33"/>
  <c r="M52" i="33"/>
  <c r="L52" i="33"/>
  <c r="K52" i="33"/>
  <c r="R55" i="32"/>
  <c r="R56" i="32"/>
  <c r="K56" i="32"/>
  <c r="L56" i="32"/>
  <c r="M56" i="32"/>
  <c r="K55" i="32"/>
  <c r="L55" i="32"/>
  <c r="M55" i="32"/>
  <c r="U102" i="31"/>
  <c r="T102" i="31"/>
  <c r="S102" i="31"/>
  <c r="R50" i="31"/>
  <c r="M50" i="31"/>
  <c r="L50" i="31"/>
  <c r="K50" i="31"/>
  <c r="R49" i="31"/>
  <c r="J102" i="31" s="1"/>
  <c r="M49" i="31"/>
  <c r="D102" i="31" s="1"/>
  <c r="L49" i="31"/>
  <c r="K49" i="31"/>
  <c r="E60" i="29"/>
  <c r="S108" i="29" s="1"/>
  <c r="R58" i="29"/>
  <c r="K58" i="29"/>
  <c r="L58" i="29"/>
  <c r="M58" i="29"/>
  <c r="R60" i="29"/>
  <c r="K60" i="29"/>
  <c r="R59" i="29"/>
  <c r="K59" i="29"/>
  <c r="L59" i="29"/>
  <c r="M59" i="29"/>
  <c r="E57" i="29"/>
  <c r="S107" i="29" s="1"/>
  <c r="E87" i="6"/>
  <c r="U150" i="6" s="1"/>
  <c r="R87" i="6"/>
  <c r="K87" i="6"/>
  <c r="L87" i="6"/>
  <c r="M87" i="6"/>
  <c r="K86" i="6"/>
  <c r="L86" i="6"/>
  <c r="M86" i="6"/>
  <c r="K85" i="6"/>
  <c r="L85" i="6"/>
  <c r="R85" i="6"/>
  <c r="M85" i="6"/>
  <c r="E38" i="30"/>
  <c r="R37" i="30"/>
  <c r="R38" i="30"/>
  <c r="K38" i="30"/>
  <c r="L38" i="30"/>
  <c r="M38" i="30"/>
  <c r="K37" i="30"/>
  <c r="L37" i="30"/>
  <c r="M37" i="30"/>
  <c r="R131" i="10"/>
  <c r="K131" i="10"/>
  <c r="L131" i="10"/>
  <c r="M131" i="10"/>
  <c r="E126" i="22"/>
  <c r="K125" i="22"/>
  <c r="L125" i="22"/>
  <c r="M125" i="22"/>
  <c r="U205" i="23"/>
  <c r="T205" i="23"/>
  <c r="S205" i="23"/>
  <c r="B205" i="23"/>
  <c r="C205" i="23"/>
  <c r="D205" i="23"/>
  <c r="U195" i="24"/>
  <c r="T195" i="24"/>
  <c r="S195" i="24"/>
  <c r="R115" i="24"/>
  <c r="R114" i="24"/>
  <c r="D195" i="24"/>
  <c r="U198" i="25"/>
  <c r="T198" i="25"/>
  <c r="S198" i="25"/>
  <c r="R114" i="25"/>
  <c r="R115" i="25"/>
  <c r="K115" i="25"/>
  <c r="L115" i="25"/>
  <c r="M115" i="25"/>
  <c r="K114" i="25"/>
  <c r="L114" i="25"/>
  <c r="M114" i="25"/>
  <c r="U158" i="26"/>
  <c r="T158" i="26"/>
  <c r="S158" i="26"/>
  <c r="R79" i="26"/>
  <c r="R78" i="26"/>
  <c r="K79" i="26"/>
  <c r="L79" i="26"/>
  <c r="M79" i="26"/>
  <c r="K78" i="26"/>
  <c r="L78" i="26"/>
  <c r="M78" i="26"/>
  <c r="E85" i="16"/>
  <c r="R83" i="16"/>
  <c r="R84" i="16"/>
  <c r="R85" i="16"/>
  <c r="K83" i="16"/>
  <c r="L83" i="16"/>
  <c r="M83" i="16"/>
  <c r="K84" i="16"/>
  <c r="L84" i="16"/>
  <c r="M84" i="16"/>
  <c r="K85" i="16"/>
  <c r="L85" i="16"/>
  <c r="M85" i="16"/>
  <c r="E117" i="17"/>
  <c r="U198" i="17" s="1"/>
  <c r="R117" i="17"/>
  <c r="R116" i="17"/>
  <c r="S199" i="18"/>
  <c r="U201" i="18"/>
  <c r="T201" i="18"/>
  <c r="S201" i="18"/>
  <c r="R108" i="18"/>
  <c r="R118" i="18"/>
  <c r="R117" i="18"/>
  <c r="K118" i="18"/>
  <c r="L118" i="18"/>
  <c r="M118" i="18"/>
  <c r="K117" i="18"/>
  <c r="L117" i="18"/>
  <c r="M117" i="18"/>
  <c r="U207" i="19"/>
  <c r="T207" i="19"/>
  <c r="S207" i="19"/>
  <c r="R120" i="19"/>
  <c r="R119" i="19"/>
  <c r="K120" i="19"/>
  <c r="L120" i="19"/>
  <c r="M120" i="19"/>
  <c r="K119" i="19"/>
  <c r="L119" i="19"/>
  <c r="M119" i="19"/>
  <c r="S206" i="19"/>
  <c r="E115" i="21"/>
  <c r="U196" i="21" s="1"/>
  <c r="R115" i="21"/>
  <c r="K115" i="21"/>
  <c r="L115" i="21"/>
  <c r="M115" i="21"/>
  <c r="R114" i="21"/>
  <c r="K114" i="21"/>
  <c r="L114" i="21"/>
  <c r="M114" i="21"/>
  <c r="U213" i="9"/>
  <c r="U209" i="9"/>
  <c r="T213" i="9"/>
  <c r="T209" i="9"/>
  <c r="S209" i="9"/>
  <c r="R130" i="9"/>
  <c r="R131" i="9"/>
  <c r="K131" i="9"/>
  <c r="L131" i="9"/>
  <c r="M131" i="9"/>
  <c r="K130" i="9"/>
  <c r="L130" i="9"/>
  <c r="M130" i="9"/>
  <c r="U198" i="11"/>
  <c r="T198" i="11"/>
  <c r="S198" i="11"/>
  <c r="R119" i="11"/>
  <c r="R118" i="11"/>
  <c r="K119" i="11"/>
  <c r="L119" i="11"/>
  <c r="M119" i="11"/>
  <c r="K118" i="11"/>
  <c r="L118" i="11"/>
  <c r="M118" i="11"/>
  <c r="R116" i="12"/>
  <c r="R115" i="12"/>
  <c r="L116" i="12"/>
  <c r="K116" i="12"/>
  <c r="M116" i="12"/>
  <c r="K115" i="12"/>
  <c r="L115" i="12"/>
  <c r="M115" i="12"/>
  <c r="E112" i="12"/>
  <c r="E116" i="12"/>
  <c r="T195" i="12" s="1"/>
  <c r="M129" i="13"/>
  <c r="R129" i="13"/>
  <c r="K129" i="13"/>
  <c r="L129" i="13"/>
  <c r="R128" i="13"/>
  <c r="K128" i="13"/>
  <c r="L128" i="13"/>
  <c r="M128" i="13"/>
  <c r="E129" i="13"/>
  <c r="U211" i="13" s="1"/>
  <c r="M119" i="14"/>
  <c r="E119" i="14"/>
  <c r="T198" i="14" s="1"/>
  <c r="R119" i="14"/>
  <c r="K119" i="14"/>
  <c r="L119" i="14"/>
  <c r="R118" i="14"/>
  <c r="K118" i="14"/>
  <c r="L118" i="14"/>
  <c r="M118" i="14"/>
  <c r="U215" i="15"/>
  <c r="T215" i="15"/>
  <c r="S215" i="15"/>
  <c r="C215" i="15"/>
  <c r="R125" i="15"/>
  <c r="R126" i="15"/>
  <c r="K126" i="15"/>
  <c r="M126" i="15"/>
  <c r="K125" i="15"/>
  <c r="M125" i="15"/>
  <c r="U207" i="8"/>
  <c r="T207" i="8"/>
  <c r="S207" i="8"/>
  <c r="R123" i="8"/>
  <c r="R122" i="8"/>
  <c r="K123" i="8"/>
  <c r="L123" i="8"/>
  <c r="M123" i="8"/>
  <c r="K122" i="8"/>
  <c r="L122" i="8"/>
  <c r="M122" i="8"/>
  <c r="K116" i="7"/>
  <c r="L116" i="7"/>
  <c r="M116" i="7"/>
  <c r="R115" i="7"/>
  <c r="R116" i="7"/>
  <c r="K115" i="7"/>
  <c r="L115" i="7"/>
  <c r="M115" i="7"/>
  <c r="E116" i="7"/>
  <c r="S195" i="7" s="1"/>
  <c r="H191" i="2"/>
  <c r="L194" i="12"/>
  <c r="E121" i="1"/>
  <c r="U201" i="1" s="1"/>
  <c r="E115" i="1"/>
  <c r="S199" i="1" s="1"/>
  <c r="S206" i="3"/>
  <c r="U206" i="3"/>
  <c r="T206" i="3"/>
  <c r="E117" i="5"/>
  <c r="S196" i="5" s="1"/>
  <c r="R117" i="5"/>
  <c r="R116" i="5"/>
  <c r="K117" i="5"/>
  <c r="L117" i="5"/>
  <c r="M117" i="5"/>
  <c r="K116" i="5"/>
  <c r="L116" i="5"/>
  <c r="M116" i="5"/>
  <c r="S205" i="3"/>
  <c r="R121" i="3"/>
  <c r="R120" i="3"/>
  <c r="K121" i="3"/>
  <c r="L121" i="3"/>
  <c r="M121" i="3"/>
  <c r="M120" i="3"/>
  <c r="L120" i="3"/>
  <c r="K120" i="3"/>
  <c r="S210" i="13"/>
  <c r="R58" i="28"/>
  <c r="R59" i="28"/>
  <c r="R60" i="28"/>
  <c r="M60" i="28"/>
  <c r="L60" i="28"/>
  <c r="K59" i="28"/>
  <c r="K60" i="28"/>
  <c r="L59" i="28"/>
  <c r="M59" i="28"/>
  <c r="R57" i="28"/>
  <c r="M57" i="28"/>
  <c r="M58" i="28"/>
  <c r="L57" i="28"/>
  <c r="L58" i="28"/>
  <c r="K57" i="28"/>
  <c r="K58" i="28"/>
  <c r="E115" i="2"/>
  <c r="L198" i="2" s="1"/>
  <c r="R115" i="2"/>
  <c r="K115" i="2"/>
  <c r="L115" i="2"/>
  <c r="M115" i="2"/>
  <c r="R114" i="2"/>
  <c r="K114" i="2"/>
  <c r="L114" i="2"/>
  <c r="M114" i="2"/>
  <c r="U200" i="1"/>
  <c r="T200" i="1"/>
  <c r="S200" i="1"/>
  <c r="U196" i="1"/>
  <c r="T196" i="1"/>
  <c r="S196" i="1"/>
  <c r="U192" i="1"/>
  <c r="T192" i="1"/>
  <c r="S192" i="1"/>
  <c r="U188" i="1"/>
  <c r="T188" i="1"/>
  <c r="S188" i="1"/>
  <c r="U184" i="1"/>
  <c r="T184" i="1"/>
  <c r="S184" i="1"/>
  <c r="U180" i="1"/>
  <c r="T180" i="1"/>
  <c r="S180" i="1"/>
  <c r="U176" i="1"/>
  <c r="T176" i="1"/>
  <c r="S176" i="1"/>
  <c r="U172" i="1"/>
  <c r="T172" i="1"/>
  <c r="S172" i="1"/>
  <c r="U168" i="1"/>
  <c r="T168" i="1"/>
  <c r="S168" i="1"/>
  <c r="U164" i="1"/>
  <c r="T164" i="1"/>
  <c r="S164" i="1"/>
  <c r="U160" i="1"/>
  <c r="T160" i="1"/>
  <c r="S160" i="1"/>
  <c r="U156" i="1"/>
  <c r="T156" i="1"/>
  <c r="S156" i="1"/>
  <c r="U152" i="1"/>
  <c r="T152" i="1"/>
  <c r="S152" i="1"/>
  <c r="U148" i="1"/>
  <c r="T148" i="1"/>
  <c r="S148" i="1"/>
  <c r="M121" i="1"/>
  <c r="K121" i="1"/>
  <c r="L121" i="1"/>
  <c r="R121" i="1"/>
  <c r="K120" i="1"/>
  <c r="L120" i="1"/>
  <c r="M120" i="1"/>
  <c r="R118" i="1"/>
  <c r="R119" i="1"/>
  <c r="M118" i="1"/>
  <c r="M119" i="1"/>
  <c r="L118" i="1"/>
  <c r="L119" i="1"/>
  <c r="K118" i="1"/>
  <c r="K119" i="1"/>
  <c r="T154" i="22"/>
  <c r="U154" i="22"/>
  <c r="S154" i="22"/>
  <c r="S152" i="23"/>
  <c r="T144" i="25"/>
  <c r="U144" i="25"/>
  <c r="S144" i="25"/>
  <c r="T144" i="17"/>
  <c r="U144" i="17"/>
  <c r="S144" i="17"/>
  <c r="S145" i="17"/>
  <c r="T147" i="18"/>
  <c r="U147" i="18"/>
  <c r="S147" i="18"/>
  <c r="T159" i="9"/>
  <c r="U159" i="9"/>
  <c r="S159" i="9"/>
  <c r="S145" i="11"/>
  <c r="S142" i="12"/>
  <c r="T157" i="13"/>
  <c r="U157" i="13"/>
  <c r="S157" i="13"/>
  <c r="S158" i="13"/>
  <c r="T144" i="14"/>
  <c r="U144" i="14"/>
  <c r="S145" i="14"/>
  <c r="S144" i="14"/>
  <c r="S162" i="15"/>
  <c r="S154" i="8"/>
  <c r="T141" i="7"/>
  <c r="U141" i="7"/>
  <c r="S141" i="7"/>
  <c r="S142" i="7"/>
  <c r="U142" i="5"/>
  <c r="T142" i="5"/>
  <c r="S142" i="5"/>
  <c r="S143" i="5"/>
  <c r="T152" i="3"/>
  <c r="U152" i="3"/>
  <c r="S152" i="3"/>
  <c r="S153" i="3"/>
  <c r="S145" i="2"/>
  <c r="T147" i="1"/>
  <c r="U147" i="1"/>
  <c r="S147" i="1"/>
  <c r="R6" i="22"/>
  <c r="M6" i="22"/>
  <c r="L6" i="22"/>
  <c r="K6" i="22"/>
  <c r="R7" i="22"/>
  <c r="M7" i="22"/>
  <c r="L7" i="22"/>
  <c r="K7" i="22"/>
  <c r="E7" i="23"/>
  <c r="R6" i="23"/>
  <c r="M6" i="23"/>
  <c r="L6" i="23"/>
  <c r="K6" i="23"/>
  <c r="R7" i="23"/>
  <c r="M7" i="23"/>
  <c r="L7" i="23"/>
  <c r="K7" i="23"/>
  <c r="O6" i="24"/>
  <c r="K6" i="24"/>
  <c r="M6" i="24"/>
  <c r="L6" i="24"/>
  <c r="E7" i="24"/>
  <c r="R7" i="24"/>
  <c r="M7" i="24"/>
  <c r="L7" i="24"/>
  <c r="K7" i="24"/>
  <c r="R6" i="25"/>
  <c r="M6" i="25"/>
  <c r="L6" i="25"/>
  <c r="K6" i="25"/>
  <c r="R7" i="25"/>
  <c r="M7" i="25"/>
  <c r="L7" i="25"/>
  <c r="K7" i="25"/>
  <c r="R6" i="17"/>
  <c r="M6" i="17"/>
  <c r="L6" i="17"/>
  <c r="K6" i="17"/>
  <c r="R7" i="17"/>
  <c r="M7" i="17"/>
  <c r="L7" i="17"/>
  <c r="K7" i="17"/>
  <c r="R6" i="18"/>
  <c r="M6" i="18"/>
  <c r="L6" i="18"/>
  <c r="K6" i="18"/>
  <c r="R7" i="18"/>
  <c r="M7" i="18"/>
  <c r="L7" i="18"/>
  <c r="K7" i="18"/>
  <c r="K6" i="19"/>
  <c r="E7" i="19"/>
  <c r="R6" i="19"/>
  <c r="M6" i="19"/>
  <c r="R7" i="19"/>
  <c r="M7" i="19"/>
  <c r="L7" i="19"/>
  <c r="K7" i="19"/>
  <c r="E7" i="21"/>
  <c r="U142" i="21" s="1"/>
  <c r="R6" i="21"/>
  <c r="M6" i="21"/>
  <c r="L6" i="21"/>
  <c r="K6" i="21"/>
  <c r="R7" i="21"/>
  <c r="M7" i="21"/>
  <c r="L7" i="21"/>
  <c r="K7" i="21"/>
  <c r="R6" i="9"/>
  <c r="M6" i="9"/>
  <c r="L6" i="9"/>
  <c r="K6" i="9"/>
  <c r="R7" i="9"/>
  <c r="M7" i="9"/>
  <c r="L7" i="9"/>
  <c r="K7" i="9"/>
  <c r="R6" i="2"/>
  <c r="O6" i="8"/>
  <c r="R6" i="8" s="1"/>
  <c r="E7" i="10"/>
  <c r="T166" i="10" s="1"/>
  <c r="R6" i="10"/>
  <c r="M6" i="10"/>
  <c r="L6" i="10"/>
  <c r="K6" i="10"/>
  <c r="R7" i="10"/>
  <c r="M7" i="10"/>
  <c r="L7" i="10"/>
  <c r="K7" i="10"/>
  <c r="E7" i="11"/>
  <c r="R6" i="11"/>
  <c r="M6" i="11"/>
  <c r="L6" i="11"/>
  <c r="K6" i="11"/>
  <c r="R7" i="11"/>
  <c r="M7" i="11"/>
  <c r="L7" i="11"/>
  <c r="K7" i="11"/>
  <c r="E7" i="12"/>
  <c r="R6" i="12"/>
  <c r="M6" i="12"/>
  <c r="L6" i="12"/>
  <c r="K6" i="12"/>
  <c r="R7" i="12"/>
  <c r="M7" i="12"/>
  <c r="L7" i="12"/>
  <c r="K7" i="12"/>
  <c r="R6" i="13"/>
  <c r="M6" i="13"/>
  <c r="L6" i="13"/>
  <c r="K6" i="13"/>
  <c r="R7" i="13"/>
  <c r="M7" i="13"/>
  <c r="L7" i="13"/>
  <c r="K7" i="13"/>
  <c r="R6" i="14"/>
  <c r="M6" i="14"/>
  <c r="L6" i="14"/>
  <c r="K6" i="14"/>
  <c r="R7" i="14"/>
  <c r="J144" i="14" s="1"/>
  <c r="M7" i="14"/>
  <c r="L7" i="14"/>
  <c r="K7" i="14"/>
  <c r="E7" i="15"/>
  <c r="T161" i="15" s="1"/>
  <c r="R6" i="15"/>
  <c r="M6" i="15"/>
  <c r="L6" i="15"/>
  <c r="K6" i="15"/>
  <c r="R7" i="15"/>
  <c r="M7" i="15"/>
  <c r="L7" i="15"/>
  <c r="K7" i="15"/>
  <c r="E7" i="8"/>
  <c r="U153" i="8" s="1"/>
  <c r="M6" i="8"/>
  <c r="L6" i="8"/>
  <c r="K6" i="8"/>
  <c r="R6" i="7"/>
  <c r="M6" i="7"/>
  <c r="L6" i="7"/>
  <c r="K6" i="7"/>
  <c r="R6" i="5"/>
  <c r="M6" i="5"/>
  <c r="L6" i="5"/>
  <c r="K6" i="5"/>
  <c r="R6" i="3"/>
  <c r="M6" i="3"/>
  <c r="L6" i="3"/>
  <c r="K6" i="3"/>
  <c r="R6" i="1"/>
  <c r="M6" i="1"/>
  <c r="L6" i="1"/>
  <c r="K6" i="1"/>
  <c r="M6" i="2"/>
  <c r="L6" i="2"/>
  <c r="K6" i="2"/>
  <c r="K7" i="2"/>
  <c r="E7" i="2"/>
  <c r="T144" i="2" s="1"/>
  <c r="R7" i="8"/>
  <c r="M7" i="8"/>
  <c r="L7" i="8"/>
  <c r="K7" i="8"/>
  <c r="R7" i="7"/>
  <c r="M7" i="7"/>
  <c r="L7" i="7"/>
  <c r="K7" i="7"/>
  <c r="R7" i="5"/>
  <c r="M7" i="5"/>
  <c r="L7" i="5"/>
  <c r="K7" i="5"/>
  <c r="R7" i="3"/>
  <c r="M7" i="3"/>
  <c r="L7" i="3"/>
  <c r="K7" i="3"/>
  <c r="R7" i="2"/>
  <c r="M7" i="2"/>
  <c r="L7" i="2"/>
  <c r="R7" i="1"/>
  <c r="M7" i="1"/>
  <c r="L7" i="1"/>
  <c r="K7" i="1"/>
  <c r="P65" i="7"/>
  <c r="R65" i="7" s="1"/>
  <c r="P64" i="7"/>
  <c r="T165" i="13"/>
  <c r="U165" i="13"/>
  <c r="S165" i="13"/>
  <c r="K11" i="1"/>
  <c r="T172" i="13"/>
  <c r="U172" i="13"/>
  <c r="S172" i="13"/>
  <c r="N132" i="16"/>
  <c r="R25" i="38"/>
  <c r="M25" i="38"/>
  <c r="L25" i="38"/>
  <c r="K25" i="38"/>
  <c r="T92" i="37"/>
  <c r="U92" i="37"/>
  <c r="S92" i="37"/>
  <c r="T91" i="37"/>
  <c r="U91" i="37"/>
  <c r="S91" i="37"/>
  <c r="R44" i="37"/>
  <c r="M44" i="37"/>
  <c r="L44" i="37"/>
  <c r="K44" i="37"/>
  <c r="T99" i="37"/>
  <c r="U99" i="37"/>
  <c r="S99" i="37"/>
  <c r="R25" i="37"/>
  <c r="M25" i="37"/>
  <c r="L25" i="37"/>
  <c r="K25" i="37"/>
  <c r="R26" i="37"/>
  <c r="M26" i="37"/>
  <c r="L26" i="37"/>
  <c r="K26" i="37"/>
  <c r="M8" i="37"/>
  <c r="L8" i="37"/>
  <c r="K8" i="37"/>
  <c r="M7" i="37"/>
  <c r="D91" i="37" s="1"/>
  <c r="L7" i="37"/>
  <c r="C91" i="37" s="1"/>
  <c r="K7" i="37"/>
  <c r="B91" i="37" s="1"/>
  <c r="M10" i="37"/>
  <c r="M9" i="37"/>
  <c r="L10" i="37"/>
  <c r="L9" i="37"/>
  <c r="L11" i="37"/>
  <c r="R7" i="37"/>
  <c r="J91" i="37" s="1"/>
  <c r="R8" i="37"/>
  <c r="T113" i="36"/>
  <c r="U113" i="36"/>
  <c r="S113" i="36"/>
  <c r="T130" i="36"/>
  <c r="U130" i="36"/>
  <c r="S130" i="36"/>
  <c r="R47" i="36"/>
  <c r="M47" i="36"/>
  <c r="L47" i="36"/>
  <c r="K47" i="36"/>
  <c r="R46" i="36"/>
  <c r="M46" i="36"/>
  <c r="L46" i="36"/>
  <c r="K46" i="36"/>
  <c r="R45" i="36"/>
  <c r="M45" i="36"/>
  <c r="L45" i="36"/>
  <c r="K45" i="36"/>
  <c r="T139" i="35"/>
  <c r="U139" i="35"/>
  <c r="S139" i="35"/>
  <c r="T137" i="35"/>
  <c r="U137" i="35"/>
  <c r="S137" i="35"/>
  <c r="T136" i="35"/>
  <c r="U136" i="35"/>
  <c r="S136" i="35"/>
  <c r="T134" i="35"/>
  <c r="U134" i="35"/>
  <c r="S134" i="35"/>
  <c r="T133" i="35"/>
  <c r="U133" i="35"/>
  <c r="S133" i="35"/>
  <c r="T130" i="35"/>
  <c r="U130" i="35"/>
  <c r="S130" i="35"/>
  <c r="T127" i="35"/>
  <c r="U127" i="35"/>
  <c r="S127" i="35"/>
  <c r="T121" i="35"/>
  <c r="U121" i="35"/>
  <c r="S121" i="35"/>
  <c r="R60" i="35"/>
  <c r="M60" i="35"/>
  <c r="L60" i="35"/>
  <c r="K60" i="35"/>
  <c r="R42" i="35"/>
  <c r="M42" i="35"/>
  <c r="L42" i="35"/>
  <c r="K42" i="35"/>
  <c r="R30" i="35"/>
  <c r="M30" i="35"/>
  <c r="L30" i="35"/>
  <c r="K30" i="35"/>
  <c r="U129" i="35"/>
  <c r="T129" i="35"/>
  <c r="S129" i="35"/>
  <c r="U126" i="35"/>
  <c r="T126" i="35"/>
  <c r="S126" i="35"/>
  <c r="R20" i="35"/>
  <c r="M20" i="35"/>
  <c r="L20" i="35"/>
  <c r="K20" i="35"/>
  <c r="L12" i="35"/>
  <c r="M12" i="35"/>
  <c r="T90" i="34"/>
  <c r="U90" i="34"/>
  <c r="S90" i="34"/>
  <c r="R45" i="34"/>
  <c r="R46" i="34"/>
  <c r="R47" i="34"/>
  <c r="R48" i="34"/>
  <c r="R49" i="34"/>
  <c r="R50" i="34"/>
  <c r="K26" i="34"/>
  <c r="L26" i="34"/>
  <c r="M26" i="34"/>
  <c r="K25" i="34"/>
  <c r="L25" i="34"/>
  <c r="M25" i="34"/>
  <c r="K24" i="34"/>
  <c r="L24" i="34"/>
  <c r="M24" i="34"/>
  <c r="K23" i="34"/>
  <c r="L23" i="34"/>
  <c r="M23" i="34"/>
  <c r="L22" i="34"/>
  <c r="K22" i="34"/>
  <c r="M22" i="34"/>
  <c r="T84" i="33"/>
  <c r="U84" i="33"/>
  <c r="T85" i="33"/>
  <c r="U85" i="33"/>
  <c r="T86" i="33"/>
  <c r="U86" i="33"/>
  <c r="T87" i="33"/>
  <c r="U87" i="33"/>
  <c r="T88" i="33"/>
  <c r="U88" i="33"/>
  <c r="T89" i="33"/>
  <c r="U89" i="33"/>
  <c r="T90" i="33"/>
  <c r="U90" i="33"/>
  <c r="T91" i="33"/>
  <c r="T92" i="33"/>
  <c r="U92" i="33"/>
  <c r="T93" i="33"/>
  <c r="U93" i="33"/>
  <c r="T94" i="33"/>
  <c r="U94" i="33"/>
  <c r="T95" i="33"/>
  <c r="U95" i="33"/>
  <c r="T96" i="33"/>
  <c r="U96" i="33"/>
  <c r="T97" i="33"/>
  <c r="U97" i="33"/>
  <c r="T98" i="33"/>
  <c r="U98" i="33"/>
  <c r="U99" i="33"/>
  <c r="T103" i="33"/>
  <c r="U103" i="33"/>
  <c r="S103" i="33"/>
  <c r="S99" i="33"/>
  <c r="S98" i="33"/>
  <c r="S97" i="33"/>
  <c r="S96" i="33"/>
  <c r="S95" i="33"/>
  <c r="S94" i="33"/>
  <c r="S93" i="33"/>
  <c r="S92" i="33"/>
  <c r="S91" i="33"/>
  <c r="S90" i="33"/>
  <c r="S89" i="33"/>
  <c r="S88" i="33"/>
  <c r="S87" i="33"/>
  <c r="S86" i="33"/>
  <c r="S85" i="33"/>
  <c r="S84" i="33"/>
  <c r="M18" i="33"/>
  <c r="M19" i="33"/>
  <c r="M20" i="33"/>
  <c r="M21" i="33"/>
  <c r="M22" i="33"/>
  <c r="M23" i="33"/>
  <c r="M24" i="33"/>
  <c r="M25" i="33"/>
  <c r="M26" i="33"/>
  <c r="M27" i="33"/>
  <c r="K19" i="33"/>
  <c r="L19" i="33"/>
  <c r="K20" i="33"/>
  <c r="L20" i="33"/>
  <c r="K21" i="33"/>
  <c r="L21" i="33"/>
  <c r="K22" i="33"/>
  <c r="L22" i="33"/>
  <c r="K23" i="33"/>
  <c r="L23" i="33"/>
  <c r="K24" i="33"/>
  <c r="L24" i="33"/>
  <c r="K25" i="33"/>
  <c r="L25" i="33"/>
  <c r="K26" i="33"/>
  <c r="L26" i="33"/>
  <c r="K27" i="33"/>
  <c r="L27" i="33"/>
  <c r="R19" i="33"/>
  <c r="R20" i="33"/>
  <c r="R21" i="33"/>
  <c r="R22" i="33"/>
  <c r="L18" i="33"/>
  <c r="K18" i="33"/>
  <c r="K17" i="33"/>
  <c r="K16" i="33"/>
  <c r="L17" i="33"/>
  <c r="L16" i="33"/>
  <c r="M17" i="33"/>
  <c r="M16" i="33"/>
  <c r="R16" i="33"/>
  <c r="T83" i="32"/>
  <c r="U83" i="32"/>
  <c r="S83" i="32"/>
  <c r="T84" i="32"/>
  <c r="U84" i="32"/>
  <c r="T85" i="32"/>
  <c r="U85" i="32"/>
  <c r="T86" i="32"/>
  <c r="U86" i="32"/>
  <c r="T87" i="32"/>
  <c r="U87" i="32"/>
  <c r="T88" i="32"/>
  <c r="U88" i="32"/>
  <c r="T89" i="32"/>
  <c r="U89" i="32"/>
  <c r="T90" i="32"/>
  <c r="U90" i="32"/>
  <c r="T91" i="32"/>
  <c r="U91" i="32"/>
  <c r="T92" i="32"/>
  <c r="U92" i="32"/>
  <c r="T93" i="32"/>
  <c r="U93" i="32"/>
  <c r="T94" i="32"/>
  <c r="U94" i="32"/>
  <c r="T95" i="32"/>
  <c r="U95" i="32"/>
  <c r="T96" i="32"/>
  <c r="U96" i="32"/>
  <c r="T97" i="32"/>
  <c r="U97" i="32"/>
  <c r="T98" i="32"/>
  <c r="U98" i="32"/>
  <c r="T99" i="32"/>
  <c r="U99" i="32"/>
  <c r="T100" i="32"/>
  <c r="U100" i="32"/>
  <c r="T101" i="32"/>
  <c r="U101" i="32"/>
  <c r="T102" i="32"/>
  <c r="U102" i="32"/>
  <c r="T103" i="32"/>
  <c r="U103" i="32"/>
  <c r="S103" i="32"/>
  <c r="S102" i="32"/>
  <c r="S101" i="32"/>
  <c r="S100" i="32"/>
  <c r="S99" i="32"/>
  <c r="S98" i="32"/>
  <c r="S97" i="32"/>
  <c r="S96" i="32"/>
  <c r="S95" i="32"/>
  <c r="S94" i="32"/>
  <c r="S93" i="32"/>
  <c r="S92" i="32"/>
  <c r="S91" i="32"/>
  <c r="S90" i="32"/>
  <c r="S89" i="32"/>
  <c r="S88" i="32"/>
  <c r="S87" i="32"/>
  <c r="S86" i="32"/>
  <c r="S85" i="32"/>
  <c r="S84" i="32"/>
  <c r="L42" i="32"/>
  <c r="R7" i="32"/>
  <c r="M7" i="32"/>
  <c r="L7" i="32"/>
  <c r="K7" i="32"/>
  <c r="T81" i="31"/>
  <c r="U81" i="31"/>
  <c r="T82" i="31"/>
  <c r="U82" i="31"/>
  <c r="T83" i="31"/>
  <c r="U83" i="31"/>
  <c r="T84" i="31"/>
  <c r="U84" i="31"/>
  <c r="T85" i="31"/>
  <c r="U85" i="31"/>
  <c r="T86" i="31"/>
  <c r="U86" i="31"/>
  <c r="T87" i="31"/>
  <c r="U87" i="31"/>
  <c r="T88" i="31"/>
  <c r="U88" i="31"/>
  <c r="T89" i="31"/>
  <c r="U89" i="31"/>
  <c r="T90" i="31"/>
  <c r="U90" i="31"/>
  <c r="T91" i="31"/>
  <c r="U91" i="31"/>
  <c r="T92" i="31"/>
  <c r="U92" i="31"/>
  <c r="T93" i="31"/>
  <c r="U93" i="31"/>
  <c r="T94" i="31"/>
  <c r="U94" i="31"/>
  <c r="T95" i="31"/>
  <c r="U95" i="31"/>
  <c r="T96" i="31"/>
  <c r="U96" i="31"/>
  <c r="T97" i="31"/>
  <c r="U97" i="31"/>
  <c r="T98" i="31"/>
  <c r="U98" i="31"/>
  <c r="T99" i="31"/>
  <c r="U99" i="31"/>
  <c r="T100" i="31"/>
  <c r="U100" i="31"/>
  <c r="T101" i="31"/>
  <c r="U101" i="31"/>
  <c r="S101" i="31"/>
  <c r="S100" i="31"/>
  <c r="S99" i="31"/>
  <c r="S98" i="31"/>
  <c r="S97" i="31"/>
  <c r="S96" i="31"/>
  <c r="S95" i="31"/>
  <c r="S94" i="31"/>
  <c r="S93" i="31"/>
  <c r="S92" i="31"/>
  <c r="S91" i="31"/>
  <c r="S90" i="31"/>
  <c r="S89" i="31"/>
  <c r="S88" i="31"/>
  <c r="S87" i="31"/>
  <c r="S86" i="31"/>
  <c r="S85" i="31"/>
  <c r="S84" i="31"/>
  <c r="S83" i="31"/>
  <c r="S82" i="31"/>
  <c r="S81" i="31"/>
  <c r="R12" i="31"/>
  <c r="R13" i="31"/>
  <c r="R14" i="31"/>
  <c r="H84" i="31" s="1"/>
  <c r="R15" i="31"/>
  <c r="R16" i="31"/>
  <c r="R17" i="31"/>
  <c r="R18" i="31"/>
  <c r="R19" i="31"/>
  <c r="R20" i="31"/>
  <c r="R21" i="31"/>
  <c r="R22" i="31"/>
  <c r="L88" i="31" s="1"/>
  <c r="R23" i="31"/>
  <c r="R24" i="31"/>
  <c r="R25" i="31"/>
  <c r="R26" i="31"/>
  <c r="R27" i="31"/>
  <c r="R28" i="31"/>
  <c r="R29" i="31"/>
  <c r="R8" i="31"/>
  <c r="R9" i="31"/>
  <c r="R10" i="31"/>
  <c r="R11" i="31"/>
  <c r="R7" i="31"/>
  <c r="J81" i="31" s="1"/>
  <c r="T91" i="28"/>
  <c r="U91" i="28"/>
  <c r="S91" i="28"/>
  <c r="T85" i="29"/>
  <c r="U85" i="29"/>
  <c r="S85" i="29"/>
  <c r="T86" i="29"/>
  <c r="U86" i="29"/>
  <c r="T87" i="29"/>
  <c r="U87" i="29"/>
  <c r="T88" i="29"/>
  <c r="U88" i="29"/>
  <c r="T89" i="29"/>
  <c r="U89" i="29"/>
  <c r="T90" i="29"/>
  <c r="U90" i="29"/>
  <c r="T91" i="29"/>
  <c r="U91" i="29"/>
  <c r="T92" i="29"/>
  <c r="U92" i="29"/>
  <c r="T93" i="29"/>
  <c r="U93" i="29"/>
  <c r="T94" i="29"/>
  <c r="U94" i="29"/>
  <c r="T95" i="29"/>
  <c r="U95" i="29"/>
  <c r="T96" i="29"/>
  <c r="U96" i="29"/>
  <c r="T97" i="29"/>
  <c r="U97" i="29"/>
  <c r="T98" i="29"/>
  <c r="U98" i="29"/>
  <c r="T99" i="29"/>
  <c r="U99" i="29"/>
  <c r="T100" i="29"/>
  <c r="U100" i="29"/>
  <c r="T101" i="29"/>
  <c r="U101" i="29"/>
  <c r="T102" i="29"/>
  <c r="U102" i="29"/>
  <c r="T103" i="29"/>
  <c r="U103" i="29"/>
  <c r="T104" i="29"/>
  <c r="U104" i="29"/>
  <c r="T105" i="29"/>
  <c r="U105" i="29"/>
  <c r="T106" i="29"/>
  <c r="U106" i="29"/>
  <c r="S106" i="29"/>
  <c r="S105" i="29"/>
  <c r="S104" i="29"/>
  <c r="S103" i="29"/>
  <c r="S102" i="29"/>
  <c r="S101" i="29"/>
  <c r="S100" i="29"/>
  <c r="S99" i="29"/>
  <c r="S98" i="29"/>
  <c r="S97" i="29"/>
  <c r="S96" i="29"/>
  <c r="S95" i="29"/>
  <c r="S94" i="29"/>
  <c r="S93" i="29"/>
  <c r="S92" i="29"/>
  <c r="S91" i="29"/>
  <c r="W91" i="29" s="1"/>
  <c r="S90" i="29"/>
  <c r="S89" i="29"/>
  <c r="S88" i="29"/>
  <c r="S87" i="29"/>
  <c r="S86" i="29"/>
  <c r="R54" i="29"/>
  <c r="M54" i="29"/>
  <c r="L54" i="29"/>
  <c r="K54" i="29"/>
  <c r="R41" i="29"/>
  <c r="M41" i="29"/>
  <c r="L41" i="29"/>
  <c r="K41" i="29"/>
  <c r="R40" i="29"/>
  <c r="M40" i="29"/>
  <c r="L40" i="29"/>
  <c r="K40" i="29"/>
  <c r="R35" i="29"/>
  <c r="M35" i="29"/>
  <c r="L35" i="29"/>
  <c r="K35" i="29"/>
  <c r="R26" i="29"/>
  <c r="M26" i="29"/>
  <c r="L26" i="29"/>
  <c r="K26" i="29"/>
  <c r="K7" i="29"/>
  <c r="B85" i="29" s="1"/>
  <c r="L7" i="29"/>
  <c r="C85" i="29" s="1"/>
  <c r="M7" i="29"/>
  <c r="D85" i="29" s="1"/>
  <c r="K8" i="29"/>
  <c r="L8" i="29"/>
  <c r="C86" i="29" s="1"/>
  <c r="M8" i="29"/>
  <c r="K9" i="29"/>
  <c r="L9" i="29"/>
  <c r="M9" i="29"/>
  <c r="K10" i="29"/>
  <c r="L10" i="29"/>
  <c r="M10" i="29"/>
  <c r="K11" i="29"/>
  <c r="L11" i="29"/>
  <c r="M11" i="29"/>
  <c r="K12" i="29"/>
  <c r="L12" i="29"/>
  <c r="M12" i="29"/>
  <c r="K13" i="29"/>
  <c r="L13" i="29"/>
  <c r="M13" i="29"/>
  <c r="K14" i="29"/>
  <c r="L14" i="29"/>
  <c r="M14" i="29"/>
  <c r="K15" i="29"/>
  <c r="L15" i="29"/>
  <c r="M15" i="29"/>
  <c r="K16" i="29"/>
  <c r="L16" i="29"/>
  <c r="M16" i="29"/>
  <c r="K17" i="29"/>
  <c r="L17" i="29"/>
  <c r="M17" i="29"/>
  <c r="K18" i="29"/>
  <c r="L18" i="29"/>
  <c r="M18" i="29"/>
  <c r="K19" i="29"/>
  <c r="L19" i="29"/>
  <c r="M19" i="29"/>
  <c r="K20" i="29"/>
  <c r="L20" i="29"/>
  <c r="M20" i="29"/>
  <c r="K21" i="29"/>
  <c r="L21" i="29"/>
  <c r="M21" i="29"/>
  <c r="K22" i="29"/>
  <c r="L22" i="29"/>
  <c r="M22" i="29"/>
  <c r="K23" i="29"/>
  <c r="L23" i="29"/>
  <c r="M23" i="29"/>
  <c r="K24" i="29"/>
  <c r="L24" i="29"/>
  <c r="M24" i="29"/>
  <c r="K25" i="29"/>
  <c r="L25" i="29"/>
  <c r="M25" i="29"/>
  <c r="K27" i="29"/>
  <c r="L27" i="29"/>
  <c r="M27" i="29"/>
  <c r="K28" i="29"/>
  <c r="L28" i="29"/>
  <c r="M28" i="29"/>
  <c r="K29" i="29"/>
  <c r="L29" i="29"/>
  <c r="M29" i="29"/>
  <c r="K30" i="29"/>
  <c r="L30" i="29"/>
  <c r="M30" i="29"/>
  <c r="K31" i="29"/>
  <c r="L31" i="29"/>
  <c r="M31" i="29"/>
  <c r="K32" i="29"/>
  <c r="L32" i="29"/>
  <c r="M32" i="29"/>
  <c r="K33" i="29"/>
  <c r="L33" i="29"/>
  <c r="M33" i="29"/>
  <c r="K34" i="29"/>
  <c r="L34" i="29"/>
  <c r="M34" i="29"/>
  <c r="K36" i="29"/>
  <c r="L36" i="29"/>
  <c r="M36" i="29"/>
  <c r="K37" i="29"/>
  <c r="L37" i="29"/>
  <c r="M37" i="29"/>
  <c r="R23" i="29"/>
  <c r="E12" i="35"/>
  <c r="M25" i="36"/>
  <c r="L20" i="36"/>
  <c r="L21" i="36"/>
  <c r="L22" i="36"/>
  <c r="L23" i="36"/>
  <c r="L24" i="36"/>
  <c r="L25" i="36"/>
  <c r="L26" i="36"/>
  <c r="L27" i="36"/>
  <c r="L28" i="36"/>
  <c r="L29" i="36"/>
  <c r="L30" i="36"/>
  <c r="L31" i="36"/>
  <c r="L32" i="36"/>
  <c r="L33" i="36"/>
  <c r="L34" i="36"/>
  <c r="L35" i="36"/>
  <c r="L36" i="36"/>
  <c r="K19" i="36"/>
  <c r="K20" i="36"/>
  <c r="K21" i="36"/>
  <c r="K22" i="36"/>
  <c r="K23" i="36"/>
  <c r="K24" i="36"/>
  <c r="K25" i="36"/>
  <c r="K26" i="36"/>
  <c r="K27" i="36"/>
  <c r="K28" i="36"/>
  <c r="K29" i="36"/>
  <c r="K30" i="36"/>
  <c r="K31" i="36"/>
  <c r="K32" i="36"/>
  <c r="K33" i="36"/>
  <c r="K34" i="36"/>
  <c r="K35" i="36"/>
  <c r="K36" i="36"/>
  <c r="M20" i="36"/>
  <c r="T93" i="37"/>
  <c r="W93" i="37" s="1"/>
  <c r="U93" i="37"/>
  <c r="S93" i="37"/>
  <c r="K10" i="37"/>
  <c r="K9" i="37"/>
  <c r="R9" i="37"/>
  <c r="T89" i="38"/>
  <c r="U89" i="38"/>
  <c r="R49" i="35"/>
  <c r="R50" i="35"/>
  <c r="R51" i="35"/>
  <c r="R52" i="35"/>
  <c r="R51" i="33"/>
  <c r="M51" i="33"/>
  <c r="L51" i="33"/>
  <c r="K51" i="33"/>
  <c r="R50" i="33"/>
  <c r="M50" i="33"/>
  <c r="L50" i="33"/>
  <c r="K50" i="33"/>
  <c r="R49" i="33"/>
  <c r="M49" i="33"/>
  <c r="L49" i="33"/>
  <c r="K49" i="33"/>
  <c r="R48" i="33"/>
  <c r="M48" i="33"/>
  <c r="L48" i="33"/>
  <c r="K48" i="33"/>
  <c r="R47" i="33"/>
  <c r="M47" i="33"/>
  <c r="L47" i="33"/>
  <c r="K47" i="33"/>
  <c r="R46" i="33"/>
  <c r="M46" i="33"/>
  <c r="L46" i="33"/>
  <c r="K46" i="33"/>
  <c r="R45" i="33"/>
  <c r="M45" i="33"/>
  <c r="L45" i="33"/>
  <c r="K45" i="33"/>
  <c r="R44" i="33"/>
  <c r="M44" i="33"/>
  <c r="L44" i="33"/>
  <c r="K44" i="33"/>
  <c r="R43" i="33"/>
  <c r="M43" i="33"/>
  <c r="L43" i="33"/>
  <c r="K43" i="33"/>
  <c r="R42" i="33"/>
  <c r="M42" i="33"/>
  <c r="L42" i="33"/>
  <c r="K42" i="33"/>
  <c r="R41" i="33"/>
  <c r="M41" i="33"/>
  <c r="L41" i="33"/>
  <c r="K41" i="33"/>
  <c r="R40" i="33"/>
  <c r="M40" i="33"/>
  <c r="L40" i="33"/>
  <c r="K40" i="33"/>
  <c r="R39" i="33"/>
  <c r="M39" i="33"/>
  <c r="L39" i="33"/>
  <c r="K39" i="33"/>
  <c r="R38" i="33"/>
  <c r="M38" i="33"/>
  <c r="L38" i="33"/>
  <c r="K38" i="33"/>
  <c r="R37" i="33"/>
  <c r="M37" i="33"/>
  <c r="L37" i="33"/>
  <c r="K37" i="33"/>
  <c r="R36" i="33"/>
  <c r="M36" i="33"/>
  <c r="L36" i="33"/>
  <c r="K36" i="33"/>
  <c r="R35" i="33"/>
  <c r="M35" i="33"/>
  <c r="L35" i="33"/>
  <c r="K35" i="33"/>
  <c r="R34" i="33"/>
  <c r="M34" i="33"/>
  <c r="L34" i="33"/>
  <c r="K34" i="33"/>
  <c r="R33" i="33"/>
  <c r="M33" i="33"/>
  <c r="L33" i="33"/>
  <c r="K33" i="33"/>
  <c r="R32" i="33"/>
  <c r="M32" i="33"/>
  <c r="L32" i="33"/>
  <c r="K32" i="33"/>
  <c r="R31" i="33"/>
  <c r="M31" i="33"/>
  <c r="L31" i="33"/>
  <c r="K31" i="33"/>
  <c r="R30" i="33"/>
  <c r="M30" i="33"/>
  <c r="L30" i="33"/>
  <c r="K30" i="33"/>
  <c r="R29" i="33"/>
  <c r="M29" i="33"/>
  <c r="D94" i="33" s="1"/>
  <c r="L29" i="33"/>
  <c r="K29" i="33"/>
  <c r="R28" i="33"/>
  <c r="M28" i="33"/>
  <c r="L28" i="33"/>
  <c r="K28" i="33"/>
  <c r="R27" i="33"/>
  <c r="R26" i="33"/>
  <c r="R25" i="33"/>
  <c r="R24" i="33"/>
  <c r="R23" i="33"/>
  <c r="R18" i="33"/>
  <c r="R17" i="33"/>
  <c r="R15" i="33"/>
  <c r="M15" i="33"/>
  <c r="L15" i="33"/>
  <c r="K15" i="33"/>
  <c r="R14" i="33"/>
  <c r="M14" i="33"/>
  <c r="L14" i="33"/>
  <c r="K14" i="33"/>
  <c r="R13" i="33"/>
  <c r="M13" i="33"/>
  <c r="L13" i="33"/>
  <c r="K13" i="33"/>
  <c r="R12" i="33"/>
  <c r="M12" i="33"/>
  <c r="L12" i="33"/>
  <c r="K12" i="33"/>
  <c r="R11" i="33"/>
  <c r="M11" i="33"/>
  <c r="L11" i="33"/>
  <c r="K11" i="33"/>
  <c r="R10" i="33"/>
  <c r="M10" i="33"/>
  <c r="L10" i="33"/>
  <c r="K10" i="33"/>
  <c r="R9" i="33"/>
  <c r="M9" i="33"/>
  <c r="L9" i="33"/>
  <c r="K9" i="33"/>
  <c r="R8" i="33"/>
  <c r="M8" i="33"/>
  <c r="L8" i="33"/>
  <c r="K8" i="33"/>
  <c r="R7" i="33"/>
  <c r="H84" i="33" s="1"/>
  <c r="M7" i="33"/>
  <c r="D84" i="33" s="1"/>
  <c r="L7" i="33"/>
  <c r="C84" i="33" s="1"/>
  <c r="K7" i="33"/>
  <c r="B84" i="33" s="1"/>
  <c r="T129" i="6"/>
  <c r="U129" i="6"/>
  <c r="T133" i="6"/>
  <c r="U133" i="6"/>
  <c r="T137" i="6"/>
  <c r="U137" i="6"/>
  <c r="T141" i="6"/>
  <c r="U141" i="6"/>
  <c r="T145" i="6"/>
  <c r="U145" i="6"/>
  <c r="T146" i="6"/>
  <c r="U146" i="6"/>
  <c r="T148" i="6"/>
  <c r="U148" i="6"/>
  <c r="T149" i="6"/>
  <c r="S149" i="6"/>
  <c r="S148" i="6"/>
  <c r="S146" i="6"/>
  <c r="S145" i="6"/>
  <c r="W142" i="6"/>
  <c r="S141" i="6"/>
  <c r="S137" i="6"/>
  <c r="S133" i="6"/>
  <c r="S129" i="6"/>
  <c r="R80" i="6"/>
  <c r="M80" i="6"/>
  <c r="L80" i="6"/>
  <c r="K80" i="6"/>
  <c r="R37" i="6"/>
  <c r="R38" i="6"/>
  <c r="R39" i="6"/>
  <c r="R40" i="6"/>
  <c r="R41" i="6"/>
  <c r="R42" i="6"/>
  <c r="R43" i="6"/>
  <c r="R44" i="6"/>
  <c r="R45" i="6"/>
  <c r="R46" i="6"/>
  <c r="R47" i="6"/>
  <c r="R48" i="6"/>
  <c r="R49" i="6"/>
  <c r="R50" i="6"/>
  <c r="R51" i="6"/>
  <c r="R52" i="6"/>
  <c r="R53" i="6"/>
  <c r="R54" i="6"/>
  <c r="R55" i="6"/>
  <c r="R56" i="6"/>
  <c r="R57" i="6"/>
  <c r="R58" i="6"/>
  <c r="R59" i="6"/>
  <c r="R60" i="6"/>
  <c r="R61" i="6"/>
  <c r="R62" i="6"/>
  <c r="R63" i="6"/>
  <c r="R64" i="6"/>
  <c r="R65" i="6"/>
  <c r="R66" i="6"/>
  <c r="R67" i="6"/>
  <c r="R68" i="6"/>
  <c r="R69" i="6"/>
  <c r="R70" i="6"/>
  <c r="R71" i="6"/>
  <c r="R72" i="6"/>
  <c r="R73" i="6"/>
  <c r="R74" i="6"/>
  <c r="R75" i="6"/>
  <c r="R76" i="6"/>
  <c r="R77" i="6"/>
  <c r="R78" i="6"/>
  <c r="R79" i="6"/>
  <c r="R81" i="6"/>
  <c r="R82" i="6"/>
  <c r="R83" i="6"/>
  <c r="R84" i="6"/>
  <c r="M69" i="6"/>
  <c r="L69" i="6"/>
  <c r="K69" i="6"/>
  <c r="M67" i="6"/>
  <c r="L67" i="6"/>
  <c r="K67" i="6"/>
  <c r="T85" i="34"/>
  <c r="U85" i="34"/>
  <c r="T86" i="34"/>
  <c r="U86" i="34"/>
  <c r="T88" i="34"/>
  <c r="U88" i="34"/>
  <c r="T89" i="34"/>
  <c r="U89" i="34"/>
  <c r="T93" i="34"/>
  <c r="U93" i="34"/>
  <c r="T96" i="34"/>
  <c r="U96" i="34"/>
  <c r="T98" i="34"/>
  <c r="U98" i="34"/>
  <c r="T101" i="34"/>
  <c r="U101" i="34"/>
  <c r="S102" i="34"/>
  <c r="S101" i="34"/>
  <c r="S98" i="34"/>
  <c r="S96" i="34"/>
  <c r="S93" i="34"/>
  <c r="S89" i="34"/>
  <c r="S88" i="34"/>
  <c r="S86" i="34"/>
  <c r="S85" i="34"/>
  <c r="E53" i="34"/>
  <c r="T103" i="34" s="1"/>
  <c r="U102" i="34"/>
  <c r="E47" i="34"/>
  <c r="U100" i="34" s="1"/>
  <c r="E45" i="34"/>
  <c r="T99" i="34" s="1"/>
  <c r="E39" i="34"/>
  <c r="E34" i="34"/>
  <c r="U95" i="34" s="1"/>
  <c r="E31" i="34"/>
  <c r="S94" i="34" s="1"/>
  <c r="E27" i="34"/>
  <c r="U92" i="34" s="1"/>
  <c r="E25" i="34"/>
  <c r="T91" i="34" s="1"/>
  <c r="E16" i="34"/>
  <c r="E7" i="34"/>
  <c r="U83" i="34" s="1"/>
  <c r="E9" i="34"/>
  <c r="S84" i="34" s="1"/>
  <c r="R16" i="34"/>
  <c r="R17" i="34"/>
  <c r="R18" i="34"/>
  <c r="R19" i="34"/>
  <c r="R20" i="34"/>
  <c r="R21" i="34"/>
  <c r="R22" i="34"/>
  <c r="R23" i="34"/>
  <c r="R24" i="34"/>
  <c r="R25" i="34"/>
  <c r="K16" i="34"/>
  <c r="L16" i="34"/>
  <c r="M16" i="34"/>
  <c r="T79" i="30"/>
  <c r="U79" i="30"/>
  <c r="T81" i="30"/>
  <c r="U81" i="30"/>
  <c r="U82" i="30"/>
  <c r="T87" i="30"/>
  <c r="U87" i="30"/>
  <c r="S87" i="30"/>
  <c r="S82" i="30"/>
  <c r="S81" i="30"/>
  <c r="S79" i="30"/>
  <c r="E34" i="30"/>
  <c r="S86" i="30" s="1"/>
  <c r="E32" i="30"/>
  <c r="S85" i="30" s="1"/>
  <c r="E28" i="30"/>
  <c r="U84" i="30" s="1"/>
  <c r="E26" i="30"/>
  <c r="U83" i="30" s="1"/>
  <c r="E19" i="30"/>
  <c r="S80" i="30" s="1"/>
  <c r="E15" i="30"/>
  <c r="T78" i="30" s="1"/>
  <c r="E12" i="30"/>
  <c r="S77" i="30" s="1"/>
  <c r="E10" i="30"/>
  <c r="T76" i="30" s="1"/>
  <c r="E7" i="30"/>
  <c r="T75" i="30" s="1"/>
  <c r="K8" i="35"/>
  <c r="L8" i="35" s="1"/>
  <c r="K10" i="35"/>
  <c r="L10" i="35" s="1"/>
  <c r="M10" i="35" s="1"/>
  <c r="K11" i="35"/>
  <c r="L11" i="35" s="1"/>
  <c r="M11" i="35" s="1"/>
  <c r="N11" i="35" s="1"/>
  <c r="K12" i="35"/>
  <c r="K7" i="35"/>
  <c r="B121" i="35" s="1"/>
  <c r="T124" i="35"/>
  <c r="U124" i="35"/>
  <c r="T132" i="35"/>
  <c r="U132" i="35"/>
  <c r="T138" i="35"/>
  <c r="U138" i="35"/>
  <c r="T140" i="35"/>
  <c r="U140" i="35"/>
  <c r="T142" i="35"/>
  <c r="U142" i="35"/>
  <c r="S142" i="35"/>
  <c r="S140" i="35"/>
  <c r="S138" i="35"/>
  <c r="S132" i="35"/>
  <c r="S124" i="35"/>
  <c r="E10" i="35"/>
  <c r="E78" i="35"/>
  <c r="T141" i="35" s="1"/>
  <c r="E53" i="35"/>
  <c r="T135" i="35" s="1"/>
  <c r="E35" i="35"/>
  <c r="E25" i="35"/>
  <c r="S128" i="35" s="1"/>
  <c r="E16" i="35"/>
  <c r="T125" i="35" s="1"/>
  <c r="M50" i="35"/>
  <c r="M51" i="35"/>
  <c r="M52" i="35"/>
  <c r="M53" i="35"/>
  <c r="M54" i="35"/>
  <c r="M55" i="35"/>
  <c r="M56" i="35"/>
  <c r="M57" i="35"/>
  <c r="M58" i="35"/>
  <c r="M59" i="35"/>
  <c r="M61" i="35"/>
  <c r="M62" i="35"/>
  <c r="M63" i="35"/>
  <c r="M64" i="35"/>
  <c r="M65" i="35"/>
  <c r="M66" i="35"/>
  <c r="M67" i="35"/>
  <c r="M68" i="35"/>
  <c r="M69" i="35"/>
  <c r="M70" i="35"/>
  <c r="M71" i="35"/>
  <c r="M72" i="35"/>
  <c r="M73" i="35"/>
  <c r="M74" i="35"/>
  <c r="M75" i="35"/>
  <c r="M76" i="35"/>
  <c r="M77" i="35"/>
  <c r="M78" i="35"/>
  <c r="M79" i="35"/>
  <c r="M80" i="35"/>
  <c r="L48" i="35"/>
  <c r="L49" i="35"/>
  <c r="L50" i="35"/>
  <c r="L51" i="35"/>
  <c r="L52" i="35"/>
  <c r="L53" i="35"/>
  <c r="L54" i="35"/>
  <c r="L55" i="35"/>
  <c r="L56" i="35"/>
  <c r="L57" i="35"/>
  <c r="L58" i="35"/>
  <c r="L59" i="35"/>
  <c r="L61" i="35"/>
  <c r="L62" i="35"/>
  <c r="L63" i="35"/>
  <c r="L64" i="35"/>
  <c r="L65" i="35"/>
  <c r="L66" i="35"/>
  <c r="L67" i="35"/>
  <c r="L68" i="35"/>
  <c r="L69" i="35"/>
  <c r="L70" i="35"/>
  <c r="L71" i="35"/>
  <c r="L72" i="35"/>
  <c r="L73" i="35"/>
  <c r="L74" i="35"/>
  <c r="L75" i="35"/>
  <c r="L76" i="35"/>
  <c r="L77" i="35"/>
  <c r="L78" i="35"/>
  <c r="L79" i="35"/>
  <c r="L80" i="35"/>
  <c r="K47" i="35"/>
  <c r="K48" i="35"/>
  <c r="K49" i="35"/>
  <c r="K50" i="35"/>
  <c r="K51" i="35"/>
  <c r="K52" i="35"/>
  <c r="K53" i="35"/>
  <c r="K54" i="35"/>
  <c r="K55" i="35"/>
  <c r="K56" i="35"/>
  <c r="K57" i="35"/>
  <c r="K58" i="35"/>
  <c r="K59" i="35"/>
  <c r="K61" i="35"/>
  <c r="K62" i="35"/>
  <c r="K63" i="35"/>
  <c r="K64" i="35"/>
  <c r="K65" i="35"/>
  <c r="K66" i="35"/>
  <c r="K67" i="35"/>
  <c r="K68" i="35"/>
  <c r="K69" i="35"/>
  <c r="K70" i="35"/>
  <c r="K71" i="35"/>
  <c r="K72" i="35"/>
  <c r="K73" i="35"/>
  <c r="K74" i="35"/>
  <c r="K75" i="35"/>
  <c r="K76" i="35"/>
  <c r="K77" i="35"/>
  <c r="K78" i="35"/>
  <c r="K79" i="35"/>
  <c r="K80" i="35"/>
  <c r="R63" i="35"/>
  <c r="R64" i="35"/>
  <c r="R65" i="35"/>
  <c r="R66" i="35"/>
  <c r="R67" i="35"/>
  <c r="R68" i="35"/>
  <c r="R69" i="35"/>
  <c r="R70" i="35"/>
  <c r="R71" i="35"/>
  <c r="R72" i="35"/>
  <c r="R73" i="35"/>
  <c r="R74" i="35"/>
  <c r="R75" i="35"/>
  <c r="R76" i="35"/>
  <c r="R77" i="35"/>
  <c r="R78" i="35"/>
  <c r="R79" i="35"/>
  <c r="R80" i="35"/>
  <c r="R47" i="35"/>
  <c r="R48" i="35"/>
  <c r="R53" i="35"/>
  <c r="R54" i="35"/>
  <c r="R55" i="35"/>
  <c r="R56" i="35"/>
  <c r="R57" i="35"/>
  <c r="R58" i="35"/>
  <c r="R59" i="35"/>
  <c r="R61" i="35"/>
  <c r="R62" i="35"/>
  <c r="R12" i="35"/>
  <c r="R13" i="35"/>
  <c r="R14" i="35"/>
  <c r="R15" i="35"/>
  <c r="R16" i="35"/>
  <c r="R17" i="35"/>
  <c r="R18" i="35"/>
  <c r="R19" i="35"/>
  <c r="R21" i="35"/>
  <c r="R22" i="35"/>
  <c r="R23" i="35"/>
  <c r="R24" i="35"/>
  <c r="R25" i="35"/>
  <c r="R26" i="35"/>
  <c r="R27" i="35"/>
  <c r="R28" i="35"/>
  <c r="R29" i="35"/>
  <c r="R31" i="35"/>
  <c r="R32" i="35"/>
  <c r="R33" i="35"/>
  <c r="R34" i="35"/>
  <c r="R35" i="35"/>
  <c r="R36" i="35"/>
  <c r="R37" i="35"/>
  <c r="R38" i="35"/>
  <c r="R39" i="35"/>
  <c r="R40" i="35"/>
  <c r="R41" i="35"/>
  <c r="R43" i="35"/>
  <c r="R44" i="35"/>
  <c r="R45" i="35"/>
  <c r="R46" i="35"/>
  <c r="R10" i="35"/>
  <c r="N95" i="28"/>
  <c r="N94" i="28"/>
  <c r="U109" i="28"/>
  <c r="T109" i="28"/>
  <c r="S109" i="28"/>
  <c r="U105" i="28"/>
  <c r="T105" i="28"/>
  <c r="S105" i="28"/>
  <c r="U101" i="28"/>
  <c r="T101" i="28"/>
  <c r="S101" i="28"/>
  <c r="U97" i="28"/>
  <c r="T97" i="28"/>
  <c r="S97" i="28"/>
  <c r="U93" i="28"/>
  <c r="T93" i="28"/>
  <c r="S93" i="28"/>
  <c r="T92" i="28"/>
  <c r="U92" i="28"/>
  <c r="T94" i="28"/>
  <c r="U94" i="28"/>
  <c r="T95" i="28"/>
  <c r="U95" i="28"/>
  <c r="T96" i="28"/>
  <c r="U96" i="28"/>
  <c r="T98" i="28"/>
  <c r="U98" i="28"/>
  <c r="T99" i="28"/>
  <c r="U99" i="28"/>
  <c r="T100" i="28"/>
  <c r="U100" i="28"/>
  <c r="T102" i="28"/>
  <c r="U102" i="28"/>
  <c r="T104" i="28"/>
  <c r="U104" i="28"/>
  <c r="T107" i="28"/>
  <c r="U107" i="28"/>
  <c r="T108" i="28"/>
  <c r="U108" i="28"/>
  <c r="T111" i="28"/>
  <c r="U111" i="28"/>
  <c r="T112" i="28"/>
  <c r="U112" i="28"/>
  <c r="T113" i="28"/>
  <c r="U113" i="28"/>
  <c r="S113" i="28"/>
  <c r="S112" i="28"/>
  <c r="S111" i="28"/>
  <c r="S108" i="28"/>
  <c r="S107" i="28"/>
  <c r="S104" i="28"/>
  <c r="S102" i="28"/>
  <c r="S100" i="28"/>
  <c r="S99" i="28"/>
  <c r="S98" i="28"/>
  <c r="S96" i="28"/>
  <c r="S95" i="28"/>
  <c r="S94" i="28"/>
  <c r="S92" i="28"/>
  <c r="R7" i="28"/>
  <c r="M7" i="28"/>
  <c r="L7" i="28"/>
  <c r="K7" i="28"/>
  <c r="R22" i="28"/>
  <c r="M22" i="28"/>
  <c r="L22" i="28"/>
  <c r="K22" i="28"/>
  <c r="M49" i="35"/>
  <c r="M48" i="35"/>
  <c r="M46" i="35"/>
  <c r="L46" i="35"/>
  <c r="K46" i="35"/>
  <c r="M40" i="35"/>
  <c r="M41" i="35"/>
  <c r="M43" i="35"/>
  <c r="M44" i="35"/>
  <c r="M45" i="35"/>
  <c r="M47" i="35"/>
  <c r="L40" i="35"/>
  <c r="L41" i="35"/>
  <c r="L43" i="35"/>
  <c r="L44" i="35"/>
  <c r="L45" i="35"/>
  <c r="L47" i="35"/>
  <c r="K38" i="35"/>
  <c r="K39" i="35"/>
  <c r="K40" i="35"/>
  <c r="K41" i="35"/>
  <c r="K43" i="35"/>
  <c r="K44" i="35"/>
  <c r="K45" i="35"/>
  <c r="K34" i="35"/>
  <c r="L34" i="35"/>
  <c r="M34" i="35"/>
  <c r="K33" i="35"/>
  <c r="L33" i="35"/>
  <c r="M33" i="35"/>
  <c r="K24" i="35"/>
  <c r="L24" i="35"/>
  <c r="M24" i="35"/>
  <c r="M25" i="35"/>
  <c r="M26" i="35"/>
  <c r="M27" i="35"/>
  <c r="M28" i="35"/>
  <c r="M29" i="35"/>
  <c r="M31" i="35"/>
  <c r="M32" i="35"/>
  <c r="M35" i="35"/>
  <c r="M36" i="35"/>
  <c r="M37" i="35"/>
  <c r="M38" i="35"/>
  <c r="M39" i="35"/>
  <c r="L22" i="35"/>
  <c r="L23" i="35"/>
  <c r="L25" i="35"/>
  <c r="L26" i="35"/>
  <c r="L27" i="35"/>
  <c r="L28" i="35"/>
  <c r="L29" i="35"/>
  <c r="L31" i="35"/>
  <c r="L32" i="35"/>
  <c r="L35" i="35"/>
  <c r="L36" i="35"/>
  <c r="L37" i="35"/>
  <c r="L38" i="35"/>
  <c r="L39" i="35"/>
  <c r="K22" i="35"/>
  <c r="K23" i="35"/>
  <c r="K25" i="35"/>
  <c r="K26" i="35"/>
  <c r="K27" i="35"/>
  <c r="K28" i="35"/>
  <c r="K29" i="35"/>
  <c r="K31" i="35"/>
  <c r="K32" i="35"/>
  <c r="K19" i="35"/>
  <c r="L19" i="35"/>
  <c r="M19" i="35"/>
  <c r="T116" i="36"/>
  <c r="U116" i="36"/>
  <c r="T120" i="36"/>
  <c r="U120" i="36"/>
  <c r="T124" i="36"/>
  <c r="U124" i="36"/>
  <c r="T125" i="36"/>
  <c r="U125" i="36"/>
  <c r="T126" i="36"/>
  <c r="U126" i="36"/>
  <c r="S126" i="36"/>
  <c r="S125" i="36"/>
  <c r="S124" i="36"/>
  <c r="S120" i="36"/>
  <c r="S116" i="36"/>
  <c r="E64" i="36"/>
  <c r="U135" i="36" s="1"/>
  <c r="E59" i="36"/>
  <c r="T134" i="36" s="1"/>
  <c r="E55" i="36"/>
  <c r="T133" i="36" s="1"/>
  <c r="E52" i="36"/>
  <c r="S132" i="36" s="1"/>
  <c r="E49" i="36"/>
  <c r="U131" i="36" s="1"/>
  <c r="E43" i="36"/>
  <c r="S129" i="36" s="1"/>
  <c r="E39" i="36"/>
  <c r="T128" i="36" s="1"/>
  <c r="E37" i="36"/>
  <c r="E29" i="36"/>
  <c r="T123" i="36" s="1"/>
  <c r="E27" i="36"/>
  <c r="T122" i="36" s="1"/>
  <c r="E25" i="36"/>
  <c r="U121" i="36" s="1"/>
  <c r="E20" i="36"/>
  <c r="T119" i="36" s="1"/>
  <c r="E17" i="36"/>
  <c r="T118" i="36" s="1"/>
  <c r="E15" i="36"/>
  <c r="U117" i="36" s="1"/>
  <c r="E11" i="36"/>
  <c r="T115" i="36" s="1"/>
  <c r="E9" i="36"/>
  <c r="U114" i="36" s="1"/>
  <c r="K64" i="36"/>
  <c r="R24" i="36"/>
  <c r="R25" i="36"/>
  <c r="R20" i="36"/>
  <c r="R21" i="36"/>
  <c r="R22" i="36"/>
  <c r="M14" i="37"/>
  <c r="M15" i="37"/>
  <c r="L14" i="37"/>
  <c r="L15" i="37"/>
  <c r="M18" i="37"/>
  <c r="L18" i="37"/>
  <c r="K18" i="37"/>
  <c r="K15" i="37"/>
  <c r="K14" i="37"/>
  <c r="T96" i="37"/>
  <c r="U96" i="37"/>
  <c r="T97" i="37"/>
  <c r="U97" i="37"/>
  <c r="T98" i="37"/>
  <c r="U98" i="37"/>
  <c r="T100" i="37"/>
  <c r="U100" i="37"/>
  <c r="T101" i="37"/>
  <c r="U101" i="37"/>
  <c r="T102" i="37"/>
  <c r="U102" i="37"/>
  <c r="T104" i="37"/>
  <c r="U104" i="37"/>
  <c r="T105" i="37"/>
  <c r="U105" i="37"/>
  <c r="T106" i="37"/>
  <c r="U106" i="37"/>
  <c r="T108" i="37"/>
  <c r="U108" i="37"/>
  <c r="T109" i="37"/>
  <c r="U109" i="37"/>
  <c r="S109" i="37"/>
  <c r="S108" i="37"/>
  <c r="S106" i="37"/>
  <c r="S105" i="37"/>
  <c r="S104" i="37"/>
  <c r="S102" i="37"/>
  <c r="S101" i="37"/>
  <c r="S100" i="37"/>
  <c r="S98" i="37"/>
  <c r="S97" i="37"/>
  <c r="S96" i="37"/>
  <c r="E58" i="37"/>
  <c r="T113" i="37" s="1"/>
  <c r="E56" i="37"/>
  <c r="T112" i="37" s="1"/>
  <c r="E54" i="37"/>
  <c r="T111" i="37" s="1"/>
  <c r="E52" i="37"/>
  <c r="U110" i="37" s="1"/>
  <c r="E36" i="37"/>
  <c r="E18" i="37"/>
  <c r="T95" i="37" s="1"/>
  <c r="E15" i="37"/>
  <c r="U94" i="37" s="1"/>
  <c r="R17" i="37"/>
  <c r="R18" i="37"/>
  <c r="R19" i="37"/>
  <c r="R15" i="37"/>
  <c r="R14" i="37"/>
  <c r="M22" i="38"/>
  <c r="L21" i="38"/>
  <c r="L22" i="38"/>
  <c r="K22" i="38"/>
  <c r="E22" i="38"/>
  <c r="T96" i="38" s="1"/>
  <c r="E41" i="38"/>
  <c r="S104" i="38" s="1"/>
  <c r="T91" i="38"/>
  <c r="U91" i="38"/>
  <c r="T94" i="38"/>
  <c r="U94" i="38"/>
  <c r="T95" i="38"/>
  <c r="U95" i="38"/>
  <c r="T97" i="38"/>
  <c r="U97" i="38"/>
  <c r="T99" i="38"/>
  <c r="U99" i="38"/>
  <c r="T103" i="38"/>
  <c r="U103" i="38"/>
  <c r="T105" i="38"/>
  <c r="U105" i="38"/>
  <c r="T106" i="38"/>
  <c r="U106" i="38"/>
  <c r="S106" i="38"/>
  <c r="S105" i="38"/>
  <c r="S103" i="38"/>
  <c r="S99" i="38"/>
  <c r="S97" i="38"/>
  <c r="S95" i="38"/>
  <c r="S94" i="38"/>
  <c r="S91" i="38"/>
  <c r="E51" i="38"/>
  <c r="U108" i="38" s="1"/>
  <c r="E49" i="38"/>
  <c r="U107" i="38" s="1"/>
  <c r="E37" i="38"/>
  <c r="U102" i="38" s="1"/>
  <c r="E32" i="38"/>
  <c r="T100" i="38" s="1"/>
  <c r="E34" i="38"/>
  <c r="S101" i="38" s="1"/>
  <c r="E15" i="38"/>
  <c r="T93" i="38" s="1"/>
  <c r="E13" i="38"/>
  <c r="S92" i="38" s="1"/>
  <c r="E9" i="38"/>
  <c r="S90" i="38" s="1"/>
  <c r="R8" i="38"/>
  <c r="R9" i="38"/>
  <c r="R10" i="38"/>
  <c r="R11" i="38"/>
  <c r="R12" i="38"/>
  <c r="R13" i="38"/>
  <c r="R14" i="38"/>
  <c r="R15" i="38"/>
  <c r="R16" i="38"/>
  <c r="R17" i="38"/>
  <c r="R18" i="38"/>
  <c r="R19" i="38"/>
  <c r="R20" i="38"/>
  <c r="R21" i="38"/>
  <c r="R22" i="38"/>
  <c r="R23" i="38"/>
  <c r="R24" i="38"/>
  <c r="R26" i="38"/>
  <c r="R27" i="38"/>
  <c r="R28" i="38"/>
  <c r="R29" i="38"/>
  <c r="R30" i="38"/>
  <c r="R31" i="38"/>
  <c r="R32" i="38"/>
  <c r="R33" i="38"/>
  <c r="R34" i="38"/>
  <c r="R35" i="38"/>
  <c r="R36" i="38"/>
  <c r="R37" i="38"/>
  <c r="R38" i="38"/>
  <c r="R39" i="38"/>
  <c r="R40" i="38"/>
  <c r="R41" i="38"/>
  <c r="R42" i="38"/>
  <c r="R43" i="38"/>
  <c r="R44" i="38"/>
  <c r="R45" i="38"/>
  <c r="R46" i="38"/>
  <c r="R47" i="38"/>
  <c r="R48" i="38"/>
  <c r="R49" i="38"/>
  <c r="R50" i="38"/>
  <c r="R51" i="38"/>
  <c r="R7" i="38"/>
  <c r="K32" i="38"/>
  <c r="L32" i="38"/>
  <c r="M32" i="38"/>
  <c r="T212" i="9"/>
  <c r="U212" i="9"/>
  <c r="S212" i="9"/>
  <c r="T201" i="22"/>
  <c r="U201" i="22"/>
  <c r="S201" i="22"/>
  <c r="T192" i="22"/>
  <c r="U192" i="22"/>
  <c r="S192" i="22"/>
  <c r="T169" i="22"/>
  <c r="U169" i="22"/>
  <c r="S169" i="22"/>
  <c r="T163" i="22"/>
  <c r="U163" i="22"/>
  <c r="S163" i="22"/>
  <c r="T161" i="22"/>
  <c r="U161" i="22"/>
  <c r="S161" i="22"/>
  <c r="R111" i="22"/>
  <c r="M111" i="22"/>
  <c r="L111" i="22"/>
  <c r="K111" i="22"/>
  <c r="R30" i="22"/>
  <c r="M30" i="22"/>
  <c r="L30" i="22"/>
  <c r="K30" i="22"/>
  <c r="R24" i="22"/>
  <c r="M24" i="22"/>
  <c r="L24" i="22"/>
  <c r="K24" i="22"/>
  <c r="R8" i="22"/>
  <c r="R10" i="22"/>
  <c r="R11" i="22"/>
  <c r="R12" i="22"/>
  <c r="R13" i="22"/>
  <c r="R14" i="22"/>
  <c r="R15" i="22"/>
  <c r="R16" i="22"/>
  <c r="R17" i="22"/>
  <c r="R18" i="22"/>
  <c r="R19" i="22"/>
  <c r="R20" i="22"/>
  <c r="R21" i="22"/>
  <c r="R22" i="22"/>
  <c r="R23" i="22"/>
  <c r="R25" i="22"/>
  <c r="R26" i="22"/>
  <c r="R27" i="22"/>
  <c r="R28" i="22"/>
  <c r="R29" i="22"/>
  <c r="R31" i="22"/>
  <c r="R32" i="22"/>
  <c r="R33" i="22"/>
  <c r="R34" i="22"/>
  <c r="R35" i="22"/>
  <c r="R36" i="22"/>
  <c r="R37" i="22"/>
  <c r="R38" i="22"/>
  <c r="R39" i="22"/>
  <c r="R40" i="22"/>
  <c r="R41" i="22"/>
  <c r="R42" i="22"/>
  <c r="R43" i="22"/>
  <c r="R44" i="22"/>
  <c r="R45" i="22"/>
  <c r="R46" i="22"/>
  <c r="R47" i="22"/>
  <c r="R48" i="22"/>
  <c r="R49" i="22"/>
  <c r="R50" i="22"/>
  <c r="R51" i="22"/>
  <c r="R52" i="22"/>
  <c r="R53" i="22"/>
  <c r="R54" i="22"/>
  <c r="R55" i="22"/>
  <c r="R56" i="22"/>
  <c r="R57" i="22"/>
  <c r="R58" i="22"/>
  <c r="R59" i="22"/>
  <c r="R60" i="22"/>
  <c r="R61" i="22"/>
  <c r="R62" i="22"/>
  <c r="R63" i="22"/>
  <c r="R64" i="22"/>
  <c r="R65" i="22"/>
  <c r="R66" i="22"/>
  <c r="R67" i="22"/>
  <c r="R68" i="22"/>
  <c r="R69" i="22"/>
  <c r="R70" i="22"/>
  <c r="R71" i="22"/>
  <c r="R72" i="22"/>
  <c r="R73" i="22"/>
  <c r="R74" i="22"/>
  <c r="R75" i="22"/>
  <c r="R76" i="22"/>
  <c r="R77" i="22"/>
  <c r="R78" i="22"/>
  <c r="R79" i="22"/>
  <c r="R80" i="22"/>
  <c r="R81" i="22"/>
  <c r="R82" i="22"/>
  <c r="R83" i="22"/>
  <c r="R84" i="22"/>
  <c r="R85" i="22"/>
  <c r="R86" i="22"/>
  <c r="R87" i="22"/>
  <c r="R88" i="22"/>
  <c r="R89" i="22"/>
  <c r="R90" i="22"/>
  <c r="R91" i="22"/>
  <c r="R92" i="22"/>
  <c r="R93" i="22"/>
  <c r="R94" i="22"/>
  <c r="R95" i="22"/>
  <c r="R96" i="22"/>
  <c r="R97" i="22"/>
  <c r="R98" i="22"/>
  <c r="R99" i="22"/>
  <c r="R100" i="22"/>
  <c r="R101" i="22"/>
  <c r="R102" i="22"/>
  <c r="R103" i="22"/>
  <c r="R104" i="22"/>
  <c r="R105" i="22"/>
  <c r="R106" i="22"/>
  <c r="R107" i="22"/>
  <c r="R108" i="22"/>
  <c r="R109" i="22"/>
  <c r="R110" i="22"/>
  <c r="R112" i="22"/>
  <c r="R113" i="22"/>
  <c r="R114" i="22"/>
  <c r="L202" i="22" s="1"/>
  <c r="R115" i="22"/>
  <c r="R116" i="22"/>
  <c r="R117" i="22"/>
  <c r="R118" i="22"/>
  <c r="R119" i="22"/>
  <c r="R120" i="22"/>
  <c r="R121" i="22"/>
  <c r="R122" i="22"/>
  <c r="H206" i="22" s="1"/>
  <c r="R123" i="22"/>
  <c r="R124" i="22"/>
  <c r="R9" i="22"/>
  <c r="M44" i="22"/>
  <c r="L44" i="22"/>
  <c r="K44" i="22"/>
  <c r="K101" i="5"/>
  <c r="L101" i="5"/>
  <c r="M101" i="5"/>
  <c r="K102" i="5"/>
  <c r="L102" i="5"/>
  <c r="M102" i="5"/>
  <c r="T200" i="9"/>
  <c r="U200" i="9"/>
  <c r="S200" i="9"/>
  <c r="M95" i="9"/>
  <c r="L95" i="9"/>
  <c r="K95" i="9"/>
  <c r="E122" i="10"/>
  <c r="S216" i="10" s="1"/>
  <c r="R58" i="10"/>
  <c r="R78" i="11"/>
  <c r="R97" i="19"/>
  <c r="K97" i="19"/>
  <c r="L97" i="19"/>
  <c r="M97" i="19"/>
  <c r="E97" i="19"/>
  <c r="T168" i="10"/>
  <c r="U168" i="10"/>
  <c r="T172" i="10"/>
  <c r="U172" i="10"/>
  <c r="T174" i="10"/>
  <c r="U174" i="10"/>
  <c r="T178" i="10"/>
  <c r="U178" i="10"/>
  <c r="T180" i="10"/>
  <c r="U180" i="10"/>
  <c r="T182" i="10"/>
  <c r="U182" i="10"/>
  <c r="T184" i="10"/>
  <c r="U184" i="10"/>
  <c r="T191" i="10"/>
  <c r="U191" i="10"/>
  <c r="T192" i="10"/>
  <c r="U192" i="10"/>
  <c r="S192" i="10"/>
  <c r="S191" i="10"/>
  <c r="S184" i="10"/>
  <c r="S182" i="10"/>
  <c r="S180" i="10"/>
  <c r="S178" i="10"/>
  <c r="S174" i="10"/>
  <c r="S172" i="10"/>
  <c r="S168" i="10"/>
  <c r="R29" i="13"/>
  <c r="M29" i="13"/>
  <c r="L29" i="13"/>
  <c r="K29" i="13"/>
  <c r="T158" i="13"/>
  <c r="U158" i="13"/>
  <c r="T159" i="13"/>
  <c r="U159" i="13"/>
  <c r="T160" i="13"/>
  <c r="U160" i="13"/>
  <c r="T161" i="13"/>
  <c r="U161" i="13"/>
  <c r="T162" i="13"/>
  <c r="U162" i="13"/>
  <c r="T163" i="13"/>
  <c r="U163" i="13"/>
  <c r="T164" i="13"/>
  <c r="U164" i="13"/>
  <c r="S164" i="13"/>
  <c r="S163" i="13"/>
  <c r="S162" i="13"/>
  <c r="S161" i="13"/>
  <c r="S160" i="13"/>
  <c r="S159" i="13"/>
  <c r="R28" i="13"/>
  <c r="K28" i="13"/>
  <c r="L28" i="13"/>
  <c r="M28" i="13"/>
  <c r="R11" i="13"/>
  <c r="R12" i="13"/>
  <c r="R13" i="13"/>
  <c r="R14" i="13"/>
  <c r="R15" i="13"/>
  <c r="R16" i="13"/>
  <c r="R17" i="13"/>
  <c r="R18" i="13"/>
  <c r="R19" i="13"/>
  <c r="R20" i="13"/>
  <c r="R21" i="13"/>
  <c r="L162" i="13" s="1"/>
  <c r="R22" i="13"/>
  <c r="R23" i="13"/>
  <c r="R24" i="13"/>
  <c r="R25" i="13"/>
  <c r="R26" i="13"/>
  <c r="R27" i="13"/>
  <c r="R9" i="13"/>
  <c r="R10" i="13"/>
  <c r="R8" i="13"/>
  <c r="K11" i="13"/>
  <c r="L11" i="13"/>
  <c r="M11" i="13"/>
  <c r="K12" i="13"/>
  <c r="L12" i="13"/>
  <c r="M12" i="13"/>
  <c r="K13" i="13"/>
  <c r="L13" i="13"/>
  <c r="M13" i="13"/>
  <c r="K14" i="13"/>
  <c r="L14" i="13"/>
  <c r="M14" i="13"/>
  <c r="K15" i="13"/>
  <c r="L15" i="13"/>
  <c r="M15" i="13"/>
  <c r="K16" i="13"/>
  <c r="L16" i="13"/>
  <c r="M16" i="13"/>
  <c r="K17" i="13"/>
  <c r="L17" i="13"/>
  <c r="M17" i="13"/>
  <c r="K18" i="13"/>
  <c r="L18" i="13"/>
  <c r="M18" i="13"/>
  <c r="K19" i="13"/>
  <c r="L19" i="13"/>
  <c r="M19" i="13"/>
  <c r="K20" i="13"/>
  <c r="L20" i="13"/>
  <c r="M20" i="13"/>
  <c r="K21" i="13"/>
  <c r="L21" i="13"/>
  <c r="M21" i="13"/>
  <c r="K22" i="13"/>
  <c r="L22" i="13"/>
  <c r="M22" i="13"/>
  <c r="K23" i="13"/>
  <c r="L23" i="13"/>
  <c r="M23" i="13"/>
  <c r="K24" i="13"/>
  <c r="L24" i="13"/>
  <c r="M24" i="13"/>
  <c r="K25" i="13"/>
  <c r="L25" i="13"/>
  <c r="M25" i="13"/>
  <c r="K26" i="13"/>
  <c r="L26" i="13"/>
  <c r="M26" i="13"/>
  <c r="K27" i="13"/>
  <c r="L27" i="13"/>
  <c r="M27" i="13"/>
  <c r="K10" i="13"/>
  <c r="L10" i="13"/>
  <c r="M10" i="13"/>
  <c r="M9" i="13"/>
  <c r="L9" i="13"/>
  <c r="K9" i="13"/>
  <c r="M8" i="13"/>
  <c r="L8" i="13"/>
  <c r="K8" i="13"/>
  <c r="S173" i="13"/>
  <c r="R44" i="13"/>
  <c r="R114" i="10"/>
  <c r="R112" i="10"/>
  <c r="K114" i="10"/>
  <c r="L114" i="10"/>
  <c r="M114" i="10"/>
  <c r="K112" i="10"/>
  <c r="L112" i="10"/>
  <c r="M112" i="10"/>
  <c r="E115" i="10"/>
  <c r="U213" i="10" s="1"/>
  <c r="E99" i="18"/>
  <c r="S192" i="18" s="1"/>
  <c r="E83" i="18"/>
  <c r="K44" i="13"/>
  <c r="L44" i="13"/>
  <c r="M44" i="13"/>
  <c r="K45" i="13"/>
  <c r="L45" i="13"/>
  <c r="M45" i="13"/>
  <c r="K46" i="13"/>
  <c r="L46" i="13"/>
  <c r="M46" i="13"/>
  <c r="K47" i="13"/>
  <c r="L47" i="13"/>
  <c r="M47" i="13"/>
  <c r="K48" i="13"/>
  <c r="L48" i="13"/>
  <c r="M48" i="13"/>
  <c r="K49" i="13"/>
  <c r="L49" i="13"/>
  <c r="M49" i="13"/>
  <c r="K50" i="13"/>
  <c r="L50" i="13"/>
  <c r="M50" i="13"/>
  <c r="K51" i="13"/>
  <c r="L51" i="13"/>
  <c r="M51" i="13"/>
  <c r="K52" i="13"/>
  <c r="L52" i="13"/>
  <c r="M52" i="13"/>
  <c r="K53" i="13"/>
  <c r="L53" i="13"/>
  <c r="M53" i="13"/>
  <c r="K54" i="13"/>
  <c r="L54" i="13"/>
  <c r="M54" i="13"/>
  <c r="K55" i="13"/>
  <c r="L55" i="13"/>
  <c r="M55" i="13"/>
  <c r="K56" i="13"/>
  <c r="L56" i="13"/>
  <c r="M56" i="13"/>
  <c r="K57" i="13"/>
  <c r="L57" i="13"/>
  <c r="M57" i="13"/>
  <c r="K58" i="13"/>
  <c r="L58" i="13"/>
  <c r="M58" i="13"/>
  <c r="K59" i="13"/>
  <c r="L59" i="13"/>
  <c r="M59" i="13"/>
  <c r="K60" i="13"/>
  <c r="L60" i="13"/>
  <c r="M60" i="13"/>
  <c r="K61" i="13"/>
  <c r="L61" i="13"/>
  <c r="M61" i="13"/>
  <c r="K62" i="13"/>
  <c r="L62" i="13"/>
  <c r="M62" i="13"/>
  <c r="M124" i="13"/>
  <c r="M125" i="13"/>
  <c r="K124" i="13"/>
  <c r="L124" i="13"/>
  <c r="K125" i="13"/>
  <c r="L125" i="13"/>
  <c r="T173" i="13"/>
  <c r="U173" i="13"/>
  <c r="T174" i="13"/>
  <c r="U174" i="13"/>
  <c r="T175" i="13"/>
  <c r="U175" i="13"/>
  <c r="T176" i="13"/>
  <c r="U176" i="13"/>
  <c r="T177" i="13"/>
  <c r="U177" i="13"/>
  <c r="T178" i="13"/>
  <c r="U178" i="13"/>
  <c r="T179" i="13"/>
  <c r="U179" i="13"/>
  <c r="T180" i="13"/>
  <c r="U180" i="13"/>
  <c r="T181" i="13"/>
  <c r="U181" i="13"/>
  <c r="T182" i="13"/>
  <c r="U182" i="13"/>
  <c r="T183" i="13"/>
  <c r="U183" i="13"/>
  <c r="T184" i="13"/>
  <c r="U184" i="13"/>
  <c r="T185" i="13"/>
  <c r="U185" i="13"/>
  <c r="T186" i="13"/>
  <c r="U186" i="13"/>
  <c r="T187" i="13"/>
  <c r="U187" i="13"/>
  <c r="T188" i="13"/>
  <c r="U188" i="13"/>
  <c r="T190" i="13"/>
  <c r="U190" i="13"/>
  <c r="T194" i="13"/>
  <c r="U194" i="13"/>
  <c r="T198" i="13"/>
  <c r="U198" i="13"/>
  <c r="T202" i="13"/>
  <c r="U202" i="13"/>
  <c r="T203" i="13"/>
  <c r="U203" i="13"/>
  <c r="T204" i="13"/>
  <c r="U204" i="13"/>
  <c r="T206" i="13"/>
  <c r="U206" i="13"/>
  <c r="T207" i="13"/>
  <c r="U207" i="13"/>
  <c r="T209" i="13"/>
  <c r="U209" i="13"/>
  <c r="T210" i="13"/>
  <c r="U210" i="13"/>
  <c r="S209" i="13"/>
  <c r="S207" i="13"/>
  <c r="S206" i="13"/>
  <c r="S204" i="13"/>
  <c r="S203" i="13"/>
  <c r="S202" i="13"/>
  <c r="S198" i="13"/>
  <c r="S194" i="13"/>
  <c r="S190" i="13"/>
  <c r="S188" i="13"/>
  <c r="S187" i="13"/>
  <c r="S186" i="13"/>
  <c r="S185" i="13"/>
  <c r="S184" i="13"/>
  <c r="S183" i="13"/>
  <c r="S182" i="13"/>
  <c r="S181" i="13"/>
  <c r="S180" i="13"/>
  <c r="S179" i="13"/>
  <c r="S178" i="13"/>
  <c r="S177" i="13"/>
  <c r="S176" i="13"/>
  <c r="S175" i="13"/>
  <c r="S174" i="13"/>
  <c r="T145" i="14"/>
  <c r="U145" i="14"/>
  <c r="T146" i="14"/>
  <c r="U146" i="14"/>
  <c r="T147" i="14"/>
  <c r="U147" i="14"/>
  <c r="T148" i="14"/>
  <c r="U148" i="14"/>
  <c r="T149" i="14"/>
  <c r="U149" i="14"/>
  <c r="T150" i="14"/>
  <c r="U150" i="14"/>
  <c r="T151" i="14"/>
  <c r="U151" i="14"/>
  <c r="T152" i="14"/>
  <c r="U152" i="14"/>
  <c r="T153" i="14"/>
  <c r="U153" i="14"/>
  <c r="T154" i="14"/>
  <c r="U154" i="14"/>
  <c r="T155" i="14"/>
  <c r="U155" i="14"/>
  <c r="T156" i="14"/>
  <c r="U156" i="14"/>
  <c r="T157" i="14"/>
  <c r="U157" i="14"/>
  <c r="T158" i="14"/>
  <c r="U158" i="14"/>
  <c r="T159" i="14"/>
  <c r="U159" i="14"/>
  <c r="T160" i="14"/>
  <c r="U160" i="14"/>
  <c r="T161" i="14"/>
  <c r="U161" i="14"/>
  <c r="T162" i="14"/>
  <c r="U162" i="14"/>
  <c r="T163" i="14"/>
  <c r="U163" i="14"/>
  <c r="T164" i="14"/>
  <c r="U164" i="14"/>
  <c r="T165" i="14"/>
  <c r="U165" i="14"/>
  <c r="T166" i="14"/>
  <c r="U166" i="14"/>
  <c r="T167" i="14"/>
  <c r="U167" i="14"/>
  <c r="T168" i="14"/>
  <c r="U168" i="14"/>
  <c r="T169" i="14"/>
  <c r="U169" i="14"/>
  <c r="T170" i="14"/>
  <c r="U170" i="14"/>
  <c r="T171" i="14"/>
  <c r="U171" i="14"/>
  <c r="T172" i="14"/>
  <c r="U172" i="14"/>
  <c r="T173" i="14"/>
  <c r="U173" i="14"/>
  <c r="T177" i="14"/>
  <c r="U177" i="14"/>
  <c r="T181" i="14"/>
  <c r="U181" i="14"/>
  <c r="T185" i="14"/>
  <c r="U185" i="14"/>
  <c r="T189" i="14"/>
  <c r="U189" i="14"/>
  <c r="T190" i="14"/>
  <c r="U190" i="14"/>
  <c r="T191" i="14"/>
  <c r="U191" i="14"/>
  <c r="T192" i="14"/>
  <c r="U192" i="14"/>
  <c r="T193" i="14"/>
  <c r="U193" i="14"/>
  <c r="T194" i="14"/>
  <c r="U194" i="14"/>
  <c r="T195" i="14"/>
  <c r="U195" i="14"/>
  <c r="T196" i="14"/>
  <c r="U196" i="14"/>
  <c r="T197" i="14"/>
  <c r="U197" i="14"/>
  <c r="S197" i="14"/>
  <c r="S196" i="14"/>
  <c r="S195" i="14"/>
  <c r="S194" i="14"/>
  <c r="S193" i="14"/>
  <c r="S192" i="14"/>
  <c r="S191" i="14"/>
  <c r="S190" i="14"/>
  <c r="S189" i="14"/>
  <c r="S185" i="14"/>
  <c r="S181" i="14"/>
  <c r="S177" i="14"/>
  <c r="S173" i="14"/>
  <c r="S172" i="14"/>
  <c r="S171" i="14"/>
  <c r="S170" i="14"/>
  <c r="S169" i="14"/>
  <c r="S168" i="14"/>
  <c r="S167" i="14"/>
  <c r="S166" i="14"/>
  <c r="S165" i="14"/>
  <c r="S164" i="14"/>
  <c r="S163" i="14"/>
  <c r="S162" i="14"/>
  <c r="S161" i="14"/>
  <c r="S160" i="14"/>
  <c r="S159" i="14"/>
  <c r="S158" i="14"/>
  <c r="S157" i="14"/>
  <c r="S156" i="14"/>
  <c r="S155" i="14"/>
  <c r="S154" i="14"/>
  <c r="S153" i="14"/>
  <c r="S152" i="14"/>
  <c r="S151" i="14"/>
  <c r="S150" i="14"/>
  <c r="S149" i="14"/>
  <c r="S148" i="14"/>
  <c r="S147" i="14"/>
  <c r="S146" i="14"/>
  <c r="T162" i="15"/>
  <c r="U162" i="15"/>
  <c r="T163" i="15"/>
  <c r="U163" i="15"/>
  <c r="T164" i="15"/>
  <c r="U164" i="15"/>
  <c r="T165" i="15"/>
  <c r="U165" i="15"/>
  <c r="T166" i="15"/>
  <c r="U166" i="15"/>
  <c r="T167" i="15"/>
  <c r="U167" i="15"/>
  <c r="T168" i="15"/>
  <c r="U168" i="15"/>
  <c r="T169" i="15"/>
  <c r="U169" i="15"/>
  <c r="T170" i="15"/>
  <c r="U170" i="15"/>
  <c r="T171" i="15"/>
  <c r="U171" i="15"/>
  <c r="T172" i="15"/>
  <c r="U172" i="15"/>
  <c r="T173" i="15"/>
  <c r="U173" i="15"/>
  <c r="T174" i="15"/>
  <c r="U174" i="15"/>
  <c r="T175" i="15"/>
  <c r="U175" i="15"/>
  <c r="T176" i="15"/>
  <c r="U176" i="15"/>
  <c r="T177" i="15"/>
  <c r="U177" i="15"/>
  <c r="T178" i="15"/>
  <c r="U178" i="15"/>
  <c r="T179" i="15"/>
  <c r="U179" i="15"/>
  <c r="T180" i="15"/>
  <c r="U180" i="15"/>
  <c r="T181" i="15"/>
  <c r="U181" i="15"/>
  <c r="T182" i="15"/>
  <c r="U182" i="15"/>
  <c r="T183" i="15"/>
  <c r="U183" i="15"/>
  <c r="T184" i="15"/>
  <c r="U184" i="15"/>
  <c r="T185" i="15"/>
  <c r="U185" i="15"/>
  <c r="T186" i="15"/>
  <c r="U186" i="15"/>
  <c r="T187" i="15"/>
  <c r="U187" i="15"/>
  <c r="T188" i="15"/>
  <c r="U188" i="15"/>
  <c r="T189" i="15"/>
  <c r="U189" i="15"/>
  <c r="T190" i="15"/>
  <c r="U190" i="15"/>
  <c r="T194" i="15"/>
  <c r="U194" i="15"/>
  <c r="T197" i="15"/>
  <c r="U197" i="15"/>
  <c r="T198" i="15"/>
  <c r="U198" i="15"/>
  <c r="T202" i="15"/>
  <c r="U202" i="15"/>
  <c r="T204" i="15"/>
  <c r="U204" i="15"/>
  <c r="T206" i="15"/>
  <c r="U206" i="15"/>
  <c r="T208" i="15"/>
  <c r="U208" i="15"/>
  <c r="T209" i="15"/>
  <c r="U209" i="15"/>
  <c r="T210" i="15"/>
  <c r="U210" i="15"/>
  <c r="T211" i="15"/>
  <c r="U211" i="15"/>
  <c r="T213" i="15"/>
  <c r="U213" i="15"/>
  <c r="T214" i="15"/>
  <c r="U214" i="15"/>
  <c r="S214" i="15"/>
  <c r="S213" i="15"/>
  <c r="S211" i="15"/>
  <c r="S210" i="15"/>
  <c r="S209" i="15"/>
  <c r="S208" i="15"/>
  <c r="S206" i="15"/>
  <c r="S204" i="15"/>
  <c r="S202" i="15"/>
  <c r="S198" i="15"/>
  <c r="S197" i="15"/>
  <c r="S194" i="15"/>
  <c r="S190" i="15"/>
  <c r="S189" i="15"/>
  <c r="S188" i="15"/>
  <c r="S187" i="15"/>
  <c r="S186" i="15"/>
  <c r="S185" i="15"/>
  <c r="S184" i="15"/>
  <c r="S183" i="15"/>
  <c r="S182" i="15"/>
  <c r="S181" i="15"/>
  <c r="S180" i="15"/>
  <c r="S179" i="15"/>
  <c r="S178" i="15"/>
  <c r="S177" i="15"/>
  <c r="S176" i="15"/>
  <c r="S175" i="15"/>
  <c r="S174" i="15"/>
  <c r="S173" i="15"/>
  <c r="S172" i="15"/>
  <c r="S171" i="15"/>
  <c r="S170" i="15"/>
  <c r="S169" i="15"/>
  <c r="S168" i="15"/>
  <c r="S167" i="15"/>
  <c r="S166" i="15"/>
  <c r="S165" i="15"/>
  <c r="S164" i="15"/>
  <c r="S163" i="15"/>
  <c r="R111" i="15"/>
  <c r="M111" i="15"/>
  <c r="L111" i="15"/>
  <c r="K111" i="15"/>
  <c r="R85" i="15"/>
  <c r="M85" i="15"/>
  <c r="L85" i="15"/>
  <c r="K85" i="15"/>
  <c r="R123" i="15"/>
  <c r="M123" i="15"/>
  <c r="L123" i="15"/>
  <c r="R100" i="15"/>
  <c r="M100" i="15"/>
  <c r="L100" i="15"/>
  <c r="K100" i="15"/>
  <c r="N74" i="15"/>
  <c r="M104" i="24"/>
  <c r="R82" i="18"/>
  <c r="K82" i="18"/>
  <c r="L82" i="18"/>
  <c r="M82" i="18"/>
  <c r="T154" i="8"/>
  <c r="U154" i="8"/>
  <c r="T155" i="8"/>
  <c r="U155" i="8"/>
  <c r="T156" i="8"/>
  <c r="U156" i="8"/>
  <c r="T157" i="8"/>
  <c r="U157" i="8"/>
  <c r="T158" i="8"/>
  <c r="U158" i="8"/>
  <c r="T159" i="8"/>
  <c r="U159" i="8"/>
  <c r="T160" i="8"/>
  <c r="U160" i="8"/>
  <c r="T161" i="8"/>
  <c r="U161" i="8"/>
  <c r="T162" i="8"/>
  <c r="U162" i="8"/>
  <c r="T163" i="8"/>
  <c r="U163" i="8"/>
  <c r="T164" i="8"/>
  <c r="U164" i="8"/>
  <c r="T165" i="8"/>
  <c r="U165" i="8"/>
  <c r="T166" i="8"/>
  <c r="U166" i="8"/>
  <c r="T167" i="8"/>
  <c r="U167" i="8"/>
  <c r="T168" i="8"/>
  <c r="U168" i="8"/>
  <c r="T169" i="8"/>
  <c r="U169" i="8"/>
  <c r="T170" i="8"/>
  <c r="U170" i="8"/>
  <c r="T171" i="8"/>
  <c r="U171" i="8"/>
  <c r="T172" i="8"/>
  <c r="U172" i="8"/>
  <c r="T173" i="8"/>
  <c r="U173" i="8"/>
  <c r="T174" i="8"/>
  <c r="U174" i="8"/>
  <c r="T175" i="8"/>
  <c r="U175" i="8"/>
  <c r="T176" i="8"/>
  <c r="U176" i="8"/>
  <c r="T177" i="8"/>
  <c r="U177" i="8"/>
  <c r="T178" i="8"/>
  <c r="U178" i="8"/>
  <c r="T179" i="8"/>
  <c r="U179" i="8"/>
  <c r="T180" i="8"/>
  <c r="U180" i="8"/>
  <c r="T181" i="8"/>
  <c r="U181" i="8"/>
  <c r="T182" i="8"/>
  <c r="U182" i="8"/>
  <c r="T186" i="8"/>
  <c r="U186" i="8"/>
  <c r="T190" i="8"/>
  <c r="U190" i="8"/>
  <c r="T194" i="8"/>
  <c r="U194" i="8"/>
  <c r="T196" i="8"/>
  <c r="U196" i="8"/>
  <c r="T197" i="8"/>
  <c r="U197" i="8"/>
  <c r="T198" i="8"/>
  <c r="U198" i="8"/>
  <c r="T200" i="8"/>
  <c r="U200" i="8"/>
  <c r="T202" i="8"/>
  <c r="U202" i="8"/>
  <c r="T203" i="8"/>
  <c r="U203" i="8"/>
  <c r="T205" i="8"/>
  <c r="U205" i="8"/>
  <c r="T206" i="8"/>
  <c r="U206" i="8"/>
  <c r="S206" i="8"/>
  <c r="S205" i="8"/>
  <c r="S203" i="8"/>
  <c r="S202" i="8"/>
  <c r="S200" i="8"/>
  <c r="S198" i="8"/>
  <c r="S197" i="8"/>
  <c r="S196" i="8"/>
  <c r="S194" i="8"/>
  <c r="S190" i="8"/>
  <c r="S186" i="8"/>
  <c r="S182" i="8"/>
  <c r="S181" i="8"/>
  <c r="S180" i="8"/>
  <c r="S179" i="8"/>
  <c r="S178" i="8"/>
  <c r="S177" i="8"/>
  <c r="S176" i="8"/>
  <c r="S175" i="8"/>
  <c r="S174" i="8"/>
  <c r="S173" i="8"/>
  <c r="S172" i="8"/>
  <c r="S171" i="8"/>
  <c r="S170" i="8"/>
  <c r="S169" i="8"/>
  <c r="S168" i="8"/>
  <c r="S167" i="8"/>
  <c r="S166" i="8"/>
  <c r="S165" i="8"/>
  <c r="S164" i="8"/>
  <c r="S163" i="8"/>
  <c r="S162" i="8"/>
  <c r="S161" i="8"/>
  <c r="S160" i="8"/>
  <c r="S159" i="8"/>
  <c r="S158" i="8"/>
  <c r="S157" i="8"/>
  <c r="S156" i="8"/>
  <c r="S155" i="8"/>
  <c r="R102" i="8"/>
  <c r="M102" i="8"/>
  <c r="L102" i="8"/>
  <c r="K102" i="8"/>
  <c r="R99" i="8"/>
  <c r="M99" i="8"/>
  <c r="L99" i="8"/>
  <c r="K99" i="8"/>
  <c r="N74" i="8"/>
  <c r="U207" i="22"/>
  <c r="T207" i="22"/>
  <c r="S207" i="22"/>
  <c r="U206" i="22"/>
  <c r="T206" i="22"/>
  <c r="S206" i="22"/>
  <c r="U205" i="22"/>
  <c r="T205" i="22"/>
  <c r="S205" i="22"/>
  <c r="U203" i="22"/>
  <c r="T203" i="22"/>
  <c r="S203" i="22"/>
  <c r="U202" i="22"/>
  <c r="T202" i="22"/>
  <c r="S202" i="22"/>
  <c r="U199" i="22"/>
  <c r="T199" i="22"/>
  <c r="S199" i="22"/>
  <c r="U195" i="22"/>
  <c r="T195" i="22"/>
  <c r="S195" i="22"/>
  <c r="U191" i="22"/>
  <c r="T191" i="22"/>
  <c r="S191" i="22"/>
  <c r="U187" i="22"/>
  <c r="T187" i="22"/>
  <c r="S187" i="22"/>
  <c r="U183" i="22"/>
  <c r="T183" i="22"/>
  <c r="S183" i="22"/>
  <c r="U181" i="22"/>
  <c r="T181" i="22"/>
  <c r="S181" i="22"/>
  <c r="U179" i="22"/>
  <c r="T179" i="22"/>
  <c r="S179" i="22"/>
  <c r="U178" i="22"/>
  <c r="T178" i="22"/>
  <c r="S178" i="22"/>
  <c r="U177" i="22"/>
  <c r="T177" i="22"/>
  <c r="S177" i="22"/>
  <c r="U175" i="22"/>
  <c r="T175" i="22"/>
  <c r="S175" i="22"/>
  <c r="U173" i="22"/>
  <c r="T173" i="22"/>
  <c r="S173" i="22"/>
  <c r="U171" i="22"/>
  <c r="T171" i="22"/>
  <c r="S171" i="22"/>
  <c r="U167" i="22"/>
  <c r="T167" i="22"/>
  <c r="S167" i="22"/>
  <c r="U166" i="22"/>
  <c r="T166" i="22"/>
  <c r="S166" i="22"/>
  <c r="U165" i="22"/>
  <c r="T165" i="22"/>
  <c r="S165" i="22"/>
  <c r="U162" i="22"/>
  <c r="T162" i="22"/>
  <c r="S162" i="22"/>
  <c r="U159" i="22"/>
  <c r="T159" i="22"/>
  <c r="S159" i="22"/>
  <c r="U157" i="22"/>
  <c r="T157" i="22"/>
  <c r="S157" i="22"/>
  <c r="U155" i="22"/>
  <c r="T155" i="22"/>
  <c r="S155" i="22"/>
  <c r="M124" i="22"/>
  <c r="L124" i="22"/>
  <c r="K124" i="22"/>
  <c r="M123" i="22"/>
  <c r="L123" i="22"/>
  <c r="K123" i="22"/>
  <c r="M122" i="22"/>
  <c r="L122" i="22"/>
  <c r="K122" i="22"/>
  <c r="M121" i="22"/>
  <c r="L121" i="22"/>
  <c r="K121" i="22"/>
  <c r="M120" i="22"/>
  <c r="L120" i="22"/>
  <c r="K120" i="22"/>
  <c r="M119" i="22"/>
  <c r="L119" i="22"/>
  <c r="K119" i="22"/>
  <c r="M118" i="22"/>
  <c r="L118" i="22"/>
  <c r="K118" i="22"/>
  <c r="E118" i="22"/>
  <c r="T204" i="22" s="1"/>
  <c r="M117" i="22"/>
  <c r="L117" i="22"/>
  <c r="K117" i="22"/>
  <c r="M116" i="22"/>
  <c r="L116" i="22"/>
  <c r="K116" i="22"/>
  <c r="M115" i="22"/>
  <c r="L115" i="22"/>
  <c r="K115" i="22"/>
  <c r="M114" i="22"/>
  <c r="L114" i="22"/>
  <c r="K114" i="22"/>
  <c r="M113" i="22"/>
  <c r="L113" i="22"/>
  <c r="K113" i="22"/>
  <c r="M112" i="22"/>
  <c r="L112" i="22"/>
  <c r="K112" i="22"/>
  <c r="M110" i="22"/>
  <c r="L110" i="22"/>
  <c r="K110" i="22"/>
  <c r="M109" i="22"/>
  <c r="L109" i="22"/>
  <c r="K109" i="22"/>
  <c r="E109" i="22"/>
  <c r="M108" i="22"/>
  <c r="L108" i="22"/>
  <c r="K108" i="22"/>
  <c r="M107" i="22"/>
  <c r="L107" i="22"/>
  <c r="K107" i="22"/>
  <c r="M106" i="22"/>
  <c r="L106" i="22"/>
  <c r="K106" i="22"/>
  <c r="M105" i="22"/>
  <c r="L105" i="22"/>
  <c r="K105" i="22"/>
  <c r="E105" i="22"/>
  <c r="U198" i="22" s="1"/>
  <c r="M104" i="22"/>
  <c r="L104" i="22"/>
  <c r="K104" i="22"/>
  <c r="M103" i="22"/>
  <c r="L103" i="22"/>
  <c r="K103" i="22"/>
  <c r="E103" i="22"/>
  <c r="U197" i="22" s="1"/>
  <c r="M102" i="22"/>
  <c r="L102" i="22"/>
  <c r="K102" i="22"/>
  <c r="M101" i="22"/>
  <c r="L101" i="22"/>
  <c r="K101" i="22"/>
  <c r="E101" i="22"/>
  <c r="U196" i="22" s="1"/>
  <c r="M100" i="22"/>
  <c r="L100" i="22"/>
  <c r="K100" i="22"/>
  <c r="M99" i="22"/>
  <c r="L99" i="22"/>
  <c r="K99" i="22"/>
  <c r="M98" i="22"/>
  <c r="L98" i="22"/>
  <c r="K98" i="22"/>
  <c r="M97" i="22"/>
  <c r="L97" i="22"/>
  <c r="K97" i="22"/>
  <c r="E97" i="22"/>
  <c r="T194" i="22" s="1"/>
  <c r="M96" i="22"/>
  <c r="L96" i="22"/>
  <c r="K96" i="22"/>
  <c r="M95" i="22"/>
  <c r="L95" i="22"/>
  <c r="K95" i="22"/>
  <c r="T193" i="22"/>
  <c r="M94" i="22"/>
  <c r="L94" i="22"/>
  <c r="K94" i="22"/>
  <c r="M93" i="22"/>
  <c r="L93" i="22"/>
  <c r="K93" i="22"/>
  <c r="M92" i="22"/>
  <c r="L92" i="22"/>
  <c r="K92" i="22"/>
  <c r="M91" i="22"/>
  <c r="L91" i="22"/>
  <c r="K91" i="22"/>
  <c r="M90" i="22"/>
  <c r="L90" i="22"/>
  <c r="K90" i="22"/>
  <c r="M89" i="22"/>
  <c r="L89" i="22"/>
  <c r="K89" i="22"/>
  <c r="E89" i="22"/>
  <c r="S190" i="22" s="1"/>
  <c r="M88" i="22"/>
  <c r="L88" i="22"/>
  <c r="K88" i="22"/>
  <c r="M87" i="22"/>
  <c r="L87" i="22"/>
  <c r="K87" i="22"/>
  <c r="E87" i="22"/>
  <c r="T189" i="22" s="1"/>
  <c r="M86" i="22"/>
  <c r="L86" i="22"/>
  <c r="K86" i="22"/>
  <c r="M85" i="22"/>
  <c r="L85" i="22"/>
  <c r="K85" i="22"/>
  <c r="E85" i="22"/>
  <c r="M84" i="22"/>
  <c r="L84" i="22"/>
  <c r="K84" i="22"/>
  <c r="M83" i="22"/>
  <c r="L83" i="22"/>
  <c r="K83" i="22"/>
  <c r="M82" i="22"/>
  <c r="L82" i="22"/>
  <c r="K82" i="22"/>
  <c r="M81" i="22"/>
  <c r="L81" i="22"/>
  <c r="K81" i="22"/>
  <c r="E81" i="22"/>
  <c r="T186" i="22" s="1"/>
  <c r="M80" i="22"/>
  <c r="L80" i="22"/>
  <c r="K80" i="22"/>
  <c r="M79" i="22"/>
  <c r="L79" i="22"/>
  <c r="K79" i="22"/>
  <c r="E79" i="22"/>
  <c r="U185" i="22" s="1"/>
  <c r="M78" i="22"/>
  <c r="L78" i="22"/>
  <c r="K78" i="22"/>
  <c r="M77" i="22"/>
  <c r="L77" i="22"/>
  <c r="K77" i="22"/>
  <c r="E77" i="22"/>
  <c r="U184" i="22" s="1"/>
  <c r="M76" i="22"/>
  <c r="L76" i="22"/>
  <c r="K76" i="22"/>
  <c r="M75" i="22"/>
  <c r="L75" i="22"/>
  <c r="K75" i="22"/>
  <c r="M74" i="22"/>
  <c r="L74" i="22"/>
  <c r="K74" i="22"/>
  <c r="M73" i="22"/>
  <c r="L73" i="22"/>
  <c r="K73" i="22"/>
  <c r="E73" i="22"/>
  <c r="S182" i="22" s="1"/>
  <c r="M72" i="22"/>
  <c r="L72" i="22"/>
  <c r="K72" i="22"/>
  <c r="M71" i="22"/>
  <c r="L71" i="22"/>
  <c r="K71" i="22"/>
  <c r="M70" i="22"/>
  <c r="L70" i="22"/>
  <c r="K70" i="22"/>
  <c r="M69" i="22"/>
  <c r="L69" i="22"/>
  <c r="K69" i="22"/>
  <c r="E69" i="22"/>
  <c r="S180" i="22" s="1"/>
  <c r="M68" i="22"/>
  <c r="L68" i="22"/>
  <c r="K68" i="22"/>
  <c r="M67" i="22"/>
  <c r="L67" i="22"/>
  <c r="K67" i="22"/>
  <c r="M66" i="22"/>
  <c r="L66" i="22"/>
  <c r="K66" i="22"/>
  <c r="M65" i="22"/>
  <c r="L65" i="22"/>
  <c r="K65" i="22"/>
  <c r="M64" i="22"/>
  <c r="L64" i="22"/>
  <c r="K64" i="22"/>
  <c r="M63" i="22"/>
  <c r="L63" i="22"/>
  <c r="K63" i="22"/>
  <c r="M62" i="22"/>
  <c r="L62" i="22"/>
  <c r="K62" i="22"/>
  <c r="M61" i="22"/>
  <c r="L61" i="22"/>
  <c r="K61" i="22"/>
  <c r="E61" i="22"/>
  <c r="U176" i="22" s="1"/>
  <c r="M60" i="22"/>
  <c r="L60" i="22"/>
  <c r="K60" i="22"/>
  <c r="M59" i="22"/>
  <c r="L59" i="22"/>
  <c r="K59" i="22"/>
  <c r="M58" i="22"/>
  <c r="L58" i="22"/>
  <c r="K58" i="22"/>
  <c r="M57" i="22"/>
  <c r="L57" i="22"/>
  <c r="K57" i="22"/>
  <c r="E57" i="22"/>
  <c r="T174" i="22" s="1"/>
  <c r="M56" i="22"/>
  <c r="L56" i="22"/>
  <c r="K56" i="22"/>
  <c r="M55" i="22"/>
  <c r="L55" i="22"/>
  <c r="K55" i="22"/>
  <c r="M54" i="22"/>
  <c r="L54" i="22"/>
  <c r="K54" i="22"/>
  <c r="M53" i="22"/>
  <c r="L53" i="22"/>
  <c r="K53" i="22"/>
  <c r="M52" i="22"/>
  <c r="L52" i="22"/>
  <c r="K52" i="22"/>
  <c r="E52" i="22"/>
  <c r="U172" i="22" s="1"/>
  <c r="M51" i="22"/>
  <c r="L51" i="22"/>
  <c r="K51" i="22"/>
  <c r="M50" i="22"/>
  <c r="L50" i="22"/>
  <c r="K50" i="22"/>
  <c r="M49" i="22"/>
  <c r="L49" i="22"/>
  <c r="K49" i="22"/>
  <c r="M48" i="22"/>
  <c r="L48" i="22"/>
  <c r="K48" i="22"/>
  <c r="E48" i="22"/>
  <c r="S170" i="22" s="1"/>
  <c r="M47" i="22"/>
  <c r="L47" i="22"/>
  <c r="K47" i="22"/>
  <c r="M46" i="22"/>
  <c r="L46" i="22"/>
  <c r="K46" i="22"/>
  <c r="M45" i="22"/>
  <c r="L45" i="22"/>
  <c r="K45" i="22"/>
  <c r="M43" i="22"/>
  <c r="L43" i="22"/>
  <c r="K43" i="22"/>
  <c r="M42" i="22"/>
  <c r="L42" i="22"/>
  <c r="K42" i="22"/>
  <c r="E42" i="22"/>
  <c r="T168" i="22" s="1"/>
  <c r="M41" i="22"/>
  <c r="L41" i="22"/>
  <c r="K41" i="22"/>
  <c r="M40" i="22"/>
  <c r="L40" i="22"/>
  <c r="K40" i="22"/>
  <c r="M39" i="22"/>
  <c r="L39" i="22"/>
  <c r="K39" i="22"/>
  <c r="M38" i="22"/>
  <c r="L38" i="22"/>
  <c r="K38" i="22"/>
  <c r="M37" i="22"/>
  <c r="L37" i="22"/>
  <c r="K37" i="22"/>
  <c r="M36" i="22"/>
  <c r="L36" i="22"/>
  <c r="K36" i="22"/>
  <c r="M35" i="22"/>
  <c r="L35" i="22"/>
  <c r="K35" i="22"/>
  <c r="M34" i="22"/>
  <c r="L34" i="22"/>
  <c r="K34" i="22"/>
  <c r="M33" i="22"/>
  <c r="L33" i="22"/>
  <c r="K33" i="22"/>
  <c r="E33" i="22"/>
  <c r="S164" i="22" s="1"/>
  <c r="M32" i="22"/>
  <c r="L32" i="22"/>
  <c r="K32" i="22"/>
  <c r="M31" i="22"/>
  <c r="L31" i="22"/>
  <c r="K31" i="22"/>
  <c r="M29" i="22"/>
  <c r="L29" i="22"/>
  <c r="K29" i="22"/>
  <c r="M28" i="22"/>
  <c r="L28" i="22"/>
  <c r="K28" i="22"/>
  <c r="M27" i="22"/>
  <c r="L27" i="22"/>
  <c r="K27" i="22"/>
  <c r="M26" i="22"/>
  <c r="L26" i="22"/>
  <c r="K26" i="22"/>
  <c r="M25" i="22"/>
  <c r="L25" i="22"/>
  <c r="K25" i="22"/>
  <c r="M23" i="22"/>
  <c r="L23" i="22"/>
  <c r="K23" i="22"/>
  <c r="M22" i="22"/>
  <c r="L22" i="22"/>
  <c r="K22" i="22"/>
  <c r="E22" i="22"/>
  <c r="U160" i="22" s="1"/>
  <c r="M21" i="22"/>
  <c r="L21" i="22"/>
  <c r="K21" i="22"/>
  <c r="M20" i="22"/>
  <c r="L20" i="22"/>
  <c r="K20" i="22"/>
  <c r="M19" i="22"/>
  <c r="L19" i="22"/>
  <c r="K19" i="22"/>
  <c r="M18" i="22"/>
  <c r="L18" i="22"/>
  <c r="K18" i="22"/>
  <c r="M17" i="22"/>
  <c r="L17" i="22"/>
  <c r="K17" i="22"/>
  <c r="M16" i="22"/>
  <c r="L16" i="22"/>
  <c r="K16" i="22"/>
  <c r="E16" i="22"/>
  <c r="T158" i="22" s="1"/>
  <c r="M15" i="22"/>
  <c r="L15" i="22"/>
  <c r="K15" i="22"/>
  <c r="M14" i="22"/>
  <c r="L14" i="22"/>
  <c r="K14" i="22"/>
  <c r="M13" i="22"/>
  <c r="L13" i="22"/>
  <c r="K13" i="22"/>
  <c r="M12" i="22"/>
  <c r="L12" i="22"/>
  <c r="K12" i="22"/>
  <c r="M11" i="22"/>
  <c r="L11" i="22"/>
  <c r="K11" i="22"/>
  <c r="E11" i="22"/>
  <c r="M10" i="22"/>
  <c r="L10" i="22"/>
  <c r="K10" i="22"/>
  <c r="M9" i="22"/>
  <c r="L9" i="22"/>
  <c r="K9" i="22"/>
  <c r="M8" i="22"/>
  <c r="L8" i="22"/>
  <c r="K8" i="22"/>
  <c r="U204" i="23"/>
  <c r="T204" i="23"/>
  <c r="S204" i="23"/>
  <c r="U203" i="23"/>
  <c r="T203" i="23"/>
  <c r="S203" i="23"/>
  <c r="U201" i="23"/>
  <c r="T201" i="23"/>
  <c r="S201" i="23"/>
  <c r="U200" i="23"/>
  <c r="T200" i="23"/>
  <c r="S200" i="23"/>
  <c r="U198" i="23"/>
  <c r="T198" i="23"/>
  <c r="S198" i="23"/>
  <c r="U180" i="23"/>
  <c r="T180" i="23"/>
  <c r="S180" i="23"/>
  <c r="U178" i="23"/>
  <c r="T178" i="23"/>
  <c r="S178" i="23"/>
  <c r="U177" i="23"/>
  <c r="T177" i="23"/>
  <c r="S177" i="23"/>
  <c r="U176" i="23"/>
  <c r="T176" i="23"/>
  <c r="S176" i="23"/>
  <c r="U174" i="23"/>
  <c r="T174" i="23"/>
  <c r="S174" i="23"/>
  <c r="U173" i="23"/>
  <c r="T173" i="23"/>
  <c r="S173" i="23"/>
  <c r="U172" i="23"/>
  <c r="T172" i="23"/>
  <c r="S172" i="23"/>
  <c r="U170" i="23"/>
  <c r="T170" i="23"/>
  <c r="S170" i="23"/>
  <c r="U169" i="23"/>
  <c r="T169" i="23"/>
  <c r="S169" i="23"/>
  <c r="U167" i="23"/>
  <c r="T167" i="23"/>
  <c r="S167" i="23"/>
  <c r="U165" i="23"/>
  <c r="T165" i="23"/>
  <c r="S165" i="23"/>
  <c r="U164" i="23"/>
  <c r="T164" i="23"/>
  <c r="S164" i="23"/>
  <c r="U163" i="23"/>
  <c r="T163" i="23"/>
  <c r="S163" i="23"/>
  <c r="U161" i="23"/>
  <c r="T161" i="23"/>
  <c r="S161" i="23"/>
  <c r="U160" i="23"/>
  <c r="T160" i="23"/>
  <c r="S160" i="23"/>
  <c r="U159" i="23"/>
  <c r="T159" i="23"/>
  <c r="S159" i="23"/>
  <c r="U157" i="23"/>
  <c r="T157" i="23"/>
  <c r="S157" i="23"/>
  <c r="U154" i="23"/>
  <c r="T154" i="23"/>
  <c r="S154" i="23"/>
  <c r="U153" i="23"/>
  <c r="T153" i="23"/>
  <c r="S153" i="23"/>
  <c r="U152" i="23"/>
  <c r="T152" i="23"/>
  <c r="L204" i="23"/>
  <c r="M114" i="23"/>
  <c r="L114" i="23"/>
  <c r="K114" i="23"/>
  <c r="M113" i="23"/>
  <c r="L113" i="23"/>
  <c r="K113" i="23"/>
  <c r="L203" i="23"/>
  <c r="M112" i="23"/>
  <c r="L112" i="23"/>
  <c r="K112" i="23"/>
  <c r="M111" i="23"/>
  <c r="L111" i="23"/>
  <c r="K111" i="23"/>
  <c r="M110" i="23"/>
  <c r="L110" i="23"/>
  <c r="K110" i="23"/>
  <c r="E110" i="23"/>
  <c r="L202" i="23" s="1"/>
  <c r="M109" i="23"/>
  <c r="L109" i="23"/>
  <c r="K109" i="23"/>
  <c r="R108" i="23"/>
  <c r="M108" i="23"/>
  <c r="L108" i="23"/>
  <c r="K108" i="23"/>
  <c r="R107" i="23"/>
  <c r="M107" i="23"/>
  <c r="L107" i="23"/>
  <c r="K107" i="23"/>
  <c r="R106" i="23"/>
  <c r="M106" i="23"/>
  <c r="L106" i="23"/>
  <c r="K106" i="23"/>
  <c r="R105" i="23"/>
  <c r="M105" i="23"/>
  <c r="L105" i="23"/>
  <c r="K105" i="23"/>
  <c r="R104" i="23"/>
  <c r="M104" i="23"/>
  <c r="L104" i="23"/>
  <c r="K104" i="23"/>
  <c r="E104" i="23"/>
  <c r="R103" i="23"/>
  <c r="M103" i="23"/>
  <c r="L103" i="23"/>
  <c r="K103" i="23"/>
  <c r="R102" i="23"/>
  <c r="M102" i="23"/>
  <c r="L102" i="23"/>
  <c r="K102" i="23"/>
  <c r="R101" i="23"/>
  <c r="M101" i="23"/>
  <c r="L101" i="23"/>
  <c r="K101" i="23"/>
  <c r="R100" i="23"/>
  <c r="M100" i="23"/>
  <c r="L100" i="23"/>
  <c r="K100" i="23"/>
  <c r="E100" i="23"/>
  <c r="T197" i="23" s="1"/>
  <c r="R99" i="23"/>
  <c r="M99" i="23"/>
  <c r="L99" i="23"/>
  <c r="K99" i="23"/>
  <c r="R98" i="23"/>
  <c r="M98" i="23"/>
  <c r="L98" i="23"/>
  <c r="K98" i="23"/>
  <c r="E98" i="23"/>
  <c r="R97" i="23"/>
  <c r="M97" i="23"/>
  <c r="L97" i="23"/>
  <c r="K97" i="23"/>
  <c r="R96" i="23"/>
  <c r="M96" i="23"/>
  <c r="L96" i="23"/>
  <c r="K96" i="23"/>
  <c r="E96" i="23"/>
  <c r="S195" i="23" s="1"/>
  <c r="R95" i="23"/>
  <c r="M95" i="23"/>
  <c r="L95" i="23"/>
  <c r="K95" i="23"/>
  <c r="R94" i="23"/>
  <c r="M94" i="23"/>
  <c r="L94" i="23"/>
  <c r="K94" i="23"/>
  <c r="E94" i="23"/>
  <c r="S194" i="23" s="1"/>
  <c r="R93" i="23"/>
  <c r="M93" i="23"/>
  <c r="L93" i="23"/>
  <c r="K93" i="23"/>
  <c r="R92" i="23"/>
  <c r="M92" i="23"/>
  <c r="L92" i="23"/>
  <c r="K92" i="23"/>
  <c r="E92" i="23"/>
  <c r="R91" i="23"/>
  <c r="M91" i="23"/>
  <c r="L91" i="23"/>
  <c r="K91" i="23"/>
  <c r="R90" i="23"/>
  <c r="M90" i="23"/>
  <c r="L90" i="23"/>
  <c r="K90" i="23"/>
  <c r="E90" i="23"/>
  <c r="T192" i="23" s="1"/>
  <c r="R89" i="23"/>
  <c r="M89" i="23"/>
  <c r="L89" i="23"/>
  <c r="K89" i="23"/>
  <c r="R88" i="23"/>
  <c r="M88" i="23"/>
  <c r="L88" i="23"/>
  <c r="K88" i="23"/>
  <c r="E88" i="23"/>
  <c r="R87" i="23"/>
  <c r="M87" i="23"/>
  <c r="L87" i="23"/>
  <c r="K87" i="23"/>
  <c r="R86" i="23"/>
  <c r="M86" i="23"/>
  <c r="L86" i="23"/>
  <c r="K86" i="23"/>
  <c r="E86" i="23"/>
  <c r="R85" i="23"/>
  <c r="M85" i="23"/>
  <c r="L85" i="23"/>
  <c r="K85" i="23"/>
  <c r="R84" i="23"/>
  <c r="M84" i="23"/>
  <c r="L84" i="23"/>
  <c r="K84" i="23"/>
  <c r="E84" i="23"/>
  <c r="T189" i="23" s="1"/>
  <c r="R83" i="23"/>
  <c r="M83" i="23"/>
  <c r="L83" i="23"/>
  <c r="K83" i="23"/>
  <c r="R82" i="23"/>
  <c r="M82" i="23"/>
  <c r="L82" i="23"/>
  <c r="K82" i="23"/>
  <c r="E82" i="23"/>
  <c r="T188" i="23" s="1"/>
  <c r="R81" i="23"/>
  <c r="M81" i="23"/>
  <c r="L81" i="23"/>
  <c r="K81" i="23"/>
  <c r="R80" i="23"/>
  <c r="M80" i="23"/>
  <c r="L80" i="23"/>
  <c r="K80" i="23"/>
  <c r="E80" i="23"/>
  <c r="R79" i="23"/>
  <c r="M79" i="23"/>
  <c r="L79" i="23"/>
  <c r="K79" i="23"/>
  <c r="R78" i="23"/>
  <c r="M78" i="23"/>
  <c r="L78" i="23"/>
  <c r="K78" i="23"/>
  <c r="E78" i="23"/>
  <c r="U186" i="23" s="1"/>
  <c r="R77" i="23"/>
  <c r="M77" i="23"/>
  <c r="L77" i="23"/>
  <c r="K77" i="23"/>
  <c r="R76" i="23"/>
  <c r="M76" i="23"/>
  <c r="L76" i="23"/>
  <c r="K76" i="23"/>
  <c r="E76" i="23"/>
  <c r="R75" i="23"/>
  <c r="M75" i="23"/>
  <c r="L75" i="23"/>
  <c r="K75" i="23"/>
  <c r="R74" i="23"/>
  <c r="M74" i="23"/>
  <c r="L74" i="23"/>
  <c r="K74" i="23"/>
  <c r="E74" i="23"/>
  <c r="R73" i="23"/>
  <c r="M73" i="23"/>
  <c r="L73" i="23"/>
  <c r="K73" i="23"/>
  <c r="R72" i="23"/>
  <c r="M72" i="23"/>
  <c r="L72" i="23"/>
  <c r="K72" i="23"/>
  <c r="E72" i="23"/>
  <c r="S183" i="23" s="1"/>
  <c r="R71" i="23"/>
  <c r="M71" i="23"/>
  <c r="L71" i="23"/>
  <c r="K71" i="23"/>
  <c r="R70" i="23"/>
  <c r="M70" i="23"/>
  <c r="L70" i="23"/>
  <c r="K70" i="23"/>
  <c r="E70" i="23"/>
  <c r="S182" i="23" s="1"/>
  <c r="R69" i="23"/>
  <c r="M69" i="23"/>
  <c r="L69" i="23"/>
  <c r="K69" i="23"/>
  <c r="R68" i="23"/>
  <c r="M68" i="23"/>
  <c r="L68" i="23"/>
  <c r="K68" i="23"/>
  <c r="E68" i="23"/>
  <c r="R67" i="23"/>
  <c r="M67" i="23"/>
  <c r="L67" i="23"/>
  <c r="K67" i="23"/>
  <c r="R66" i="23"/>
  <c r="M66" i="23"/>
  <c r="L66" i="23"/>
  <c r="K66" i="23"/>
  <c r="R65" i="23"/>
  <c r="M65" i="23"/>
  <c r="L65" i="23"/>
  <c r="K65" i="23"/>
  <c r="R64" i="23"/>
  <c r="M64" i="23"/>
  <c r="L64" i="23"/>
  <c r="K64" i="23"/>
  <c r="E64" i="23"/>
  <c r="U179" i="23" s="1"/>
  <c r="R63" i="23"/>
  <c r="M63" i="23"/>
  <c r="L63" i="23"/>
  <c r="K63" i="23"/>
  <c r="R62" i="23"/>
  <c r="M62" i="23"/>
  <c r="L62" i="23"/>
  <c r="K62" i="23"/>
  <c r="R61" i="23"/>
  <c r="M61" i="23"/>
  <c r="L61" i="23"/>
  <c r="K61" i="23"/>
  <c r="R60" i="23"/>
  <c r="M60" i="23"/>
  <c r="L60" i="23"/>
  <c r="K60" i="23"/>
  <c r="R59" i="23"/>
  <c r="M59" i="23"/>
  <c r="L59" i="23"/>
  <c r="K59" i="23"/>
  <c r="R58" i="23"/>
  <c r="M58" i="23"/>
  <c r="L58" i="23"/>
  <c r="K58" i="23"/>
  <c r="R57" i="23"/>
  <c r="M57" i="23"/>
  <c r="L57" i="23"/>
  <c r="K57" i="23"/>
  <c r="R56" i="23"/>
  <c r="M56" i="23"/>
  <c r="L56" i="23"/>
  <c r="K56" i="23"/>
  <c r="E56" i="23"/>
  <c r="U175" i="23" s="1"/>
  <c r="R55" i="23"/>
  <c r="M55" i="23"/>
  <c r="L55" i="23"/>
  <c r="K55" i="23"/>
  <c r="R54" i="23"/>
  <c r="M54" i="23"/>
  <c r="L54" i="23"/>
  <c r="K54" i="23"/>
  <c r="R53" i="23"/>
  <c r="M53" i="23"/>
  <c r="L53" i="23"/>
  <c r="K53" i="23"/>
  <c r="R52" i="23"/>
  <c r="M52" i="23"/>
  <c r="L52" i="23"/>
  <c r="K52" i="23"/>
  <c r="R51" i="23"/>
  <c r="M51" i="23"/>
  <c r="L51" i="23"/>
  <c r="K51" i="23"/>
  <c r="R50" i="23"/>
  <c r="M50" i="23"/>
  <c r="L50" i="23"/>
  <c r="K50" i="23"/>
  <c r="R49" i="23"/>
  <c r="M49" i="23"/>
  <c r="L49" i="23"/>
  <c r="K49" i="23"/>
  <c r="R48" i="23"/>
  <c r="M48" i="23"/>
  <c r="L48" i="23"/>
  <c r="K48" i="23"/>
  <c r="E48" i="23"/>
  <c r="R47" i="23"/>
  <c r="M47" i="23"/>
  <c r="L47" i="23"/>
  <c r="K47" i="23"/>
  <c r="R46" i="23"/>
  <c r="M46" i="23"/>
  <c r="L46" i="23"/>
  <c r="K46" i="23"/>
  <c r="R45" i="23"/>
  <c r="M45" i="23"/>
  <c r="L45" i="23"/>
  <c r="K45" i="23"/>
  <c r="R44" i="23"/>
  <c r="M44" i="23"/>
  <c r="L44" i="23"/>
  <c r="K44" i="23"/>
  <c r="R43" i="23"/>
  <c r="M43" i="23"/>
  <c r="L43" i="23"/>
  <c r="K43" i="23"/>
  <c r="R42" i="23"/>
  <c r="M42" i="23"/>
  <c r="L42" i="23"/>
  <c r="K42" i="23"/>
  <c r="E42" i="23"/>
  <c r="S168" i="23" s="1"/>
  <c r="R41" i="23"/>
  <c r="M41" i="23"/>
  <c r="L41" i="23"/>
  <c r="K41" i="23"/>
  <c r="R40" i="23"/>
  <c r="M40" i="23"/>
  <c r="L40" i="23"/>
  <c r="K40" i="23"/>
  <c r="R39" i="23"/>
  <c r="M39" i="23"/>
  <c r="L39" i="23"/>
  <c r="K39" i="23"/>
  <c r="R38" i="23"/>
  <c r="M38" i="23"/>
  <c r="L38" i="23"/>
  <c r="K38" i="23"/>
  <c r="E38" i="23"/>
  <c r="S166" i="23" s="1"/>
  <c r="R37" i="23"/>
  <c r="M37" i="23"/>
  <c r="L37" i="23"/>
  <c r="K37" i="23"/>
  <c r="R36" i="23"/>
  <c r="M36" i="23"/>
  <c r="L36" i="23"/>
  <c r="K36" i="23"/>
  <c r="R35" i="23"/>
  <c r="M35" i="23"/>
  <c r="L35" i="23"/>
  <c r="K35" i="23"/>
  <c r="R34" i="23"/>
  <c r="M34" i="23"/>
  <c r="L34" i="23"/>
  <c r="K34" i="23"/>
  <c r="R33" i="23"/>
  <c r="M33" i="23"/>
  <c r="L33" i="23"/>
  <c r="K33" i="23"/>
  <c r="R32" i="23"/>
  <c r="M32" i="23"/>
  <c r="L32" i="23"/>
  <c r="K32" i="23"/>
  <c r="R31" i="23"/>
  <c r="M31" i="23"/>
  <c r="L31" i="23"/>
  <c r="K31" i="23"/>
  <c r="R30" i="23"/>
  <c r="M30" i="23"/>
  <c r="L30" i="23"/>
  <c r="K30" i="23"/>
  <c r="R29" i="23"/>
  <c r="M29" i="23"/>
  <c r="L29" i="23"/>
  <c r="K29" i="23"/>
  <c r="E29" i="23"/>
  <c r="T162" i="23" s="1"/>
  <c r="R28" i="23"/>
  <c r="M28" i="23"/>
  <c r="L28" i="23"/>
  <c r="K28" i="23"/>
  <c r="R27" i="23"/>
  <c r="M27" i="23"/>
  <c r="L27" i="23"/>
  <c r="K27" i="23"/>
  <c r="R26" i="23"/>
  <c r="M26" i="23"/>
  <c r="L26" i="23"/>
  <c r="K26" i="23"/>
  <c r="R25" i="23"/>
  <c r="M25" i="23"/>
  <c r="L25" i="23"/>
  <c r="K25" i="23"/>
  <c r="R24" i="23"/>
  <c r="M24" i="23"/>
  <c r="L24" i="23"/>
  <c r="K24" i="23"/>
  <c r="R23" i="23"/>
  <c r="M23" i="23"/>
  <c r="L23" i="23"/>
  <c r="K23" i="23"/>
  <c r="R22" i="23"/>
  <c r="M22" i="23"/>
  <c r="L22" i="23"/>
  <c r="K22" i="23"/>
  <c r="R21" i="23"/>
  <c r="M21" i="23"/>
  <c r="L21" i="23"/>
  <c r="K21" i="23"/>
  <c r="E21" i="23"/>
  <c r="R20" i="23"/>
  <c r="M20" i="23"/>
  <c r="L20" i="23"/>
  <c r="K20" i="23"/>
  <c r="R19" i="23"/>
  <c r="M19" i="23"/>
  <c r="L19" i="23"/>
  <c r="K19" i="23"/>
  <c r="R18" i="23"/>
  <c r="M18" i="23"/>
  <c r="L18" i="23"/>
  <c r="K18" i="23"/>
  <c r="R17" i="23"/>
  <c r="M17" i="23"/>
  <c r="L17" i="23"/>
  <c r="K17" i="23"/>
  <c r="E17" i="23"/>
  <c r="T156" i="23" s="1"/>
  <c r="R16" i="23"/>
  <c r="M16" i="23"/>
  <c r="L16" i="23"/>
  <c r="K16" i="23"/>
  <c r="R15" i="23"/>
  <c r="M15" i="23"/>
  <c r="L15" i="23"/>
  <c r="K15" i="23"/>
  <c r="E15" i="23"/>
  <c r="S155" i="23" s="1"/>
  <c r="R14" i="23"/>
  <c r="M14" i="23"/>
  <c r="L14" i="23"/>
  <c r="K14" i="23"/>
  <c r="R13" i="23"/>
  <c r="M13" i="23"/>
  <c r="L13" i="23"/>
  <c r="K13" i="23"/>
  <c r="R12" i="23"/>
  <c r="M12" i="23"/>
  <c r="L12" i="23"/>
  <c r="K12" i="23"/>
  <c r="R11" i="23"/>
  <c r="M11" i="23"/>
  <c r="L11" i="23"/>
  <c r="K11" i="23"/>
  <c r="R10" i="23"/>
  <c r="M10" i="23"/>
  <c r="L10" i="23"/>
  <c r="K10" i="23"/>
  <c r="R9" i="23"/>
  <c r="M9" i="23"/>
  <c r="L9" i="23"/>
  <c r="K9" i="23"/>
  <c r="R8" i="23"/>
  <c r="M8" i="23"/>
  <c r="L8" i="23"/>
  <c r="K8" i="23"/>
  <c r="U194" i="24"/>
  <c r="T194" i="24"/>
  <c r="S194" i="24"/>
  <c r="U192" i="24"/>
  <c r="T192" i="24"/>
  <c r="S192" i="24"/>
  <c r="U191" i="24"/>
  <c r="T191" i="24"/>
  <c r="S191" i="24"/>
  <c r="U190" i="24"/>
  <c r="T190" i="24"/>
  <c r="S190" i="24"/>
  <c r="U186" i="24"/>
  <c r="T186" i="24"/>
  <c r="S186" i="24"/>
  <c r="U182" i="24"/>
  <c r="T182" i="24"/>
  <c r="S182" i="24"/>
  <c r="U178" i="24"/>
  <c r="T178" i="24"/>
  <c r="S178" i="24"/>
  <c r="U174" i="24"/>
  <c r="T174" i="24"/>
  <c r="S174" i="24"/>
  <c r="U170" i="24"/>
  <c r="T170" i="24"/>
  <c r="S170" i="24"/>
  <c r="U168" i="24"/>
  <c r="T168" i="24"/>
  <c r="S168" i="24"/>
  <c r="U167" i="24"/>
  <c r="T167" i="24"/>
  <c r="S167" i="24"/>
  <c r="U166" i="24"/>
  <c r="T166" i="24"/>
  <c r="S166" i="24"/>
  <c r="U164" i="24"/>
  <c r="T164" i="24"/>
  <c r="S164" i="24"/>
  <c r="U163" i="24"/>
  <c r="T163" i="24"/>
  <c r="S163" i="24"/>
  <c r="U162" i="24"/>
  <c r="T162" i="24"/>
  <c r="S162" i="24"/>
  <c r="U160" i="24"/>
  <c r="T160" i="24"/>
  <c r="S160" i="24"/>
  <c r="U159" i="24"/>
  <c r="T159" i="24"/>
  <c r="S159" i="24"/>
  <c r="U158" i="24"/>
  <c r="T158" i="24"/>
  <c r="S158" i="24"/>
  <c r="U156" i="24"/>
  <c r="T156" i="24"/>
  <c r="S156" i="24"/>
  <c r="U155" i="24"/>
  <c r="T155" i="24"/>
  <c r="S155" i="24"/>
  <c r="U154" i="24"/>
  <c r="T154" i="24"/>
  <c r="S154" i="24"/>
  <c r="U152" i="24"/>
  <c r="T152" i="24"/>
  <c r="S152" i="24"/>
  <c r="U151" i="24"/>
  <c r="T151" i="24"/>
  <c r="S151" i="24"/>
  <c r="U150" i="24"/>
  <c r="T150" i="24"/>
  <c r="S150" i="24"/>
  <c r="U148" i="24"/>
  <c r="T148" i="24"/>
  <c r="S148" i="24"/>
  <c r="U147" i="24"/>
  <c r="T147" i="24"/>
  <c r="S147" i="24"/>
  <c r="U146" i="24"/>
  <c r="T146" i="24"/>
  <c r="S146" i="24"/>
  <c r="U144" i="24"/>
  <c r="T144" i="24"/>
  <c r="S144" i="24"/>
  <c r="U143" i="24"/>
  <c r="T143" i="24"/>
  <c r="S143" i="24"/>
  <c r="U142" i="24"/>
  <c r="T142" i="24"/>
  <c r="S142" i="24"/>
  <c r="R113" i="24"/>
  <c r="R112" i="24"/>
  <c r="M112" i="24"/>
  <c r="L112" i="24"/>
  <c r="K112" i="24"/>
  <c r="B194" i="24" s="1"/>
  <c r="R111" i="24"/>
  <c r="M111" i="24"/>
  <c r="L111" i="24"/>
  <c r="K111" i="24"/>
  <c r="E111" i="24"/>
  <c r="U193" i="24" s="1"/>
  <c r="R110" i="24"/>
  <c r="M110" i="24"/>
  <c r="L110" i="24"/>
  <c r="K110" i="24"/>
  <c r="R109" i="24"/>
  <c r="M109" i="24"/>
  <c r="L109" i="24"/>
  <c r="K109" i="24"/>
  <c r="R108" i="24"/>
  <c r="M108" i="24"/>
  <c r="L108" i="24"/>
  <c r="K108" i="24"/>
  <c r="R107" i="24"/>
  <c r="M107" i="24"/>
  <c r="L107" i="24"/>
  <c r="K107" i="24"/>
  <c r="R106" i="24"/>
  <c r="M106" i="24"/>
  <c r="L106" i="24"/>
  <c r="K106" i="24"/>
  <c r="R105" i="24"/>
  <c r="M105" i="24"/>
  <c r="L105" i="24"/>
  <c r="K105" i="24"/>
  <c r="R104" i="24"/>
  <c r="L104" i="24"/>
  <c r="K104" i="24"/>
  <c r="R103" i="24"/>
  <c r="M103" i="24"/>
  <c r="L103" i="24"/>
  <c r="K103" i="24"/>
  <c r="E103" i="24"/>
  <c r="R102" i="24"/>
  <c r="M102" i="24"/>
  <c r="L102" i="24"/>
  <c r="K102" i="24"/>
  <c r="R101" i="24"/>
  <c r="M101" i="24"/>
  <c r="L101" i="24"/>
  <c r="K101" i="24"/>
  <c r="E101" i="24"/>
  <c r="T188" i="24" s="1"/>
  <c r="R100" i="24"/>
  <c r="M100" i="24"/>
  <c r="L100" i="24"/>
  <c r="K100" i="24"/>
  <c r="R99" i="24"/>
  <c r="M99" i="24"/>
  <c r="L99" i="24"/>
  <c r="K99" i="24"/>
  <c r="E99" i="24"/>
  <c r="R98" i="24"/>
  <c r="M98" i="24"/>
  <c r="L98" i="24"/>
  <c r="K98" i="24"/>
  <c r="R97" i="24"/>
  <c r="M97" i="24"/>
  <c r="L97" i="24"/>
  <c r="K97" i="24"/>
  <c r="R96" i="24"/>
  <c r="M96" i="24"/>
  <c r="L96" i="24"/>
  <c r="K96" i="24"/>
  <c r="R95" i="24"/>
  <c r="M95" i="24"/>
  <c r="L95" i="24"/>
  <c r="K95" i="24"/>
  <c r="E95" i="24"/>
  <c r="S185" i="24" s="1"/>
  <c r="R94" i="24"/>
  <c r="M94" i="24"/>
  <c r="L94" i="24"/>
  <c r="K94" i="24"/>
  <c r="R93" i="24"/>
  <c r="M93" i="24"/>
  <c r="L93" i="24"/>
  <c r="K93" i="24"/>
  <c r="E93" i="24"/>
  <c r="R92" i="24"/>
  <c r="M92" i="24"/>
  <c r="L92" i="24"/>
  <c r="K92" i="24"/>
  <c r="R91" i="24"/>
  <c r="M91" i="24"/>
  <c r="L91" i="24"/>
  <c r="K91" i="24"/>
  <c r="E91" i="24"/>
  <c r="R90" i="24"/>
  <c r="M90" i="24"/>
  <c r="L90" i="24"/>
  <c r="K90" i="24"/>
  <c r="R89" i="24"/>
  <c r="M89" i="24"/>
  <c r="L89" i="24"/>
  <c r="K89" i="24"/>
  <c r="R88" i="24"/>
  <c r="M88" i="24"/>
  <c r="L88" i="24"/>
  <c r="K88" i="24"/>
  <c r="R87" i="24"/>
  <c r="M87" i="24"/>
  <c r="L87" i="24"/>
  <c r="K87" i="24"/>
  <c r="E87" i="24"/>
  <c r="R86" i="24"/>
  <c r="M86" i="24"/>
  <c r="L86" i="24"/>
  <c r="K86" i="24"/>
  <c r="R85" i="24"/>
  <c r="M85" i="24"/>
  <c r="L85" i="24"/>
  <c r="K85" i="24"/>
  <c r="E85" i="24"/>
  <c r="R84" i="24"/>
  <c r="M84" i="24"/>
  <c r="L84" i="24"/>
  <c r="K84" i="24"/>
  <c r="R83" i="24"/>
  <c r="M83" i="24"/>
  <c r="L83" i="24"/>
  <c r="K83" i="24"/>
  <c r="E83" i="24"/>
  <c r="R82" i="24"/>
  <c r="M82" i="24"/>
  <c r="L82" i="24"/>
  <c r="K82" i="24"/>
  <c r="R81" i="24"/>
  <c r="M81" i="24"/>
  <c r="L81" i="24"/>
  <c r="K81" i="24"/>
  <c r="R80" i="24"/>
  <c r="M80" i="24"/>
  <c r="L80" i="24"/>
  <c r="K80" i="24"/>
  <c r="R79" i="24"/>
  <c r="M79" i="24"/>
  <c r="L79" i="24"/>
  <c r="K79" i="24"/>
  <c r="E79" i="24"/>
  <c r="U177" i="24" s="1"/>
  <c r="R78" i="24"/>
  <c r="M78" i="24"/>
  <c r="L78" i="24"/>
  <c r="K78" i="24"/>
  <c r="R77" i="24"/>
  <c r="M77" i="24"/>
  <c r="L77" i="24"/>
  <c r="K77" i="24"/>
  <c r="E77" i="24"/>
  <c r="T176" i="24" s="1"/>
  <c r="R76" i="24"/>
  <c r="M76" i="24"/>
  <c r="L76" i="24"/>
  <c r="K76" i="24"/>
  <c r="R75" i="24"/>
  <c r="M75" i="24"/>
  <c r="L75" i="24"/>
  <c r="K75" i="24"/>
  <c r="E75" i="24"/>
  <c r="U175" i="24" s="1"/>
  <c r="R74" i="24"/>
  <c r="M74" i="24"/>
  <c r="L74" i="24"/>
  <c r="K74" i="24"/>
  <c r="R73" i="24"/>
  <c r="M73" i="24"/>
  <c r="L73" i="24"/>
  <c r="K73" i="24"/>
  <c r="R72" i="24"/>
  <c r="M72" i="24"/>
  <c r="L72" i="24"/>
  <c r="K72" i="24"/>
  <c r="R71" i="24"/>
  <c r="M71" i="24"/>
  <c r="L71" i="24"/>
  <c r="K71" i="24"/>
  <c r="E71" i="24"/>
  <c r="R70" i="24"/>
  <c r="M70" i="24"/>
  <c r="L70" i="24"/>
  <c r="K70" i="24"/>
  <c r="R69" i="24"/>
  <c r="M69" i="24"/>
  <c r="L69" i="24"/>
  <c r="K69" i="24"/>
  <c r="E69" i="24"/>
  <c r="S172" i="24" s="1"/>
  <c r="R68" i="24"/>
  <c r="M68" i="24"/>
  <c r="L68" i="24"/>
  <c r="K68" i="24"/>
  <c r="R67" i="24"/>
  <c r="M67" i="24"/>
  <c r="L67" i="24"/>
  <c r="K67" i="24"/>
  <c r="E67" i="24"/>
  <c r="U171" i="24" s="1"/>
  <c r="R66" i="24"/>
  <c r="M66" i="24"/>
  <c r="L66" i="24"/>
  <c r="K66" i="24"/>
  <c r="R65" i="24"/>
  <c r="M65" i="24"/>
  <c r="L65" i="24"/>
  <c r="K65" i="24"/>
  <c r="R64" i="24"/>
  <c r="M64" i="24"/>
  <c r="L64" i="24"/>
  <c r="K64" i="24"/>
  <c r="R63" i="24"/>
  <c r="M63" i="24"/>
  <c r="L63" i="24"/>
  <c r="K63" i="24"/>
  <c r="E63" i="24"/>
  <c r="U169" i="24" s="1"/>
  <c r="R62" i="24"/>
  <c r="M62" i="24"/>
  <c r="L62" i="24"/>
  <c r="K62" i="24"/>
  <c r="R61" i="24"/>
  <c r="M61" i="24"/>
  <c r="L61" i="24"/>
  <c r="K61" i="24"/>
  <c r="R60" i="24"/>
  <c r="M60" i="24"/>
  <c r="L60" i="24"/>
  <c r="K60" i="24"/>
  <c r="R59" i="24"/>
  <c r="M59" i="24"/>
  <c r="L59" i="24"/>
  <c r="K59" i="24"/>
  <c r="R58" i="24"/>
  <c r="M58" i="24"/>
  <c r="L58" i="24"/>
  <c r="K58" i="24"/>
  <c r="R57" i="24"/>
  <c r="M57" i="24"/>
  <c r="L57" i="24"/>
  <c r="K57" i="24"/>
  <c r="R56" i="24"/>
  <c r="M56" i="24"/>
  <c r="L56" i="24"/>
  <c r="K56" i="24"/>
  <c r="R55" i="24"/>
  <c r="M55" i="24"/>
  <c r="L55" i="24"/>
  <c r="K55" i="24"/>
  <c r="E55" i="24"/>
  <c r="S165" i="24" s="1"/>
  <c r="R54" i="24"/>
  <c r="M54" i="24"/>
  <c r="L54" i="24"/>
  <c r="K54" i="24"/>
  <c r="R53" i="24"/>
  <c r="M53" i="24"/>
  <c r="L53" i="24"/>
  <c r="K53" i="24"/>
  <c r="R52" i="24"/>
  <c r="M52" i="24"/>
  <c r="L52" i="24"/>
  <c r="K52" i="24"/>
  <c r="R51" i="24"/>
  <c r="M51" i="24"/>
  <c r="L51" i="24"/>
  <c r="K51" i="24"/>
  <c r="R50" i="24"/>
  <c r="M50" i="24"/>
  <c r="L50" i="24"/>
  <c r="K50" i="24"/>
  <c r="R49" i="24"/>
  <c r="M49" i="24"/>
  <c r="L49" i="24"/>
  <c r="K49" i="24"/>
  <c r="R48" i="24"/>
  <c r="M48" i="24"/>
  <c r="L48" i="24"/>
  <c r="K48" i="24"/>
  <c r="R47" i="24"/>
  <c r="M47" i="24"/>
  <c r="L47" i="24"/>
  <c r="K47" i="24"/>
  <c r="E47" i="24"/>
  <c r="T161" i="24" s="1"/>
  <c r="R46" i="24"/>
  <c r="M46" i="24"/>
  <c r="L46" i="24"/>
  <c r="K46" i="24"/>
  <c r="R45" i="24"/>
  <c r="M45" i="24"/>
  <c r="L45" i="24"/>
  <c r="K45" i="24"/>
  <c r="R44" i="24"/>
  <c r="M44" i="24"/>
  <c r="L44" i="24"/>
  <c r="K44" i="24"/>
  <c r="R43" i="24"/>
  <c r="M43" i="24"/>
  <c r="L43" i="24"/>
  <c r="K43" i="24"/>
  <c r="R42" i="24"/>
  <c r="M42" i="24"/>
  <c r="L42" i="24"/>
  <c r="K42" i="24"/>
  <c r="R41" i="24"/>
  <c r="M41" i="24"/>
  <c r="L41" i="24"/>
  <c r="K41" i="24"/>
  <c r="R40" i="24"/>
  <c r="M40" i="24"/>
  <c r="L40" i="24"/>
  <c r="K40" i="24"/>
  <c r="R39" i="24"/>
  <c r="M39" i="24"/>
  <c r="L39" i="24"/>
  <c r="K39" i="24"/>
  <c r="E39" i="24"/>
  <c r="S157" i="24" s="1"/>
  <c r="R38" i="24"/>
  <c r="M38" i="24"/>
  <c r="L38" i="24"/>
  <c r="K38" i="24"/>
  <c r="R37" i="24"/>
  <c r="M37" i="24"/>
  <c r="L37" i="24"/>
  <c r="K37" i="24"/>
  <c r="R36" i="24"/>
  <c r="M36" i="24"/>
  <c r="L36" i="24"/>
  <c r="K36" i="24"/>
  <c r="R35" i="24"/>
  <c r="M35" i="24"/>
  <c r="L35" i="24"/>
  <c r="K35" i="24"/>
  <c r="R34" i="24"/>
  <c r="M34" i="24"/>
  <c r="L34" i="24"/>
  <c r="K34" i="24"/>
  <c r="R33" i="24"/>
  <c r="M33" i="24"/>
  <c r="L33" i="24"/>
  <c r="K33" i="24"/>
  <c r="R32" i="24"/>
  <c r="M32" i="24"/>
  <c r="L32" i="24"/>
  <c r="K32" i="24"/>
  <c r="N32" i="24" s="1"/>
  <c r="R31" i="24"/>
  <c r="M31" i="24"/>
  <c r="L31" i="24"/>
  <c r="K31" i="24"/>
  <c r="E31" i="24"/>
  <c r="S153" i="24" s="1"/>
  <c r="R30" i="24"/>
  <c r="M30" i="24"/>
  <c r="L30" i="24"/>
  <c r="K30" i="24"/>
  <c r="R29" i="24"/>
  <c r="M29" i="24"/>
  <c r="L29" i="24"/>
  <c r="K29" i="24"/>
  <c r="R28" i="24"/>
  <c r="M28" i="24"/>
  <c r="L28" i="24"/>
  <c r="K28" i="24"/>
  <c r="R27" i="24"/>
  <c r="M27" i="24"/>
  <c r="L27" i="24"/>
  <c r="K27" i="24"/>
  <c r="R26" i="24"/>
  <c r="M26" i="24"/>
  <c r="L26" i="24"/>
  <c r="K26" i="24"/>
  <c r="R25" i="24"/>
  <c r="M25" i="24"/>
  <c r="L25" i="24"/>
  <c r="K25" i="24"/>
  <c r="R24" i="24"/>
  <c r="M24" i="24"/>
  <c r="L24" i="24"/>
  <c r="K24" i="24"/>
  <c r="R23" i="24"/>
  <c r="M23" i="24"/>
  <c r="L23" i="24"/>
  <c r="K23" i="24"/>
  <c r="E23" i="24"/>
  <c r="U149" i="24" s="1"/>
  <c r="R22" i="24"/>
  <c r="M22" i="24"/>
  <c r="L22" i="24"/>
  <c r="K22" i="24"/>
  <c r="R21" i="24"/>
  <c r="M21" i="24"/>
  <c r="L21" i="24"/>
  <c r="K21" i="24"/>
  <c r="R20" i="24"/>
  <c r="M20" i="24"/>
  <c r="L20" i="24"/>
  <c r="K20" i="24"/>
  <c r="R19" i="24"/>
  <c r="M19" i="24"/>
  <c r="L19" i="24"/>
  <c r="K19" i="24"/>
  <c r="R18" i="24"/>
  <c r="M18" i="24"/>
  <c r="L18" i="24"/>
  <c r="K18" i="24"/>
  <c r="R17" i="24"/>
  <c r="M17" i="24"/>
  <c r="L17" i="24"/>
  <c r="K17" i="24"/>
  <c r="R16" i="24"/>
  <c r="M16" i="24"/>
  <c r="L16" i="24"/>
  <c r="K16" i="24"/>
  <c r="R15" i="24"/>
  <c r="M15" i="24"/>
  <c r="L15" i="24"/>
  <c r="K15" i="24"/>
  <c r="E15" i="24"/>
  <c r="R14" i="24"/>
  <c r="M14" i="24"/>
  <c r="L14" i="24"/>
  <c r="K14" i="24"/>
  <c r="R13" i="24"/>
  <c r="M13" i="24"/>
  <c r="L13" i="24"/>
  <c r="K13" i="24"/>
  <c r="R12" i="24"/>
  <c r="M12" i="24"/>
  <c r="L12" i="24"/>
  <c r="K12" i="24"/>
  <c r="R11" i="24"/>
  <c r="M11" i="24"/>
  <c r="L11" i="24"/>
  <c r="K11" i="24"/>
  <c r="R10" i="24"/>
  <c r="M10" i="24"/>
  <c r="L10" i="24"/>
  <c r="K10" i="24"/>
  <c r="R9" i="24"/>
  <c r="M9" i="24"/>
  <c r="L9" i="24"/>
  <c r="K9" i="24"/>
  <c r="R8" i="24"/>
  <c r="M8" i="24"/>
  <c r="L8" i="24"/>
  <c r="K8" i="24"/>
  <c r="U197" i="25"/>
  <c r="T197" i="25"/>
  <c r="S197" i="25"/>
  <c r="U196" i="25"/>
  <c r="T196" i="25"/>
  <c r="S196" i="25"/>
  <c r="U194" i="25"/>
  <c r="T194" i="25"/>
  <c r="S194" i="25"/>
  <c r="U193" i="25"/>
  <c r="T193" i="25"/>
  <c r="S193" i="25"/>
  <c r="U192" i="25"/>
  <c r="T192" i="25"/>
  <c r="S192" i="25"/>
  <c r="U189" i="25"/>
  <c r="T189" i="25"/>
  <c r="S189" i="25"/>
  <c r="U185" i="25"/>
  <c r="T185" i="25"/>
  <c r="S185" i="25"/>
  <c r="U177" i="25"/>
  <c r="T177" i="25"/>
  <c r="S177" i="25"/>
  <c r="U172" i="25"/>
  <c r="T172" i="25"/>
  <c r="S172" i="25"/>
  <c r="U169" i="25"/>
  <c r="T169" i="25"/>
  <c r="S169" i="25"/>
  <c r="U168" i="25"/>
  <c r="T168" i="25"/>
  <c r="S168" i="25"/>
  <c r="U165" i="25"/>
  <c r="T165" i="25"/>
  <c r="U162" i="25"/>
  <c r="T162" i="25"/>
  <c r="U160" i="25"/>
  <c r="T160" i="25"/>
  <c r="S160" i="25"/>
  <c r="U159" i="25"/>
  <c r="T159" i="25"/>
  <c r="S159" i="25"/>
  <c r="U157" i="25"/>
  <c r="T157" i="25"/>
  <c r="S157" i="25"/>
  <c r="U156" i="25"/>
  <c r="T156" i="25"/>
  <c r="S156" i="25"/>
  <c r="U152" i="25"/>
  <c r="T152" i="25"/>
  <c r="S152" i="25"/>
  <c r="U151" i="25"/>
  <c r="T151" i="25"/>
  <c r="S151" i="25"/>
  <c r="U150" i="25"/>
  <c r="T150" i="25"/>
  <c r="S150" i="25"/>
  <c r="U148" i="25"/>
  <c r="T148" i="25"/>
  <c r="S148" i="25"/>
  <c r="U147" i="25"/>
  <c r="T147" i="25"/>
  <c r="S147" i="25"/>
  <c r="U146" i="25"/>
  <c r="T146" i="25"/>
  <c r="S146" i="25"/>
  <c r="R113" i="25"/>
  <c r="M113" i="25"/>
  <c r="L113" i="25"/>
  <c r="K113" i="25"/>
  <c r="R112" i="25"/>
  <c r="M112" i="25"/>
  <c r="L112" i="25"/>
  <c r="K112" i="25"/>
  <c r="R111" i="25"/>
  <c r="M111" i="25"/>
  <c r="L111" i="25"/>
  <c r="K111" i="25"/>
  <c r="R110" i="25"/>
  <c r="M110" i="25"/>
  <c r="L110" i="25"/>
  <c r="K110" i="25"/>
  <c r="R109" i="25"/>
  <c r="M109" i="25"/>
  <c r="L109" i="25"/>
  <c r="K109" i="25"/>
  <c r="E109" i="25"/>
  <c r="T195" i="25" s="1"/>
  <c r="R108" i="25"/>
  <c r="M108" i="25"/>
  <c r="L108" i="25"/>
  <c r="K108" i="25"/>
  <c r="R107" i="25"/>
  <c r="M107" i="25"/>
  <c r="L107" i="25"/>
  <c r="K107" i="25"/>
  <c r="R106" i="25"/>
  <c r="M106" i="25"/>
  <c r="L106" i="25"/>
  <c r="K106" i="25"/>
  <c r="R105" i="25"/>
  <c r="M105" i="25"/>
  <c r="L105" i="25"/>
  <c r="K105" i="25"/>
  <c r="R104" i="25"/>
  <c r="M104" i="25"/>
  <c r="L104" i="25"/>
  <c r="K104" i="25"/>
  <c r="R103" i="25"/>
  <c r="M103" i="25"/>
  <c r="L103" i="25"/>
  <c r="K103" i="25"/>
  <c r="R102" i="25"/>
  <c r="M102" i="25"/>
  <c r="L102" i="25"/>
  <c r="K102" i="25"/>
  <c r="R101" i="25"/>
  <c r="M101" i="25"/>
  <c r="L101" i="25"/>
  <c r="K101" i="25"/>
  <c r="E101" i="25"/>
  <c r="T191" i="25" s="1"/>
  <c r="R100" i="25"/>
  <c r="M100" i="25"/>
  <c r="L100" i="25"/>
  <c r="K100" i="25"/>
  <c r="R99" i="25"/>
  <c r="M99" i="25"/>
  <c r="L99" i="25"/>
  <c r="K99" i="25"/>
  <c r="E99" i="25"/>
  <c r="R98" i="25"/>
  <c r="M98" i="25"/>
  <c r="L98" i="25"/>
  <c r="K98" i="25"/>
  <c r="R97" i="25"/>
  <c r="M97" i="25"/>
  <c r="L97" i="25"/>
  <c r="K97" i="25"/>
  <c r="R96" i="25"/>
  <c r="M96" i="25"/>
  <c r="L96" i="25"/>
  <c r="K96" i="25"/>
  <c r="R95" i="25"/>
  <c r="M95" i="25"/>
  <c r="L95" i="25"/>
  <c r="K95" i="25"/>
  <c r="E95" i="25"/>
  <c r="S188" i="25" s="1"/>
  <c r="R94" i="25"/>
  <c r="M94" i="25"/>
  <c r="L94" i="25"/>
  <c r="K94" i="25"/>
  <c r="R93" i="25"/>
  <c r="M93" i="25"/>
  <c r="L93" i="25"/>
  <c r="K93" i="25"/>
  <c r="E93" i="25"/>
  <c r="T187" i="25" s="1"/>
  <c r="R92" i="25"/>
  <c r="M92" i="25"/>
  <c r="L92" i="25"/>
  <c r="K92" i="25"/>
  <c r="R91" i="25"/>
  <c r="M91" i="25"/>
  <c r="L91" i="25"/>
  <c r="K91" i="25"/>
  <c r="E91" i="25"/>
  <c r="T186" i="25" s="1"/>
  <c r="R90" i="25"/>
  <c r="M90" i="25"/>
  <c r="L90" i="25"/>
  <c r="K90" i="25"/>
  <c r="R89" i="25"/>
  <c r="M89" i="25"/>
  <c r="L89" i="25"/>
  <c r="K89" i="25"/>
  <c r="R88" i="25"/>
  <c r="M88" i="25"/>
  <c r="L88" i="25"/>
  <c r="K88" i="25"/>
  <c r="R87" i="25"/>
  <c r="M87" i="25"/>
  <c r="L87" i="25"/>
  <c r="K87" i="25"/>
  <c r="E87" i="25"/>
  <c r="R86" i="25"/>
  <c r="M86" i="25"/>
  <c r="L86" i="25"/>
  <c r="K86" i="25"/>
  <c r="R85" i="25"/>
  <c r="M85" i="25"/>
  <c r="L85" i="25"/>
  <c r="K85" i="25"/>
  <c r="E85" i="25"/>
  <c r="R84" i="25"/>
  <c r="M84" i="25"/>
  <c r="L84" i="25"/>
  <c r="K84" i="25"/>
  <c r="R83" i="25"/>
  <c r="M83" i="25"/>
  <c r="L83" i="25"/>
  <c r="K83" i="25"/>
  <c r="E83" i="25"/>
  <c r="T182" i="25" s="1"/>
  <c r="R82" i="25"/>
  <c r="M82" i="25"/>
  <c r="L82" i="25"/>
  <c r="K82" i="25"/>
  <c r="R81" i="25"/>
  <c r="M81" i="25"/>
  <c r="L81" i="25"/>
  <c r="K81" i="25"/>
  <c r="E81" i="25"/>
  <c r="R80" i="25"/>
  <c r="M80" i="25"/>
  <c r="L80" i="25"/>
  <c r="K80" i="25"/>
  <c r="R79" i="25"/>
  <c r="M79" i="25"/>
  <c r="L79" i="25"/>
  <c r="K79" i="25"/>
  <c r="E79" i="25"/>
  <c r="U180" i="25" s="1"/>
  <c r="R78" i="25"/>
  <c r="M78" i="25"/>
  <c r="L78" i="25"/>
  <c r="K78" i="25"/>
  <c r="R77" i="25"/>
  <c r="M77" i="25"/>
  <c r="L77" i="25"/>
  <c r="K77" i="25"/>
  <c r="E77" i="25"/>
  <c r="S179" i="25" s="1"/>
  <c r="R76" i="25"/>
  <c r="M76" i="25"/>
  <c r="L76" i="25"/>
  <c r="K76" i="25"/>
  <c r="R75" i="25"/>
  <c r="M75" i="25"/>
  <c r="L75" i="25"/>
  <c r="K75" i="25"/>
  <c r="E75" i="25"/>
  <c r="U178" i="25" s="1"/>
  <c r="R74" i="25"/>
  <c r="M74" i="25"/>
  <c r="L74" i="25"/>
  <c r="K74" i="25"/>
  <c r="R73" i="25"/>
  <c r="M73" i="25"/>
  <c r="L73" i="25"/>
  <c r="K73" i="25"/>
  <c r="R72" i="25"/>
  <c r="M72" i="25"/>
  <c r="L72" i="25"/>
  <c r="K72" i="25"/>
  <c r="R71" i="25"/>
  <c r="M71" i="25"/>
  <c r="L71" i="25"/>
  <c r="K71" i="25"/>
  <c r="E71" i="25"/>
  <c r="U176" i="25" s="1"/>
  <c r="R70" i="25"/>
  <c r="M70" i="25"/>
  <c r="L70" i="25"/>
  <c r="K70" i="25"/>
  <c r="R69" i="25"/>
  <c r="M69" i="25"/>
  <c r="L69" i="25"/>
  <c r="K69" i="25"/>
  <c r="E69" i="25"/>
  <c r="R68" i="25"/>
  <c r="N68" i="25"/>
  <c r="R67" i="25"/>
  <c r="M67" i="25"/>
  <c r="L67" i="25"/>
  <c r="K67" i="25"/>
  <c r="E67" i="25"/>
  <c r="R66" i="25"/>
  <c r="M66" i="25"/>
  <c r="L66" i="25"/>
  <c r="K66" i="25"/>
  <c r="R65" i="25"/>
  <c r="M65" i="25"/>
  <c r="L65" i="25"/>
  <c r="K65" i="25"/>
  <c r="E65" i="25"/>
  <c r="R64" i="25"/>
  <c r="M64" i="25"/>
  <c r="L64" i="25"/>
  <c r="K64" i="25"/>
  <c r="R63" i="25"/>
  <c r="M63" i="25"/>
  <c r="L63" i="25"/>
  <c r="K63" i="25"/>
  <c r="R62" i="25"/>
  <c r="M62" i="25"/>
  <c r="L62" i="25"/>
  <c r="K62" i="25"/>
  <c r="R61" i="25"/>
  <c r="M61" i="25"/>
  <c r="L61" i="25"/>
  <c r="K61" i="25"/>
  <c r="E61" i="25"/>
  <c r="U171" i="25" s="1"/>
  <c r="R60" i="25"/>
  <c r="M60" i="25"/>
  <c r="L60" i="25"/>
  <c r="K60" i="25"/>
  <c r="R59" i="25"/>
  <c r="M59" i="25"/>
  <c r="L59" i="25"/>
  <c r="K59" i="25"/>
  <c r="E59" i="25"/>
  <c r="S170" i="25" s="1"/>
  <c r="R58" i="25"/>
  <c r="M58" i="25"/>
  <c r="L58" i="25"/>
  <c r="K58" i="25"/>
  <c r="R57" i="25"/>
  <c r="M57" i="25"/>
  <c r="L57" i="25"/>
  <c r="K57" i="25"/>
  <c r="R56" i="25"/>
  <c r="M56" i="25"/>
  <c r="L56" i="25"/>
  <c r="K56" i="25"/>
  <c r="R55" i="25"/>
  <c r="M55" i="25"/>
  <c r="L55" i="25"/>
  <c r="K55" i="25"/>
  <c r="R54" i="25"/>
  <c r="M54" i="25"/>
  <c r="L54" i="25"/>
  <c r="K54" i="25"/>
  <c r="R53" i="25"/>
  <c r="M53" i="25"/>
  <c r="L53" i="25"/>
  <c r="K53" i="25"/>
  <c r="E53" i="25"/>
  <c r="T167" i="25" s="1"/>
  <c r="R52" i="25"/>
  <c r="M52" i="25"/>
  <c r="L52" i="25"/>
  <c r="K52" i="25"/>
  <c r="R51" i="25"/>
  <c r="M51" i="25"/>
  <c r="L51" i="25"/>
  <c r="K51" i="25"/>
  <c r="E51" i="25"/>
  <c r="O50" i="25"/>
  <c r="R50" i="25" s="1"/>
  <c r="M50" i="25"/>
  <c r="L50" i="25"/>
  <c r="K50" i="25"/>
  <c r="O49" i="25"/>
  <c r="R49" i="25" s="1"/>
  <c r="M49" i="25"/>
  <c r="L49" i="25"/>
  <c r="K49" i="25"/>
  <c r="O48" i="25"/>
  <c r="M48" i="25"/>
  <c r="L48" i="25"/>
  <c r="K48" i="25"/>
  <c r="O47" i="25"/>
  <c r="M47" i="25"/>
  <c r="L47" i="25"/>
  <c r="K47" i="25"/>
  <c r="E47" i="25"/>
  <c r="T164" i="25" s="1"/>
  <c r="R46" i="25"/>
  <c r="M46" i="25"/>
  <c r="L46" i="25"/>
  <c r="K46" i="25"/>
  <c r="R45" i="25"/>
  <c r="M45" i="25"/>
  <c r="L45" i="25"/>
  <c r="K45" i="25"/>
  <c r="E45" i="25"/>
  <c r="O44" i="25"/>
  <c r="R44" i="25" s="1"/>
  <c r="M44" i="25"/>
  <c r="L44" i="25"/>
  <c r="K44" i="25"/>
  <c r="O43" i="25"/>
  <c r="R43" i="25" s="1"/>
  <c r="M43" i="25"/>
  <c r="L43" i="25"/>
  <c r="K43" i="25"/>
  <c r="O42" i="25"/>
  <c r="R42" i="25" s="1"/>
  <c r="M42" i="25"/>
  <c r="L42" i="25"/>
  <c r="K42" i="25"/>
  <c r="O41" i="25"/>
  <c r="R41" i="25" s="1"/>
  <c r="M41" i="25"/>
  <c r="L41" i="25"/>
  <c r="K41" i="25"/>
  <c r="E41" i="25"/>
  <c r="T161" i="25" s="1"/>
  <c r="R40" i="25"/>
  <c r="M40" i="25"/>
  <c r="L40" i="25"/>
  <c r="K40" i="25"/>
  <c r="R39" i="25"/>
  <c r="M39" i="25"/>
  <c r="L39" i="25"/>
  <c r="K39" i="25"/>
  <c r="R38" i="25"/>
  <c r="M38" i="25"/>
  <c r="L38" i="25"/>
  <c r="K38" i="25"/>
  <c r="R37" i="25"/>
  <c r="M37" i="25"/>
  <c r="L37" i="25"/>
  <c r="K37" i="25"/>
  <c r="R36" i="25"/>
  <c r="M36" i="25"/>
  <c r="L36" i="25"/>
  <c r="K36" i="25"/>
  <c r="R35" i="25"/>
  <c r="M35" i="25"/>
  <c r="L35" i="25"/>
  <c r="K35" i="25"/>
  <c r="E35" i="25"/>
  <c r="U158" i="25" s="1"/>
  <c r="R34" i="25"/>
  <c r="M34" i="25"/>
  <c r="L34" i="25"/>
  <c r="K34" i="25"/>
  <c r="R33" i="25"/>
  <c r="M33" i="25"/>
  <c r="L33" i="25"/>
  <c r="K33" i="25"/>
  <c r="R32" i="25"/>
  <c r="M32" i="25"/>
  <c r="L32" i="25"/>
  <c r="K32" i="25"/>
  <c r="R31" i="25"/>
  <c r="M31" i="25"/>
  <c r="L31" i="25"/>
  <c r="K31" i="25"/>
  <c r="R30" i="25"/>
  <c r="M30" i="25"/>
  <c r="L30" i="25"/>
  <c r="K30" i="25"/>
  <c r="R29" i="25"/>
  <c r="M29" i="25"/>
  <c r="L29" i="25"/>
  <c r="K29" i="25"/>
  <c r="E29" i="25"/>
  <c r="S155" i="25" s="1"/>
  <c r="R28" i="25"/>
  <c r="M28" i="25"/>
  <c r="L28" i="25"/>
  <c r="K28" i="25"/>
  <c r="R27" i="25"/>
  <c r="M27" i="25"/>
  <c r="L27" i="25"/>
  <c r="K27" i="25"/>
  <c r="E27" i="25"/>
  <c r="R26" i="25"/>
  <c r="M26" i="25"/>
  <c r="L26" i="25"/>
  <c r="K26" i="25"/>
  <c r="R25" i="25"/>
  <c r="M25" i="25"/>
  <c r="L25" i="25"/>
  <c r="K25" i="25"/>
  <c r="E25" i="25"/>
  <c r="R24" i="25"/>
  <c r="M24" i="25"/>
  <c r="L24" i="25"/>
  <c r="K24" i="25"/>
  <c r="R23" i="25"/>
  <c r="M23" i="25"/>
  <c r="L23" i="25"/>
  <c r="K23" i="25"/>
  <c r="R22" i="25"/>
  <c r="M22" i="25"/>
  <c r="L22" i="25"/>
  <c r="K22" i="25"/>
  <c r="R21" i="25"/>
  <c r="M21" i="25"/>
  <c r="L21" i="25"/>
  <c r="K21" i="25"/>
  <c r="R20" i="25"/>
  <c r="M20" i="25"/>
  <c r="L20" i="25"/>
  <c r="K20" i="25"/>
  <c r="R19" i="25"/>
  <c r="M19" i="25"/>
  <c r="L19" i="25"/>
  <c r="K19" i="25"/>
  <c r="R18" i="25"/>
  <c r="M18" i="25"/>
  <c r="L18" i="25"/>
  <c r="K18" i="25"/>
  <c r="R17" i="25"/>
  <c r="M17" i="25"/>
  <c r="L17" i="25"/>
  <c r="K17" i="25"/>
  <c r="E17" i="25"/>
  <c r="T149" i="25" s="1"/>
  <c r="R16" i="25"/>
  <c r="M16" i="25"/>
  <c r="L16" i="25"/>
  <c r="K16" i="25"/>
  <c r="R15" i="25"/>
  <c r="M15" i="25"/>
  <c r="L15" i="25"/>
  <c r="K15" i="25"/>
  <c r="R14" i="25"/>
  <c r="M14" i="25"/>
  <c r="L14" i="25"/>
  <c r="K14" i="25"/>
  <c r="R13" i="25"/>
  <c r="M13" i="25"/>
  <c r="L13" i="25"/>
  <c r="K13" i="25"/>
  <c r="R12" i="25"/>
  <c r="M12" i="25"/>
  <c r="L12" i="25"/>
  <c r="K12" i="25"/>
  <c r="R11" i="25"/>
  <c r="M11" i="25"/>
  <c r="L11" i="25"/>
  <c r="K11" i="25"/>
  <c r="R10" i="25"/>
  <c r="M10" i="25"/>
  <c r="L10" i="25"/>
  <c r="K10" i="25"/>
  <c r="R9" i="25"/>
  <c r="M9" i="25"/>
  <c r="L9" i="25"/>
  <c r="K9" i="25"/>
  <c r="E9" i="25"/>
  <c r="R8" i="25"/>
  <c r="M8" i="25"/>
  <c r="L8" i="25"/>
  <c r="K8" i="25"/>
  <c r="U157" i="26"/>
  <c r="T157" i="26"/>
  <c r="S157" i="26"/>
  <c r="U156" i="26"/>
  <c r="T156" i="26"/>
  <c r="S156" i="26"/>
  <c r="U152" i="26"/>
  <c r="T152" i="26"/>
  <c r="S152" i="26"/>
  <c r="U137" i="26"/>
  <c r="T137" i="26"/>
  <c r="S137" i="26"/>
  <c r="U133" i="26"/>
  <c r="T133" i="26"/>
  <c r="S133" i="26"/>
  <c r="U132" i="26"/>
  <c r="T132" i="26"/>
  <c r="S132" i="26"/>
  <c r="U130" i="26"/>
  <c r="T130" i="26"/>
  <c r="S130" i="26"/>
  <c r="U129" i="26"/>
  <c r="T129" i="26"/>
  <c r="S129" i="26"/>
  <c r="U128" i="26"/>
  <c r="T128" i="26"/>
  <c r="S128" i="26"/>
  <c r="U126" i="26"/>
  <c r="T126" i="26"/>
  <c r="S126" i="26"/>
  <c r="U125" i="26"/>
  <c r="T125" i="26"/>
  <c r="S125" i="26"/>
  <c r="U123" i="26"/>
  <c r="T123" i="26"/>
  <c r="S123" i="26"/>
  <c r="R77" i="26"/>
  <c r="M77" i="26"/>
  <c r="L77" i="26"/>
  <c r="K77" i="26"/>
  <c r="R76" i="26"/>
  <c r="M76" i="26"/>
  <c r="L76" i="26"/>
  <c r="K76" i="26"/>
  <c r="R75" i="26"/>
  <c r="M75" i="26"/>
  <c r="L75" i="26"/>
  <c r="K75" i="26"/>
  <c r="R74" i="26"/>
  <c r="M74" i="26"/>
  <c r="L74" i="26"/>
  <c r="K74" i="26"/>
  <c r="R73" i="26"/>
  <c r="M73" i="26"/>
  <c r="L73" i="26"/>
  <c r="K73" i="26"/>
  <c r="E73" i="26"/>
  <c r="U155" i="26" s="1"/>
  <c r="R72" i="26"/>
  <c r="M72" i="26"/>
  <c r="L72" i="26"/>
  <c r="K72" i="26"/>
  <c r="R71" i="26"/>
  <c r="M71" i="26"/>
  <c r="L71" i="26"/>
  <c r="K71" i="26"/>
  <c r="E71" i="26"/>
  <c r="U154" i="26" s="1"/>
  <c r="R70" i="26"/>
  <c r="M70" i="26"/>
  <c r="L70" i="26"/>
  <c r="K70" i="26"/>
  <c r="R69" i="26"/>
  <c r="M69" i="26"/>
  <c r="L69" i="26"/>
  <c r="K69" i="26"/>
  <c r="E69" i="26"/>
  <c r="S153" i="26" s="1"/>
  <c r="R68" i="26"/>
  <c r="M68" i="26"/>
  <c r="L68" i="26"/>
  <c r="K68" i="26"/>
  <c r="R67" i="26"/>
  <c r="M67" i="26"/>
  <c r="L67" i="26"/>
  <c r="K67" i="26"/>
  <c r="R66" i="26"/>
  <c r="M66" i="26"/>
  <c r="L66" i="26"/>
  <c r="K66" i="26"/>
  <c r="R65" i="26"/>
  <c r="M65" i="26"/>
  <c r="L65" i="26"/>
  <c r="K65" i="26"/>
  <c r="E65" i="26"/>
  <c r="S151" i="26" s="1"/>
  <c r="R64" i="26"/>
  <c r="M64" i="26"/>
  <c r="L64" i="26"/>
  <c r="K64" i="26"/>
  <c r="R63" i="26"/>
  <c r="M63" i="26"/>
  <c r="L63" i="26"/>
  <c r="K63" i="26"/>
  <c r="E63" i="26"/>
  <c r="U150" i="26" s="1"/>
  <c r="R62" i="26"/>
  <c r="M62" i="26"/>
  <c r="L62" i="26"/>
  <c r="K62" i="26"/>
  <c r="R61" i="26"/>
  <c r="M61" i="26"/>
  <c r="L61" i="26"/>
  <c r="K61" i="26"/>
  <c r="E61" i="26"/>
  <c r="S149" i="26" s="1"/>
  <c r="R60" i="26"/>
  <c r="M60" i="26"/>
  <c r="L60" i="26"/>
  <c r="K60" i="26"/>
  <c r="R59" i="26"/>
  <c r="M59" i="26"/>
  <c r="L59" i="26"/>
  <c r="K59" i="26"/>
  <c r="E59" i="26"/>
  <c r="T148" i="26" s="1"/>
  <c r="R58" i="26"/>
  <c r="M58" i="26"/>
  <c r="L58" i="26"/>
  <c r="K58" i="26"/>
  <c r="R57" i="26"/>
  <c r="M57" i="26"/>
  <c r="L57" i="26"/>
  <c r="K57" i="26"/>
  <c r="E57" i="26"/>
  <c r="S147" i="26" s="1"/>
  <c r="R56" i="26"/>
  <c r="M56" i="26"/>
  <c r="L56" i="26"/>
  <c r="K56" i="26"/>
  <c r="R55" i="26"/>
  <c r="M55" i="26"/>
  <c r="L55" i="26"/>
  <c r="K55" i="26"/>
  <c r="E55" i="26"/>
  <c r="S146" i="26" s="1"/>
  <c r="R54" i="26"/>
  <c r="M54" i="26"/>
  <c r="L54" i="26"/>
  <c r="K54" i="26"/>
  <c r="R53" i="26"/>
  <c r="M53" i="26"/>
  <c r="L53" i="26"/>
  <c r="K53" i="26"/>
  <c r="E53" i="26"/>
  <c r="S145" i="26" s="1"/>
  <c r="R52" i="26"/>
  <c r="M52" i="26"/>
  <c r="L52" i="26"/>
  <c r="K52" i="26"/>
  <c r="R51" i="26"/>
  <c r="M51" i="26"/>
  <c r="L51" i="26"/>
  <c r="K51" i="26"/>
  <c r="E51" i="26"/>
  <c r="R50" i="26"/>
  <c r="M50" i="26"/>
  <c r="L50" i="26"/>
  <c r="K50" i="26"/>
  <c r="R49" i="26"/>
  <c r="M49" i="26"/>
  <c r="L49" i="26"/>
  <c r="K49" i="26"/>
  <c r="E49" i="26"/>
  <c r="S143" i="26" s="1"/>
  <c r="R48" i="26"/>
  <c r="M48" i="26"/>
  <c r="L48" i="26"/>
  <c r="K48" i="26"/>
  <c r="R47" i="26"/>
  <c r="M47" i="26"/>
  <c r="L47" i="26"/>
  <c r="K47" i="26"/>
  <c r="E47" i="26"/>
  <c r="U142" i="26" s="1"/>
  <c r="R46" i="26"/>
  <c r="M46" i="26"/>
  <c r="L46" i="26"/>
  <c r="K46" i="26"/>
  <c r="R45" i="26"/>
  <c r="M45" i="26"/>
  <c r="L45" i="26"/>
  <c r="K45" i="26"/>
  <c r="E45" i="26"/>
  <c r="T141" i="26" s="1"/>
  <c r="R44" i="26"/>
  <c r="M44" i="26"/>
  <c r="L44" i="26"/>
  <c r="K44" i="26"/>
  <c r="R43" i="26"/>
  <c r="M43" i="26"/>
  <c r="L43" i="26"/>
  <c r="K43" i="26"/>
  <c r="E43" i="26"/>
  <c r="T140" i="26" s="1"/>
  <c r="R42" i="26"/>
  <c r="M42" i="26"/>
  <c r="L42" i="26"/>
  <c r="K42" i="26"/>
  <c r="R41" i="26"/>
  <c r="M41" i="26"/>
  <c r="L41" i="26"/>
  <c r="K41" i="26"/>
  <c r="E41" i="26"/>
  <c r="S139" i="26" s="1"/>
  <c r="R40" i="26"/>
  <c r="M40" i="26"/>
  <c r="L40" i="26"/>
  <c r="K40" i="26"/>
  <c r="R39" i="26"/>
  <c r="M39" i="26"/>
  <c r="L39" i="26"/>
  <c r="K39" i="26"/>
  <c r="E39" i="26"/>
  <c r="T138" i="26" s="1"/>
  <c r="R38" i="26"/>
  <c r="M38" i="26"/>
  <c r="L38" i="26"/>
  <c r="K38" i="26"/>
  <c r="R37" i="26"/>
  <c r="M37" i="26"/>
  <c r="L37" i="26"/>
  <c r="K37" i="26"/>
  <c r="R36" i="26"/>
  <c r="M36" i="26"/>
  <c r="L36" i="26"/>
  <c r="K36" i="26"/>
  <c r="R35" i="26"/>
  <c r="M35" i="26"/>
  <c r="L35" i="26"/>
  <c r="K35" i="26"/>
  <c r="E35" i="26"/>
  <c r="S136" i="26" s="1"/>
  <c r="R34" i="26"/>
  <c r="M34" i="26"/>
  <c r="L34" i="26"/>
  <c r="K34" i="26"/>
  <c r="R33" i="26"/>
  <c r="M33" i="26"/>
  <c r="L33" i="26"/>
  <c r="K33" i="26"/>
  <c r="E33" i="26"/>
  <c r="T135" i="26" s="1"/>
  <c r="R32" i="26"/>
  <c r="M32" i="26"/>
  <c r="L32" i="26"/>
  <c r="K32" i="26"/>
  <c r="R31" i="26"/>
  <c r="M31" i="26"/>
  <c r="L31" i="26"/>
  <c r="K31" i="26"/>
  <c r="E31" i="26"/>
  <c r="U134" i="26" s="1"/>
  <c r="R30" i="26"/>
  <c r="M30" i="26"/>
  <c r="L30" i="26"/>
  <c r="K30" i="26"/>
  <c r="R29" i="26"/>
  <c r="M29" i="26"/>
  <c r="L29" i="26"/>
  <c r="K29" i="26"/>
  <c r="R28" i="26"/>
  <c r="M28" i="26"/>
  <c r="L28" i="26"/>
  <c r="K28" i="26"/>
  <c r="R27" i="26"/>
  <c r="M27" i="26"/>
  <c r="L27" i="26"/>
  <c r="K27" i="26"/>
  <c r="R26" i="26"/>
  <c r="M26" i="26"/>
  <c r="L26" i="26"/>
  <c r="K26" i="26"/>
  <c r="R25" i="26"/>
  <c r="M25" i="26"/>
  <c r="L25" i="26"/>
  <c r="K25" i="26"/>
  <c r="E25" i="26"/>
  <c r="U131" i="26" s="1"/>
  <c r="R24" i="26"/>
  <c r="M24" i="26"/>
  <c r="L24" i="26"/>
  <c r="K24" i="26"/>
  <c r="R23" i="26"/>
  <c r="M23" i="26"/>
  <c r="L23" i="26"/>
  <c r="K23" i="26"/>
  <c r="R22" i="26"/>
  <c r="M22" i="26"/>
  <c r="L22" i="26"/>
  <c r="K22" i="26"/>
  <c r="R21" i="26"/>
  <c r="M21" i="26"/>
  <c r="L21" i="26"/>
  <c r="K21" i="26"/>
  <c r="R20" i="26"/>
  <c r="M20" i="26"/>
  <c r="L20" i="26"/>
  <c r="K20" i="26"/>
  <c r="R19" i="26"/>
  <c r="M19" i="26"/>
  <c r="L19" i="26"/>
  <c r="K19" i="26"/>
  <c r="R18" i="26"/>
  <c r="M18" i="26"/>
  <c r="L18" i="26"/>
  <c r="K18" i="26"/>
  <c r="R17" i="26"/>
  <c r="M17" i="26"/>
  <c r="L17" i="26"/>
  <c r="K17" i="26"/>
  <c r="E17" i="26"/>
  <c r="R16" i="26"/>
  <c r="M16" i="26"/>
  <c r="L16" i="26"/>
  <c r="K16" i="26"/>
  <c r="R15" i="26"/>
  <c r="M15" i="26"/>
  <c r="L15" i="26"/>
  <c r="K15" i="26"/>
  <c r="R14" i="26"/>
  <c r="M14" i="26"/>
  <c r="L14" i="26"/>
  <c r="K14" i="26"/>
  <c r="R13" i="26"/>
  <c r="M13" i="26"/>
  <c r="L13" i="26"/>
  <c r="K13" i="26"/>
  <c r="R12" i="26"/>
  <c r="M12" i="26"/>
  <c r="L12" i="26"/>
  <c r="K12" i="26"/>
  <c r="R11" i="26"/>
  <c r="M11" i="26"/>
  <c r="L11" i="26"/>
  <c r="K11" i="26"/>
  <c r="E11" i="26"/>
  <c r="R10" i="26"/>
  <c r="M10" i="26"/>
  <c r="L10" i="26"/>
  <c r="K10" i="26"/>
  <c r="R9" i="26"/>
  <c r="M9" i="26"/>
  <c r="L9" i="26"/>
  <c r="K9" i="26"/>
  <c r="R8" i="26"/>
  <c r="M8" i="26"/>
  <c r="L8" i="26"/>
  <c r="K8" i="26"/>
  <c r="R7" i="26"/>
  <c r="M7" i="26"/>
  <c r="L7" i="26"/>
  <c r="K7" i="26"/>
  <c r="E7" i="26"/>
  <c r="U165" i="16"/>
  <c r="T165" i="16"/>
  <c r="S165" i="16"/>
  <c r="U164" i="16"/>
  <c r="T164" i="16"/>
  <c r="S164" i="16"/>
  <c r="U163" i="16"/>
  <c r="T163" i="16"/>
  <c r="S163" i="16"/>
  <c r="U162" i="16"/>
  <c r="T162" i="16"/>
  <c r="S162" i="16"/>
  <c r="U149" i="16"/>
  <c r="T149" i="16"/>
  <c r="S149" i="16"/>
  <c r="U145" i="16"/>
  <c r="T145" i="16"/>
  <c r="S145" i="16"/>
  <c r="U141" i="16"/>
  <c r="T141" i="16"/>
  <c r="S141" i="16"/>
  <c r="U139" i="16"/>
  <c r="T139" i="16"/>
  <c r="S139" i="16"/>
  <c r="U137" i="16"/>
  <c r="T137" i="16"/>
  <c r="S137" i="16"/>
  <c r="U135" i="16"/>
  <c r="T135" i="16"/>
  <c r="S135" i="16"/>
  <c r="U130" i="16"/>
  <c r="T130" i="16"/>
  <c r="S130" i="16"/>
  <c r="R82" i="16"/>
  <c r="M82" i="16"/>
  <c r="L82" i="16"/>
  <c r="K82" i="16"/>
  <c r="R81" i="16"/>
  <c r="M81" i="16"/>
  <c r="L81" i="16"/>
  <c r="K81" i="16"/>
  <c r="R80" i="16"/>
  <c r="M80" i="16"/>
  <c r="L80" i="16"/>
  <c r="K80" i="16"/>
  <c r="R79" i="16"/>
  <c r="M79" i="16"/>
  <c r="L79" i="16"/>
  <c r="K79" i="16"/>
  <c r="R78" i="16"/>
  <c r="M78" i="16"/>
  <c r="L78" i="16"/>
  <c r="K78" i="16"/>
  <c r="R77" i="16"/>
  <c r="M77" i="16"/>
  <c r="L77" i="16"/>
  <c r="K77" i="16"/>
  <c r="R76" i="16"/>
  <c r="M76" i="16"/>
  <c r="L76" i="16"/>
  <c r="K76" i="16"/>
  <c r="R75" i="16"/>
  <c r="M75" i="16"/>
  <c r="L75" i="16"/>
  <c r="K75" i="16"/>
  <c r="R74" i="16"/>
  <c r="M74" i="16"/>
  <c r="L74" i="16"/>
  <c r="K74" i="16"/>
  <c r="E74" i="16"/>
  <c r="R73" i="16"/>
  <c r="M73" i="16"/>
  <c r="L73" i="16"/>
  <c r="K73" i="16"/>
  <c r="R72" i="16"/>
  <c r="M72" i="16"/>
  <c r="L72" i="16"/>
  <c r="K72" i="16"/>
  <c r="E72" i="16"/>
  <c r="R71" i="16"/>
  <c r="M71" i="16"/>
  <c r="L71" i="16"/>
  <c r="K71" i="16"/>
  <c r="R70" i="16"/>
  <c r="M70" i="16"/>
  <c r="L70" i="16"/>
  <c r="K70" i="16"/>
  <c r="E70" i="16"/>
  <c r="T159" i="16" s="1"/>
  <c r="R69" i="16"/>
  <c r="M69" i="16"/>
  <c r="L69" i="16"/>
  <c r="K69" i="16"/>
  <c r="R68" i="16"/>
  <c r="M68" i="16"/>
  <c r="L68" i="16"/>
  <c r="K68" i="16"/>
  <c r="E68" i="16"/>
  <c r="S158" i="16" s="1"/>
  <c r="R67" i="16"/>
  <c r="M67" i="16"/>
  <c r="L67" i="16"/>
  <c r="K67" i="16"/>
  <c r="R66" i="16"/>
  <c r="M66" i="16"/>
  <c r="L66" i="16"/>
  <c r="K66" i="16"/>
  <c r="E66" i="16"/>
  <c r="S157" i="16" s="1"/>
  <c r="R65" i="16"/>
  <c r="M65" i="16"/>
  <c r="L65" i="16"/>
  <c r="K65" i="16"/>
  <c r="R64" i="16"/>
  <c r="M64" i="16"/>
  <c r="L64" i="16"/>
  <c r="K64" i="16"/>
  <c r="E64" i="16"/>
  <c r="U156" i="16" s="1"/>
  <c r="R63" i="16"/>
  <c r="M63" i="16"/>
  <c r="L63" i="16"/>
  <c r="K63" i="16"/>
  <c r="R62" i="16"/>
  <c r="M62" i="16"/>
  <c r="L62" i="16"/>
  <c r="K62" i="16"/>
  <c r="E62" i="16"/>
  <c r="S155" i="16" s="1"/>
  <c r="R61" i="16"/>
  <c r="M61" i="16"/>
  <c r="L61" i="16"/>
  <c r="K61" i="16"/>
  <c r="R60" i="16"/>
  <c r="M60" i="16"/>
  <c r="L60" i="16"/>
  <c r="K60" i="16"/>
  <c r="E60" i="16"/>
  <c r="U154" i="16" s="1"/>
  <c r="R59" i="16"/>
  <c r="M59" i="16"/>
  <c r="L59" i="16"/>
  <c r="K59" i="16"/>
  <c r="R58" i="16"/>
  <c r="M58" i="16"/>
  <c r="L58" i="16"/>
  <c r="K58" i="16"/>
  <c r="E58" i="16"/>
  <c r="R57" i="16"/>
  <c r="M57" i="16"/>
  <c r="L57" i="16"/>
  <c r="K57" i="16"/>
  <c r="R56" i="16"/>
  <c r="M56" i="16"/>
  <c r="L56" i="16"/>
  <c r="K56" i="16"/>
  <c r="E56" i="16"/>
  <c r="S152" i="16" s="1"/>
  <c r="R55" i="16"/>
  <c r="M55" i="16"/>
  <c r="L55" i="16"/>
  <c r="K55" i="16"/>
  <c r="R54" i="16"/>
  <c r="M54" i="16"/>
  <c r="L54" i="16"/>
  <c r="K54" i="16"/>
  <c r="E54" i="16"/>
  <c r="T151" i="16" s="1"/>
  <c r="R53" i="16"/>
  <c r="M53" i="16"/>
  <c r="L53" i="16"/>
  <c r="K53" i="16"/>
  <c r="R52" i="16"/>
  <c r="M52" i="16"/>
  <c r="L52" i="16"/>
  <c r="K52" i="16"/>
  <c r="E52" i="16"/>
  <c r="T150" i="16" s="1"/>
  <c r="R51" i="16"/>
  <c r="M51" i="16"/>
  <c r="L51" i="16"/>
  <c r="K51" i="16"/>
  <c r="R50" i="16"/>
  <c r="M50" i="16"/>
  <c r="L50" i="16"/>
  <c r="K50" i="16"/>
  <c r="R49" i="16"/>
  <c r="M49" i="16"/>
  <c r="L49" i="16"/>
  <c r="K49" i="16"/>
  <c r="R48" i="16"/>
  <c r="M48" i="16"/>
  <c r="L48" i="16"/>
  <c r="K48" i="16"/>
  <c r="E48" i="16"/>
  <c r="S148" i="16" s="1"/>
  <c r="R47" i="16"/>
  <c r="M47" i="16"/>
  <c r="L47" i="16"/>
  <c r="K47" i="16"/>
  <c r="R46" i="16"/>
  <c r="M46" i="16"/>
  <c r="L46" i="16"/>
  <c r="K46" i="16"/>
  <c r="E46" i="16"/>
  <c r="S147" i="16" s="1"/>
  <c r="R45" i="16"/>
  <c r="M45" i="16"/>
  <c r="L45" i="16"/>
  <c r="K45" i="16"/>
  <c r="R44" i="16"/>
  <c r="M44" i="16"/>
  <c r="L44" i="16"/>
  <c r="K44" i="16"/>
  <c r="E44" i="16"/>
  <c r="S146" i="16" s="1"/>
  <c r="R43" i="16"/>
  <c r="M43" i="16"/>
  <c r="L43" i="16"/>
  <c r="K43" i="16"/>
  <c r="R42" i="16"/>
  <c r="M42" i="16"/>
  <c r="L42" i="16"/>
  <c r="K42" i="16"/>
  <c r="R41" i="16"/>
  <c r="L145" i="16" s="1"/>
  <c r="M41" i="16"/>
  <c r="L41" i="16"/>
  <c r="K41" i="16"/>
  <c r="R40" i="16"/>
  <c r="M40" i="16"/>
  <c r="L40" i="16"/>
  <c r="K40" i="16"/>
  <c r="E40" i="16"/>
  <c r="T144" i="16" s="1"/>
  <c r="R39" i="16"/>
  <c r="L144" i="16" s="1"/>
  <c r="M39" i="16"/>
  <c r="L39" i="16"/>
  <c r="K39" i="16"/>
  <c r="R38" i="16"/>
  <c r="M38" i="16"/>
  <c r="L38" i="16"/>
  <c r="K38" i="16"/>
  <c r="E38" i="16"/>
  <c r="U143" i="16" s="1"/>
  <c r="R37" i="16"/>
  <c r="M37" i="16"/>
  <c r="L37" i="16"/>
  <c r="K37" i="16"/>
  <c r="R36" i="16"/>
  <c r="M36" i="16"/>
  <c r="L36" i="16"/>
  <c r="K36" i="16"/>
  <c r="E36" i="16"/>
  <c r="R35" i="16"/>
  <c r="M35" i="16"/>
  <c r="L35" i="16"/>
  <c r="K35" i="16"/>
  <c r="R34" i="16"/>
  <c r="M34" i="16"/>
  <c r="L34" i="16"/>
  <c r="K34" i="16"/>
  <c r="R33" i="16"/>
  <c r="M33" i="16"/>
  <c r="L33" i="16"/>
  <c r="K33" i="16"/>
  <c r="R32" i="16"/>
  <c r="M32" i="16"/>
  <c r="L32" i="16"/>
  <c r="K32" i="16"/>
  <c r="E32" i="16"/>
  <c r="R31" i="16"/>
  <c r="M31" i="16"/>
  <c r="L31" i="16"/>
  <c r="K31" i="16"/>
  <c r="R30" i="16"/>
  <c r="M30" i="16"/>
  <c r="L30" i="16"/>
  <c r="K30" i="16"/>
  <c r="R29" i="16"/>
  <c r="M29" i="16"/>
  <c r="L29" i="16"/>
  <c r="K29" i="16"/>
  <c r="R28" i="16"/>
  <c r="M28" i="16"/>
  <c r="L28" i="16"/>
  <c r="K28" i="16"/>
  <c r="E28" i="16"/>
  <c r="T138" i="16" s="1"/>
  <c r="R27" i="16"/>
  <c r="M27" i="16"/>
  <c r="L27" i="16"/>
  <c r="K27" i="16"/>
  <c r="R26" i="16"/>
  <c r="M26" i="16"/>
  <c r="L26" i="16"/>
  <c r="K26" i="16"/>
  <c r="R25" i="16"/>
  <c r="M25" i="16"/>
  <c r="L25" i="16"/>
  <c r="K25" i="16"/>
  <c r="R24" i="16"/>
  <c r="M24" i="16"/>
  <c r="L24" i="16"/>
  <c r="K24" i="16"/>
  <c r="E24" i="16"/>
  <c r="U136" i="16" s="1"/>
  <c r="R23" i="16"/>
  <c r="M23" i="16"/>
  <c r="L23" i="16"/>
  <c r="K23" i="16"/>
  <c r="R22" i="16"/>
  <c r="M22" i="16"/>
  <c r="L22" i="16"/>
  <c r="K22" i="16"/>
  <c r="R21" i="16"/>
  <c r="M21" i="16"/>
  <c r="L21" i="16"/>
  <c r="K21" i="16"/>
  <c r="R20" i="16"/>
  <c r="M20" i="16"/>
  <c r="L20" i="16"/>
  <c r="K20" i="16"/>
  <c r="E20" i="16"/>
  <c r="S134" i="16" s="1"/>
  <c r="R19" i="16"/>
  <c r="M19" i="16"/>
  <c r="L19" i="16"/>
  <c r="K19" i="16"/>
  <c r="R18" i="16"/>
  <c r="M18" i="16"/>
  <c r="L18" i="16"/>
  <c r="K18" i="16"/>
  <c r="R17" i="16"/>
  <c r="M17" i="16"/>
  <c r="L17" i="16"/>
  <c r="K17" i="16"/>
  <c r="E17" i="16"/>
  <c r="U133" i="16" s="1"/>
  <c r="R16" i="16"/>
  <c r="M16" i="16"/>
  <c r="L16" i="16"/>
  <c r="K16" i="16"/>
  <c r="R15" i="16"/>
  <c r="M15" i="16"/>
  <c r="L15" i="16"/>
  <c r="K15" i="16"/>
  <c r="E15" i="16"/>
  <c r="S132" i="16" s="1"/>
  <c r="R14" i="16"/>
  <c r="M14" i="16"/>
  <c r="L14" i="16"/>
  <c r="K14" i="16"/>
  <c r="R13" i="16"/>
  <c r="M13" i="16"/>
  <c r="L13" i="16"/>
  <c r="K13" i="16"/>
  <c r="E13" i="16"/>
  <c r="U131" i="16" s="1"/>
  <c r="R12" i="16"/>
  <c r="M12" i="16"/>
  <c r="L12" i="16"/>
  <c r="K12" i="16"/>
  <c r="R11" i="16"/>
  <c r="M11" i="16"/>
  <c r="L11" i="16"/>
  <c r="K11" i="16"/>
  <c r="R10" i="16"/>
  <c r="M10" i="16"/>
  <c r="L10" i="16"/>
  <c r="K10" i="16"/>
  <c r="R9" i="16"/>
  <c r="M9" i="16"/>
  <c r="L9" i="16"/>
  <c r="K9" i="16"/>
  <c r="R8" i="16"/>
  <c r="M8" i="16"/>
  <c r="L8" i="16"/>
  <c r="K8" i="16"/>
  <c r="R7" i="16"/>
  <c r="M7" i="16"/>
  <c r="L7" i="16"/>
  <c r="K7" i="16"/>
  <c r="E7" i="16"/>
  <c r="S129" i="16" s="1"/>
  <c r="U197" i="17"/>
  <c r="T197" i="17"/>
  <c r="S197" i="17"/>
  <c r="U196" i="17"/>
  <c r="T196" i="17"/>
  <c r="S196" i="17"/>
  <c r="U195" i="17"/>
  <c r="T195" i="17"/>
  <c r="S195" i="17"/>
  <c r="U194" i="17"/>
  <c r="T194" i="17"/>
  <c r="S194" i="17"/>
  <c r="U193" i="17"/>
  <c r="T193" i="17"/>
  <c r="S193" i="17"/>
  <c r="U192" i="17"/>
  <c r="T192" i="17"/>
  <c r="S192" i="17"/>
  <c r="U191" i="17"/>
  <c r="T191" i="17"/>
  <c r="S191" i="17"/>
  <c r="U189" i="17"/>
  <c r="T189" i="17"/>
  <c r="S189" i="17"/>
  <c r="U177" i="17"/>
  <c r="T177" i="17"/>
  <c r="S177" i="17"/>
  <c r="U173" i="17"/>
  <c r="T173" i="17"/>
  <c r="S173" i="17"/>
  <c r="U172" i="17"/>
  <c r="T172" i="17"/>
  <c r="S172" i="17"/>
  <c r="U169" i="17"/>
  <c r="S169" i="17"/>
  <c r="U167" i="17"/>
  <c r="T167" i="17"/>
  <c r="S167" i="17"/>
  <c r="U165" i="17"/>
  <c r="T165" i="17"/>
  <c r="S165" i="17"/>
  <c r="U164" i="17"/>
  <c r="T164" i="17"/>
  <c r="S164" i="17"/>
  <c r="U163" i="17"/>
  <c r="T163" i="17"/>
  <c r="S163" i="17"/>
  <c r="U160" i="17"/>
  <c r="T160" i="17"/>
  <c r="S160" i="17"/>
  <c r="U159" i="17"/>
  <c r="T159" i="17"/>
  <c r="S159" i="17"/>
  <c r="U155" i="17"/>
  <c r="U153" i="17"/>
  <c r="U152" i="17"/>
  <c r="U151" i="17"/>
  <c r="U149" i="17"/>
  <c r="T149" i="17"/>
  <c r="S149" i="17"/>
  <c r="U147" i="17"/>
  <c r="T147" i="17"/>
  <c r="S147" i="17"/>
  <c r="U145" i="17"/>
  <c r="T145" i="17"/>
  <c r="R115" i="17"/>
  <c r="M115" i="17"/>
  <c r="L115" i="17"/>
  <c r="K115" i="17"/>
  <c r="R114" i="17"/>
  <c r="M114" i="17"/>
  <c r="L114" i="17"/>
  <c r="K114" i="17"/>
  <c r="R113" i="17"/>
  <c r="M113" i="17"/>
  <c r="L113" i="17"/>
  <c r="K113" i="17"/>
  <c r="R112" i="17"/>
  <c r="M112" i="17"/>
  <c r="L112" i="17"/>
  <c r="K112" i="17"/>
  <c r="R111" i="17"/>
  <c r="M111" i="17"/>
  <c r="L111" i="17"/>
  <c r="K111" i="17"/>
  <c r="R110" i="17"/>
  <c r="M110" i="17"/>
  <c r="L110" i="17"/>
  <c r="K110" i="17"/>
  <c r="R109" i="17"/>
  <c r="M109" i="17"/>
  <c r="L109" i="17"/>
  <c r="K109" i="17"/>
  <c r="R108" i="17"/>
  <c r="M108" i="17"/>
  <c r="L108" i="17"/>
  <c r="K108" i="17"/>
  <c r="R107" i="17"/>
  <c r="M107" i="17"/>
  <c r="L107" i="17"/>
  <c r="K107" i="17"/>
  <c r="R106" i="17"/>
  <c r="M106" i="17"/>
  <c r="L106" i="17"/>
  <c r="K106" i="17"/>
  <c r="R105" i="17"/>
  <c r="M105" i="17"/>
  <c r="L105" i="17"/>
  <c r="K105" i="17"/>
  <c r="R104" i="17"/>
  <c r="M104" i="17"/>
  <c r="L104" i="17"/>
  <c r="K104" i="17"/>
  <c r="R103" i="17"/>
  <c r="M103" i="17"/>
  <c r="L103" i="17"/>
  <c r="K103" i="17"/>
  <c r="R102" i="17"/>
  <c r="M102" i="17"/>
  <c r="L102" i="17"/>
  <c r="K102" i="17"/>
  <c r="R101" i="17"/>
  <c r="M101" i="17"/>
  <c r="L101" i="17"/>
  <c r="K101" i="17"/>
  <c r="R100" i="17"/>
  <c r="M100" i="17"/>
  <c r="L100" i="17"/>
  <c r="K100" i="17"/>
  <c r="E100" i="17"/>
  <c r="R99" i="17"/>
  <c r="M99" i="17"/>
  <c r="L99" i="17"/>
  <c r="K99" i="17"/>
  <c r="R98" i="17"/>
  <c r="M98" i="17"/>
  <c r="L98" i="17"/>
  <c r="K98" i="17"/>
  <c r="R97" i="17"/>
  <c r="M97" i="17"/>
  <c r="L97" i="17"/>
  <c r="K97" i="17"/>
  <c r="E97" i="17"/>
  <c r="S188" i="17" s="1"/>
  <c r="R96" i="17"/>
  <c r="M96" i="17"/>
  <c r="L96" i="17"/>
  <c r="K96" i="17"/>
  <c r="R95" i="17"/>
  <c r="M95" i="17"/>
  <c r="L95" i="17"/>
  <c r="K95" i="17"/>
  <c r="E95" i="17"/>
  <c r="U187" i="17" s="1"/>
  <c r="R94" i="17"/>
  <c r="M94" i="17"/>
  <c r="L94" i="17"/>
  <c r="K94" i="17"/>
  <c r="R93" i="17"/>
  <c r="M93" i="17"/>
  <c r="L93" i="17"/>
  <c r="K93" i="17"/>
  <c r="E93" i="17"/>
  <c r="S186" i="17" s="1"/>
  <c r="R92" i="17"/>
  <c r="M92" i="17"/>
  <c r="L92" i="17"/>
  <c r="K92" i="17"/>
  <c r="R91" i="17"/>
  <c r="M91" i="17"/>
  <c r="L91" i="17"/>
  <c r="K91" i="17"/>
  <c r="E91" i="17"/>
  <c r="R90" i="17"/>
  <c r="M90" i="17"/>
  <c r="L90" i="17"/>
  <c r="K90" i="17"/>
  <c r="R89" i="17"/>
  <c r="M89" i="17"/>
  <c r="L89" i="17"/>
  <c r="K89" i="17"/>
  <c r="E89" i="17"/>
  <c r="S184" i="17" s="1"/>
  <c r="R88" i="17"/>
  <c r="M88" i="17"/>
  <c r="L88" i="17"/>
  <c r="K88" i="17"/>
  <c r="R87" i="17"/>
  <c r="M87" i="17"/>
  <c r="L87" i="17"/>
  <c r="K87" i="17"/>
  <c r="E87" i="17"/>
  <c r="U183" i="17" s="1"/>
  <c r="R86" i="17"/>
  <c r="M86" i="17"/>
  <c r="L86" i="17"/>
  <c r="K86" i="17"/>
  <c r="R85" i="17"/>
  <c r="M85" i="17"/>
  <c r="L85" i="17"/>
  <c r="K85" i="17"/>
  <c r="E85" i="17"/>
  <c r="U182" i="17" s="1"/>
  <c r="R84" i="17"/>
  <c r="M84" i="17"/>
  <c r="L84" i="17"/>
  <c r="K84" i="17"/>
  <c r="R83" i="17"/>
  <c r="M83" i="17"/>
  <c r="L83" i="17"/>
  <c r="K83" i="17"/>
  <c r="E83" i="17"/>
  <c r="S181" i="17" s="1"/>
  <c r="R82" i="17"/>
  <c r="M82" i="17"/>
  <c r="L82" i="17"/>
  <c r="K82" i="17"/>
  <c r="R81" i="17"/>
  <c r="M81" i="17"/>
  <c r="L81" i="17"/>
  <c r="K81" i="17"/>
  <c r="E81" i="17"/>
  <c r="T180" i="17" s="1"/>
  <c r="R80" i="17"/>
  <c r="M80" i="17"/>
  <c r="L80" i="17"/>
  <c r="K80" i="17"/>
  <c r="R79" i="17"/>
  <c r="M79" i="17"/>
  <c r="L79" i="17"/>
  <c r="K79" i="17"/>
  <c r="E79" i="17"/>
  <c r="U179" i="17" s="1"/>
  <c r="R78" i="17"/>
  <c r="M78" i="17"/>
  <c r="L78" i="17"/>
  <c r="K78" i="17"/>
  <c r="R77" i="17"/>
  <c r="M77" i="17"/>
  <c r="L77" i="17"/>
  <c r="K77" i="17"/>
  <c r="E77" i="17"/>
  <c r="U178" i="17" s="1"/>
  <c r="R76" i="17"/>
  <c r="M76" i="17"/>
  <c r="L76" i="17"/>
  <c r="K76" i="17"/>
  <c r="R75" i="17"/>
  <c r="M75" i="17"/>
  <c r="L75" i="17"/>
  <c r="K75" i="17"/>
  <c r="R74" i="17"/>
  <c r="M74" i="17"/>
  <c r="L74" i="17"/>
  <c r="K74" i="17"/>
  <c r="R73" i="17"/>
  <c r="M73" i="17"/>
  <c r="L73" i="17"/>
  <c r="K73" i="17"/>
  <c r="E73" i="17"/>
  <c r="U176" i="17" s="1"/>
  <c r="R72" i="17"/>
  <c r="M72" i="17"/>
  <c r="L72" i="17"/>
  <c r="K72" i="17"/>
  <c r="R71" i="17"/>
  <c r="M71" i="17"/>
  <c r="L71" i="17"/>
  <c r="K71" i="17"/>
  <c r="E71" i="17"/>
  <c r="S175" i="17" s="1"/>
  <c r="R70" i="17"/>
  <c r="M70" i="17"/>
  <c r="L70" i="17"/>
  <c r="K70" i="17"/>
  <c r="R69" i="17"/>
  <c r="M69" i="17"/>
  <c r="L69" i="17"/>
  <c r="K69" i="17"/>
  <c r="E69" i="17"/>
  <c r="U174" i="17" s="1"/>
  <c r="R68" i="17"/>
  <c r="M68" i="17"/>
  <c r="L68" i="17"/>
  <c r="K68" i="17"/>
  <c r="R67" i="17"/>
  <c r="M67" i="17"/>
  <c r="L67" i="17"/>
  <c r="K67" i="17"/>
  <c r="R66" i="17"/>
  <c r="M66" i="17"/>
  <c r="L66" i="17"/>
  <c r="K66" i="17"/>
  <c r="R65" i="17"/>
  <c r="M65" i="17"/>
  <c r="L65" i="17"/>
  <c r="K65" i="17"/>
  <c r="R64" i="17"/>
  <c r="M64" i="17"/>
  <c r="L64" i="17"/>
  <c r="K64" i="17"/>
  <c r="R63" i="17"/>
  <c r="M63" i="17"/>
  <c r="L63" i="17"/>
  <c r="K63" i="17"/>
  <c r="E63" i="17"/>
  <c r="M62" i="17"/>
  <c r="L62" i="17"/>
  <c r="K62" i="17"/>
  <c r="R61" i="17"/>
  <c r="M61" i="17"/>
  <c r="L61" i="17"/>
  <c r="K61" i="17"/>
  <c r="E61" i="17"/>
  <c r="M60" i="17"/>
  <c r="L60" i="17"/>
  <c r="K60" i="17"/>
  <c r="R59" i="17"/>
  <c r="M59" i="17"/>
  <c r="L59" i="17"/>
  <c r="K59" i="17"/>
  <c r="R58" i="17"/>
  <c r="M58" i="17"/>
  <c r="L58" i="17"/>
  <c r="K58" i="17"/>
  <c r="R57" i="17"/>
  <c r="M57" i="17"/>
  <c r="L57" i="17"/>
  <c r="K57" i="17"/>
  <c r="E57" i="17"/>
  <c r="U168" i="17" s="1"/>
  <c r="R56" i="17"/>
  <c r="M56" i="17"/>
  <c r="L56" i="17"/>
  <c r="K56" i="17"/>
  <c r="R55" i="17"/>
  <c r="M55" i="17"/>
  <c r="L55" i="17"/>
  <c r="K55" i="17"/>
  <c r="R54" i="17"/>
  <c r="M54" i="17"/>
  <c r="L54" i="17"/>
  <c r="K54" i="17"/>
  <c r="R53" i="17"/>
  <c r="M53" i="17"/>
  <c r="L53" i="17"/>
  <c r="K53" i="17"/>
  <c r="E53" i="17"/>
  <c r="T166" i="17" s="1"/>
  <c r="R52" i="17"/>
  <c r="M52" i="17"/>
  <c r="L52" i="17"/>
  <c r="K52" i="17"/>
  <c r="R51" i="17"/>
  <c r="M51" i="17"/>
  <c r="L51" i="17"/>
  <c r="K51" i="17"/>
  <c r="R50" i="17"/>
  <c r="M50" i="17"/>
  <c r="L50" i="17"/>
  <c r="K50" i="17"/>
  <c r="R49" i="17"/>
  <c r="M49" i="17"/>
  <c r="L49" i="17"/>
  <c r="K49" i="17"/>
  <c r="R48" i="17"/>
  <c r="M48" i="17"/>
  <c r="L48" i="17"/>
  <c r="K48" i="17"/>
  <c r="R47" i="17"/>
  <c r="M47" i="17"/>
  <c r="L47" i="17"/>
  <c r="K47" i="17"/>
  <c r="R46" i="17"/>
  <c r="M46" i="17"/>
  <c r="L46" i="17"/>
  <c r="K46" i="17"/>
  <c r="R45" i="17"/>
  <c r="M45" i="17"/>
  <c r="L45" i="17"/>
  <c r="K45" i="17"/>
  <c r="R44" i="17"/>
  <c r="M44" i="17"/>
  <c r="L44" i="17"/>
  <c r="K44" i="17"/>
  <c r="E44" i="17"/>
  <c r="U162" i="17" s="1"/>
  <c r="R43" i="17"/>
  <c r="M43" i="17"/>
  <c r="L43" i="17"/>
  <c r="K43" i="17"/>
  <c r="R42" i="17"/>
  <c r="M42" i="17"/>
  <c r="L42" i="17"/>
  <c r="K42" i="17"/>
  <c r="E42" i="17"/>
  <c r="U161" i="17" s="1"/>
  <c r="R41" i="17"/>
  <c r="M41" i="17"/>
  <c r="L41" i="17"/>
  <c r="K41" i="17"/>
  <c r="R40" i="17"/>
  <c r="M40" i="17"/>
  <c r="L40" i="17"/>
  <c r="K40" i="17"/>
  <c r="R39" i="17"/>
  <c r="M39" i="17"/>
  <c r="L39" i="17"/>
  <c r="K39" i="17"/>
  <c r="R38" i="17"/>
  <c r="M38" i="17"/>
  <c r="L38" i="17"/>
  <c r="K38" i="17"/>
  <c r="R37" i="17"/>
  <c r="M37" i="17"/>
  <c r="L37" i="17"/>
  <c r="K37" i="17"/>
  <c r="R36" i="17"/>
  <c r="M36" i="17"/>
  <c r="L36" i="17"/>
  <c r="K36" i="17"/>
  <c r="E36" i="17"/>
  <c r="M35" i="17"/>
  <c r="L35" i="17"/>
  <c r="K35" i="17"/>
  <c r="M34" i="17"/>
  <c r="L34" i="17"/>
  <c r="K34" i="17"/>
  <c r="E34" i="17"/>
  <c r="U157" i="17" s="1"/>
  <c r="R33" i="17"/>
  <c r="M33" i="17"/>
  <c r="L33" i="17"/>
  <c r="K33" i="17"/>
  <c r="R32" i="17"/>
  <c r="M32" i="17"/>
  <c r="L32" i="17"/>
  <c r="K32" i="17"/>
  <c r="E32" i="17"/>
  <c r="U156" i="17" s="1"/>
  <c r="M31" i="17"/>
  <c r="L31" i="17"/>
  <c r="K31" i="17"/>
  <c r="R30" i="17"/>
  <c r="M30" i="17"/>
  <c r="L30" i="17"/>
  <c r="K30" i="17"/>
  <c r="T155" i="17"/>
  <c r="M29" i="17"/>
  <c r="L29" i="17"/>
  <c r="K29" i="17"/>
  <c r="R28" i="17"/>
  <c r="M28" i="17"/>
  <c r="L28" i="17"/>
  <c r="K28" i="17"/>
  <c r="E28" i="17"/>
  <c r="T154" i="17" s="1"/>
  <c r="M27" i="17"/>
  <c r="L27" i="17"/>
  <c r="K27" i="17"/>
  <c r="R26" i="17"/>
  <c r="M26" i="17"/>
  <c r="L26" i="17"/>
  <c r="K26" i="17"/>
  <c r="T153" i="17"/>
  <c r="M25" i="17"/>
  <c r="L25" i="17"/>
  <c r="K25" i="17"/>
  <c r="R24" i="17"/>
  <c r="M24" i="17"/>
  <c r="L24" i="17"/>
  <c r="K24" i="17"/>
  <c r="M23" i="17"/>
  <c r="L23" i="17"/>
  <c r="K23" i="17"/>
  <c r="R22" i="17"/>
  <c r="M22" i="17"/>
  <c r="L22" i="17"/>
  <c r="K22" i="17"/>
  <c r="M21" i="17"/>
  <c r="L21" i="17"/>
  <c r="K21" i="17"/>
  <c r="M20" i="17"/>
  <c r="L20" i="17"/>
  <c r="K20" i="17"/>
  <c r="E20" i="17"/>
  <c r="R19" i="17"/>
  <c r="M19" i="17"/>
  <c r="L19" i="17"/>
  <c r="K19" i="17"/>
  <c r="R18" i="17"/>
  <c r="M18" i="17"/>
  <c r="L18" i="17"/>
  <c r="K18" i="17"/>
  <c r="R17" i="17"/>
  <c r="M17" i="17"/>
  <c r="L17" i="17"/>
  <c r="K17" i="17"/>
  <c r="R16" i="17"/>
  <c r="M16" i="17"/>
  <c r="L16" i="17"/>
  <c r="K16" i="17"/>
  <c r="E16" i="17"/>
  <c r="U148" i="17" s="1"/>
  <c r="M15" i="17"/>
  <c r="L15" i="17"/>
  <c r="K15" i="17"/>
  <c r="R14" i="17"/>
  <c r="M14" i="17"/>
  <c r="L14" i="17"/>
  <c r="K14" i="17"/>
  <c r="R13" i="17"/>
  <c r="M13" i="17"/>
  <c r="L13" i="17"/>
  <c r="K13" i="17"/>
  <c r="R12" i="17"/>
  <c r="M12" i="17"/>
  <c r="L12" i="17"/>
  <c r="K12" i="17"/>
  <c r="R11" i="17"/>
  <c r="M11" i="17"/>
  <c r="L11" i="17"/>
  <c r="K11" i="17"/>
  <c r="E11" i="17"/>
  <c r="R10" i="17"/>
  <c r="M10" i="17"/>
  <c r="L10" i="17"/>
  <c r="K10" i="17"/>
  <c r="R9" i="17"/>
  <c r="M9" i="17"/>
  <c r="L9" i="17"/>
  <c r="K9" i="17"/>
  <c r="R8" i="17"/>
  <c r="M8" i="17"/>
  <c r="L8" i="17"/>
  <c r="K8" i="17"/>
  <c r="U200" i="18"/>
  <c r="T200" i="18"/>
  <c r="S200" i="18"/>
  <c r="U199" i="18"/>
  <c r="T199" i="18"/>
  <c r="U198" i="18"/>
  <c r="T198" i="18"/>
  <c r="S198" i="18"/>
  <c r="U197" i="18"/>
  <c r="T197" i="18"/>
  <c r="S197" i="18"/>
  <c r="U195" i="18"/>
  <c r="T195" i="18"/>
  <c r="S195" i="18"/>
  <c r="U194" i="18"/>
  <c r="T194" i="18"/>
  <c r="S194" i="18"/>
  <c r="U188" i="18"/>
  <c r="T188" i="18"/>
  <c r="S188" i="18"/>
  <c r="U180" i="18"/>
  <c r="T180" i="18"/>
  <c r="S180" i="18"/>
  <c r="U176" i="18"/>
  <c r="T176" i="18"/>
  <c r="S176" i="18"/>
  <c r="U174" i="18"/>
  <c r="T174" i="18"/>
  <c r="S174" i="18"/>
  <c r="U173" i="18"/>
  <c r="T173" i="18"/>
  <c r="S173" i="18"/>
  <c r="U171" i="18"/>
  <c r="T171" i="18"/>
  <c r="S171" i="18"/>
  <c r="U170" i="18"/>
  <c r="T170" i="18"/>
  <c r="S170" i="18"/>
  <c r="U168" i="18"/>
  <c r="T168" i="18"/>
  <c r="S168" i="18"/>
  <c r="U167" i="18"/>
  <c r="T167" i="18"/>
  <c r="S167" i="18"/>
  <c r="U165" i="18"/>
  <c r="T165" i="18"/>
  <c r="S165" i="18"/>
  <c r="U164" i="18"/>
  <c r="T164" i="18"/>
  <c r="S164" i="18"/>
  <c r="U161" i="18"/>
  <c r="T161" i="18"/>
  <c r="S161" i="18"/>
  <c r="U159" i="18"/>
  <c r="T159" i="18"/>
  <c r="S159" i="18"/>
  <c r="U158" i="18"/>
  <c r="T158" i="18"/>
  <c r="S158" i="18"/>
  <c r="U156" i="18"/>
  <c r="T156" i="18"/>
  <c r="S156" i="18"/>
  <c r="U155" i="18"/>
  <c r="T155" i="18"/>
  <c r="S155" i="18"/>
  <c r="U153" i="18"/>
  <c r="T153" i="18"/>
  <c r="S153" i="18"/>
  <c r="U152" i="18"/>
  <c r="T152" i="18"/>
  <c r="S152" i="18"/>
  <c r="U150" i="18"/>
  <c r="T150" i="18"/>
  <c r="S150" i="18"/>
  <c r="U149" i="18"/>
  <c r="T149" i="18"/>
  <c r="S149" i="18"/>
  <c r="R116" i="18"/>
  <c r="M116" i="18"/>
  <c r="L116" i="18"/>
  <c r="K116" i="18"/>
  <c r="R115" i="18"/>
  <c r="M115" i="18"/>
  <c r="L115" i="18"/>
  <c r="K115" i="18"/>
  <c r="R114" i="18"/>
  <c r="M114" i="18"/>
  <c r="L114" i="18"/>
  <c r="K114" i="18"/>
  <c r="R113" i="18"/>
  <c r="M113" i="18"/>
  <c r="L113" i="18"/>
  <c r="K113" i="18"/>
  <c r="R112" i="18"/>
  <c r="M112" i="18"/>
  <c r="L112" i="18"/>
  <c r="K112" i="18"/>
  <c r="R111" i="18"/>
  <c r="M111" i="18"/>
  <c r="L111" i="18"/>
  <c r="K111" i="18"/>
  <c r="R110" i="18"/>
  <c r="M110" i="18"/>
  <c r="L110" i="18"/>
  <c r="K110" i="18"/>
  <c r="R109" i="18"/>
  <c r="M109" i="18"/>
  <c r="L109" i="18"/>
  <c r="K109" i="18"/>
  <c r="M108" i="18"/>
  <c r="L108" i="18"/>
  <c r="K108" i="18"/>
  <c r="E108" i="18"/>
  <c r="R107" i="18"/>
  <c r="M107" i="18"/>
  <c r="L107" i="18"/>
  <c r="K107" i="18"/>
  <c r="R106" i="18"/>
  <c r="M106" i="18"/>
  <c r="L106" i="18"/>
  <c r="K106" i="18"/>
  <c r="R105" i="18"/>
  <c r="M105" i="18"/>
  <c r="L105" i="18"/>
  <c r="K105" i="18"/>
  <c r="R104" i="18"/>
  <c r="M104" i="18"/>
  <c r="L104" i="18"/>
  <c r="K104" i="18"/>
  <c r="R103" i="18"/>
  <c r="M103" i="18"/>
  <c r="L103" i="18"/>
  <c r="K103" i="18"/>
  <c r="R102" i="18"/>
  <c r="M102" i="18"/>
  <c r="L102" i="18"/>
  <c r="K102" i="18"/>
  <c r="E102" i="18"/>
  <c r="U193" i="18" s="1"/>
  <c r="R101" i="18"/>
  <c r="M101" i="18"/>
  <c r="L101" i="18"/>
  <c r="K101" i="18"/>
  <c r="R100" i="18"/>
  <c r="M100" i="18"/>
  <c r="L100" i="18"/>
  <c r="K100" i="18"/>
  <c r="R99" i="18"/>
  <c r="M99" i="18"/>
  <c r="L99" i="18"/>
  <c r="K99" i="18"/>
  <c r="R98" i="18"/>
  <c r="M98" i="18"/>
  <c r="L98" i="18"/>
  <c r="K98" i="18"/>
  <c r="R97" i="18"/>
  <c r="M97" i="18"/>
  <c r="L97" i="18"/>
  <c r="K97" i="18"/>
  <c r="E97" i="18"/>
  <c r="U191" i="18" s="1"/>
  <c r="R96" i="18"/>
  <c r="M96" i="18"/>
  <c r="L96" i="18"/>
  <c r="K96" i="18"/>
  <c r="R95" i="18"/>
  <c r="M95" i="18"/>
  <c r="L95" i="18"/>
  <c r="K95" i="18"/>
  <c r="E95" i="18"/>
  <c r="T190" i="18" s="1"/>
  <c r="R94" i="18"/>
  <c r="M94" i="18"/>
  <c r="L94" i="18"/>
  <c r="K94" i="18"/>
  <c r="R93" i="18"/>
  <c r="M93" i="18"/>
  <c r="L93" i="18"/>
  <c r="K93" i="18"/>
  <c r="E93" i="18"/>
  <c r="U189" i="18" s="1"/>
  <c r="R92" i="18"/>
  <c r="M92" i="18"/>
  <c r="L92" i="18"/>
  <c r="K92" i="18"/>
  <c r="R91" i="18"/>
  <c r="M91" i="18"/>
  <c r="L91" i="18"/>
  <c r="K91" i="18"/>
  <c r="R90" i="18"/>
  <c r="M90" i="18"/>
  <c r="L90" i="18"/>
  <c r="K90" i="18"/>
  <c r="R89" i="18"/>
  <c r="M89" i="18"/>
  <c r="L89" i="18"/>
  <c r="K89" i="18"/>
  <c r="E89" i="18"/>
  <c r="R88" i="18"/>
  <c r="M88" i="18"/>
  <c r="L88" i="18"/>
  <c r="K88" i="18"/>
  <c r="R87" i="18"/>
  <c r="M87" i="18"/>
  <c r="L87" i="18"/>
  <c r="K87" i="18"/>
  <c r="E87" i="18"/>
  <c r="R86" i="18"/>
  <c r="M86" i="18"/>
  <c r="L86" i="18"/>
  <c r="K86" i="18"/>
  <c r="R85" i="18"/>
  <c r="M85" i="18"/>
  <c r="L85" i="18"/>
  <c r="K85" i="18"/>
  <c r="E85" i="18"/>
  <c r="T185" i="18" s="1"/>
  <c r="R84" i="18"/>
  <c r="M84" i="18"/>
  <c r="L84" i="18"/>
  <c r="K84" i="18"/>
  <c r="R83" i="18"/>
  <c r="M83" i="18"/>
  <c r="L83" i="18"/>
  <c r="K83" i="18"/>
  <c r="R81" i="18"/>
  <c r="M81" i="18"/>
  <c r="L81" i="18"/>
  <c r="K81" i="18"/>
  <c r="R80" i="18"/>
  <c r="M80" i="18"/>
  <c r="L80" i="18"/>
  <c r="K80" i="18"/>
  <c r="E80" i="18"/>
  <c r="U183" i="18" s="1"/>
  <c r="R79" i="18"/>
  <c r="M79" i="18"/>
  <c r="L79" i="18"/>
  <c r="K79" i="18"/>
  <c r="R78" i="18"/>
  <c r="M78" i="18"/>
  <c r="L78" i="18"/>
  <c r="K78" i="18"/>
  <c r="E78" i="18"/>
  <c r="T182" i="18" s="1"/>
  <c r="R77" i="18"/>
  <c r="M77" i="18"/>
  <c r="L77" i="18"/>
  <c r="K77" i="18"/>
  <c r="R76" i="18"/>
  <c r="M76" i="18"/>
  <c r="L76" i="18"/>
  <c r="K76" i="18"/>
  <c r="E76" i="18"/>
  <c r="S181" i="18" s="1"/>
  <c r="R75" i="18"/>
  <c r="M75" i="18"/>
  <c r="L75" i="18"/>
  <c r="K75" i="18"/>
  <c r="R74" i="18"/>
  <c r="M74" i="18"/>
  <c r="L74" i="18"/>
  <c r="K74" i="18"/>
  <c r="R73" i="18"/>
  <c r="M73" i="18"/>
  <c r="L73" i="18"/>
  <c r="K73" i="18"/>
  <c r="R72" i="18"/>
  <c r="M72" i="18"/>
  <c r="L72" i="18"/>
  <c r="K72" i="18"/>
  <c r="E72" i="18"/>
  <c r="R71" i="18"/>
  <c r="M71" i="18"/>
  <c r="L71" i="18"/>
  <c r="K71" i="18"/>
  <c r="R70" i="18"/>
  <c r="M70" i="18"/>
  <c r="L70" i="18"/>
  <c r="K70" i="18"/>
  <c r="E70" i="18"/>
  <c r="R69" i="18"/>
  <c r="M69" i="18"/>
  <c r="L69" i="18"/>
  <c r="K69" i="18"/>
  <c r="R68" i="18"/>
  <c r="M68" i="18"/>
  <c r="L68" i="18"/>
  <c r="K68" i="18"/>
  <c r="E68" i="18"/>
  <c r="R67" i="18"/>
  <c r="M67" i="18"/>
  <c r="L67" i="18"/>
  <c r="K67" i="18"/>
  <c r="R66" i="18"/>
  <c r="M66" i="18"/>
  <c r="L66" i="18"/>
  <c r="K66" i="18"/>
  <c r="R65" i="18"/>
  <c r="M65" i="18"/>
  <c r="L65" i="18"/>
  <c r="K65" i="18"/>
  <c r="R64" i="18"/>
  <c r="M64" i="18"/>
  <c r="L64" i="18"/>
  <c r="K64" i="18"/>
  <c r="E64" i="18"/>
  <c r="U175" i="18" s="1"/>
  <c r="R63" i="18"/>
  <c r="M63" i="18"/>
  <c r="L63" i="18"/>
  <c r="K63" i="18"/>
  <c r="R62" i="18"/>
  <c r="M62" i="18"/>
  <c r="L62" i="18"/>
  <c r="K62" i="18"/>
  <c r="R61" i="18"/>
  <c r="M61" i="18"/>
  <c r="L61" i="18"/>
  <c r="K61" i="18"/>
  <c r="R60" i="18"/>
  <c r="M60" i="18"/>
  <c r="L60" i="18"/>
  <c r="K60" i="18"/>
  <c r="R59" i="18"/>
  <c r="M59" i="18"/>
  <c r="L59" i="18"/>
  <c r="K59" i="18"/>
  <c r="R58" i="18"/>
  <c r="M58" i="18"/>
  <c r="L58" i="18"/>
  <c r="K58" i="18"/>
  <c r="E58" i="18"/>
  <c r="R57" i="18"/>
  <c r="M57" i="18"/>
  <c r="L57" i="18"/>
  <c r="K57" i="18"/>
  <c r="R56" i="18"/>
  <c r="M56" i="18"/>
  <c r="L56" i="18"/>
  <c r="K56" i="18"/>
  <c r="R55" i="18"/>
  <c r="M55" i="18"/>
  <c r="L55" i="18"/>
  <c r="K55" i="18"/>
  <c r="R54" i="18"/>
  <c r="M54" i="18"/>
  <c r="L54" i="18"/>
  <c r="K54" i="18"/>
  <c r="R53" i="18"/>
  <c r="M53" i="18"/>
  <c r="L53" i="18"/>
  <c r="K53" i="18"/>
  <c r="R52" i="18"/>
  <c r="M52" i="18"/>
  <c r="L52" i="18"/>
  <c r="K52" i="18"/>
  <c r="E52" i="18"/>
  <c r="R51" i="18"/>
  <c r="M51" i="18"/>
  <c r="L51" i="18"/>
  <c r="K51" i="18"/>
  <c r="R50" i="18"/>
  <c r="M50" i="18"/>
  <c r="L50" i="18"/>
  <c r="K50" i="18"/>
  <c r="R49" i="18"/>
  <c r="M49" i="18"/>
  <c r="L49" i="18"/>
  <c r="K49" i="18"/>
  <c r="R48" i="18"/>
  <c r="M48" i="18"/>
  <c r="L48" i="18"/>
  <c r="K48" i="18"/>
  <c r="R47" i="18"/>
  <c r="M47" i="18"/>
  <c r="L47" i="18"/>
  <c r="K47" i="18"/>
  <c r="R46" i="18"/>
  <c r="M46" i="18"/>
  <c r="L46" i="18"/>
  <c r="K46" i="18"/>
  <c r="E46" i="18"/>
  <c r="S166" i="18" s="1"/>
  <c r="R45" i="18"/>
  <c r="M45" i="18"/>
  <c r="L45" i="18"/>
  <c r="K45" i="18"/>
  <c r="R44" i="18"/>
  <c r="M44" i="18"/>
  <c r="L44" i="18"/>
  <c r="K44" i="18"/>
  <c r="R43" i="18"/>
  <c r="M43" i="18"/>
  <c r="L43" i="18"/>
  <c r="K43" i="18"/>
  <c r="R42" i="18"/>
  <c r="M42" i="18"/>
  <c r="L42" i="18"/>
  <c r="K42" i="18"/>
  <c r="R41" i="18"/>
  <c r="M41" i="18"/>
  <c r="L41" i="18"/>
  <c r="K41" i="18"/>
  <c r="R40" i="18"/>
  <c r="M40" i="18"/>
  <c r="L40" i="18"/>
  <c r="K40" i="18"/>
  <c r="E40" i="18"/>
  <c r="S163" i="18" s="1"/>
  <c r="R39" i="18"/>
  <c r="M39" i="18"/>
  <c r="L39" i="18"/>
  <c r="K39" i="18"/>
  <c r="R38" i="18"/>
  <c r="M38" i="18"/>
  <c r="L38" i="18"/>
  <c r="K38" i="18"/>
  <c r="E38" i="18"/>
  <c r="R37" i="18"/>
  <c r="M37" i="18"/>
  <c r="L37" i="18"/>
  <c r="K37" i="18"/>
  <c r="R36" i="18"/>
  <c r="M36" i="18"/>
  <c r="L36" i="18"/>
  <c r="K36" i="18"/>
  <c r="R35" i="18"/>
  <c r="M35" i="18"/>
  <c r="L35" i="18"/>
  <c r="K35" i="18"/>
  <c r="R34" i="18"/>
  <c r="M34" i="18"/>
  <c r="L34" i="18"/>
  <c r="K34" i="18"/>
  <c r="E34" i="18"/>
  <c r="S160" i="18" s="1"/>
  <c r="R33" i="18"/>
  <c r="M33" i="18"/>
  <c r="L33" i="18"/>
  <c r="K33" i="18"/>
  <c r="R32" i="18"/>
  <c r="M32" i="18"/>
  <c r="L32" i="18"/>
  <c r="K32" i="18"/>
  <c r="R31" i="18"/>
  <c r="M31" i="18"/>
  <c r="L31" i="18"/>
  <c r="K31" i="18"/>
  <c r="R30" i="18"/>
  <c r="M30" i="18"/>
  <c r="L30" i="18"/>
  <c r="K30" i="18"/>
  <c r="R29" i="18"/>
  <c r="M29" i="18"/>
  <c r="L29" i="18"/>
  <c r="K29" i="18"/>
  <c r="R28" i="18"/>
  <c r="M28" i="18"/>
  <c r="L28" i="18"/>
  <c r="K28" i="18"/>
  <c r="R27" i="18"/>
  <c r="M27" i="18"/>
  <c r="L27" i="18"/>
  <c r="K27" i="18"/>
  <c r="E27" i="18"/>
  <c r="R26" i="18"/>
  <c r="M26" i="18"/>
  <c r="L26" i="18"/>
  <c r="K26" i="18"/>
  <c r="R25" i="18"/>
  <c r="M25" i="18"/>
  <c r="L25" i="18"/>
  <c r="K25" i="18"/>
  <c r="R24" i="18"/>
  <c r="L156" i="18" s="1"/>
  <c r="M24" i="18"/>
  <c r="L24" i="18"/>
  <c r="K24" i="18"/>
  <c r="R23" i="18"/>
  <c r="M23" i="18"/>
  <c r="L23" i="18"/>
  <c r="K23" i="18"/>
  <c r="R22" i="18"/>
  <c r="M22" i="18"/>
  <c r="L22" i="18"/>
  <c r="K22" i="18"/>
  <c r="R21" i="18"/>
  <c r="M21" i="18"/>
  <c r="L21" i="18"/>
  <c r="K21" i="18"/>
  <c r="E21" i="18"/>
  <c r="T154" i="18" s="1"/>
  <c r="R20" i="18"/>
  <c r="M20" i="18"/>
  <c r="L20" i="18"/>
  <c r="K20" i="18"/>
  <c r="R19" i="18"/>
  <c r="M19" i="18"/>
  <c r="L19" i="18"/>
  <c r="K19" i="18"/>
  <c r="R18" i="18"/>
  <c r="M18" i="18"/>
  <c r="L18" i="18"/>
  <c r="K18" i="18"/>
  <c r="R17" i="18"/>
  <c r="M17" i="18"/>
  <c r="L17" i="18"/>
  <c r="K17" i="18"/>
  <c r="R16" i="18"/>
  <c r="M16" i="18"/>
  <c r="L16" i="18"/>
  <c r="K16" i="18"/>
  <c r="R15" i="18"/>
  <c r="M15" i="18"/>
  <c r="L15" i="18"/>
  <c r="K15" i="18"/>
  <c r="E15" i="18"/>
  <c r="T151" i="18" s="1"/>
  <c r="R14" i="18"/>
  <c r="M14" i="18"/>
  <c r="L14" i="18"/>
  <c r="K14" i="18"/>
  <c r="R13" i="18"/>
  <c r="M13" i="18"/>
  <c r="L13" i="18"/>
  <c r="K13" i="18"/>
  <c r="R12" i="18"/>
  <c r="M12" i="18"/>
  <c r="L12" i="18"/>
  <c r="K12" i="18"/>
  <c r="R11" i="18"/>
  <c r="M11" i="18"/>
  <c r="L11" i="18"/>
  <c r="K11" i="18"/>
  <c r="R10" i="18"/>
  <c r="M10" i="18"/>
  <c r="L10" i="18"/>
  <c r="K10" i="18"/>
  <c r="R9" i="18"/>
  <c r="M9" i="18"/>
  <c r="L9" i="18"/>
  <c r="K9" i="18"/>
  <c r="E9" i="18"/>
  <c r="R8" i="18"/>
  <c r="M8" i="18"/>
  <c r="L8" i="18"/>
  <c r="K8" i="18"/>
  <c r="U206" i="19"/>
  <c r="T206" i="19"/>
  <c r="U205" i="19"/>
  <c r="T205" i="19"/>
  <c r="S205" i="19"/>
  <c r="U203" i="19"/>
  <c r="T203" i="19"/>
  <c r="S203" i="19"/>
  <c r="U202" i="19"/>
  <c r="T202" i="19"/>
  <c r="S202" i="19"/>
  <c r="U198" i="19"/>
  <c r="T198" i="19"/>
  <c r="S198" i="19"/>
  <c r="U194" i="19"/>
  <c r="T194" i="19"/>
  <c r="S194" i="19"/>
  <c r="U190" i="19"/>
  <c r="T190" i="19"/>
  <c r="S190" i="19"/>
  <c r="U186" i="19"/>
  <c r="T186" i="19"/>
  <c r="S186" i="19"/>
  <c r="U182" i="19"/>
  <c r="T182" i="19"/>
  <c r="S182" i="19"/>
  <c r="U181" i="19"/>
  <c r="T181" i="19"/>
  <c r="S181" i="19"/>
  <c r="U179" i="19"/>
  <c r="U178" i="19"/>
  <c r="U177" i="19"/>
  <c r="T177" i="19"/>
  <c r="U174" i="19"/>
  <c r="T174" i="19"/>
  <c r="U173" i="19"/>
  <c r="T173" i="19"/>
  <c r="S173" i="19"/>
  <c r="U172" i="19"/>
  <c r="T172" i="19"/>
  <c r="U164" i="19"/>
  <c r="U163" i="19"/>
  <c r="S163" i="19"/>
  <c r="U162" i="19"/>
  <c r="U158" i="19"/>
  <c r="U156" i="19"/>
  <c r="U155" i="19"/>
  <c r="U154" i="19"/>
  <c r="R118" i="19"/>
  <c r="M118" i="19"/>
  <c r="L118" i="19"/>
  <c r="K118" i="19"/>
  <c r="R117" i="19"/>
  <c r="M117" i="19"/>
  <c r="L117" i="19"/>
  <c r="K117" i="19"/>
  <c r="R116" i="19"/>
  <c r="M116" i="19"/>
  <c r="L116" i="19"/>
  <c r="K116" i="19"/>
  <c r="R115" i="19"/>
  <c r="M115" i="19"/>
  <c r="L115" i="19"/>
  <c r="K115" i="19"/>
  <c r="R114" i="19"/>
  <c r="M114" i="19"/>
  <c r="L114" i="19"/>
  <c r="K114" i="19"/>
  <c r="R113" i="19"/>
  <c r="M113" i="19"/>
  <c r="L113" i="19"/>
  <c r="K113" i="19"/>
  <c r="E113" i="19"/>
  <c r="U204" i="19" s="1"/>
  <c r="R112" i="19"/>
  <c r="M112" i="19"/>
  <c r="L112" i="19"/>
  <c r="K112" i="19"/>
  <c r="R111" i="19"/>
  <c r="M111" i="19"/>
  <c r="L111" i="19"/>
  <c r="K111" i="19"/>
  <c r="R110" i="19"/>
  <c r="M110" i="19"/>
  <c r="L110" i="19"/>
  <c r="K110" i="19"/>
  <c r="R109" i="19"/>
  <c r="M109" i="19"/>
  <c r="L109" i="19"/>
  <c r="K109" i="19"/>
  <c r="R108" i="19"/>
  <c r="M108" i="19"/>
  <c r="L108" i="19"/>
  <c r="K108" i="19"/>
  <c r="R107" i="19"/>
  <c r="M107" i="19"/>
  <c r="L107" i="19"/>
  <c r="K107" i="19"/>
  <c r="E107" i="19"/>
  <c r="T201" i="19" s="1"/>
  <c r="R106" i="19"/>
  <c r="M106" i="19"/>
  <c r="L106" i="19"/>
  <c r="K106" i="19"/>
  <c r="R105" i="19"/>
  <c r="M105" i="19"/>
  <c r="L105" i="19"/>
  <c r="K105" i="19"/>
  <c r="E105" i="19"/>
  <c r="R104" i="19"/>
  <c r="M104" i="19"/>
  <c r="L104" i="19"/>
  <c r="K104" i="19"/>
  <c r="R103" i="19"/>
  <c r="M103" i="19"/>
  <c r="L103" i="19"/>
  <c r="K103" i="19"/>
  <c r="E103" i="19"/>
  <c r="R102" i="19"/>
  <c r="M102" i="19"/>
  <c r="L102" i="19"/>
  <c r="K102" i="19"/>
  <c r="R101" i="19"/>
  <c r="M101" i="19"/>
  <c r="L101" i="19"/>
  <c r="K101" i="19"/>
  <c r="R100" i="19"/>
  <c r="M100" i="19"/>
  <c r="L100" i="19"/>
  <c r="K100" i="19"/>
  <c r="R99" i="19"/>
  <c r="M99" i="19"/>
  <c r="L99" i="19"/>
  <c r="K99" i="19"/>
  <c r="E99" i="19"/>
  <c r="R98" i="19"/>
  <c r="M98" i="19"/>
  <c r="L98" i="19"/>
  <c r="K98" i="19"/>
  <c r="R96" i="19"/>
  <c r="M96" i="19"/>
  <c r="L96" i="19"/>
  <c r="K96" i="19"/>
  <c r="R95" i="19"/>
  <c r="M95" i="19"/>
  <c r="L95" i="19"/>
  <c r="K95" i="19"/>
  <c r="R94" i="19"/>
  <c r="M94" i="19"/>
  <c r="L94" i="19"/>
  <c r="K94" i="19"/>
  <c r="R93" i="19"/>
  <c r="M93" i="19"/>
  <c r="L93" i="19"/>
  <c r="K93" i="19"/>
  <c r="R92" i="19"/>
  <c r="M92" i="19"/>
  <c r="L92" i="19"/>
  <c r="K92" i="19"/>
  <c r="E92" i="19"/>
  <c r="R91" i="19"/>
  <c r="M91" i="19"/>
  <c r="L91" i="19"/>
  <c r="K91" i="19"/>
  <c r="R90" i="19"/>
  <c r="M90" i="19"/>
  <c r="L90" i="19"/>
  <c r="K90" i="19"/>
  <c r="R89" i="19"/>
  <c r="M89" i="19"/>
  <c r="L89" i="19"/>
  <c r="K89" i="19"/>
  <c r="R88" i="19"/>
  <c r="M88" i="19"/>
  <c r="L88" i="19"/>
  <c r="K88" i="19"/>
  <c r="E88" i="19"/>
  <c r="T193" i="19" s="1"/>
  <c r="R87" i="19"/>
  <c r="M87" i="19"/>
  <c r="L87" i="19"/>
  <c r="K87" i="19"/>
  <c r="R86" i="19"/>
  <c r="M86" i="19"/>
  <c r="L86" i="19"/>
  <c r="K86" i="19"/>
  <c r="E86" i="19"/>
  <c r="S192" i="19" s="1"/>
  <c r="R85" i="19"/>
  <c r="M85" i="19"/>
  <c r="L85" i="19"/>
  <c r="K85" i="19"/>
  <c r="R84" i="19"/>
  <c r="M84" i="19"/>
  <c r="L84" i="19"/>
  <c r="K84" i="19"/>
  <c r="E84" i="19"/>
  <c r="T191" i="19" s="1"/>
  <c r="R83" i="19"/>
  <c r="M83" i="19"/>
  <c r="L83" i="19"/>
  <c r="K83" i="19"/>
  <c r="R82" i="19"/>
  <c r="M82" i="19"/>
  <c r="L82" i="19"/>
  <c r="K82" i="19"/>
  <c r="R81" i="19"/>
  <c r="M81" i="19"/>
  <c r="L81" i="19"/>
  <c r="K81" i="19"/>
  <c r="R80" i="19"/>
  <c r="M80" i="19"/>
  <c r="L80" i="19"/>
  <c r="K80" i="19"/>
  <c r="E80" i="19"/>
  <c r="R79" i="19"/>
  <c r="M79" i="19"/>
  <c r="L79" i="19"/>
  <c r="K79" i="19"/>
  <c r="R78" i="19"/>
  <c r="M78" i="19"/>
  <c r="L78" i="19"/>
  <c r="K78" i="19"/>
  <c r="E78" i="19"/>
  <c r="U188" i="19" s="1"/>
  <c r="R77" i="19"/>
  <c r="M77" i="19"/>
  <c r="L77" i="19"/>
  <c r="K77" i="19"/>
  <c r="R76" i="19"/>
  <c r="M76" i="19"/>
  <c r="L76" i="19"/>
  <c r="K76" i="19"/>
  <c r="E76" i="19"/>
  <c r="R75" i="19"/>
  <c r="M75" i="19"/>
  <c r="L75" i="19"/>
  <c r="K75" i="19"/>
  <c r="R74" i="19"/>
  <c r="M74" i="19"/>
  <c r="L74" i="19"/>
  <c r="K74" i="19"/>
  <c r="R73" i="19"/>
  <c r="M73" i="19"/>
  <c r="L73" i="19"/>
  <c r="K73" i="19"/>
  <c r="R72" i="19"/>
  <c r="M72" i="19"/>
  <c r="L72" i="19"/>
  <c r="K72" i="19"/>
  <c r="E72" i="19"/>
  <c r="T185" i="19" s="1"/>
  <c r="R71" i="19"/>
  <c r="M71" i="19"/>
  <c r="L71" i="19"/>
  <c r="K71" i="19"/>
  <c r="R70" i="19"/>
  <c r="M70" i="19"/>
  <c r="L70" i="19"/>
  <c r="K70" i="19"/>
  <c r="E70" i="19"/>
  <c r="T184" i="19" s="1"/>
  <c r="R69" i="19"/>
  <c r="M69" i="19"/>
  <c r="L69" i="19"/>
  <c r="K69" i="19"/>
  <c r="R68" i="19"/>
  <c r="M68" i="19"/>
  <c r="L68" i="19"/>
  <c r="K68" i="19"/>
  <c r="E68" i="19"/>
  <c r="S183" i="19" s="1"/>
  <c r="R67" i="19"/>
  <c r="M67" i="19"/>
  <c r="L67" i="19"/>
  <c r="K67" i="19"/>
  <c r="R66" i="19"/>
  <c r="M66" i="19"/>
  <c r="L66" i="19"/>
  <c r="K66" i="19"/>
  <c r="R65" i="19"/>
  <c r="M65" i="19"/>
  <c r="L65" i="19"/>
  <c r="K65" i="19"/>
  <c r="R64" i="19"/>
  <c r="M64" i="19"/>
  <c r="L64" i="19"/>
  <c r="K64" i="19"/>
  <c r="R63" i="19"/>
  <c r="M63" i="19"/>
  <c r="L63" i="19"/>
  <c r="K63" i="19"/>
  <c r="R62" i="19"/>
  <c r="M62" i="19"/>
  <c r="L62" i="19"/>
  <c r="K62" i="19"/>
  <c r="E62" i="19"/>
  <c r="T180" i="19" s="1"/>
  <c r="R61" i="19"/>
  <c r="M61" i="19"/>
  <c r="L61" i="19"/>
  <c r="K61" i="19"/>
  <c r="T179" i="19"/>
  <c r="R60" i="19"/>
  <c r="M60" i="19"/>
  <c r="L60" i="19"/>
  <c r="K60" i="19"/>
  <c r="M59" i="19"/>
  <c r="L59" i="19"/>
  <c r="K59" i="19"/>
  <c r="R58" i="19"/>
  <c r="M58" i="19"/>
  <c r="L58" i="19"/>
  <c r="K58" i="19"/>
  <c r="R57" i="19"/>
  <c r="M57" i="19"/>
  <c r="L57" i="19"/>
  <c r="K57" i="19"/>
  <c r="S177" i="19"/>
  <c r="R56" i="19"/>
  <c r="M56" i="19"/>
  <c r="L56" i="19"/>
  <c r="K56" i="19"/>
  <c r="R55" i="19"/>
  <c r="M55" i="19"/>
  <c r="L55" i="19"/>
  <c r="K55" i="19"/>
  <c r="R54" i="19"/>
  <c r="M54" i="19"/>
  <c r="L54" i="19"/>
  <c r="K54" i="19"/>
  <c r="E54" i="19"/>
  <c r="U176" i="19" s="1"/>
  <c r="R53" i="19"/>
  <c r="M53" i="19"/>
  <c r="L53" i="19"/>
  <c r="K53" i="19"/>
  <c r="R52" i="19"/>
  <c r="M52" i="19"/>
  <c r="L52" i="19"/>
  <c r="K52" i="19"/>
  <c r="M51" i="19"/>
  <c r="L51" i="19"/>
  <c r="K51" i="19"/>
  <c r="E51" i="19"/>
  <c r="S175" i="19" s="1"/>
  <c r="M50" i="19"/>
  <c r="L50" i="19"/>
  <c r="K50" i="19"/>
  <c r="R49" i="19"/>
  <c r="M49" i="19"/>
  <c r="L49" i="19"/>
  <c r="K49" i="19"/>
  <c r="R48" i="19"/>
  <c r="S174" i="19"/>
  <c r="M48" i="19"/>
  <c r="L48" i="19"/>
  <c r="K48" i="19"/>
  <c r="R47" i="19"/>
  <c r="M47" i="19"/>
  <c r="L47" i="19"/>
  <c r="K47" i="19"/>
  <c r="M46" i="19"/>
  <c r="L46" i="19"/>
  <c r="K46" i="19"/>
  <c r="R45" i="19"/>
  <c r="M45" i="19"/>
  <c r="L45" i="19"/>
  <c r="K45" i="19"/>
  <c r="R44" i="19"/>
  <c r="S172" i="19"/>
  <c r="M44" i="19"/>
  <c r="L44" i="19"/>
  <c r="K44" i="19"/>
  <c r="R43" i="19"/>
  <c r="M43" i="19"/>
  <c r="L43" i="19"/>
  <c r="K43" i="19"/>
  <c r="E43" i="19"/>
  <c r="T171" i="19" s="1"/>
  <c r="M42" i="19"/>
  <c r="L42" i="19"/>
  <c r="K42" i="19"/>
  <c r="M41" i="19"/>
  <c r="L41" i="19"/>
  <c r="K41" i="19"/>
  <c r="M40" i="19"/>
  <c r="L40" i="19"/>
  <c r="K40" i="19"/>
  <c r="R39" i="19"/>
  <c r="M39" i="19"/>
  <c r="L39" i="19"/>
  <c r="K39" i="19"/>
  <c r="M38" i="19"/>
  <c r="L38" i="19"/>
  <c r="K38" i="19"/>
  <c r="M37" i="19"/>
  <c r="L37" i="19"/>
  <c r="K37" i="19"/>
  <c r="M36" i="19"/>
  <c r="L36" i="19"/>
  <c r="K36" i="19"/>
  <c r="R35" i="19"/>
  <c r="M35" i="19"/>
  <c r="L35" i="19"/>
  <c r="K35" i="19"/>
  <c r="E35" i="19"/>
  <c r="R34" i="19"/>
  <c r="M34" i="19"/>
  <c r="L34" i="19"/>
  <c r="K34" i="19"/>
  <c r="R33" i="19"/>
  <c r="M33" i="19"/>
  <c r="L33" i="19"/>
  <c r="K33" i="19"/>
  <c r="E33" i="19"/>
  <c r="M32" i="19"/>
  <c r="L32" i="19"/>
  <c r="K32" i="19"/>
  <c r="R31" i="19"/>
  <c r="M31" i="19"/>
  <c r="L31" i="19"/>
  <c r="K31" i="19"/>
  <c r="U165" i="19"/>
  <c r="R30" i="19"/>
  <c r="M30" i="19"/>
  <c r="L30" i="19"/>
  <c r="K30" i="19"/>
  <c r="R29" i="19"/>
  <c r="M29" i="19"/>
  <c r="L29" i="19"/>
  <c r="K29" i="19"/>
  <c r="R28" i="19"/>
  <c r="S164" i="19"/>
  <c r="M28" i="19"/>
  <c r="L28" i="19"/>
  <c r="K28" i="19"/>
  <c r="R27" i="19"/>
  <c r="M27" i="19"/>
  <c r="L27" i="19"/>
  <c r="K27" i="19"/>
  <c r="R26" i="19"/>
  <c r="T163" i="19"/>
  <c r="M26" i="19"/>
  <c r="L26" i="19"/>
  <c r="K26" i="19"/>
  <c r="R25" i="19"/>
  <c r="M25" i="19"/>
  <c r="L25" i="19"/>
  <c r="K25" i="19"/>
  <c r="T162" i="19"/>
  <c r="M24" i="19"/>
  <c r="L24" i="19"/>
  <c r="K24" i="19"/>
  <c r="M23" i="19"/>
  <c r="L23" i="19"/>
  <c r="K23" i="19"/>
  <c r="E23" i="19"/>
  <c r="M22" i="19"/>
  <c r="L22" i="19"/>
  <c r="K22" i="19"/>
  <c r="R21" i="19"/>
  <c r="M21" i="19"/>
  <c r="L21" i="19"/>
  <c r="K21" i="19"/>
  <c r="E21" i="19"/>
  <c r="T160" i="19" s="1"/>
  <c r="R20" i="19"/>
  <c r="M20" i="19"/>
  <c r="L20" i="19"/>
  <c r="K20" i="19"/>
  <c r="R19" i="19"/>
  <c r="M19" i="19"/>
  <c r="L19" i="19"/>
  <c r="K19" i="19"/>
  <c r="E19" i="19"/>
  <c r="U159" i="19" s="1"/>
  <c r="R18" i="19"/>
  <c r="M18" i="19"/>
  <c r="L18" i="19"/>
  <c r="K18" i="19"/>
  <c r="R17" i="19"/>
  <c r="M17" i="19"/>
  <c r="L17" i="19"/>
  <c r="K17" i="19"/>
  <c r="M16" i="19"/>
  <c r="L16" i="19"/>
  <c r="K16" i="19"/>
  <c r="M15" i="19"/>
  <c r="L15" i="19"/>
  <c r="K15" i="19"/>
  <c r="E15" i="19"/>
  <c r="R14" i="19"/>
  <c r="M14" i="19"/>
  <c r="L14" i="19"/>
  <c r="K14" i="19"/>
  <c r="R13" i="19"/>
  <c r="M13" i="19"/>
  <c r="L13" i="19"/>
  <c r="K13" i="19"/>
  <c r="R12" i="19"/>
  <c r="S156" i="19"/>
  <c r="M12" i="19"/>
  <c r="L12" i="19"/>
  <c r="K12" i="19"/>
  <c r="R11" i="19"/>
  <c r="M11" i="19"/>
  <c r="L11" i="19"/>
  <c r="K11" i="19"/>
  <c r="R10" i="19"/>
  <c r="M10" i="19"/>
  <c r="L10" i="19"/>
  <c r="K10" i="19"/>
  <c r="R9" i="19"/>
  <c r="M9" i="19"/>
  <c r="L9" i="19"/>
  <c r="K9" i="19"/>
  <c r="M8" i="19"/>
  <c r="L8" i="19"/>
  <c r="K8" i="19"/>
  <c r="U195" i="21"/>
  <c r="T195" i="21"/>
  <c r="S195" i="21"/>
  <c r="U194" i="21"/>
  <c r="T194" i="21"/>
  <c r="S194" i="21"/>
  <c r="U193" i="21"/>
  <c r="T193" i="21"/>
  <c r="S193" i="21"/>
  <c r="U191" i="21"/>
  <c r="T191" i="21"/>
  <c r="S191" i="21"/>
  <c r="U190" i="21"/>
  <c r="T190" i="21"/>
  <c r="S190" i="21"/>
  <c r="U183" i="21"/>
  <c r="T183" i="21"/>
  <c r="S183" i="21"/>
  <c r="U179" i="21"/>
  <c r="T179" i="21"/>
  <c r="S179" i="21"/>
  <c r="U175" i="21"/>
  <c r="T175" i="21"/>
  <c r="S175" i="21"/>
  <c r="U171" i="21"/>
  <c r="T171" i="21"/>
  <c r="S171" i="21"/>
  <c r="U170" i="21"/>
  <c r="T170" i="21"/>
  <c r="S170" i="21"/>
  <c r="U169" i="21"/>
  <c r="T169" i="21"/>
  <c r="S169" i="21"/>
  <c r="U168" i="21"/>
  <c r="T168" i="21"/>
  <c r="S168" i="21"/>
  <c r="U166" i="21"/>
  <c r="T166" i="21"/>
  <c r="S166" i="21"/>
  <c r="U165" i="21"/>
  <c r="T165" i="21"/>
  <c r="S165" i="21"/>
  <c r="U164" i="21"/>
  <c r="T164" i="21"/>
  <c r="S164" i="21"/>
  <c r="U163" i="21"/>
  <c r="T163" i="21"/>
  <c r="S163" i="21"/>
  <c r="U161" i="21"/>
  <c r="T161" i="21"/>
  <c r="S161" i="21"/>
  <c r="U160" i="21"/>
  <c r="T160" i="21"/>
  <c r="S160" i="21"/>
  <c r="U159" i="21"/>
  <c r="T159" i="21"/>
  <c r="S159" i="21"/>
  <c r="U158" i="21"/>
  <c r="T158" i="21"/>
  <c r="S158" i="21"/>
  <c r="U156" i="21"/>
  <c r="T156" i="21"/>
  <c r="S156" i="21"/>
  <c r="U155" i="21"/>
  <c r="T155" i="21"/>
  <c r="S155" i="21"/>
  <c r="U154" i="21"/>
  <c r="T154" i="21"/>
  <c r="S154" i="21"/>
  <c r="U153" i="21"/>
  <c r="T153" i="21"/>
  <c r="S153" i="21"/>
  <c r="U151" i="21"/>
  <c r="T151" i="21"/>
  <c r="S151" i="21"/>
  <c r="U149" i="21"/>
  <c r="T149" i="21"/>
  <c r="S149" i="21"/>
  <c r="U148" i="21"/>
  <c r="T148" i="21"/>
  <c r="S148" i="21"/>
  <c r="U146" i="21"/>
  <c r="T146" i="21"/>
  <c r="S146" i="21"/>
  <c r="U145" i="21"/>
  <c r="T145" i="21"/>
  <c r="S145" i="21"/>
  <c r="U144" i="21"/>
  <c r="T144" i="21"/>
  <c r="S144" i="21"/>
  <c r="U143" i="21"/>
  <c r="T143" i="21"/>
  <c r="S143" i="21"/>
  <c r="R113" i="21"/>
  <c r="M113" i="21"/>
  <c r="L113" i="21"/>
  <c r="K113" i="21"/>
  <c r="R112" i="21"/>
  <c r="M112" i="21"/>
  <c r="L112" i="21"/>
  <c r="K112" i="21"/>
  <c r="R111" i="21"/>
  <c r="M111" i="21"/>
  <c r="L111" i="21"/>
  <c r="K111" i="21"/>
  <c r="R110" i="21"/>
  <c r="M110" i="21"/>
  <c r="L110" i="21"/>
  <c r="K110" i="21"/>
  <c r="R109" i="21"/>
  <c r="M109" i="21"/>
  <c r="L109" i="21"/>
  <c r="K109" i="21"/>
  <c r="R108" i="21"/>
  <c r="M108" i="21"/>
  <c r="L108" i="21"/>
  <c r="K108" i="21"/>
  <c r="R107" i="21"/>
  <c r="M107" i="21"/>
  <c r="L107" i="21"/>
  <c r="K107" i="21"/>
  <c r="E107" i="21"/>
  <c r="U192" i="21" s="1"/>
  <c r="R106" i="21"/>
  <c r="M106" i="21"/>
  <c r="L106" i="21"/>
  <c r="K106" i="21"/>
  <c r="R105" i="21"/>
  <c r="M105" i="21"/>
  <c r="L105" i="21"/>
  <c r="K105" i="21"/>
  <c r="R104" i="21"/>
  <c r="M104" i="21"/>
  <c r="L104" i="21"/>
  <c r="K104" i="21"/>
  <c r="R103" i="21"/>
  <c r="M103" i="21"/>
  <c r="L103" i="21"/>
  <c r="K103" i="21"/>
  <c r="R102" i="21"/>
  <c r="M102" i="21"/>
  <c r="L102" i="21"/>
  <c r="K102" i="21"/>
  <c r="R101" i="21"/>
  <c r="M101" i="21"/>
  <c r="L101" i="21"/>
  <c r="K101" i="21"/>
  <c r="E101" i="21"/>
  <c r="R100" i="21"/>
  <c r="M100" i="21"/>
  <c r="L100" i="21"/>
  <c r="K100" i="21"/>
  <c r="R99" i="21"/>
  <c r="M99" i="21"/>
  <c r="L99" i="21"/>
  <c r="K99" i="21"/>
  <c r="E99" i="21"/>
  <c r="T188" i="21" s="1"/>
  <c r="R98" i="21"/>
  <c r="M98" i="21"/>
  <c r="L98" i="21"/>
  <c r="K98" i="21"/>
  <c r="R97" i="21"/>
  <c r="M97" i="21"/>
  <c r="L97" i="21"/>
  <c r="K97" i="21"/>
  <c r="E97" i="21"/>
  <c r="R96" i="21"/>
  <c r="M96" i="21"/>
  <c r="L96" i="21"/>
  <c r="K96" i="21"/>
  <c r="R95" i="21"/>
  <c r="M95" i="21"/>
  <c r="L95" i="21"/>
  <c r="K95" i="21"/>
  <c r="E95" i="21"/>
  <c r="U186" i="21" s="1"/>
  <c r="R94" i="21"/>
  <c r="M94" i="21"/>
  <c r="L94" i="21"/>
  <c r="K94" i="21"/>
  <c r="R93" i="21"/>
  <c r="M93" i="21"/>
  <c r="L93" i="21"/>
  <c r="K93" i="21"/>
  <c r="E93" i="21"/>
  <c r="T185" i="21" s="1"/>
  <c r="R92" i="21"/>
  <c r="M92" i="21"/>
  <c r="L92" i="21"/>
  <c r="K92" i="21"/>
  <c r="R91" i="21"/>
  <c r="M91" i="21"/>
  <c r="L91" i="21"/>
  <c r="K91" i="21"/>
  <c r="E91" i="21"/>
  <c r="S184" i="21" s="1"/>
  <c r="R90" i="21"/>
  <c r="M90" i="21"/>
  <c r="L90" i="21"/>
  <c r="K90" i="21"/>
  <c r="R89" i="21"/>
  <c r="M89" i="21"/>
  <c r="L89" i="21"/>
  <c r="K89" i="21"/>
  <c r="R88" i="21"/>
  <c r="M88" i="21"/>
  <c r="L88" i="21"/>
  <c r="K88" i="21"/>
  <c r="R87" i="21"/>
  <c r="M87" i="21"/>
  <c r="L87" i="21"/>
  <c r="K87" i="21"/>
  <c r="E87" i="21"/>
  <c r="R86" i="21"/>
  <c r="M86" i="21"/>
  <c r="L86" i="21"/>
  <c r="K86" i="21"/>
  <c r="R85" i="21"/>
  <c r="M85" i="21"/>
  <c r="L85" i="21"/>
  <c r="K85" i="21"/>
  <c r="E85" i="21"/>
  <c r="S181" i="21" s="1"/>
  <c r="R84" i="21"/>
  <c r="M84" i="21"/>
  <c r="L84" i="21"/>
  <c r="K84" i="21"/>
  <c r="R83" i="21"/>
  <c r="M83" i="21"/>
  <c r="L83" i="21"/>
  <c r="K83" i="21"/>
  <c r="E83" i="21"/>
  <c r="U180" i="21" s="1"/>
  <c r="R82" i="21"/>
  <c r="M82" i="21"/>
  <c r="L82" i="21"/>
  <c r="K82" i="21"/>
  <c r="R81" i="21"/>
  <c r="M81" i="21"/>
  <c r="L81" i="21"/>
  <c r="K81" i="21"/>
  <c r="R80" i="21"/>
  <c r="M80" i="21"/>
  <c r="L80" i="21"/>
  <c r="K80" i="21"/>
  <c r="R79" i="21"/>
  <c r="M79" i="21"/>
  <c r="L79" i="21"/>
  <c r="K79" i="21"/>
  <c r="E79" i="21"/>
  <c r="R78" i="21"/>
  <c r="M78" i="21"/>
  <c r="L78" i="21"/>
  <c r="K78" i="21"/>
  <c r="R77" i="21"/>
  <c r="M77" i="21"/>
  <c r="L77" i="21"/>
  <c r="K77" i="21"/>
  <c r="E77" i="21"/>
  <c r="T177" i="21" s="1"/>
  <c r="R76" i="21"/>
  <c r="M76" i="21"/>
  <c r="L76" i="21"/>
  <c r="K76" i="21"/>
  <c r="R75" i="21"/>
  <c r="M75" i="21"/>
  <c r="L75" i="21"/>
  <c r="K75" i="21"/>
  <c r="E75" i="21"/>
  <c r="R74" i="21"/>
  <c r="M74" i="21"/>
  <c r="L74" i="21"/>
  <c r="K74" i="21"/>
  <c r="R73" i="21"/>
  <c r="M73" i="21"/>
  <c r="L73" i="21"/>
  <c r="K73" i="21"/>
  <c r="R72" i="21"/>
  <c r="M72" i="21"/>
  <c r="L72" i="21"/>
  <c r="K72" i="21"/>
  <c r="R71" i="21"/>
  <c r="M71" i="21"/>
  <c r="L71" i="21"/>
  <c r="K71" i="21"/>
  <c r="E71" i="21"/>
  <c r="R70" i="21"/>
  <c r="M70" i="21"/>
  <c r="L70" i="21"/>
  <c r="K70" i="21"/>
  <c r="R69" i="21"/>
  <c r="M69" i="21"/>
  <c r="L69" i="21"/>
  <c r="K69" i="21"/>
  <c r="E69" i="21"/>
  <c r="S173" i="21" s="1"/>
  <c r="R68" i="21"/>
  <c r="M68" i="21"/>
  <c r="L68" i="21"/>
  <c r="K68" i="21"/>
  <c r="R67" i="21"/>
  <c r="M67" i="21"/>
  <c r="L67" i="21"/>
  <c r="K67" i="21"/>
  <c r="E67" i="21"/>
  <c r="U172" i="21" s="1"/>
  <c r="R66" i="21"/>
  <c r="M66" i="21"/>
  <c r="L66" i="21"/>
  <c r="K66" i="21"/>
  <c r="R65" i="21"/>
  <c r="M65" i="21"/>
  <c r="L65" i="21"/>
  <c r="K65" i="21"/>
  <c r="R64" i="21"/>
  <c r="M64" i="21"/>
  <c r="L64" i="21"/>
  <c r="K64" i="21"/>
  <c r="R63" i="21"/>
  <c r="M63" i="21"/>
  <c r="L63" i="21"/>
  <c r="K63" i="21"/>
  <c r="R62" i="21"/>
  <c r="M62" i="21"/>
  <c r="L62" i="21"/>
  <c r="K62" i="21"/>
  <c r="R61" i="21"/>
  <c r="M61" i="21"/>
  <c r="L61" i="21"/>
  <c r="K61" i="21"/>
  <c r="R60" i="21"/>
  <c r="M60" i="21"/>
  <c r="L60" i="21"/>
  <c r="K60" i="21"/>
  <c r="R59" i="21"/>
  <c r="M59" i="21"/>
  <c r="L59" i="21"/>
  <c r="K59" i="21"/>
  <c r="R58" i="21"/>
  <c r="M58" i="21"/>
  <c r="L58" i="21"/>
  <c r="K58" i="21"/>
  <c r="R57" i="21"/>
  <c r="M57" i="21"/>
  <c r="L57" i="21"/>
  <c r="K57" i="21"/>
  <c r="E57" i="21"/>
  <c r="S167" i="21" s="1"/>
  <c r="R56" i="21"/>
  <c r="M56" i="21"/>
  <c r="L56" i="21"/>
  <c r="K56" i="21"/>
  <c r="R55" i="21"/>
  <c r="M55" i="21"/>
  <c r="L55" i="21"/>
  <c r="K55" i="21"/>
  <c r="R54" i="21"/>
  <c r="M54" i="21"/>
  <c r="L54" i="21"/>
  <c r="K54" i="21"/>
  <c r="R53" i="21"/>
  <c r="M53" i="21"/>
  <c r="L53" i="21"/>
  <c r="K53" i="21"/>
  <c r="R52" i="21"/>
  <c r="M52" i="21"/>
  <c r="L52" i="21"/>
  <c r="K52" i="21"/>
  <c r="R51" i="21"/>
  <c r="M51" i="21"/>
  <c r="L51" i="21"/>
  <c r="K51" i="21"/>
  <c r="R50" i="21"/>
  <c r="M50" i="21"/>
  <c r="L50" i="21"/>
  <c r="K50" i="21"/>
  <c r="R49" i="21"/>
  <c r="M49" i="21"/>
  <c r="L49" i="21"/>
  <c r="K49" i="21"/>
  <c r="R48" i="21"/>
  <c r="M48" i="21"/>
  <c r="L48" i="21"/>
  <c r="K48" i="21"/>
  <c r="R47" i="21"/>
  <c r="M47" i="21"/>
  <c r="L47" i="21"/>
  <c r="K47" i="21"/>
  <c r="E47" i="21"/>
  <c r="R46" i="21"/>
  <c r="M46" i="21"/>
  <c r="L46" i="21"/>
  <c r="K46" i="21"/>
  <c r="R45" i="21"/>
  <c r="M45" i="21"/>
  <c r="L45" i="21"/>
  <c r="K45" i="21"/>
  <c r="R44" i="21"/>
  <c r="M44" i="21"/>
  <c r="L44" i="21"/>
  <c r="K44" i="21"/>
  <c r="R43" i="21"/>
  <c r="M43" i="21"/>
  <c r="L43" i="21"/>
  <c r="K43" i="21"/>
  <c r="R42" i="21"/>
  <c r="M42" i="21"/>
  <c r="L42" i="21"/>
  <c r="K42" i="21"/>
  <c r="R41" i="21"/>
  <c r="M41" i="21"/>
  <c r="L41" i="21"/>
  <c r="K41" i="21"/>
  <c r="R40" i="21"/>
  <c r="M40" i="21"/>
  <c r="L40" i="21"/>
  <c r="K40" i="21"/>
  <c r="R39" i="21"/>
  <c r="M39" i="21"/>
  <c r="L39" i="21"/>
  <c r="K39" i="21"/>
  <c r="R38" i="21"/>
  <c r="M38" i="21"/>
  <c r="L38" i="21"/>
  <c r="K38" i="21"/>
  <c r="R37" i="21"/>
  <c r="M37" i="21"/>
  <c r="L37" i="21"/>
  <c r="K37" i="21"/>
  <c r="E37" i="21"/>
  <c r="S157" i="21" s="1"/>
  <c r="R36" i="21"/>
  <c r="M36" i="21"/>
  <c r="L36" i="21"/>
  <c r="K36" i="21"/>
  <c r="R35" i="21"/>
  <c r="M35" i="21"/>
  <c r="L35" i="21"/>
  <c r="K35" i="21"/>
  <c r="R34" i="21"/>
  <c r="M34" i="21"/>
  <c r="L34" i="21"/>
  <c r="K34" i="21"/>
  <c r="R33" i="21"/>
  <c r="M33" i="21"/>
  <c r="L33" i="21"/>
  <c r="K33" i="21"/>
  <c r="R32" i="21"/>
  <c r="M32" i="21"/>
  <c r="L32" i="21"/>
  <c r="K32" i="21"/>
  <c r="R31" i="21"/>
  <c r="M31" i="21"/>
  <c r="L31" i="21"/>
  <c r="K31" i="21"/>
  <c r="R30" i="21"/>
  <c r="M30" i="21"/>
  <c r="L30" i="21"/>
  <c r="K30" i="21"/>
  <c r="R29" i="21"/>
  <c r="M29" i="21"/>
  <c r="L29" i="21"/>
  <c r="K29" i="21"/>
  <c r="R28" i="21"/>
  <c r="M28" i="21"/>
  <c r="L28" i="21"/>
  <c r="K28" i="21"/>
  <c r="R27" i="21"/>
  <c r="M27" i="21"/>
  <c r="L27" i="21"/>
  <c r="K27" i="21"/>
  <c r="E27" i="21"/>
  <c r="U152" i="21" s="1"/>
  <c r="R26" i="21"/>
  <c r="M26" i="21"/>
  <c r="L26" i="21"/>
  <c r="K26" i="21"/>
  <c r="R25" i="21"/>
  <c r="M25" i="21"/>
  <c r="L25" i="21"/>
  <c r="K25" i="21"/>
  <c r="R24" i="21"/>
  <c r="M24" i="21"/>
  <c r="L24" i="21"/>
  <c r="K24" i="21"/>
  <c r="R23" i="21"/>
  <c r="M23" i="21"/>
  <c r="L23" i="21"/>
  <c r="K23" i="21"/>
  <c r="E23" i="21"/>
  <c r="R22" i="21"/>
  <c r="M22" i="21"/>
  <c r="L22" i="21"/>
  <c r="K22" i="21"/>
  <c r="R21" i="21"/>
  <c r="M21" i="21"/>
  <c r="L21" i="21"/>
  <c r="K21" i="21"/>
  <c r="R20" i="21"/>
  <c r="M20" i="21"/>
  <c r="L20" i="21"/>
  <c r="K20" i="21"/>
  <c r="R19" i="21"/>
  <c r="M19" i="21"/>
  <c r="L19" i="21"/>
  <c r="K19" i="21"/>
  <c r="R18" i="21"/>
  <c r="M18" i="21"/>
  <c r="L18" i="21"/>
  <c r="K18" i="21"/>
  <c r="R17" i="21"/>
  <c r="M17" i="21"/>
  <c r="L17" i="21"/>
  <c r="K17" i="21"/>
  <c r="E17" i="21"/>
  <c r="R16" i="21"/>
  <c r="M16" i="21"/>
  <c r="L16" i="21"/>
  <c r="K16" i="21"/>
  <c r="R15" i="21"/>
  <c r="M15" i="21"/>
  <c r="L15" i="21"/>
  <c r="K15" i="21"/>
  <c r="R14" i="21"/>
  <c r="M14" i="21"/>
  <c r="L14" i="21"/>
  <c r="K14" i="21"/>
  <c r="R13" i="21"/>
  <c r="M13" i="21"/>
  <c r="L13" i="21"/>
  <c r="K13" i="21"/>
  <c r="R12" i="21"/>
  <c r="M12" i="21"/>
  <c r="L12" i="21"/>
  <c r="K12" i="21"/>
  <c r="R11" i="21"/>
  <c r="M11" i="21"/>
  <c r="L11" i="21"/>
  <c r="K11" i="21"/>
  <c r="R10" i="21"/>
  <c r="M10" i="21"/>
  <c r="L10" i="21"/>
  <c r="K10" i="21"/>
  <c r="R9" i="21"/>
  <c r="M9" i="21"/>
  <c r="L9" i="21"/>
  <c r="K9" i="21"/>
  <c r="R8" i="21"/>
  <c r="M8" i="21"/>
  <c r="L8" i="21"/>
  <c r="K8" i="21"/>
  <c r="U188" i="9"/>
  <c r="T188" i="9"/>
  <c r="S188" i="9"/>
  <c r="U185" i="9"/>
  <c r="T185" i="9"/>
  <c r="U181" i="9"/>
  <c r="T181" i="9"/>
  <c r="S181" i="9"/>
  <c r="U177" i="9"/>
  <c r="T177" i="9"/>
  <c r="S177" i="9"/>
  <c r="U175" i="9"/>
  <c r="T175" i="9"/>
  <c r="S175" i="9"/>
  <c r="U173" i="9"/>
  <c r="T173" i="9"/>
  <c r="S173" i="9"/>
  <c r="U171" i="9"/>
  <c r="T171" i="9"/>
  <c r="S171" i="9"/>
  <c r="U169" i="9"/>
  <c r="T169" i="9"/>
  <c r="S169" i="9"/>
  <c r="U168" i="9"/>
  <c r="T168" i="9"/>
  <c r="S168" i="9"/>
  <c r="U166" i="9"/>
  <c r="T166" i="9"/>
  <c r="S166" i="9"/>
  <c r="U165" i="9"/>
  <c r="T165" i="9"/>
  <c r="S165" i="9"/>
  <c r="U162" i="9"/>
  <c r="T162" i="9"/>
  <c r="S162" i="9"/>
  <c r="U161" i="9"/>
  <c r="T161" i="9"/>
  <c r="S161" i="9"/>
  <c r="R129" i="9"/>
  <c r="M129" i="9"/>
  <c r="L129" i="9"/>
  <c r="K129" i="9"/>
  <c r="R128" i="9"/>
  <c r="M128" i="9"/>
  <c r="L128" i="9"/>
  <c r="K128" i="9"/>
  <c r="R127" i="9"/>
  <c r="M127" i="9"/>
  <c r="L127" i="9"/>
  <c r="K127" i="9"/>
  <c r="R126" i="9"/>
  <c r="M126" i="9"/>
  <c r="L126" i="9"/>
  <c r="K126" i="9"/>
  <c r="R125" i="9"/>
  <c r="M125" i="9"/>
  <c r="L125" i="9"/>
  <c r="K125" i="9"/>
  <c r="R124" i="9"/>
  <c r="M124" i="9"/>
  <c r="L124" i="9"/>
  <c r="K124" i="9"/>
  <c r="R123" i="9"/>
  <c r="M123" i="9"/>
  <c r="L123" i="9"/>
  <c r="K123" i="9"/>
  <c r="R122" i="9"/>
  <c r="M122" i="9"/>
  <c r="L122" i="9"/>
  <c r="K122" i="9"/>
  <c r="E122" i="9"/>
  <c r="R121" i="9"/>
  <c r="M121" i="9"/>
  <c r="L121" i="9"/>
  <c r="K121" i="9"/>
  <c r="R120" i="9"/>
  <c r="M120" i="9"/>
  <c r="L120" i="9"/>
  <c r="K120" i="9"/>
  <c r="E120" i="9"/>
  <c r="R119" i="9"/>
  <c r="M119" i="9"/>
  <c r="L119" i="9"/>
  <c r="K119" i="9"/>
  <c r="R118" i="9"/>
  <c r="M118" i="9"/>
  <c r="L118" i="9"/>
  <c r="K118" i="9"/>
  <c r="R117" i="9"/>
  <c r="M117" i="9"/>
  <c r="L117" i="9"/>
  <c r="K117" i="9"/>
  <c r="R116" i="9"/>
  <c r="M116" i="9"/>
  <c r="L116" i="9"/>
  <c r="K116" i="9"/>
  <c r="R115" i="9"/>
  <c r="M115" i="9"/>
  <c r="L115" i="9"/>
  <c r="K115" i="9"/>
  <c r="R114" i="9"/>
  <c r="M114" i="9"/>
  <c r="L114" i="9"/>
  <c r="K114" i="9"/>
  <c r="E114" i="9"/>
  <c r="T208" i="9" s="1"/>
  <c r="R113" i="9"/>
  <c r="M113" i="9"/>
  <c r="L113" i="9"/>
  <c r="K113" i="9"/>
  <c r="R112" i="9"/>
  <c r="M112" i="9"/>
  <c r="L112" i="9"/>
  <c r="K112" i="9"/>
  <c r="R111" i="9"/>
  <c r="M111" i="9"/>
  <c r="L111" i="9"/>
  <c r="K111" i="9"/>
  <c r="E111" i="9"/>
  <c r="S207" i="9" s="1"/>
  <c r="R110" i="9"/>
  <c r="M110" i="9"/>
  <c r="L110" i="9"/>
  <c r="K110" i="9"/>
  <c r="R109" i="9"/>
  <c r="M109" i="9"/>
  <c r="L109" i="9"/>
  <c r="K109" i="9"/>
  <c r="R108" i="9"/>
  <c r="M108" i="9"/>
  <c r="L108" i="9"/>
  <c r="K108" i="9"/>
  <c r="E108" i="9"/>
  <c r="S206" i="9" s="1"/>
  <c r="R107" i="9"/>
  <c r="M107" i="9"/>
  <c r="L107" i="9"/>
  <c r="K107" i="9"/>
  <c r="R106" i="9"/>
  <c r="M106" i="9"/>
  <c r="L106" i="9"/>
  <c r="K106" i="9"/>
  <c r="E106" i="9"/>
  <c r="R105" i="9"/>
  <c r="M105" i="9"/>
  <c r="L105" i="9"/>
  <c r="K105" i="9"/>
  <c r="R104" i="9"/>
  <c r="M104" i="9"/>
  <c r="L104" i="9"/>
  <c r="K104" i="9"/>
  <c r="E104" i="9"/>
  <c r="R103" i="9"/>
  <c r="M103" i="9"/>
  <c r="L103" i="9"/>
  <c r="K103" i="9"/>
  <c r="O102" i="9"/>
  <c r="R102" i="9" s="1"/>
  <c r="M102" i="9"/>
  <c r="L102" i="9"/>
  <c r="K102" i="9"/>
  <c r="E102" i="9"/>
  <c r="T203" i="9" s="1"/>
  <c r="R101" i="9"/>
  <c r="M101" i="9"/>
  <c r="L101" i="9"/>
  <c r="K101" i="9"/>
  <c r="R100" i="9"/>
  <c r="M100" i="9"/>
  <c r="L100" i="9"/>
  <c r="K100" i="9"/>
  <c r="E100" i="9"/>
  <c r="S202" i="9" s="1"/>
  <c r="R99" i="9"/>
  <c r="M99" i="9"/>
  <c r="L99" i="9"/>
  <c r="K99" i="9"/>
  <c r="R98" i="9"/>
  <c r="M98" i="9"/>
  <c r="L98" i="9"/>
  <c r="K98" i="9"/>
  <c r="E98" i="9"/>
  <c r="T201" i="9" s="1"/>
  <c r="R97" i="9"/>
  <c r="M97" i="9"/>
  <c r="L97" i="9"/>
  <c r="K97" i="9"/>
  <c r="R96" i="9"/>
  <c r="M96" i="9"/>
  <c r="L96" i="9"/>
  <c r="K96" i="9"/>
  <c r="M94" i="9"/>
  <c r="L94" i="9"/>
  <c r="K94" i="9"/>
  <c r="M93" i="9"/>
  <c r="L93" i="9"/>
  <c r="K93" i="9"/>
  <c r="E93" i="9"/>
  <c r="U199" i="9" s="1"/>
  <c r="M92" i="9"/>
  <c r="L92" i="9"/>
  <c r="K92" i="9"/>
  <c r="R91" i="9"/>
  <c r="M91" i="9"/>
  <c r="L91" i="9"/>
  <c r="K91" i="9"/>
  <c r="R90" i="9"/>
  <c r="M90" i="9"/>
  <c r="L90" i="9"/>
  <c r="K90" i="9"/>
  <c r="E90" i="9"/>
  <c r="S198" i="9" s="1"/>
  <c r="R89" i="9"/>
  <c r="M89" i="9"/>
  <c r="L89" i="9"/>
  <c r="K89" i="9"/>
  <c r="R88" i="9"/>
  <c r="M88" i="9"/>
  <c r="L88" i="9"/>
  <c r="K88" i="9"/>
  <c r="E88" i="9"/>
  <c r="U197" i="9" s="1"/>
  <c r="R87" i="9"/>
  <c r="M87" i="9"/>
  <c r="L87" i="9"/>
  <c r="K87" i="9"/>
  <c r="R86" i="9"/>
  <c r="M86" i="9"/>
  <c r="L86" i="9"/>
  <c r="K86" i="9"/>
  <c r="E86" i="9"/>
  <c r="R85" i="9"/>
  <c r="M85" i="9"/>
  <c r="L85" i="9"/>
  <c r="K85" i="9"/>
  <c r="R84" i="9"/>
  <c r="M84" i="9"/>
  <c r="L84" i="9"/>
  <c r="K84" i="9"/>
  <c r="R83" i="9"/>
  <c r="M83" i="9"/>
  <c r="L83" i="9"/>
  <c r="K83" i="9"/>
  <c r="E83" i="9"/>
  <c r="T195" i="9" s="1"/>
  <c r="R82" i="9"/>
  <c r="M82" i="9"/>
  <c r="L82" i="9"/>
  <c r="K82" i="9"/>
  <c r="R81" i="9"/>
  <c r="M81" i="9"/>
  <c r="L81" i="9"/>
  <c r="K81" i="9"/>
  <c r="E81" i="9"/>
  <c r="S194" i="9" s="1"/>
  <c r="R80" i="9"/>
  <c r="M80" i="9"/>
  <c r="L80" i="9"/>
  <c r="K80" i="9"/>
  <c r="Q79" i="9"/>
  <c r="R79" i="9" s="1"/>
  <c r="M79" i="9"/>
  <c r="L79" i="9"/>
  <c r="K79" i="9"/>
  <c r="Q78" i="9"/>
  <c r="R78" i="9" s="1"/>
  <c r="M78" i="9"/>
  <c r="L78" i="9"/>
  <c r="K78" i="9"/>
  <c r="E78" i="9"/>
  <c r="T193" i="9" s="1"/>
  <c r="R77" i="9"/>
  <c r="M77" i="9"/>
  <c r="L77" i="9"/>
  <c r="K77" i="9"/>
  <c r="R76" i="9"/>
  <c r="M76" i="9"/>
  <c r="L76" i="9"/>
  <c r="K76" i="9"/>
  <c r="E76" i="9"/>
  <c r="T192" i="9" s="1"/>
  <c r="R75" i="9"/>
  <c r="M75" i="9"/>
  <c r="L75" i="9"/>
  <c r="K75" i="9"/>
  <c r="R74" i="9"/>
  <c r="M74" i="9"/>
  <c r="L74" i="9"/>
  <c r="K74" i="9"/>
  <c r="E74" i="9"/>
  <c r="U191" i="9" s="1"/>
  <c r="R73" i="9"/>
  <c r="M73" i="9"/>
  <c r="L73" i="9"/>
  <c r="K73" i="9"/>
  <c r="R72" i="9"/>
  <c r="M72" i="9"/>
  <c r="L72" i="9"/>
  <c r="K72" i="9"/>
  <c r="E72" i="9"/>
  <c r="U190" i="9" s="1"/>
  <c r="R71" i="9"/>
  <c r="M71" i="9"/>
  <c r="L71" i="9"/>
  <c r="K71" i="9"/>
  <c r="R70" i="9"/>
  <c r="M70" i="9"/>
  <c r="L70" i="9"/>
  <c r="K70" i="9"/>
  <c r="E70" i="9"/>
  <c r="T189" i="9" s="1"/>
  <c r="R69" i="9"/>
  <c r="M69" i="9"/>
  <c r="L69" i="9"/>
  <c r="K69" i="9"/>
  <c r="R68" i="9"/>
  <c r="M68" i="9"/>
  <c r="L68" i="9"/>
  <c r="K68" i="9"/>
  <c r="R67" i="9"/>
  <c r="M67" i="9"/>
  <c r="L67" i="9"/>
  <c r="K67" i="9"/>
  <c r="R66" i="9"/>
  <c r="M66" i="9"/>
  <c r="L66" i="9"/>
  <c r="K66" i="9"/>
  <c r="R65" i="9"/>
  <c r="M65" i="9"/>
  <c r="L65" i="9"/>
  <c r="K65" i="9"/>
  <c r="E65" i="9"/>
  <c r="T187" i="9" s="1"/>
  <c r="R64" i="9"/>
  <c r="M64" i="9"/>
  <c r="L64" i="9"/>
  <c r="K64" i="9"/>
  <c r="R63" i="9"/>
  <c r="M63" i="9"/>
  <c r="L63" i="9"/>
  <c r="K63" i="9"/>
  <c r="E63" i="9"/>
  <c r="U186" i="9" s="1"/>
  <c r="O62" i="9"/>
  <c r="M62" i="9"/>
  <c r="L62" i="9"/>
  <c r="K62" i="9"/>
  <c r="O61" i="9"/>
  <c r="R61" i="9" s="1"/>
  <c r="M61" i="9"/>
  <c r="L61" i="9"/>
  <c r="K61" i="9"/>
  <c r="O60" i="9"/>
  <c r="M60" i="9"/>
  <c r="L60" i="9"/>
  <c r="K60" i="9"/>
  <c r="O59" i="9"/>
  <c r="R59" i="9" s="1"/>
  <c r="M59" i="9"/>
  <c r="L59" i="9"/>
  <c r="K59" i="9"/>
  <c r="E59" i="9"/>
  <c r="O58" i="9"/>
  <c r="R58" i="9" s="1"/>
  <c r="M58" i="9"/>
  <c r="L58" i="9"/>
  <c r="K58" i="9"/>
  <c r="O57" i="9"/>
  <c r="R57" i="9" s="1"/>
  <c r="M57" i="9"/>
  <c r="L57" i="9"/>
  <c r="K57" i="9"/>
  <c r="E57" i="9"/>
  <c r="U183" i="9" s="1"/>
  <c r="R56" i="9"/>
  <c r="M56" i="9"/>
  <c r="L56" i="9"/>
  <c r="K56" i="9"/>
  <c r="R55" i="9"/>
  <c r="M55" i="9"/>
  <c r="L55" i="9"/>
  <c r="K55" i="9"/>
  <c r="E55" i="9"/>
  <c r="T182" i="9" s="1"/>
  <c r="R54" i="9"/>
  <c r="M54" i="9"/>
  <c r="L54" i="9"/>
  <c r="K54" i="9"/>
  <c r="R53" i="9"/>
  <c r="M53" i="9"/>
  <c r="L53" i="9"/>
  <c r="K53" i="9"/>
  <c r="R52" i="9"/>
  <c r="M52" i="9"/>
  <c r="L52" i="9"/>
  <c r="K52" i="9"/>
  <c r="R51" i="9"/>
  <c r="M51" i="9"/>
  <c r="L51" i="9"/>
  <c r="K51" i="9"/>
  <c r="E51" i="9"/>
  <c r="S180" i="9" s="1"/>
  <c r="R50" i="9"/>
  <c r="M50" i="9"/>
  <c r="L50" i="9"/>
  <c r="K50" i="9"/>
  <c r="R49" i="9"/>
  <c r="M49" i="9"/>
  <c r="L49" i="9"/>
  <c r="K49" i="9"/>
  <c r="E49" i="9"/>
  <c r="T179" i="9" s="1"/>
  <c r="R48" i="9"/>
  <c r="M48" i="9"/>
  <c r="L48" i="9"/>
  <c r="K48" i="9"/>
  <c r="R47" i="9"/>
  <c r="M47" i="9"/>
  <c r="L47" i="9"/>
  <c r="K47" i="9"/>
  <c r="E47" i="9"/>
  <c r="S178" i="9" s="1"/>
  <c r="R46" i="9"/>
  <c r="M46" i="9"/>
  <c r="L46" i="9"/>
  <c r="K46" i="9"/>
  <c r="R45" i="9"/>
  <c r="M45" i="9"/>
  <c r="L45" i="9"/>
  <c r="K45" i="9"/>
  <c r="R44" i="9"/>
  <c r="M44" i="9"/>
  <c r="L44" i="9"/>
  <c r="K44" i="9"/>
  <c r="R43" i="9"/>
  <c r="M43" i="9"/>
  <c r="L43" i="9"/>
  <c r="K43" i="9"/>
  <c r="E43" i="9"/>
  <c r="U176" i="9" s="1"/>
  <c r="R42" i="9"/>
  <c r="M42" i="9"/>
  <c r="L42" i="9"/>
  <c r="K42" i="9"/>
  <c r="R41" i="9"/>
  <c r="M41" i="9"/>
  <c r="L41" i="9"/>
  <c r="K41" i="9"/>
  <c r="R40" i="9"/>
  <c r="M40" i="9"/>
  <c r="L40" i="9"/>
  <c r="K40" i="9"/>
  <c r="R39" i="9"/>
  <c r="M39" i="9"/>
  <c r="L39" i="9"/>
  <c r="K39" i="9"/>
  <c r="E39" i="9"/>
  <c r="S174" i="9" s="1"/>
  <c r="R38" i="9"/>
  <c r="M38" i="9"/>
  <c r="L38" i="9"/>
  <c r="K38" i="9"/>
  <c r="R37" i="9"/>
  <c r="M37" i="9"/>
  <c r="L37" i="9"/>
  <c r="K37" i="9"/>
  <c r="R36" i="9"/>
  <c r="M36" i="9"/>
  <c r="L36" i="9"/>
  <c r="K36" i="9"/>
  <c r="R35" i="9"/>
  <c r="M35" i="9"/>
  <c r="L35" i="9"/>
  <c r="K35" i="9"/>
  <c r="E35" i="9"/>
  <c r="T172" i="9" s="1"/>
  <c r="R34" i="9"/>
  <c r="M34" i="9"/>
  <c r="L34" i="9"/>
  <c r="K34" i="9"/>
  <c r="R33" i="9"/>
  <c r="M33" i="9"/>
  <c r="L33" i="9"/>
  <c r="K33" i="9"/>
  <c r="R32" i="9"/>
  <c r="M32" i="9"/>
  <c r="L32" i="9"/>
  <c r="K32" i="9"/>
  <c r="R31" i="9"/>
  <c r="M31" i="9"/>
  <c r="L31" i="9"/>
  <c r="K31" i="9"/>
  <c r="R30" i="9"/>
  <c r="M30" i="9"/>
  <c r="L30" i="9"/>
  <c r="K30" i="9"/>
  <c r="E30" i="9"/>
  <c r="R29" i="9"/>
  <c r="M29" i="9"/>
  <c r="L29" i="9"/>
  <c r="K29" i="9"/>
  <c r="R28" i="9"/>
  <c r="M28" i="9"/>
  <c r="L28" i="9"/>
  <c r="K28" i="9"/>
  <c r="R27" i="9"/>
  <c r="M27" i="9"/>
  <c r="L27" i="9"/>
  <c r="K27" i="9"/>
  <c r="R26" i="9"/>
  <c r="M26" i="9"/>
  <c r="L26" i="9"/>
  <c r="K26" i="9"/>
  <c r="R25" i="9"/>
  <c r="M25" i="9"/>
  <c r="L25" i="9"/>
  <c r="K25" i="9"/>
  <c r="R24" i="9"/>
  <c r="M24" i="9"/>
  <c r="L24" i="9"/>
  <c r="K24" i="9"/>
  <c r="E24" i="9"/>
  <c r="S167" i="9" s="1"/>
  <c r="R23" i="9"/>
  <c r="M23" i="9"/>
  <c r="L23" i="9"/>
  <c r="K23" i="9"/>
  <c r="R22" i="9"/>
  <c r="M22" i="9"/>
  <c r="L22" i="9"/>
  <c r="K22" i="9"/>
  <c r="R21" i="9"/>
  <c r="M21" i="9"/>
  <c r="L21" i="9"/>
  <c r="K21" i="9"/>
  <c r="R20" i="9"/>
  <c r="M20" i="9"/>
  <c r="L20" i="9"/>
  <c r="K20" i="9"/>
  <c r="R19" i="9"/>
  <c r="M19" i="9"/>
  <c r="L19" i="9"/>
  <c r="K19" i="9"/>
  <c r="R18" i="9"/>
  <c r="M18" i="9"/>
  <c r="L18" i="9"/>
  <c r="K18" i="9"/>
  <c r="E18" i="9"/>
  <c r="R17" i="9"/>
  <c r="M17" i="9"/>
  <c r="L17" i="9"/>
  <c r="K17" i="9"/>
  <c r="R16" i="9"/>
  <c r="M16" i="9"/>
  <c r="L16" i="9"/>
  <c r="K16" i="9"/>
  <c r="E16" i="9"/>
  <c r="R15" i="9"/>
  <c r="M15" i="9"/>
  <c r="L15" i="9"/>
  <c r="K15" i="9"/>
  <c r="R14" i="9"/>
  <c r="M14" i="9"/>
  <c r="L14" i="9"/>
  <c r="K14" i="9"/>
  <c r="R13" i="9"/>
  <c r="M13" i="9"/>
  <c r="L13" i="9"/>
  <c r="K13" i="9"/>
  <c r="R12" i="9"/>
  <c r="M12" i="9"/>
  <c r="L12" i="9"/>
  <c r="K12" i="9"/>
  <c r="R11" i="9"/>
  <c r="M11" i="9"/>
  <c r="L11" i="9"/>
  <c r="K11" i="9"/>
  <c r="R10" i="9"/>
  <c r="M10" i="9"/>
  <c r="L10" i="9"/>
  <c r="K10" i="9"/>
  <c r="E10" i="9"/>
  <c r="T160" i="9" s="1"/>
  <c r="R9" i="9"/>
  <c r="M9" i="9"/>
  <c r="L9" i="9"/>
  <c r="K9" i="9"/>
  <c r="R8" i="9"/>
  <c r="M8" i="9"/>
  <c r="L8" i="9"/>
  <c r="K8" i="9"/>
  <c r="E119" i="10"/>
  <c r="U215" i="10" s="1"/>
  <c r="E109" i="10"/>
  <c r="U211" i="10" s="1"/>
  <c r="E101" i="10"/>
  <c r="T207" i="10" s="1"/>
  <c r="E93" i="10"/>
  <c r="T203" i="10" s="1"/>
  <c r="E85" i="10"/>
  <c r="U199" i="10" s="1"/>
  <c r="R130" i="10"/>
  <c r="M130" i="10"/>
  <c r="L130" i="10"/>
  <c r="K130" i="10"/>
  <c r="U219" i="10" s="1"/>
  <c r="R129" i="10"/>
  <c r="M129" i="10"/>
  <c r="L129" i="10"/>
  <c r="K129" i="10"/>
  <c r="R128" i="10"/>
  <c r="M128" i="10"/>
  <c r="L128" i="10"/>
  <c r="K128" i="10"/>
  <c r="S218" i="10" s="1"/>
  <c r="R127" i="10"/>
  <c r="M127" i="10"/>
  <c r="L127" i="10"/>
  <c r="K127" i="10"/>
  <c r="R126" i="10"/>
  <c r="M126" i="10"/>
  <c r="L126" i="10"/>
  <c r="K126" i="10"/>
  <c r="R125" i="10"/>
  <c r="M125" i="10"/>
  <c r="L125" i="10"/>
  <c r="K125" i="10"/>
  <c r="E125" i="10"/>
  <c r="U217" i="10" s="1"/>
  <c r="R124" i="10"/>
  <c r="M124" i="10"/>
  <c r="L124" i="10"/>
  <c r="K124" i="10"/>
  <c r="R123" i="10"/>
  <c r="M123" i="10"/>
  <c r="L123" i="10"/>
  <c r="K123" i="10"/>
  <c r="R122" i="10"/>
  <c r="M122" i="10"/>
  <c r="L122" i="10"/>
  <c r="K122" i="10"/>
  <c r="R121" i="10"/>
  <c r="M121" i="10"/>
  <c r="L121" i="10"/>
  <c r="K121" i="10"/>
  <c r="R120" i="10"/>
  <c r="M120" i="10"/>
  <c r="L120" i="10"/>
  <c r="K120" i="10"/>
  <c r="O119" i="10"/>
  <c r="R119" i="10" s="1"/>
  <c r="M119" i="10"/>
  <c r="L119" i="10"/>
  <c r="G119" i="10"/>
  <c r="K119" i="10" s="1"/>
  <c r="R118" i="10"/>
  <c r="M118" i="10"/>
  <c r="L118" i="10"/>
  <c r="K118" i="10"/>
  <c r="R117" i="10"/>
  <c r="M117" i="10"/>
  <c r="L117" i="10"/>
  <c r="K117" i="10"/>
  <c r="R116" i="10"/>
  <c r="M116" i="10"/>
  <c r="L116" i="10"/>
  <c r="K116" i="10"/>
  <c r="R115" i="10"/>
  <c r="M115" i="10"/>
  <c r="L115" i="10"/>
  <c r="K115" i="10"/>
  <c r="R113" i="10"/>
  <c r="M113" i="10"/>
  <c r="L113" i="10"/>
  <c r="K113" i="10"/>
  <c r="R111" i="10"/>
  <c r="M111" i="10"/>
  <c r="L111" i="10"/>
  <c r="K111" i="10"/>
  <c r="E111" i="10"/>
  <c r="T212" i="10" s="1"/>
  <c r="R110" i="10"/>
  <c r="M110" i="10"/>
  <c r="L110" i="10"/>
  <c r="K110" i="10"/>
  <c r="R109" i="10"/>
  <c r="M109" i="10"/>
  <c r="L109" i="10"/>
  <c r="K109" i="10"/>
  <c r="R108" i="10"/>
  <c r="M108" i="10"/>
  <c r="L108" i="10"/>
  <c r="K108" i="10"/>
  <c r="R107" i="10"/>
  <c r="M107" i="10"/>
  <c r="L107" i="10"/>
  <c r="K107" i="10"/>
  <c r="E107" i="10"/>
  <c r="R106" i="10"/>
  <c r="M106" i="10"/>
  <c r="L106" i="10"/>
  <c r="K106" i="10"/>
  <c r="R105" i="10"/>
  <c r="M105" i="10"/>
  <c r="L105" i="10"/>
  <c r="K105" i="10"/>
  <c r="E105" i="10"/>
  <c r="U209" i="10" s="1"/>
  <c r="R104" i="10"/>
  <c r="M104" i="10"/>
  <c r="L104" i="10"/>
  <c r="K104" i="10"/>
  <c r="R103" i="10"/>
  <c r="M103" i="10"/>
  <c r="L103" i="10"/>
  <c r="K103" i="10"/>
  <c r="E103" i="10"/>
  <c r="U208" i="10" s="1"/>
  <c r="R102" i="10"/>
  <c r="M102" i="10"/>
  <c r="L102" i="10"/>
  <c r="K102" i="10"/>
  <c r="R101" i="10"/>
  <c r="M101" i="10"/>
  <c r="L101" i="10"/>
  <c r="K101" i="10"/>
  <c r="R100" i="10"/>
  <c r="M100" i="10"/>
  <c r="L100" i="10"/>
  <c r="K100" i="10"/>
  <c r="R99" i="10"/>
  <c r="M99" i="10"/>
  <c r="L99" i="10"/>
  <c r="K99" i="10"/>
  <c r="E99" i="10"/>
  <c r="S206" i="10" s="1"/>
  <c r="R98" i="10"/>
  <c r="M98" i="10"/>
  <c r="L98" i="10"/>
  <c r="K98" i="10"/>
  <c r="R97" i="10"/>
  <c r="M97" i="10"/>
  <c r="L97" i="10"/>
  <c r="K97" i="10"/>
  <c r="E97" i="10"/>
  <c r="U205" i="10" s="1"/>
  <c r="R96" i="10"/>
  <c r="M96" i="10"/>
  <c r="L96" i="10"/>
  <c r="K96" i="10"/>
  <c r="R95" i="10"/>
  <c r="M95" i="10"/>
  <c r="L95" i="10"/>
  <c r="K95" i="10"/>
  <c r="E95" i="10"/>
  <c r="S204" i="10" s="1"/>
  <c r="R94" i="10"/>
  <c r="M94" i="10"/>
  <c r="L94" i="10"/>
  <c r="K94" i="10"/>
  <c r="R93" i="10"/>
  <c r="M93" i="10"/>
  <c r="L93" i="10"/>
  <c r="K93" i="10"/>
  <c r="R92" i="10"/>
  <c r="M92" i="10"/>
  <c r="L92" i="10"/>
  <c r="K92" i="10"/>
  <c r="R91" i="10"/>
  <c r="M91" i="10"/>
  <c r="L91" i="10"/>
  <c r="K91" i="10"/>
  <c r="E91" i="10"/>
  <c r="U202" i="10" s="1"/>
  <c r="R90" i="10"/>
  <c r="L202" i="10" s="1"/>
  <c r="M90" i="10"/>
  <c r="L90" i="10"/>
  <c r="K90" i="10"/>
  <c r="R89" i="10"/>
  <c r="M89" i="10"/>
  <c r="L89" i="10"/>
  <c r="K89" i="10"/>
  <c r="E89" i="10"/>
  <c r="U201" i="10" s="1"/>
  <c r="R88" i="10"/>
  <c r="M88" i="10"/>
  <c r="L88" i="10"/>
  <c r="K88" i="10"/>
  <c r="R87" i="10"/>
  <c r="M87" i="10"/>
  <c r="L87" i="10"/>
  <c r="K87" i="10"/>
  <c r="E87" i="10"/>
  <c r="S200" i="10" s="1"/>
  <c r="R86" i="10"/>
  <c r="M86" i="10"/>
  <c r="L86" i="10"/>
  <c r="K86" i="10"/>
  <c r="R85" i="10"/>
  <c r="M85" i="10"/>
  <c r="L85" i="10"/>
  <c r="K85" i="10"/>
  <c r="R84" i="10"/>
  <c r="M84" i="10"/>
  <c r="L84" i="10"/>
  <c r="K84" i="10"/>
  <c r="R83" i="10"/>
  <c r="M83" i="10"/>
  <c r="L83" i="10"/>
  <c r="K83" i="10"/>
  <c r="R82" i="10"/>
  <c r="M82" i="10"/>
  <c r="L82" i="10"/>
  <c r="K82" i="10"/>
  <c r="E82" i="10"/>
  <c r="T198" i="10" s="1"/>
  <c r="R81" i="10"/>
  <c r="M81" i="10"/>
  <c r="L81" i="10"/>
  <c r="K81" i="10"/>
  <c r="R80" i="10"/>
  <c r="M80" i="10"/>
  <c r="L80" i="10"/>
  <c r="K80" i="10"/>
  <c r="E80" i="10"/>
  <c r="T197" i="10" s="1"/>
  <c r="R79" i="10"/>
  <c r="M79" i="10"/>
  <c r="L79" i="10"/>
  <c r="K79" i="10"/>
  <c r="R78" i="10"/>
  <c r="M78" i="10"/>
  <c r="L78" i="10"/>
  <c r="K78" i="10"/>
  <c r="E78" i="10"/>
  <c r="S196" i="10" s="1"/>
  <c r="R77" i="10"/>
  <c r="M77" i="10"/>
  <c r="L77" i="10"/>
  <c r="K77" i="10"/>
  <c r="R76" i="10"/>
  <c r="M76" i="10"/>
  <c r="L76" i="10"/>
  <c r="K76" i="10"/>
  <c r="E76" i="10"/>
  <c r="R75" i="10"/>
  <c r="M75" i="10"/>
  <c r="L75" i="10"/>
  <c r="K75" i="10"/>
  <c r="R74" i="10"/>
  <c r="M74" i="10"/>
  <c r="L74" i="10"/>
  <c r="K74" i="10"/>
  <c r="E74" i="10"/>
  <c r="S194" i="10" s="1"/>
  <c r="R73" i="10"/>
  <c r="M73" i="10"/>
  <c r="L73" i="10"/>
  <c r="K73" i="10"/>
  <c r="R72" i="10"/>
  <c r="M72" i="10"/>
  <c r="L72" i="10"/>
  <c r="K72" i="10"/>
  <c r="R71" i="10"/>
  <c r="M71" i="10"/>
  <c r="L71" i="10"/>
  <c r="K71" i="10"/>
  <c r="E71" i="10"/>
  <c r="R70" i="10"/>
  <c r="M70" i="10"/>
  <c r="L70" i="10"/>
  <c r="K70" i="10"/>
  <c r="R69" i="10"/>
  <c r="M69" i="10"/>
  <c r="L69" i="10"/>
  <c r="K69" i="10"/>
  <c r="R68" i="10"/>
  <c r="M68" i="10"/>
  <c r="L68" i="10"/>
  <c r="K68" i="10"/>
  <c r="R67" i="10"/>
  <c r="M67" i="10"/>
  <c r="L67" i="10"/>
  <c r="K67" i="10"/>
  <c r="R66" i="10"/>
  <c r="M66" i="10"/>
  <c r="L66" i="10"/>
  <c r="K66" i="10"/>
  <c r="R65" i="10"/>
  <c r="M65" i="10"/>
  <c r="L65" i="10"/>
  <c r="K65" i="10"/>
  <c r="E65" i="10"/>
  <c r="R64" i="10"/>
  <c r="M64" i="10"/>
  <c r="L64" i="10"/>
  <c r="K64" i="10"/>
  <c r="R63" i="10"/>
  <c r="M63" i="10"/>
  <c r="L63" i="10"/>
  <c r="K63" i="10"/>
  <c r="E63" i="10"/>
  <c r="S189" i="10" s="1"/>
  <c r="R62" i="10"/>
  <c r="M62" i="10"/>
  <c r="L62" i="10"/>
  <c r="K62" i="10"/>
  <c r="R61" i="10"/>
  <c r="M61" i="10"/>
  <c r="L61" i="10"/>
  <c r="K61" i="10"/>
  <c r="R60" i="10"/>
  <c r="M60" i="10"/>
  <c r="L60" i="10"/>
  <c r="K60" i="10"/>
  <c r="E60" i="10"/>
  <c r="T188" i="10" s="1"/>
  <c r="R59" i="10"/>
  <c r="M59" i="10"/>
  <c r="L59" i="10"/>
  <c r="K59" i="10"/>
  <c r="M58" i="10"/>
  <c r="L58" i="10"/>
  <c r="K58" i="10"/>
  <c r="E58" i="10"/>
  <c r="S187" i="10" s="1"/>
  <c r="R57" i="10"/>
  <c r="M57" i="10"/>
  <c r="L57" i="10"/>
  <c r="K57" i="10"/>
  <c r="R56" i="10"/>
  <c r="M56" i="10"/>
  <c r="L56" i="10"/>
  <c r="K56" i="10"/>
  <c r="R55" i="10"/>
  <c r="M55" i="10"/>
  <c r="L55" i="10"/>
  <c r="K55" i="10"/>
  <c r="E55" i="10"/>
  <c r="S186" i="10" s="1"/>
  <c r="R54" i="10"/>
  <c r="M54" i="10"/>
  <c r="L54" i="10"/>
  <c r="K54" i="10"/>
  <c r="R53" i="10"/>
  <c r="M53" i="10"/>
  <c r="L53" i="10"/>
  <c r="K53" i="10"/>
  <c r="R52" i="10"/>
  <c r="M52" i="10"/>
  <c r="L52" i="10"/>
  <c r="K52" i="10"/>
  <c r="E52" i="10"/>
  <c r="U185" i="10" s="1"/>
  <c r="R51" i="10"/>
  <c r="M51" i="10"/>
  <c r="L51" i="10"/>
  <c r="K51" i="10"/>
  <c r="R50" i="10"/>
  <c r="M50" i="10"/>
  <c r="L50" i="10"/>
  <c r="K50" i="10"/>
  <c r="R49" i="10"/>
  <c r="M49" i="10"/>
  <c r="L49" i="10"/>
  <c r="K49" i="10"/>
  <c r="R48" i="10"/>
  <c r="M48" i="10"/>
  <c r="L48" i="10"/>
  <c r="K48" i="10"/>
  <c r="E48" i="10"/>
  <c r="T183" i="10" s="1"/>
  <c r="R47" i="10"/>
  <c r="M47" i="10"/>
  <c r="L47" i="10"/>
  <c r="K47" i="10"/>
  <c r="R46" i="10"/>
  <c r="M46" i="10"/>
  <c r="L46" i="10"/>
  <c r="K46" i="10"/>
  <c r="R45" i="10"/>
  <c r="M45" i="10"/>
  <c r="L45" i="10"/>
  <c r="K45" i="10"/>
  <c r="R44" i="10"/>
  <c r="M44" i="10"/>
  <c r="L44" i="10"/>
  <c r="K44" i="10"/>
  <c r="R43" i="10"/>
  <c r="M43" i="10"/>
  <c r="L43" i="10"/>
  <c r="K43" i="10"/>
  <c r="E43" i="10"/>
  <c r="R42" i="10"/>
  <c r="M42" i="10"/>
  <c r="L42" i="10"/>
  <c r="K42" i="10"/>
  <c r="R41" i="10"/>
  <c r="M41" i="10"/>
  <c r="L41" i="10"/>
  <c r="K41" i="10"/>
  <c r="R40" i="10"/>
  <c r="M40" i="10"/>
  <c r="L40" i="10"/>
  <c r="K40" i="10"/>
  <c r="R39" i="10"/>
  <c r="M39" i="10"/>
  <c r="L39" i="10"/>
  <c r="K39" i="10"/>
  <c r="R38" i="10"/>
  <c r="M38" i="10"/>
  <c r="L38" i="10"/>
  <c r="K38" i="10"/>
  <c r="E38" i="10"/>
  <c r="S179" i="10" s="1"/>
  <c r="R37" i="10"/>
  <c r="M37" i="10"/>
  <c r="L37" i="10"/>
  <c r="K37" i="10"/>
  <c r="R36" i="10"/>
  <c r="M36" i="10"/>
  <c r="L36" i="10"/>
  <c r="K36" i="10"/>
  <c r="R35" i="10"/>
  <c r="M35" i="10"/>
  <c r="L35" i="10"/>
  <c r="K35" i="10"/>
  <c r="R34" i="10"/>
  <c r="M34" i="10"/>
  <c r="L34" i="10"/>
  <c r="K34" i="10"/>
  <c r="R33" i="10"/>
  <c r="M33" i="10"/>
  <c r="L33" i="10"/>
  <c r="K33" i="10"/>
  <c r="E33" i="10"/>
  <c r="T177" i="10" s="1"/>
  <c r="R32" i="10"/>
  <c r="M32" i="10"/>
  <c r="L32" i="10"/>
  <c r="K32" i="10"/>
  <c r="R31" i="10"/>
  <c r="M31" i="10"/>
  <c r="L31" i="10"/>
  <c r="K31" i="10"/>
  <c r="R30" i="10"/>
  <c r="M30" i="10"/>
  <c r="L30" i="10"/>
  <c r="K30" i="10"/>
  <c r="E30" i="10"/>
  <c r="U176" i="10" s="1"/>
  <c r="R29" i="10"/>
  <c r="M29" i="10"/>
  <c r="L29" i="10"/>
  <c r="K29" i="10"/>
  <c r="R28" i="10"/>
  <c r="M28" i="10"/>
  <c r="L28" i="10"/>
  <c r="K28" i="10"/>
  <c r="E28" i="10"/>
  <c r="U175" i="10" s="1"/>
  <c r="R27" i="10"/>
  <c r="M27" i="10"/>
  <c r="L27" i="10"/>
  <c r="K27" i="10"/>
  <c r="R26" i="10"/>
  <c r="M26" i="10"/>
  <c r="L26" i="10"/>
  <c r="K26" i="10"/>
  <c r="R25" i="10"/>
  <c r="M25" i="10"/>
  <c r="L25" i="10"/>
  <c r="K25" i="10"/>
  <c r="R24" i="10"/>
  <c r="M24" i="10"/>
  <c r="L24" i="10"/>
  <c r="K24" i="10"/>
  <c r="R23" i="10"/>
  <c r="M23" i="10"/>
  <c r="L23" i="10"/>
  <c r="K23" i="10"/>
  <c r="E23" i="10"/>
  <c r="R22" i="10"/>
  <c r="M22" i="10"/>
  <c r="L22" i="10"/>
  <c r="K22" i="10"/>
  <c r="R21" i="10"/>
  <c r="M21" i="10"/>
  <c r="L21" i="10"/>
  <c r="K21" i="10"/>
  <c r="R20" i="10"/>
  <c r="M20" i="10"/>
  <c r="L20" i="10"/>
  <c r="K20" i="10"/>
  <c r="R19" i="10"/>
  <c r="M19" i="10"/>
  <c r="L19" i="10"/>
  <c r="K19" i="10"/>
  <c r="E19" i="10"/>
  <c r="T171" i="10" s="1"/>
  <c r="R18" i="10"/>
  <c r="M18" i="10"/>
  <c r="L18" i="10"/>
  <c r="K18" i="10"/>
  <c r="R17" i="10"/>
  <c r="M17" i="10"/>
  <c r="L17" i="10"/>
  <c r="K17" i="10"/>
  <c r="E17" i="10"/>
  <c r="T170" i="10" s="1"/>
  <c r="R16" i="10"/>
  <c r="M16" i="10"/>
  <c r="L16" i="10"/>
  <c r="K16" i="10"/>
  <c r="R15" i="10"/>
  <c r="M15" i="10"/>
  <c r="L15" i="10"/>
  <c r="K15" i="10"/>
  <c r="R14" i="10"/>
  <c r="M14" i="10"/>
  <c r="L14" i="10"/>
  <c r="K14" i="10"/>
  <c r="E14" i="10"/>
  <c r="U169" i="10" s="1"/>
  <c r="R13" i="10"/>
  <c r="M13" i="10"/>
  <c r="L13" i="10"/>
  <c r="K13" i="10"/>
  <c r="R12" i="10"/>
  <c r="M12" i="10"/>
  <c r="L12" i="10"/>
  <c r="K12" i="10"/>
  <c r="R11" i="10"/>
  <c r="M11" i="10"/>
  <c r="L11" i="10"/>
  <c r="K11" i="10"/>
  <c r="R10" i="10"/>
  <c r="M10" i="10"/>
  <c r="L10" i="10"/>
  <c r="K10" i="10"/>
  <c r="E10" i="10"/>
  <c r="U167" i="10" s="1"/>
  <c r="R9" i="10"/>
  <c r="M9" i="10"/>
  <c r="L9" i="10"/>
  <c r="K9" i="10"/>
  <c r="R8" i="10"/>
  <c r="M8" i="10"/>
  <c r="L8" i="10"/>
  <c r="K8" i="10"/>
  <c r="E106" i="11"/>
  <c r="U193" i="11" s="1"/>
  <c r="E74" i="11"/>
  <c r="U197" i="11"/>
  <c r="T197" i="11"/>
  <c r="S197" i="11"/>
  <c r="U195" i="11"/>
  <c r="T195" i="11"/>
  <c r="S195" i="11"/>
  <c r="U194" i="11"/>
  <c r="T194" i="11"/>
  <c r="S194" i="11"/>
  <c r="U192" i="11"/>
  <c r="T192" i="11"/>
  <c r="S192" i="11"/>
  <c r="U173" i="11"/>
  <c r="T173" i="11"/>
  <c r="S173" i="11"/>
  <c r="U171" i="11"/>
  <c r="T171" i="11"/>
  <c r="S171" i="11"/>
  <c r="U170" i="11"/>
  <c r="T170" i="11"/>
  <c r="S170" i="11"/>
  <c r="U169" i="11"/>
  <c r="T169" i="11"/>
  <c r="S169" i="11"/>
  <c r="U168" i="11"/>
  <c r="T168" i="11"/>
  <c r="S168" i="11"/>
  <c r="U165" i="11"/>
  <c r="T165" i="11"/>
  <c r="S165" i="11"/>
  <c r="U163" i="11"/>
  <c r="T163" i="11"/>
  <c r="S163" i="11"/>
  <c r="U161" i="11"/>
  <c r="T161" i="11"/>
  <c r="S161" i="11"/>
  <c r="U160" i="11"/>
  <c r="T160" i="11"/>
  <c r="S160" i="11"/>
  <c r="U159" i="11"/>
  <c r="T159" i="11"/>
  <c r="S159" i="11"/>
  <c r="U157" i="11"/>
  <c r="T157" i="11"/>
  <c r="S157" i="11"/>
  <c r="U156" i="11"/>
  <c r="T156" i="11"/>
  <c r="S156" i="11"/>
  <c r="U155" i="11"/>
  <c r="T155" i="11"/>
  <c r="S155" i="11"/>
  <c r="U153" i="11"/>
  <c r="T153" i="11"/>
  <c r="S153" i="11"/>
  <c r="U152" i="11"/>
  <c r="T152" i="11"/>
  <c r="S152" i="11"/>
  <c r="U149" i="11"/>
  <c r="T149" i="11"/>
  <c r="S149" i="11"/>
  <c r="U148" i="11"/>
  <c r="T148" i="11"/>
  <c r="S148" i="11"/>
  <c r="U147" i="11"/>
  <c r="T147" i="11"/>
  <c r="S147" i="11"/>
  <c r="U145" i="11"/>
  <c r="T145" i="11"/>
  <c r="R117" i="11"/>
  <c r="M117" i="11"/>
  <c r="L117" i="11"/>
  <c r="K117" i="11"/>
  <c r="R116" i="11"/>
  <c r="M116" i="11"/>
  <c r="L116" i="11"/>
  <c r="K116" i="11"/>
  <c r="R115" i="11"/>
  <c r="M115" i="11"/>
  <c r="L115" i="11"/>
  <c r="K115" i="11"/>
  <c r="R114" i="11"/>
  <c r="M114" i="11"/>
  <c r="L114" i="11"/>
  <c r="K114" i="11"/>
  <c r="E114" i="11"/>
  <c r="R113" i="11"/>
  <c r="M113" i="11"/>
  <c r="L113" i="11"/>
  <c r="K113" i="11"/>
  <c r="R112" i="11"/>
  <c r="M112" i="11"/>
  <c r="L112" i="11"/>
  <c r="K112" i="11"/>
  <c r="R111" i="11"/>
  <c r="M111" i="11"/>
  <c r="L111" i="11"/>
  <c r="K111" i="11"/>
  <c r="R110" i="11"/>
  <c r="M110" i="11"/>
  <c r="L110" i="11"/>
  <c r="K110" i="11"/>
  <c r="R109" i="11"/>
  <c r="M109" i="11"/>
  <c r="L109" i="11"/>
  <c r="K109" i="11"/>
  <c r="R108" i="11"/>
  <c r="M108" i="11"/>
  <c r="L108" i="11"/>
  <c r="K108" i="11"/>
  <c r="R107" i="11"/>
  <c r="M107" i="11"/>
  <c r="L107" i="11"/>
  <c r="K107" i="11"/>
  <c r="R106" i="11"/>
  <c r="M106" i="11"/>
  <c r="L106" i="11"/>
  <c r="K106" i="11"/>
  <c r="R105" i="11"/>
  <c r="M105" i="11"/>
  <c r="L105" i="11"/>
  <c r="K105" i="11"/>
  <c r="R104" i="11"/>
  <c r="M104" i="11"/>
  <c r="L104" i="11"/>
  <c r="K104" i="11"/>
  <c r="R103" i="11"/>
  <c r="M103" i="11"/>
  <c r="L103" i="11"/>
  <c r="K103" i="11"/>
  <c r="R102" i="11"/>
  <c r="M102" i="11"/>
  <c r="L102" i="11"/>
  <c r="K102" i="11"/>
  <c r="E102" i="11"/>
  <c r="T191" i="11" s="1"/>
  <c r="R101" i="11"/>
  <c r="M101" i="11"/>
  <c r="L101" i="11"/>
  <c r="K101" i="11"/>
  <c r="R100" i="11"/>
  <c r="M100" i="11"/>
  <c r="L100" i="11"/>
  <c r="K100" i="11"/>
  <c r="E100" i="11"/>
  <c r="R99" i="11"/>
  <c r="M99" i="11"/>
  <c r="L99" i="11"/>
  <c r="K99" i="11"/>
  <c r="R98" i="11"/>
  <c r="M98" i="11"/>
  <c r="L98" i="11"/>
  <c r="K98" i="11"/>
  <c r="R97" i="11"/>
  <c r="M97" i="11"/>
  <c r="L97" i="11"/>
  <c r="K97" i="11"/>
  <c r="R96" i="11"/>
  <c r="M96" i="11"/>
  <c r="L96" i="11"/>
  <c r="K96" i="11"/>
  <c r="E96" i="11"/>
  <c r="R95" i="11"/>
  <c r="M95" i="11"/>
  <c r="L95" i="11"/>
  <c r="K95" i="11"/>
  <c r="R94" i="11"/>
  <c r="M94" i="11"/>
  <c r="L94" i="11"/>
  <c r="K94" i="11"/>
  <c r="E94" i="11"/>
  <c r="U187" i="11" s="1"/>
  <c r="R93" i="11"/>
  <c r="M93" i="11"/>
  <c r="L93" i="11"/>
  <c r="K93" i="11"/>
  <c r="R92" i="11"/>
  <c r="M92" i="11"/>
  <c r="L92" i="11"/>
  <c r="K92" i="11"/>
  <c r="E92" i="11"/>
  <c r="U186" i="11" s="1"/>
  <c r="R91" i="11"/>
  <c r="M91" i="11"/>
  <c r="L91" i="11"/>
  <c r="K91" i="11"/>
  <c r="R90" i="11"/>
  <c r="M90" i="11"/>
  <c r="L90" i="11"/>
  <c r="K90" i="11"/>
  <c r="U185" i="11"/>
  <c r="R89" i="11"/>
  <c r="M89" i="11"/>
  <c r="L89" i="11"/>
  <c r="K89" i="11"/>
  <c r="R88" i="11"/>
  <c r="M88" i="11"/>
  <c r="L88" i="11"/>
  <c r="K88" i="11"/>
  <c r="E88" i="11"/>
  <c r="T184" i="11" s="1"/>
  <c r="R87" i="11"/>
  <c r="M87" i="11"/>
  <c r="L87" i="11"/>
  <c r="K87" i="11"/>
  <c r="R86" i="11"/>
  <c r="M86" i="11"/>
  <c r="L86" i="11"/>
  <c r="K86" i="11"/>
  <c r="E86" i="11"/>
  <c r="U183" i="11" s="1"/>
  <c r="R85" i="11"/>
  <c r="M85" i="11"/>
  <c r="L85" i="11"/>
  <c r="K85" i="11"/>
  <c r="R84" i="11"/>
  <c r="M84" i="11"/>
  <c r="L84" i="11"/>
  <c r="K84" i="11"/>
  <c r="E84" i="11"/>
  <c r="S182" i="11" s="1"/>
  <c r="R83" i="11"/>
  <c r="M83" i="11"/>
  <c r="L83" i="11"/>
  <c r="K83" i="11"/>
  <c r="R82" i="11"/>
  <c r="M82" i="11"/>
  <c r="L82" i="11"/>
  <c r="K82" i="11"/>
  <c r="R81" i="11"/>
  <c r="M81" i="11"/>
  <c r="L81" i="11"/>
  <c r="K81" i="11"/>
  <c r="R80" i="11"/>
  <c r="M80" i="11"/>
  <c r="L80" i="11"/>
  <c r="K80" i="11"/>
  <c r="E80" i="11"/>
  <c r="S180" i="11" s="1"/>
  <c r="R79" i="11"/>
  <c r="M79" i="11"/>
  <c r="L79" i="11"/>
  <c r="K79" i="11"/>
  <c r="M78" i="11"/>
  <c r="L78" i="11"/>
  <c r="K78" i="11"/>
  <c r="E78" i="11"/>
  <c r="R77" i="11"/>
  <c r="M77" i="11"/>
  <c r="L77" i="11"/>
  <c r="K77" i="11"/>
  <c r="R76" i="11"/>
  <c r="M76" i="11"/>
  <c r="L76" i="11"/>
  <c r="K76" i="11"/>
  <c r="E76" i="11"/>
  <c r="R75" i="11"/>
  <c r="M75" i="11"/>
  <c r="L75" i="11"/>
  <c r="K75" i="11"/>
  <c r="R74" i="11"/>
  <c r="M74" i="11"/>
  <c r="L74" i="11"/>
  <c r="K74" i="11"/>
  <c r="R73" i="11"/>
  <c r="M73" i="11"/>
  <c r="L73" i="11"/>
  <c r="K73" i="11"/>
  <c r="R72" i="11"/>
  <c r="M72" i="11"/>
  <c r="L72" i="11"/>
  <c r="K72" i="11"/>
  <c r="E72" i="11"/>
  <c r="T176" i="11" s="1"/>
  <c r="R71" i="11"/>
  <c r="M71" i="11"/>
  <c r="L71" i="11"/>
  <c r="K71" i="11"/>
  <c r="R70" i="11"/>
  <c r="M70" i="11"/>
  <c r="L70" i="11"/>
  <c r="K70" i="11"/>
  <c r="E70" i="11"/>
  <c r="S175" i="11" s="1"/>
  <c r="R69" i="11"/>
  <c r="M69" i="11"/>
  <c r="L69" i="11"/>
  <c r="K69" i="11"/>
  <c r="R68" i="11"/>
  <c r="M68" i="11"/>
  <c r="L68" i="11"/>
  <c r="K68" i="11"/>
  <c r="E68" i="11"/>
  <c r="U174" i="11" s="1"/>
  <c r="R67" i="11"/>
  <c r="M67" i="11"/>
  <c r="L67" i="11"/>
  <c r="K67" i="11"/>
  <c r="R66" i="11"/>
  <c r="M66" i="11"/>
  <c r="L66" i="11"/>
  <c r="K66" i="11"/>
  <c r="R65" i="11"/>
  <c r="M65" i="11"/>
  <c r="L65" i="11"/>
  <c r="K65" i="11"/>
  <c r="R64" i="11"/>
  <c r="M64" i="11"/>
  <c r="L64" i="11"/>
  <c r="K64" i="11"/>
  <c r="E64" i="11"/>
  <c r="S172" i="11" s="1"/>
  <c r="R63" i="11"/>
  <c r="M63" i="11"/>
  <c r="L63" i="11"/>
  <c r="K63" i="11"/>
  <c r="R62" i="11"/>
  <c r="M62" i="11"/>
  <c r="L62" i="11"/>
  <c r="K62" i="11"/>
  <c r="R61" i="11"/>
  <c r="M61" i="11"/>
  <c r="L61" i="11"/>
  <c r="K61" i="11"/>
  <c r="R60" i="11"/>
  <c r="M60" i="11"/>
  <c r="L60" i="11"/>
  <c r="K60" i="11"/>
  <c r="R59" i="11"/>
  <c r="M59" i="11"/>
  <c r="L59" i="11"/>
  <c r="K59" i="11"/>
  <c r="R58" i="11"/>
  <c r="M58" i="11"/>
  <c r="L58" i="11"/>
  <c r="K58" i="11"/>
  <c r="R57" i="11"/>
  <c r="M57" i="11"/>
  <c r="L57" i="11"/>
  <c r="K57" i="11"/>
  <c r="R56" i="11"/>
  <c r="M56" i="11"/>
  <c r="L56" i="11"/>
  <c r="K56" i="11"/>
  <c r="R55" i="11"/>
  <c r="M55" i="11"/>
  <c r="L55" i="11"/>
  <c r="K55" i="11"/>
  <c r="R54" i="11"/>
  <c r="M54" i="11"/>
  <c r="L54" i="11"/>
  <c r="K54" i="11"/>
  <c r="E54" i="11"/>
  <c r="U167" i="11" s="1"/>
  <c r="R53" i="11"/>
  <c r="M53" i="11"/>
  <c r="L53" i="11"/>
  <c r="K53" i="11"/>
  <c r="R52" i="11"/>
  <c r="M52" i="11"/>
  <c r="L52" i="11"/>
  <c r="K52" i="11"/>
  <c r="R51" i="11"/>
  <c r="M51" i="11"/>
  <c r="L51" i="11"/>
  <c r="K51" i="11"/>
  <c r="E51" i="11"/>
  <c r="T166" i="11" s="1"/>
  <c r="R50" i="11"/>
  <c r="M50" i="11"/>
  <c r="L50" i="11"/>
  <c r="K50" i="11"/>
  <c r="R49" i="11"/>
  <c r="M49" i="11"/>
  <c r="L49" i="11"/>
  <c r="K49" i="11"/>
  <c r="R48" i="11"/>
  <c r="M48" i="11"/>
  <c r="L48" i="11"/>
  <c r="K48" i="11"/>
  <c r="R47" i="11"/>
  <c r="M47" i="11"/>
  <c r="L47" i="11"/>
  <c r="K47" i="11"/>
  <c r="E47" i="11"/>
  <c r="S164" i="11" s="1"/>
  <c r="R46" i="11"/>
  <c r="M46" i="11"/>
  <c r="L46" i="11"/>
  <c r="K46" i="11"/>
  <c r="R45" i="11"/>
  <c r="M45" i="11"/>
  <c r="L45" i="11"/>
  <c r="K45" i="11"/>
  <c r="R44" i="11"/>
  <c r="M44" i="11"/>
  <c r="L44" i="11"/>
  <c r="K44" i="11"/>
  <c r="R43" i="11"/>
  <c r="M43" i="11"/>
  <c r="L43" i="11"/>
  <c r="K43" i="11"/>
  <c r="E43" i="11"/>
  <c r="R42" i="11"/>
  <c r="M42" i="11"/>
  <c r="L42" i="11"/>
  <c r="K42" i="11"/>
  <c r="R41" i="11"/>
  <c r="M41" i="11"/>
  <c r="L41" i="11"/>
  <c r="K41" i="11"/>
  <c r="R40" i="11"/>
  <c r="M40" i="11"/>
  <c r="L40" i="11"/>
  <c r="K40" i="11"/>
  <c r="R39" i="11"/>
  <c r="M39" i="11"/>
  <c r="L39" i="11"/>
  <c r="K39" i="11"/>
  <c r="R38" i="11"/>
  <c r="M38" i="11"/>
  <c r="L38" i="11"/>
  <c r="K38" i="11"/>
  <c r="R37" i="11"/>
  <c r="M37" i="11"/>
  <c r="L37" i="11"/>
  <c r="K37" i="11"/>
  <c r="R36" i="11"/>
  <c r="M36" i="11"/>
  <c r="L36" i="11"/>
  <c r="K36" i="11"/>
  <c r="R35" i="11"/>
  <c r="M35" i="11"/>
  <c r="L35" i="11"/>
  <c r="K35" i="11"/>
  <c r="E35" i="11"/>
  <c r="R34" i="11"/>
  <c r="M34" i="11"/>
  <c r="L34" i="11"/>
  <c r="K34" i="11"/>
  <c r="R33" i="11"/>
  <c r="M33" i="11"/>
  <c r="L33" i="11"/>
  <c r="K33" i="11"/>
  <c r="R32" i="11"/>
  <c r="M32" i="11"/>
  <c r="L32" i="11"/>
  <c r="K32" i="11"/>
  <c r="R31" i="11"/>
  <c r="M31" i="11"/>
  <c r="L31" i="11"/>
  <c r="K31" i="11"/>
  <c r="R30" i="11"/>
  <c r="M30" i="11"/>
  <c r="L30" i="11"/>
  <c r="K30" i="11"/>
  <c r="R29" i="11"/>
  <c r="M29" i="11"/>
  <c r="L29" i="11"/>
  <c r="K29" i="11"/>
  <c r="R28" i="11"/>
  <c r="M28" i="11"/>
  <c r="L28" i="11"/>
  <c r="K28" i="11"/>
  <c r="R27" i="11"/>
  <c r="M27" i="11"/>
  <c r="L27" i="11"/>
  <c r="K27" i="11"/>
  <c r="E27" i="11"/>
  <c r="U154" i="11" s="1"/>
  <c r="R26" i="11"/>
  <c r="M26" i="11"/>
  <c r="L26" i="11"/>
  <c r="K26" i="11"/>
  <c r="R25" i="11"/>
  <c r="M25" i="11"/>
  <c r="L25" i="11"/>
  <c r="K25" i="11"/>
  <c r="R24" i="11"/>
  <c r="M24" i="11"/>
  <c r="L24" i="11"/>
  <c r="K24" i="11"/>
  <c r="R23" i="11"/>
  <c r="M23" i="11"/>
  <c r="L23" i="11"/>
  <c r="K23" i="11"/>
  <c r="R22" i="11"/>
  <c r="M22" i="11"/>
  <c r="L22" i="11"/>
  <c r="K22" i="11"/>
  <c r="R21" i="11"/>
  <c r="M21" i="11"/>
  <c r="L21" i="11"/>
  <c r="K21" i="11"/>
  <c r="E21" i="11"/>
  <c r="T151" i="11" s="1"/>
  <c r="R20" i="11"/>
  <c r="M20" i="11"/>
  <c r="L20" i="11"/>
  <c r="K20" i="11"/>
  <c r="R19" i="11"/>
  <c r="M19" i="11"/>
  <c r="L19" i="11"/>
  <c r="K19" i="11"/>
  <c r="E19" i="11"/>
  <c r="T150" i="11" s="1"/>
  <c r="R18" i="11"/>
  <c r="M18" i="11"/>
  <c r="L18" i="11"/>
  <c r="K18" i="11"/>
  <c r="R17" i="11"/>
  <c r="M17" i="11"/>
  <c r="L17" i="11"/>
  <c r="K17" i="11"/>
  <c r="R16" i="11"/>
  <c r="M16" i="11"/>
  <c r="L16" i="11"/>
  <c r="K16" i="11"/>
  <c r="R15" i="11"/>
  <c r="M15" i="11"/>
  <c r="L15" i="11"/>
  <c r="K15" i="11"/>
  <c r="R14" i="11"/>
  <c r="M14" i="11"/>
  <c r="L14" i="11"/>
  <c r="K14" i="11"/>
  <c r="R13" i="11"/>
  <c r="M13" i="11"/>
  <c r="L13" i="11"/>
  <c r="K13" i="11"/>
  <c r="R12" i="11"/>
  <c r="M12" i="11"/>
  <c r="L12" i="11"/>
  <c r="K12" i="11"/>
  <c r="R11" i="11"/>
  <c r="M11" i="11"/>
  <c r="L11" i="11"/>
  <c r="K11" i="11"/>
  <c r="E11" i="11"/>
  <c r="S146" i="11" s="1"/>
  <c r="R10" i="11"/>
  <c r="M10" i="11"/>
  <c r="L10" i="11"/>
  <c r="K10" i="11"/>
  <c r="R9" i="11"/>
  <c r="M9" i="11"/>
  <c r="L9" i="11"/>
  <c r="K9" i="11"/>
  <c r="R8" i="11"/>
  <c r="M8" i="11"/>
  <c r="L8" i="11"/>
  <c r="K8" i="11"/>
  <c r="U194" i="12"/>
  <c r="T194" i="12"/>
  <c r="S194" i="12"/>
  <c r="J194" i="12"/>
  <c r="H194" i="12"/>
  <c r="U190" i="12"/>
  <c r="T190" i="12"/>
  <c r="S190" i="12"/>
  <c r="L190" i="12"/>
  <c r="J190" i="12"/>
  <c r="H190" i="12"/>
  <c r="U189" i="12"/>
  <c r="T189" i="12"/>
  <c r="S189" i="12"/>
  <c r="L189" i="12"/>
  <c r="J189" i="12"/>
  <c r="H189" i="12"/>
  <c r="U187" i="12"/>
  <c r="T187" i="12"/>
  <c r="S187" i="12"/>
  <c r="L187" i="12"/>
  <c r="J187" i="12"/>
  <c r="H187" i="12"/>
  <c r="U182" i="12"/>
  <c r="T182" i="12"/>
  <c r="S182" i="12"/>
  <c r="L182" i="12"/>
  <c r="J182" i="12"/>
  <c r="H182" i="12"/>
  <c r="U178" i="12"/>
  <c r="T178" i="12"/>
  <c r="S178" i="12"/>
  <c r="L178" i="12"/>
  <c r="J178" i="12"/>
  <c r="H178" i="12"/>
  <c r="U174" i="12"/>
  <c r="T174" i="12"/>
  <c r="S174" i="12"/>
  <c r="L174" i="12"/>
  <c r="J174" i="12"/>
  <c r="H174" i="12"/>
  <c r="U168" i="12"/>
  <c r="T168" i="12"/>
  <c r="S168" i="12"/>
  <c r="L168" i="12"/>
  <c r="J168" i="12"/>
  <c r="H168" i="12"/>
  <c r="U167" i="12"/>
  <c r="T167" i="12"/>
  <c r="S167" i="12"/>
  <c r="L167" i="12"/>
  <c r="J167" i="12"/>
  <c r="H167" i="12"/>
  <c r="U166" i="12"/>
  <c r="T166" i="12"/>
  <c r="S166" i="12"/>
  <c r="L166" i="12"/>
  <c r="J166" i="12"/>
  <c r="H166" i="12"/>
  <c r="U164" i="12"/>
  <c r="T164" i="12"/>
  <c r="S164" i="12"/>
  <c r="L164" i="12"/>
  <c r="J164" i="12"/>
  <c r="H164" i="12"/>
  <c r="U163" i="12"/>
  <c r="T163" i="12"/>
  <c r="S163" i="12"/>
  <c r="L163" i="12"/>
  <c r="J163" i="12"/>
  <c r="H163" i="12"/>
  <c r="U159" i="12"/>
  <c r="T159" i="12"/>
  <c r="S159" i="12"/>
  <c r="L159" i="12"/>
  <c r="J159" i="12"/>
  <c r="H159" i="12"/>
  <c r="U158" i="12"/>
  <c r="T158" i="12"/>
  <c r="S158" i="12"/>
  <c r="L158" i="12"/>
  <c r="J158" i="12"/>
  <c r="H158" i="12"/>
  <c r="U157" i="12"/>
  <c r="T157" i="12"/>
  <c r="S157" i="12"/>
  <c r="L157" i="12"/>
  <c r="J157" i="12"/>
  <c r="H157" i="12"/>
  <c r="U155" i="12"/>
  <c r="T155" i="12"/>
  <c r="S155" i="12"/>
  <c r="L155" i="12"/>
  <c r="J155" i="12"/>
  <c r="H155" i="12"/>
  <c r="U154" i="12"/>
  <c r="T154" i="12"/>
  <c r="S154" i="12"/>
  <c r="L154" i="12"/>
  <c r="J154" i="12"/>
  <c r="H154" i="12"/>
  <c r="U151" i="12"/>
  <c r="T151" i="12"/>
  <c r="S151" i="12"/>
  <c r="L151" i="12"/>
  <c r="J151" i="12"/>
  <c r="H151" i="12"/>
  <c r="U150" i="12"/>
  <c r="T150" i="12"/>
  <c r="S150" i="12"/>
  <c r="L150" i="12"/>
  <c r="J150" i="12"/>
  <c r="H150" i="12"/>
  <c r="U148" i="12"/>
  <c r="T148" i="12"/>
  <c r="S148" i="12"/>
  <c r="L148" i="12"/>
  <c r="J148" i="12"/>
  <c r="H148" i="12"/>
  <c r="U147" i="12"/>
  <c r="T147" i="12"/>
  <c r="S147" i="12"/>
  <c r="L147" i="12"/>
  <c r="J147" i="12"/>
  <c r="H147" i="12"/>
  <c r="U146" i="12"/>
  <c r="T146" i="12"/>
  <c r="S146" i="12"/>
  <c r="L146" i="12"/>
  <c r="J146" i="12"/>
  <c r="H146" i="12"/>
  <c r="U144" i="12"/>
  <c r="T144" i="12"/>
  <c r="S144" i="12"/>
  <c r="L144" i="12"/>
  <c r="J144" i="12"/>
  <c r="H144" i="12"/>
  <c r="U143" i="12"/>
  <c r="T143" i="12"/>
  <c r="S143" i="12"/>
  <c r="L143" i="12"/>
  <c r="J143" i="12"/>
  <c r="H143" i="12"/>
  <c r="U142" i="12"/>
  <c r="T142" i="12"/>
  <c r="L142" i="12"/>
  <c r="J142" i="12"/>
  <c r="H142" i="12"/>
  <c r="R114" i="12"/>
  <c r="M114" i="12"/>
  <c r="L114" i="12"/>
  <c r="K114" i="12"/>
  <c r="R113" i="12"/>
  <c r="M113" i="12"/>
  <c r="L113" i="12"/>
  <c r="K113" i="12"/>
  <c r="R112" i="12"/>
  <c r="M112" i="12"/>
  <c r="L112" i="12"/>
  <c r="K112" i="12"/>
  <c r="R111" i="12"/>
  <c r="M111" i="12"/>
  <c r="L111" i="12"/>
  <c r="K111" i="12"/>
  <c r="R110" i="12"/>
  <c r="M110" i="12"/>
  <c r="L110" i="12"/>
  <c r="K110" i="12"/>
  <c r="E110" i="12"/>
  <c r="U192" i="12" s="1"/>
  <c r="R109" i="12"/>
  <c r="M109" i="12"/>
  <c r="L109" i="12"/>
  <c r="K109" i="12"/>
  <c r="R108" i="12"/>
  <c r="M108" i="12"/>
  <c r="L108" i="12"/>
  <c r="K108" i="12"/>
  <c r="E108" i="12"/>
  <c r="R107" i="12"/>
  <c r="M107" i="12"/>
  <c r="L107" i="12"/>
  <c r="K107" i="12"/>
  <c r="R106" i="12"/>
  <c r="M106" i="12"/>
  <c r="L106" i="12"/>
  <c r="K106" i="12"/>
  <c r="R105" i="12"/>
  <c r="M105" i="12"/>
  <c r="L105" i="12"/>
  <c r="K105" i="12"/>
  <c r="R104" i="12"/>
  <c r="M104" i="12"/>
  <c r="L104" i="12"/>
  <c r="K104" i="12"/>
  <c r="R103" i="12"/>
  <c r="M103" i="12"/>
  <c r="L103" i="12"/>
  <c r="K103" i="12"/>
  <c r="R102" i="12"/>
  <c r="M102" i="12"/>
  <c r="L102" i="12"/>
  <c r="K102" i="12"/>
  <c r="R101" i="12"/>
  <c r="M101" i="12"/>
  <c r="L101" i="12"/>
  <c r="K101" i="12"/>
  <c r="E101" i="12"/>
  <c r="T188" i="12" s="1"/>
  <c r="R100" i="12"/>
  <c r="M100" i="12"/>
  <c r="L100" i="12"/>
  <c r="K100" i="12"/>
  <c r="R99" i="12"/>
  <c r="M99" i="12"/>
  <c r="L99" i="12"/>
  <c r="K99" i="12"/>
  <c r="R98" i="12"/>
  <c r="M98" i="12"/>
  <c r="L98" i="12"/>
  <c r="K98" i="12"/>
  <c r="R97" i="12"/>
  <c r="M97" i="12"/>
  <c r="L97" i="12"/>
  <c r="K97" i="12"/>
  <c r="E97" i="12"/>
  <c r="U186" i="12" s="1"/>
  <c r="R96" i="12"/>
  <c r="M96" i="12"/>
  <c r="L96" i="12"/>
  <c r="K96" i="12"/>
  <c r="R95" i="12"/>
  <c r="M95" i="12"/>
  <c r="L95" i="12"/>
  <c r="K95" i="12"/>
  <c r="E95" i="12"/>
  <c r="J185" i="12" s="1"/>
  <c r="R94" i="12"/>
  <c r="M94" i="12"/>
  <c r="L94" i="12"/>
  <c r="K94" i="12"/>
  <c r="R93" i="12"/>
  <c r="M93" i="12"/>
  <c r="L93" i="12"/>
  <c r="K93" i="12"/>
  <c r="E93" i="12"/>
  <c r="R92" i="12"/>
  <c r="M92" i="12"/>
  <c r="L92" i="12"/>
  <c r="K92" i="12"/>
  <c r="R91" i="12"/>
  <c r="M91" i="12"/>
  <c r="L91" i="12"/>
  <c r="K91" i="12"/>
  <c r="E91" i="12"/>
  <c r="R90" i="12"/>
  <c r="M90" i="12"/>
  <c r="L90" i="12"/>
  <c r="K90" i="12"/>
  <c r="R89" i="12"/>
  <c r="M89" i="12"/>
  <c r="L89" i="12"/>
  <c r="K89" i="12"/>
  <c r="R88" i="12"/>
  <c r="M88" i="12"/>
  <c r="L88" i="12"/>
  <c r="K88" i="12"/>
  <c r="R87" i="12"/>
  <c r="M87" i="12"/>
  <c r="L87" i="12"/>
  <c r="K87" i="12"/>
  <c r="E87" i="12"/>
  <c r="J181" i="12" s="1"/>
  <c r="R86" i="12"/>
  <c r="M86" i="12"/>
  <c r="L86" i="12"/>
  <c r="K86" i="12"/>
  <c r="R85" i="12"/>
  <c r="M85" i="12"/>
  <c r="L85" i="12"/>
  <c r="K85" i="12"/>
  <c r="E85" i="12"/>
  <c r="H180" i="12" s="1"/>
  <c r="R84" i="12"/>
  <c r="M84" i="12"/>
  <c r="L84" i="12"/>
  <c r="K84" i="12"/>
  <c r="R83" i="12"/>
  <c r="M83" i="12"/>
  <c r="L83" i="12"/>
  <c r="K83" i="12"/>
  <c r="E83" i="12"/>
  <c r="L179" i="12" s="1"/>
  <c r="R82" i="12"/>
  <c r="M82" i="12"/>
  <c r="L82" i="12"/>
  <c r="K82" i="12"/>
  <c r="R81" i="12"/>
  <c r="M81" i="12"/>
  <c r="L81" i="12"/>
  <c r="K81" i="12"/>
  <c r="R80" i="12"/>
  <c r="M80" i="12"/>
  <c r="L80" i="12"/>
  <c r="K80" i="12"/>
  <c r="R79" i="12"/>
  <c r="M79" i="12"/>
  <c r="L79" i="12"/>
  <c r="K79" i="12"/>
  <c r="E79" i="12"/>
  <c r="T177" i="12" s="1"/>
  <c r="R78" i="12"/>
  <c r="M78" i="12"/>
  <c r="L78" i="12"/>
  <c r="K78" i="12"/>
  <c r="R77" i="12"/>
  <c r="M77" i="12"/>
  <c r="L77" i="12"/>
  <c r="K77" i="12"/>
  <c r="E77" i="12"/>
  <c r="J176" i="12" s="1"/>
  <c r="R76" i="12"/>
  <c r="M76" i="12"/>
  <c r="L76" i="12"/>
  <c r="K76" i="12"/>
  <c r="R75" i="12"/>
  <c r="M75" i="12"/>
  <c r="L75" i="12"/>
  <c r="K75" i="12"/>
  <c r="E75" i="12"/>
  <c r="R74" i="12"/>
  <c r="M74" i="12"/>
  <c r="L74" i="12"/>
  <c r="K74" i="12"/>
  <c r="R73" i="12"/>
  <c r="M73" i="12"/>
  <c r="L73" i="12"/>
  <c r="K73" i="12"/>
  <c r="R72" i="12"/>
  <c r="M72" i="12"/>
  <c r="L72" i="12"/>
  <c r="K72" i="12"/>
  <c r="R71" i="12"/>
  <c r="M71" i="12"/>
  <c r="L71" i="12"/>
  <c r="K71" i="12"/>
  <c r="E71" i="12"/>
  <c r="H173" i="12" s="1"/>
  <c r="R70" i="12"/>
  <c r="M70" i="12"/>
  <c r="L70" i="12"/>
  <c r="K70" i="12"/>
  <c r="R69" i="12"/>
  <c r="M69" i="12"/>
  <c r="L69" i="12"/>
  <c r="K69" i="12"/>
  <c r="E69" i="12"/>
  <c r="R68" i="12"/>
  <c r="M68" i="12"/>
  <c r="L68" i="12"/>
  <c r="K68" i="12"/>
  <c r="R67" i="12"/>
  <c r="M67" i="12"/>
  <c r="L67" i="12"/>
  <c r="K67" i="12"/>
  <c r="E67" i="12"/>
  <c r="S171" i="12" s="1"/>
  <c r="R66" i="12"/>
  <c r="M66" i="12"/>
  <c r="L66" i="12"/>
  <c r="K66" i="12"/>
  <c r="R65" i="12"/>
  <c r="M65" i="12"/>
  <c r="L65" i="12"/>
  <c r="K65" i="12"/>
  <c r="E65" i="12"/>
  <c r="U170" i="12" s="1"/>
  <c r="R64" i="12"/>
  <c r="M64" i="12"/>
  <c r="L64" i="12"/>
  <c r="K64" i="12"/>
  <c r="R63" i="12"/>
  <c r="M63" i="12"/>
  <c r="L63" i="12"/>
  <c r="K63" i="12"/>
  <c r="E63" i="12"/>
  <c r="R62" i="12"/>
  <c r="M62" i="12"/>
  <c r="L62" i="12"/>
  <c r="K62" i="12"/>
  <c r="R61" i="12"/>
  <c r="M61" i="12"/>
  <c r="L61" i="12"/>
  <c r="K61" i="12"/>
  <c r="R60" i="12"/>
  <c r="M60" i="12"/>
  <c r="L60" i="12"/>
  <c r="K60" i="12"/>
  <c r="R59" i="12"/>
  <c r="M59" i="12"/>
  <c r="L59" i="12"/>
  <c r="K59" i="12"/>
  <c r="R58" i="12"/>
  <c r="M58" i="12"/>
  <c r="L58" i="12"/>
  <c r="K58" i="12"/>
  <c r="R57" i="12"/>
  <c r="M57" i="12"/>
  <c r="L57" i="12"/>
  <c r="K57" i="12"/>
  <c r="R56" i="12"/>
  <c r="M56" i="12"/>
  <c r="L56" i="12"/>
  <c r="K56" i="12"/>
  <c r="R55" i="12"/>
  <c r="M55" i="12"/>
  <c r="L55" i="12"/>
  <c r="K55" i="12"/>
  <c r="E55" i="12"/>
  <c r="R54" i="12"/>
  <c r="M54" i="12"/>
  <c r="L54" i="12"/>
  <c r="K54" i="12"/>
  <c r="R53" i="12"/>
  <c r="M53" i="12"/>
  <c r="L53" i="12"/>
  <c r="K53" i="12"/>
  <c r="R52" i="12"/>
  <c r="M52" i="12"/>
  <c r="L52" i="12"/>
  <c r="K52" i="12"/>
  <c r="R51" i="12"/>
  <c r="M51" i="12"/>
  <c r="L51" i="12"/>
  <c r="K51" i="12"/>
  <c r="R50" i="12"/>
  <c r="M50" i="12"/>
  <c r="L50" i="12"/>
  <c r="K50" i="12"/>
  <c r="R49" i="12"/>
  <c r="M49" i="12"/>
  <c r="L49" i="12"/>
  <c r="K49" i="12"/>
  <c r="E49" i="12"/>
  <c r="R48" i="12"/>
  <c r="M48" i="12"/>
  <c r="L48" i="12"/>
  <c r="K48" i="12"/>
  <c r="R47" i="12"/>
  <c r="M47" i="12"/>
  <c r="L47" i="12"/>
  <c r="K47" i="12"/>
  <c r="E47" i="12"/>
  <c r="U161" i="12" s="1"/>
  <c r="R46" i="12"/>
  <c r="M46" i="12"/>
  <c r="L46" i="12"/>
  <c r="K46" i="12"/>
  <c r="R45" i="12"/>
  <c r="M45" i="12"/>
  <c r="L45" i="12"/>
  <c r="K45" i="12"/>
  <c r="E45" i="12"/>
  <c r="J160" i="12" s="1"/>
  <c r="R44" i="12"/>
  <c r="M44" i="12"/>
  <c r="L44" i="12"/>
  <c r="K44" i="12"/>
  <c r="R43" i="12"/>
  <c r="M43" i="12"/>
  <c r="L43" i="12"/>
  <c r="K43" i="12"/>
  <c r="R42" i="12"/>
  <c r="M42" i="12"/>
  <c r="L42" i="12"/>
  <c r="K42" i="12"/>
  <c r="R41" i="12"/>
  <c r="M41" i="12"/>
  <c r="L41" i="12"/>
  <c r="K41" i="12"/>
  <c r="R40" i="12"/>
  <c r="M40" i="12"/>
  <c r="L40" i="12"/>
  <c r="K40" i="12"/>
  <c r="R39" i="12"/>
  <c r="M39" i="12"/>
  <c r="L39" i="12"/>
  <c r="K39" i="12"/>
  <c r="R38" i="12"/>
  <c r="M38" i="12"/>
  <c r="L38" i="12"/>
  <c r="K38" i="12"/>
  <c r="R37" i="12"/>
  <c r="M37" i="12"/>
  <c r="L37" i="12"/>
  <c r="K37" i="12"/>
  <c r="E37" i="12"/>
  <c r="R36" i="12"/>
  <c r="M36" i="12"/>
  <c r="L36" i="12"/>
  <c r="K36" i="12"/>
  <c r="R35" i="12"/>
  <c r="M35" i="12"/>
  <c r="L35" i="12"/>
  <c r="K35" i="12"/>
  <c r="R34" i="12"/>
  <c r="M34" i="12"/>
  <c r="L34" i="12"/>
  <c r="K34" i="12"/>
  <c r="R33" i="12"/>
  <c r="M33" i="12"/>
  <c r="L33" i="12"/>
  <c r="K33" i="12"/>
  <c r="R32" i="12"/>
  <c r="M32" i="12"/>
  <c r="L32" i="12"/>
  <c r="K32" i="12"/>
  <c r="R31" i="12"/>
  <c r="M31" i="12"/>
  <c r="L31" i="12"/>
  <c r="K31" i="12"/>
  <c r="E31" i="12"/>
  <c r="R30" i="12"/>
  <c r="M30" i="12"/>
  <c r="L30" i="12"/>
  <c r="K30" i="12"/>
  <c r="R29" i="12"/>
  <c r="M29" i="12"/>
  <c r="L29" i="12"/>
  <c r="K29" i="12"/>
  <c r="E29" i="12"/>
  <c r="T152" i="12" s="1"/>
  <c r="R28" i="12"/>
  <c r="M28" i="12"/>
  <c r="L28" i="12"/>
  <c r="K28" i="12"/>
  <c r="R27" i="12"/>
  <c r="M27" i="12"/>
  <c r="L27" i="12"/>
  <c r="K27" i="12"/>
  <c r="R26" i="12"/>
  <c r="M26" i="12"/>
  <c r="L26" i="12"/>
  <c r="K26" i="12"/>
  <c r="R25" i="12"/>
  <c r="M25" i="12"/>
  <c r="L25" i="12"/>
  <c r="K25" i="12"/>
  <c r="R24" i="12"/>
  <c r="M24" i="12"/>
  <c r="L24" i="12"/>
  <c r="K24" i="12"/>
  <c r="R23" i="12"/>
  <c r="M23" i="12"/>
  <c r="L23" i="12"/>
  <c r="K23" i="12"/>
  <c r="E23" i="12"/>
  <c r="H149" i="12" s="1"/>
  <c r="R22" i="12"/>
  <c r="M22" i="12"/>
  <c r="L22" i="12"/>
  <c r="K22" i="12"/>
  <c r="R21" i="12"/>
  <c r="M21" i="12"/>
  <c r="L21" i="12"/>
  <c r="K21" i="12"/>
  <c r="R20" i="12"/>
  <c r="M20" i="12"/>
  <c r="L20" i="12"/>
  <c r="K20" i="12"/>
  <c r="R19" i="12"/>
  <c r="M19" i="12"/>
  <c r="L19" i="12"/>
  <c r="K19" i="12"/>
  <c r="R18" i="12"/>
  <c r="M18" i="12"/>
  <c r="L18" i="12"/>
  <c r="K18" i="12"/>
  <c r="R17" i="12"/>
  <c r="M17" i="12"/>
  <c r="L17" i="12"/>
  <c r="K17" i="12"/>
  <c r="R16" i="12"/>
  <c r="M16" i="12"/>
  <c r="L16" i="12"/>
  <c r="K16" i="12"/>
  <c r="R15" i="12"/>
  <c r="M15" i="12"/>
  <c r="L15" i="12"/>
  <c r="K15" i="12"/>
  <c r="E15" i="12"/>
  <c r="J145" i="12" s="1"/>
  <c r="R14" i="12"/>
  <c r="M14" i="12"/>
  <c r="L14" i="12"/>
  <c r="K14" i="12"/>
  <c r="R13" i="12"/>
  <c r="M13" i="12"/>
  <c r="L13" i="12"/>
  <c r="K13" i="12"/>
  <c r="R12" i="12"/>
  <c r="M12" i="12"/>
  <c r="L12" i="12"/>
  <c r="K12" i="12"/>
  <c r="R11" i="12"/>
  <c r="M11" i="12"/>
  <c r="L11" i="12"/>
  <c r="K11" i="12"/>
  <c r="R10" i="12"/>
  <c r="M10" i="12"/>
  <c r="L10" i="12"/>
  <c r="K10" i="12"/>
  <c r="R9" i="12"/>
  <c r="M9" i="12"/>
  <c r="L9" i="12"/>
  <c r="K9" i="12"/>
  <c r="R8" i="12"/>
  <c r="M8" i="12"/>
  <c r="L8" i="12"/>
  <c r="K8" i="12"/>
  <c r="N69" i="7"/>
  <c r="T142" i="7"/>
  <c r="U142" i="7"/>
  <c r="T145" i="7"/>
  <c r="U145" i="7"/>
  <c r="T146" i="7"/>
  <c r="U146" i="7"/>
  <c r="T147" i="7"/>
  <c r="U147" i="7"/>
  <c r="T148" i="7"/>
  <c r="U148" i="7"/>
  <c r="T149" i="7"/>
  <c r="U149" i="7"/>
  <c r="T150" i="7"/>
  <c r="U150" i="7"/>
  <c r="T151" i="7"/>
  <c r="U151" i="7"/>
  <c r="T152" i="7"/>
  <c r="U152" i="7"/>
  <c r="T153" i="7"/>
  <c r="U153" i="7"/>
  <c r="T154" i="7"/>
  <c r="U154" i="7"/>
  <c r="T155" i="7"/>
  <c r="U155" i="7"/>
  <c r="T156" i="7"/>
  <c r="U156" i="7"/>
  <c r="T157" i="7"/>
  <c r="U157" i="7"/>
  <c r="T158" i="7"/>
  <c r="U158" i="7"/>
  <c r="T159" i="7"/>
  <c r="U159" i="7"/>
  <c r="T160" i="7"/>
  <c r="U160" i="7"/>
  <c r="T161" i="7"/>
  <c r="U161" i="7"/>
  <c r="T162" i="7"/>
  <c r="U162" i="7"/>
  <c r="T163" i="7"/>
  <c r="U163" i="7"/>
  <c r="T164" i="7"/>
  <c r="U164" i="7"/>
  <c r="T165" i="7"/>
  <c r="U165" i="7"/>
  <c r="T166" i="7"/>
  <c r="U166" i="7"/>
  <c r="T167" i="7"/>
  <c r="U167" i="7"/>
  <c r="T168" i="7"/>
  <c r="U168" i="7"/>
  <c r="U169" i="7"/>
  <c r="U170" i="7"/>
  <c r="T171" i="7"/>
  <c r="U171" i="7"/>
  <c r="T174" i="7"/>
  <c r="U174" i="7"/>
  <c r="T178" i="7"/>
  <c r="U178" i="7"/>
  <c r="T182" i="7"/>
  <c r="U182" i="7"/>
  <c r="T186" i="7"/>
  <c r="U186" i="7"/>
  <c r="T188" i="7"/>
  <c r="U188" i="7"/>
  <c r="T190" i="7"/>
  <c r="U190" i="7"/>
  <c r="T191" i="7"/>
  <c r="U191" i="7"/>
  <c r="T192" i="7"/>
  <c r="U192" i="7"/>
  <c r="T193" i="7"/>
  <c r="U193" i="7"/>
  <c r="T194" i="7"/>
  <c r="U194" i="7"/>
  <c r="S194" i="7"/>
  <c r="S193" i="7"/>
  <c r="S192" i="7"/>
  <c r="S191" i="7"/>
  <c r="S190" i="7"/>
  <c r="S188" i="7"/>
  <c r="S186" i="7"/>
  <c r="S182" i="7"/>
  <c r="S178" i="7"/>
  <c r="S174" i="7"/>
  <c r="S171" i="7"/>
  <c r="S170" i="7"/>
  <c r="S169" i="7"/>
  <c r="S168" i="7"/>
  <c r="S167" i="7"/>
  <c r="S166" i="7"/>
  <c r="S165" i="7"/>
  <c r="S164" i="7"/>
  <c r="S163" i="7"/>
  <c r="S162" i="7"/>
  <c r="S161" i="7"/>
  <c r="S160" i="7"/>
  <c r="S159" i="7"/>
  <c r="S158" i="7"/>
  <c r="S157" i="7"/>
  <c r="S156" i="7"/>
  <c r="S155" i="7"/>
  <c r="S154" i="7"/>
  <c r="S153" i="7"/>
  <c r="S152" i="7"/>
  <c r="S151" i="7"/>
  <c r="S150" i="7"/>
  <c r="S149" i="7"/>
  <c r="S148" i="7"/>
  <c r="S147" i="7"/>
  <c r="S146" i="7"/>
  <c r="S145" i="7"/>
  <c r="T176" i="5"/>
  <c r="U176" i="5"/>
  <c r="S176" i="5"/>
  <c r="N69" i="5"/>
  <c r="N70" i="5"/>
  <c r="R75" i="5"/>
  <c r="M75" i="5"/>
  <c r="L75" i="5"/>
  <c r="K75" i="5"/>
  <c r="T143" i="5"/>
  <c r="U143" i="5"/>
  <c r="T146" i="5"/>
  <c r="U146" i="5"/>
  <c r="T147" i="5"/>
  <c r="U147" i="5"/>
  <c r="T148" i="5"/>
  <c r="U148" i="5"/>
  <c r="T149" i="5"/>
  <c r="U149" i="5"/>
  <c r="T151" i="5"/>
  <c r="U151" i="5"/>
  <c r="T153" i="5"/>
  <c r="U153" i="5"/>
  <c r="T155" i="5"/>
  <c r="U155" i="5"/>
  <c r="T156" i="5"/>
  <c r="U156" i="5"/>
  <c r="T157" i="5"/>
  <c r="U157" i="5"/>
  <c r="T159" i="5"/>
  <c r="U159" i="5"/>
  <c r="T160" i="5"/>
  <c r="U160" i="5"/>
  <c r="T161" i="5"/>
  <c r="U161" i="5"/>
  <c r="T162" i="5"/>
  <c r="U162" i="5"/>
  <c r="T163" i="5"/>
  <c r="U163" i="5"/>
  <c r="T167" i="5"/>
  <c r="U167" i="5"/>
  <c r="T168" i="5"/>
  <c r="U168" i="5"/>
  <c r="T171" i="5"/>
  <c r="U171" i="5"/>
  <c r="T175" i="5"/>
  <c r="U175" i="5"/>
  <c r="T179" i="5"/>
  <c r="U179" i="5"/>
  <c r="T180" i="5"/>
  <c r="U180" i="5"/>
  <c r="T183" i="5"/>
  <c r="U183" i="5"/>
  <c r="T187" i="5"/>
  <c r="U187" i="5"/>
  <c r="T191" i="5"/>
  <c r="U191" i="5"/>
  <c r="T192" i="5"/>
  <c r="U192" i="5"/>
  <c r="T193" i="5"/>
  <c r="U193" i="5"/>
  <c r="T194" i="5"/>
  <c r="U194" i="5"/>
  <c r="T195" i="5"/>
  <c r="U195" i="5"/>
  <c r="S195" i="5"/>
  <c r="S194" i="5"/>
  <c r="S193" i="5"/>
  <c r="S192" i="5"/>
  <c r="S191" i="5"/>
  <c r="S187" i="5"/>
  <c r="S183" i="5"/>
  <c r="S180" i="5"/>
  <c r="S179" i="5"/>
  <c r="S175" i="5"/>
  <c r="S171" i="5"/>
  <c r="S168" i="5"/>
  <c r="S167" i="5"/>
  <c r="S163" i="5"/>
  <c r="S162" i="5"/>
  <c r="S161" i="5"/>
  <c r="S160" i="5"/>
  <c r="S159" i="5"/>
  <c r="S157" i="5"/>
  <c r="S156" i="5"/>
  <c r="S155" i="5"/>
  <c r="S153" i="5"/>
  <c r="S151" i="5"/>
  <c r="S149" i="5"/>
  <c r="S148" i="5"/>
  <c r="S147" i="5"/>
  <c r="S146" i="5"/>
  <c r="T153" i="3"/>
  <c r="U153" i="3"/>
  <c r="T154" i="3"/>
  <c r="U154" i="3"/>
  <c r="T155" i="3"/>
  <c r="U155" i="3"/>
  <c r="T156" i="3"/>
  <c r="U156" i="3"/>
  <c r="T157" i="3"/>
  <c r="U157" i="3"/>
  <c r="T158" i="3"/>
  <c r="U158" i="3"/>
  <c r="T159" i="3"/>
  <c r="U159" i="3"/>
  <c r="T160" i="3"/>
  <c r="U160" i="3"/>
  <c r="T161" i="3"/>
  <c r="U161" i="3"/>
  <c r="T162" i="3"/>
  <c r="U162" i="3"/>
  <c r="T163" i="3"/>
  <c r="U163" i="3"/>
  <c r="T164" i="3"/>
  <c r="U164" i="3"/>
  <c r="T165" i="3"/>
  <c r="U165" i="3"/>
  <c r="T166" i="3"/>
  <c r="U166" i="3"/>
  <c r="T167" i="3"/>
  <c r="U167" i="3"/>
  <c r="T168" i="3"/>
  <c r="U168" i="3"/>
  <c r="T169" i="3"/>
  <c r="U169" i="3"/>
  <c r="T170" i="3"/>
  <c r="U170" i="3"/>
  <c r="T171" i="3"/>
  <c r="U171" i="3"/>
  <c r="T172" i="3"/>
  <c r="U172" i="3"/>
  <c r="T173" i="3"/>
  <c r="U173" i="3"/>
  <c r="T174" i="3"/>
  <c r="U174" i="3"/>
  <c r="T175" i="3"/>
  <c r="U175" i="3"/>
  <c r="T176" i="3"/>
  <c r="U176" i="3"/>
  <c r="T177" i="3"/>
  <c r="U177" i="3"/>
  <c r="T178" i="3"/>
  <c r="U178" i="3"/>
  <c r="T180" i="3"/>
  <c r="U180" i="3"/>
  <c r="T181" i="3"/>
  <c r="U181" i="3"/>
  <c r="T185" i="3"/>
  <c r="U185" i="3"/>
  <c r="T189" i="3"/>
  <c r="U189" i="3"/>
  <c r="T193" i="3"/>
  <c r="U193" i="3"/>
  <c r="T196" i="3"/>
  <c r="U196" i="3"/>
  <c r="T197" i="3"/>
  <c r="U197" i="3"/>
  <c r="T201" i="3"/>
  <c r="U201" i="3"/>
  <c r="T202" i="3"/>
  <c r="U202" i="3"/>
  <c r="T204" i="3"/>
  <c r="U204" i="3"/>
  <c r="T205" i="3"/>
  <c r="U205" i="3"/>
  <c r="S204" i="3"/>
  <c r="S202" i="3"/>
  <c r="S201" i="3"/>
  <c r="S197" i="3"/>
  <c r="S196" i="3"/>
  <c r="S193" i="3"/>
  <c r="S189" i="3"/>
  <c r="S185" i="3"/>
  <c r="S181" i="3"/>
  <c r="S180" i="3"/>
  <c r="S178" i="3"/>
  <c r="S177" i="3"/>
  <c r="S176" i="3"/>
  <c r="S175" i="3"/>
  <c r="S174" i="3"/>
  <c r="S173" i="3"/>
  <c r="S172" i="3"/>
  <c r="S171" i="3"/>
  <c r="S170" i="3"/>
  <c r="S169" i="3"/>
  <c r="S168" i="3"/>
  <c r="S167" i="3"/>
  <c r="S166" i="3"/>
  <c r="S165" i="3"/>
  <c r="S164" i="3"/>
  <c r="S163" i="3"/>
  <c r="S162" i="3"/>
  <c r="S161" i="3"/>
  <c r="S160" i="3"/>
  <c r="S159" i="3"/>
  <c r="S158" i="3"/>
  <c r="S157" i="3"/>
  <c r="S156" i="3"/>
  <c r="S155" i="3"/>
  <c r="S154" i="3"/>
  <c r="R46" i="13"/>
  <c r="R47" i="13"/>
  <c r="R48" i="13"/>
  <c r="R49" i="13"/>
  <c r="R50" i="13"/>
  <c r="R51" i="13"/>
  <c r="R52" i="13"/>
  <c r="R53" i="13"/>
  <c r="R54" i="13"/>
  <c r="R55" i="13"/>
  <c r="R56" i="13"/>
  <c r="R57" i="13"/>
  <c r="R58" i="13"/>
  <c r="R59" i="13"/>
  <c r="R60" i="13"/>
  <c r="R61" i="13"/>
  <c r="R62" i="13"/>
  <c r="R63" i="13"/>
  <c r="R64" i="13"/>
  <c r="R65" i="13"/>
  <c r="R66" i="13"/>
  <c r="R67" i="13"/>
  <c r="R68" i="13"/>
  <c r="R69" i="13"/>
  <c r="R70" i="13"/>
  <c r="R71" i="13"/>
  <c r="R72" i="13"/>
  <c r="R73" i="13"/>
  <c r="R74" i="13"/>
  <c r="R75" i="13"/>
  <c r="R76" i="13"/>
  <c r="R77" i="13"/>
  <c r="R78" i="13"/>
  <c r="R79" i="13"/>
  <c r="R80" i="13"/>
  <c r="R81" i="13"/>
  <c r="R82" i="13"/>
  <c r="R83" i="13"/>
  <c r="R84" i="13"/>
  <c r="R85" i="13"/>
  <c r="R86" i="13"/>
  <c r="R87" i="13"/>
  <c r="R88" i="13"/>
  <c r="R89" i="13"/>
  <c r="R90" i="13"/>
  <c r="R91" i="13"/>
  <c r="R92" i="13"/>
  <c r="R93" i="13"/>
  <c r="R94" i="13"/>
  <c r="R95" i="13"/>
  <c r="R96" i="13"/>
  <c r="R97" i="13"/>
  <c r="R98" i="13"/>
  <c r="R99" i="13"/>
  <c r="R100" i="13"/>
  <c r="R101" i="13"/>
  <c r="R102" i="13"/>
  <c r="R103" i="13"/>
  <c r="R104" i="13"/>
  <c r="R105" i="13"/>
  <c r="R106" i="13"/>
  <c r="R107" i="13"/>
  <c r="R108" i="13"/>
  <c r="R109" i="13"/>
  <c r="R110" i="13"/>
  <c r="R111" i="13"/>
  <c r="R112" i="13"/>
  <c r="R113" i="13"/>
  <c r="R114" i="13"/>
  <c r="R115" i="13"/>
  <c r="R116" i="13"/>
  <c r="R117" i="13"/>
  <c r="R118" i="13"/>
  <c r="R119" i="13"/>
  <c r="R120" i="13"/>
  <c r="R121" i="13"/>
  <c r="R122" i="13"/>
  <c r="R123" i="13"/>
  <c r="R124" i="13"/>
  <c r="R125" i="13"/>
  <c r="R126" i="13"/>
  <c r="R127" i="13"/>
  <c r="R45" i="13"/>
  <c r="H172" i="13" s="1"/>
  <c r="M80" i="13"/>
  <c r="L80" i="13"/>
  <c r="K80" i="13"/>
  <c r="N126" i="13"/>
  <c r="M75" i="13"/>
  <c r="L75" i="13"/>
  <c r="K75" i="13"/>
  <c r="M76" i="13"/>
  <c r="L76" i="13"/>
  <c r="K76" i="13"/>
  <c r="M67" i="13"/>
  <c r="L67" i="13"/>
  <c r="K67" i="13"/>
  <c r="T193" i="1"/>
  <c r="U193" i="1"/>
  <c r="T194" i="1"/>
  <c r="U194" i="1"/>
  <c r="T197" i="1"/>
  <c r="U197" i="1"/>
  <c r="S197" i="1"/>
  <c r="S194" i="1"/>
  <c r="S193" i="1"/>
  <c r="T154" i="1"/>
  <c r="U154" i="1"/>
  <c r="T159" i="1"/>
  <c r="U159" i="1"/>
  <c r="T163" i="1"/>
  <c r="U163" i="1"/>
  <c r="T165" i="1"/>
  <c r="U165" i="1"/>
  <c r="S165" i="1"/>
  <c r="S163" i="1"/>
  <c r="S159" i="1"/>
  <c r="S154" i="1"/>
  <c r="M47" i="38"/>
  <c r="L47" i="38"/>
  <c r="K47" i="38"/>
  <c r="M46" i="38"/>
  <c r="L46" i="38"/>
  <c r="K46" i="38"/>
  <c r="M36" i="38"/>
  <c r="L36" i="38"/>
  <c r="K36" i="38"/>
  <c r="R10" i="37"/>
  <c r="R11" i="37"/>
  <c r="R12" i="37"/>
  <c r="R13" i="37"/>
  <c r="R16" i="37"/>
  <c r="R20" i="37"/>
  <c r="R21" i="37"/>
  <c r="R22" i="37"/>
  <c r="R23" i="37"/>
  <c r="R24" i="37"/>
  <c r="R27" i="37"/>
  <c r="R28" i="37"/>
  <c r="R29" i="37"/>
  <c r="R30" i="37"/>
  <c r="R31" i="37"/>
  <c r="R32" i="37"/>
  <c r="R33" i="37"/>
  <c r="R34" i="37"/>
  <c r="R35" i="37"/>
  <c r="R36" i="37"/>
  <c r="R37" i="37"/>
  <c r="R38" i="37"/>
  <c r="R39" i="37"/>
  <c r="R40" i="37"/>
  <c r="R41" i="37"/>
  <c r="R42" i="37"/>
  <c r="R43" i="37"/>
  <c r="R45" i="37"/>
  <c r="R46" i="37"/>
  <c r="R47" i="37"/>
  <c r="R48" i="37"/>
  <c r="R49" i="37"/>
  <c r="R50" i="37"/>
  <c r="R51" i="37"/>
  <c r="R52" i="37"/>
  <c r="R53" i="37"/>
  <c r="R54" i="37"/>
  <c r="R55" i="37"/>
  <c r="R56" i="37"/>
  <c r="R57" i="37"/>
  <c r="R58" i="37"/>
  <c r="M45" i="37"/>
  <c r="L45" i="37"/>
  <c r="K45" i="37"/>
  <c r="R7" i="36"/>
  <c r="H113" i="36" s="1"/>
  <c r="R8" i="36"/>
  <c r="R9" i="36"/>
  <c r="R10" i="36"/>
  <c r="R11" i="36"/>
  <c r="R12" i="36"/>
  <c r="R13" i="36"/>
  <c r="R14" i="36"/>
  <c r="R15" i="36"/>
  <c r="R16" i="36"/>
  <c r="R17" i="36"/>
  <c r="R18" i="36"/>
  <c r="R19" i="36"/>
  <c r="R23" i="36"/>
  <c r="R26" i="36"/>
  <c r="R27" i="36"/>
  <c r="R28" i="36"/>
  <c r="R29" i="36"/>
  <c r="R30" i="36"/>
  <c r="R31" i="36"/>
  <c r="R32" i="36"/>
  <c r="R33" i="36"/>
  <c r="R34" i="36"/>
  <c r="R35" i="36"/>
  <c r="R36" i="36"/>
  <c r="R37" i="36"/>
  <c r="R38" i="36"/>
  <c r="R39" i="36"/>
  <c r="R40" i="36"/>
  <c r="R41" i="36"/>
  <c r="R42" i="36"/>
  <c r="R43" i="36"/>
  <c r="R44" i="36"/>
  <c r="R48" i="36"/>
  <c r="R49" i="36"/>
  <c r="R50" i="36"/>
  <c r="R51" i="36"/>
  <c r="R52" i="36"/>
  <c r="R53" i="36"/>
  <c r="R54" i="36"/>
  <c r="R55" i="36"/>
  <c r="R56" i="36"/>
  <c r="R57" i="36"/>
  <c r="R58" i="36"/>
  <c r="R59" i="36"/>
  <c r="R60" i="36"/>
  <c r="R61" i="36"/>
  <c r="R62" i="36"/>
  <c r="R63" i="36"/>
  <c r="R64" i="36"/>
  <c r="M62" i="36"/>
  <c r="K62" i="36"/>
  <c r="M61" i="36"/>
  <c r="L61" i="36"/>
  <c r="K61" i="36"/>
  <c r="M60" i="36"/>
  <c r="L60" i="36"/>
  <c r="K60" i="36"/>
  <c r="M57" i="36"/>
  <c r="L57" i="36"/>
  <c r="K57" i="36"/>
  <c r="M56" i="36"/>
  <c r="L56" i="36"/>
  <c r="K56" i="36"/>
  <c r="M53" i="36"/>
  <c r="L53" i="36"/>
  <c r="K53" i="36"/>
  <c r="M50" i="36"/>
  <c r="L50" i="36"/>
  <c r="K50" i="36"/>
  <c r="M41" i="36"/>
  <c r="L41" i="36"/>
  <c r="K41" i="36"/>
  <c r="M40" i="36"/>
  <c r="L40" i="36"/>
  <c r="K40" i="36"/>
  <c r="R7" i="35"/>
  <c r="L121" i="35" s="1"/>
  <c r="R8" i="35"/>
  <c r="R9" i="35"/>
  <c r="R11" i="35"/>
  <c r="R7" i="34"/>
  <c r="R8" i="34"/>
  <c r="R9" i="34"/>
  <c r="R10" i="34"/>
  <c r="R11" i="34"/>
  <c r="R12" i="34"/>
  <c r="R13" i="34"/>
  <c r="R14" i="34"/>
  <c r="R15" i="34"/>
  <c r="R26" i="34"/>
  <c r="R27" i="34"/>
  <c r="R28" i="34"/>
  <c r="R29" i="34"/>
  <c r="R30" i="34"/>
  <c r="R31" i="34"/>
  <c r="R32" i="34"/>
  <c r="R33" i="34"/>
  <c r="R34" i="34"/>
  <c r="R35" i="34"/>
  <c r="R36" i="34"/>
  <c r="R37" i="34"/>
  <c r="R38" i="34"/>
  <c r="R39" i="34"/>
  <c r="R40" i="34"/>
  <c r="R41" i="34"/>
  <c r="R42" i="34"/>
  <c r="R43" i="34"/>
  <c r="R44" i="34"/>
  <c r="R51" i="34"/>
  <c r="R52" i="34"/>
  <c r="R53" i="34"/>
  <c r="M43" i="34"/>
  <c r="L43" i="34"/>
  <c r="K43" i="34"/>
  <c r="M42" i="34"/>
  <c r="L42" i="34"/>
  <c r="K42" i="34"/>
  <c r="M37" i="34"/>
  <c r="L37" i="34"/>
  <c r="K37" i="34"/>
  <c r="M32" i="34"/>
  <c r="L32" i="34"/>
  <c r="K32" i="34"/>
  <c r="R8" i="32"/>
  <c r="R9" i="32"/>
  <c r="R10" i="32"/>
  <c r="R11" i="32"/>
  <c r="R12" i="32"/>
  <c r="R13" i="32"/>
  <c r="R14" i="32"/>
  <c r="R15" i="32"/>
  <c r="R16" i="32"/>
  <c r="R17" i="32"/>
  <c r="R18" i="32"/>
  <c r="R19" i="32"/>
  <c r="R20" i="32"/>
  <c r="R21" i="32"/>
  <c r="R22" i="32"/>
  <c r="R23" i="32"/>
  <c r="R24" i="32"/>
  <c r="R25" i="32"/>
  <c r="R26" i="32"/>
  <c r="R27" i="32"/>
  <c r="R28" i="32"/>
  <c r="R29" i="32"/>
  <c r="R30" i="32"/>
  <c r="R31" i="32"/>
  <c r="R32" i="32"/>
  <c r="R33" i="32"/>
  <c r="R34" i="32"/>
  <c r="R35" i="32"/>
  <c r="R37" i="32"/>
  <c r="R38" i="32"/>
  <c r="R39" i="32"/>
  <c r="R40" i="32"/>
  <c r="R41" i="32"/>
  <c r="R42" i="32"/>
  <c r="R43" i="32"/>
  <c r="R44" i="32"/>
  <c r="R45" i="32"/>
  <c r="R46" i="32"/>
  <c r="R47" i="32"/>
  <c r="R48" i="32"/>
  <c r="R49" i="32"/>
  <c r="R50" i="32"/>
  <c r="R51" i="32"/>
  <c r="R52" i="32"/>
  <c r="R53" i="32"/>
  <c r="R36" i="32"/>
  <c r="M52" i="32"/>
  <c r="L52" i="32"/>
  <c r="M43" i="32"/>
  <c r="L43" i="32"/>
  <c r="K43" i="32"/>
  <c r="R31" i="31"/>
  <c r="R32" i="31"/>
  <c r="R33" i="31"/>
  <c r="R34" i="31"/>
  <c r="R35" i="31"/>
  <c r="R36" i="31"/>
  <c r="R37" i="31"/>
  <c r="R38" i="31"/>
  <c r="R39" i="31"/>
  <c r="R40" i="31"/>
  <c r="R41" i="31"/>
  <c r="R42" i="31"/>
  <c r="R43" i="31"/>
  <c r="R44" i="31"/>
  <c r="R45" i="31"/>
  <c r="R46" i="31"/>
  <c r="R47" i="31"/>
  <c r="R48" i="31"/>
  <c r="R30" i="31"/>
  <c r="M13" i="31"/>
  <c r="L13" i="31"/>
  <c r="K13" i="31"/>
  <c r="R7" i="29"/>
  <c r="J85" i="29" s="1"/>
  <c r="R8" i="29"/>
  <c r="R9" i="29"/>
  <c r="R10" i="29"/>
  <c r="R11" i="29"/>
  <c r="R12" i="29"/>
  <c r="R13" i="29"/>
  <c r="R14" i="29"/>
  <c r="R15" i="29"/>
  <c r="R16" i="29"/>
  <c r="R17" i="29"/>
  <c r="R18" i="29"/>
  <c r="R19" i="29"/>
  <c r="R20" i="29"/>
  <c r="R21" i="29"/>
  <c r="R22" i="29"/>
  <c r="R24" i="29"/>
  <c r="R25" i="29"/>
  <c r="R27" i="29"/>
  <c r="R28" i="29"/>
  <c r="R29" i="29"/>
  <c r="R30" i="29"/>
  <c r="R31" i="29"/>
  <c r="R32" i="29"/>
  <c r="R33" i="29"/>
  <c r="R34" i="29"/>
  <c r="R36" i="29"/>
  <c r="R37" i="29"/>
  <c r="R38" i="29"/>
  <c r="R39" i="29"/>
  <c r="R42" i="29"/>
  <c r="R43" i="29"/>
  <c r="R44" i="29"/>
  <c r="R45" i="29"/>
  <c r="R46" i="29"/>
  <c r="R47" i="29"/>
  <c r="R48" i="29"/>
  <c r="R49" i="29"/>
  <c r="H104" i="29" s="1"/>
  <c r="R50" i="29"/>
  <c r="R51" i="29"/>
  <c r="R52" i="29"/>
  <c r="J105" i="29" s="1"/>
  <c r="R53" i="29"/>
  <c r="R55" i="29"/>
  <c r="R56" i="29"/>
  <c r="R57" i="29"/>
  <c r="M55" i="29"/>
  <c r="L55" i="29"/>
  <c r="K55" i="29"/>
  <c r="R7" i="30"/>
  <c r="R8" i="30"/>
  <c r="R9" i="30"/>
  <c r="R10" i="30"/>
  <c r="R11" i="30"/>
  <c r="R12" i="30"/>
  <c r="R13" i="30"/>
  <c r="R14" i="30"/>
  <c r="R15" i="30"/>
  <c r="R16" i="30"/>
  <c r="R17" i="30"/>
  <c r="R18" i="30"/>
  <c r="R19" i="30"/>
  <c r="R20" i="30"/>
  <c r="R21" i="30"/>
  <c r="R22" i="30"/>
  <c r="R23" i="30"/>
  <c r="R24" i="30"/>
  <c r="R25" i="30"/>
  <c r="R26" i="30"/>
  <c r="R27" i="30"/>
  <c r="R28" i="30"/>
  <c r="R29" i="30"/>
  <c r="R30" i="30"/>
  <c r="R31" i="30"/>
  <c r="R32" i="30"/>
  <c r="R33" i="30"/>
  <c r="R34" i="30"/>
  <c r="R35" i="30"/>
  <c r="R36" i="30"/>
  <c r="R8" i="28"/>
  <c r="R9" i="28"/>
  <c r="R10" i="28"/>
  <c r="R11" i="28"/>
  <c r="L93" i="28" s="1"/>
  <c r="R12" i="28"/>
  <c r="R13" i="28"/>
  <c r="R14" i="28"/>
  <c r="R15" i="28"/>
  <c r="R16" i="28"/>
  <c r="R17" i="28"/>
  <c r="R18" i="28"/>
  <c r="J96" i="28" s="1"/>
  <c r="R19" i="28"/>
  <c r="R20" i="28"/>
  <c r="R21" i="28"/>
  <c r="R23" i="28"/>
  <c r="R24" i="28"/>
  <c r="R25" i="28"/>
  <c r="R26" i="28"/>
  <c r="R27" i="28"/>
  <c r="R28" i="28"/>
  <c r="R29" i="28"/>
  <c r="R30" i="28"/>
  <c r="R31" i="28"/>
  <c r="R32" i="28"/>
  <c r="R33" i="28"/>
  <c r="R34" i="28"/>
  <c r="R35" i="28"/>
  <c r="R36" i="28"/>
  <c r="R37" i="28"/>
  <c r="R38" i="28"/>
  <c r="R39" i="28"/>
  <c r="R40" i="28"/>
  <c r="R41" i="28"/>
  <c r="R42" i="28"/>
  <c r="R43" i="28"/>
  <c r="R44" i="28"/>
  <c r="R45" i="28"/>
  <c r="R46" i="28"/>
  <c r="R47" i="28"/>
  <c r="R48" i="28"/>
  <c r="R49" i="28"/>
  <c r="R50" i="28"/>
  <c r="R51" i="28"/>
  <c r="R52" i="28"/>
  <c r="R53" i="28"/>
  <c r="R54" i="28"/>
  <c r="R55" i="28"/>
  <c r="R56" i="28"/>
  <c r="M30" i="30"/>
  <c r="L30" i="30"/>
  <c r="K30" i="30"/>
  <c r="M29" i="30"/>
  <c r="L29" i="30"/>
  <c r="K29" i="30"/>
  <c r="M24" i="30"/>
  <c r="L24" i="30"/>
  <c r="K24" i="30"/>
  <c r="M14" i="30"/>
  <c r="L14" i="30"/>
  <c r="K14" i="30"/>
  <c r="M8" i="30"/>
  <c r="L8" i="30"/>
  <c r="K8" i="30"/>
  <c r="E48" i="28"/>
  <c r="U110" i="28" s="1"/>
  <c r="E39" i="28"/>
  <c r="U106" i="28" s="1"/>
  <c r="E33" i="28"/>
  <c r="U103" i="28" s="1"/>
  <c r="M50" i="28"/>
  <c r="L50" i="28"/>
  <c r="K50" i="28"/>
  <c r="M49" i="28"/>
  <c r="L49" i="28"/>
  <c r="K49" i="28"/>
  <c r="M39" i="28"/>
  <c r="L39" i="28"/>
  <c r="K39" i="28"/>
  <c r="M51" i="38"/>
  <c r="L51" i="38"/>
  <c r="K51" i="38"/>
  <c r="M50" i="38"/>
  <c r="L50" i="38"/>
  <c r="K50" i="38"/>
  <c r="M49" i="38"/>
  <c r="L49" i="38"/>
  <c r="K49" i="38"/>
  <c r="M48" i="38"/>
  <c r="L48" i="38"/>
  <c r="K48" i="38"/>
  <c r="M45" i="38"/>
  <c r="L45" i="38"/>
  <c r="K45" i="38"/>
  <c r="M44" i="38"/>
  <c r="L44" i="38"/>
  <c r="K44" i="38"/>
  <c r="M43" i="38"/>
  <c r="L43" i="38"/>
  <c r="K43" i="38"/>
  <c r="M42" i="38"/>
  <c r="L42" i="38"/>
  <c r="K42" i="38"/>
  <c r="M41" i="38"/>
  <c r="L41" i="38"/>
  <c r="K41" i="38"/>
  <c r="M40" i="38"/>
  <c r="L40" i="38"/>
  <c r="K40" i="38"/>
  <c r="M39" i="38"/>
  <c r="L39" i="38"/>
  <c r="K39" i="38"/>
  <c r="M38" i="38"/>
  <c r="L38" i="38"/>
  <c r="K38" i="38"/>
  <c r="M37" i="38"/>
  <c r="L37" i="38"/>
  <c r="K37" i="38"/>
  <c r="M35" i="38"/>
  <c r="L35" i="38"/>
  <c r="K35" i="38"/>
  <c r="M34" i="38"/>
  <c r="L34" i="38"/>
  <c r="K34" i="38"/>
  <c r="M33" i="38"/>
  <c r="L33" i="38"/>
  <c r="K33" i="38"/>
  <c r="M31" i="38"/>
  <c r="L31" i="38"/>
  <c r="K31" i="38"/>
  <c r="M30" i="38"/>
  <c r="L30" i="38"/>
  <c r="K30" i="38"/>
  <c r="M29" i="38"/>
  <c r="L29" i="38"/>
  <c r="K29" i="38"/>
  <c r="M28" i="38"/>
  <c r="L28" i="38"/>
  <c r="K28" i="38"/>
  <c r="M27" i="38"/>
  <c r="L27" i="38"/>
  <c r="K27" i="38"/>
  <c r="M26" i="38"/>
  <c r="L26" i="38"/>
  <c r="K26" i="38"/>
  <c r="M24" i="38"/>
  <c r="L24" i="38"/>
  <c r="K24" i="38"/>
  <c r="M23" i="38"/>
  <c r="L23" i="38"/>
  <c r="K23" i="38"/>
  <c r="M20" i="38"/>
  <c r="L20" i="38"/>
  <c r="K20" i="38"/>
  <c r="M19" i="38"/>
  <c r="L19" i="38"/>
  <c r="K19" i="38"/>
  <c r="M18" i="38"/>
  <c r="L18" i="38"/>
  <c r="K18" i="38"/>
  <c r="M17" i="38"/>
  <c r="L17" i="38"/>
  <c r="K17" i="38"/>
  <c r="M16" i="38"/>
  <c r="L16" i="38"/>
  <c r="K16" i="38"/>
  <c r="M15" i="38"/>
  <c r="L15" i="38"/>
  <c r="K15" i="38"/>
  <c r="M14" i="38"/>
  <c r="L14" i="38"/>
  <c r="K14" i="38"/>
  <c r="M13" i="38"/>
  <c r="L13" i="38"/>
  <c r="K13" i="38"/>
  <c r="M12" i="38"/>
  <c r="L12" i="38"/>
  <c r="K12" i="38"/>
  <c r="M11" i="38"/>
  <c r="L11" i="38"/>
  <c r="K11" i="38"/>
  <c r="M10" i="38"/>
  <c r="L10" i="38"/>
  <c r="K10" i="38"/>
  <c r="M9" i="38"/>
  <c r="L9" i="38"/>
  <c r="K9" i="38"/>
  <c r="L8" i="38"/>
  <c r="D89" i="38"/>
  <c r="L7" i="38"/>
  <c r="C89" i="38" s="1"/>
  <c r="M58" i="37"/>
  <c r="L58" i="37"/>
  <c r="K58" i="37"/>
  <c r="M57" i="37"/>
  <c r="L57" i="37"/>
  <c r="K57" i="37"/>
  <c r="M56" i="37"/>
  <c r="L56" i="37"/>
  <c r="K56" i="37"/>
  <c r="M55" i="37"/>
  <c r="L55" i="37"/>
  <c r="K55" i="37"/>
  <c r="M54" i="37"/>
  <c r="L54" i="37"/>
  <c r="K54" i="37"/>
  <c r="M53" i="37"/>
  <c r="L53" i="37"/>
  <c r="K53" i="37"/>
  <c r="M52" i="37"/>
  <c r="L52" i="37"/>
  <c r="K52" i="37"/>
  <c r="M51" i="37"/>
  <c r="L51" i="37"/>
  <c r="K51" i="37"/>
  <c r="M50" i="37"/>
  <c r="L50" i="37"/>
  <c r="K50" i="37"/>
  <c r="M49" i="37"/>
  <c r="L49" i="37"/>
  <c r="K49" i="37"/>
  <c r="M48" i="37"/>
  <c r="L48" i="37"/>
  <c r="K48" i="37"/>
  <c r="M47" i="37"/>
  <c r="L47" i="37"/>
  <c r="K47" i="37"/>
  <c r="M46" i="37"/>
  <c r="L46" i="37"/>
  <c r="K46" i="37"/>
  <c r="M43" i="37"/>
  <c r="L43" i="37"/>
  <c r="K43" i="37"/>
  <c r="M42" i="37"/>
  <c r="L42" i="37"/>
  <c r="K42" i="37"/>
  <c r="M41" i="37"/>
  <c r="L41" i="37"/>
  <c r="K41" i="37"/>
  <c r="M40" i="37"/>
  <c r="L40" i="37"/>
  <c r="K40" i="37"/>
  <c r="M39" i="37"/>
  <c r="L39" i="37"/>
  <c r="K39" i="37"/>
  <c r="M38" i="37"/>
  <c r="L38" i="37"/>
  <c r="K38" i="37"/>
  <c r="M37" i="37"/>
  <c r="L37" i="37"/>
  <c r="K37" i="37"/>
  <c r="M36" i="37"/>
  <c r="L36" i="37"/>
  <c r="K36" i="37"/>
  <c r="M35" i="37"/>
  <c r="L35" i="37"/>
  <c r="K35" i="37"/>
  <c r="M34" i="37"/>
  <c r="L34" i="37"/>
  <c r="K34" i="37"/>
  <c r="M33" i="37"/>
  <c r="L33" i="37"/>
  <c r="K33" i="37"/>
  <c r="M32" i="37"/>
  <c r="L32" i="37"/>
  <c r="K32" i="37"/>
  <c r="M31" i="37"/>
  <c r="L31" i="37"/>
  <c r="K31" i="37"/>
  <c r="M30" i="37"/>
  <c r="L30" i="37"/>
  <c r="K30" i="37"/>
  <c r="M29" i="37"/>
  <c r="L29" i="37"/>
  <c r="K29" i="37"/>
  <c r="M28" i="37"/>
  <c r="L28" i="37"/>
  <c r="K28" i="37"/>
  <c r="M27" i="37"/>
  <c r="L27" i="37"/>
  <c r="K27" i="37"/>
  <c r="M24" i="37"/>
  <c r="L24" i="37"/>
  <c r="K24" i="37"/>
  <c r="M23" i="37"/>
  <c r="L23" i="37"/>
  <c r="K23" i="37"/>
  <c r="M22" i="37"/>
  <c r="L22" i="37"/>
  <c r="K22" i="37"/>
  <c r="M21" i="37"/>
  <c r="L21" i="37"/>
  <c r="K21" i="37"/>
  <c r="M20" i="37"/>
  <c r="L20" i="37"/>
  <c r="K20" i="37"/>
  <c r="M19" i="37"/>
  <c r="L19" i="37"/>
  <c r="K19" i="37"/>
  <c r="M17" i="37"/>
  <c r="L17" i="37"/>
  <c r="K17" i="37"/>
  <c r="M16" i="37"/>
  <c r="L16" i="37"/>
  <c r="K16" i="37"/>
  <c r="M13" i="37"/>
  <c r="L13" i="37"/>
  <c r="K13" i="37"/>
  <c r="M12" i="37"/>
  <c r="L12" i="37"/>
  <c r="K12" i="37"/>
  <c r="M11" i="37"/>
  <c r="K11" i="37"/>
  <c r="M64" i="36"/>
  <c r="L64" i="36"/>
  <c r="M63" i="36"/>
  <c r="K63" i="36"/>
  <c r="M59" i="36"/>
  <c r="L59" i="36"/>
  <c r="K59" i="36"/>
  <c r="M58" i="36"/>
  <c r="L58" i="36"/>
  <c r="K58" i="36"/>
  <c r="M55" i="36"/>
  <c r="L55" i="36"/>
  <c r="K55" i="36"/>
  <c r="M54" i="36"/>
  <c r="L54" i="36"/>
  <c r="K54" i="36"/>
  <c r="M52" i="36"/>
  <c r="L52" i="36"/>
  <c r="K52" i="36"/>
  <c r="M51" i="36"/>
  <c r="L51" i="36"/>
  <c r="K51" i="36"/>
  <c r="M49" i="36"/>
  <c r="L49" i="36"/>
  <c r="K49" i="36"/>
  <c r="M48" i="36"/>
  <c r="L48" i="36"/>
  <c r="K48" i="36"/>
  <c r="M44" i="36"/>
  <c r="L44" i="36"/>
  <c r="K44" i="36"/>
  <c r="M43" i="36"/>
  <c r="L43" i="36"/>
  <c r="K43" i="36"/>
  <c r="M42" i="36"/>
  <c r="L42" i="36"/>
  <c r="K42" i="36"/>
  <c r="M39" i="36"/>
  <c r="L39" i="36"/>
  <c r="K39" i="36"/>
  <c r="M38" i="36"/>
  <c r="L38" i="36"/>
  <c r="K38" i="36"/>
  <c r="M37" i="36"/>
  <c r="L37" i="36"/>
  <c r="K37" i="36"/>
  <c r="M36" i="36"/>
  <c r="M35" i="36"/>
  <c r="M34" i="36"/>
  <c r="M33" i="36"/>
  <c r="M32" i="36"/>
  <c r="M31" i="36"/>
  <c r="M30" i="36"/>
  <c r="M29" i="36"/>
  <c r="M28" i="36"/>
  <c r="M27" i="36"/>
  <c r="M26" i="36"/>
  <c r="M24" i="36"/>
  <c r="M23" i="36"/>
  <c r="M22" i="36"/>
  <c r="M21" i="36"/>
  <c r="M19" i="36"/>
  <c r="L19" i="36"/>
  <c r="M18" i="36"/>
  <c r="L18" i="36"/>
  <c r="K18" i="36"/>
  <c r="M17" i="36"/>
  <c r="L17" i="36"/>
  <c r="K17" i="36"/>
  <c r="M16" i="36"/>
  <c r="L16" i="36"/>
  <c r="K16" i="36"/>
  <c r="M15" i="36"/>
  <c r="L15" i="36"/>
  <c r="K15" i="36"/>
  <c r="M14" i="36"/>
  <c r="L14" i="36"/>
  <c r="K14" i="36"/>
  <c r="M13" i="36"/>
  <c r="L13" i="36"/>
  <c r="K13" i="36"/>
  <c r="M12" i="36"/>
  <c r="L12" i="36"/>
  <c r="K12" i="36"/>
  <c r="M11" i="36"/>
  <c r="L11" i="36"/>
  <c r="K11" i="36"/>
  <c r="M10" i="36"/>
  <c r="L10" i="36"/>
  <c r="K10" i="36"/>
  <c r="M9" i="36"/>
  <c r="L9" i="36"/>
  <c r="K9" i="36"/>
  <c r="M8" i="36"/>
  <c r="L8" i="36"/>
  <c r="K8" i="36"/>
  <c r="M7" i="36"/>
  <c r="D113" i="36" s="1"/>
  <c r="L7" i="36"/>
  <c r="C113" i="36" s="1"/>
  <c r="K7" i="36"/>
  <c r="B113" i="36" s="1"/>
  <c r="K37" i="35"/>
  <c r="K36" i="35"/>
  <c r="K35" i="35"/>
  <c r="M23" i="35"/>
  <c r="M22" i="35"/>
  <c r="M21" i="35"/>
  <c r="L21" i="35"/>
  <c r="K21" i="35"/>
  <c r="M18" i="35"/>
  <c r="L18" i="35"/>
  <c r="K18" i="35"/>
  <c r="M17" i="35"/>
  <c r="L17" i="35"/>
  <c r="K17" i="35"/>
  <c r="M16" i="35"/>
  <c r="L16" i="35"/>
  <c r="K16" i="35"/>
  <c r="M15" i="35"/>
  <c r="L15" i="35"/>
  <c r="K15" i="35"/>
  <c r="M14" i="35"/>
  <c r="L14" i="35"/>
  <c r="K14" i="35"/>
  <c r="M13" i="35"/>
  <c r="L13" i="35"/>
  <c r="K13" i="35"/>
  <c r="M53" i="34"/>
  <c r="L53" i="34"/>
  <c r="K53" i="34"/>
  <c r="M52" i="34"/>
  <c r="L52" i="34"/>
  <c r="K52" i="34"/>
  <c r="M51" i="34"/>
  <c r="L51" i="34"/>
  <c r="K51" i="34"/>
  <c r="M50" i="34"/>
  <c r="L50" i="34"/>
  <c r="K50" i="34"/>
  <c r="M49" i="34"/>
  <c r="L49" i="34"/>
  <c r="K49" i="34"/>
  <c r="M48" i="34"/>
  <c r="L48" i="34"/>
  <c r="K48" i="34"/>
  <c r="M47" i="34"/>
  <c r="L47" i="34"/>
  <c r="K47" i="34"/>
  <c r="M46" i="34"/>
  <c r="L46" i="34"/>
  <c r="K46" i="34"/>
  <c r="M45" i="34"/>
  <c r="L45" i="34"/>
  <c r="K45" i="34"/>
  <c r="M44" i="34"/>
  <c r="L44" i="34"/>
  <c r="K44" i="34"/>
  <c r="M41" i="34"/>
  <c r="L41" i="34"/>
  <c r="K41" i="34"/>
  <c r="M40" i="34"/>
  <c r="L40" i="34"/>
  <c r="K40" i="34"/>
  <c r="M39" i="34"/>
  <c r="L39" i="34"/>
  <c r="K39" i="34"/>
  <c r="M38" i="34"/>
  <c r="L38" i="34"/>
  <c r="K38" i="34"/>
  <c r="M36" i="34"/>
  <c r="L36" i="34"/>
  <c r="K36" i="34"/>
  <c r="M35" i="34"/>
  <c r="L35" i="34"/>
  <c r="K35" i="34"/>
  <c r="M34" i="34"/>
  <c r="L34" i="34"/>
  <c r="K34" i="34"/>
  <c r="M33" i="34"/>
  <c r="L33" i="34"/>
  <c r="K33" i="34"/>
  <c r="M31" i="34"/>
  <c r="L31" i="34"/>
  <c r="K31" i="34"/>
  <c r="M30" i="34"/>
  <c r="L30" i="34"/>
  <c r="K30" i="34"/>
  <c r="M29" i="34"/>
  <c r="L29" i="34"/>
  <c r="K29" i="34"/>
  <c r="M28" i="34"/>
  <c r="L28" i="34"/>
  <c r="K28" i="34"/>
  <c r="M27" i="34"/>
  <c r="L27" i="34"/>
  <c r="K27" i="34"/>
  <c r="M21" i="34"/>
  <c r="L21" i="34"/>
  <c r="K21" i="34"/>
  <c r="M20" i="34"/>
  <c r="L20" i="34"/>
  <c r="K20" i="34"/>
  <c r="M19" i="34"/>
  <c r="L19" i="34"/>
  <c r="K19" i="34"/>
  <c r="M18" i="34"/>
  <c r="L18" i="34"/>
  <c r="K18" i="34"/>
  <c r="M17" i="34"/>
  <c r="L17" i="34"/>
  <c r="K17" i="34"/>
  <c r="M15" i="34"/>
  <c r="L15" i="34"/>
  <c r="K15" i="34"/>
  <c r="M14" i="34"/>
  <c r="L14" i="34"/>
  <c r="K14" i="34"/>
  <c r="M13" i="34"/>
  <c r="L13" i="34"/>
  <c r="K13" i="34"/>
  <c r="M12" i="34"/>
  <c r="L12" i="34"/>
  <c r="K12" i="34"/>
  <c r="M11" i="34"/>
  <c r="L11" i="34"/>
  <c r="K11" i="34"/>
  <c r="M10" i="34"/>
  <c r="L10" i="34"/>
  <c r="K10" i="34"/>
  <c r="M9" i="34"/>
  <c r="L9" i="34"/>
  <c r="K9" i="34"/>
  <c r="M8" i="34"/>
  <c r="L8" i="34"/>
  <c r="K8" i="34"/>
  <c r="M7" i="34"/>
  <c r="L7" i="34"/>
  <c r="K7" i="34"/>
  <c r="M53" i="32"/>
  <c r="L53" i="32"/>
  <c r="K53" i="32"/>
  <c r="M51" i="32"/>
  <c r="L51" i="32"/>
  <c r="K51" i="32"/>
  <c r="M50" i="32"/>
  <c r="L50" i="32"/>
  <c r="K50" i="32"/>
  <c r="M49" i="32"/>
  <c r="L49" i="32"/>
  <c r="K49" i="32"/>
  <c r="M48" i="32"/>
  <c r="L48" i="32"/>
  <c r="K48" i="32"/>
  <c r="M47" i="32"/>
  <c r="L47" i="32"/>
  <c r="K47" i="32"/>
  <c r="M46" i="32"/>
  <c r="L46" i="32"/>
  <c r="K46" i="32"/>
  <c r="M45" i="32"/>
  <c r="L45" i="32"/>
  <c r="K45" i="32"/>
  <c r="M44" i="32"/>
  <c r="L44" i="32"/>
  <c r="K44" i="32"/>
  <c r="M42" i="32"/>
  <c r="K42" i="32"/>
  <c r="M41" i="32"/>
  <c r="L41" i="32"/>
  <c r="K41" i="32"/>
  <c r="M40" i="32"/>
  <c r="L40" i="32"/>
  <c r="K40" i="32"/>
  <c r="M39" i="32"/>
  <c r="L39" i="32"/>
  <c r="K39" i="32"/>
  <c r="M38" i="32"/>
  <c r="L38" i="32"/>
  <c r="K38" i="32"/>
  <c r="M37" i="32"/>
  <c r="L37" i="32"/>
  <c r="K37" i="32"/>
  <c r="M36" i="32"/>
  <c r="L36" i="32"/>
  <c r="K36" i="32"/>
  <c r="M35" i="32"/>
  <c r="L35" i="32"/>
  <c r="K35" i="32"/>
  <c r="M34" i="32"/>
  <c r="L34" i="32"/>
  <c r="K34" i="32"/>
  <c r="M33" i="32"/>
  <c r="L33" i="32"/>
  <c r="K33" i="32"/>
  <c r="M32" i="32"/>
  <c r="L32" i="32"/>
  <c r="K32" i="32"/>
  <c r="M31" i="32"/>
  <c r="L31" i="32"/>
  <c r="K31" i="32"/>
  <c r="M30" i="32"/>
  <c r="L30" i="32"/>
  <c r="K30" i="32"/>
  <c r="M29" i="32"/>
  <c r="L29" i="32"/>
  <c r="K29" i="32"/>
  <c r="M28" i="32"/>
  <c r="L28" i="32"/>
  <c r="K28" i="32"/>
  <c r="M27" i="32"/>
  <c r="L27" i="32"/>
  <c r="K27" i="32"/>
  <c r="M26" i="32"/>
  <c r="L26" i="32"/>
  <c r="K26" i="32"/>
  <c r="M25" i="32"/>
  <c r="L25" i="32"/>
  <c r="K25" i="32"/>
  <c r="M24" i="32"/>
  <c r="L24" i="32"/>
  <c r="K24" i="32"/>
  <c r="M23" i="32"/>
  <c r="L23" i="32"/>
  <c r="K23" i="32"/>
  <c r="M22" i="32"/>
  <c r="L22" i="32"/>
  <c r="K22" i="32"/>
  <c r="M21" i="32"/>
  <c r="L21" i="32"/>
  <c r="K21" i="32"/>
  <c r="M20" i="32"/>
  <c r="L20" i="32"/>
  <c r="K20" i="32"/>
  <c r="M19" i="32"/>
  <c r="L19" i="32"/>
  <c r="K19" i="32"/>
  <c r="M18" i="32"/>
  <c r="L18" i="32"/>
  <c r="K18" i="32"/>
  <c r="M17" i="32"/>
  <c r="L17" i="32"/>
  <c r="K17" i="32"/>
  <c r="M16" i="32"/>
  <c r="L16" i="32"/>
  <c r="K16" i="32"/>
  <c r="M15" i="32"/>
  <c r="L15" i="32"/>
  <c r="K15" i="32"/>
  <c r="M14" i="32"/>
  <c r="L14" i="32"/>
  <c r="K14" i="32"/>
  <c r="M13" i="32"/>
  <c r="L13" i="32"/>
  <c r="K13" i="32"/>
  <c r="M12" i="32"/>
  <c r="L12" i="32"/>
  <c r="K12" i="32"/>
  <c r="M11" i="32"/>
  <c r="L11" i="32"/>
  <c r="K11" i="32"/>
  <c r="M10" i="32"/>
  <c r="L10" i="32"/>
  <c r="K10" i="32"/>
  <c r="M9" i="32"/>
  <c r="L9" i="32"/>
  <c r="K9" i="32"/>
  <c r="M8" i="32"/>
  <c r="L8" i="32"/>
  <c r="K8" i="32"/>
  <c r="M48" i="31"/>
  <c r="L48" i="31"/>
  <c r="K48" i="31"/>
  <c r="M47" i="31"/>
  <c r="L47" i="31"/>
  <c r="K47" i="31"/>
  <c r="M46" i="31"/>
  <c r="L46" i="31"/>
  <c r="K46" i="31"/>
  <c r="M45" i="31"/>
  <c r="L45" i="31"/>
  <c r="K45" i="31"/>
  <c r="M44" i="31"/>
  <c r="L44" i="31"/>
  <c r="K44" i="31"/>
  <c r="M43" i="31"/>
  <c r="L43" i="31"/>
  <c r="K43" i="31"/>
  <c r="M42" i="31"/>
  <c r="L42" i="31"/>
  <c r="K42" i="31"/>
  <c r="M41" i="31"/>
  <c r="L41" i="31"/>
  <c r="K41" i="31"/>
  <c r="M40" i="31"/>
  <c r="L40" i="31"/>
  <c r="K40" i="31"/>
  <c r="M39" i="31"/>
  <c r="L39" i="31"/>
  <c r="K39" i="31"/>
  <c r="M38" i="31"/>
  <c r="L38" i="31"/>
  <c r="K38" i="31"/>
  <c r="M37" i="31"/>
  <c r="L37" i="31"/>
  <c r="K37" i="31"/>
  <c r="M36" i="31"/>
  <c r="L36" i="31"/>
  <c r="K36" i="31"/>
  <c r="M35" i="31"/>
  <c r="L35" i="31"/>
  <c r="K35" i="31"/>
  <c r="M34" i="31"/>
  <c r="L34" i="31"/>
  <c r="K34" i="31"/>
  <c r="M33" i="31"/>
  <c r="L33" i="31"/>
  <c r="K33" i="31"/>
  <c r="M32" i="31"/>
  <c r="L32" i="31"/>
  <c r="K32" i="31"/>
  <c r="M31" i="31"/>
  <c r="L31" i="31"/>
  <c r="K31" i="31"/>
  <c r="M30" i="31"/>
  <c r="L30" i="31"/>
  <c r="K30" i="31"/>
  <c r="M29" i="31"/>
  <c r="L29" i="31"/>
  <c r="K29" i="31"/>
  <c r="M28" i="31"/>
  <c r="L28" i="31"/>
  <c r="K28" i="31"/>
  <c r="M27" i="31"/>
  <c r="L27" i="31"/>
  <c r="K27" i="31"/>
  <c r="M26" i="31"/>
  <c r="L26" i="31"/>
  <c r="K26" i="31"/>
  <c r="M25" i="31"/>
  <c r="L25" i="31"/>
  <c r="K25" i="31"/>
  <c r="M24" i="31"/>
  <c r="L24" i="31"/>
  <c r="K24" i="31"/>
  <c r="M23" i="31"/>
  <c r="L23" i="31"/>
  <c r="K23" i="31"/>
  <c r="M22" i="31"/>
  <c r="L22" i="31"/>
  <c r="K22" i="31"/>
  <c r="M21" i="31"/>
  <c r="L21" i="31"/>
  <c r="K21" i="31"/>
  <c r="M20" i="31"/>
  <c r="L20" i="31"/>
  <c r="K20" i="31"/>
  <c r="M19" i="31"/>
  <c r="L19" i="31"/>
  <c r="K19" i="31"/>
  <c r="M18" i="31"/>
  <c r="L18" i="31"/>
  <c r="K18" i="31"/>
  <c r="M17" i="31"/>
  <c r="L17" i="31"/>
  <c r="K17" i="31"/>
  <c r="M16" i="31"/>
  <c r="L16" i="31"/>
  <c r="K16" i="31"/>
  <c r="M15" i="31"/>
  <c r="L15" i="31"/>
  <c r="K15" i="31"/>
  <c r="M14" i="31"/>
  <c r="L14" i="31"/>
  <c r="K14" i="31"/>
  <c r="M12" i="31"/>
  <c r="L12" i="31"/>
  <c r="K12" i="31"/>
  <c r="M11" i="31"/>
  <c r="L11" i="31"/>
  <c r="K11" i="31"/>
  <c r="M10" i="31"/>
  <c r="L10" i="31"/>
  <c r="K10" i="31"/>
  <c r="M9" i="31"/>
  <c r="L9" i="31"/>
  <c r="K9" i="31"/>
  <c r="M8" i="31"/>
  <c r="L8" i="31"/>
  <c r="K8" i="31"/>
  <c r="M7" i="31"/>
  <c r="D81" i="31" s="1"/>
  <c r="L7" i="31"/>
  <c r="C81" i="31" s="1"/>
  <c r="K7" i="31"/>
  <c r="B81" i="31" s="1"/>
  <c r="M36" i="30"/>
  <c r="L36" i="30"/>
  <c r="K36" i="30"/>
  <c r="M35" i="30"/>
  <c r="L35" i="30"/>
  <c r="K35" i="30"/>
  <c r="M34" i="30"/>
  <c r="L34" i="30"/>
  <c r="K34" i="30"/>
  <c r="M33" i="30"/>
  <c r="L33" i="30"/>
  <c r="K33" i="30"/>
  <c r="M32" i="30"/>
  <c r="L32" i="30"/>
  <c r="K32" i="30"/>
  <c r="M31" i="30"/>
  <c r="L31" i="30"/>
  <c r="K31" i="30"/>
  <c r="M28" i="30"/>
  <c r="L28" i="30"/>
  <c r="K28" i="30"/>
  <c r="M27" i="30"/>
  <c r="L27" i="30"/>
  <c r="K27" i="30"/>
  <c r="M26" i="30"/>
  <c r="L26" i="30"/>
  <c r="K26" i="30"/>
  <c r="M25" i="30"/>
  <c r="L25" i="30"/>
  <c r="K25" i="30"/>
  <c r="M23" i="30"/>
  <c r="L23" i="30"/>
  <c r="K23" i="30"/>
  <c r="M22" i="30"/>
  <c r="L22" i="30"/>
  <c r="K22" i="30"/>
  <c r="M21" i="30"/>
  <c r="L21" i="30"/>
  <c r="K21" i="30"/>
  <c r="M20" i="30"/>
  <c r="L20" i="30"/>
  <c r="K20" i="30"/>
  <c r="M19" i="30"/>
  <c r="L19" i="30"/>
  <c r="K19" i="30"/>
  <c r="M18" i="30"/>
  <c r="L18" i="30"/>
  <c r="K18" i="30"/>
  <c r="M17" i="30"/>
  <c r="L17" i="30"/>
  <c r="K17" i="30"/>
  <c r="M16" i="30"/>
  <c r="L16" i="30"/>
  <c r="K16" i="30"/>
  <c r="M15" i="30"/>
  <c r="L15" i="30"/>
  <c r="K15" i="30"/>
  <c r="M13" i="30"/>
  <c r="L13" i="30"/>
  <c r="K13" i="30"/>
  <c r="M12" i="30"/>
  <c r="L12" i="30"/>
  <c r="K12" i="30"/>
  <c r="M11" i="30"/>
  <c r="L11" i="30"/>
  <c r="K11" i="30"/>
  <c r="M10" i="30"/>
  <c r="L10" i="30"/>
  <c r="K10" i="30"/>
  <c r="M9" i="30"/>
  <c r="L9" i="30"/>
  <c r="K9" i="30"/>
  <c r="M7" i="30"/>
  <c r="L7" i="30"/>
  <c r="K7" i="30"/>
  <c r="M57" i="29"/>
  <c r="L57" i="29"/>
  <c r="K57" i="29"/>
  <c r="M56" i="29"/>
  <c r="L56" i="29"/>
  <c r="K56" i="29"/>
  <c r="M53" i="29"/>
  <c r="L53" i="29"/>
  <c r="K53" i="29"/>
  <c r="M52" i="29"/>
  <c r="L52" i="29"/>
  <c r="K52" i="29"/>
  <c r="M51" i="29"/>
  <c r="L51" i="29"/>
  <c r="K51" i="29"/>
  <c r="M50" i="29"/>
  <c r="L50" i="29"/>
  <c r="K50" i="29"/>
  <c r="M49" i="29"/>
  <c r="L49" i="29"/>
  <c r="K49" i="29"/>
  <c r="M48" i="29"/>
  <c r="L48" i="29"/>
  <c r="K48" i="29"/>
  <c r="M47" i="29"/>
  <c r="L47" i="29"/>
  <c r="K47" i="29"/>
  <c r="M46" i="29"/>
  <c r="L46" i="29"/>
  <c r="K46" i="29"/>
  <c r="M45" i="29"/>
  <c r="L45" i="29"/>
  <c r="K45" i="29"/>
  <c r="M44" i="29"/>
  <c r="L44" i="29"/>
  <c r="K44" i="29"/>
  <c r="M43" i="29"/>
  <c r="L43" i="29"/>
  <c r="K43" i="29"/>
  <c r="M42" i="29"/>
  <c r="L42" i="29"/>
  <c r="K42" i="29"/>
  <c r="M39" i="29"/>
  <c r="L39" i="29"/>
  <c r="K39" i="29"/>
  <c r="M38" i="29"/>
  <c r="L38" i="29"/>
  <c r="K38" i="29"/>
  <c r="M56" i="28"/>
  <c r="L56" i="28"/>
  <c r="K56" i="28"/>
  <c r="M55" i="28"/>
  <c r="L55" i="28"/>
  <c r="K55" i="28"/>
  <c r="M54" i="28"/>
  <c r="L54" i="28"/>
  <c r="K54" i="28"/>
  <c r="M53" i="28"/>
  <c r="L53" i="28"/>
  <c r="K53" i="28"/>
  <c r="M52" i="28"/>
  <c r="L52" i="28"/>
  <c r="K52" i="28"/>
  <c r="M51" i="28"/>
  <c r="L51" i="28"/>
  <c r="K51" i="28"/>
  <c r="M48" i="28"/>
  <c r="L48" i="28"/>
  <c r="K48" i="28"/>
  <c r="M47" i="28"/>
  <c r="L47" i="28"/>
  <c r="K47" i="28"/>
  <c r="M46" i="28"/>
  <c r="L46" i="28"/>
  <c r="K46" i="28"/>
  <c r="M45" i="28"/>
  <c r="L45" i="28"/>
  <c r="K45" i="28"/>
  <c r="M44" i="28"/>
  <c r="L44" i="28"/>
  <c r="K44" i="28"/>
  <c r="M43" i="28"/>
  <c r="L43" i="28"/>
  <c r="K43" i="28"/>
  <c r="M42" i="28"/>
  <c r="L42" i="28"/>
  <c r="K42" i="28"/>
  <c r="M41" i="28"/>
  <c r="L41" i="28"/>
  <c r="K41" i="28"/>
  <c r="M40" i="28"/>
  <c r="L40" i="28"/>
  <c r="K40" i="28"/>
  <c r="M38" i="28"/>
  <c r="L38" i="28"/>
  <c r="K38" i="28"/>
  <c r="M37" i="28"/>
  <c r="L37" i="28"/>
  <c r="K37" i="28"/>
  <c r="M36" i="28"/>
  <c r="L36" i="28"/>
  <c r="K36" i="28"/>
  <c r="M35" i="28"/>
  <c r="L35" i="28"/>
  <c r="K35" i="28"/>
  <c r="M34" i="28"/>
  <c r="L34" i="28"/>
  <c r="K34" i="28"/>
  <c r="M33" i="28"/>
  <c r="L33" i="28"/>
  <c r="K33" i="28"/>
  <c r="M32" i="28"/>
  <c r="L32" i="28"/>
  <c r="K32" i="28"/>
  <c r="M31" i="28"/>
  <c r="L31" i="28"/>
  <c r="K31" i="28"/>
  <c r="M30" i="28"/>
  <c r="L30" i="28"/>
  <c r="K30" i="28"/>
  <c r="M29" i="28"/>
  <c r="L29" i="28"/>
  <c r="K29" i="28"/>
  <c r="M28" i="28"/>
  <c r="L28" i="28"/>
  <c r="K28" i="28"/>
  <c r="M27" i="28"/>
  <c r="L27" i="28"/>
  <c r="K27" i="28"/>
  <c r="M26" i="28"/>
  <c r="L26" i="28"/>
  <c r="K26" i="28"/>
  <c r="M25" i="28"/>
  <c r="L25" i="28"/>
  <c r="K25" i="28"/>
  <c r="M24" i="28"/>
  <c r="L24" i="28"/>
  <c r="K24" i="28"/>
  <c r="M23" i="28"/>
  <c r="L23" i="28"/>
  <c r="K23" i="28"/>
  <c r="M21" i="28"/>
  <c r="L21" i="28"/>
  <c r="K21" i="28"/>
  <c r="M20" i="28"/>
  <c r="L20" i="28"/>
  <c r="K20" i="28"/>
  <c r="M19" i="28"/>
  <c r="L19" i="28"/>
  <c r="K19" i="28"/>
  <c r="M18" i="28"/>
  <c r="L18" i="28"/>
  <c r="K18" i="28"/>
  <c r="M17" i="28"/>
  <c r="L17" i="28"/>
  <c r="K17" i="28"/>
  <c r="M16" i="28"/>
  <c r="L16" i="28"/>
  <c r="K16" i="28"/>
  <c r="M15" i="28"/>
  <c r="L15" i="28"/>
  <c r="K15" i="28"/>
  <c r="M14" i="28"/>
  <c r="L14" i="28"/>
  <c r="K14" i="28"/>
  <c r="M13" i="28"/>
  <c r="L13" i="28"/>
  <c r="K13" i="28"/>
  <c r="M12" i="28"/>
  <c r="L12" i="28"/>
  <c r="K12" i="28"/>
  <c r="M11" i="28"/>
  <c r="L11" i="28"/>
  <c r="K11" i="28"/>
  <c r="M10" i="28"/>
  <c r="L10" i="28"/>
  <c r="K10" i="28"/>
  <c r="M9" i="28"/>
  <c r="L9" i="28"/>
  <c r="K9" i="28"/>
  <c r="M8" i="28"/>
  <c r="L8" i="28"/>
  <c r="K8" i="28"/>
  <c r="U158" i="2"/>
  <c r="M70" i="13"/>
  <c r="L70" i="13"/>
  <c r="K70" i="13"/>
  <c r="M69" i="13"/>
  <c r="L69" i="13"/>
  <c r="K69" i="13"/>
  <c r="M68" i="13"/>
  <c r="L68" i="13"/>
  <c r="K68" i="13"/>
  <c r="M66" i="13"/>
  <c r="L66" i="13"/>
  <c r="K66" i="13"/>
  <c r="M65" i="13"/>
  <c r="L65" i="13"/>
  <c r="K65" i="13"/>
  <c r="L167" i="2"/>
  <c r="J193" i="2"/>
  <c r="L193" i="2"/>
  <c r="H193" i="2"/>
  <c r="H189" i="2"/>
  <c r="J189" i="2"/>
  <c r="L189" i="2"/>
  <c r="L185" i="2"/>
  <c r="J185" i="2"/>
  <c r="H185" i="2"/>
  <c r="H181" i="2"/>
  <c r="J181" i="2"/>
  <c r="L181" i="2"/>
  <c r="L177" i="2"/>
  <c r="J177" i="2"/>
  <c r="H177" i="2"/>
  <c r="J147" i="2"/>
  <c r="L147" i="2"/>
  <c r="J148" i="2"/>
  <c r="L148" i="2"/>
  <c r="J149" i="2"/>
  <c r="L149" i="2"/>
  <c r="J150" i="2"/>
  <c r="L150" i="2"/>
  <c r="J151" i="2"/>
  <c r="L151" i="2"/>
  <c r="J152" i="2"/>
  <c r="L152" i="2"/>
  <c r="J153" i="2"/>
  <c r="L153" i="2"/>
  <c r="J154" i="2"/>
  <c r="L154" i="2"/>
  <c r="J155" i="2"/>
  <c r="L155" i="2"/>
  <c r="J156" i="2"/>
  <c r="L156" i="2"/>
  <c r="J157" i="2"/>
  <c r="L157" i="2"/>
  <c r="J158" i="2"/>
  <c r="L158" i="2"/>
  <c r="J159" i="2"/>
  <c r="L159" i="2"/>
  <c r="J160" i="2"/>
  <c r="L160" i="2"/>
  <c r="J161" i="2"/>
  <c r="L161" i="2"/>
  <c r="J162" i="2"/>
  <c r="L162" i="2"/>
  <c r="J163" i="2"/>
  <c r="L163" i="2"/>
  <c r="J164" i="2"/>
  <c r="L164" i="2"/>
  <c r="J165" i="2"/>
  <c r="L165" i="2"/>
  <c r="J166" i="2"/>
  <c r="L166" i="2"/>
  <c r="J167" i="2"/>
  <c r="J168" i="2"/>
  <c r="L168" i="2"/>
  <c r="J169" i="2"/>
  <c r="L169" i="2"/>
  <c r="J170" i="2"/>
  <c r="L170" i="2"/>
  <c r="J171" i="2"/>
  <c r="L171" i="2"/>
  <c r="J172" i="2"/>
  <c r="L172" i="2"/>
  <c r="J173" i="2"/>
  <c r="L173" i="2"/>
  <c r="J174" i="2"/>
  <c r="L174" i="2"/>
  <c r="H173" i="2"/>
  <c r="H169" i="2"/>
  <c r="H165" i="2"/>
  <c r="H161" i="2"/>
  <c r="H157" i="2"/>
  <c r="H153" i="2"/>
  <c r="H149" i="2"/>
  <c r="H174" i="2"/>
  <c r="H175" i="2"/>
  <c r="H172" i="2"/>
  <c r="H171" i="2"/>
  <c r="H170" i="2"/>
  <c r="H168" i="2"/>
  <c r="H167" i="2"/>
  <c r="H166" i="2"/>
  <c r="H164" i="2"/>
  <c r="H163" i="2"/>
  <c r="H162" i="2"/>
  <c r="H160" i="2"/>
  <c r="H159" i="2"/>
  <c r="H158" i="2"/>
  <c r="H156" i="2"/>
  <c r="H155" i="2"/>
  <c r="H154" i="2"/>
  <c r="H152" i="2"/>
  <c r="H151" i="2"/>
  <c r="H150" i="2"/>
  <c r="H148" i="2"/>
  <c r="H147" i="2"/>
  <c r="J145" i="2"/>
  <c r="L145" i="2"/>
  <c r="H145" i="2"/>
  <c r="J146" i="2"/>
  <c r="L146" i="2"/>
  <c r="H146" i="2"/>
  <c r="T172" i="2"/>
  <c r="T197" i="2"/>
  <c r="S148" i="2"/>
  <c r="T148" i="2"/>
  <c r="U148" i="2"/>
  <c r="S149" i="2"/>
  <c r="T149" i="2"/>
  <c r="U149" i="2"/>
  <c r="S150" i="2"/>
  <c r="T150" i="2"/>
  <c r="U150" i="2"/>
  <c r="S151" i="2"/>
  <c r="T151" i="2"/>
  <c r="U151" i="2"/>
  <c r="S152" i="2"/>
  <c r="T152" i="2"/>
  <c r="U152" i="2"/>
  <c r="S153" i="2"/>
  <c r="T153" i="2"/>
  <c r="U153" i="2"/>
  <c r="S154" i="2"/>
  <c r="T154" i="2"/>
  <c r="U154" i="2"/>
  <c r="S155" i="2"/>
  <c r="T155" i="2"/>
  <c r="U155" i="2"/>
  <c r="S156" i="2"/>
  <c r="T156" i="2"/>
  <c r="U156" i="2"/>
  <c r="S157" i="2"/>
  <c r="T157" i="2"/>
  <c r="U157" i="2"/>
  <c r="S158" i="2"/>
  <c r="T158" i="2"/>
  <c r="S159" i="2"/>
  <c r="T159" i="2"/>
  <c r="U159" i="2"/>
  <c r="S160" i="2"/>
  <c r="T160" i="2"/>
  <c r="U160" i="2"/>
  <c r="S161" i="2"/>
  <c r="T161" i="2"/>
  <c r="U161" i="2"/>
  <c r="S162" i="2"/>
  <c r="T162" i="2"/>
  <c r="U162" i="2"/>
  <c r="S163" i="2"/>
  <c r="T163" i="2"/>
  <c r="U163" i="2"/>
  <c r="S164" i="2"/>
  <c r="T164" i="2"/>
  <c r="U164" i="2"/>
  <c r="S165" i="2"/>
  <c r="T165" i="2"/>
  <c r="U165" i="2"/>
  <c r="S166" i="2"/>
  <c r="T166" i="2"/>
  <c r="U166" i="2"/>
  <c r="S167" i="2"/>
  <c r="T167" i="2"/>
  <c r="U167" i="2"/>
  <c r="S168" i="2"/>
  <c r="T168" i="2"/>
  <c r="U168" i="2"/>
  <c r="S169" i="2"/>
  <c r="T169" i="2"/>
  <c r="U169" i="2"/>
  <c r="S170" i="2"/>
  <c r="T170" i="2"/>
  <c r="U170" i="2"/>
  <c r="S171" i="2"/>
  <c r="T171" i="2"/>
  <c r="U171" i="2"/>
  <c r="S172" i="2"/>
  <c r="U172" i="2"/>
  <c r="S173" i="2"/>
  <c r="T173" i="2"/>
  <c r="U173" i="2"/>
  <c r="S174" i="2"/>
  <c r="T174" i="2"/>
  <c r="U174" i="2"/>
  <c r="S175" i="2"/>
  <c r="T175" i="2"/>
  <c r="U175" i="2"/>
  <c r="S176" i="2"/>
  <c r="T176" i="2"/>
  <c r="U176" i="2"/>
  <c r="S177" i="2"/>
  <c r="T177" i="2"/>
  <c r="U177" i="2"/>
  <c r="S178" i="2"/>
  <c r="T178" i="2"/>
  <c r="U178" i="2"/>
  <c r="S179" i="2"/>
  <c r="T179" i="2"/>
  <c r="U179" i="2"/>
  <c r="S180" i="2"/>
  <c r="T180" i="2"/>
  <c r="U180" i="2"/>
  <c r="S181" i="2"/>
  <c r="T181" i="2"/>
  <c r="U181" i="2"/>
  <c r="S182" i="2"/>
  <c r="T182" i="2"/>
  <c r="U182" i="2"/>
  <c r="S183" i="2"/>
  <c r="T183" i="2"/>
  <c r="U183" i="2"/>
  <c r="S184" i="2"/>
  <c r="T184" i="2"/>
  <c r="U184" i="2"/>
  <c r="S185" i="2"/>
  <c r="T185" i="2"/>
  <c r="U185" i="2"/>
  <c r="S186" i="2"/>
  <c r="T186" i="2"/>
  <c r="U186" i="2"/>
  <c r="S187" i="2"/>
  <c r="T187" i="2"/>
  <c r="U187" i="2"/>
  <c r="T188" i="2"/>
  <c r="U188" i="2"/>
  <c r="S189" i="2"/>
  <c r="T189" i="2"/>
  <c r="U189" i="2"/>
  <c r="S191" i="2"/>
  <c r="T191" i="2"/>
  <c r="U191" i="2"/>
  <c r="S192" i="2"/>
  <c r="T192" i="2"/>
  <c r="U192" i="2"/>
  <c r="S193" i="2"/>
  <c r="T193" i="2"/>
  <c r="U193" i="2"/>
  <c r="S194" i="2"/>
  <c r="T194" i="2"/>
  <c r="U194" i="2"/>
  <c r="S195" i="2"/>
  <c r="T195" i="2"/>
  <c r="U195" i="2"/>
  <c r="S196" i="2"/>
  <c r="T196" i="2"/>
  <c r="U196" i="2"/>
  <c r="S197" i="2"/>
  <c r="U197" i="2"/>
  <c r="S146" i="2"/>
  <c r="T146" i="2"/>
  <c r="U146" i="2"/>
  <c r="S147" i="2"/>
  <c r="T147" i="2"/>
  <c r="U147" i="2"/>
  <c r="T145" i="2"/>
  <c r="U145" i="2"/>
  <c r="K8" i="2"/>
  <c r="N68" i="2"/>
  <c r="H184" i="2"/>
  <c r="R9" i="14"/>
  <c r="R10" i="14"/>
  <c r="R11" i="14"/>
  <c r="R12" i="14"/>
  <c r="R13" i="14"/>
  <c r="R14" i="14"/>
  <c r="R15" i="14"/>
  <c r="R16" i="14"/>
  <c r="R17" i="14"/>
  <c r="R18" i="14"/>
  <c r="R19" i="14"/>
  <c r="R20" i="14"/>
  <c r="R21" i="14"/>
  <c r="R22" i="14"/>
  <c r="R23" i="14"/>
  <c r="R24" i="14"/>
  <c r="R25" i="14"/>
  <c r="R26" i="14"/>
  <c r="R27" i="14"/>
  <c r="R28" i="14"/>
  <c r="R29" i="14"/>
  <c r="R30" i="14"/>
  <c r="R31" i="14"/>
  <c r="R32" i="14"/>
  <c r="R33" i="14"/>
  <c r="R34" i="14"/>
  <c r="R35" i="14"/>
  <c r="R36" i="14"/>
  <c r="R37" i="14"/>
  <c r="R38" i="14"/>
  <c r="R39" i="14"/>
  <c r="R40" i="14"/>
  <c r="R41" i="14"/>
  <c r="R42" i="14"/>
  <c r="R43" i="14"/>
  <c r="R44" i="14"/>
  <c r="R45" i="14"/>
  <c r="R46" i="14"/>
  <c r="R47" i="14"/>
  <c r="R48" i="14"/>
  <c r="R49" i="14"/>
  <c r="R50" i="14"/>
  <c r="R51" i="14"/>
  <c r="R52" i="14"/>
  <c r="R53" i="14"/>
  <c r="R54" i="14"/>
  <c r="R55" i="14"/>
  <c r="R56" i="14"/>
  <c r="R57" i="14"/>
  <c r="R58" i="14"/>
  <c r="R59" i="14"/>
  <c r="R60" i="14"/>
  <c r="R61" i="14"/>
  <c r="R62" i="14"/>
  <c r="R63" i="14"/>
  <c r="R64" i="14"/>
  <c r="R65" i="14"/>
  <c r="R66" i="14"/>
  <c r="R67" i="14"/>
  <c r="R68" i="14"/>
  <c r="R69" i="14"/>
  <c r="R70" i="14"/>
  <c r="R71" i="14"/>
  <c r="R72" i="14"/>
  <c r="R73" i="14"/>
  <c r="R74" i="14"/>
  <c r="R75" i="14"/>
  <c r="R76" i="14"/>
  <c r="R77" i="14"/>
  <c r="R78" i="14"/>
  <c r="R79" i="14"/>
  <c r="R80" i="14"/>
  <c r="R81" i="14"/>
  <c r="R82" i="14"/>
  <c r="R83" i="14"/>
  <c r="R84" i="14"/>
  <c r="R85" i="14"/>
  <c r="R86" i="14"/>
  <c r="R87" i="14"/>
  <c r="R88" i="14"/>
  <c r="R89" i="14"/>
  <c r="R90" i="14"/>
  <c r="R91" i="14"/>
  <c r="R92" i="14"/>
  <c r="R93" i="14"/>
  <c r="R94" i="14"/>
  <c r="R95" i="14"/>
  <c r="R96" i="14"/>
  <c r="R97" i="14"/>
  <c r="R98" i="14"/>
  <c r="R99" i="14"/>
  <c r="R100" i="14"/>
  <c r="R101" i="14"/>
  <c r="R102" i="14"/>
  <c r="R103" i="14"/>
  <c r="R104" i="14"/>
  <c r="R105" i="14"/>
  <c r="R106" i="14"/>
  <c r="R107" i="14"/>
  <c r="R108" i="14"/>
  <c r="R109" i="14"/>
  <c r="R110" i="14"/>
  <c r="R111" i="14"/>
  <c r="R112" i="14"/>
  <c r="R113" i="14"/>
  <c r="R114" i="14"/>
  <c r="R115" i="14"/>
  <c r="R116" i="14"/>
  <c r="R117" i="14"/>
  <c r="R8" i="14"/>
  <c r="M35" i="14"/>
  <c r="L35" i="14"/>
  <c r="K35" i="14"/>
  <c r="K8" i="14"/>
  <c r="L8" i="14"/>
  <c r="M8" i="14"/>
  <c r="K9" i="14"/>
  <c r="L9" i="14"/>
  <c r="M9" i="14"/>
  <c r="K10" i="14"/>
  <c r="L10" i="14"/>
  <c r="M10" i="14"/>
  <c r="K11" i="14"/>
  <c r="L11" i="14"/>
  <c r="M11" i="14"/>
  <c r="K12" i="14"/>
  <c r="L12" i="14"/>
  <c r="M12" i="14"/>
  <c r="K13" i="14"/>
  <c r="L13" i="14"/>
  <c r="M13" i="14"/>
  <c r="K14" i="14"/>
  <c r="L14" i="14"/>
  <c r="M14" i="14"/>
  <c r="K15" i="14"/>
  <c r="L15" i="14"/>
  <c r="M15" i="14"/>
  <c r="K16" i="14"/>
  <c r="L16" i="14"/>
  <c r="M16" i="14"/>
  <c r="K17" i="14"/>
  <c r="L17" i="14"/>
  <c r="M17" i="14"/>
  <c r="K18" i="14"/>
  <c r="L18" i="14"/>
  <c r="M18" i="14"/>
  <c r="K19" i="14"/>
  <c r="L19" i="14"/>
  <c r="M19" i="14"/>
  <c r="K20" i="14"/>
  <c r="L20" i="14"/>
  <c r="M20" i="14"/>
  <c r="K21" i="14"/>
  <c r="L21" i="14"/>
  <c r="M21" i="14"/>
  <c r="K22" i="14"/>
  <c r="L22" i="14"/>
  <c r="M22" i="14"/>
  <c r="K23" i="14"/>
  <c r="L23" i="14"/>
  <c r="M23" i="14"/>
  <c r="K24" i="14"/>
  <c r="L24" i="14"/>
  <c r="M24" i="14"/>
  <c r="K25" i="14"/>
  <c r="L25" i="14"/>
  <c r="M25" i="14"/>
  <c r="K26" i="14"/>
  <c r="L26" i="14"/>
  <c r="M26" i="14"/>
  <c r="K27" i="14"/>
  <c r="L27" i="14"/>
  <c r="M27" i="14"/>
  <c r="K28" i="14"/>
  <c r="L28" i="14"/>
  <c r="M28" i="14"/>
  <c r="K29" i="14"/>
  <c r="L29" i="14"/>
  <c r="M29" i="14"/>
  <c r="K30" i="14"/>
  <c r="L30" i="14"/>
  <c r="M30" i="14"/>
  <c r="K31" i="14"/>
  <c r="L31" i="14"/>
  <c r="M31" i="14"/>
  <c r="K32" i="14"/>
  <c r="L32" i="14"/>
  <c r="M32" i="14"/>
  <c r="K33" i="14"/>
  <c r="L33" i="14"/>
  <c r="M33" i="14"/>
  <c r="K34" i="14"/>
  <c r="L34" i="14"/>
  <c r="M34" i="14"/>
  <c r="K36" i="14"/>
  <c r="L36" i="14"/>
  <c r="M36" i="14"/>
  <c r="K37" i="14"/>
  <c r="L37" i="14"/>
  <c r="M37" i="14"/>
  <c r="K38" i="14"/>
  <c r="L38" i="14"/>
  <c r="M38" i="14"/>
  <c r="K39" i="14"/>
  <c r="L39" i="14"/>
  <c r="M39" i="14"/>
  <c r="K40" i="14"/>
  <c r="L40" i="14"/>
  <c r="M40" i="14"/>
  <c r="K41" i="14"/>
  <c r="L41" i="14"/>
  <c r="M41" i="14"/>
  <c r="K42" i="14"/>
  <c r="L42" i="14"/>
  <c r="M42" i="14"/>
  <c r="K43" i="14"/>
  <c r="L43" i="14"/>
  <c r="M43" i="14"/>
  <c r="K44" i="14"/>
  <c r="L44" i="14"/>
  <c r="M44" i="14"/>
  <c r="K45" i="14"/>
  <c r="L45" i="14"/>
  <c r="M45" i="14"/>
  <c r="K46" i="14"/>
  <c r="L46" i="14"/>
  <c r="M46" i="14"/>
  <c r="K47" i="14"/>
  <c r="L47" i="14"/>
  <c r="M47" i="14"/>
  <c r="K48" i="14"/>
  <c r="L48" i="14"/>
  <c r="M48" i="14"/>
  <c r="K49" i="14"/>
  <c r="L49" i="14"/>
  <c r="M49" i="14"/>
  <c r="K50" i="14"/>
  <c r="L50" i="14"/>
  <c r="M50" i="14"/>
  <c r="K51" i="14"/>
  <c r="L51" i="14"/>
  <c r="M51" i="14"/>
  <c r="K52" i="14"/>
  <c r="L52" i="14"/>
  <c r="M52" i="14"/>
  <c r="K53" i="14"/>
  <c r="L53" i="14"/>
  <c r="M53" i="14"/>
  <c r="K54" i="14"/>
  <c r="L54" i="14"/>
  <c r="M54" i="14"/>
  <c r="K55" i="14"/>
  <c r="L55" i="14"/>
  <c r="M55" i="14"/>
  <c r="K56" i="14"/>
  <c r="L56" i="14"/>
  <c r="M56" i="14"/>
  <c r="K57" i="14"/>
  <c r="L57" i="14"/>
  <c r="M57" i="14"/>
  <c r="K58" i="14"/>
  <c r="L58" i="14"/>
  <c r="M58" i="14"/>
  <c r="K59" i="14"/>
  <c r="L59" i="14"/>
  <c r="M59" i="14"/>
  <c r="K60" i="14"/>
  <c r="L60" i="14"/>
  <c r="M60" i="14"/>
  <c r="K61" i="14"/>
  <c r="L61" i="14"/>
  <c r="M61" i="14"/>
  <c r="K62" i="14"/>
  <c r="L62" i="14"/>
  <c r="M62" i="14"/>
  <c r="K63" i="14"/>
  <c r="L63" i="14"/>
  <c r="M63" i="14"/>
  <c r="K64" i="14"/>
  <c r="L64" i="14"/>
  <c r="M64" i="14"/>
  <c r="K65" i="14"/>
  <c r="L65" i="14"/>
  <c r="M65" i="14"/>
  <c r="K66" i="14"/>
  <c r="L66" i="14"/>
  <c r="M66" i="14"/>
  <c r="K67" i="14"/>
  <c r="L67" i="14"/>
  <c r="M67" i="14"/>
  <c r="K68" i="14"/>
  <c r="L68" i="14"/>
  <c r="M68" i="14"/>
  <c r="K69" i="14"/>
  <c r="L69" i="14"/>
  <c r="M69" i="14"/>
  <c r="R9" i="15"/>
  <c r="R10" i="15"/>
  <c r="R11" i="15"/>
  <c r="R12" i="15"/>
  <c r="R13" i="15"/>
  <c r="R14" i="15"/>
  <c r="R15" i="15"/>
  <c r="R16" i="15"/>
  <c r="R17" i="15"/>
  <c r="R18" i="15"/>
  <c r="R19" i="15"/>
  <c r="R20" i="15"/>
  <c r="R21" i="15"/>
  <c r="R22" i="15"/>
  <c r="R23" i="15"/>
  <c r="R24" i="15"/>
  <c r="R25" i="15"/>
  <c r="R26" i="15"/>
  <c r="R27" i="15"/>
  <c r="R28" i="15"/>
  <c r="R29" i="15"/>
  <c r="R30" i="15"/>
  <c r="R31" i="15"/>
  <c r="R32" i="15"/>
  <c r="R33" i="15"/>
  <c r="R34" i="15"/>
  <c r="R35" i="15"/>
  <c r="R36" i="15"/>
  <c r="R37" i="15"/>
  <c r="R38" i="15"/>
  <c r="R39" i="15"/>
  <c r="R40" i="15"/>
  <c r="R41" i="15"/>
  <c r="R42" i="15"/>
  <c r="R43" i="15"/>
  <c r="R44" i="15"/>
  <c r="R45" i="15"/>
  <c r="R46" i="15"/>
  <c r="R47" i="15"/>
  <c r="R48" i="15"/>
  <c r="R49" i="15"/>
  <c r="R50" i="15"/>
  <c r="R51" i="15"/>
  <c r="R52" i="15"/>
  <c r="R53" i="15"/>
  <c r="R54" i="15"/>
  <c r="R55" i="15"/>
  <c r="R56" i="15"/>
  <c r="R57" i="15"/>
  <c r="R58" i="15"/>
  <c r="R59" i="15"/>
  <c r="R60" i="15"/>
  <c r="R61" i="15"/>
  <c r="R62" i="15"/>
  <c r="R63" i="15"/>
  <c r="R64" i="15"/>
  <c r="R65" i="15"/>
  <c r="R66" i="15"/>
  <c r="R67" i="15"/>
  <c r="R68" i="15"/>
  <c r="R69" i="15"/>
  <c r="R70" i="15"/>
  <c r="R71" i="15"/>
  <c r="R72" i="15"/>
  <c r="R73" i="15"/>
  <c r="R74" i="15"/>
  <c r="R75" i="15"/>
  <c r="R76" i="15"/>
  <c r="R77" i="15"/>
  <c r="R78" i="15"/>
  <c r="R79" i="15"/>
  <c r="R80" i="15"/>
  <c r="R81" i="15"/>
  <c r="R82" i="15"/>
  <c r="R83" i="15"/>
  <c r="R84" i="15"/>
  <c r="R86" i="15"/>
  <c r="R87" i="15"/>
  <c r="R88" i="15"/>
  <c r="R89" i="15"/>
  <c r="R90" i="15"/>
  <c r="R91" i="15"/>
  <c r="R92" i="15"/>
  <c r="R93" i="15"/>
  <c r="R94" i="15"/>
  <c r="R95" i="15"/>
  <c r="R96" i="15"/>
  <c r="R97" i="15"/>
  <c r="R98" i="15"/>
  <c r="R99" i="15"/>
  <c r="R101" i="15"/>
  <c r="R102" i="15"/>
  <c r="R103" i="15"/>
  <c r="R104" i="15"/>
  <c r="R105" i="15"/>
  <c r="R106" i="15"/>
  <c r="R107" i="15"/>
  <c r="R108" i="15"/>
  <c r="R109" i="15"/>
  <c r="R110" i="15"/>
  <c r="R112" i="15"/>
  <c r="R113" i="15"/>
  <c r="R114" i="15"/>
  <c r="R115" i="15"/>
  <c r="R116" i="15"/>
  <c r="R117" i="15"/>
  <c r="R118" i="15"/>
  <c r="R119" i="15"/>
  <c r="R120" i="15"/>
  <c r="R121" i="15"/>
  <c r="R122" i="15"/>
  <c r="R124" i="15"/>
  <c r="R8" i="15"/>
  <c r="H162" i="15" s="1"/>
  <c r="K8" i="15"/>
  <c r="L8" i="15"/>
  <c r="M8" i="15"/>
  <c r="K9" i="15"/>
  <c r="L9" i="15"/>
  <c r="M9" i="15"/>
  <c r="K10" i="15"/>
  <c r="L10" i="15"/>
  <c r="M10" i="15"/>
  <c r="K11" i="15"/>
  <c r="L11" i="15"/>
  <c r="M11" i="15"/>
  <c r="K12" i="15"/>
  <c r="L12" i="15"/>
  <c r="M12" i="15"/>
  <c r="K13" i="15"/>
  <c r="L13" i="15"/>
  <c r="M13" i="15"/>
  <c r="K14" i="15"/>
  <c r="L14" i="15"/>
  <c r="M14" i="15"/>
  <c r="K15" i="15"/>
  <c r="L15" i="15"/>
  <c r="M15" i="15"/>
  <c r="K16" i="15"/>
  <c r="L16" i="15"/>
  <c r="M16" i="15"/>
  <c r="K17" i="15"/>
  <c r="L17" i="15"/>
  <c r="M17" i="15"/>
  <c r="K18" i="15"/>
  <c r="L18" i="15"/>
  <c r="M18" i="15"/>
  <c r="K19" i="15"/>
  <c r="L19" i="15"/>
  <c r="M19" i="15"/>
  <c r="K20" i="15"/>
  <c r="L20" i="15"/>
  <c r="M20" i="15"/>
  <c r="K21" i="15"/>
  <c r="L21" i="15"/>
  <c r="M21" i="15"/>
  <c r="K22" i="15"/>
  <c r="L22" i="15"/>
  <c r="M22" i="15"/>
  <c r="K23" i="15"/>
  <c r="L23" i="15"/>
  <c r="M23" i="15"/>
  <c r="K24" i="15"/>
  <c r="L24" i="15"/>
  <c r="M24" i="15"/>
  <c r="K25" i="15"/>
  <c r="L25" i="15"/>
  <c r="M25" i="15"/>
  <c r="K26" i="15"/>
  <c r="L26" i="15"/>
  <c r="M26" i="15"/>
  <c r="K27" i="15"/>
  <c r="L27" i="15"/>
  <c r="M27" i="15"/>
  <c r="K28" i="15"/>
  <c r="L28" i="15"/>
  <c r="M28" i="15"/>
  <c r="K29" i="15"/>
  <c r="L29" i="15"/>
  <c r="M29" i="15"/>
  <c r="K30" i="15"/>
  <c r="L30" i="15"/>
  <c r="M30" i="15"/>
  <c r="K31" i="15"/>
  <c r="L31" i="15"/>
  <c r="M31" i="15"/>
  <c r="K32" i="15"/>
  <c r="L32" i="15"/>
  <c r="M32" i="15"/>
  <c r="K33" i="15"/>
  <c r="L33" i="15"/>
  <c r="M33" i="15"/>
  <c r="K34" i="15"/>
  <c r="L34" i="15"/>
  <c r="M34" i="15"/>
  <c r="K35" i="15"/>
  <c r="L35" i="15"/>
  <c r="M35" i="15"/>
  <c r="K36" i="15"/>
  <c r="L36" i="15"/>
  <c r="M36" i="15"/>
  <c r="K37" i="15"/>
  <c r="L37" i="15"/>
  <c r="M37" i="15"/>
  <c r="K38" i="15"/>
  <c r="L38" i="15"/>
  <c r="M38" i="15"/>
  <c r="K39" i="15"/>
  <c r="L39" i="15"/>
  <c r="M39" i="15"/>
  <c r="K40" i="15"/>
  <c r="L40" i="15"/>
  <c r="M40" i="15"/>
  <c r="K41" i="15"/>
  <c r="L41" i="15"/>
  <c r="M41" i="15"/>
  <c r="K42" i="15"/>
  <c r="L42" i="15"/>
  <c r="M42" i="15"/>
  <c r="K43" i="15"/>
  <c r="L43" i="15"/>
  <c r="M43" i="15"/>
  <c r="K44" i="15"/>
  <c r="L44" i="15"/>
  <c r="M44" i="15"/>
  <c r="K45" i="15"/>
  <c r="L45" i="15"/>
  <c r="M45" i="15"/>
  <c r="K46" i="15"/>
  <c r="L46" i="15"/>
  <c r="M46" i="15"/>
  <c r="K47" i="15"/>
  <c r="L47" i="15"/>
  <c r="M47" i="15"/>
  <c r="K48" i="15"/>
  <c r="L48" i="15"/>
  <c r="M48" i="15"/>
  <c r="K49" i="15"/>
  <c r="L49" i="15"/>
  <c r="M49" i="15"/>
  <c r="K50" i="15"/>
  <c r="L50" i="15"/>
  <c r="M50" i="15"/>
  <c r="K51" i="15"/>
  <c r="L51" i="15"/>
  <c r="M51" i="15"/>
  <c r="K52" i="15"/>
  <c r="L52" i="15"/>
  <c r="M52" i="15"/>
  <c r="K53" i="15"/>
  <c r="L53" i="15"/>
  <c r="M53" i="15"/>
  <c r="K54" i="15"/>
  <c r="L54" i="15"/>
  <c r="M54" i="15"/>
  <c r="K55" i="15"/>
  <c r="L55" i="15"/>
  <c r="M55" i="15"/>
  <c r="K56" i="15"/>
  <c r="L56" i="15"/>
  <c r="M56" i="15"/>
  <c r="K57" i="15"/>
  <c r="L57" i="15"/>
  <c r="M57" i="15"/>
  <c r="K58" i="15"/>
  <c r="L58" i="15"/>
  <c r="M58" i="15"/>
  <c r="K59" i="15"/>
  <c r="L59" i="15"/>
  <c r="M59" i="15"/>
  <c r="K60" i="15"/>
  <c r="L60" i="15"/>
  <c r="M60" i="15"/>
  <c r="K61" i="15"/>
  <c r="L61" i="15"/>
  <c r="M61" i="15"/>
  <c r="K62" i="15"/>
  <c r="L62" i="15"/>
  <c r="M62" i="15"/>
  <c r="K63" i="15"/>
  <c r="L63" i="15"/>
  <c r="M63" i="15"/>
  <c r="K64" i="15"/>
  <c r="L64" i="15"/>
  <c r="M64" i="15"/>
  <c r="M70" i="15"/>
  <c r="L70" i="15"/>
  <c r="K70" i="15"/>
  <c r="R9" i="8"/>
  <c r="R10" i="8"/>
  <c r="R11" i="8"/>
  <c r="R12" i="8"/>
  <c r="R13" i="8"/>
  <c r="R14" i="8"/>
  <c r="R15" i="8"/>
  <c r="R16" i="8"/>
  <c r="R17" i="8"/>
  <c r="R18" i="8"/>
  <c r="R19" i="8"/>
  <c r="R20" i="8"/>
  <c r="R21" i="8"/>
  <c r="R22" i="8"/>
  <c r="R23" i="8"/>
  <c r="R24" i="8"/>
  <c r="R25" i="8"/>
  <c r="R26" i="8"/>
  <c r="R27" i="8"/>
  <c r="R28" i="8"/>
  <c r="R29" i="8"/>
  <c r="R30" i="8"/>
  <c r="R31" i="8"/>
  <c r="R32" i="8"/>
  <c r="R33" i="8"/>
  <c r="R34" i="8"/>
  <c r="R35" i="8"/>
  <c r="R36" i="8"/>
  <c r="R37" i="8"/>
  <c r="R38" i="8"/>
  <c r="R39" i="8"/>
  <c r="R40" i="8"/>
  <c r="R41" i="8"/>
  <c r="R42" i="8"/>
  <c r="R43" i="8"/>
  <c r="R44" i="8"/>
  <c r="R45" i="8"/>
  <c r="R46" i="8"/>
  <c r="R47" i="8"/>
  <c r="R48" i="8"/>
  <c r="R49" i="8"/>
  <c r="R50" i="8"/>
  <c r="R51" i="8"/>
  <c r="R52" i="8"/>
  <c r="R53" i="8"/>
  <c r="R54" i="8"/>
  <c r="R55" i="8"/>
  <c r="R56" i="8"/>
  <c r="R57" i="8"/>
  <c r="R58" i="8"/>
  <c r="R59" i="8"/>
  <c r="R60" i="8"/>
  <c r="R61" i="8"/>
  <c r="R62" i="8"/>
  <c r="R63" i="8"/>
  <c r="R64" i="8"/>
  <c r="R65" i="8"/>
  <c r="R66" i="8"/>
  <c r="R67" i="8"/>
  <c r="R68" i="8"/>
  <c r="R69" i="8"/>
  <c r="R70" i="8"/>
  <c r="R71" i="8"/>
  <c r="R72" i="8"/>
  <c r="R73" i="8"/>
  <c r="R74" i="8"/>
  <c r="R75" i="8"/>
  <c r="R76" i="8"/>
  <c r="R77" i="8"/>
  <c r="R78" i="8"/>
  <c r="R79" i="8"/>
  <c r="R80" i="8"/>
  <c r="R81" i="8"/>
  <c r="R82" i="8"/>
  <c r="R83" i="8"/>
  <c r="R84" i="8"/>
  <c r="R85" i="8"/>
  <c r="R86" i="8"/>
  <c r="R87" i="8"/>
  <c r="R88" i="8"/>
  <c r="R89" i="8"/>
  <c r="R90" i="8"/>
  <c r="R91" i="8"/>
  <c r="R92" i="8"/>
  <c r="R93" i="8"/>
  <c r="R94" i="8"/>
  <c r="R95" i="8"/>
  <c r="R96" i="8"/>
  <c r="R97" i="8"/>
  <c r="R98" i="8"/>
  <c r="R100" i="8"/>
  <c r="R101" i="8"/>
  <c r="R103" i="8"/>
  <c r="R104" i="8"/>
  <c r="R105" i="8"/>
  <c r="R106" i="8"/>
  <c r="R107" i="8"/>
  <c r="R108" i="8"/>
  <c r="R109" i="8"/>
  <c r="R110" i="8"/>
  <c r="R111" i="8"/>
  <c r="R112" i="8"/>
  <c r="R113" i="8"/>
  <c r="R114" i="8"/>
  <c r="R115" i="8"/>
  <c r="R116" i="8"/>
  <c r="R117" i="8"/>
  <c r="R118" i="8"/>
  <c r="R119" i="8"/>
  <c r="R120" i="8"/>
  <c r="R121" i="8"/>
  <c r="R8" i="8"/>
  <c r="M58" i="8"/>
  <c r="L58" i="8"/>
  <c r="K58" i="8"/>
  <c r="M43" i="8"/>
  <c r="L43" i="8"/>
  <c r="K43" i="8"/>
  <c r="M36" i="8"/>
  <c r="L36" i="8"/>
  <c r="K36" i="8"/>
  <c r="M33" i="8"/>
  <c r="L33" i="8"/>
  <c r="K33" i="8"/>
  <c r="M30" i="8"/>
  <c r="L30" i="8"/>
  <c r="K30" i="8"/>
  <c r="M15" i="8"/>
  <c r="L15" i="8"/>
  <c r="K15" i="8"/>
  <c r="M39" i="8"/>
  <c r="L39" i="8"/>
  <c r="K39" i="8"/>
  <c r="M38" i="8"/>
  <c r="L38" i="8"/>
  <c r="K38" i="8"/>
  <c r="M37" i="8"/>
  <c r="L37" i="8"/>
  <c r="K37" i="8"/>
  <c r="M35" i="8"/>
  <c r="L35" i="8"/>
  <c r="K35" i="8"/>
  <c r="M34" i="8"/>
  <c r="L34" i="8"/>
  <c r="K34" i="8"/>
  <c r="M32" i="8"/>
  <c r="L32" i="8"/>
  <c r="K32" i="8"/>
  <c r="M31" i="8"/>
  <c r="L31" i="8"/>
  <c r="K31" i="8"/>
  <c r="M29" i="8"/>
  <c r="L29" i="8"/>
  <c r="K29" i="8"/>
  <c r="M28" i="8"/>
  <c r="L28" i="8"/>
  <c r="K28" i="8"/>
  <c r="M27" i="8"/>
  <c r="L27" i="8"/>
  <c r="K27" i="8"/>
  <c r="M26" i="8"/>
  <c r="L26" i="8"/>
  <c r="K26" i="8"/>
  <c r="M25" i="8"/>
  <c r="L25" i="8"/>
  <c r="K25" i="8"/>
  <c r="M24" i="8"/>
  <c r="L24" i="8"/>
  <c r="K24" i="8"/>
  <c r="M23" i="8"/>
  <c r="L23" i="8"/>
  <c r="K23" i="8"/>
  <c r="M22" i="8"/>
  <c r="L22" i="8"/>
  <c r="K22" i="8"/>
  <c r="M21" i="8"/>
  <c r="L21" i="8"/>
  <c r="K21" i="8"/>
  <c r="M20" i="8"/>
  <c r="L20" i="8"/>
  <c r="K20" i="8"/>
  <c r="M19" i="8"/>
  <c r="L19" i="8"/>
  <c r="K19" i="8"/>
  <c r="M18" i="8"/>
  <c r="L18" i="8"/>
  <c r="K18" i="8"/>
  <c r="M17" i="8"/>
  <c r="L17" i="8"/>
  <c r="K17" i="8"/>
  <c r="M16" i="8"/>
  <c r="L16" i="8"/>
  <c r="K16" i="8"/>
  <c r="M14" i="8"/>
  <c r="L14" i="8"/>
  <c r="K14" i="8"/>
  <c r="M13" i="8"/>
  <c r="L13" i="8"/>
  <c r="K13" i="8"/>
  <c r="M12" i="8"/>
  <c r="L12" i="8"/>
  <c r="K12" i="8"/>
  <c r="M11" i="8"/>
  <c r="L11" i="8"/>
  <c r="K11" i="8"/>
  <c r="M10" i="8"/>
  <c r="L10" i="8"/>
  <c r="K10" i="8"/>
  <c r="M9" i="8"/>
  <c r="L9" i="8"/>
  <c r="K9" i="8"/>
  <c r="M8" i="8"/>
  <c r="L8" i="8"/>
  <c r="K8" i="8"/>
  <c r="M69" i="8"/>
  <c r="L69" i="8"/>
  <c r="K69" i="8"/>
  <c r="M68" i="8"/>
  <c r="L68" i="8"/>
  <c r="K68" i="8"/>
  <c r="M67" i="8"/>
  <c r="L67" i="8"/>
  <c r="K67" i="8"/>
  <c r="M66" i="8"/>
  <c r="L66" i="8"/>
  <c r="K66" i="8"/>
  <c r="M65" i="8"/>
  <c r="L65" i="8"/>
  <c r="K65" i="8"/>
  <c r="M64" i="8"/>
  <c r="L64" i="8"/>
  <c r="K64" i="8"/>
  <c r="M63" i="8"/>
  <c r="L63" i="8"/>
  <c r="K63" i="8"/>
  <c r="M62" i="8"/>
  <c r="L62" i="8"/>
  <c r="K62" i="8"/>
  <c r="M61" i="8"/>
  <c r="L61" i="8"/>
  <c r="K61" i="8"/>
  <c r="M60" i="8"/>
  <c r="L60" i="8"/>
  <c r="K60" i="8"/>
  <c r="M59" i="8"/>
  <c r="L59" i="8"/>
  <c r="K59" i="8"/>
  <c r="M57" i="8"/>
  <c r="L57" i="8"/>
  <c r="K57" i="8"/>
  <c r="M56" i="8"/>
  <c r="L56" i="8"/>
  <c r="K56" i="8"/>
  <c r="M55" i="8"/>
  <c r="L55" i="8"/>
  <c r="K55" i="8"/>
  <c r="M54" i="8"/>
  <c r="L54" i="8"/>
  <c r="K54" i="8"/>
  <c r="M53" i="8"/>
  <c r="L53" i="8"/>
  <c r="K53" i="8"/>
  <c r="M52" i="8"/>
  <c r="L52" i="8"/>
  <c r="K52" i="8"/>
  <c r="M51" i="8"/>
  <c r="L51" i="8"/>
  <c r="K51" i="8"/>
  <c r="M50" i="8"/>
  <c r="L50" i="8"/>
  <c r="K50" i="8"/>
  <c r="M49" i="8"/>
  <c r="L49" i="8"/>
  <c r="K49" i="8"/>
  <c r="M48" i="8"/>
  <c r="L48" i="8"/>
  <c r="K48" i="8"/>
  <c r="M47" i="8"/>
  <c r="L47" i="8"/>
  <c r="K47" i="8"/>
  <c r="M46" i="8"/>
  <c r="L46" i="8"/>
  <c r="K46" i="8"/>
  <c r="M45" i="8"/>
  <c r="L45" i="8"/>
  <c r="K45" i="8"/>
  <c r="M44" i="8"/>
  <c r="L44" i="8"/>
  <c r="K44" i="8"/>
  <c r="M42" i="8"/>
  <c r="L42" i="8"/>
  <c r="K42" i="8"/>
  <c r="M41" i="8"/>
  <c r="L41" i="8"/>
  <c r="K41" i="8"/>
  <c r="M40" i="8"/>
  <c r="L40" i="8"/>
  <c r="K40" i="8"/>
  <c r="M71" i="8"/>
  <c r="L71" i="8"/>
  <c r="K71" i="8"/>
  <c r="M70" i="8"/>
  <c r="L70" i="8"/>
  <c r="K70" i="8"/>
  <c r="R9" i="7"/>
  <c r="R10" i="7"/>
  <c r="R11" i="7"/>
  <c r="R12" i="7"/>
  <c r="R13" i="7"/>
  <c r="R14" i="7"/>
  <c r="R15" i="7"/>
  <c r="R16" i="7"/>
  <c r="R17" i="7"/>
  <c r="R18" i="7"/>
  <c r="R19" i="7"/>
  <c r="R20" i="7"/>
  <c r="R21" i="7"/>
  <c r="R22" i="7"/>
  <c r="R23" i="7"/>
  <c r="R24" i="7"/>
  <c r="R25" i="7"/>
  <c r="R26" i="7"/>
  <c r="R27" i="7"/>
  <c r="R28" i="7"/>
  <c r="R29" i="7"/>
  <c r="R30" i="7"/>
  <c r="R31" i="7"/>
  <c r="R32" i="7"/>
  <c r="R33" i="7"/>
  <c r="R34" i="7"/>
  <c r="R35" i="7"/>
  <c r="R36" i="7"/>
  <c r="R37" i="7"/>
  <c r="R38" i="7"/>
  <c r="R39" i="7"/>
  <c r="R40" i="7"/>
  <c r="R41" i="7"/>
  <c r="R42" i="7"/>
  <c r="R43" i="7"/>
  <c r="R44" i="7"/>
  <c r="R45" i="7"/>
  <c r="R46" i="7"/>
  <c r="R47" i="7"/>
  <c r="R48" i="7"/>
  <c r="R49" i="7"/>
  <c r="R50" i="7"/>
  <c r="R51" i="7"/>
  <c r="R52" i="7"/>
  <c r="R53" i="7"/>
  <c r="R54" i="7"/>
  <c r="R55" i="7"/>
  <c r="R56" i="7"/>
  <c r="R57" i="7"/>
  <c r="R58" i="7"/>
  <c r="R59" i="7"/>
  <c r="R60" i="7"/>
  <c r="R61" i="7"/>
  <c r="W168" i="7" s="1"/>
  <c r="R62" i="7"/>
  <c r="R63" i="7"/>
  <c r="R66" i="7"/>
  <c r="R67" i="7"/>
  <c r="R68" i="7"/>
  <c r="R69" i="7"/>
  <c r="R70" i="7"/>
  <c r="R71" i="7"/>
  <c r="R72" i="7"/>
  <c r="R73" i="7"/>
  <c r="R74" i="7"/>
  <c r="R75" i="7"/>
  <c r="R76" i="7"/>
  <c r="R77" i="7"/>
  <c r="R78" i="7"/>
  <c r="R79" i="7"/>
  <c r="R80" i="7"/>
  <c r="R81" i="7"/>
  <c r="R82" i="7"/>
  <c r="R83" i="7"/>
  <c r="R84" i="7"/>
  <c r="R85" i="7"/>
  <c r="R86" i="7"/>
  <c r="R87" i="7"/>
  <c r="R88" i="7"/>
  <c r="R89" i="7"/>
  <c r="R90" i="7"/>
  <c r="R91" i="7"/>
  <c r="R92" i="7"/>
  <c r="R93" i="7"/>
  <c r="R94" i="7"/>
  <c r="R95" i="7"/>
  <c r="R96" i="7"/>
  <c r="R97" i="7"/>
  <c r="R98" i="7"/>
  <c r="R99" i="7"/>
  <c r="R100" i="7"/>
  <c r="R101" i="7"/>
  <c r="R102" i="7"/>
  <c r="R103" i="7"/>
  <c r="R104" i="7"/>
  <c r="R105" i="7"/>
  <c r="R106" i="7"/>
  <c r="R107" i="7"/>
  <c r="R108" i="7"/>
  <c r="R109" i="7"/>
  <c r="R110" i="7"/>
  <c r="R111" i="7"/>
  <c r="R112" i="7"/>
  <c r="R113" i="7"/>
  <c r="R114" i="7"/>
  <c r="R8" i="7"/>
  <c r="M9" i="7"/>
  <c r="L9" i="7"/>
  <c r="K9" i="7"/>
  <c r="M17" i="7"/>
  <c r="L17" i="7"/>
  <c r="K17" i="7"/>
  <c r="M16" i="7"/>
  <c r="L16" i="7"/>
  <c r="K16" i="7"/>
  <c r="M15" i="7"/>
  <c r="L15" i="7"/>
  <c r="K15" i="7"/>
  <c r="M14" i="7"/>
  <c r="L14" i="7"/>
  <c r="K14" i="7"/>
  <c r="E14" i="7"/>
  <c r="T144" i="7" s="1"/>
  <c r="M13" i="7"/>
  <c r="L13" i="7"/>
  <c r="K13" i="7"/>
  <c r="M12" i="7"/>
  <c r="L12" i="7"/>
  <c r="K12" i="7"/>
  <c r="E12" i="7"/>
  <c r="T143" i="7" s="1"/>
  <c r="M11" i="7"/>
  <c r="L11" i="7"/>
  <c r="K11" i="7"/>
  <c r="M10" i="7"/>
  <c r="L10" i="7"/>
  <c r="K10" i="7"/>
  <c r="M8" i="7"/>
  <c r="L8" i="7"/>
  <c r="K8" i="7"/>
  <c r="M45" i="7"/>
  <c r="L45" i="7"/>
  <c r="K45" i="7"/>
  <c r="M44" i="7"/>
  <c r="L44" i="7"/>
  <c r="K44" i="7"/>
  <c r="M43" i="7"/>
  <c r="L43" i="7"/>
  <c r="K43" i="7"/>
  <c r="M42" i="7"/>
  <c r="L42" i="7"/>
  <c r="K42" i="7"/>
  <c r="M41" i="7"/>
  <c r="L41" i="7"/>
  <c r="K41" i="7"/>
  <c r="M40" i="7"/>
  <c r="L40" i="7"/>
  <c r="K40" i="7"/>
  <c r="M39" i="7"/>
  <c r="L39" i="7"/>
  <c r="K39" i="7"/>
  <c r="M38" i="7"/>
  <c r="L38" i="7"/>
  <c r="K38" i="7"/>
  <c r="M37" i="7"/>
  <c r="L37" i="7"/>
  <c r="K37" i="7"/>
  <c r="M36" i="7"/>
  <c r="L36" i="7"/>
  <c r="K36" i="7"/>
  <c r="M35" i="7"/>
  <c r="L35" i="7"/>
  <c r="K35" i="7"/>
  <c r="M34" i="7"/>
  <c r="L34" i="7"/>
  <c r="K34" i="7"/>
  <c r="M33" i="7"/>
  <c r="L33" i="7"/>
  <c r="K33" i="7"/>
  <c r="M32" i="7"/>
  <c r="L32" i="7"/>
  <c r="K32" i="7"/>
  <c r="M31" i="7"/>
  <c r="L31" i="7"/>
  <c r="K31" i="7"/>
  <c r="M30" i="7"/>
  <c r="L30" i="7"/>
  <c r="K30" i="7"/>
  <c r="M29" i="7"/>
  <c r="L29" i="7"/>
  <c r="K29" i="7"/>
  <c r="M28" i="7"/>
  <c r="L28" i="7"/>
  <c r="K28" i="7"/>
  <c r="M27" i="7"/>
  <c r="L27" i="7"/>
  <c r="K27" i="7"/>
  <c r="M26" i="7"/>
  <c r="L26" i="7"/>
  <c r="K26" i="7"/>
  <c r="M25" i="7"/>
  <c r="L25" i="7"/>
  <c r="K25" i="7"/>
  <c r="M24" i="7"/>
  <c r="L24" i="7"/>
  <c r="K24" i="7"/>
  <c r="M23" i="7"/>
  <c r="L23" i="7"/>
  <c r="K23" i="7"/>
  <c r="M22" i="7"/>
  <c r="L22" i="7"/>
  <c r="K22" i="7"/>
  <c r="M21" i="7"/>
  <c r="L21" i="7"/>
  <c r="K21" i="7"/>
  <c r="M20" i="7"/>
  <c r="L20" i="7"/>
  <c r="K20" i="7"/>
  <c r="M19" i="7"/>
  <c r="L19" i="7"/>
  <c r="K19" i="7"/>
  <c r="M18" i="7"/>
  <c r="L18" i="7"/>
  <c r="K18" i="7"/>
  <c r="M58" i="7"/>
  <c r="L58" i="7"/>
  <c r="K58" i="7"/>
  <c r="M57" i="7"/>
  <c r="L57" i="7"/>
  <c r="K57" i="7"/>
  <c r="M56" i="7"/>
  <c r="L56" i="7"/>
  <c r="K56" i="7"/>
  <c r="M55" i="7"/>
  <c r="L55" i="7"/>
  <c r="K55" i="7"/>
  <c r="M54" i="7"/>
  <c r="L54" i="7"/>
  <c r="K54" i="7"/>
  <c r="M53" i="7"/>
  <c r="L53" i="7"/>
  <c r="K53" i="7"/>
  <c r="M52" i="7"/>
  <c r="L52" i="7"/>
  <c r="K52" i="7"/>
  <c r="M51" i="7"/>
  <c r="L51" i="7"/>
  <c r="K51" i="7"/>
  <c r="M50" i="7"/>
  <c r="L50" i="7"/>
  <c r="K50" i="7"/>
  <c r="M49" i="7"/>
  <c r="L49" i="7"/>
  <c r="K49" i="7"/>
  <c r="M48" i="7"/>
  <c r="L48" i="7"/>
  <c r="K48" i="7"/>
  <c r="M47" i="7"/>
  <c r="L47" i="7"/>
  <c r="K47" i="7"/>
  <c r="M46" i="7"/>
  <c r="L46" i="7"/>
  <c r="K46" i="7"/>
  <c r="M65" i="7"/>
  <c r="L65" i="7"/>
  <c r="K65" i="7"/>
  <c r="M64" i="7"/>
  <c r="L64" i="7"/>
  <c r="K64" i="7"/>
  <c r="M63" i="7"/>
  <c r="L63" i="7"/>
  <c r="K63" i="7"/>
  <c r="M62" i="7"/>
  <c r="L62" i="7"/>
  <c r="K62" i="7"/>
  <c r="M61" i="7"/>
  <c r="L61" i="7"/>
  <c r="K61" i="7"/>
  <c r="M60" i="7"/>
  <c r="L60" i="7"/>
  <c r="K60" i="7"/>
  <c r="M59" i="7"/>
  <c r="L59" i="7"/>
  <c r="K59" i="7"/>
  <c r="R67" i="5"/>
  <c r="R68" i="5"/>
  <c r="R69" i="5"/>
  <c r="R70" i="5"/>
  <c r="R71" i="5"/>
  <c r="R72" i="5"/>
  <c r="R73" i="5"/>
  <c r="R74" i="5"/>
  <c r="R76" i="5"/>
  <c r="R77" i="5"/>
  <c r="R78" i="5"/>
  <c r="R79" i="5"/>
  <c r="R80" i="5"/>
  <c r="R81" i="5"/>
  <c r="R82" i="5"/>
  <c r="R83" i="5"/>
  <c r="R84" i="5"/>
  <c r="R85" i="5"/>
  <c r="R86" i="5"/>
  <c r="R87" i="5"/>
  <c r="R88" i="5"/>
  <c r="R89" i="5"/>
  <c r="R90" i="5"/>
  <c r="R91" i="5"/>
  <c r="R92" i="5"/>
  <c r="R93" i="5"/>
  <c r="R94" i="5"/>
  <c r="R95" i="5"/>
  <c r="R96" i="5"/>
  <c r="R97" i="5"/>
  <c r="R98" i="5"/>
  <c r="R99" i="5"/>
  <c r="R100" i="5"/>
  <c r="R101" i="5"/>
  <c r="R102" i="5"/>
  <c r="R103" i="5"/>
  <c r="R104" i="5"/>
  <c r="R105" i="5"/>
  <c r="R106" i="5"/>
  <c r="R107" i="5"/>
  <c r="R108" i="5"/>
  <c r="R109" i="5"/>
  <c r="R110" i="5"/>
  <c r="R111" i="5"/>
  <c r="R112" i="5"/>
  <c r="R113" i="5"/>
  <c r="R114" i="5"/>
  <c r="R115" i="5"/>
  <c r="R9" i="5"/>
  <c r="R10" i="5"/>
  <c r="R11" i="5"/>
  <c r="R12" i="5"/>
  <c r="R13" i="5"/>
  <c r="R14" i="5"/>
  <c r="R15" i="5"/>
  <c r="R16" i="5"/>
  <c r="R17" i="5"/>
  <c r="R18" i="5"/>
  <c r="R19" i="5"/>
  <c r="R20" i="5"/>
  <c r="R21" i="5"/>
  <c r="J149" i="5" s="1"/>
  <c r="R22" i="5"/>
  <c r="R23" i="5"/>
  <c r="R24" i="5"/>
  <c r="R25" i="5"/>
  <c r="R26" i="5"/>
  <c r="R27" i="5"/>
  <c r="R28" i="5"/>
  <c r="R29" i="5"/>
  <c r="R30" i="5"/>
  <c r="R31" i="5"/>
  <c r="R32" i="5"/>
  <c r="R33" i="5"/>
  <c r="R34" i="5"/>
  <c r="R35" i="5"/>
  <c r="R36" i="5"/>
  <c r="R37" i="5"/>
  <c r="R38" i="5"/>
  <c r="R39" i="5"/>
  <c r="R40" i="5"/>
  <c r="R41" i="5"/>
  <c r="R42" i="5"/>
  <c r="R43" i="5"/>
  <c r="R44" i="5"/>
  <c r="R45" i="5"/>
  <c r="R46" i="5"/>
  <c r="R47" i="5"/>
  <c r="R48" i="5"/>
  <c r="R49" i="5"/>
  <c r="R50" i="5"/>
  <c r="R51" i="5"/>
  <c r="R52" i="5"/>
  <c r="R53" i="5"/>
  <c r="R54" i="5"/>
  <c r="R55" i="5"/>
  <c r="R56" i="5"/>
  <c r="R57" i="5"/>
  <c r="R58" i="5"/>
  <c r="R59" i="5"/>
  <c r="R60" i="5"/>
  <c r="R61" i="5"/>
  <c r="R62" i="5"/>
  <c r="R63" i="5"/>
  <c r="R64" i="5"/>
  <c r="R65" i="5"/>
  <c r="R66" i="5"/>
  <c r="R8" i="5"/>
  <c r="M25" i="5"/>
  <c r="L25" i="5"/>
  <c r="K25" i="5"/>
  <c r="M36" i="5"/>
  <c r="L36" i="5"/>
  <c r="K36" i="5"/>
  <c r="M35" i="5"/>
  <c r="L35" i="5"/>
  <c r="K35" i="5"/>
  <c r="M34" i="5"/>
  <c r="L34" i="5"/>
  <c r="K34" i="5"/>
  <c r="M33" i="5"/>
  <c r="L33" i="5"/>
  <c r="K33" i="5"/>
  <c r="M32" i="5"/>
  <c r="L32" i="5"/>
  <c r="K32" i="5"/>
  <c r="M31" i="5"/>
  <c r="L31" i="5"/>
  <c r="K31" i="5"/>
  <c r="E31" i="5"/>
  <c r="T154" i="5" s="1"/>
  <c r="M30" i="5"/>
  <c r="L30" i="5"/>
  <c r="K30" i="5"/>
  <c r="M29" i="5"/>
  <c r="L29" i="5"/>
  <c r="K29" i="5"/>
  <c r="M28" i="5"/>
  <c r="L28" i="5"/>
  <c r="K28" i="5"/>
  <c r="E28" i="5"/>
  <c r="M27" i="5"/>
  <c r="L27" i="5"/>
  <c r="K27" i="5"/>
  <c r="M26" i="5"/>
  <c r="L26" i="5"/>
  <c r="K26" i="5"/>
  <c r="M24" i="5"/>
  <c r="L24" i="5"/>
  <c r="K24" i="5"/>
  <c r="M23" i="5"/>
  <c r="L23" i="5"/>
  <c r="K23" i="5"/>
  <c r="E23" i="5"/>
  <c r="T150" i="5" s="1"/>
  <c r="M22" i="5"/>
  <c r="L22" i="5"/>
  <c r="K22" i="5"/>
  <c r="M21" i="5"/>
  <c r="L21" i="5"/>
  <c r="K21" i="5"/>
  <c r="M20" i="5"/>
  <c r="L20" i="5"/>
  <c r="K20" i="5"/>
  <c r="M19" i="5"/>
  <c r="L19" i="5"/>
  <c r="K19" i="5"/>
  <c r="M18" i="5"/>
  <c r="L18" i="5"/>
  <c r="K18" i="5"/>
  <c r="M17" i="5"/>
  <c r="L17" i="5"/>
  <c r="K17" i="5"/>
  <c r="M16" i="5"/>
  <c r="L16" i="5"/>
  <c r="K16" i="5"/>
  <c r="M15" i="5"/>
  <c r="L15" i="5"/>
  <c r="K15" i="5"/>
  <c r="M14" i="5"/>
  <c r="L14" i="5"/>
  <c r="K14" i="5"/>
  <c r="M13" i="5"/>
  <c r="L13" i="5"/>
  <c r="K13" i="5"/>
  <c r="E13" i="5"/>
  <c r="S145" i="5" s="1"/>
  <c r="M12" i="5"/>
  <c r="L12" i="5"/>
  <c r="K12" i="5"/>
  <c r="M11" i="5"/>
  <c r="L11" i="5"/>
  <c r="K11" i="5"/>
  <c r="E11" i="5"/>
  <c r="U144" i="5" s="1"/>
  <c r="M10" i="5"/>
  <c r="L10" i="5"/>
  <c r="K10" i="5"/>
  <c r="M9" i="5"/>
  <c r="L9" i="5"/>
  <c r="K9" i="5"/>
  <c r="M8" i="5"/>
  <c r="L8" i="5"/>
  <c r="K8" i="5"/>
  <c r="M64" i="5"/>
  <c r="L64" i="5"/>
  <c r="K64" i="5"/>
  <c r="M63" i="5"/>
  <c r="L63" i="5"/>
  <c r="K63" i="5"/>
  <c r="E63" i="5"/>
  <c r="U170" i="5" s="1"/>
  <c r="M62" i="5"/>
  <c r="L62" i="5"/>
  <c r="K62" i="5"/>
  <c r="M61" i="5"/>
  <c r="L61" i="5"/>
  <c r="K61" i="5"/>
  <c r="E61" i="5"/>
  <c r="T169" i="5" s="1"/>
  <c r="M60" i="5"/>
  <c r="L60" i="5"/>
  <c r="K60" i="5"/>
  <c r="M59" i="5"/>
  <c r="L59" i="5"/>
  <c r="K59" i="5"/>
  <c r="M58" i="5"/>
  <c r="L58" i="5"/>
  <c r="K58" i="5"/>
  <c r="M57" i="5"/>
  <c r="L57" i="5"/>
  <c r="K57" i="5"/>
  <c r="M56" i="5"/>
  <c r="L56" i="5"/>
  <c r="K56" i="5"/>
  <c r="E56" i="5"/>
  <c r="U166" i="5" s="1"/>
  <c r="M55" i="5"/>
  <c r="L55" i="5"/>
  <c r="K55" i="5"/>
  <c r="M54" i="5"/>
  <c r="L54" i="5"/>
  <c r="K54" i="5"/>
  <c r="E54" i="5"/>
  <c r="M53" i="5"/>
  <c r="L53" i="5"/>
  <c r="K53" i="5"/>
  <c r="M52" i="5"/>
  <c r="L52" i="5"/>
  <c r="K52" i="5"/>
  <c r="E52" i="5"/>
  <c r="M51" i="5"/>
  <c r="L51" i="5"/>
  <c r="K51" i="5"/>
  <c r="M50" i="5"/>
  <c r="L50" i="5"/>
  <c r="K50" i="5"/>
  <c r="M49" i="5"/>
  <c r="L49" i="5"/>
  <c r="K49" i="5"/>
  <c r="M48" i="5"/>
  <c r="L48" i="5"/>
  <c r="K48" i="5"/>
  <c r="M47" i="5"/>
  <c r="L47" i="5"/>
  <c r="K47" i="5"/>
  <c r="M46" i="5"/>
  <c r="L46" i="5"/>
  <c r="K46" i="5"/>
  <c r="M45" i="5"/>
  <c r="L45" i="5"/>
  <c r="K45" i="5"/>
  <c r="M44" i="5"/>
  <c r="L44" i="5"/>
  <c r="K44" i="5"/>
  <c r="M43" i="5"/>
  <c r="L43" i="5"/>
  <c r="K43" i="5"/>
  <c r="M42" i="5"/>
  <c r="L42" i="5"/>
  <c r="K42" i="5"/>
  <c r="M41" i="5"/>
  <c r="L41" i="5"/>
  <c r="K41" i="5"/>
  <c r="M40" i="5"/>
  <c r="L40" i="5"/>
  <c r="K40" i="5"/>
  <c r="E40" i="5"/>
  <c r="U158" i="5" s="1"/>
  <c r="M39" i="5"/>
  <c r="L39" i="5"/>
  <c r="K39" i="5"/>
  <c r="M38" i="5"/>
  <c r="L38" i="5"/>
  <c r="K38" i="5"/>
  <c r="M37" i="5"/>
  <c r="L37" i="5"/>
  <c r="K37" i="5"/>
  <c r="M66" i="5"/>
  <c r="L66" i="5"/>
  <c r="K66" i="5"/>
  <c r="M65" i="5"/>
  <c r="L65" i="5"/>
  <c r="K65" i="5"/>
  <c r="R9" i="3"/>
  <c r="R10" i="3"/>
  <c r="R11" i="3"/>
  <c r="R12" i="3"/>
  <c r="R13" i="3"/>
  <c r="R14" i="3"/>
  <c r="R15" i="3"/>
  <c r="R16" i="3"/>
  <c r="R17" i="3"/>
  <c r="R18" i="3"/>
  <c r="R19" i="3"/>
  <c r="R20" i="3"/>
  <c r="R21" i="3"/>
  <c r="R22" i="3"/>
  <c r="R23" i="3"/>
  <c r="R24" i="3"/>
  <c r="R25" i="3"/>
  <c r="R26" i="3"/>
  <c r="R27" i="3"/>
  <c r="R28" i="3"/>
  <c r="R29" i="3"/>
  <c r="R30" i="3"/>
  <c r="R31" i="3"/>
  <c r="R32" i="3"/>
  <c r="R33" i="3"/>
  <c r="R34" i="3"/>
  <c r="R35" i="3"/>
  <c r="R36" i="3"/>
  <c r="R37" i="3"/>
  <c r="R38" i="3"/>
  <c r="R39" i="3"/>
  <c r="R40" i="3"/>
  <c r="R41" i="3"/>
  <c r="R42" i="3"/>
  <c r="R43" i="3"/>
  <c r="R44" i="3"/>
  <c r="R45" i="3"/>
  <c r="R46" i="3"/>
  <c r="R47" i="3"/>
  <c r="R48" i="3"/>
  <c r="R49" i="3"/>
  <c r="R50" i="3"/>
  <c r="R51" i="3"/>
  <c r="R52" i="3"/>
  <c r="R53" i="3"/>
  <c r="R54" i="3"/>
  <c r="R55" i="3"/>
  <c r="R56" i="3"/>
  <c r="R57" i="3"/>
  <c r="R58" i="3"/>
  <c r="R59" i="3"/>
  <c r="R60" i="3"/>
  <c r="R61" i="3"/>
  <c r="R62" i="3"/>
  <c r="R63" i="3"/>
  <c r="R64" i="3"/>
  <c r="R65" i="3"/>
  <c r="R66" i="3"/>
  <c r="R67" i="3"/>
  <c r="R68" i="3"/>
  <c r="R69" i="3"/>
  <c r="R70" i="3"/>
  <c r="R71" i="3"/>
  <c r="R72" i="3"/>
  <c r="R73" i="3"/>
  <c r="R74" i="3"/>
  <c r="R75" i="3"/>
  <c r="R76" i="3"/>
  <c r="R77" i="3"/>
  <c r="R78" i="3"/>
  <c r="R79" i="3"/>
  <c r="R80" i="3"/>
  <c r="R81" i="3"/>
  <c r="R82" i="3"/>
  <c r="R83" i="3"/>
  <c r="R84" i="3"/>
  <c r="R85" i="3"/>
  <c r="R86" i="3"/>
  <c r="R87" i="3"/>
  <c r="R88" i="3"/>
  <c r="R89" i="3"/>
  <c r="R90" i="3"/>
  <c r="R91" i="3"/>
  <c r="R92" i="3"/>
  <c r="R93" i="3"/>
  <c r="R94" i="3"/>
  <c r="R95" i="3"/>
  <c r="R96" i="3"/>
  <c r="R97" i="3"/>
  <c r="R98" i="3"/>
  <c r="R99" i="3"/>
  <c r="R100" i="3"/>
  <c r="R101" i="3"/>
  <c r="R102" i="3"/>
  <c r="R103" i="3"/>
  <c r="R104" i="3"/>
  <c r="R105" i="3"/>
  <c r="R106" i="3"/>
  <c r="R107" i="3"/>
  <c r="R108" i="3"/>
  <c r="R109" i="3"/>
  <c r="R110" i="3"/>
  <c r="R111" i="3"/>
  <c r="R112" i="3"/>
  <c r="R113" i="3"/>
  <c r="R114" i="3"/>
  <c r="R115" i="3"/>
  <c r="R116" i="3"/>
  <c r="R117" i="3"/>
  <c r="R118" i="3"/>
  <c r="R119" i="3"/>
  <c r="R8" i="3"/>
  <c r="R67" i="2"/>
  <c r="R68" i="2"/>
  <c r="R69" i="2"/>
  <c r="R70" i="2"/>
  <c r="R71" i="2"/>
  <c r="R72" i="2"/>
  <c r="R73" i="2"/>
  <c r="R74" i="2"/>
  <c r="R75" i="2"/>
  <c r="R76" i="2"/>
  <c r="R77" i="2"/>
  <c r="R78" i="2"/>
  <c r="R79" i="2"/>
  <c r="R80" i="2"/>
  <c r="R81" i="2"/>
  <c r="R82" i="2"/>
  <c r="R83" i="2"/>
  <c r="R84" i="2"/>
  <c r="R85" i="2"/>
  <c r="R86" i="2"/>
  <c r="R87" i="2"/>
  <c r="R88" i="2"/>
  <c r="R89" i="2"/>
  <c r="R90" i="2"/>
  <c r="R91" i="2"/>
  <c r="R92" i="2"/>
  <c r="R93" i="2"/>
  <c r="R94" i="2"/>
  <c r="R95" i="2"/>
  <c r="R96" i="2"/>
  <c r="R97" i="2"/>
  <c r="R98" i="2"/>
  <c r="R100" i="2"/>
  <c r="R101" i="2"/>
  <c r="R102" i="2"/>
  <c r="R103" i="2"/>
  <c r="R104" i="2"/>
  <c r="R105" i="2"/>
  <c r="R106" i="2"/>
  <c r="R107" i="2"/>
  <c r="R108" i="2"/>
  <c r="R109" i="2"/>
  <c r="R110" i="2"/>
  <c r="R111" i="2"/>
  <c r="R112" i="2"/>
  <c r="R113" i="2"/>
  <c r="R9" i="2"/>
  <c r="R10" i="2"/>
  <c r="R11" i="2"/>
  <c r="R12" i="2"/>
  <c r="R13" i="2"/>
  <c r="R14" i="2"/>
  <c r="R15" i="2"/>
  <c r="R16" i="2"/>
  <c r="R17" i="2"/>
  <c r="R18" i="2"/>
  <c r="R19" i="2"/>
  <c r="R20" i="2"/>
  <c r="R21" i="2"/>
  <c r="R22" i="2"/>
  <c r="R23" i="2"/>
  <c r="R24" i="2"/>
  <c r="R25" i="2"/>
  <c r="R26" i="2"/>
  <c r="R27" i="2"/>
  <c r="R28" i="2"/>
  <c r="R29" i="2"/>
  <c r="R30" i="2"/>
  <c r="R31" i="2"/>
  <c r="R32" i="2"/>
  <c r="R33" i="2"/>
  <c r="R34" i="2"/>
  <c r="R35" i="2"/>
  <c r="R36" i="2"/>
  <c r="R37" i="2"/>
  <c r="R38" i="2"/>
  <c r="R39" i="2"/>
  <c r="R40" i="2"/>
  <c r="R41" i="2"/>
  <c r="R42" i="2"/>
  <c r="R43" i="2"/>
  <c r="R44" i="2"/>
  <c r="R45" i="2"/>
  <c r="R46" i="2"/>
  <c r="R47" i="2"/>
  <c r="R48" i="2"/>
  <c r="R49" i="2"/>
  <c r="R50" i="2"/>
  <c r="R51" i="2"/>
  <c r="R52" i="2"/>
  <c r="R53" i="2"/>
  <c r="R54" i="2"/>
  <c r="R55" i="2"/>
  <c r="R56" i="2"/>
  <c r="R57" i="2"/>
  <c r="R58" i="2"/>
  <c r="R59" i="2"/>
  <c r="R60" i="2"/>
  <c r="R61" i="2"/>
  <c r="R62" i="2"/>
  <c r="R63" i="2"/>
  <c r="R64" i="2"/>
  <c r="R65" i="2"/>
  <c r="R66" i="2"/>
  <c r="R8" i="2"/>
  <c r="K29" i="1"/>
  <c r="R71" i="1"/>
  <c r="R72" i="1"/>
  <c r="R73" i="1"/>
  <c r="R74" i="1"/>
  <c r="R75" i="1"/>
  <c r="R76" i="1"/>
  <c r="R77" i="1"/>
  <c r="R78" i="1"/>
  <c r="R79" i="1"/>
  <c r="R80" i="1"/>
  <c r="R81" i="1"/>
  <c r="R82" i="1"/>
  <c r="R83" i="1"/>
  <c r="R84" i="1"/>
  <c r="R85" i="1"/>
  <c r="R86" i="1"/>
  <c r="R87" i="1"/>
  <c r="R88" i="1"/>
  <c r="R89" i="1"/>
  <c r="R90" i="1"/>
  <c r="R91" i="1"/>
  <c r="R92" i="1"/>
  <c r="R93" i="1"/>
  <c r="R94" i="1"/>
  <c r="R95" i="1"/>
  <c r="R96" i="1"/>
  <c r="R97" i="1"/>
  <c r="R98" i="1"/>
  <c r="R99" i="1"/>
  <c r="R100" i="1"/>
  <c r="R101" i="1"/>
  <c r="R102" i="1"/>
  <c r="R103" i="1"/>
  <c r="R104" i="1"/>
  <c r="R105" i="1"/>
  <c r="R106" i="1"/>
  <c r="R107" i="1"/>
  <c r="R108" i="1"/>
  <c r="R109" i="1"/>
  <c r="R110" i="1"/>
  <c r="R111" i="1"/>
  <c r="R112" i="1"/>
  <c r="R113" i="1"/>
  <c r="R114" i="1"/>
  <c r="R115" i="1"/>
  <c r="R116" i="1"/>
  <c r="R117" i="1"/>
  <c r="R41" i="1"/>
  <c r="R42" i="1"/>
  <c r="R43" i="1"/>
  <c r="R44" i="1"/>
  <c r="R45" i="1"/>
  <c r="R46" i="1"/>
  <c r="R47" i="1"/>
  <c r="R48" i="1"/>
  <c r="R49" i="1"/>
  <c r="R50" i="1"/>
  <c r="R51" i="1"/>
  <c r="R52" i="1"/>
  <c r="R53" i="1"/>
  <c r="R54" i="1"/>
  <c r="R55" i="1"/>
  <c r="R56" i="1"/>
  <c r="R57" i="1"/>
  <c r="R58" i="1"/>
  <c r="R59" i="1"/>
  <c r="R60" i="1"/>
  <c r="R61" i="1"/>
  <c r="R62" i="1"/>
  <c r="R63" i="1"/>
  <c r="R64" i="1"/>
  <c r="R65" i="1"/>
  <c r="R66" i="1"/>
  <c r="R67" i="1"/>
  <c r="R68" i="1"/>
  <c r="R69" i="1"/>
  <c r="R70" i="1"/>
  <c r="R9" i="1"/>
  <c r="R10" i="1"/>
  <c r="R11" i="1"/>
  <c r="R12" i="1"/>
  <c r="R13" i="1"/>
  <c r="R14" i="1"/>
  <c r="R15" i="1"/>
  <c r="R16" i="1"/>
  <c r="R17" i="1"/>
  <c r="R18" i="1"/>
  <c r="R19" i="1"/>
  <c r="R20" i="1"/>
  <c r="R21" i="1"/>
  <c r="R22" i="1"/>
  <c r="R23" i="1"/>
  <c r="R24" i="1"/>
  <c r="R25" i="1"/>
  <c r="R26" i="1"/>
  <c r="R27" i="1"/>
  <c r="R28" i="1"/>
  <c r="R29" i="1"/>
  <c r="R30" i="1"/>
  <c r="R31" i="1"/>
  <c r="R32" i="1"/>
  <c r="R33" i="1"/>
  <c r="R34" i="1"/>
  <c r="R35" i="1"/>
  <c r="R36" i="1"/>
  <c r="R37" i="1"/>
  <c r="R38" i="1"/>
  <c r="R39" i="1"/>
  <c r="R40" i="1"/>
  <c r="R8" i="1"/>
  <c r="J148" i="1" s="1"/>
  <c r="M54" i="3"/>
  <c r="L54" i="3"/>
  <c r="K54" i="3"/>
  <c r="M51" i="3"/>
  <c r="L51" i="3"/>
  <c r="K51" i="3"/>
  <c r="M50" i="3"/>
  <c r="L50" i="3"/>
  <c r="K50" i="3"/>
  <c r="M37" i="3"/>
  <c r="L37" i="3"/>
  <c r="K37" i="3"/>
  <c r="M35" i="3"/>
  <c r="L35" i="3"/>
  <c r="K35" i="3"/>
  <c r="M34" i="3"/>
  <c r="L34" i="3"/>
  <c r="K34" i="3"/>
  <c r="M33" i="3"/>
  <c r="L33" i="3"/>
  <c r="K33" i="3"/>
  <c r="M32" i="3"/>
  <c r="L32" i="3"/>
  <c r="K32" i="3"/>
  <c r="M31" i="3"/>
  <c r="L31" i="3"/>
  <c r="K31" i="3"/>
  <c r="M30" i="3"/>
  <c r="L30" i="3"/>
  <c r="K30" i="3"/>
  <c r="M29" i="3"/>
  <c r="L29" i="3"/>
  <c r="K29" i="3"/>
  <c r="M28" i="3"/>
  <c r="L28" i="3"/>
  <c r="K28" i="3"/>
  <c r="M27" i="3"/>
  <c r="L27" i="3"/>
  <c r="K27" i="3"/>
  <c r="M26" i="3"/>
  <c r="L26" i="3"/>
  <c r="K26" i="3"/>
  <c r="M25" i="3"/>
  <c r="L25" i="3"/>
  <c r="K25" i="3"/>
  <c r="M24" i="3"/>
  <c r="L24" i="3"/>
  <c r="K24" i="3"/>
  <c r="M23" i="3"/>
  <c r="L23" i="3"/>
  <c r="K23" i="3"/>
  <c r="M22" i="3"/>
  <c r="L22" i="3"/>
  <c r="K22" i="3"/>
  <c r="M21" i="3"/>
  <c r="L21" i="3"/>
  <c r="K21" i="3"/>
  <c r="M20" i="3"/>
  <c r="L20" i="3"/>
  <c r="K20" i="3"/>
  <c r="M19" i="3"/>
  <c r="L19" i="3"/>
  <c r="K19" i="3"/>
  <c r="M18" i="3"/>
  <c r="L18" i="3"/>
  <c r="K18" i="3"/>
  <c r="M17" i="3"/>
  <c r="L17" i="3"/>
  <c r="K17" i="3"/>
  <c r="M16" i="3"/>
  <c r="L16" i="3"/>
  <c r="K16" i="3"/>
  <c r="M15" i="3"/>
  <c r="L15" i="3"/>
  <c r="K15" i="3"/>
  <c r="M14" i="3"/>
  <c r="L14" i="3"/>
  <c r="K14" i="3"/>
  <c r="M13" i="3"/>
  <c r="L13" i="3"/>
  <c r="K13" i="3"/>
  <c r="M12" i="3"/>
  <c r="L12" i="3"/>
  <c r="K12" i="3"/>
  <c r="M11" i="3"/>
  <c r="L11" i="3"/>
  <c r="K11" i="3"/>
  <c r="M10" i="3"/>
  <c r="L10" i="3"/>
  <c r="K10" i="3"/>
  <c r="M9" i="3"/>
  <c r="L9" i="3"/>
  <c r="K9" i="3"/>
  <c r="M8" i="3"/>
  <c r="L8" i="3"/>
  <c r="K8" i="3"/>
  <c r="M63" i="3"/>
  <c r="L63" i="3"/>
  <c r="K63" i="3"/>
  <c r="M62" i="3"/>
  <c r="L62" i="3"/>
  <c r="K62" i="3"/>
  <c r="M61" i="3"/>
  <c r="L61" i="3"/>
  <c r="K61" i="3"/>
  <c r="M60" i="3"/>
  <c r="L60" i="3"/>
  <c r="K60" i="3"/>
  <c r="M59" i="3"/>
  <c r="L59" i="3"/>
  <c r="K59" i="3"/>
  <c r="M58" i="3"/>
  <c r="L58" i="3"/>
  <c r="K58" i="3"/>
  <c r="M57" i="3"/>
  <c r="L57" i="3"/>
  <c r="K57" i="3"/>
  <c r="M56" i="3"/>
  <c r="L56" i="3"/>
  <c r="K56" i="3"/>
  <c r="M55" i="3"/>
  <c r="L55" i="3"/>
  <c r="K55" i="3"/>
  <c r="M53" i="3"/>
  <c r="L53" i="3"/>
  <c r="K53" i="3"/>
  <c r="M52" i="3"/>
  <c r="L52" i="3"/>
  <c r="K52" i="3"/>
  <c r="M49" i="3"/>
  <c r="L49" i="3"/>
  <c r="K49" i="3"/>
  <c r="M48" i="3"/>
  <c r="L48" i="3"/>
  <c r="K48" i="3"/>
  <c r="M47" i="3"/>
  <c r="L47" i="3"/>
  <c r="K47" i="3"/>
  <c r="M46" i="3"/>
  <c r="L46" i="3"/>
  <c r="K46" i="3"/>
  <c r="M45" i="3"/>
  <c r="L45" i="3"/>
  <c r="K45" i="3"/>
  <c r="M44" i="3"/>
  <c r="L44" i="3"/>
  <c r="K44" i="3"/>
  <c r="M43" i="3"/>
  <c r="L43" i="3"/>
  <c r="K43" i="3"/>
  <c r="M42" i="3"/>
  <c r="L42" i="3"/>
  <c r="K42" i="3"/>
  <c r="M41" i="3"/>
  <c r="L41" i="3"/>
  <c r="K41" i="3"/>
  <c r="M40" i="3"/>
  <c r="L40" i="3"/>
  <c r="K40" i="3"/>
  <c r="M39" i="3"/>
  <c r="L39" i="3"/>
  <c r="K39" i="3"/>
  <c r="M38" i="3"/>
  <c r="L38" i="3"/>
  <c r="K38" i="3"/>
  <c r="M36" i="3"/>
  <c r="L36" i="3"/>
  <c r="K36" i="3"/>
  <c r="M39" i="2"/>
  <c r="L39" i="2"/>
  <c r="K39" i="2"/>
  <c r="M38" i="2"/>
  <c r="L38" i="2"/>
  <c r="K38" i="2"/>
  <c r="M37" i="2"/>
  <c r="L37" i="2"/>
  <c r="K37" i="2"/>
  <c r="M36" i="2"/>
  <c r="L36" i="2"/>
  <c r="K36" i="2"/>
  <c r="M35" i="2"/>
  <c r="L35" i="2"/>
  <c r="K35" i="2"/>
  <c r="M34" i="2"/>
  <c r="L34" i="2"/>
  <c r="K34" i="2"/>
  <c r="M33" i="2"/>
  <c r="L33" i="2"/>
  <c r="K33" i="2"/>
  <c r="M32" i="2"/>
  <c r="L32" i="2"/>
  <c r="K32" i="2"/>
  <c r="M31" i="2"/>
  <c r="L31" i="2"/>
  <c r="K31" i="2"/>
  <c r="M30" i="2"/>
  <c r="L30" i="2"/>
  <c r="K30" i="2"/>
  <c r="M29" i="2"/>
  <c r="L29" i="2"/>
  <c r="K29" i="2"/>
  <c r="M28" i="2"/>
  <c r="L28" i="2"/>
  <c r="K28" i="2"/>
  <c r="M27" i="2"/>
  <c r="L27" i="2"/>
  <c r="K27" i="2"/>
  <c r="M26" i="2"/>
  <c r="L26" i="2"/>
  <c r="K26" i="2"/>
  <c r="M25" i="2"/>
  <c r="L25" i="2"/>
  <c r="K25" i="2"/>
  <c r="M24" i="2"/>
  <c r="L24" i="2"/>
  <c r="K24" i="2"/>
  <c r="M23" i="2"/>
  <c r="L23" i="2"/>
  <c r="K23" i="2"/>
  <c r="M22" i="2"/>
  <c r="L22" i="2"/>
  <c r="K22" i="2"/>
  <c r="M21" i="2"/>
  <c r="L21" i="2"/>
  <c r="K21" i="2"/>
  <c r="M20" i="2"/>
  <c r="L20" i="2"/>
  <c r="K20" i="2"/>
  <c r="M19" i="2"/>
  <c r="L19" i="2"/>
  <c r="K19" i="2"/>
  <c r="M18" i="2"/>
  <c r="L18" i="2"/>
  <c r="K18" i="2"/>
  <c r="M17" i="2"/>
  <c r="L17" i="2"/>
  <c r="K17" i="2"/>
  <c r="M16" i="2"/>
  <c r="L16" i="2"/>
  <c r="K16" i="2"/>
  <c r="M15" i="2"/>
  <c r="L15" i="2"/>
  <c r="K15" i="2"/>
  <c r="M14" i="2"/>
  <c r="L14" i="2"/>
  <c r="K14" i="2"/>
  <c r="M13" i="2"/>
  <c r="L13" i="2"/>
  <c r="K13" i="2"/>
  <c r="M12" i="2"/>
  <c r="L12" i="2"/>
  <c r="K12" i="2"/>
  <c r="M11" i="2"/>
  <c r="L11" i="2"/>
  <c r="K11" i="2"/>
  <c r="M10" i="2"/>
  <c r="L10" i="2"/>
  <c r="K10" i="2"/>
  <c r="M9" i="2"/>
  <c r="L9" i="2"/>
  <c r="K9" i="2"/>
  <c r="M8" i="2"/>
  <c r="L8" i="2"/>
  <c r="M55" i="2"/>
  <c r="L55" i="2"/>
  <c r="K55" i="2"/>
  <c r="M54" i="2"/>
  <c r="L54" i="2"/>
  <c r="K54" i="2"/>
  <c r="M53" i="2"/>
  <c r="L53" i="2"/>
  <c r="K53" i="2"/>
  <c r="M52" i="2"/>
  <c r="L52" i="2"/>
  <c r="K52" i="2"/>
  <c r="M51" i="2"/>
  <c r="L51" i="2"/>
  <c r="K51" i="2"/>
  <c r="M50" i="2"/>
  <c r="L50" i="2"/>
  <c r="K50" i="2"/>
  <c r="M49" i="2"/>
  <c r="L49" i="2"/>
  <c r="K49" i="2"/>
  <c r="M48" i="2"/>
  <c r="L48" i="2"/>
  <c r="K48" i="2"/>
  <c r="M47" i="2"/>
  <c r="L47" i="2"/>
  <c r="K47" i="2"/>
  <c r="M46" i="2"/>
  <c r="L46" i="2"/>
  <c r="K46" i="2"/>
  <c r="M45" i="2"/>
  <c r="L45" i="2"/>
  <c r="K45" i="2"/>
  <c r="M44" i="2"/>
  <c r="L44" i="2"/>
  <c r="K44" i="2"/>
  <c r="M43" i="2"/>
  <c r="L43" i="2"/>
  <c r="K43" i="2"/>
  <c r="M42" i="2"/>
  <c r="L42" i="2"/>
  <c r="K42" i="2"/>
  <c r="M41" i="2"/>
  <c r="L41" i="2"/>
  <c r="K41" i="2"/>
  <c r="M40" i="2"/>
  <c r="L40" i="2"/>
  <c r="K40" i="2"/>
  <c r="M63" i="2"/>
  <c r="L63" i="2"/>
  <c r="K63" i="2"/>
  <c r="M62" i="2"/>
  <c r="L62" i="2"/>
  <c r="K62" i="2"/>
  <c r="M61" i="2"/>
  <c r="L61" i="2"/>
  <c r="K61" i="2"/>
  <c r="M60" i="2"/>
  <c r="L60" i="2"/>
  <c r="K60" i="2"/>
  <c r="M59" i="2"/>
  <c r="L59" i="2"/>
  <c r="K59" i="2"/>
  <c r="M58" i="2"/>
  <c r="L58" i="2"/>
  <c r="K58" i="2"/>
  <c r="M57" i="2"/>
  <c r="L57" i="2"/>
  <c r="K57" i="2"/>
  <c r="M56" i="2"/>
  <c r="L56" i="2"/>
  <c r="K56" i="2"/>
  <c r="E15" i="1"/>
  <c r="U151" i="1" s="1"/>
  <c r="M41" i="1"/>
  <c r="L41" i="1"/>
  <c r="K41" i="1"/>
  <c r="M26" i="1"/>
  <c r="L26" i="1"/>
  <c r="K26" i="1"/>
  <c r="M21" i="1"/>
  <c r="L21" i="1"/>
  <c r="K21" i="1"/>
  <c r="K8" i="1"/>
  <c r="L8" i="1"/>
  <c r="M8" i="1"/>
  <c r="K9" i="1"/>
  <c r="L9" i="1"/>
  <c r="M9" i="1"/>
  <c r="K10" i="1"/>
  <c r="L10" i="1"/>
  <c r="M10" i="1"/>
  <c r="L11" i="1"/>
  <c r="M11" i="1"/>
  <c r="K12" i="1"/>
  <c r="L12" i="1"/>
  <c r="M12" i="1"/>
  <c r="K13" i="1"/>
  <c r="L13" i="1"/>
  <c r="M13" i="1"/>
  <c r="K14" i="1"/>
  <c r="L14" i="1"/>
  <c r="M14" i="1"/>
  <c r="K15" i="1"/>
  <c r="L15" i="1"/>
  <c r="M15" i="1"/>
  <c r="K16" i="1"/>
  <c r="L16" i="1"/>
  <c r="M16" i="1"/>
  <c r="K17" i="1"/>
  <c r="L17" i="1"/>
  <c r="M17" i="1"/>
  <c r="K18" i="1"/>
  <c r="L18" i="1"/>
  <c r="M18" i="1"/>
  <c r="K19" i="1"/>
  <c r="L19" i="1"/>
  <c r="M19" i="1"/>
  <c r="K20" i="1"/>
  <c r="L20" i="1"/>
  <c r="M20" i="1"/>
  <c r="K22" i="1"/>
  <c r="L22" i="1"/>
  <c r="M22" i="1"/>
  <c r="K23" i="1"/>
  <c r="L23" i="1"/>
  <c r="M23" i="1"/>
  <c r="K24" i="1"/>
  <c r="L24" i="1"/>
  <c r="M24" i="1"/>
  <c r="K25" i="1"/>
  <c r="L25" i="1"/>
  <c r="M25" i="1"/>
  <c r="K27" i="1"/>
  <c r="L27" i="1"/>
  <c r="M27" i="1"/>
  <c r="K28" i="1"/>
  <c r="L28" i="1"/>
  <c r="M28" i="1"/>
  <c r="L29" i="1"/>
  <c r="M29" i="1"/>
  <c r="K30" i="1"/>
  <c r="L30" i="1"/>
  <c r="M30" i="1"/>
  <c r="K31" i="1"/>
  <c r="L31" i="1"/>
  <c r="M31" i="1"/>
  <c r="K32" i="1"/>
  <c r="L32" i="1"/>
  <c r="M32" i="1"/>
  <c r="K33" i="1"/>
  <c r="L33" i="1"/>
  <c r="M33" i="1"/>
  <c r="K34" i="1"/>
  <c r="L34" i="1"/>
  <c r="M34" i="1"/>
  <c r="K35" i="1"/>
  <c r="L35" i="1"/>
  <c r="M35" i="1"/>
  <c r="K36" i="1"/>
  <c r="L36" i="1"/>
  <c r="M36" i="1"/>
  <c r="K37" i="1"/>
  <c r="L37" i="1"/>
  <c r="M37" i="1"/>
  <c r="K38" i="1"/>
  <c r="L38" i="1"/>
  <c r="M38" i="1"/>
  <c r="K39" i="1"/>
  <c r="L39" i="1"/>
  <c r="M39" i="1"/>
  <c r="K40" i="1"/>
  <c r="L40" i="1"/>
  <c r="M40" i="1"/>
  <c r="K42" i="1"/>
  <c r="L42" i="1"/>
  <c r="M42" i="1"/>
  <c r="K43" i="1"/>
  <c r="L43" i="1"/>
  <c r="M43" i="1"/>
  <c r="K44" i="1"/>
  <c r="L44" i="1"/>
  <c r="M44" i="1"/>
  <c r="K45" i="1"/>
  <c r="L45" i="1"/>
  <c r="M45" i="1"/>
  <c r="K46" i="1"/>
  <c r="L46" i="1"/>
  <c r="M46" i="1"/>
  <c r="K47" i="1"/>
  <c r="L47" i="1"/>
  <c r="M47" i="1"/>
  <c r="K48" i="1"/>
  <c r="L48" i="1"/>
  <c r="M48" i="1"/>
  <c r="K49" i="1"/>
  <c r="L49" i="1"/>
  <c r="M49" i="1"/>
  <c r="K50" i="1"/>
  <c r="L50" i="1"/>
  <c r="M50" i="1"/>
  <c r="K51" i="1"/>
  <c r="L51" i="1"/>
  <c r="M51" i="1"/>
  <c r="K52" i="1"/>
  <c r="L52" i="1"/>
  <c r="M52" i="1"/>
  <c r="K53" i="1"/>
  <c r="L53" i="1"/>
  <c r="M53" i="1"/>
  <c r="K54" i="1"/>
  <c r="L54" i="1"/>
  <c r="M54" i="1"/>
  <c r="K55" i="1"/>
  <c r="L55" i="1"/>
  <c r="M55" i="1"/>
  <c r="K56" i="1"/>
  <c r="L56" i="1"/>
  <c r="M56" i="1"/>
  <c r="K57" i="1"/>
  <c r="L57" i="1"/>
  <c r="M57" i="1"/>
  <c r="K58" i="1"/>
  <c r="L58" i="1"/>
  <c r="M58" i="1"/>
  <c r="K59" i="1"/>
  <c r="L59" i="1"/>
  <c r="M59" i="1"/>
  <c r="K60" i="1"/>
  <c r="L60" i="1"/>
  <c r="M60" i="1"/>
  <c r="K61" i="1"/>
  <c r="L61" i="1"/>
  <c r="M61" i="1"/>
  <c r="K62" i="1"/>
  <c r="L62" i="1"/>
  <c r="M62" i="1"/>
  <c r="K63" i="1"/>
  <c r="L63" i="1"/>
  <c r="M63" i="1"/>
  <c r="K64" i="1"/>
  <c r="L64" i="1"/>
  <c r="M64" i="1"/>
  <c r="K65" i="1"/>
  <c r="L65" i="1"/>
  <c r="M65" i="1"/>
  <c r="K66" i="1"/>
  <c r="L66" i="1"/>
  <c r="M66" i="1"/>
  <c r="K67" i="1"/>
  <c r="L67" i="1"/>
  <c r="M67" i="1"/>
  <c r="K68" i="1"/>
  <c r="L68" i="1"/>
  <c r="M68" i="1"/>
  <c r="K69" i="1"/>
  <c r="L69" i="1"/>
  <c r="M69" i="1"/>
  <c r="K70" i="1"/>
  <c r="L70" i="1"/>
  <c r="M70" i="1"/>
  <c r="E39" i="1"/>
  <c r="T162" i="1" s="1"/>
  <c r="E37" i="1"/>
  <c r="S161" i="1" s="1"/>
  <c r="E31" i="1"/>
  <c r="S158" i="1" s="1"/>
  <c r="E29" i="1"/>
  <c r="E24" i="1"/>
  <c r="S155" i="1" s="1"/>
  <c r="E19" i="1"/>
  <c r="E13" i="1"/>
  <c r="S150" i="1" s="1"/>
  <c r="E11" i="1"/>
  <c r="S149" i="1" s="1"/>
  <c r="E70" i="1"/>
  <c r="T177" i="1" s="1"/>
  <c r="E66" i="1"/>
  <c r="E64" i="1"/>
  <c r="E62" i="1"/>
  <c r="E58" i="1"/>
  <c r="T171" i="1" s="1"/>
  <c r="E56" i="1"/>
  <c r="E54" i="1"/>
  <c r="T169" i="1" s="1"/>
  <c r="E50" i="1"/>
  <c r="T167" i="1" s="1"/>
  <c r="E48" i="1"/>
  <c r="S166" i="1" s="1"/>
  <c r="J197" i="2"/>
  <c r="L197" i="2"/>
  <c r="H197" i="2"/>
  <c r="L127" i="13"/>
  <c r="M127" i="13"/>
  <c r="K127" i="13"/>
  <c r="K119" i="13"/>
  <c r="H195" i="2"/>
  <c r="M116" i="14"/>
  <c r="M117" i="14"/>
  <c r="L117" i="14"/>
  <c r="L116" i="14"/>
  <c r="K116" i="14"/>
  <c r="K117" i="14"/>
  <c r="M124" i="15"/>
  <c r="M122" i="15"/>
  <c r="L124" i="15"/>
  <c r="K124" i="15"/>
  <c r="K122" i="15"/>
  <c r="L122" i="15" s="1"/>
  <c r="M120" i="8"/>
  <c r="M121" i="8"/>
  <c r="L120" i="8"/>
  <c r="L121" i="8"/>
  <c r="K120" i="8"/>
  <c r="K121" i="8"/>
  <c r="L113" i="7"/>
  <c r="M113" i="7"/>
  <c r="L114" i="7"/>
  <c r="M114" i="7"/>
  <c r="K113" i="7"/>
  <c r="K114" i="7"/>
  <c r="K84" i="6"/>
  <c r="L84" i="6"/>
  <c r="M84" i="6"/>
  <c r="K83" i="6"/>
  <c r="L83" i="6"/>
  <c r="M83" i="6"/>
  <c r="K82" i="6"/>
  <c r="L82" i="6"/>
  <c r="M82" i="6"/>
  <c r="M115" i="5"/>
  <c r="L115" i="5"/>
  <c r="K115" i="5"/>
  <c r="M114" i="5"/>
  <c r="L114" i="5"/>
  <c r="K114" i="5"/>
  <c r="M118" i="3"/>
  <c r="M119" i="3"/>
  <c r="L118" i="3"/>
  <c r="L119" i="3"/>
  <c r="K118" i="3"/>
  <c r="K119" i="3"/>
  <c r="K112" i="2"/>
  <c r="L112" i="2"/>
  <c r="M112" i="2"/>
  <c r="K113" i="2"/>
  <c r="L113" i="2"/>
  <c r="M113" i="2"/>
  <c r="L117" i="1"/>
  <c r="M117" i="1"/>
  <c r="K116" i="1"/>
  <c r="L116" i="1"/>
  <c r="M116" i="1"/>
  <c r="K113" i="3"/>
  <c r="K81" i="6"/>
  <c r="L81" i="6"/>
  <c r="M81" i="6"/>
  <c r="K79" i="6"/>
  <c r="L79" i="6"/>
  <c r="M79" i="6"/>
  <c r="M123" i="13"/>
  <c r="L123" i="13"/>
  <c r="K123" i="13"/>
  <c r="M115" i="14"/>
  <c r="L115" i="14"/>
  <c r="K115" i="14"/>
  <c r="M114" i="14"/>
  <c r="L114" i="14"/>
  <c r="K114" i="14"/>
  <c r="M121" i="15"/>
  <c r="K121" i="15"/>
  <c r="L121" i="15" s="1"/>
  <c r="M120" i="15"/>
  <c r="K120" i="15"/>
  <c r="K119" i="8"/>
  <c r="L119" i="8"/>
  <c r="M119" i="8"/>
  <c r="M118" i="8"/>
  <c r="L118" i="8"/>
  <c r="K118" i="8"/>
  <c r="K112" i="7"/>
  <c r="L112" i="7"/>
  <c r="M112" i="7"/>
  <c r="M111" i="7"/>
  <c r="L111" i="7"/>
  <c r="K111" i="7"/>
  <c r="M113" i="5"/>
  <c r="L113" i="5"/>
  <c r="M112" i="5"/>
  <c r="L112" i="5"/>
  <c r="K113" i="5"/>
  <c r="K112" i="5"/>
  <c r="K117" i="3"/>
  <c r="L117" i="3"/>
  <c r="M117" i="3"/>
  <c r="M116" i="3"/>
  <c r="L116" i="3"/>
  <c r="K116" i="3"/>
  <c r="L196" i="2"/>
  <c r="J196" i="2"/>
  <c r="M111" i="2"/>
  <c r="M110" i="2"/>
  <c r="L111" i="2"/>
  <c r="L110" i="2"/>
  <c r="K111" i="2"/>
  <c r="K110" i="2"/>
  <c r="M115" i="1"/>
  <c r="M114" i="1"/>
  <c r="L115" i="1"/>
  <c r="L114" i="1"/>
  <c r="K115" i="1"/>
  <c r="K114" i="1"/>
  <c r="E122" i="13"/>
  <c r="U208" i="13" s="1"/>
  <c r="K122" i="13"/>
  <c r="L122" i="13"/>
  <c r="M122" i="13"/>
  <c r="K121" i="13"/>
  <c r="L121" i="13"/>
  <c r="M121" i="13"/>
  <c r="K113" i="14"/>
  <c r="L113" i="14"/>
  <c r="M113" i="14"/>
  <c r="K112" i="14"/>
  <c r="L112" i="14"/>
  <c r="M112" i="14"/>
  <c r="E119" i="15"/>
  <c r="T212" i="15" s="1"/>
  <c r="K119" i="15"/>
  <c r="L119" i="15" s="1"/>
  <c r="M119" i="15"/>
  <c r="K118" i="15"/>
  <c r="L118" i="15"/>
  <c r="M118" i="15"/>
  <c r="E117" i="8"/>
  <c r="K117" i="8"/>
  <c r="L117" i="8"/>
  <c r="M117" i="8"/>
  <c r="K116" i="8"/>
  <c r="L116" i="8"/>
  <c r="M116" i="8"/>
  <c r="K110" i="7"/>
  <c r="L110" i="7"/>
  <c r="M110" i="7"/>
  <c r="K109" i="7"/>
  <c r="L109" i="7"/>
  <c r="M109" i="7"/>
  <c r="K78" i="6"/>
  <c r="L78" i="6"/>
  <c r="M78" i="6"/>
  <c r="K77" i="6"/>
  <c r="L77" i="6"/>
  <c r="M77" i="6"/>
  <c r="E78" i="6"/>
  <c r="T147" i="6" s="1"/>
  <c r="K111" i="5"/>
  <c r="L111" i="5"/>
  <c r="M111" i="5"/>
  <c r="K110" i="5"/>
  <c r="L110" i="5"/>
  <c r="M110" i="5"/>
  <c r="K115" i="3"/>
  <c r="L115" i="3"/>
  <c r="M115" i="3"/>
  <c r="K114" i="3"/>
  <c r="L114" i="3"/>
  <c r="M114" i="3"/>
  <c r="E115" i="3"/>
  <c r="L195" i="2"/>
  <c r="J195" i="2"/>
  <c r="H194" i="2"/>
  <c r="K109" i="2"/>
  <c r="L109" i="2"/>
  <c r="M109" i="2"/>
  <c r="K108" i="2"/>
  <c r="L108" i="2"/>
  <c r="M108" i="2"/>
  <c r="L112" i="1"/>
  <c r="L113" i="1"/>
  <c r="E112" i="1"/>
  <c r="U198" i="1" s="1"/>
  <c r="L111" i="1"/>
  <c r="K113" i="1"/>
  <c r="K112" i="1"/>
  <c r="K111" i="1"/>
  <c r="M113" i="1"/>
  <c r="M112" i="1"/>
  <c r="M111" i="1"/>
  <c r="K76" i="6"/>
  <c r="L76" i="6"/>
  <c r="M76" i="6"/>
  <c r="K75" i="6"/>
  <c r="L75" i="6"/>
  <c r="M75" i="6"/>
  <c r="K111" i="14"/>
  <c r="M120" i="13"/>
  <c r="L120" i="13"/>
  <c r="K120" i="13"/>
  <c r="M111" i="14"/>
  <c r="L111" i="14"/>
  <c r="K116" i="15"/>
  <c r="L116" i="15"/>
  <c r="M116" i="15"/>
  <c r="K109" i="5"/>
  <c r="K112" i="3"/>
  <c r="L194" i="2"/>
  <c r="J194" i="2"/>
  <c r="L119" i="13"/>
  <c r="M119" i="13"/>
  <c r="K110" i="14"/>
  <c r="L110" i="14"/>
  <c r="M110" i="14"/>
  <c r="K117" i="15"/>
  <c r="L117" i="15"/>
  <c r="M117" i="15"/>
  <c r="K115" i="15"/>
  <c r="L115" i="15"/>
  <c r="M115" i="15"/>
  <c r="K115" i="8"/>
  <c r="L115" i="8"/>
  <c r="M115" i="8"/>
  <c r="K114" i="8"/>
  <c r="L114" i="8"/>
  <c r="M114" i="8"/>
  <c r="K108" i="7"/>
  <c r="L108" i="7"/>
  <c r="M108" i="7"/>
  <c r="K107" i="7"/>
  <c r="L107" i="7"/>
  <c r="M107" i="7"/>
  <c r="L109" i="5"/>
  <c r="M109" i="5"/>
  <c r="K108" i="5"/>
  <c r="L108" i="5"/>
  <c r="M108" i="5"/>
  <c r="L113" i="3"/>
  <c r="M113" i="3"/>
  <c r="L112" i="3"/>
  <c r="M112" i="3"/>
  <c r="K111" i="3"/>
  <c r="L111" i="3"/>
  <c r="M111" i="3"/>
  <c r="L106" i="2"/>
  <c r="K107" i="2"/>
  <c r="L107" i="2"/>
  <c r="M107" i="2"/>
  <c r="K106" i="2"/>
  <c r="M106" i="2"/>
  <c r="K110" i="1"/>
  <c r="L110" i="1"/>
  <c r="M110" i="1"/>
  <c r="M109" i="1"/>
  <c r="L109" i="1"/>
  <c r="K109" i="1"/>
  <c r="M108" i="1"/>
  <c r="L108" i="1"/>
  <c r="K108" i="1"/>
  <c r="K118" i="13"/>
  <c r="L118" i="13"/>
  <c r="M118" i="13"/>
  <c r="K117" i="13"/>
  <c r="L117" i="13"/>
  <c r="M117" i="13"/>
  <c r="K109" i="14"/>
  <c r="L109" i="14"/>
  <c r="M109" i="14"/>
  <c r="K108" i="14"/>
  <c r="L108" i="14"/>
  <c r="M108" i="14"/>
  <c r="K114" i="15"/>
  <c r="L114" i="15"/>
  <c r="M114" i="15"/>
  <c r="K113" i="15"/>
  <c r="L113" i="15"/>
  <c r="M113" i="15"/>
  <c r="K113" i="8"/>
  <c r="L113" i="8"/>
  <c r="M113" i="8"/>
  <c r="K112" i="8"/>
  <c r="L112" i="8"/>
  <c r="M112" i="8"/>
  <c r="K106" i="7"/>
  <c r="L106" i="7"/>
  <c r="M106" i="7"/>
  <c r="K105" i="7"/>
  <c r="L105" i="7"/>
  <c r="M105" i="7"/>
  <c r="K74" i="6"/>
  <c r="L74" i="6"/>
  <c r="M74" i="6"/>
  <c r="K73" i="6"/>
  <c r="L73" i="6"/>
  <c r="M73" i="6"/>
  <c r="M106" i="5"/>
  <c r="M107" i="5"/>
  <c r="L106" i="5"/>
  <c r="L107" i="5"/>
  <c r="K106" i="5"/>
  <c r="K107" i="5"/>
  <c r="M110" i="3"/>
  <c r="L110" i="3"/>
  <c r="K110" i="3"/>
  <c r="J109" i="3"/>
  <c r="K108" i="3"/>
  <c r="L108" i="3"/>
  <c r="M108" i="3"/>
  <c r="K105" i="2"/>
  <c r="L105" i="2"/>
  <c r="M105" i="2"/>
  <c r="K104" i="2"/>
  <c r="L104" i="2"/>
  <c r="M104" i="2"/>
  <c r="K107" i="1"/>
  <c r="L107" i="1"/>
  <c r="M107" i="1"/>
  <c r="K72" i="6"/>
  <c r="L72" i="6"/>
  <c r="M72" i="6"/>
  <c r="K71" i="6"/>
  <c r="L71" i="6"/>
  <c r="M71" i="6"/>
  <c r="E103" i="7"/>
  <c r="S189" i="7" s="1"/>
  <c r="J192" i="2"/>
  <c r="E115" i="13"/>
  <c r="K115" i="13"/>
  <c r="L115" i="13"/>
  <c r="M115" i="13"/>
  <c r="K116" i="13"/>
  <c r="L116" i="13"/>
  <c r="M116" i="13"/>
  <c r="K106" i="14"/>
  <c r="L106" i="14"/>
  <c r="M106" i="14"/>
  <c r="K107" i="14"/>
  <c r="L107" i="14"/>
  <c r="M107" i="14"/>
  <c r="K110" i="15"/>
  <c r="L110" i="15"/>
  <c r="M110" i="15"/>
  <c r="K112" i="15"/>
  <c r="L112" i="15"/>
  <c r="M112" i="15"/>
  <c r="E111" i="8"/>
  <c r="K110" i="8"/>
  <c r="L110" i="8"/>
  <c r="M110" i="8"/>
  <c r="K111" i="8"/>
  <c r="L111" i="8"/>
  <c r="M111" i="8"/>
  <c r="K103" i="7"/>
  <c r="L103" i="7"/>
  <c r="M103" i="7"/>
  <c r="K104" i="7"/>
  <c r="L104" i="7"/>
  <c r="M104" i="7"/>
  <c r="K104" i="5"/>
  <c r="L104" i="5"/>
  <c r="M104" i="5"/>
  <c r="E105" i="5"/>
  <c r="K105" i="5"/>
  <c r="L105" i="5"/>
  <c r="M105" i="5"/>
  <c r="K106" i="3"/>
  <c r="L106" i="3"/>
  <c r="M106" i="3"/>
  <c r="K107" i="3"/>
  <c r="L107" i="3"/>
  <c r="M107" i="3"/>
  <c r="L192" i="2"/>
  <c r="K103" i="2"/>
  <c r="L103" i="2"/>
  <c r="M103" i="2"/>
  <c r="K102" i="2"/>
  <c r="L102" i="2"/>
  <c r="M102" i="2"/>
  <c r="E106" i="1"/>
  <c r="T195" i="1" s="1"/>
  <c r="K105" i="1"/>
  <c r="L105" i="1"/>
  <c r="M105" i="1"/>
  <c r="K106" i="1"/>
  <c r="L106" i="1"/>
  <c r="M106" i="1"/>
  <c r="E103" i="5"/>
  <c r="U189" i="5" s="1"/>
  <c r="K113" i="13"/>
  <c r="L113" i="13"/>
  <c r="M113" i="13"/>
  <c r="K114" i="13"/>
  <c r="L114" i="13"/>
  <c r="M114" i="13"/>
  <c r="K104" i="14"/>
  <c r="L104" i="14"/>
  <c r="M104" i="14"/>
  <c r="K105" i="14"/>
  <c r="L105" i="14"/>
  <c r="M105" i="14"/>
  <c r="K108" i="15"/>
  <c r="L108" i="15"/>
  <c r="M108" i="15"/>
  <c r="K109" i="15"/>
  <c r="L109" i="15"/>
  <c r="M109" i="15"/>
  <c r="K108" i="8"/>
  <c r="L108" i="8"/>
  <c r="M108" i="8"/>
  <c r="K109" i="8"/>
  <c r="L109" i="8"/>
  <c r="M109" i="8"/>
  <c r="K101" i="7"/>
  <c r="L101" i="7"/>
  <c r="M101" i="7"/>
  <c r="K102" i="7"/>
  <c r="L102" i="7"/>
  <c r="M102" i="7"/>
  <c r="K68" i="6"/>
  <c r="L68" i="6"/>
  <c r="M68" i="6"/>
  <c r="K70" i="6"/>
  <c r="L70" i="6"/>
  <c r="M70" i="6"/>
  <c r="K66" i="6"/>
  <c r="L66" i="6"/>
  <c r="M66" i="6"/>
  <c r="M103" i="5"/>
  <c r="L103" i="5"/>
  <c r="K103" i="5"/>
  <c r="L104" i="3"/>
  <c r="M104" i="3"/>
  <c r="K105" i="3"/>
  <c r="L105" i="3"/>
  <c r="M105" i="3"/>
  <c r="E105" i="3"/>
  <c r="T199" i="3" s="1"/>
  <c r="E107" i="3"/>
  <c r="J191" i="2"/>
  <c r="L191" i="2"/>
  <c r="K100" i="2"/>
  <c r="L100" i="2"/>
  <c r="M100" i="2"/>
  <c r="K101" i="2"/>
  <c r="L101" i="2"/>
  <c r="M101" i="2"/>
  <c r="K99" i="1"/>
  <c r="L99" i="1"/>
  <c r="M99" i="1"/>
  <c r="K100" i="1"/>
  <c r="L100" i="1"/>
  <c r="M100" i="1"/>
  <c r="K101" i="1"/>
  <c r="L101" i="1"/>
  <c r="M101" i="1"/>
  <c r="K102" i="1"/>
  <c r="L102" i="1"/>
  <c r="M102" i="1"/>
  <c r="K103" i="1"/>
  <c r="L103" i="1"/>
  <c r="M103" i="1"/>
  <c r="K104" i="1"/>
  <c r="L104" i="1"/>
  <c r="M104" i="1"/>
  <c r="K98" i="2"/>
  <c r="B190" i="2" s="1"/>
  <c r="L98" i="2"/>
  <c r="C190" i="2" s="1"/>
  <c r="M98" i="2"/>
  <c r="K111" i="13"/>
  <c r="L111" i="13"/>
  <c r="M111" i="13"/>
  <c r="K112" i="13"/>
  <c r="L112" i="13"/>
  <c r="M112" i="13"/>
  <c r="K102" i="14"/>
  <c r="L102" i="14"/>
  <c r="M102" i="14"/>
  <c r="K103" i="14"/>
  <c r="L103" i="14"/>
  <c r="M103" i="14"/>
  <c r="K107" i="15"/>
  <c r="L107" i="15"/>
  <c r="M107" i="15"/>
  <c r="K106" i="15"/>
  <c r="L106" i="15"/>
  <c r="M106" i="15"/>
  <c r="E107" i="15"/>
  <c r="K107" i="8"/>
  <c r="L107" i="8"/>
  <c r="M107" i="8"/>
  <c r="K106" i="8"/>
  <c r="L106" i="8"/>
  <c r="M106" i="8"/>
  <c r="E107" i="8"/>
  <c r="K100" i="7"/>
  <c r="L100" i="7"/>
  <c r="M100" i="7"/>
  <c r="K99" i="7"/>
  <c r="L99" i="7"/>
  <c r="M99" i="7"/>
  <c r="E100" i="7"/>
  <c r="U187" i="7" s="1"/>
  <c r="K100" i="5"/>
  <c r="L100" i="5"/>
  <c r="M100" i="5"/>
  <c r="K102" i="3"/>
  <c r="L102" i="3"/>
  <c r="M102" i="3"/>
  <c r="K103" i="3"/>
  <c r="L103" i="3"/>
  <c r="M103" i="3"/>
  <c r="E103" i="3"/>
  <c r="T198" i="3" s="1"/>
  <c r="K91" i="3"/>
  <c r="E98" i="1"/>
  <c r="E96" i="1"/>
  <c r="S190" i="1" s="1"/>
  <c r="E94" i="1"/>
  <c r="S189" i="1" s="1"/>
  <c r="E90" i="1"/>
  <c r="T187" i="1" s="1"/>
  <c r="E88" i="1"/>
  <c r="S186" i="1" s="1"/>
  <c r="E86" i="1"/>
  <c r="E82" i="1"/>
  <c r="E80" i="1"/>
  <c r="T182" i="1" s="1"/>
  <c r="E78" i="1"/>
  <c r="S181" i="1" s="1"/>
  <c r="E74" i="1"/>
  <c r="E72" i="1"/>
  <c r="U178" i="1" s="1"/>
  <c r="K89" i="1"/>
  <c r="K90" i="1"/>
  <c r="L89" i="1"/>
  <c r="L90" i="1"/>
  <c r="M89" i="1"/>
  <c r="M90" i="1"/>
  <c r="K97" i="1"/>
  <c r="K98" i="1"/>
  <c r="L97" i="1"/>
  <c r="L98" i="1"/>
  <c r="M97" i="1"/>
  <c r="M98" i="1"/>
  <c r="K95" i="1"/>
  <c r="K96" i="1"/>
  <c r="L95" i="1"/>
  <c r="L96" i="1"/>
  <c r="M95" i="1"/>
  <c r="M96" i="1"/>
  <c r="K93" i="1"/>
  <c r="K94" i="1"/>
  <c r="L93" i="1"/>
  <c r="L94" i="1"/>
  <c r="M93" i="1"/>
  <c r="M94" i="1"/>
  <c r="K91" i="1"/>
  <c r="K92" i="1"/>
  <c r="L91" i="1"/>
  <c r="L92" i="1"/>
  <c r="M91" i="1"/>
  <c r="M92" i="1"/>
  <c r="K87" i="1"/>
  <c r="K88" i="1"/>
  <c r="L87" i="1"/>
  <c r="L88" i="1"/>
  <c r="M87" i="1"/>
  <c r="M88" i="1"/>
  <c r="K85" i="1"/>
  <c r="K86" i="1"/>
  <c r="L85" i="1"/>
  <c r="L86" i="1"/>
  <c r="M85" i="1"/>
  <c r="M86" i="1"/>
  <c r="K83" i="1"/>
  <c r="K84" i="1"/>
  <c r="L83" i="1"/>
  <c r="L84" i="1"/>
  <c r="M83" i="1"/>
  <c r="M84" i="1"/>
  <c r="K81" i="1"/>
  <c r="K82" i="1"/>
  <c r="L81" i="1"/>
  <c r="L82" i="1"/>
  <c r="M81" i="1"/>
  <c r="M82" i="1"/>
  <c r="K79" i="1"/>
  <c r="K80" i="1"/>
  <c r="L79" i="1"/>
  <c r="L80" i="1"/>
  <c r="M79" i="1"/>
  <c r="M80" i="1"/>
  <c r="K77" i="1"/>
  <c r="K78" i="1"/>
  <c r="L77" i="1"/>
  <c r="L78" i="1"/>
  <c r="M77" i="1"/>
  <c r="M78" i="1"/>
  <c r="K75" i="1"/>
  <c r="K76" i="1"/>
  <c r="L75" i="1"/>
  <c r="L76" i="1"/>
  <c r="M75" i="1"/>
  <c r="M76" i="1"/>
  <c r="K73" i="1"/>
  <c r="K74" i="1"/>
  <c r="L73" i="1"/>
  <c r="L74" i="1"/>
  <c r="M73" i="1"/>
  <c r="M74" i="1"/>
  <c r="K71" i="1"/>
  <c r="K72" i="1"/>
  <c r="M71" i="1"/>
  <c r="M72" i="1"/>
  <c r="L71" i="1"/>
  <c r="L72" i="1"/>
  <c r="K96" i="2"/>
  <c r="K97" i="2"/>
  <c r="L96" i="2"/>
  <c r="L97" i="2"/>
  <c r="M96" i="2"/>
  <c r="M97" i="2"/>
  <c r="L188" i="2"/>
  <c r="K94" i="2"/>
  <c r="K95" i="2"/>
  <c r="L94" i="2"/>
  <c r="L95" i="2"/>
  <c r="M94" i="2"/>
  <c r="M95" i="2"/>
  <c r="H187" i="2"/>
  <c r="K92" i="2"/>
  <c r="K93" i="2"/>
  <c r="L92" i="2"/>
  <c r="L93" i="2"/>
  <c r="M92" i="2"/>
  <c r="M93" i="2"/>
  <c r="L186" i="2"/>
  <c r="K90" i="2"/>
  <c r="K91" i="2"/>
  <c r="L90" i="2"/>
  <c r="L91" i="2"/>
  <c r="M90" i="2"/>
  <c r="M91" i="2"/>
  <c r="K88" i="2"/>
  <c r="K89" i="2"/>
  <c r="L88" i="2"/>
  <c r="L89" i="2"/>
  <c r="M88" i="2"/>
  <c r="M89" i="2"/>
  <c r="J184" i="2"/>
  <c r="K86" i="2"/>
  <c r="K87" i="2"/>
  <c r="L86" i="2"/>
  <c r="L87" i="2"/>
  <c r="M86" i="2"/>
  <c r="M87" i="2"/>
  <c r="L183" i="2"/>
  <c r="H183" i="2"/>
  <c r="K84" i="2"/>
  <c r="K85" i="2"/>
  <c r="L84" i="2"/>
  <c r="L85" i="2"/>
  <c r="M84" i="2"/>
  <c r="M85" i="2"/>
  <c r="H182" i="2"/>
  <c r="J182" i="2"/>
  <c r="K82" i="2"/>
  <c r="K83" i="2"/>
  <c r="L82" i="2"/>
  <c r="L83" i="2"/>
  <c r="M82" i="2"/>
  <c r="M83" i="2"/>
  <c r="K80" i="2"/>
  <c r="K81" i="2"/>
  <c r="L80" i="2"/>
  <c r="L81" i="2"/>
  <c r="M80" i="2"/>
  <c r="M81" i="2"/>
  <c r="L180" i="2"/>
  <c r="K78" i="2"/>
  <c r="K79" i="2"/>
  <c r="L78" i="2"/>
  <c r="L79" i="2"/>
  <c r="M78" i="2"/>
  <c r="M79" i="2"/>
  <c r="J179" i="2"/>
  <c r="H179" i="2"/>
  <c r="K76" i="2"/>
  <c r="K77" i="2"/>
  <c r="L76" i="2"/>
  <c r="L77" i="2"/>
  <c r="M76" i="2"/>
  <c r="M77" i="2"/>
  <c r="J178" i="2"/>
  <c r="K74" i="2"/>
  <c r="K75" i="2"/>
  <c r="L74" i="2"/>
  <c r="L75" i="2"/>
  <c r="M74" i="2"/>
  <c r="M75" i="2"/>
  <c r="K72" i="2"/>
  <c r="K73" i="2"/>
  <c r="L72" i="2"/>
  <c r="L73" i="2"/>
  <c r="M72" i="2"/>
  <c r="M73" i="2"/>
  <c r="H176" i="2"/>
  <c r="J176" i="2"/>
  <c r="K70" i="2"/>
  <c r="K71" i="2"/>
  <c r="L70" i="2"/>
  <c r="L71" i="2"/>
  <c r="M70" i="2"/>
  <c r="M71" i="2"/>
  <c r="K69" i="2"/>
  <c r="B175" i="2" s="1"/>
  <c r="M69" i="2"/>
  <c r="D175" i="2" s="1"/>
  <c r="L69" i="2"/>
  <c r="M67" i="2"/>
  <c r="L67" i="2"/>
  <c r="K67" i="2"/>
  <c r="M66" i="2"/>
  <c r="L66" i="2"/>
  <c r="K66" i="2"/>
  <c r="M65" i="2"/>
  <c r="L65" i="2"/>
  <c r="K65" i="2"/>
  <c r="M64" i="2"/>
  <c r="L64" i="2"/>
  <c r="K64" i="2"/>
  <c r="K100" i="3"/>
  <c r="K101" i="3"/>
  <c r="L101" i="3"/>
  <c r="M101" i="3"/>
  <c r="M100" i="3"/>
  <c r="L100" i="3"/>
  <c r="K98" i="3"/>
  <c r="K99" i="3"/>
  <c r="L99" i="3"/>
  <c r="M99" i="3"/>
  <c r="M98" i="3"/>
  <c r="L98" i="3"/>
  <c r="E97" i="3"/>
  <c r="T195" i="3" s="1"/>
  <c r="K96" i="3"/>
  <c r="K97" i="3"/>
  <c r="L96" i="3"/>
  <c r="L97" i="3"/>
  <c r="M96" i="3"/>
  <c r="M97" i="3"/>
  <c r="E95" i="3"/>
  <c r="S194" i="3" s="1"/>
  <c r="K94" i="3"/>
  <c r="K95" i="3"/>
  <c r="L94" i="3"/>
  <c r="L95" i="3"/>
  <c r="M94" i="3"/>
  <c r="M95" i="3"/>
  <c r="K92" i="3"/>
  <c r="K93" i="3"/>
  <c r="L92" i="3"/>
  <c r="L93" i="3"/>
  <c r="M92" i="3"/>
  <c r="M93" i="3"/>
  <c r="E91" i="3"/>
  <c r="U192" i="3" s="1"/>
  <c r="K90" i="3"/>
  <c r="L91" i="3"/>
  <c r="M91" i="3"/>
  <c r="M90" i="3"/>
  <c r="L90" i="3"/>
  <c r="E89" i="3"/>
  <c r="K88" i="3"/>
  <c r="K89" i="3"/>
  <c r="L88" i="3"/>
  <c r="L89" i="3"/>
  <c r="M88" i="3"/>
  <c r="M89" i="3"/>
  <c r="E87" i="3"/>
  <c r="K86" i="3"/>
  <c r="K87" i="3"/>
  <c r="L86" i="3"/>
  <c r="L87" i="3"/>
  <c r="M86" i="3"/>
  <c r="M87" i="3"/>
  <c r="K84" i="3"/>
  <c r="K85" i="3"/>
  <c r="L84" i="3"/>
  <c r="L85" i="3"/>
  <c r="M84" i="3"/>
  <c r="M85" i="3"/>
  <c r="E83" i="3"/>
  <c r="S188" i="3" s="1"/>
  <c r="K82" i="3"/>
  <c r="K83" i="3"/>
  <c r="L82" i="3"/>
  <c r="M82" i="3"/>
  <c r="M83" i="3"/>
  <c r="L83" i="3"/>
  <c r="E81" i="3"/>
  <c r="T187" i="3" s="1"/>
  <c r="K80" i="3"/>
  <c r="K81" i="3"/>
  <c r="L80" i="3"/>
  <c r="L81" i="3"/>
  <c r="M80" i="3"/>
  <c r="M81" i="3"/>
  <c r="E79" i="3"/>
  <c r="S186" i="3" s="1"/>
  <c r="K78" i="3"/>
  <c r="K79" i="3"/>
  <c r="L78" i="3"/>
  <c r="L79" i="3"/>
  <c r="M78" i="3"/>
  <c r="M79" i="3"/>
  <c r="K76" i="3"/>
  <c r="K77" i="3"/>
  <c r="L77" i="3"/>
  <c r="M77" i="3"/>
  <c r="M76" i="3"/>
  <c r="L76" i="3"/>
  <c r="E75" i="3"/>
  <c r="K74" i="3"/>
  <c r="K75" i="3"/>
  <c r="L75" i="3"/>
  <c r="M75" i="3"/>
  <c r="M74" i="3"/>
  <c r="L74" i="3"/>
  <c r="E73" i="3"/>
  <c r="K72" i="3"/>
  <c r="K73" i="3"/>
  <c r="L72" i="3"/>
  <c r="L73" i="3"/>
  <c r="M72" i="3"/>
  <c r="M73" i="3"/>
  <c r="E71" i="3"/>
  <c r="T182" i="3" s="1"/>
  <c r="K70" i="3"/>
  <c r="K71" i="3"/>
  <c r="L70" i="3"/>
  <c r="L71" i="3"/>
  <c r="M70" i="3"/>
  <c r="M71" i="3"/>
  <c r="K68" i="3"/>
  <c r="K69" i="3"/>
  <c r="M68" i="3"/>
  <c r="M69" i="3"/>
  <c r="L68" i="3"/>
  <c r="L69" i="3"/>
  <c r="M67" i="3"/>
  <c r="L67" i="3"/>
  <c r="K67" i="3"/>
  <c r="M66" i="3"/>
  <c r="L66" i="3"/>
  <c r="K66" i="3"/>
  <c r="M65" i="3"/>
  <c r="L65" i="3"/>
  <c r="K65" i="3"/>
  <c r="E65" i="3"/>
  <c r="U179" i="3" s="1"/>
  <c r="M64" i="3"/>
  <c r="L64" i="3"/>
  <c r="K64" i="3"/>
  <c r="K98" i="5"/>
  <c r="K99" i="5"/>
  <c r="L98" i="5"/>
  <c r="L99" i="5"/>
  <c r="M98" i="5"/>
  <c r="M99" i="5"/>
  <c r="E97" i="5"/>
  <c r="S186" i="5" s="1"/>
  <c r="K96" i="5"/>
  <c r="K97" i="5"/>
  <c r="L97" i="5"/>
  <c r="L96" i="5"/>
  <c r="M97" i="5"/>
  <c r="M96" i="5"/>
  <c r="E95" i="5"/>
  <c r="T185" i="5" s="1"/>
  <c r="K94" i="5"/>
  <c r="K95" i="5"/>
  <c r="L94" i="5"/>
  <c r="L95" i="5"/>
  <c r="M94" i="5"/>
  <c r="M95" i="5"/>
  <c r="E93" i="5"/>
  <c r="K92" i="5"/>
  <c r="K93" i="5"/>
  <c r="L92" i="5"/>
  <c r="L93" i="5"/>
  <c r="M92" i="5"/>
  <c r="M93" i="5"/>
  <c r="K90" i="5"/>
  <c r="K91" i="5"/>
  <c r="L91" i="5"/>
  <c r="L90" i="5"/>
  <c r="M91" i="5"/>
  <c r="M90" i="5"/>
  <c r="E89" i="5"/>
  <c r="K88" i="5"/>
  <c r="K89" i="5"/>
  <c r="L88" i="5"/>
  <c r="L89" i="5"/>
  <c r="M88" i="5"/>
  <c r="M89" i="5"/>
  <c r="E87" i="5"/>
  <c r="U181" i="5" s="1"/>
  <c r="K86" i="5"/>
  <c r="K87" i="5"/>
  <c r="L87" i="5"/>
  <c r="L86" i="5"/>
  <c r="M87" i="5"/>
  <c r="M86" i="5"/>
  <c r="K84" i="5"/>
  <c r="K85" i="5"/>
  <c r="L84" i="5"/>
  <c r="L85" i="5"/>
  <c r="M84" i="5"/>
  <c r="M85" i="5"/>
  <c r="K82" i="5"/>
  <c r="K83" i="5"/>
  <c r="L82" i="5"/>
  <c r="L83" i="5"/>
  <c r="M82" i="5"/>
  <c r="M83" i="5"/>
  <c r="E81" i="5"/>
  <c r="S178" i="5" s="1"/>
  <c r="K80" i="5"/>
  <c r="K81" i="5"/>
  <c r="L81" i="5"/>
  <c r="L80" i="5"/>
  <c r="M81" i="5"/>
  <c r="M80" i="5"/>
  <c r="E79" i="5"/>
  <c r="U177" i="5" s="1"/>
  <c r="K78" i="5"/>
  <c r="K79" i="5"/>
  <c r="L79" i="5"/>
  <c r="L78" i="5"/>
  <c r="M79" i="5"/>
  <c r="M78" i="5"/>
  <c r="K76" i="5"/>
  <c r="K77" i="5"/>
  <c r="L76" i="5"/>
  <c r="L77" i="5"/>
  <c r="M76" i="5"/>
  <c r="M77" i="5"/>
  <c r="K73" i="5"/>
  <c r="K74" i="5"/>
  <c r="L74" i="5"/>
  <c r="L73" i="5"/>
  <c r="M74" i="5"/>
  <c r="M73" i="5"/>
  <c r="E72" i="5"/>
  <c r="K71" i="5"/>
  <c r="K72" i="5"/>
  <c r="L71" i="5"/>
  <c r="L72" i="5"/>
  <c r="M71" i="5"/>
  <c r="M72" i="5"/>
  <c r="E70" i="5"/>
  <c r="D173" i="5" s="1"/>
  <c r="E68" i="5"/>
  <c r="K67" i="5"/>
  <c r="K68" i="5"/>
  <c r="M67" i="5"/>
  <c r="M68" i="5"/>
  <c r="L67" i="5"/>
  <c r="L68" i="5"/>
  <c r="K64" i="6"/>
  <c r="K65" i="6"/>
  <c r="L65" i="6"/>
  <c r="M65" i="6"/>
  <c r="M64" i="6"/>
  <c r="L64" i="6"/>
  <c r="E63" i="6"/>
  <c r="S140" i="6" s="1"/>
  <c r="K62" i="6"/>
  <c r="K63" i="6"/>
  <c r="L63" i="6"/>
  <c r="M63" i="6"/>
  <c r="M62" i="6"/>
  <c r="L62" i="6"/>
  <c r="E61" i="6"/>
  <c r="S139" i="6" s="1"/>
  <c r="K60" i="6"/>
  <c r="K61" i="6"/>
  <c r="L60" i="6"/>
  <c r="L61" i="6"/>
  <c r="M60" i="6"/>
  <c r="M61" i="6"/>
  <c r="E59" i="6"/>
  <c r="T138" i="6" s="1"/>
  <c r="K58" i="6"/>
  <c r="K59" i="6"/>
  <c r="L58" i="6"/>
  <c r="L59" i="6"/>
  <c r="M58" i="6"/>
  <c r="M59" i="6"/>
  <c r="K56" i="6"/>
  <c r="K57" i="6"/>
  <c r="L56" i="6"/>
  <c r="L57" i="6"/>
  <c r="M56" i="6"/>
  <c r="M57" i="6"/>
  <c r="E55" i="6"/>
  <c r="T136" i="6" s="1"/>
  <c r="K54" i="6"/>
  <c r="K55" i="6"/>
  <c r="L55" i="6"/>
  <c r="L54" i="6"/>
  <c r="M55" i="6"/>
  <c r="M54" i="6"/>
  <c r="E53" i="6"/>
  <c r="T135" i="6" s="1"/>
  <c r="K52" i="6"/>
  <c r="K53" i="6"/>
  <c r="L53" i="6"/>
  <c r="M53" i="6"/>
  <c r="M52" i="6"/>
  <c r="L52" i="6"/>
  <c r="E51" i="6"/>
  <c r="S134" i="6" s="1"/>
  <c r="K50" i="6"/>
  <c r="K51" i="6"/>
  <c r="L51" i="6"/>
  <c r="M51" i="6"/>
  <c r="M50" i="6"/>
  <c r="L50" i="6"/>
  <c r="K48" i="6"/>
  <c r="K49" i="6"/>
  <c r="L48" i="6"/>
  <c r="L49" i="6"/>
  <c r="M48" i="6"/>
  <c r="M49" i="6"/>
  <c r="E47" i="6"/>
  <c r="S132" i="6" s="1"/>
  <c r="K46" i="6"/>
  <c r="K47" i="6"/>
  <c r="L46" i="6"/>
  <c r="L47" i="6"/>
  <c r="M46" i="6"/>
  <c r="M47" i="6"/>
  <c r="E45" i="6"/>
  <c r="T131" i="6" s="1"/>
  <c r="K44" i="6"/>
  <c r="K45" i="6"/>
  <c r="L44" i="6"/>
  <c r="L45" i="6"/>
  <c r="M44" i="6"/>
  <c r="M45" i="6"/>
  <c r="E43" i="6"/>
  <c r="U130" i="6" s="1"/>
  <c r="K43" i="6"/>
  <c r="L43" i="6"/>
  <c r="M43" i="6"/>
  <c r="E39" i="6"/>
  <c r="T128" i="6" s="1"/>
  <c r="K38" i="6"/>
  <c r="L38" i="6"/>
  <c r="M38" i="6"/>
  <c r="E37" i="6"/>
  <c r="K36" i="6"/>
  <c r="K37" i="6"/>
  <c r="L37" i="6"/>
  <c r="M37" i="6"/>
  <c r="M36" i="6"/>
  <c r="L36" i="6"/>
  <c r="E86" i="7"/>
  <c r="E92" i="7"/>
  <c r="S183" i="7" s="1"/>
  <c r="K97" i="7"/>
  <c r="K98" i="7"/>
  <c r="L97" i="7"/>
  <c r="L98" i="7"/>
  <c r="M97" i="7"/>
  <c r="M98" i="7"/>
  <c r="E96" i="7"/>
  <c r="U185" i="7" s="1"/>
  <c r="K95" i="7"/>
  <c r="K96" i="7"/>
  <c r="L96" i="7"/>
  <c r="L95" i="7"/>
  <c r="M96" i="7"/>
  <c r="M95" i="7"/>
  <c r="E94" i="7"/>
  <c r="U184" i="7" s="1"/>
  <c r="K93" i="7"/>
  <c r="K94" i="7"/>
  <c r="L94" i="7"/>
  <c r="L93" i="7"/>
  <c r="M94" i="7"/>
  <c r="M93" i="7"/>
  <c r="K91" i="7"/>
  <c r="K92" i="7"/>
  <c r="L92" i="7"/>
  <c r="L91" i="7"/>
  <c r="M92" i="7"/>
  <c r="M91" i="7"/>
  <c r="K89" i="7"/>
  <c r="K90" i="7"/>
  <c r="L90" i="7"/>
  <c r="L89" i="7"/>
  <c r="M90" i="7"/>
  <c r="M89" i="7"/>
  <c r="E88" i="7"/>
  <c r="K87" i="7"/>
  <c r="K88" i="7"/>
  <c r="L88" i="7"/>
  <c r="L87" i="7"/>
  <c r="M88" i="7"/>
  <c r="M87" i="7"/>
  <c r="K85" i="7"/>
  <c r="K86" i="7"/>
  <c r="L86" i="7"/>
  <c r="L85" i="7"/>
  <c r="M86" i="7"/>
  <c r="M85" i="7"/>
  <c r="E84" i="7"/>
  <c r="S179" i="7" s="1"/>
  <c r="K83" i="7"/>
  <c r="K84" i="7"/>
  <c r="L84" i="7"/>
  <c r="L83" i="7"/>
  <c r="M84" i="7"/>
  <c r="M83" i="7"/>
  <c r="K81" i="7"/>
  <c r="K82" i="7"/>
  <c r="L82" i="7"/>
  <c r="L81" i="7"/>
  <c r="M82" i="7"/>
  <c r="M81" i="7"/>
  <c r="E80" i="7"/>
  <c r="U177" i="7" s="1"/>
  <c r="K79" i="7"/>
  <c r="K80" i="7"/>
  <c r="L80" i="7"/>
  <c r="L79" i="7"/>
  <c r="M80" i="7"/>
  <c r="M79" i="7"/>
  <c r="E78" i="7"/>
  <c r="T176" i="7" s="1"/>
  <c r="K77" i="7"/>
  <c r="K78" i="7"/>
  <c r="L78" i="7"/>
  <c r="L77" i="7"/>
  <c r="M78" i="7"/>
  <c r="M77" i="7"/>
  <c r="E76" i="7"/>
  <c r="K75" i="7"/>
  <c r="K76" i="7"/>
  <c r="L76" i="7"/>
  <c r="L75" i="7"/>
  <c r="M76" i="7"/>
  <c r="M75" i="7"/>
  <c r="K73" i="7"/>
  <c r="K74" i="7"/>
  <c r="L74" i="7"/>
  <c r="L73" i="7"/>
  <c r="M74" i="7"/>
  <c r="M73" i="7"/>
  <c r="E72" i="7"/>
  <c r="S173" i="7" s="1"/>
  <c r="K71" i="7"/>
  <c r="K72" i="7"/>
  <c r="L72" i="7"/>
  <c r="L71" i="7"/>
  <c r="M72" i="7"/>
  <c r="M71" i="7"/>
  <c r="E70" i="7"/>
  <c r="T172" i="7" s="1"/>
  <c r="K70" i="7"/>
  <c r="M70" i="7"/>
  <c r="L70" i="7"/>
  <c r="K67" i="7"/>
  <c r="K68" i="7"/>
  <c r="M67" i="7"/>
  <c r="M68" i="7"/>
  <c r="L67" i="7"/>
  <c r="L68" i="7"/>
  <c r="M66" i="7"/>
  <c r="L66" i="7"/>
  <c r="K66" i="7"/>
  <c r="K104" i="8"/>
  <c r="K105" i="8"/>
  <c r="L105" i="8"/>
  <c r="L104" i="8"/>
  <c r="M105" i="8"/>
  <c r="M104" i="8"/>
  <c r="K101" i="8"/>
  <c r="K103" i="8"/>
  <c r="L103" i="8"/>
  <c r="L101" i="8"/>
  <c r="M103" i="8"/>
  <c r="M101" i="8"/>
  <c r="K98" i="8"/>
  <c r="K100" i="8"/>
  <c r="L98" i="8"/>
  <c r="L100" i="8"/>
  <c r="M98" i="8"/>
  <c r="M100" i="8"/>
  <c r="E97" i="8"/>
  <c r="K96" i="8"/>
  <c r="K97" i="8"/>
  <c r="L97" i="8"/>
  <c r="L96" i="8"/>
  <c r="M97" i="8"/>
  <c r="M96" i="8"/>
  <c r="K94" i="8"/>
  <c r="K95" i="8"/>
  <c r="L95" i="8"/>
  <c r="L94" i="8"/>
  <c r="M95" i="8"/>
  <c r="M94" i="8"/>
  <c r="E93" i="8"/>
  <c r="K92" i="8"/>
  <c r="K93" i="8"/>
  <c r="L92" i="8"/>
  <c r="L93" i="8"/>
  <c r="M92" i="8"/>
  <c r="M93" i="8"/>
  <c r="E91" i="8"/>
  <c r="K90" i="8"/>
  <c r="K91" i="8"/>
  <c r="L91" i="8"/>
  <c r="L90" i="8"/>
  <c r="M91" i="8"/>
  <c r="M90" i="8"/>
  <c r="E89" i="8"/>
  <c r="K88" i="8"/>
  <c r="K89" i="8"/>
  <c r="L88" i="8"/>
  <c r="L89" i="8"/>
  <c r="M88" i="8"/>
  <c r="M89" i="8"/>
  <c r="K86" i="8"/>
  <c r="K87" i="8"/>
  <c r="L87" i="8"/>
  <c r="L86" i="8"/>
  <c r="M87" i="8"/>
  <c r="M86" i="8"/>
  <c r="E85" i="8"/>
  <c r="K84" i="8"/>
  <c r="K85" i="8"/>
  <c r="L84" i="8"/>
  <c r="L85" i="8"/>
  <c r="M84" i="8"/>
  <c r="M85" i="8"/>
  <c r="E83" i="8"/>
  <c r="K82" i="8"/>
  <c r="K83" i="8"/>
  <c r="L82" i="8"/>
  <c r="L83" i="8"/>
  <c r="M82" i="8"/>
  <c r="M83" i="8"/>
  <c r="E81" i="8"/>
  <c r="K80" i="8"/>
  <c r="K81" i="8"/>
  <c r="L81" i="8"/>
  <c r="L80" i="8"/>
  <c r="M81" i="8"/>
  <c r="M80" i="8"/>
  <c r="K78" i="8"/>
  <c r="K79" i="8"/>
  <c r="L79" i="8"/>
  <c r="L78" i="8"/>
  <c r="M79" i="8"/>
  <c r="M78" i="8"/>
  <c r="E77" i="8"/>
  <c r="K76" i="8"/>
  <c r="K77" i="8"/>
  <c r="L76" i="8"/>
  <c r="L77" i="8"/>
  <c r="M76" i="8"/>
  <c r="M77" i="8"/>
  <c r="E75" i="8"/>
  <c r="K75" i="8"/>
  <c r="M75" i="8"/>
  <c r="L75" i="8"/>
  <c r="E73" i="8"/>
  <c r="K72" i="8"/>
  <c r="K73" i="8"/>
  <c r="M72" i="8"/>
  <c r="M73" i="8"/>
  <c r="L72" i="8"/>
  <c r="L73" i="8"/>
  <c r="K104" i="15"/>
  <c r="K105" i="15"/>
  <c r="L104" i="15"/>
  <c r="M104" i="15"/>
  <c r="M105" i="15"/>
  <c r="L105" i="15"/>
  <c r="E103" i="15"/>
  <c r="K102" i="15"/>
  <c r="K103" i="15"/>
  <c r="L102" i="15"/>
  <c r="L103" i="15"/>
  <c r="M102" i="15"/>
  <c r="M103" i="15"/>
  <c r="K99" i="15"/>
  <c r="K101" i="15"/>
  <c r="L101" i="15"/>
  <c r="M101" i="15"/>
  <c r="M99" i="15"/>
  <c r="L99" i="15"/>
  <c r="E98" i="15"/>
  <c r="T203" i="15" s="1"/>
  <c r="K97" i="15"/>
  <c r="K98" i="15"/>
  <c r="L97" i="15"/>
  <c r="L98" i="15"/>
  <c r="M97" i="15"/>
  <c r="M98" i="15"/>
  <c r="K95" i="15"/>
  <c r="K96" i="15"/>
  <c r="L95" i="15"/>
  <c r="L96" i="15"/>
  <c r="M95" i="15"/>
  <c r="M96" i="15"/>
  <c r="E94" i="15"/>
  <c r="U201" i="15" s="1"/>
  <c r="K93" i="15"/>
  <c r="K94" i="15"/>
  <c r="L93" i="15"/>
  <c r="L94" i="15"/>
  <c r="M93" i="15"/>
  <c r="M94" i="15"/>
  <c r="E92" i="15"/>
  <c r="K91" i="15"/>
  <c r="K92" i="15"/>
  <c r="L91" i="15"/>
  <c r="L92" i="15"/>
  <c r="M91" i="15"/>
  <c r="M92" i="15"/>
  <c r="E90" i="15"/>
  <c r="K89" i="15"/>
  <c r="K90" i="15"/>
  <c r="L89" i="15"/>
  <c r="M89" i="15"/>
  <c r="M90" i="15"/>
  <c r="L90" i="15"/>
  <c r="K87" i="15"/>
  <c r="K88" i="15"/>
  <c r="L88" i="15"/>
  <c r="L87" i="15"/>
  <c r="M88" i="15"/>
  <c r="M87" i="15"/>
  <c r="K84" i="15"/>
  <c r="K86" i="15"/>
  <c r="L86" i="15"/>
  <c r="L84" i="15"/>
  <c r="M86" i="15"/>
  <c r="M84" i="15"/>
  <c r="E83" i="15"/>
  <c r="S196" i="15" s="1"/>
  <c r="K82" i="15"/>
  <c r="K83" i="15"/>
  <c r="L83" i="15"/>
  <c r="L82" i="15"/>
  <c r="M83" i="15"/>
  <c r="M82" i="15"/>
  <c r="E81" i="15"/>
  <c r="K80" i="15"/>
  <c r="K81" i="15"/>
  <c r="L80" i="15"/>
  <c r="L81" i="15"/>
  <c r="M80" i="15"/>
  <c r="M81" i="15"/>
  <c r="K78" i="15"/>
  <c r="K79" i="15"/>
  <c r="L79" i="15"/>
  <c r="M79" i="15"/>
  <c r="M78" i="15"/>
  <c r="L78" i="15"/>
  <c r="E77" i="15"/>
  <c r="T193" i="15" s="1"/>
  <c r="K76" i="15"/>
  <c r="K77" i="15"/>
  <c r="L76" i="15"/>
  <c r="M76" i="15"/>
  <c r="M77" i="15"/>
  <c r="L77" i="15"/>
  <c r="E75" i="15"/>
  <c r="K75" i="15"/>
  <c r="M75" i="15"/>
  <c r="L75" i="15"/>
  <c r="E73" i="15"/>
  <c r="T191" i="15" s="1"/>
  <c r="K72" i="15"/>
  <c r="K73" i="15"/>
  <c r="M72" i="15"/>
  <c r="M73" i="15"/>
  <c r="L72" i="15"/>
  <c r="L73" i="15"/>
  <c r="K69" i="15"/>
  <c r="K71" i="15"/>
  <c r="M69" i="15"/>
  <c r="M71" i="15"/>
  <c r="L69" i="15"/>
  <c r="L71" i="15"/>
  <c r="M68" i="15"/>
  <c r="L68" i="15"/>
  <c r="K68" i="15"/>
  <c r="M67" i="15"/>
  <c r="L67" i="15"/>
  <c r="K67" i="15"/>
  <c r="M66" i="15"/>
  <c r="L66" i="15"/>
  <c r="K66" i="15"/>
  <c r="M65" i="15"/>
  <c r="L65" i="15"/>
  <c r="K65" i="15"/>
  <c r="K100" i="14"/>
  <c r="K101" i="14"/>
  <c r="L100" i="14"/>
  <c r="L101" i="14"/>
  <c r="M100" i="14"/>
  <c r="M101" i="14"/>
  <c r="E99" i="14"/>
  <c r="S188" i="14" s="1"/>
  <c r="K98" i="14"/>
  <c r="K99" i="14"/>
  <c r="L98" i="14"/>
  <c r="L99" i="14"/>
  <c r="M98" i="14"/>
  <c r="M99" i="14"/>
  <c r="E97" i="14"/>
  <c r="U187" i="14" s="1"/>
  <c r="K96" i="14"/>
  <c r="K97" i="14"/>
  <c r="L96" i="14"/>
  <c r="L97" i="14"/>
  <c r="M96" i="14"/>
  <c r="M97" i="14"/>
  <c r="E95" i="14"/>
  <c r="S186" i="14" s="1"/>
  <c r="K94" i="14"/>
  <c r="K95" i="14"/>
  <c r="L94" i="14"/>
  <c r="L95" i="14"/>
  <c r="M94" i="14"/>
  <c r="M95" i="14"/>
  <c r="K92" i="14"/>
  <c r="K93" i="14"/>
  <c r="L92" i="14"/>
  <c r="L93" i="14"/>
  <c r="M92" i="14"/>
  <c r="M93" i="14"/>
  <c r="E91" i="14"/>
  <c r="K90" i="14"/>
  <c r="K91" i="14"/>
  <c r="L91" i="14"/>
  <c r="L90" i="14"/>
  <c r="M91" i="14"/>
  <c r="M90" i="14"/>
  <c r="E89" i="14"/>
  <c r="K88" i="14"/>
  <c r="K89" i="14"/>
  <c r="L88" i="14"/>
  <c r="L89" i="14"/>
  <c r="M88" i="14"/>
  <c r="M89" i="14"/>
  <c r="E87" i="14"/>
  <c r="T182" i="14" s="1"/>
  <c r="K86" i="14"/>
  <c r="K87" i="14"/>
  <c r="L86" i="14"/>
  <c r="L87" i="14"/>
  <c r="M86" i="14"/>
  <c r="M87" i="14"/>
  <c r="K84" i="14"/>
  <c r="K85" i="14"/>
  <c r="L84" i="14"/>
  <c r="L85" i="14"/>
  <c r="M84" i="14"/>
  <c r="M85" i="14"/>
  <c r="E83" i="14"/>
  <c r="T180" i="14" s="1"/>
  <c r="K82" i="14"/>
  <c r="K83" i="14"/>
  <c r="L82" i="14"/>
  <c r="L83" i="14"/>
  <c r="M82" i="14"/>
  <c r="M83" i="14"/>
  <c r="E81" i="14"/>
  <c r="U179" i="14" s="1"/>
  <c r="K80" i="14"/>
  <c r="K81" i="14"/>
  <c r="L80" i="14"/>
  <c r="L81" i="14"/>
  <c r="M80" i="14"/>
  <c r="M81" i="14"/>
  <c r="E79" i="14"/>
  <c r="U178" i="14" s="1"/>
  <c r="K78" i="14"/>
  <c r="K79" i="14"/>
  <c r="L78" i="14"/>
  <c r="L79" i="14"/>
  <c r="M78" i="14"/>
  <c r="M79" i="14"/>
  <c r="K76" i="14"/>
  <c r="K77" i="14"/>
  <c r="L76" i="14"/>
  <c r="L77" i="14"/>
  <c r="M76" i="14"/>
  <c r="M77" i="14"/>
  <c r="E75" i="14"/>
  <c r="U176" i="14" s="1"/>
  <c r="K74" i="14"/>
  <c r="K75" i="14"/>
  <c r="L75" i="14"/>
  <c r="L74" i="14"/>
  <c r="M75" i="14"/>
  <c r="M74" i="14"/>
  <c r="E73" i="14"/>
  <c r="U175" i="14" s="1"/>
  <c r="K72" i="14"/>
  <c r="K73" i="14"/>
  <c r="L72" i="14"/>
  <c r="L73" i="14"/>
  <c r="M72" i="14"/>
  <c r="M73" i="14"/>
  <c r="K70" i="14"/>
  <c r="K71" i="14"/>
  <c r="M70" i="14"/>
  <c r="M71" i="14"/>
  <c r="L70" i="14"/>
  <c r="L71" i="14"/>
  <c r="M92" i="13"/>
  <c r="M93" i="13"/>
  <c r="M94" i="13"/>
  <c r="L92" i="13"/>
  <c r="L93" i="13"/>
  <c r="L94" i="13"/>
  <c r="K92" i="13"/>
  <c r="K93" i="13"/>
  <c r="K94" i="13"/>
  <c r="K109" i="13"/>
  <c r="K110" i="13"/>
  <c r="L110" i="13"/>
  <c r="L109" i="13"/>
  <c r="M110" i="13"/>
  <c r="M109" i="13"/>
  <c r="E108" i="13"/>
  <c r="K107" i="13"/>
  <c r="K108" i="13"/>
  <c r="L107" i="13"/>
  <c r="L108" i="13"/>
  <c r="M107" i="13"/>
  <c r="M108" i="13"/>
  <c r="E106" i="13"/>
  <c r="U200" i="13" s="1"/>
  <c r="K105" i="13"/>
  <c r="K106" i="13"/>
  <c r="L105" i="13"/>
  <c r="L106" i="13"/>
  <c r="M105" i="13"/>
  <c r="M106" i="13"/>
  <c r="E104" i="13"/>
  <c r="U199" i="13" s="1"/>
  <c r="K103" i="13"/>
  <c r="K104" i="13"/>
  <c r="L103" i="13"/>
  <c r="L104" i="13"/>
  <c r="M103" i="13"/>
  <c r="M104" i="13"/>
  <c r="K101" i="13"/>
  <c r="K102" i="13"/>
  <c r="L101" i="13"/>
  <c r="L102" i="13"/>
  <c r="M101" i="13"/>
  <c r="M102" i="13"/>
  <c r="E100" i="13"/>
  <c r="S197" i="13" s="1"/>
  <c r="K99" i="13"/>
  <c r="K100" i="13"/>
  <c r="L100" i="13"/>
  <c r="L99" i="13"/>
  <c r="M100" i="13"/>
  <c r="M99" i="13"/>
  <c r="E98" i="13"/>
  <c r="S196" i="13" s="1"/>
  <c r="K97" i="13"/>
  <c r="K98" i="13"/>
  <c r="L97" i="13"/>
  <c r="L98" i="13"/>
  <c r="M97" i="13"/>
  <c r="M98" i="13"/>
  <c r="E96" i="13"/>
  <c r="T195" i="13" s="1"/>
  <c r="K95" i="13"/>
  <c r="K96" i="13"/>
  <c r="L95" i="13"/>
  <c r="L96" i="13"/>
  <c r="M95" i="13"/>
  <c r="M96" i="13"/>
  <c r="E91" i="13"/>
  <c r="T193" i="13" s="1"/>
  <c r="K90" i="13"/>
  <c r="K91" i="13"/>
  <c r="L91" i="13"/>
  <c r="L90" i="13"/>
  <c r="M91" i="13"/>
  <c r="M90" i="13"/>
  <c r="E89" i="13"/>
  <c r="U192" i="13" s="1"/>
  <c r="K88" i="13"/>
  <c r="K89" i="13"/>
  <c r="L88" i="13"/>
  <c r="L89" i="13"/>
  <c r="M88" i="13"/>
  <c r="M89" i="13"/>
  <c r="E87" i="13"/>
  <c r="U191" i="13" s="1"/>
  <c r="K86" i="13"/>
  <c r="K87" i="13"/>
  <c r="L87" i="13"/>
  <c r="L86" i="13"/>
  <c r="M87" i="13"/>
  <c r="M86" i="13"/>
  <c r="K84" i="13"/>
  <c r="K85" i="13"/>
  <c r="L85" i="13"/>
  <c r="L84" i="13"/>
  <c r="M85" i="13"/>
  <c r="M84" i="13"/>
  <c r="E83" i="13"/>
  <c r="U189" i="13" s="1"/>
  <c r="K82" i="13"/>
  <c r="K83" i="13"/>
  <c r="L83" i="13"/>
  <c r="L82" i="13"/>
  <c r="M83" i="13"/>
  <c r="M82" i="13"/>
  <c r="K79" i="13"/>
  <c r="K81" i="13"/>
  <c r="M79" i="13"/>
  <c r="M81" i="13"/>
  <c r="L79" i="13"/>
  <c r="L81" i="13"/>
  <c r="K77" i="13"/>
  <c r="K78" i="13"/>
  <c r="M77" i="13"/>
  <c r="M78" i="13"/>
  <c r="L77" i="13"/>
  <c r="L78" i="13"/>
  <c r="K73" i="13"/>
  <c r="K74" i="13"/>
  <c r="M73" i="13"/>
  <c r="M74" i="13"/>
  <c r="L73" i="13"/>
  <c r="L74" i="13"/>
  <c r="M72" i="13"/>
  <c r="L72" i="13"/>
  <c r="K72" i="13"/>
  <c r="M71" i="13"/>
  <c r="L71" i="13"/>
  <c r="K71" i="13"/>
  <c r="M64" i="13"/>
  <c r="L64" i="13"/>
  <c r="K64" i="13"/>
  <c r="M63" i="13"/>
  <c r="L63" i="13"/>
  <c r="K63" i="13"/>
  <c r="H178" i="2"/>
  <c r="L182" i="2"/>
  <c r="L184" i="2"/>
  <c r="J187" i="2"/>
  <c r="L187" i="2"/>
  <c r="J186" i="2"/>
  <c r="L179" i="2"/>
  <c r="L178" i="2"/>
  <c r="J175" i="2"/>
  <c r="L175" i="2"/>
  <c r="J183" i="2"/>
  <c r="J180" i="2"/>
  <c r="J188" i="2"/>
  <c r="H180" i="2"/>
  <c r="L176" i="2"/>
  <c r="H192" i="2"/>
  <c r="E101" i="5"/>
  <c r="T188" i="5" s="1"/>
  <c r="T150" i="1"/>
  <c r="S193" i="22"/>
  <c r="U193" i="22"/>
  <c r="J203" i="23"/>
  <c r="R60" i="17"/>
  <c r="U186" i="17"/>
  <c r="T186" i="17"/>
  <c r="R25" i="17"/>
  <c r="T152" i="17"/>
  <c r="R31" i="17"/>
  <c r="S152" i="17"/>
  <c r="R23" i="17"/>
  <c r="S151" i="17"/>
  <c r="T151" i="17"/>
  <c r="S155" i="17"/>
  <c r="R35" i="17"/>
  <c r="R21" i="17"/>
  <c r="T169" i="17"/>
  <c r="R20" i="17"/>
  <c r="R29" i="17"/>
  <c r="R34" i="17"/>
  <c r="S153" i="17"/>
  <c r="R27" i="17"/>
  <c r="R62" i="17"/>
  <c r="R37" i="19"/>
  <c r="R41" i="19"/>
  <c r="U169" i="19"/>
  <c r="S158" i="19"/>
  <c r="R16" i="19"/>
  <c r="R51" i="19"/>
  <c r="T169" i="19"/>
  <c r="R23" i="19"/>
  <c r="U168" i="19"/>
  <c r="U170" i="19"/>
  <c r="S179" i="19"/>
  <c r="T170" i="19"/>
  <c r="T154" i="19"/>
  <c r="S155" i="19"/>
  <c r="S162" i="19"/>
  <c r="R24" i="19"/>
  <c r="S168" i="19"/>
  <c r="R36" i="19"/>
  <c r="S170" i="19"/>
  <c r="R40" i="19"/>
  <c r="T155" i="19"/>
  <c r="T168" i="19"/>
  <c r="S154" i="19"/>
  <c r="R8" i="19"/>
  <c r="S169" i="19"/>
  <c r="R38" i="19"/>
  <c r="R42" i="19"/>
  <c r="R59" i="19"/>
  <c r="T178" i="19"/>
  <c r="T158" i="19"/>
  <c r="R46" i="19"/>
  <c r="R50" i="19"/>
  <c r="R32" i="19"/>
  <c r="T156" i="19"/>
  <c r="T164" i="19"/>
  <c r="T186" i="9"/>
  <c r="U189" i="11"/>
  <c r="T189" i="11"/>
  <c r="S189" i="11"/>
  <c r="T186" i="11"/>
  <c r="T175" i="11"/>
  <c r="S178" i="11"/>
  <c r="U181" i="11"/>
  <c r="T181" i="11"/>
  <c r="S181" i="11"/>
  <c r="T146" i="11"/>
  <c r="S187" i="11"/>
  <c r="S185" i="11"/>
  <c r="T185" i="11"/>
  <c r="T174" i="14"/>
  <c r="U174" i="14"/>
  <c r="S174" i="14"/>
  <c r="R15" i="17"/>
  <c r="S178" i="19"/>
  <c r="R22" i="19"/>
  <c r="R15" i="19"/>
  <c r="S198" i="22"/>
  <c r="S107" i="38"/>
  <c r="T80" i="30"/>
  <c r="T102" i="34"/>
  <c r="S87" i="34"/>
  <c r="S98" i="38"/>
  <c r="U98" i="38"/>
  <c r="T98" i="38"/>
  <c r="S107" i="37"/>
  <c r="U107" i="37"/>
  <c r="T107" i="37"/>
  <c r="S159" i="16"/>
  <c r="T77" i="30"/>
  <c r="T165" i="19"/>
  <c r="S165" i="19"/>
  <c r="S198" i="14"/>
  <c r="U198" i="14"/>
  <c r="T123" i="35"/>
  <c r="S123" i="35"/>
  <c r="U123" i="35"/>
  <c r="N56" i="32"/>
  <c r="B152" i="3"/>
  <c r="L91" i="31"/>
  <c r="S110" i="37"/>
  <c r="H91" i="37"/>
  <c r="T110" i="37"/>
  <c r="W137" i="36"/>
  <c r="W140" i="35" l="1"/>
  <c r="S150" i="16"/>
  <c r="U99" i="34"/>
  <c r="S186" i="11"/>
  <c r="D154" i="12"/>
  <c r="B83" i="32"/>
  <c r="J198" i="14"/>
  <c r="H197" i="14"/>
  <c r="H181" i="14"/>
  <c r="L84" i="31"/>
  <c r="J92" i="31"/>
  <c r="H82" i="31"/>
  <c r="T170" i="7"/>
  <c r="T107" i="38"/>
  <c r="W107" i="38" s="1"/>
  <c r="D169" i="11"/>
  <c r="D95" i="29"/>
  <c r="B94" i="29"/>
  <c r="N32" i="29"/>
  <c r="U128" i="36"/>
  <c r="S115" i="36"/>
  <c r="H194" i="25"/>
  <c r="U188" i="24"/>
  <c r="U182" i="23"/>
  <c r="S202" i="23"/>
  <c r="H170" i="23"/>
  <c r="B173" i="22"/>
  <c r="U138" i="16"/>
  <c r="D141" i="16"/>
  <c r="T158" i="16"/>
  <c r="S141" i="35"/>
  <c r="U141" i="35"/>
  <c r="H123" i="35"/>
  <c r="N40" i="35"/>
  <c r="D98" i="29"/>
  <c r="N18" i="29"/>
  <c r="N10" i="19"/>
  <c r="H153" i="21"/>
  <c r="L189" i="3"/>
  <c r="S182" i="3"/>
  <c r="B202" i="1"/>
  <c r="S128" i="36"/>
  <c r="C198" i="18"/>
  <c r="T92" i="38"/>
  <c r="S149" i="24"/>
  <c r="S204" i="19"/>
  <c r="J155" i="17"/>
  <c r="S134" i="26"/>
  <c r="U92" i="38"/>
  <c r="T143" i="26"/>
  <c r="C123" i="35"/>
  <c r="S197" i="22"/>
  <c r="U164" i="22"/>
  <c r="S185" i="22"/>
  <c r="W185" i="22" s="1"/>
  <c r="U162" i="23"/>
  <c r="S183" i="11"/>
  <c r="C175" i="13"/>
  <c r="C96" i="29"/>
  <c r="S185" i="12"/>
  <c r="T185" i="22"/>
  <c r="T176" i="25"/>
  <c r="T186" i="23"/>
  <c r="W186" i="23" s="1"/>
  <c r="B181" i="13"/>
  <c r="C210" i="13"/>
  <c r="H168" i="3"/>
  <c r="D157" i="5"/>
  <c r="C161" i="5"/>
  <c r="D90" i="38"/>
  <c r="J189" i="17"/>
  <c r="D191" i="17"/>
  <c r="D196" i="17"/>
  <c r="D139" i="16"/>
  <c r="H149" i="16"/>
  <c r="D151" i="16"/>
  <c r="J162" i="16"/>
  <c r="J164" i="16"/>
  <c r="J144" i="24"/>
  <c r="B155" i="24"/>
  <c r="J159" i="24"/>
  <c r="D191" i="24"/>
  <c r="L191" i="23"/>
  <c r="D193" i="22"/>
  <c r="L175" i="22"/>
  <c r="T197" i="22"/>
  <c r="H102" i="31"/>
  <c r="B123" i="35"/>
  <c r="J162" i="13"/>
  <c r="N162" i="13" s="1"/>
  <c r="S182" i="9"/>
  <c r="S167" i="11"/>
  <c r="L153" i="21"/>
  <c r="T175" i="17"/>
  <c r="D189" i="5"/>
  <c r="W207" i="22"/>
  <c r="T162" i="17"/>
  <c r="B129" i="35"/>
  <c r="T180" i="11"/>
  <c r="U161" i="25"/>
  <c r="B86" i="29"/>
  <c r="N10" i="35"/>
  <c r="T146" i="16"/>
  <c r="T173" i="21"/>
  <c r="U207" i="9"/>
  <c r="U195" i="23"/>
  <c r="N68" i="35"/>
  <c r="N59" i="35"/>
  <c r="N51" i="35"/>
  <c r="S143" i="35"/>
  <c r="S125" i="35"/>
  <c r="H170" i="19"/>
  <c r="J192" i="22"/>
  <c r="C128" i="35"/>
  <c r="S186" i="23"/>
  <c r="J162" i="22"/>
  <c r="S133" i="36"/>
  <c r="T204" i="19"/>
  <c r="W204" i="19" s="1"/>
  <c r="L158" i="19"/>
  <c r="T149" i="24"/>
  <c r="W185" i="3"/>
  <c r="H99" i="31"/>
  <c r="T167" i="11"/>
  <c r="H192" i="22"/>
  <c r="C178" i="22"/>
  <c r="L188" i="22"/>
  <c r="H200" i="22"/>
  <c r="H182" i="22"/>
  <c r="J159" i="23"/>
  <c r="H161" i="23"/>
  <c r="D164" i="23"/>
  <c r="L174" i="23"/>
  <c r="S176" i="25"/>
  <c r="C147" i="25"/>
  <c r="B151" i="25"/>
  <c r="H193" i="25"/>
  <c r="J194" i="25"/>
  <c r="D156" i="26"/>
  <c r="D157" i="26"/>
  <c r="D146" i="26"/>
  <c r="S155" i="26"/>
  <c r="J105" i="37"/>
  <c r="L101" i="37"/>
  <c r="J130" i="35"/>
  <c r="B189" i="18"/>
  <c r="S144" i="16"/>
  <c r="T191" i="18"/>
  <c r="H162" i="13"/>
  <c r="T207" i="9"/>
  <c r="W207" i="9" s="1"/>
  <c r="U175" i="11"/>
  <c r="S184" i="19"/>
  <c r="U138" i="26"/>
  <c r="T182" i="23"/>
  <c r="W182" i="23" s="1"/>
  <c r="T195" i="23"/>
  <c r="W195" i="23" s="1"/>
  <c r="J176" i="3"/>
  <c r="W162" i="3"/>
  <c r="L158" i="3"/>
  <c r="H192" i="5"/>
  <c r="J180" i="5"/>
  <c r="B96" i="29"/>
  <c r="N14" i="29"/>
  <c r="D144" i="14"/>
  <c r="H198" i="14"/>
  <c r="N69" i="18"/>
  <c r="L190" i="23"/>
  <c r="N44" i="35"/>
  <c r="N80" i="35"/>
  <c r="N72" i="35"/>
  <c r="N36" i="29"/>
  <c r="U202" i="23"/>
  <c r="U90" i="38"/>
  <c r="U132" i="16"/>
  <c r="U200" i="22"/>
  <c r="L102" i="34"/>
  <c r="S111" i="37"/>
  <c r="S136" i="16"/>
  <c r="S162" i="23"/>
  <c r="C115" i="37"/>
  <c r="H97" i="37"/>
  <c r="H144" i="35"/>
  <c r="N11" i="29"/>
  <c r="D206" i="3"/>
  <c r="B147" i="16"/>
  <c r="J187" i="22"/>
  <c r="H191" i="14"/>
  <c r="J156" i="14"/>
  <c r="S187" i="3"/>
  <c r="S179" i="3"/>
  <c r="U203" i="9"/>
  <c r="T183" i="11"/>
  <c r="D177" i="3"/>
  <c r="H97" i="28"/>
  <c r="B153" i="11"/>
  <c r="B158" i="19"/>
  <c r="H153" i="23"/>
  <c r="B161" i="23"/>
  <c r="J178" i="23"/>
  <c r="B166" i="22"/>
  <c r="C94" i="29"/>
  <c r="U193" i="15"/>
  <c r="E81" i="31"/>
  <c r="U154" i="5"/>
  <c r="T128" i="35"/>
  <c r="B160" i="3"/>
  <c r="D153" i="5"/>
  <c r="J147" i="11"/>
  <c r="L148" i="11"/>
  <c r="C153" i="11"/>
  <c r="B157" i="11"/>
  <c r="J169" i="11"/>
  <c r="H171" i="11"/>
  <c r="C181" i="11"/>
  <c r="B194" i="11"/>
  <c r="B195" i="11"/>
  <c r="J197" i="11"/>
  <c r="B166" i="9"/>
  <c r="L159" i="21"/>
  <c r="L161" i="21"/>
  <c r="B203" i="19"/>
  <c r="J205" i="19"/>
  <c r="L206" i="19"/>
  <c r="B165" i="18"/>
  <c r="H194" i="18"/>
  <c r="L198" i="18"/>
  <c r="J200" i="18"/>
  <c r="H160" i="17"/>
  <c r="C162" i="16"/>
  <c r="B132" i="26"/>
  <c r="H156" i="25"/>
  <c r="D185" i="25"/>
  <c r="B196" i="25"/>
  <c r="C144" i="24"/>
  <c r="B147" i="24"/>
  <c r="E147" i="24" s="1"/>
  <c r="B148" i="24"/>
  <c r="H166" i="24"/>
  <c r="H168" i="24"/>
  <c r="D170" i="24"/>
  <c r="C182" i="24"/>
  <c r="J167" i="23"/>
  <c r="B178" i="23"/>
  <c r="B156" i="22"/>
  <c r="J198" i="22"/>
  <c r="U179" i="7"/>
  <c r="W191" i="7"/>
  <c r="U160" i="9"/>
  <c r="C168" i="5"/>
  <c r="J175" i="5"/>
  <c r="B105" i="29"/>
  <c r="N54" i="16"/>
  <c r="D157" i="22"/>
  <c r="W165" i="22"/>
  <c r="J167" i="22"/>
  <c r="H171" i="5"/>
  <c r="J195" i="14"/>
  <c r="L171" i="14"/>
  <c r="L152" i="14"/>
  <c r="T179" i="3"/>
  <c r="H176" i="12"/>
  <c r="N12" i="3"/>
  <c r="D126" i="36"/>
  <c r="J158" i="16"/>
  <c r="L141" i="16"/>
  <c r="B145" i="16"/>
  <c r="C163" i="16"/>
  <c r="L154" i="16"/>
  <c r="D132" i="16"/>
  <c r="C141" i="16"/>
  <c r="B130" i="16"/>
  <c r="J150" i="16"/>
  <c r="B161" i="16"/>
  <c r="N45" i="16"/>
  <c r="N63" i="16"/>
  <c r="N65" i="35"/>
  <c r="L124" i="35"/>
  <c r="D124" i="35"/>
  <c r="N73" i="35"/>
  <c r="L136" i="35"/>
  <c r="C136" i="35"/>
  <c r="J132" i="35"/>
  <c r="D138" i="35"/>
  <c r="C169" i="17"/>
  <c r="C147" i="17"/>
  <c r="L173" i="18"/>
  <c r="H188" i="18"/>
  <c r="L195" i="18"/>
  <c r="J199" i="18"/>
  <c r="B179" i="19"/>
  <c r="H155" i="19"/>
  <c r="D182" i="19"/>
  <c r="C156" i="19"/>
  <c r="B174" i="19"/>
  <c r="B143" i="20"/>
  <c r="T172" i="21"/>
  <c r="H158" i="21"/>
  <c r="H160" i="21"/>
  <c r="D190" i="21"/>
  <c r="J183" i="21"/>
  <c r="B92" i="34"/>
  <c r="L91" i="34"/>
  <c r="S92" i="34"/>
  <c r="H188" i="9"/>
  <c r="L173" i="9"/>
  <c r="C209" i="9"/>
  <c r="J186" i="11"/>
  <c r="S191" i="11"/>
  <c r="J165" i="11"/>
  <c r="D167" i="11"/>
  <c r="C197" i="11"/>
  <c r="H192" i="11"/>
  <c r="H170" i="11"/>
  <c r="J183" i="11"/>
  <c r="D189" i="11"/>
  <c r="S154" i="11"/>
  <c r="D185" i="11"/>
  <c r="N67" i="11"/>
  <c r="B156" i="11"/>
  <c r="H164" i="11"/>
  <c r="L156" i="11"/>
  <c r="J157" i="11"/>
  <c r="C163" i="11"/>
  <c r="J194" i="11"/>
  <c r="N9" i="32"/>
  <c r="C103" i="32"/>
  <c r="J98" i="32"/>
  <c r="B96" i="32"/>
  <c r="N19" i="32"/>
  <c r="N35" i="32"/>
  <c r="S180" i="14"/>
  <c r="U180" i="14"/>
  <c r="H160" i="14"/>
  <c r="L149" i="14"/>
  <c r="J190" i="14"/>
  <c r="B160" i="14"/>
  <c r="B152" i="14"/>
  <c r="B145" i="14"/>
  <c r="C161" i="14"/>
  <c r="C181" i="14"/>
  <c r="J176" i="14"/>
  <c r="N62" i="14"/>
  <c r="N38" i="14"/>
  <c r="N21" i="14"/>
  <c r="N13" i="14"/>
  <c r="J192" i="14"/>
  <c r="J146" i="14"/>
  <c r="N27" i="31"/>
  <c r="B96" i="31"/>
  <c r="H98" i="31"/>
  <c r="H94" i="31"/>
  <c r="C89" i="31"/>
  <c r="B86" i="31"/>
  <c r="B94" i="31"/>
  <c r="N28" i="31"/>
  <c r="N44" i="31"/>
  <c r="N13" i="31"/>
  <c r="C102" i="31"/>
  <c r="J103" i="31"/>
  <c r="C90" i="31"/>
  <c r="C94" i="31"/>
  <c r="N31" i="31"/>
  <c r="N39" i="31"/>
  <c r="S172" i="7"/>
  <c r="U172" i="7"/>
  <c r="T189" i="7"/>
  <c r="B178" i="7"/>
  <c r="B163" i="7"/>
  <c r="U189" i="7"/>
  <c r="W173" i="7"/>
  <c r="N71" i="7"/>
  <c r="U173" i="7"/>
  <c r="T173" i="7"/>
  <c r="L86" i="29"/>
  <c r="N27" i="29"/>
  <c r="N13" i="29"/>
  <c r="N10" i="29"/>
  <c r="N35" i="29"/>
  <c r="N41" i="29"/>
  <c r="H106" i="29"/>
  <c r="J103" i="29"/>
  <c r="J99" i="29"/>
  <c r="H95" i="29"/>
  <c r="U77" i="30"/>
  <c r="W77" i="30" s="1"/>
  <c r="L86" i="30"/>
  <c r="H154" i="5"/>
  <c r="L147" i="5"/>
  <c r="B167" i="5"/>
  <c r="D168" i="5"/>
  <c r="D160" i="5"/>
  <c r="B156" i="5"/>
  <c r="N59" i="5"/>
  <c r="C184" i="5"/>
  <c r="S150" i="5"/>
  <c r="D179" i="5"/>
  <c r="L154" i="5"/>
  <c r="L109" i="28"/>
  <c r="J101" i="31"/>
  <c r="U188" i="5"/>
  <c r="L98" i="32"/>
  <c r="U158" i="16"/>
  <c r="T132" i="16"/>
  <c r="H156" i="14"/>
  <c r="S197" i="9"/>
  <c r="C186" i="14"/>
  <c r="N77" i="8"/>
  <c r="J196" i="11"/>
  <c r="S94" i="37"/>
  <c r="S133" i="16"/>
  <c r="U85" i="30"/>
  <c r="T190" i="9"/>
  <c r="L165" i="11"/>
  <c r="T174" i="9"/>
  <c r="S187" i="17"/>
  <c r="U146" i="26"/>
  <c r="U149" i="25"/>
  <c r="N19" i="24"/>
  <c r="S190" i="23"/>
  <c r="T190" i="23"/>
  <c r="W167" i="23"/>
  <c r="W164" i="15"/>
  <c r="B142" i="35"/>
  <c r="N55" i="35"/>
  <c r="W90" i="34"/>
  <c r="C189" i="23"/>
  <c r="U191" i="23"/>
  <c r="S191" i="23"/>
  <c r="C197" i="23"/>
  <c r="N24" i="29"/>
  <c r="N16" i="29"/>
  <c r="D179" i="11"/>
  <c r="N32" i="35"/>
  <c r="H130" i="35"/>
  <c r="N62" i="5"/>
  <c r="L158" i="5"/>
  <c r="H183" i="5"/>
  <c r="N21" i="31"/>
  <c r="N15" i="32"/>
  <c r="C92" i="34"/>
  <c r="H158" i="5"/>
  <c r="U144" i="7"/>
  <c r="U150" i="16"/>
  <c r="H156" i="11"/>
  <c r="S191" i="25"/>
  <c r="W191" i="25" s="1"/>
  <c r="N85" i="14"/>
  <c r="B191" i="14"/>
  <c r="B173" i="21"/>
  <c r="C187" i="18"/>
  <c r="L206" i="22"/>
  <c r="J194" i="22"/>
  <c r="T175" i="18"/>
  <c r="T191" i="23"/>
  <c r="W191" i="23" s="1"/>
  <c r="J171" i="14"/>
  <c r="T180" i="25"/>
  <c r="N12" i="31"/>
  <c r="N39" i="32"/>
  <c r="W170" i="11"/>
  <c r="W149" i="18"/>
  <c r="S177" i="5"/>
  <c r="U172" i="11"/>
  <c r="U195" i="25"/>
  <c r="L96" i="32"/>
  <c r="S182" i="1"/>
  <c r="L150" i="16"/>
  <c r="T145" i="5"/>
  <c r="T131" i="16"/>
  <c r="L183" i="11"/>
  <c r="D87" i="29"/>
  <c r="B122" i="35"/>
  <c r="T136" i="16"/>
  <c r="U76" i="30"/>
  <c r="T95" i="34"/>
  <c r="L194" i="11"/>
  <c r="S159" i="19"/>
  <c r="H144" i="24"/>
  <c r="L185" i="24"/>
  <c r="W195" i="5"/>
  <c r="L214" i="15"/>
  <c r="N51" i="32"/>
  <c r="N14" i="35"/>
  <c r="L97" i="31"/>
  <c r="N111" i="18"/>
  <c r="H152" i="14"/>
  <c r="N43" i="31"/>
  <c r="B145" i="25"/>
  <c r="S144" i="7"/>
  <c r="U128" i="35"/>
  <c r="W128" i="35" s="1"/>
  <c r="S95" i="34"/>
  <c r="W95" i="34" s="1"/>
  <c r="S195" i="9"/>
  <c r="T197" i="9"/>
  <c r="T192" i="19"/>
  <c r="U191" i="25"/>
  <c r="S102" i="38"/>
  <c r="U157" i="16"/>
  <c r="T129" i="16"/>
  <c r="H154" i="16"/>
  <c r="U203" i="15"/>
  <c r="H175" i="5"/>
  <c r="J188" i="12"/>
  <c r="U195" i="9"/>
  <c r="T154" i="26"/>
  <c r="J176" i="22"/>
  <c r="B146" i="11"/>
  <c r="L179" i="19"/>
  <c r="U192" i="19"/>
  <c r="W192" i="19" s="1"/>
  <c r="T157" i="16"/>
  <c r="S113" i="37"/>
  <c r="T133" i="16"/>
  <c r="L149" i="16"/>
  <c r="S183" i="18"/>
  <c r="L152" i="12"/>
  <c r="T172" i="11"/>
  <c r="T146" i="26"/>
  <c r="S149" i="25"/>
  <c r="U190" i="23"/>
  <c r="N71" i="5"/>
  <c r="C178" i="3"/>
  <c r="C164" i="3"/>
  <c r="H173" i="7"/>
  <c r="B182" i="8"/>
  <c r="B171" i="8"/>
  <c r="D180" i="8"/>
  <c r="J181" i="14"/>
  <c r="L154" i="14"/>
  <c r="C104" i="29"/>
  <c r="B95" i="31"/>
  <c r="B126" i="35"/>
  <c r="J83" i="32"/>
  <c r="B187" i="12"/>
  <c r="B147" i="11"/>
  <c r="B149" i="11"/>
  <c r="D153" i="11"/>
  <c r="C156" i="11"/>
  <c r="C157" i="11"/>
  <c r="B159" i="11"/>
  <c r="B160" i="11"/>
  <c r="B161" i="11"/>
  <c r="H162" i="11"/>
  <c r="H163" i="11"/>
  <c r="B169" i="11"/>
  <c r="B170" i="11"/>
  <c r="H173" i="11"/>
  <c r="C175" i="11"/>
  <c r="J184" i="11"/>
  <c r="C186" i="11"/>
  <c r="H189" i="11"/>
  <c r="H190" i="11"/>
  <c r="H162" i="9"/>
  <c r="H179" i="9"/>
  <c r="B146" i="21"/>
  <c r="H149" i="21"/>
  <c r="L163" i="21"/>
  <c r="L166" i="21"/>
  <c r="D168" i="21"/>
  <c r="D169" i="21"/>
  <c r="D171" i="21"/>
  <c r="C177" i="19"/>
  <c r="B178" i="19"/>
  <c r="H180" i="19"/>
  <c r="C190" i="19"/>
  <c r="H150" i="18"/>
  <c r="B159" i="18"/>
  <c r="C165" i="18"/>
  <c r="H170" i="18"/>
  <c r="B183" i="18"/>
  <c r="B194" i="18"/>
  <c r="B198" i="18"/>
  <c r="N17" i="16"/>
  <c r="N32" i="16"/>
  <c r="L161" i="16"/>
  <c r="D163" i="16"/>
  <c r="D164" i="16"/>
  <c r="D165" i="16"/>
  <c r="H126" i="26"/>
  <c r="J127" i="26"/>
  <c r="D129" i="26"/>
  <c r="D130" i="26"/>
  <c r="B147" i="25"/>
  <c r="J159" i="25"/>
  <c r="D142" i="24"/>
  <c r="D144" i="24"/>
  <c r="C147" i="24"/>
  <c r="C148" i="24"/>
  <c r="L154" i="24"/>
  <c r="C164" i="24"/>
  <c r="H170" i="24"/>
  <c r="D182" i="24"/>
  <c r="C192" i="24"/>
  <c r="D160" i="23"/>
  <c r="C164" i="23"/>
  <c r="C176" i="23"/>
  <c r="C178" i="23"/>
  <c r="D185" i="22"/>
  <c r="N26" i="35"/>
  <c r="W193" i="22"/>
  <c r="B158" i="5"/>
  <c r="B146" i="5"/>
  <c r="C156" i="5"/>
  <c r="J189" i="5"/>
  <c r="C164" i="14"/>
  <c r="B157" i="14"/>
  <c r="C152" i="14"/>
  <c r="L180" i="14"/>
  <c r="J168" i="14"/>
  <c r="B99" i="29"/>
  <c r="C102" i="29"/>
  <c r="B85" i="31"/>
  <c r="D86" i="31"/>
  <c r="B86" i="32"/>
  <c r="C89" i="32"/>
  <c r="C93" i="32"/>
  <c r="B86" i="34"/>
  <c r="B90" i="34"/>
  <c r="J191" i="18"/>
  <c r="N105" i="14"/>
  <c r="B91" i="28"/>
  <c r="H145" i="11"/>
  <c r="D149" i="11"/>
  <c r="B154" i="11"/>
  <c r="L155" i="11"/>
  <c r="J156" i="11"/>
  <c r="D161" i="11"/>
  <c r="B165" i="11"/>
  <c r="D170" i="11"/>
  <c r="N80" i="11"/>
  <c r="B181" i="11"/>
  <c r="C189" i="11"/>
  <c r="B191" i="11"/>
  <c r="L192" i="11"/>
  <c r="H194" i="11"/>
  <c r="L195" i="11"/>
  <c r="H181" i="9"/>
  <c r="H154" i="21"/>
  <c r="L155" i="21"/>
  <c r="B176" i="19"/>
  <c r="L177" i="19"/>
  <c r="H203" i="19"/>
  <c r="L164" i="18"/>
  <c r="C170" i="18"/>
  <c r="B173" i="18"/>
  <c r="J145" i="16"/>
  <c r="B149" i="16"/>
  <c r="B137" i="26"/>
  <c r="D147" i="25"/>
  <c r="C150" i="25"/>
  <c r="B169" i="25"/>
  <c r="J146" i="24"/>
  <c r="N42" i="24"/>
  <c r="N44" i="24"/>
  <c r="J163" i="24"/>
  <c r="W146" i="24"/>
  <c r="J176" i="23"/>
  <c r="H177" i="23"/>
  <c r="H178" i="23"/>
  <c r="L103" i="29"/>
  <c r="W182" i="3"/>
  <c r="J181" i="3"/>
  <c r="D189" i="3"/>
  <c r="W195" i="3"/>
  <c r="D176" i="3"/>
  <c r="B158" i="3"/>
  <c r="N56" i="3"/>
  <c r="N24" i="3"/>
  <c r="N41" i="3"/>
  <c r="J187" i="3"/>
  <c r="H157" i="3"/>
  <c r="N16" i="3"/>
  <c r="D184" i="3"/>
  <c r="B177" i="3"/>
  <c r="D172" i="3"/>
  <c r="U195" i="15"/>
  <c r="S195" i="15"/>
  <c r="S183" i="3"/>
  <c r="T183" i="3"/>
  <c r="H183" i="7"/>
  <c r="T166" i="5"/>
  <c r="U208" i="9"/>
  <c r="S184" i="14"/>
  <c r="U184" i="14"/>
  <c r="B195" i="14"/>
  <c r="B148" i="5"/>
  <c r="H191" i="5"/>
  <c r="J191" i="5"/>
  <c r="J179" i="5"/>
  <c r="L179" i="5"/>
  <c r="C150" i="14"/>
  <c r="N35" i="31"/>
  <c r="N18" i="32"/>
  <c r="N46" i="32"/>
  <c r="J93" i="31"/>
  <c r="H93" i="31"/>
  <c r="L93" i="31"/>
  <c r="U149" i="12"/>
  <c r="J149" i="12"/>
  <c r="N79" i="11"/>
  <c r="S185" i="18"/>
  <c r="U185" i="18"/>
  <c r="W185" i="18" s="1"/>
  <c r="N113" i="18"/>
  <c r="C199" i="18"/>
  <c r="D133" i="16"/>
  <c r="L137" i="16"/>
  <c r="J137" i="16"/>
  <c r="S167" i="25"/>
  <c r="U167" i="25"/>
  <c r="L168" i="25"/>
  <c r="J168" i="25"/>
  <c r="S181" i="25"/>
  <c r="T181" i="25"/>
  <c r="T202" i="23"/>
  <c r="H202" i="23"/>
  <c r="T160" i="22"/>
  <c r="S160" i="22"/>
  <c r="N28" i="22"/>
  <c r="T182" i="22"/>
  <c r="U182" i="22"/>
  <c r="T188" i="22"/>
  <c r="U188" i="22"/>
  <c r="S188" i="22"/>
  <c r="J188" i="22"/>
  <c r="S194" i="22"/>
  <c r="W194" i="22" s="1"/>
  <c r="B194" i="22"/>
  <c r="U194" i="22"/>
  <c r="T200" i="22"/>
  <c r="S200" i="22"/>
  <c r="L200" i="22"/>
  <c r="L164" i="13"/>
  <c r="H164" i="13"/>
  <c r="T127" i="36"/>
  <c r="U127" i="36"/>
  <c r="L141" i="35"/>
  <c r="H141" i="35"/>
  <c r="S131" i="35"/>
  <c r="T131" i="35"/>
  <c r="U131" i="35"/>
  <c r="S176" i="14"/>
  <c r="U140" i="16"/>
  <c r="T140" i="16"/>
  <c r="U151" i="16"/>
  <c r="S151" i="16"/>
  <c r="H167" i="24"/>
  <c r="J167" i="24"/>
  <c r="L174" i="24"/>
  <c r="H174" i="24"/>
  <c r="T176" i="22"/>
  <c r="S176" i="22"/>
  <c r="T97" i="34"/>
  <c r="U97" i="34"/>
  <c r="N33" i="29"/>
  <c r="B97" i="29"/>
  <c r="N22" i="31"/>
  <c r="B160" i="19"/>
  <c r="H148" i="11"/>
  <c r="J148" i="11"/>
  <c r="L170" i="11"/>
  <c r="J170" i="11"/>
  <c r="J187" i="11"/>
  <c r="L187" i="11"/>
  <c r="T176" i="14"/>
  <c r="B181" i="14"/>
  <c r="T165" i="5"/>
  <c r="S165" i="5"/>
  <c r="U165" i="5"/>
  <c r="W144" i="7"/>
  <c r="L197" i="14"/>
  <c r="H185" i="14"/>
  <c r="L93" i="34"/>
  <c r="L209" i="13"/>
  <c r="N22" i="11"/>
  <c r="N68" i="11"/>
  <c r="N83" i="11"/>
  <c r="D176" i="14"/>
  <c r="L197" i="3"/>
  <c r="J185" i="3"/>
  <c r="J163" i="3"/>
  <c r="C166" i="5"/>
  <c r="J168" i="5"/>
  <c r="J156" i="5"/>
  <c r="N62" i="8"/>
  <c r="N11" i="14"/>
  <c r="N53" i="29"/>
  <c r="H91" i="32"/>
  <c r="J152" i="11"/>
  <c r="C168" i="11"/>
  <c r="C169" i="11"/>
  <c r="C170" i="11"/>
  <c r="J181" i="11"/>
  <c r="D193" i="11"/>
  <c r="H198" i="9"/>
  <c r="S211" i="9"/>
  <c r="U211" i="9"/>
  <c r="H168" i="21"/>
  <c r="J169" i="21"/>
  <c r="B186" i="21"/>
  <c r="L193" i="21"/>
  <c r="J194" i="21"/>
  <c r="D190" i="19"/>
  <c r="D202" i="19"/>
  <c r="U190" i="18"/>
  <c r="S190" i="18"/>
  <c r="B148" i="16"/>
  <c r="T153" i="16"/>
  <c r="U153" i="16"/>
  <c r="S153" i="16"/>
  <c r="U161" i="16"/>
  <c r="T161" i="16"/>
  <c r="S161" i="16"/>
  <c r="L162" i="16"/>
  <c r="J163" i="16"/>
  <c r="U127" i="26"/>
  <c r="S127" i="26"/>
  <c r="L128" i="26"/>
  <c r="J129" i="26"/>
  <c r="J130" i="26"/>
  <c r="D132" i="26"/>
  <c r="D133" i="26"/>
  <c r="L154" i="26"/>
  <c r="L169" i="5"/>
  <c r="L149" i="11"/>
  <c r="J149" i="11"/>
  <c r="H149" i="11"/>
  <c r="J102" i="34"/>
  <c r="S166" i="5"/>
  <c r="U182" i="14"/>
  <c r="C205" i="3"/>
  <c r="L149" i="5"/>
  <c r="H189" i="14"/>
  <c r="L177" i="14"/>
  <c r="N41" i="31"/>
  <c r="H101" i="29"/>
  <c r="L89" i="29"/>
  <c r="T170" i="9"/>
  <c r="S170" i="9"/>
  <c r="H102" i="34"/>
  <c r="N81" i="14"/>
  <c r="D183" i="14"/>
  <c r="H185" i="7"/>
  <c r="B187" i="3"/>
  <c r="W201" i="3"/>
  <c r="H193" i="3"/>
  <c r="W193" i="3"/>
  <c r="J177" i="3"/>
  <c r="C169" i="5"/>
  <c r="N8" i="8"/>
  <c r="N8" i="14"/>
  <c r="L157" i="14"/>
  <c r="D83" i="32"/>
  <c r="W197" i="3"/>
  <c r="T174" i="1"/>
  <c r="U174" i="1"/>
  <c r="L146" i="11"/>
  <c r="C179" i="14"/>
  <c r="H193" i="14"/>
  <c r="J193" i="14"/>
  <c r="N38" i="31"/>
  <c r="U183" i="3"/>
  <c r="N70" i="14"/>
  <c r="N78" i="14"/>
  <c r="N82" i="14"/>
  <c r="C184" i="14"/>
  <c r="N94" i="14"/>
  <c r="D170" i="7"/>
  <c r="U172" i="5"/>
  <c r="W172" i="5"/>
  <c r="J189" i="3"/>
  <c r="L181" i="3"/>
  <c r="W181" i="3"/>
  <c r="L155" i="3"/>
  <c r="N16" i="5"/>
  <c r="H153" i="14"/>
  <c r="L153" i="14"/>
  <c r="S182" i="14"/>
  <c r="L168" i="5"/>
  <c r="H104" i="34"/>
  <c r="L157" i="16"/>
  <c r="N14" i="5"/>
  <c r="U86" i="30"/>
  <c r="D174" i="14"/>
  <c r="B182" i="14"/>
  <c r="B198" i="8"/>
  <c r="B186" i="5"/>
  <c r="N100" i="5"/>
  <c r="N104" i="14"/>
  <c r="B205" i="3"/>
  <c r="N117" i="14"/>
  <c r="N8" i="3"/>
  <c r="H172" i="3"/>
  <c r="L160" i="3"/>
  <c r="B151" i="5"/>
  <c r="H169" i="5"/>
  <c r="W161" i="5"/>
  <c r="W157" i="5"/>
  <c r="L182" i="5"/>
  <c r="B146" i="7"/>
  <c r="L198" i="15"/>
  <c r="J194" i="15"/>
  <c r="N28" i="14"/>
  <c r="N9" i="14"/>
  <c r="H158" i="14"/>
  <c r="J147" i="14"/>
  <c r="N52" i="29"/>
  <c r="J100" i="31"/>
  <c r="J96" i="32"/>
  <c r="L92" i="32"/>
  <c r="L88" i="32"/>
  <c r="J84" i="32"/>
  <c r="C171" i="24"/>
  <c r="J138" i="35"/>
  <c r="J90" i="31"/>
  <c r="B190" i="25"/>
  <c r="B153" i="24"/>
  <c r="H171" i="24"/>
  <c r="N68" i="24"/>
  <c r="L158" i="23"/>
  <c r="J186" i="23"/>
  <c r="N56" i="22"/>
  <c r="H134" i="35"/>
  <c r="L132" i="35"/>
  <c r="N77" i="35"/>
  <c r="N69" i="35"/>
  <c r="N52" i="35"/>
  <c r="C146" i="25"/>
  <c r="C148" i="25"/>
  <c r="C189" i="25"/>
  <c r="L144" i="24"/>
  <c r="D146" i="24"/>
  <c r="D147" i="24"/>
  <c r="D148" i="24"/>
  <c r="C150" i="24"/>
  <c r="C152" i="24"/>
  <c r="B154" i="24"/>
  <c r="D176" i="23"/>
  <c r="D178" i="23"/>
  <c r="B198" i="23"/>
  <c r="B192" i="14"/>
  <c r="B194" i="14"/>
  <c r="D167" i="3"/>
  <c r="C169" i="3"/>
  <c r="C159" i="3"/>
  <c r="D169" i="5"/>
  <c r="N33" i="5"/>
  <c r="H184" i="5"/>
  <c r="D173" i="15"/>
  <c r="B148" i="14"/>
  <c r="D100" i="28"/>
  <c r="H158" i="11"/>
  <c r="D172" i="11"/>
  <c r="B175" i="11"/>
  <c r="H182" i="11"/>
  <c r="C185" i="11"/>
  <c r="B186" i="11"/>
  <c r="H196" i="11"/>
  <c r="B156" i="19"/>
  <c r="H150" i="16"/>
  <c r="H158" i="16"/>
  <c r="B193" i="25"/>
  <c r="B194" i="25"/>
  <c r="J153" i="23"/>
  <c r="B171" i="23"/>
  <c r="C198" i="23"/>
  <c r="B200" i="23"/>
  <c r="H148" i="17"/>
  <c r="D188" i="7"/>
  <c r="D189" i="12"/>
  <c r="D190" i="12"/>
  <c r="W90" i="29"/>
  <c r="W98" i="29"/>
  <c r="W106" i="29"/>
  <c r="T149" i="26"/>
  <c r="L168" i="19"/>
  <c r="H162" i="25"/>
  <c r="C193" i="8"/>
  <c r="B197" i="14"/>
  <c r="C176" i="3"/>
  <c r="C154" i="3"/>
  <c r="L179" i="3"/>
  <c r="L175" i="3"/>
  <c r="W165" i="3"/>
  <c r="C157" i="5"/>
  <c r="N42" i="5"/>
  <c r="N10" i="5"/>
  <c r="W162" i="5"/>
  <c r="J183" i="5"/>
  <c r="W179" i="5"/>
  <c r="C172" i="8"/>
  <c r="N12" i="8"/>
  <c r="N21" i="8"/>
  <c r="N15" i="8"/>
  <c r="D173" i="14"/>
  <c r="B172" i="14"/>
  <c r="D169" i="14"/>
  <c r="D150" i="14"/>
  <c r="B149" i="14"/>
  <c r="C88" i="31"/>
  <c r="C96" i="31"/>
  <c r="L180" i="17"/>
  <c r="H157" i="16"/>
  <c r="D158" i="16"/>
  <c r="N80" i="24"/>
  <c r="B183" i="22"/>
  <c r="L187" i="22"/>
  <c r="J183" i="22"/>
  <c r="H179" i="22"/>
  <c r="J175" i="22"/>
  <c r="H165" i="22"/>
  <c r="H92" i="38"/>
  <c r="W188" i="2"/>
  <c r="C188" i="1"/>
  <c r="L165" i="1"/>
  <c r="J202" i="1"/>
  <c r="S104" i="32"/>
  <c r="T104" i="32"/>
  <c r="U104" i="32"/>
  <c r="H181" i="3"/>
  <c r="L104" i="32"/>
  <c r="S183" i="9"/>
  <c r="L185" i="3"/>
  <c r="J162" i="11"/>
  <c r="T183" i="14"/>
  <c r="S183" i="14"/>
  <c r="U183" i="14"/>
  <c r="T196" i="15"/>
  <c r="U196" i="15"/>
  <c r="S184" i="3"/>
  <c r="J184" i="3"/>
  <c r="S199" i="3"/>
  <c r="U199" i="3"/>
  <c r="L199" i="3"/>
  <c r="M109" i="3"/>
  <c r="D201" i="3" s="1"/>
  <c r="K109" i="3"/>
  <c r="B201" i="3" s="1"/>
  <c r="C171" i="3"/>
  <c r="J202" i="3"/>
  <c r="W202" i="3"/>
  <c r="J168" i="3"/>
  <c r="L168" i="3"/>
  <c r="C171" i="5"/>
  <c r="C165" i="5"/>
  <c r="N53" i="5"/>
  <c r="L153" i="5"/>
  <c r="W153" i="5"/>
  <c r="J153" i="5"/>
  <c r="H150" i="5"/>
  <c r="J150" i="5"/>
  <c r="L178" i="5"/>
  <c r="H178" i="5"/>
  <c r="C163" i="8"/>
  <c r="H145" i="14"/>
  <c r="L145" i="14"/>
  <c r="H83" i="32"/>
  <c r="L162" i="11"/>
  <c r="L150" i="11"/>
  <c r="N32" i="19"/>
  <c r="N55" i="11"/>
  <c r="B168" i="11"/>
  <c r="T189" i="18"/>
  <c r="S189" i="18"/>
  <c r="U160" i="16"/>
  <c r="S160" i="16"/>
  <c r="U124" i="26"/>
  <c r="S124" i="26"/>
  <c r="H160" i="25"/>
  <c r="J160" i="25"/>
  <c r="S173" i="25"/>
  <c r="U173" i="25"/>
  <c r="T175" i="25"/>
  <c r="S175" i="25"/>
  <c r="U175" i="25"/>
  <c r="U184" i="25"/>
  <c r="S184" i="25"/>
  <c r="B150" i="24"/>
  <c r="N24" i="24"/>
  <c r="U180" i="24"/>
  <c r="S180" i="24"/>
  <c r="J180" i="24"/>
  <c r="T180" i="24"/>
  <c r="L169" i="23"/>
  <c r="J169" i="23"/>
  <c r="T185" i="23"/>
  <c r="C185" i="23"/>
  <c r="U193" i="23"/>
  <c r="S193" i="23"/>
  <c r="T103" i="37"/>
  <c r="H103" i="37"/>
  <c r="S122" i="35"/>
  <c r="T122" i="35"/>
  <c r="U122" i="35"/>
  <c r="H96" i="34"/>
  <c r="H100" i="32"/>
  <c r="L100" i="32"/>
  <c r="S172" i="12"/>
  <c r="L172" i="12"/>
  <c r="J172" i="12"/>
  <c r="T183" i="12"/>
  <c r="J183" i="12"/>
  <c r="S183" i="12"/>
  <c r="S189" i="21"/>
  <c r="T189" i="21"/>
  <c r="U199" i="19"/>
  <c r="S199" i="19"/>
  <c r="S148" i="18"/>
  <c r="T148" i="18"/>
  <c r="U148" i="18"/>
  <c r="U160" i="18"/>
  <c r="T160" i="18"/>
  <c r="S178" i="18"/>
  <c r="U178" i="18"/>
  <c r="T178" i="18"/>
  <c r="S196" i="18"/>
  <c r="T196" i="18"/>
  <c r="U170" i="9"/>
  <c r="S180" i="7"/>
  <c r="T180" i="7"/>
  <c r="T188" i="3"/>
  <c r="U188" i="3"/>
  <c r="S164" i="5"/>
  <c r="U164" i="5"/>
  <c r="N19" i="14"/>
  <c r="B150" i="14"/>
  <c r="N47" i="32"/>
  <c r="L99" i="31"/>
  <c r="L176" i="5"/>
  <c r="J176" i="5"/>
  <c r="W199" i="3"/>
  <c r="L109" i="3"/>
  <c r="C201" i="3" s="1"/>
  <c r="H183" i="12"/>
  <c r="J193" i="23"/>
  <c r="B179" i="14"/>
  <c r="L170" i="3"/>
  <c r="J172" i="5"/>
  <c r="L146" i="14"/>
  <c r="C160" i="16"/>
  <c r="D150" i="11"/>
  <c r="J150" i="11"/>
  <c r="H172" i="11"/>
  <c r="L172" i="11"/>
  <c r="J172" i="11"/>
  <c r="U178" i="11"/>
  <c r="T178" i="11"/>
  <c r="T210" i="9"/>
  <c r="U210" i="9"/>
  <c r="S210" i="9"/>
  <c r="L148" i="21"/>
  <c r="H148" i="21"/>
  <c r="H165" i="21"/>
  <c r="L165" i="21"/>
  <c r="H190" i="21"/>
  <c r="L190" i="21"/>
  <c r="H143" i="16"/>
  <c r="J143" i="16"/>
  <c r="J101" i="37"/>
  <c r="L160" i="5"/>
  <c r="W160" i="5"/>
  <c r="J160" i="5"/>
  <c r="H160" i="5"/>
  <c r="J152" i="5"/>
  <c r="W152" i="5"/>
  <c r="J185" i="5"/>
  <c r="C148" i="14"/>
  <c r="N16" i="14"/>
  <c r="N53" i="32"/>
  <c r="H184" i="12"/>
  <c r="J184" i="12"/>
  <c r="S172" i="5"/>
  <c r="J193" i="3"/>
  <c r="L156" i="5"/>
  <c r="T172" i="12"/>
  <c r="H180" i="24"/>
  <c r="S142" i="16"/>
  <c r="U142" i="16"/>
  <c r="J153" i="16"/>
  <c r="H153" i="16"/>
  <c r="S185" i="7"/>
  <c r="T185" i="7"/>
  <c r="J204" i="3"/>
  <c r="L204" i="3"/>
  <c r="H95" i="31"/>
  <c r="H101" i="37"/>
  <c r="W189" i="3"/>
  <c r="H132" i="35"/>
  <c r="H93" i="34"/>
  <c r="J190" i="21"/>
  <c r="L172" i="5"/>
  <c r="W185" i="7"/>
  <c r="B184" i="3"/>
  <c r="U189" i="21"/>
  <c r="U172" i="12"/>
  <c r="N36" i="11"/>
  <c r="T173" i="25"/>
  <c r="B142" i="7"/>
  <c r="B159" i="21"/>
  <c r="J182" i="19"/>
  <c r="C122" i="35"/>
  <c r="T154" i="11"/>
  <c r="J189" i="9"/>
  <c r="S192" i="9"/>
  <c r="U192" i="9"/>
  <c r="N129" i="9"/>
  <c r="H199" i="19"/>
  <c r="N66" i="18"/>
  <c r="U177" i="18"/>
  <c r="S177" i="18"/>
  <c r="H178" i="18"/>
  <c r="J189" i="18"/>
  <c r="H159" i="17"/>
  <c r="J159" i="17"/>
  <c r="L173" i="25"/>
  <c r="N32" i="23"/>
  <c r="N36" i="23"/>
  <c r="S184" i="23"/>
  <c r="U184" i="23"/>
  <c r="L193" i="23"/>
  <c r="W157" i="23"/>
  <c r="J85" i="31"/>
  <c r="S193" i="12"/>
  <c r="T193" i="12"/>
  <c r="T185" i="17"/>
  <c r="U185" i="17"/>
  <c r="S154" i="16"/>
  <c r="T154" i="16"/>
  <c r="S142" i="26"/>
  <c r="T142" i="26"/>
  <c r="S163" i="25"/>
  <c r="T163" i="25"/>
  <c r="N48" i="25"/>
  <c r="H147" i="24"/>
  <c r="J147" i="24"/>
  <c r="U172" i="24"/>
  <c r="J172" i="24"/>
  <c r="H193" i="9"/>
  <c r="L181" i="15"/>
  <c r="W110" i="37"/>
  <c r="T179" i="7"/>
  <c r="J165" i="3"/>
  <c r="J144" i="16"/>
  <c r="J178" i="18"/>
  <c r="J191" i="14"/>
  <c r="T158" i="5"/>
  <c r="H145" i="16"/>
  <c r="H168" i="19"/>
  <c r="H150" i="11"/>
  <c r="J192" i="11"/>
  <c r="U191" i="11"/>
  <c r="J195" i="11"/>
  <c r="J160" i="17"/>
  <c r="B106" i="37"/>
  <c r="L141" i="20"/>
  <c r="D143" i="20"/>
  <c r="W185" i="11"/>
  <c r="T179" i="1"/>
  <c r="U179" i="1"/>
  <c r="N108" i="14"/>
  <c r="H195" i="11"/>
  <c r="N52" i="3"/>
  <c r="N61" i="3"/>
  <c r="N21" i="3"/>
  <c r="N23" i="3"/>
  <c r="B163" i="3"/>
  <c r="N16" i="8"/>
  <c r="N59" i="14"/>
  <c r="C151" i="14"/>
  <c r="B148" i="11"/>
  <c r="B197" i="11"/>
  <c r="L161" i="9"/>
  <c r="D173" i="9"/>
  <c r="U147" i="21"/>
  <c r="S147" i="21"/>
  <c r="J148" i="21"/>
  <c r="C156" i="21"/>
  <c r="B179" i="21"/>
  <c r="D155" i="19"/>
  <c r="U180" i="19"/>
  <c r="S180" i="19"/>
  <c r="L171" i="18"/>
  <c r="D174" i="18"/>
  <c r="C176" i="18"/>
  <c r="J130" i="16"/>
  <c r="H135" i="16"/>
  <c r="C139" i="16"/>
  <c r="B141" i="16"/>
  <c r="C159" i="16"/>
  <c r="B160" i="16"/>
  <c r="B172" i="25"/>
  <c r="U190" i="25"/>
  <c r="S190" i="25"/>
  <c r="D192" i="25"/>
  <c r="D193" i="25"/>
  <c r="C197" i="25"/>
  <c r="J154" i="24"/>
  <c r="B167" i="24"/>
  <c r="C191" i="24"/>
  <c r="C154" i="23"/>
  <c r="T181" i="23"/>
  <c r="S181" i="23"/>
  <c r="B193" i="23"/>
  <c r="U197" i="23"/>
  <c r="S197" i="23"/>
  <c r="L96" i="33"/>
  <c r="H97" i="33"/>
  <c r="H103" i="33"/>
  <c r="D91" i="29"/>
  <c r="B90" i="29"/>
  <c r="H103" i="31"/>
  <c r="H187" i="3"/>
  <c r="T186" i="14"/>
  <c r="L103" i="31"/>
  <c r="H165" i="3"/>
  <c r="U186" i="10"/>
  <c r="U144" i="16"/>
  <c r="J154" i="16"/>
  <c r="B168" i="14"/>
  <c r="J162" i="5"/>
  <c r="U159" i="16"/>
  <c r="W159" i="16" s="1"/>
  <c r="T187" i="11"/>
  <c r="W187" i="11" s="1"/>
  <c r="L176" i="11"/>
  <c r="T147" i="21"/>
  <c r="B87" i="31"/>
  <c r="L162" i="19"/>
  <c r="T175" i="23"/>
  <c r="C194" i="15"/>
  <c r="B203" i="15"/>
  <c r="C171" i="2"/>
  <c r="B154" i="3"/>
  <c r="D159" i="3"/>
  <c r="B162" i="3"/>
  <c r="D163" i="3"/>
  <c r="B166" i="3"/>
  <c r="W180" i="3"/>
  <c r="H176" i="3"/>
  <c r="J169" i="3"/>
  <c r="L166" i="3"/>
  <c r="J162" i="3"/>
  <c r="H158" i="3"/>
  <c r="C162" i="5"/>
  <c r="H180" i="5"/>
  <c r="L171" i="7"/>
  <c r="J169" i="15"/>
  <c r="D94" i="28"/>
  <c r="N16" i="35"/>
  <c r="C108" i="38"/>
  <c r="L92" i="29"/>
  <c r="N52" i="32"/>
  <c r="L102" i="32"/>
  <c r="L94" i="32"/>
  <c r="J90" i="32"/>
  <c r="J86" i="32"/>
  <c r="H99" i="34"/>
  <c r="H92" i="34"/>
  <c r="L84" i="34"/>
  <c r="J108" i="37"/>
  <c r="B150" i="11"/>
  <c r="J151" i="11"/>
  <c r="H153" i="11"/>
  <c r="L154" i="11"/>
  <c r="D155" i="11"/>
  <c r="N38" i="11"/>
  <c r="N42" i="11"/>
  <c r="B163" i="11"/>
  <c r="N46" i="11"/>
  <c r="N61" i="11"/>
  <c r="N63" i="11"/>
  <c r="N76" i="11"/>
  <c r="J179" i="11"/>
  <c r="L182" i="11"/>
  <c r="J191" i="11"/>
  <c r="N26" i="9"/>
  <c r="N43" i="9"/>
  <c r="N114" i="9"/>
  <c r="N116" i="9"/>
  <c r="N99" i="21"/>
  <c r="B189" i="21"/>
  <c r="N36" i="19"/>
  <c r="J152" i="18"/>
  <c r="L153" i="18"/>
  <c r="B145" i="17"/>
  <c r="L149" i="17"/>
  <c r="B186" i="24"/>
  <c r="B203" i="23"/>
  <c r="H94" i="38"/>
  <c r="D197" i="5"/>
  <c r="W144" i="14"/>
  <c r="C206" i="3"/>
  <c r="B107" i="32"/>
  <c r="W169" i="17"/>
  <c r="D179" i="14"/>
  <c r="C187" i="14"/>
  <c r="B189" i="14"/>
  <c r="B188" i="2"/>
  <c r="W190" i="2"/>
  <c r="H190" i="2"/>
  <c r="J190" i="2"/>
  <c r="W170" i="7"/>
  <c r="N64" i="14"/>
  <c r="N12" i="14"/>
  <c r="J163" i="14"/>
  <c r="L148" i="14"/>
  <c r="C185" i="9"/>
  <c r="N82" i="9"/>
  <c r="H197" i="9"/>
  <c r="D149" i="21"/>
  <c r="B155" i="21"/>
  <c r="B156" i="21"/>
  <c r="N17" i="18"/>
  <c r="J158" i="18"/>
  <c r="H160" i="18"/>
  <c r="J168" i="18"/>
  <c r="B176" i="18"/>
  <c r="N88" i="18"/>
  <c r="B191" i="17"/>
  <c r="D135" i="16"/>
  <c r="C149" i="16"/>
  <c r="L152" i="26"/>
  <c r="B156" i="26"/>
  <c r="B157" i="26"/>
  <c r="J147" i="25"/>
  <c r="L148" i="25"/>
  <c r="S165" i="25"/>
  <c r="C169" i="25"/>
  <c r="L189" i="25"/>
  <c r="C192" i="25"/>
  <c r="C193" i="25"/>
  <c r="C194" i="25"/>
  <c r="B178" i="24"/>
  <c r="J180" i="23"/>
  <c r="H181" i="23"/>
  <c r="N76" i="23"/>
  <c r="H189" i="23"/>
  <c r="D198" i="23"/>
  <c r="C200" i="23"/>
  <c r="W145" i="14"/>
  <c r="H87" i="31"/>
  <c r="B142" i="21"/>
  <c r="D104" i="33"/>
  <c r="L133" i="20"/>
  <c r="D140" i="20"/>
  <c r="C144" i="20"/>
  <c r="B146" i="20"/>
  <c r="C208" i="19"/>
  <c r="B189" i="3"/>
  <c r="D197" i="3"/>
  <c r="B160" i="2"/>
  <c r="B170" i="3"/>
  <c r="D157" i="3"/>
  <c r="D165" i="3"/>
  <c r="L205" i="3"/>
  <c r="J201" i="3"/>
  <c r="W178" i="3"/>
  <c r="H167" i="3"/>
  <c r="J160" i="3"/>
  <c r="C160" i="5"/>
  <c r="B170" i="5"/>
  <c r="D143" i="5"/>
  <c r="C95" i="31"/>
  <c r="C99" i="31"/>
  <c r="N22" i="35"/>
  <c r="L97" i="28"/>
  <c r="J86" i="29"/>
  <c r="N43" i="32"/>
  <c r="J97" i="34"/>
  <c r="L86" i="34"/>
  <c r="L110" i="37"/>
  <c r="D145" i="11"/>
  <c r="C147" i="11"/>
  <c r="C148" i="11"/>
  <c r="N27" i="11"/>
  <c r="C158" i="11"/>
  <c r="C167" i="11"/>
  <c r="N56" i="11"/>
  <c r="N58" i="11"/>
  <c r="B172" i="11"/>
  <c r="L175" i="11"/>
  <c r="C178" i="11"/>
  <c r="N77" i="11"/>
  <c r="B180" i="11"/>
  <c r="D182" i="11"/>
  <c r="L186" i="11"/>
  <c r="B189" i="11"/>
  <c r="N99" i="11"/>
  <c r="D154" i="21"/>
  <c r="D155" i="21"/>
  <c r="B164" i="21"/>
  <c r="B192" i="21"/>
  <c r="J146" i="26"/>
  <c r="L192" i="25"/>
  <c r="L194" i="25"/>
  <c r="D197" i="25"/>
  <c r="C167" i="24"/>
  <c r="B170" i="24"/>
  <c r="W163" i="8"/>
  <c r="W171" i="8"/>
  <c r="D97" i="29"/>
  <c r="C95" i="29"/>
  <c r="C109" i="29"/>
  <c r="N79" i="14"/>
  <c r="N75" i="8"/>
  <c r="C189" i="8"/>
  <c r="B193" i="3"/>
  <c r="D190" i="2"/>
  <c r="E190" i="2" s="1"/>
  <c r="D191" i="2"/>
  <c r="N105" i="3"/>
  <c r="B167" i="3"/>
  <c r="N43" i="3"/>
  <c r="N59" i="3"/>
  <c r="N17" i="3"/>
  <c r="N19" i="3"/>
  <c r="N45" i="8"/>
  <c r="N53" i="8"/>
  <c r="N35" i="8"/>
  <c r="L189" i="14"/>
  <c r="L185" i="14"/>
  <c r="L181" i="14"/>
  <c r="N181" i="14" s="1"/>
  <c r="J177" i="14"/>
  <c r="H173" i="14"/>
  <c r="H154" i="14"/>
  <c r="C95" i="37"/>
  <c r="D159" i="12"/>
  <c r="D147" i="11"/>
  <c r="D148" i="11"/>
  <c r="D209" i="9"/>
  <c r="L154" i="21"/>
  <c r="C190" i="21"/>
  <c r="C191" i="21"/>
  <c r="B193" i="21"/>
  <c r="B194" i="21"/>
  <c r="J156" i="19"/>
  <c r="C165" i="19"/>
  <c r="H174" i="19"/>
  <c r="D206" i="19"/>
  <c r="B152" i="18"/>
  <c r="B153" i="18"/>
  <c r="D188" i="18"/>
  <c r="D198" i="18"/>
  <c r="B165" i="17"/>
  <c r="H167" i="17"/>
  <c r="L193" i="17"/>
  <c r="L194" i="17"/>
  <c r="H139" i="16"/>
  <c r="B162" i="16"/>
  <c r="B163" i="16"/>
  <c r="B164" i="16"/>
  <c r="D123" i="26"/>
  <c r="C125" i="26"/>
  <c r="C126" i="26"/>
  <c r="D156" i="25"/>
  <c r="C159" i="25"/>
  <c r="C160" i="25"/>
  <c r="B162" i="25"/>
  <c r="C185" i="25"/>
  <c r="H197" i="25"/>
  <c r="H163" i="24"/>
  <c r="D167" i="24"/>
  <c r="D168" i="24"/>
  <c r="J190" i="24"/>
  <c r="H191" i="24"/>
  <c r="H192" i="24"/>
  <c r="B159" i="23"/>
  <c r="C170" i="23"/>
  <c r="B172" i="23"/>
  <c r="B173" i="23"/>
  <c r="B174" i="23"/>
  <c r="W157" i="14"/>
  <c r="J89" i="38"/>
  <c r="H89" i="38"/>
  <c r="D142" i="35"/>
  <c r="N7" i="14"/>
  <c r="N120" i="3"/>
  <c r="B102" i="31"/>
  <c r="B103" i="31"/>
  <c r="B209" i="15"/>
  <c r="L206" i="15"/>
  <c r="L202" i="15"/>
  <c r="D174" i="1"/>
  <c r="W149" i="1"/>
  <c r="J174" i="1"/>
  <c r="J189" i="1"/>
  <c r="W179" i="1"/>
  <c r="J200" i="1"/>
  <c r="W162" i="22"/>
  <c r="H161" i="22"/>
  <c r="H154" i="22"/>
  <c r="L198" i="22"/>
  <c r="S186" i="22"/>
  <c r="H187" i="22"/>
  <c r="J161" i="22"/>
  <c r="H198" i="22"/>
  <c r="T198" i="22"/>
  <c r="W198" i="22" s="1"/>
  <c r="T180" i="22"/>
  <c r="C185" i="22"/>
  <c r="B199" i="22"/>
  <c r="N118" i="22"/>
  <c r="W175" i="22"/>
  <c r="W183" i="22"/>
  <c r="W205" i="22"/>
  <c r="U186" i="22"/>
  <c r="L179" i="22"/>
  <c r="H194" i="22"/>
  <c r="B154" i="22"/>
  <c r="N95" i="23"/>
  <c r="B197" i="23"/>
  <c r="H173" i="24"/>
  <c r="N76" i="24"/>
  <c r="B177" i="24"/>
  <c r="N86" i="24"/>
  <c r="N88" i="24"/>
  <c r="W166" i="24"/>
  <c r="S177" i="24"/>
  <c r="H190" i="24"/>
  <c r="L147" i="24"/>
  <c r="T172" i="24"/>
  <c r="S188" i="24"/>
  <c r="W188" i="24" s="1"/>
  <c r="N6" i="24"/>
  <c r="W196" i="24"/>
  <c r="B161" i="25"/>
  <c r="J178" i="25"/>
  <c r="N98" i="25"/>
  <c r="S187" i="25"/>
  <c r="U163" i="25"/>
  <c r="N22" i="25"/>
  <c r="N24" i="25"/>
  <c r="C154" i="25"/>
  <c r="C161" i="25"/>
  <c r="S195" i="25"/>
  <c r="W195" i="25" s="1"/>
  <c r="U187" i="25"/>
  <c r="N78" i="25"/>
  <c r="N74" i="25"/>
  <c r="J179" i="25"/>
  <c r="T127" i="26"/>
  <c r="N75" i="26"/>
  <c r="N77" i="26"/>
  <c r="W137" i="26"/>
  <c r="B124" i="26"/>
  <c r="B134" i="26"/>
  <c r="D136" i="26"/>
  <c r="L141" i="26"/>
  <c r="N45" i="26"/>
  <c r="C143" i="26"/>
  <c r="L149" i="26"/>
  <c r="B153" i="26"/>
  <c r="N66" i="26"/>
  <c r="T155" i="26"/>
  <c r="T124" i="26"/>
  <c r="S150" i="26"/>
  <c r="N27" i="26"/>
  <c r="N47" i="26"/>
  <c r="B147" i="26"/>
  <c r="U143" i="26"/>
  <c r="S135" i="26"/>
  <c r="T150" i="26"/>
  <c r="J143" i="26"/>
  <c r="L97" i="37"/>
  <c r="B98" i="37"/>
  <c r="D99" i="37"/>
  <c r="B102" i="37"/>
  <c r="B110" i="37"/>
  <c r="B112" i="37"/>
  <c r="U95" i="37"/>
  <c r="U112" i="37"/>
  <c r="L112" i="37"/>
  <c r="J96" i="37"/>
  <c r="L91" i="37"/>
  <c r="N91" i="37" s="1"/>
  <c r="J97" i="37"/>
  <c r="S112" i="37"/>
  <c r="H111" i="37"/>
  <c r="L109" i="37"/>
  <c r="C111" i="37"/>
  <c r="N60" i="37"/>
  <c r="L111" i="37"/>
  <c r="T94" i="37"/>
  <c r="J109" i="37"/>
  <c r="D111" i="37"/>
  <c r="N21" i="37"/>
  <c r="N39" i="37"/>
  <c r="J107" i="37"/>
  <c r="J95" i="37"/>
  <c r="W100" i="37"/>
  <c r="W105" i="37"/>
  <c r="N18" i="37"/>
  <c r="C93" i="37"/>
  <c r="B92" i="37"/>
  <c r="N36" i="37"/>
  <c r="H104" i="37"/>
  <c r="L100" i="37"/>
  <c r="D114" i="37"/>
  <c r="N62" i="36"/>
  <c r="J129" i="16"/>
  <c r="H129" i="16"/>
  <c r="U129" i="16"/>
  <c r="L153" i="16"/>
  <c r="T152" i="16"/>
  <c r="U152" i="16"/>
  <c r="T142" i="16"/>
  <c r="N84" i="16"/>
  <c r="D129" i="16"/>
  <c r="C152" i="16"/>
  <c r="B129" i="16"/>
  <c r="B156" i="16"/>
  <c r="H161" i="16"/>
  <c r="C142" i="16"/>
  <c r="D142" i="16"/>
  <c r="T160" i="16"/>
  <c r="T147" i="16"/>
  <c r="U147" i="16"/>
  <c r="C147" i="16"/>
  <c r="T156" i="16"/>
  <c r="C129" i="16"/>
  <c r="W135" i="16"/>
  <c r="N19" i="35"/>
  <c r="N28" i="35"/>
  <c r="B128" i="35"/>
  <c r="C130" i="35"/>
  <c r="N39" i="35"/>
  <c r="D130" i="35"/>
  <c r="N33" i="35"/>
  <c r="C134" i="35"/>
  <c r="L130" i="35"/>
  <c r="J128" i="35"/>
  <c r="L125" i="35"/>
  <c r="J142" i="35"/>
  <c r="J141" i="35"/>
  <c r="H139" i="35"/>
  <c r="N74" i="35"/>
  <c r="N66" i="35"/>
  <c r="B139" i="35"/>
  <c r="B136" i="35"/>
  <c r="N71" i="35"/>
  <c r="N67" i="35"/>
  <c r="N63" i="35"/>
  <c r="N54" i="35"/>
  <c r="N50" i="35"/>
  <c r="W130" i="35"/>
  <c r="W139" i="35"/>
  <c r="J140" i="35"/>
  <c r="N29" i="35"/>
  <c r="N43" i="35"/>
  <c r="N35" i="35"/>
  <c r="B131" i="35"/>
  <c r="J133" i="35"/>
  <c r="L123" i="35"/>
  <c r="J136" i="35"/>
  <c r="B137" i="35"/>
  <c r="D139" i="35"/>
  <c r="W138" i="35"/>
  <c r="J135" i="35"/>
  <c r="B127" i="35"/>
  <c r="B140" i="35"/>
  <c r="L139" i="35"/>
  <c r="D133" i="35"/>
  <c r="B125" i="35"/>
  <c r="N57" i="35"/>
  <c r="H125" i="35"/>
  <c r="L142" i="35"/>
  <c r="J125" i="35"/>
  <c r="N23" i="35"/>
  <c r="L137" i="35"/>
  <c r="N20" i="35"/>
  <c r="W134" i="35"/>
  <c r="L138" i="35"/>
  <c r="J139" i="35"/>
  <c r="N13" i="35"/>
  <c r="N17" i="35"/>
  <c r="J122" i="35"/>
  <c r="C129" i="35"/>
  <c r="N79" i="35"/>
  <c r="N81" i="35"/>
  <c r="W144" i="35"/>
  <c r="N12" i="35"/>
  <c r="B130" i="35"/>
  <c r="W136" i="35"/>
  <c r="H188" i="17"/>
  <c r="J188" i="17"/>
  <c r="B186" i="17"/>
  <c r="D163" i="17"/>
  <c r="S179" i="17"/>
  <c r="L151" i="17"/>
  <c r="T187" i="17"/>
  <c r="W187" i="17" s="1"/>
  <c r="N30" i="18"/>
  <c r="W194" i="18"/>
  <c r="H157" i="18"/>
  <c r="N78" i="18"/>
  <c r="L178" i="18"/>
  <c r="T166" i="18"/>
  <c r="L158" i="18"/>
  <c r="L168" i="18"/>
  <c r="U182" i="18"/>
  <c r="B160" i="18"/>
  <c r="H199" i="18"/>
  <c r="N38" i="18"/>
  <c r="H163" i="18"/>
  <c r="L166" i="18"/>
  <c r="N60" i="18"/>
  <c r="N62" i="18"/>
  <c r="N80" i="18"/>
  <c r="C185" i="18"/>
  <c r="H191" i="18"/>
  <c r="N107" i="18"/>
  <c r="N6" i="18"/>
  <c r="S191" i="18"/>
  <c r="U154" i="18"/>
  <c r="H196" i="18"/>
  <c r="S175" i="18"/>
  <c r="W175" i="18" s="1"/>
  <c r="D181" i="18"/>
  <c r="B177" i="13"/>
  <c r="D174" i="13"/>
  <c r="H206" i="13"/>
  <c r="N50" i="19"/>
  <c r="J158" i="19"/>
  <c r="L188" i="19"/>
  <c r="N93" i="19"/>
  <c r="N98" i="19"/>
  <c r="C200" i="19"/>
  <c r="N112" i="19"/>
  <c r="N11" i="20"/>
  <c r="N15" i="20"/>
  <c r="N46" i="20"/>
  <c r="N103" i="20"/>
  <c r="N59" i="20"/>
  <c r="N24" i="21"/>
  <c r="J157" i="21"/>
  <c r="N64" i="21"/>
  <c r="N96" i="21"/>
  <c r="H159" i="21"/>
  <c r="J159" i="21"/>
  <c r="T157" i="21"/>
  <c r="C151" i="21"/>
  <c r="U173" i="21"/>
  <c r="U157" i="21"/>
  <c r="N48" i="21"/>
  <c r="N73" i="21"/>
  <c r="N84" i="21"/>
  <c r="N89" i="21"/>
  <c r="N103" i="21"/>
  <c r="N105" i="21"/>
  <c r="W144" i="21"/>
  <c r="D165" i="21"/>
  <c r="N15" i="21"/>
  <c r="N17" i="21"/>
  <c r="N18" i="21"/>
  <c r="N20" i="21"/>
  <c r="N22" i="21"/>
  <c r="N29" i="21"/>
  <c r="N38" i="21"/>
  <c r="N40" i="21"/>
  <c r="N42" i="21"/>
  <c r="N67" i="21"/>
  <c r="L88" i="34"/>
  <c r="L105" i="34"/>
  <c r="N8" i="34"/>
  <c r="N10" i="34"/>
  <c r="N17" i="34"/>
  <c r="N19" i="34"/>
  <c r="D94" i="34"/>
  <c r="C83" i="34"/>
  <c r="S83" i="34"/>
  <c r="T83" i="34"/>
  <c r="D83" i="34"/>
  <c r="H101" i="34"/>
  <c r="U94" i="34"/>
  <c r="B83" i="34"/>
  <c r="L83" i="34"/>
  <c r="D97" i="34"/>
  <c r="N68" i="9"/>
  <c r="L192" i="9"/>
  <c r="N44" i="9"/>
  <c r="T167" i="9"/>
  <c r="U182" i="9"/>
  <c r="H192" i="9"/>
  <c r="T176" i="9"/>
  <c r="S208" i="9"/>
  <c r="H202" i="9"/>
  <c r="N113" i="11"/>
  <c r="N90" i="11"/>
  <c r="L164" i="11"/>
  <c r="L180" i="11"/>
  <c r="J190" i="11"/>
  <c r="N103" i="11"/>
  <c r="T176" i="12"/>
  <c r="S176" i="12"/>
  <c r="U176" i="12"/>
  <c r="W91" i="32"/>
  <c r="W99" i="32"/>
  <c r="N55" i="32"/>
  <c r="C100" i="32"/>
  <c r="D102" i="32"/>
  <c r="L187" i="14"/>
  <c r="N97" i="14"/>
  <c r="L168" i="14"/>
  <c r="H180" i="14"/>
  <c r="C147" i="14"/>
  <c r="T184" i="14"/>
  <c r="D177" i="14"/>
  <c r="B177" i="14"/>
  <c r="D184" i="14"/>
  <c r="N90" i="14"/>
  <c r="C185" i="14"/>
  <c r="D186" i="14"/>
  <c r="C188" i="14"/>
  <c r="N106" i="14"/>
  <c r="N61" i="14"/>
  <c r="N56" i="14"/>
  <c r="N53" i="14"/>
  <c r="B165" i="14"/>
  <c r="N48" i="14"/>
  <c r="B161" i="14"/>
  <c r="D160" i="14"/>
  <c r="N40" i="14"/>
  <c r="N32" i="14"/>
  <c r="N31" i="14"/>
  <c r="N27" i="14"/>
  <c r="N24" i="14"/>
  <c r="B151" i="14"/>
  <c r="N15" i="14"/>
  <c r="N35" i="14"/>
  <c r="J167" i="14"/>
  <c r="J165" i="14"/>
  <c r="L163" i="14"/>
  <c r="H161" i="14"/>
  <c r="J159" i="14"/>
  <c r="H157" i="14"/>
  <c r="L150" i="14"/>
  <c r="W196" i="14"/>
  <c r="J180" i="14"/>
  <c r="B186" i="14"/>
  <c r="N36" i="14"/>
  <c r="S187" i="14"/>
  <c r="C160" i="14"/>
  <c r="C158" i="14"/>
  <c r="C154" i="14"/>
  <c r="D149" i="14"/>
  <c r="C145" i="14"/>
  <c r="L194" i="14"/>
  <c r="H190" i="14"/>
  <c r="H174" i="14"/>
  <c r="J170" i="14"/>
  <c r="J155" i="14"/>
  <c r="H146" i="14"/>
  <c r="T187" i="14"/>
  <c r="N100" i="14"/>
  <c r="N71" i="14"/>
  <c r="N95" i="14"/>
  <c r="N96" i="14"/>
  <c r="J187" i="14"/>
  <c r="H183" i="14"/>
  <c r="L179" i="14"/>
  <c r="L175" i="14"/>
  <c r="H147" i="14"/>
  <c r="W162" i="14"/>
  <c r="W150" i="14"/>
  <c r="L161" i="14"/>
  <c r="C157" i="14"/>
  <c r="H177" i="14"/>
  <c r="L173" i="14"/>
  <c r="L147" i="14"/>
  <c r="J197" i="14"/>
  <c r="J179" i="14"/>
  <c r="H195" i="14"/>
  <c r="D178" i="14"/>
  <c r="J161" i="14"/>
  <c r="L193" i="14"/>
  <c r="C163" i="14"/>
  <c r="J152" i="14"/>
  <c r="H171" i="14"/>
  <c r="L188" i="14"/>
  <c r="T188" i="14"/>
  <c r="B188" i="14"/>
  <c r="J154" i="14"/>
  <c r="N154" i="14" s="1"/>
  <c r="J189" i="14"/>
  <c r="H150" i="14"/>
  <c r="H167" i="14"/>
  <c r="J150" i="14"/>
  <c r="J173" i="14"/>
  <c r="C155" i="14"/>
  <c r="L183" i="14"/>
  <c r="L191" i="14"/>
  <c r="L195" i="14"/>
  <c r="J157" i="14"/>
  <c r="J185" i="14"/>
  <c r="H188" i="14"/>
  <c r="L156" i="14"/>
  <c r="J175" i="14"/>
  <c r="B187" i="14"/>
  <c r="L159" i="14"/>
  <c r="N41" i="14"/>
  <c r="N20" i="14"/>
  <c r="D147" i="14"/>
  <c r="W146" i="14"/>
  <c r="W154" i="14"/>
  <c r="W158" i="14"/>
  <c r="W166" i="14"/>
  <c r="W170" i="14"/>
  <c r="L165" i="14"/>
  <c r="T175" i="14"/>
  <c r="H175" i="14"/>
  <c r="J183" i="14"/>
  <c r="H159" i="14"/>
  <c r="B174" i="14"/>
  <c r="D180" i="14"/>
  <c r="N84" i="14"/>
  <c r="W185" i="14"/>
  <c r="B198" i="14"/>
  <c r="B173" i="14"/>
  <c r="N66" i="14"/>
  <c r="B171" i="14"/>
  <c r="D170" i="14"/>
  <c r="N58" i="14"/>
  <c r="D167" i="14"/>
  <c r="N54" i="14"/>
  <c r="D165" i="14"/>
  <c r="N50" i="14"/>
  <c r="N46" i="14"/>
  <c r="B162" i="14"/>
  <c r="N39" i="14"/>
  <c r="B158" i="14"/>
  <c r="N34" i="14"/>
  <c r="W177" i="14"/>
  <c r="W190" i="14"/>
  <c r="W194" i="14"/>
  <c r="W193" i="14"/>
  <c r="W173" i="14"/>
  <c r="W169" i="14"/>
  <c r="W167" i="14"/>
  <c r="W165" i="14"/>
  <c r="W161" i="14"/>
  <c r="W153" i="14"/>
  <c r="W149" i="14"/>
  <c r="U161" i="15"/>
  <c r="S191" i="15"/>
  <c r="S161" i="15"/>
  <c r="C186" i="15"/>
  <c r="D181" i="15"/>
  <c r="B180" i="15"/>
  <c r="W181" i="15"/>
  <c r="W189" i="15"/>
  <c r="D176" i="8"/>
  <c r="D170" i="8"/>
  <c r="D172" i="8"/>
  <c r="B179" i="8"/>
  <c r="B181" i="8"/>
  <c r="B159" i="8"/>
  <c r="L154" i="8"/>
  <c r="N6" i="8"/>
  <c r="W157" i="8"/>
  <c r="W165" i="8"/>
  <c r="W173" i="8"/>
  <c r="N78" i="8"/>
  <c r="C190" i="8"/>
  <c r="C198" i="8"/>
  <c r="N49" i="8"/>
  <c r="C174" i="8"/>
  <c r="C154" i="8"/>
  <c r="C156" i="8"/>
  <c r="N17" i="8"/>
  <c r="C160" i="8"/>
  <c r="N29" i="8"/>
  <c r="N37" i="8"/>
  <c r="N84" i="8"/>
  <c r="C176" i="8"/>
  <c r="N86" i="8"/>
  <c r="C185" i="8"/>
  <c r="N82" i="8"/>
  <c r="C191" i="8"/>
  <c r="N98" i="8"/>
  <c r="C182" i="8"/>
  <c r="B168" i="8"/>
  <c r="C169" i="8"/>
  <c r="N44" i="8"/>
  <c r="N46" i="8"/>
  <c r="N47" i="8"/>
  <c r="N48" i="8"/>
  <c r="N50" i="8"/>
  <c r="N51" i="8"/>
  <c r="N52" i="8"/>
  <c r="B174" i="8"/>
  <c r="N55" i="8"/>
  <c r="N59" i="8"/>
  <c r="N61" i="8"/>
  <c r="N68" i="8"/>
  <c r="N10" i="8"/>
  <c r="N11" i="8"/>
  <c r="B156" i="8"/>
  <c r="C157" i="8"/>
  <c r="N19" i="8"/>
  <c r="N23" i="8"/>
  <c r="D161" i="8"/>
  <c r="B162" i="8"/>
  <c r="N27" i="8"/>
  <c r="D163" i="8"/>
  <c r="N32" i="8"/>
  <c r="N34" i="8"/>
  <c r="N30" i="8"/>
  <c r="N33" i="8"/>
  <c r="N58" i="8"/>
  <c r="N99" i="8"/>
  <c r="W181" i="8"/>
  <c r="W203" i="8"/>
  <c r="C161" i="8"/>
  <c r="L207" i="8"/>
  <c r="D189" i="8"/>
  <c r="N14" i="8"/>
  <c r="L86" i="31"/>
  <c r="W101" i="31"/>
  <c r="L145" i="7"/>
  <c r="B167" i="7"/>
  <c r="C170" i="5"/>
  <c r="D161" i="5"/>
  <c r="N117" i="5"/>
  <c r="D115" i="28"/>
  <c r="N31" i="3"/>
  <c r="L194" i="3"/>
  <c r="L186" i="3"/>
  <c r="H182" i="3"/>
  <c r="N64" i="3"/>
  <c r="C186" i="3"/>
  <c r="D191" i="3"/>
  <c r="N10" i="3"/>
  <c r="W176" i="3"/>
  <c r="D195" i="3"/>
  <c r="N48" i="3"/>
  <c r="U194" i="3"/>
  <c r="J186" i="3"/>
  <c r="W166" i="3"/>
  <c r="H195" i="3"/>
  <c r="T194" i="3"/>
  <c r="S195" i="3"/>
  <c r="L195" i="3"/>
  <c r="U195" i="3"/>
  <c r="B182" i="3"/>
  <c r="D192" i="3"/>
  <c r="C170" i="3"/>
  <c r="L178" i="3"/>
  <c r="J166" i="3"/>
  <c r="L162" i="3"/>
  <c r="D199" i="3"/>
  <c r="C199" i="3"/>
  <c r="L183" i="3"/>
  <c r="S198" i="3"/>
  <c r="W186" i="3"/>
  <c r="S192" i="3"/>
  <c r="J158" i="3"/>
  <c r="C162" i="3"/>
  <c r="N61" i="2"/>
  <c r="D171" i="2"/>
  <c r="N164" i="2"/>
  <c r="N183" i="2"/>
  <c r="N52" i="1"/>
  <c r="L174" i="1"/>
  <c r="J147" i="1"/>
  <c r="D199" i="1"/>
  <c r="S171" i="1"/>
  <c r="D200" i="1"/>
  <c r="D159" i="1"/>
  <c r="C151" i="1"/>
  <c r="W159" i="1"/>
  <c r="W152" i="1"/>
  <c r="H196" i="1"/>
  <c r="H184" i="1"/>
  <c r="T155" i="1"/>
  <c r="U166" i="19"/>
  <c r="T166" i="19"/>
  <c r="J102" i="32"/>
  <c r="H122" i="35"/>
  <c r="D127" i="35"/>
  <c r="L106" i="29"/>
  <c r="U151" i="18"/>
  <c r="C151" i="18"/>
  <c r="S151" i="18"/>
  <c r="D157" i="14"/>
  <c r="C168" i="14"/>
  <c r="N69" i="14"/>
  <c r="U172" i="9"/>
  <c r="C190" i="9"/>
  <c r="U179" i="9"/>
  <c r="D165" i="8"/>
  <c r="H180" i="11"/>
  <c r="N105" i="11"/>
  <c r="L179" i="11"/>
  <c r="N14" i="11"/>
  <c r="J182" i="11"/>
  <c r="U180" i="11"/>
  <c r="J164" i="11"/>
  <c r="H158" i="19"/>
  <c r="R48" i="25"/>
  <c r="H165" i="25" s="1"/>
  <c r="N37" i="3"/>
  <c r="S171" i="19"/>
  <c r="U171" i="19"/>
  <c r="T144" i="26"/>
  <c r="U144" i="26"/>
  <c r="U145" i="25"/>
  <c r="S145" i="25"/>
  <c r="L172" i="25"/>
  <c r="J172" i="25"/>
  <c r="S183" i="25"/>
  <c r="U183" i="25"/>
  <c r="H108" i="37"/>
  <c r="J88" i="32"/>
  <c r="D123" i="35"/>
  <c r="N51" i="14"/>
  <c r="U180" i="12"/>
  <c r="S179" i="9"/>
  <c r="U198" i="9"/>
  <c r="L155" i="19"/>
  <c r="N70" i="8"/>
  <c r="T193" i="11"/>
  <c r="S193" i="11"/>
  <c r="J180" i="11"/>
  <c r="B193" i="11"/>
  <c r="W181" i="11"/>
  <c r="C171" i="11"/>
  <c r="U179" i="11"/>
  <c r="B179" i="11"/>
  <c r="H154" i="11"/>
  <c r="N59" i="11"/>
  <c r="L170" i="19"/>
  <c r="T179" i="25"/>
  <c r="C149" i="11"/>
  <c r="N16" i="11"/>
  <c r="U164" i="11"/>
  <c r="T164" i="11"/>
  <c r="T179" i="11"/>
  <c r="H179" i="11"/>
  <c r="S179" i="11"/>
  <c r="T200" i="19"/>
  <c r="U200" i="19"/>
  <c r="C162" i="25"/>
  <c r="T169" i="7"/>
  <c r="R64" i="7"/>
  <c r="J169" i="7" s="1"/>
  <c r="L122" i="35"/>
  <c r="L161" i="12"/>
  <c r="S144" i="26"/>
  <c r="U151" i="26"/>
  <c r="S148" i="26"/>
  <c r="W174" i="14"/>
  <c r="N97" i="11"/>
  <c r="H193" i="11"/>
  <c r="J154" i="11"/>
  <c r="H186" i="11"/>
  <c r="H181" i="11"/>
  <c r="T211" i="9"/>
  <c r="C181" i="21"/>
  <c r="T186" i="21"/>
  <c r="T183" i="25"/>
  <c r="U189" i="1"/>
  <c r="T189" i="1"/>
  <c r="B174" i="3"/>
  <c r="C182" i="14"/>
  <c r="N90" i="5"/>
  <c r="N113" i="13"/>
  <c r="N112" i="14"/>
  <c r="D168" i="1"/>
  <c r="W161" i="2"/>
  <c r="H164" i="5"/>
  <c r="L152" i="5"/>
  <c r="L193" i="5"/>
  <c r="L191" i="5"/>
  <c r="J187" i="5"/>
  <c r="D182" i="8"/>
  <c r="D181" i="8"/>
  <c r="B160" i="8"/>
  <c r="J190" i="15"/>
  <c r="C144" i="26"/>
  <c r="W189" i="11"/>
  <c r="W149" i="24"/>
  <c r="N79" i="15"/>
  <c r="N87" i="8"/>
  <c r="N94" i="8"/>
  <c r="N97" i="8"/>
  <c r="N100" i="8"/>
  <c r="C197" i="8"/>
  <c r="C182" i="1"/>
  <c r="C186" i="1"/>
  <c r="N102" i="14"/>
  <c r="D191" i="14"/>
  <c r="B190" i="5"/>
  <c r="N107" i="14"/>
  <c r="C202" i="8"/>
  <c r="B191" i="7"/>
  <c r="B193" i="5"/>
  <c r="D162" i="2"/>
  <c r="B165" i="2"/>
  <c r="D166" i="2"/>
  <c r="D160" i="2"/>
  <c r="N42" i="3"/>
  <c r="B175" i="3"/>
  <c r="N60" i="3"/>
  <c r="D178" i="3"/>
  <c r="N9" i="3"/>
  <c r="B155" i="3"/>
  <c r="D156" i="3"/>
  <c r="B157" i="3"/>
  <c r="D158" i="3"/>
  <c r="B159" i="3"/>
  <c r="D160" i="3"/>
  <c r="D164" i="3"/>
  <c r="N50" i="3"/>
  <c r="W176" i="1"/>
  <c r="W168" i="2"/>
  <c r="W160" i="2"/>
  <c r="W156" i="2"/>
  <c r="H161" i="5"/>
  <c r="H157" i="5"/>
  <c r="H179" i="5"/>
  <c r="L175" i="5"/>
  <c r="D147" i="7"/>
  <c r="N43" i="7"/>
  <c r="N8" i="7"/>
  <c r="N10" i="7"/>
  <c r="C145" i="7"/>
  <c r="W190" i="7"/>
  <c r="H182" i="7"/>
  <c r="L166" i="7"/>
  <c r="N41" i="8"/>
  <c r="C178" i="8"/>
  <c r="D178" i="8"/>
  <c r="N65" i="8"/>
  <c r="D158" i="8"/>
  <c r="N24" i="8"/>
  <c r="C166" i="8"/>
  <c r="D182" i="15"/>
  <c r="C179" i="15"/>
  <c r="N38" i="15"/>
  <c r="D170" i="15"/>
  <c r="D167" i="15"/>
  <c r="N11" i="15"/>
  <c r="H182" i="15"/>
  <c r="L167" i="15"/>
  <c r="N68" i="7"/>
  <c r="H179" i="7"/>
  <c r="D183" i="5"/>
  <c r="D183" i="3"/>
  <c r="C185" i="3"/>
  <c r="N20" i="1"/>
  <c r="H175" i="3"/>
  <c r="J155" i="3"/>
  <c r="W147" i="5"/>
  <c r="L180" i="5"/>
  <c r="D146" i="7"/>
  <c r="B141" i="35"/>
  <c r="N28" i="32"/>
  <c r="C94" i="32"/>
  <c r="C104" i="32"/>
  <c r="N37" i="35"/>
  <c r="L77" i="30"/>
  <c r="H100" i="31"/>
  <c r="N48" i="12"/>
  <c r="C205" i="9"/>
  <c r="N123" i="9"/>
  <c r="N125" i="9"/>
  <c r="N127" i="9"/>
  <c r="N21" i="19"/>
  <c r="N23" i="19"/>
  <c r="N48" i="19"/>
  <c r="D180" i="19"/>
  <c r="N63" i="19"/>
  <c r="N84" i="19"/>
  <c r="W197" i="18"/>
  <c r="D184" i="17"/>
  <c r="W125" i="26"/>
  <c r="W129" i="26"/>
  <c r="W157" i="26"/>
  <c r="C187" i="25"/>
  <c r="B190" i="23"/>
  <c r="N98" i="23"/>
  <c r="D197" i="23"/>
  <c r="C187" i="22"/>
  <c r="N89" i="22"/>
  <c r="W155" i="22"/>
  <c r="W173" i="22"/>
  <c r="W191" i="22"/>
  <c r="W158" i="8"/>
  <c r="W162" i="8"/>
  <c r="W166" i="8"/>
  <c r="W170" i="8"/>
  <c r="W174" i="8"/>
  <c r="W178" i="8"/>
  <c r="W182" i="8"/>
  <c r="W202" i="8"/>
  <c r="W147" i="14"/>
  <c r="B180" i="13"/>
  <c r="B176" i="13"/>
  <c r="N51" i="13"/>
  <c r="D173" i="13"/>
  <c r="B172" i="13"/>
  <c r="W162" i="13"/>
  <c r="N48" i="35"/>
  <c r="C120" i="36"/>
  <c r="D88" i="29"/>
  <c r="N12" i="29"/>
  <c r="N8" i="29"/>
  <c r="L89" i="31"/>
  <c r="J87" i="31"/>
  <c r="C201" i="18"/>
  <c r="B106" i="32"/>
  <c r="W173" i="20"/>
  <c r="N124" i="8"/>
  <c r="B183" i="13"/>
  <c r="N43" i="28"/>
  <c r="N24" i="31"/>
  <c r="N29" i="31"/>
  <c r="B93" i="31"/>
  <c r="C100" i="31"/>
  <c r="J123" i="35"/>
  <c r="J128" i="36"/>
  <c r="L124" i="36"/>
  <c r="L179" i="13"/>
  <c r="C181" i="12"/>
  <c r="B183" i="12"/>
  <c r="N82" i="19"/>
  <c r="B166" i="18"/>
  <c r="J136" i="16"/>
  <c r="C140" i="16"/>
  <c r="B142" i="16"/>
  <c r="L148" i="16"/>
  <c r="C151" i="16"/>
  <c r="B152" i="16"/>
  <c r="L191" i="25"/>
  <c r="W189" i="25"/>
  <c r="D186" i="23"/>
  <c r="L194" i="22"/>
  <c r="W162" i="15"/>
  <c r="L169" i="22"/>
  <c r="W126" i="35"/>
  <c r="W207" i="8"/>
  <c r="N83" i="35"/>
  <c r="H105" i="34"/>
  <c r="B154" i="14"/>
  <c r="D153" i="14"/>
  <c r="N22" i="14"/>
  <c r="N17" i="14"/>
  <c r="B147" i="14"/>
  <c r="J145" i="14"/>
  <c r="H162" i="14"/>
  <c r="J158" i="14"/>
  <c r="L151" i="14"/>
  <c r="D99" i="32"/>
  <c r="J101" i="28"/>
  <c r="H86" i="30"/>
  <c r="J79" i="30"/>
  <c r="H94" i="29"/>
  <c r="J90" i="29"/>
  <c r="C156" i="12"/>
  <c r="C176" i="11"/>
  <c r="N75" i="11"/>
  <c r="N86" i="11"/>
  <c r="N93" i="11"/>
  <c r="N95" i="11"/>
  <c r="W169" i="11"/>
  <c r="W192" i="11"/>
  <c r="N9" i="9"/>
  <c r="H211" i="9"/>
  <c r="C183" i="18"/>
  <c r="L191" i="18"/>
  <c r="N16" i="26"/>
  <c r="D134" i="26"/>
  <c r="N53" i="26"/>
  <c r="N54" i="26"/>
  <c r="C147" i="26"/>
  <c r="D148" i="26"/>
  <c r="D153" i="26"/>
  <c r="C154" i="26"/>
  <c r="B155" i="26"/>
  <c r="N20" i="25"/>
  <c r="B154" i="25"/>
  <c r="J155" i="25"/>
  <c r="N39" i="25"/>
  <c r="N40" i="25"/>
  <c r="D173" i="25"/>
  <c r="C176" i="25"/>
  <c r="N71" i="25"/>
  <c r="H179" i="25"/>
  <c r="L183" i="25"/>
  <c r="L187" i="25"/>
  <c r="N99" i="25"/>
  <c r="W168" i="25"/>
  <c r="B185" i="23"/>
  <c r="N14" i="22"/>
  <c r="D162" i="22"/>
  <c r="B167" i="22"/>
  <c r="B169" i="22"/>
  <c r="N46" i="22"/>
  <c r="N53" i="22"/>
  <c r="N55" i="22"/>
  <c r="N71" i="22"/>
  <c r="N77" i="22"/>
  <c r="B187" i="22"/>
  <c r="D189" i="22"/>
  <c r="C195" i="22"/>
  <c r="B200" i="22"/>
  <c r="N110" i="22"/>
  <c r="B205" i="22"/>
  <c r="D206" i="22"/>
  <c r="B207" i="22"/>
  <c r="N124" i="22"/>
  <c r="W172" i="15"/>
  <c r="W188" i="15"/>
  <c r="W189" i="14"/>
  <c r="W197" i="14"/>
  <c r="H160" i="13"/>
  <c r="W163" i="13"/>
  <c r="N101" i="5"/>
  <c r="C126" i="36"/>
  <c r="D141" i="7"/>
  <c r="C94" i="34"/>
  <c r="B99" i="34"/>
  <c r="S97" i="34"/>
  <c r="B103" i="34"/>
  <c r="U103" i="34"/>
  <c r="D92" i="34"/>
  <c r="S103" i="34"/>
  <c r="C98" i="34"/>
  <c r="N54" i="34"/>
  <c r="J86" i="34"/>
  <c r="J92" i="34"/>
  <c r="H186" i="21"/>
  <c r="L142" i="21"/>
  <c r="N101" i="21"/>
  <c r="N94" i="21"/>
  <c r="S186" i="21"/>
  <c r="T181" i="21"/>
  <c r="N65" i="21"/>
  <c r="L186" i="21"/>
  <c r="S192" i="21"/>
  <c r="B147" i="21"/>
  <c r="C176" i="21"/>
  <c r="L169" i="21"/>
  <c r="U167" i="21"/>
  <c r="N120" i="18"/>
  <c r="W195" i="18"/>
  <c r="N72" i="18"/>
  <c r="D182" i="18"/>
  <c r="B195" i="22"/>
  <c r="L163" i="22"/>
  <c r="N80" i="22"/>
  <c r="H205" i="22"/>
  <c r="J191" i="22"/>
  <c r="L189" i="22"/>
  <c r="L165" i="22"/>
  <c r="H175" i="22"/>
  <c r="L183" i="22"/>
  <c r="H183" i="22"/>
  <c r="N92" i="22"/>
  <c r="N106" i="22"/>
  <c r="N7" i="22"/>
  <c r="J165" i="22"/>
  <c r="J205" i="22"/>
  <c r="C183" i="22"/>
  <c r="N82" i="22"/>
  <c r="H207" i="22"/>
  <c r="H203" i="22"/>
  <c r="H199" i="22"/>
  <c r="H195" i="22"/>
  <c r="H191" i="22"/>
  <c r="L162" i="22"/>
  <c r="J179" i="22"/>
  <c r="B155" i="22"/>
  <c r="C167" i="22"/>
  <c r="L170" i="22"/>
  <c r="D174" i="22"/>
  <c r="B175" i="22"/>
  <c r="N104" i="22"/>
  <c r="N120" i="22"/>
  <c r="L192" i="22"/>
  <c r="J188" i="23"/>
  <c r="U189" i="23"/>
  <c r="D190" i="23"/>
  <c r="C191" i="23"/>
  <c r="H152" i="23"/>
  <c r="L175" i="23"/>
  <c r="J190" i="23"/>
  <c r="N8" i="23"/>
  <c r="N13" i="23"/>
  <c r="L156" i="23"/>
  <c r="H184" i="23"/>
  <c r="W160" i="23"/>
  <c r="W172" i="23"/>
  <c r="B184" i="23"/>
  <c r="D185" i="23"/>
  <c r="J175" i="23"/>
  <c r="N89" i="23"/>
  <c r="N96" i="23"/>
  <c r="H188" i="23"/>
  <c r="N62" i="23"/>
  <c r="C186" i="23"/>
  <c r="N104" i="23"/>
  <c r="C168" i="23"/>
  <c r="H175" i="23"/>
  <c r="D175" i="23"/>
  <c r="N65" i="23"/>
  <c r="H185" i="23"/>
  <c r="N78" i="23"/>
  <c r="W178" i="24"/>
  <c r="T177" i="24"/>
  <c r="W148" i="24"/>
  <c r="W195" i="24"/>
  <c r="N70" i="24"/>
  <c r="W152" i="24"/>
  <c r="N28" i="24"/>
  <c r="N30" i="24"/>
  <c r="N61" i="24"/>
  <c r="B179" i="24"/>
  <c r="N102" i="24"/>
  <c r="L189" i="24"/>
  <c r="N106" i="24"/>
  <c r="N107" i="24"/>
  <c r="N109" i="24"/>
  <c r="N93" i="24"/>
  <c r="N47" i="24"/>
  <c r="N49" i="24"/>
  <c r="H169" i="24"/>
  <c r="C177" i="24"/>
  <c r="N79" i="24"/>
  <c r="N85" i="24"/>
  <c r="L183" i="24"/>
  <c r="D184" i="24"/>
  <c r="N95" i="24"/>
  <c r="D193" i="24"/>
  <c r="L154" i="25"/>
  <c r="N107" i="25"/>
  <c r="C163" i="25"/>
  <c r="D175" i="25"/>
  <c r="N103" i="25"/>
  <c r="B179" i="25"/>
  <c r="H183" i="25"/>
  <c r="B170" i="25"/>
  <c r="N10" i="25"/>
  <c r="N31" i="25"/>
  <c r="N101" i="25"/>
  <c r="N102" i="25"/>
  <c r="D179" i="25"/>
  <c r="N112" i="25"/>
  <c r="H127" i="26"/>
  <c r="B149" i="26"/>
  <c r="N71" i="26"/>
  <c r="N46" i="26"/>
  <c r="N74" i="26"/>
  <c r="H128" i="26"/>
  <c r="N59" i="26"/>
  <c r="N21" i="26"/>
  <c r="N23" i="26"/>
  <c r="C155" i="26"/>
  <c r="N76" i="26"/>
  <c r="L127" i="26"/>
  <c r="H129" i="26"/>
  <c r="N44" i="26"/>
  <c r="N48" i="26"/>
  <c r="N51" i="26"/>
  <c r="N52" i="26"/>
  <c r="N67" i="26"/>
  <c r="J158" i="26"/>
  <c r="T90" i="38"/>
  <c r="U113" i="37"/>
  <c r="W113" i="37" s="1"/>
  <c r="L96" i="37"/>
  <c r="W99" i="37"/>
  <c r="S103" i="37"/>
  <c r="D93" i="37"/>
  <c r="E91" i="37"/>
  <c r="W91" i="37"/>
  <c r="U103" i="37"/>
  <c r="J100" i="37"/>
  <c r="D113" i="37"/>
  <c r="L103" i="37"/>
  <c r="N10" i="37"/>
  <c r="N33" i="37"/>
  <c r="L95" i="37"/>
  <c r="L104" i="37"/>
  <c r="H100" i="37"/>
  <c r="N16" i="37"/>
  <c r="D96" i="37"/>
  <c r="B99" i="37"/>
  <c r="B103" i="37"/>
  <c r="D104" i="37"/>
  <c r="B111" i="37"/>
  <c r="D112" i="37"/>
  <c r="C113" i="37"/>
  <c r="H95" i="37"/>
  <c r="L128" i="36"/>
  <c r="D119" i="36"/>
  <c r="N22" i="36"/>
  <c r="C115" i="36"/>
  <c r="D128" i="36"/>
  <c r="N49" i="36"/>
  <c r="N10" i="16"/>
  <c r="N14" i="16"/>
  <c r="B133" i="16"/>
  <c r="L133" i="16"/>
  <c r="D136" i="16"/>
  <c r="C136" i="16"/>
  <c r="N25" i="16"/>
  <c r="B138" i="16"/>
  <c r="N30" i="16"/>
  <c r="B140" i="16"/>
  <c r="N36" i="16"/>
  <c r="N39" i="16"/>
  <c r="B144" i="16"/>
  <c r="N43" i="16"/>
  <c r="D147" i="16"/>
  <c r="N48" i="16"/>
  <c r="N50" i="16"/>
  <c r="B150" i="16"/>
  <c r="D153" i="16"/>
  <c r="C154" i="16"/>
  <c r="C157" i="16"/>
  <c r="N67" i="16"/>
  <c r="B158" i="16"/>
  <c r="N69" i="16"/>
  <c r="J159" i="16"/>
  <c r="L160" i="16"/>
  <c r="D160" i="16"/>
  <c r="N74" i="16"/>
  <c r="L129" i="16"/>
  <c r="D138" i="16"/>
  <c r="D150" i="16"/>
  <c r="W167" i="16"/>
  <c r="N76" i="16"/>
  <c r="N72" i="16"/>
  <c r="N59" i="16"/>
  <c r="N28" i="16"/>
  <c r="C148" i="16"/>
  <c r="C161" i="16"/>
  <c r="N80" i="16"/>
  <c r="L159" i="16"/>
  <c r="C137" i="16"/>
  <c r="J133" i="16"/>
  <c r="N21" i="16"/>
  <c r="N52" i="16"/>
  <c r="J141" i="16"/>
  <c r="N38" i="16"/>
  <c r="C144" i="16"/>
  <c r="N44" i="16"/>
  <c r="H133" i="16"/>
  <c r="C133" i="35"/>
  <c r="D132" i="35"/>
  <c r="S176" i="17"/>
  <c r="N12" i="17"/>
  <c r="N52" i="17"/>
  <c r="H178" i="17"/>
  <c r="N82" i="17"/>
  <c r="N87" i="17"/>
  <c r="N96" i="17"/>
  <c r="N98" i="17"/>
  <c r="H154" i="17"/>
  <c r="H151" i="17"/>
  <c r="H152" i="17"/>
  <c r="N28" i="18"/>
  <c r="B162" i="18"/>
  <c r="D163" i="18"/>
  <c r="N46" i="18"/>
  <c r="N48" i="18"/>
  <c r="N55" i="18"/>
  <c r="N57" i="18"/>
  <c r="B170" i="18"/>
  <c r="N74" i="18"/>
  <c r="N81" i="18"/>
  <c r="N84" i="18"/>
  <c r="D172" i="19"/>
  <c r="N103" i="19"/>
  <c r="N41" i="19"/>
  <c r="N7" i="19"/>
  <c r="H177" i="19"/>
  <c r="N52" i="19"/>
  <c r="J203" i="19"/>
  <c r="N57" i="19"/>
  <c r="N61" i="19"/>
  <c r="J189" i="19"/>
  <c r="D176" i="19"/>
  <c r="T176" i="19"/>
  <c r="D192" i="19"/>
  <c r="W179" i="19"/>
  <c r="W190" i="19"/>
  <c r="L159" i="19"/>
  <c r="C164" i="19"/>
  <c r="B165" i="19"/>
  <c r="N65" i="19"/>
  <c r="N94" i="20"/>
  <c r="D147" i="21"/>
  <c r="N34" i="21"/>
  <c r="N54" i="21"/>
  <c r="N56" i="21"/>
  <c r="N72" i="21"/>
  <c r="C185" i="21"/>
  <c r="N10" i="21"/>
  <c r="N12" i="21"/>
  <c r="J167" i="21"/>
  <c r="H181" i="21"/>
  <c r="L89" i="34"/>
  <c r="H98" i="34"/>
  <c r="J105" i="34"/>
  <c r="D102" i="34"/>
  <c r="H85" i="34"/>
  <c r="N46" i="34"/>
  <c r="J92" i="33"/>
  <c r="N21" i="9"/>
  <c r="N23" i="9"/>
  <c r="N81" i="9"/>
  <c r="D198" i="9"/>
  <c r="B200" i="9"/>
  <c r="S169" i="10"/>
  <c r="N32" i="11"/>
  <c r="D164" i="11"/>
  <c r="J198" i="11"/>
  <c r="N60" i="11"/>
  <c r="N121" i="11"/>
  <c r="N89" i="11"/>
  <c r="N7" i="11"/>
  <c r="B198" i="11"/>
  <c r="N78" i="11"/>
  <c r="D184" i="12"/>
  <c r="B170" i="12"/>
  <c r="N96" i="12"/>
  <c r="N43" i="12"/>
  <c r="N7" i="32"/>
  <c r="W88" i="32"/>
  <c r="C84" i="32"/>
  <c r="H102" i="32"/>
  <c r="H96" i="32"/>
  <c r="J94" i="32"/>
  <c r="C99" i="32"/>
  <c r="N17" i="32"/>
  <c r="L95" i="32"/>
  <c r="H94" i="32"/>
  <c r="N66" i="13"/>
  <c r="N13" i="13"/>
  <c r="H159" i="13"/>
  <c r="D165" i="13"/>
  <c r="N29" i="13"/>
  <c r="B212" i="13"/>
  <c r="L206" i="13"/>
  <c r="L202" i="13"/>
  <c r="H198" i="13"/>
  <c r="W176" i="13"/>
  <c r="N59" i="13"/>
  <c r="H187" i="13"/>
  <c r="H179" i="13"/>
  <c r="L175" i="13"/>
  <c r="W180" i="13"/>
  <c r="W172" i="13"/>
  <c r="W157" i="13"/>
  <c r="W212" i="13"/>
  <c r="C197" i="14"/>
  <c r="B193" i="14"/>
  <c r="N118" i="14"/>
  <c r="C172" i="14"/>
  <c r="D163" i="14"/>
  <c r="N44" i="14"/>
  <c r="N43" i="14"/>
  <c r="D145" i="14"/>
  <c r="C196" i="14"/>
  <c r="C162" i="14"/>
  <c r="N85" i="15"/>
  <c r="N111" i="15"/>
  <c r="W163" i="15"/>
  <c r="W167" i="15"/>
  <c r="W171" i="15"/>
  <c r="W175" i="15"/>
  <c r="W179" i="15"/>
  <c r="W183" i="15"/>
  <c r="W187" i="15"/>
  <c r="W194" i="15"/>
  <c r="W204" i="15"/>
  <c r="W210" i="15"/>
  <c r="J180" i="15"/>
  <c r="J167" i="15"/>
  <c r="B163" i="15"/>
  <c r="J214" i="15"/>
  <c r="B186" i="15"/>
  <c r="B178" i="15"/>
  <c r="N31" i="15"/>
  <c r="N15" i="15"/>
  <c r="C174" i="15"/>
  <c r="N127" i="8"/>
  <c r="N71" i="8"/>
  <c r="C177" i="8"/>
  <c r="D188" i="8"/>
  <c r="B188" i="8"/>
  <c r="N38" i="8"/>
  <c r="C188" i="8"/>
  <c r="D168" i="8"/>
  <c r="N64" i="8"/>
  <c r="B176" i="8"/>
  <c r="D177" i="8"/>
  <c r="N122" i="8"/>
  <c r="B171" i="7"/>
  <c r="D192" i="7"/>
  <c r="N20" i="7"/>
  <c r="N48" i="29"/>
  <c r="C93" i="29"/>
  <c r="N51" i="29"/>
  <c r="C89" i="29"/>
  <c r="N88" i="5"/>
  <c r="C152" i="5"/>
  <c r="H168" i="5"/>
  <c r="N168" i="5" s="1"/>
  <c r="B179" i="5"/>
  <c r="J148" i="5"/>
  <c r="N56" i="5"/>
  <c r="C180" i="5"/>
  <c r="N95" i="5"/>
  <c r="N106" i="5"/>
  <c r="L146" i="5"/>
  <c r="B147" i="5"/>
  <c r="N116" i="3"/>
  <c r="L165" i="3"/>
  <c r="C145" i="2"/>
  <c r="N6" i="2"/>
  <c r="B170" i="2"/>
  <c r="B171" i="2"/>
  <c r="C148" i="1"/>
  <c r="B182" i="1"/>
  <c r="C174" i="14"/>
  <c r="C175" i="14"/>
  <c r="B176" i="14"/>
  <c r="N76" i="14"/>
  <c r="B190" i="15"/>
  <c r="D194" i="15"/>
  <c r="D196" i="15"/>
  <c r="N73" i="8"/>
  <c r="D185" i="8"/>
  <c r="D187" i="8"/>
  <c r="N81" i="8"/>
  <c r="C194" i="8"/>
  <c r="B196" i="8"/>
  <c r="D175" i="5"/>
  <c r="N74" i="5"/>
  <c r="D177" i="5"/>
  <c r="B178" i="5"/>
  <c r="D180" i="5"/>
  <c r="N99" i="5"/>
  <c r="B181" i="3"/>
  <c r="D186" i="3"/>
  <c r="N79" i="3"/>
  <c r="D193" i="3"/>
  <c r="B181" i="2"/>
  <c r="C187" i="2"/>
  <c r="B180" i="1"/>
  <c r="D198" i="3"/>
  <c r="D190" i="14"/>
  <c r="C197" i="1"/>
  <c r="D203" i="3"/>
  <c r="C193" i="5"/>
  <c r="C204" i="3"/>
  <c r="B195" i="5"/>
  <c r="C195" i="5"/>
  <c r="D172" i="2"/>
  <c r="B163" i="2"/>
  <c r="D164" i="2"/>
  <c r="B167" i="2"/>
  <c r="D168" i="2"/>
  <c r="C151" i="2"/>
  <c r="C155" i="2"/>
  <c r="C159" i="2"/>
  <c r="N44" i="3"/>
  <c r="N15" i="3"/>
  <c r="N15" i="5"/>
  <c r="N18" i="5"/>
  <c r="N20" i="5"/>
  <c r="L183" i="5"/>
  <c r="W175" i="5"/>
  <c r="D166" i="7"/>
  <c r="C147" i="7"/>
  <c r="D174" i="8"/>
  <c r="N22" i="8"/>
  <c r="N25" i="8"/>
  <c r="H203" i="15"/>
  <c r="H195" i="15"/>
  <c r="L186" i="14"/>
  <c r="J182" i="14"/>
  <c r="J178" i="14"/>
  <c r="D100" i="29"/>
  <c r="B103" i="29"/>
  <c r="D104" i="29"/>
  <c r="N57" i="29"/>
  <c r="N33" i="30"/>
  <c r="B87" i="30"/>
  <c r="N14" i="31"/>
  <c r="D85" i="31"/>
  <c r="D96" i="31"/>
  <c r="B99" i="31"/>
  <c r="D100" i="31"/>
  <c r="C101" i="31"/>
  <c r="C87" i="32"/>
  <c r="B90" i="32"/>
  <c r="C90" i="32"/>
  <c r="B92" i="32"/>
  <c r="D93" i="32"/>
  <c r="B94" i="32"/>
  <c r="D95" i="32"/>
  <c r="B98" i="32"/>
  <c r="N44" i="32"/>
  <c r="B102" i="32"/>
  <c r="D103" i="32"/>
  <c r="B104" i="32"/>
  <c r="N14" i="34"/>
  <c r="D89" i="34"/>
  <c r="N28" i="34"/>
  <c r="C95" i="34"/>
  <c r="B100" i="34"/>
  <c r="D101" i="34"/>
  <c r="B102" i="34"/>
  <c r="N38" i="37"/>
  <c r="C107" i="37"/>
  <c r="H98" i="28"/>
  <c r="N55" i="29"/>
  <c r="J87" i="29"/>
  <c r="H97" i="32"/>
  <c r="H99" i="32"/>
  <c r="H89" i="32"/>
  <c r="L85" i="32"/>
  <c r="H172" i="12"/>
  <c r="N92" i="3"/>
  <c r="N82" i="1"/>
  <c r="D194" i="7"/>
  <c r="N121" i="8"/>
  <c r="H204" i="3"/>
  <c r="L193" i="3"/>
  <c r="H189" i="3"/>
  <c r="J172" i="3"/>
  <c r="W168" i="3"/>
  <c r="H160" i="7"/>
  <c r="J156" i="7"/>
  <c r="H152" i="7"/>
  <c r="C171" i="8"/>
  <c r="C173" i="8"/>
  <c r="N54" i="8"/>
  <c r="N67" i="8"/>
  <c r="B155" i="8"/>
  <c r="B161" i="8"/>
  <c r="N46" i="15"/>
  <c r="D169" i="15"/>
  <c r="B168" i="15"/>
  <c r="L185" i="15"/>
  <c r="J182" i="15"/>
  <c r="H174" i="15"/>
  <c r="H167" i="15"/>
  <c r="C173" i="14"/>
  <c r="N63" i="14"/>
  <c r="C169" i="14"/>
  <c r="N55" i="14"/>
  <c r="N52" i="14"/>
  <c r="N49" i="14"/>
  <c r="B163" i="14"/>
  <c r="J164" i="14"/>
  <c r="N8" i="31"/>
  <c r="N17" i="31"/>
  <c r="N31" i="37"/>
  <c r="D107" i="37"/>
  <c r="N37" i="12"/>
  <c r="D174" i="12"/>
  <c r="H146" i="11"/>
  <c r="L147" i="11"/>
  <c r="D188" i="14"/>
  <c r="B206" i="15"/>
  <c r="D183" i="8"/>
  <c r="C184" i="8"/>
  <c r="B191" i="8"/>
  <c r="D194" i="8"/>
  <c r="N95" i="8"/>
  <c r="C195" i="8"/>
  <c r="B197" i="8"/>
  <c r="C172" i="7"/>
  <c r="D180" i="3"/>
  <c r="N98" i="3"/>
  <c r="B180" i="2"/>
  <c r="D185" i="2"/>
  <c r="C186" i="2"/>
  <c r="N94" i="2"/>
  <c r="B189" i="2"/>
  <c r="N111" i="13"/>
  <c r="B204" i="13"/>
  <c r="C192" i="14"/>
  <c r="D210" i="15"/>
  <c r="N117" i="13"/>
  <c r="N110" i="14"/>
  <c r="N119" i="8"/>
  <c r="N119" i="3"/>
  <c r="D206" i="8"/>
  <c r="D214" i="15"/>
  <c r="C176" i="1"/>
  <c r="C172" i="1"/>
  <c r="B168" i="1"/>
  <c r="B164" i="1"/>
  <c r="N42" i="2"/>
  <c r="B166" i="2"/>
  <c r="N13" i="2"/>
  <c r="N21" i="2"/>
  <c r="N29" i="2"/>
  <c r="N37" i="2"/>
  <c r="C158" i="3"/>
  <c r="H197" i="1"/>
  <c r="W188" i="3"/>
  <c r="N25" i="5"/>
  <c r="W171" i="5"/>
  <c r="L167" i="5"/>
  <c r="J163" i="5"/>
  <c r="W155" i="5"/>
  <c r="L151" i="5"/>
  <c r="L192" i="5"/>
  <c r="B153" i="7"/>
  <c r="N36" i="7"/>
  <c r="D158" i="7"/>
  <c r="N44" i="7"/>
  <c r="L194" i="7"/>
  <c r="L190" i="7"/>
  <c r="L174" i="7"/>
  <c r="W167" i="7"/>
  <c r="H163" i="7"/>
  <c r="J155" i="7"/>
  <c r="J153" i="7"/>
  <c r="J151" i="7"/>
  <c r="W147" i="7"/>
  <c r="J145" i="7"/>
  <c r="B170" i="8"/>
  <c r="D171" i="8"/>
  <c r="B172" i="8"/>
  <c r="D173" i="8"/>
  <c r="B178" i="8"/>
  <c r="D179" i="8"/>
  <c r="B180" i="8"/>
  <c r="C155" i="8"/>
  <c r="D155" i="8"/>
  <c r="B167" i="8"/>
  <c r="C187" i="15"/>
  <c r="N10" i="28"/>
  <c r="C93" i="28"/>
  <c r="C99" i="28"/>
  <c r="C105" i="28"/>
  <c r="B83" i="31"/>
  <c r="C84" i="31"/>
  <c r="C86" i="31"/>
  <c r="N18" i="31"/>
  <c r="D87" i="31"/>
  <c r="D95" i="31"/>
  <c r="D99" i="31"/>
  <c r="B100" i="31"/>
  <c r="D101" i="31"/>
  <c r="C86" i="32"/>
  <c r="C97" i="32"/>
  <c r="B99" i="32"/>
  <c r="N45" i="32"/>
  <c r="B103" i="32"/>
  <c r="C84" i="34"/>
  <c r="C88" i="34"/>
  <c r="D98" i="34"/>
  <c r="C104" i="37"/>
  <c r="B105" i="37"/>
  <c r="D106" i="37"/>
  <c r="D110" i="37"/>
  <c r="N54" i="37"/>
  <c r="C112" i="37"/>
  <c r="B113" i="37"/>
  <c r="H113" i="28"/>
  <c r="J99" i="28"/>
  <c r="L79" i="30"/>
  <c r="H88" i="29"/>
  <c r="H98" i="32"/>
  <c r="J92" i="32"/>
  <c r="J106" i="37"/>
  <c r="L102" i="37"/>
  <c r="J98" i="37"/>
  <c r="H93" i="37"/>
  <c r="N76" i="13"/>
  <c r="L204" i="13"/>
  <c r="H180" i="13"/>
  <c r="J176" i="13"/>
  <c r="C167" i="12"/>
  <c r="C168" i="12"/>
  <c r="N8" i="11"/>
  <c r="N92" i="14"/>
  <c r="N93" i="8"/>
  <c r="D174" i="5"/>
  <c r="N94" i="5"/>
  <c r="N84" i="1"/>
  <c r="N107" i="3"/>
  <c r="N34" i="3"/>
  <c r="W148" i="2"/>
  <c r="H178" i="3"/>
  <c r="L159" i="3"/>
  <c r="H155" i="3"/>
  <c r="N58" i="5"/>
  <c r="N61" i="5"/>
  <c r="N9" i="5"/>
  <c r="N35" i="5"/>
  <c r="L162" i="5"/>
  <c r="C175" i="15"/>
  <c r="L213" i="15"/>
  <c r="H190" i="15"/>
  <c r="H181" i="15"/>
  <c r="L177" i="15"/>
  <c r="H173" i="15"/>
  <c r="D172" i="14"/>
  <c r="N45" i="14"/>
  <c r="B146" i="14"/>
  <c r="H192" i="14"/>
  <c r="L172" i="14"/>
  <c r="H168" i="14"/>
  <c r="H148" i="14"/>
  <c r="N30" i="32"/>
  <c r="B97" i="34"/>
  <c r="D166" i="12"/>
  <c r="N74" i="12"/>
  <c r="C146" i="11"/>
  <c r="N12" i="11"/>
  <c r="D152" i="11"/>
  <c r="N28" i="11"/>
  <c r="L171" i="11"/>
  <c r="U176" i="11"/>
  <c r="C180" i="11"/>
  <c r="N101" i="11"/>
  <c r="W147" i="11"/>
  <c r="W153" i="11"/>
  <c r="W160" i="11"/>
  <c r="W168" i="11"/>
  <c r="W173" i="11"/>
  <c r="S171" i="10"/>
  <c r="N40" i="9"/>
  <c r="B176" i="9"/>
  <c r="H183" i="9"/>
  <c r="D184" i="9"/>
  <c r="C186" i="9"/>
  <c r="N64" i="9"/>
  <c r="L187" i="9"/>
  <c r="L188" i="9"/>
  <c r="N84" i="9"/>
  <c r="D197" i="9"/>
  <c r="J201" i="9"/>
  <c r="N106" i="9"/>
  <c r="J207" i="9"/>
  <c r="C210" i="9"/>
  <c r="N121" i="9"/>
  <c r="N35" i="21"/>
  <c r="C158" i="21"/>
  <c r="L177" i="21"/>
  <c r="H191" i="21"/>
  <c r="D192" i="21"/>
  <c r="D195" i="21"/>
  <c r="D156" i="19"/>
  <c r="B164" i="19"/>
  <c r="J164" i="19"/>
  <c r="B170" i="19"/>
  <c r="N44" i="19"/>
  <c r="H185" i="19"/>
  <c r="C192" i="19"/>
  <c r="L200" i="19"/>
  <c r="W202" i="19"/>
  <c r="L184" i="18"/>
  <c r="D185" i="18"/>
  <c r="N87" i="18"/>
  <c r="N89" i="18"/>
  <c r="N103" i="18"/>
  <c r="N105" i="18"/>
  <c r="U196" i="18"/>
  <c r="W170" i="18"/>
  <c r="N14" i="17"/>
  <c r="N37" i="17"/>
  <c r="N62" i="17"/>
  <c r="N66" i="17"/>
  <c r="N68" i="17"/>
  <c r="S131" i="16"/>
  <c r="H147" i="16"/>
  <c r="N47" i="16"/>
  <c r="C150" i="16"/>
  <c r="B151" i="16"/>
  <c r="J151" i="16"/>
  <c r="D152" i="16"/>
  <c r="C153" i="16"/>
  <c r="C155" i="16"/>
  <c r="H163" i="16"/>
  <c r="W164" i="16"/>
  <c r="C134" i="26"/>
  <c r="T134" i="26"/>
  <c r="W134" i="26" s="1"/>
  <c r="N41" i="26"/>
  <c r="N43" i="26"/>
  <c r="B141" i="26"/>
  <c r="L144" i="26"/>
  <c r="C146" i="26"/>
  <c r="N57" i="26"/>
  <c r="B148" i="26"/>
  <c r="L148" i="26"/>
  <c r="N63" i="26"/>
  <c r="N64" i="26"/>
  <c r="D154" i="26"/>
  <c r="B164" i="11"/>
  <c r="H197" i="11"/>
  <c r="W165" i="11"/>
  <c r="H170" i="9"/>
  <c r="J172" i="9"/>
  <c r="H178" i="9"/>
  <c r="C181" i="9"/>
  <c r="J197" i="9"/>
  <c r="B149" i="21"/>
  <c r="H156" i="21"/>
  <c r="N37" i="21"/>
  <c r="D160" i="21"/>
  <c r="C164" i="21"/>
  <c r="B169" i="21"/>
  <c r="J192" i="21"/>
  <c r="H193" i="21"/>
  <c r="L194" i="21"/>
  <c r="L195" i="21"/>
  <c r="J191" i="19"/>
  <c r="J201" i="19"/>
  <c r="J202" i="19"/>
  <c r="C158" i="18"/>
  <c r="L176" i="18"/>
  <c r="J185" i="18"/>
  <c r="L142" i="16"/>
  <c r="J152" i="16"/>
  <c r="H134" i="26"/>
  <c r="N56" i="26"/>
  <c r="L178" i="11"/>
  <c r="D181" i="11"/>
  <c r="H188" i="11"/>
  <c r="L189" i="11"/>
  <c r="N106" i="11"/>
  <c r="N108" i="11"/>
  <c r="C195" i="11"/>
  <c r="N112" i="11"/>
  <c r="B196" i="11"/>
  <c r="B172" i="9"/>
  <c r="N70" i="9"/>
  <c r="N71" i="9"/>
  <c r="H190" i="9"/>
  <c r="N89" i="9"/>
  <c r="J198" i="9"/>
  <c r="D205" i="9"/>
  <c r="B208" i="9"/>
  <c r="J210" i="9"/>
  <c r="H145" i="21"/>
  <c r="B150" i="21"/>
  <c r="N36" i="21"/>
  <c r="L157" i="21"/>
  <c r="J158" i="21"/>
  <c r="L160" i="21"/>
  <c r="D163" i="21"/>
  <c r="N75" i="21"/>
  <c r="N87" i="21"/>
  <c r="B184" i="21"/>
  <c r="L184" i="21"/>
  <c r="U188" i="21"/>
  <c r="D189" i="21"/>
  <c r="N112" i="21"/>
  <c r="W154" i="21"/>
  <c r="W160" i="21"/>
  <c r="W164" i="21"/>
  <c r="W183" i="21"/>
  <c r="H181" i="19"/>
  <c r="N71" i="19"/>
  <c r="B192" i="19"/>
  <c r="L192" i="19"/>
  <c r="D194" i="19"/>
  <c r="N99" i="19"/>
  <c r="B198" i="19"/>
  <c r="T199" i="19"/>
  <c r="N106" i="19"/>
  <c r="W194" i="19"/>
  <c r="L148" i="18"/>
  <c r="D151" i="18"/>
  <c r="N15" i="18"/>
  <c r="N16" i="18"/>
  <c r="N20" i="18"/>
  <c r="L154" i="18"/>
  <c r="J165" i="18"/>
  <c r="C168" i="18"/>
  <c r="H177" i="18"/>
  <c r="D178" i="18"/>
  <c r="J182" i="18"/>
  <c r="W173" i="18"/>
  <c r="J145" i="17"/>
  <c r="D147" i="17"/>
  <c r="D151" i="17"/>
  <c r="B155" i="17"/>
  <c r="B159" i="17"/>
  <c r="C167" i="17"/>
  <c r="D180" i="17"/>
  <c r="J184" i="17"/>
  <c r="N16" i="16"/>
  <c r="B135" i="16"/>
  <c r="L138" i="16"/>
  <c r="D140" i="16"/>
  <c r="B143" i="16"/>
  <c r="L143" i="16"/>
  <c r="D144" i="16"/>
  <c r="C156" i="16"/>
  <c r="N65" i="16"/>
  <c r="D157" i="16"/>
  <c r="B159" i="16"/>
  <c r="D161" i="16"/>
  <c r="W162" i="16"/>
  <c r="W163" i="16"/>
  <c r="J123" i="26"/>
  <c r="D124" i="26"/>
  <c r="D125" i="26"/>
  <c r="C128" i="26"/>
  <c r="H132" i="26"/>
  <c r="H133" i="26"/>
  <c r="J136" i="26"/>
  <c r="N42" i="26"/>
  <c r="B154" i="26"/>
  <c r="C152" i="11"/>
  <c r="L158" i="11"/>
  <c r="L159" i="11"/>
  <c r="L160" i="11"/>
  <c r="J161" i="11"/>
  <c r="N47" i="11"/>
  <c r="N53" i="11"/>
  <c r="L168" i="11"/>
  <c r="L169" i="11"/>
  <c r="D171" i="11"/>
  <c r="C172" i="11"/>
  <c r="H177" i="11"/>
  <c r="C162" i="9"/>
  <c r="J175" i="9"/>
  <c r="N67" i="9"/>
  <c r="N73" i="9"/>
  <c r="J191" i="9"/>
  <c r="H195" i="9"/>
  <c r="N91" i="9"/>
  <c r="B210" i="9"/>
  <c r="D148" i="21"/>
  <c r="J185" i="21"/>
  <c r="C193" i="21"/>
  <c r="C194" i="21"/>
  <c r="L173" i="19"/>
  <c r="D175" i="19"/>
  <c r="L183" i="19"/>
  <c r="C186" i="19"/>
  <c r="C199" i="19"/>
  <c r="J166" i="18"/>
  <c r="J167" i="18"/>
  <c r="N51" i="18"/>
  <c r="N64" i="18"/>
  <c r="N100" i="18"/>
  <c r="L196" i="18"/>
  <c r="W152" i="18"/>
  <c r="W165" i="18"/>
  <c r="J146" i="17"/>
  <c r="J147" i="17"/>
  <c r="H130" i="16"/>
  <c r="J131" i="16"/>
  <c r="C135" i="16"/>
  <c r="N26" i="16"/>
  <c r="D156" i="16"/>
  <c r="H150" i="26"/>
  <c r="L155" i="26"/>
  <c r="L156" i="26"/>
  <c r="J157" i="26"/>
  <c r="W130" i="26"/>
  <c r="W156" i="26"/>
  <c r="N19" i="25"/>
  <c r="L176" i="25"/>
  <c r="H177" i="25"/>
  <c r="C183" i="25"/>
  <c r="L184" i="25"/>
  <c r="W151" i="25"/>
  <c r="N17" i="24"/>
  <c r="N21" i="24"/>
  <c r="B149" i="24"/>
  <c r="D172" i="24"/>
  <c r="J179" i="24"/>
  <c r="D180" i="24"/>
  <c r="D186" i="24"/>
  <c r="J165" i="23"/>
  <c r="D187" i="23"/>
  <c r="C188" i="23"/>
  <c r="N91" i="23"/>
  <c r="H193" i="23"/>
  <c r="C202" i="23"/>
  <c r="W163" i="23"/>
  <c r="W174" i="23"/>
  <c r="W203" i="23"/>
  <c r="B168" i="22"/>
  <c r="D173" i="22"/>
  <c r="N64" i="22"/>
  <c r="N88" i="22"/>
  <c r="N93" i="22"/>
  <c r="N95" i="22"/>
  <c r="N97" i="22"/>
  <c r="N100" i="22"/>
  <c r="W213" i="15"/>
  <c r="W185" i="15"/>
  <c r="W169" i="15"/>
  <c r="W191" i="14"/>
  <c r="W181" i="14"/>
  <c r="W159" i="14"/>
  <c r="W151" i="14"/>
  <c r="C179" i="13"/>
  <c r="N114" i="10"/>
  <c r="J202" i="22"/>
  <c r="D128" i="35"/>
  <c r="N34" i="35"/>
  <c r="N38" i="35"/>
  <c r="D134" i="35"/>
  <c r="L133" i="35"/>
  <c r="L131" i="35"/>
  <c r="J129" i="35"/>
  <c r="J126" i="35"/>
  <c r="C87" i="29"/>
  <c r="W90" i="32"/>
  <c r="W98" i="32"/>
  <c r="C152" i="3"/>
  <c r="B161" i="15"/>
  <c r="N7" i="21"/>
  <c r="T153" i="8"/>
  <c r="D198" i="11"/>
  <c r="N78" i="26"/>
  <c r="C114" i="37"/>
  <c r="C163" i="20"/>
  <c r="W135" i="20"/>
  <c r="W161" i="20"/>
  <c r="W208" i="8"/>
  <c r="L216" i="15"/>
  <c r="W107" i="32"/>
  <c r="W199" i="11"/>
  <c r="N102" i="20"/>
  <c r="N62" i="37"/>
  <c r="W199" i="25"/>
  <c r="W123" i="26"/>
  <c r="B177" i="25"/>
  <c r="D187" i="25"/>
  <c r="L149" i="24"/>
  <c r="C158" i="24"/>
  <c r="B164" i="24"/>
  <c r="B172" i="24"/>
  <c r="J186" i="24"/>
  <c r="D187" i="24"/>
  <c r="N103" i="24"/>
  <c r="C190" i="24"/>
  <c r="C162" i="23"/>
  <c r="N31" i="23"/>
  <c r="N33" i="23"/>
  <c r="N35" i="23"/>
  <c r="B166" i="23"/>
  <c r="L166" i="23"/>
  <c r="L167" i="23"/>
  <c r="N66" i="23"/>
  <c r="H195" i="23"/>
  <c r="N99" i="23"/>
  <c r="L198" i="23"/>
  <c r="D200" i="23"/>
  <c r="W169" i="23"/>
  <c r="N26" i="22"/>
  <c r="C182" i="22"/>
  <c r="C196" i="22"/>
  <c r="D197" i="22"/>
  <c r="N123" i="22"/>
  <c r="W190" i="15"/>
  <c r="W184" i="15"/>
  <c r="W176" i="15"/>
  <c r="B179" i="13"/>
  <c r="J184" i="22"/>
  <c r="L176" i="22"/>
  <c r="H169" i="22"/>
  <c r="H166" i="22"/>
  <c r="L159" i="22"/>
  <c r="W169" i="22"/>
  <c r="S95" i="37"/>
  <c r="N47" i="35"/>
  <c r="N46" i="35"/>
  <c r="C142" i="35"/>
  <c r="W85" i="31"/>
  <c r="W84" i="32"/>
  <c r="L101" i="34"/>
  <c r="N60" i="35"/>
  <c r="W127" i="35"/>
  <c r="D153" i="8"/>
  <c r="C161" i="15"/>
  <c r="H144" i="14"/>
  <c r="N144" i="14" s="1"/>
  <c r="H153" i="8"/>
  <c r="N6" i="23"/>
  <c r="D154" i="22"/>
  <c r="N116" i="7"/>
  <c r="B207" i="8"/>
  <c r="J211" i="13"/>
  <c r="W198" i="11"/>
  <c r="J213" i="9"/>
  <c r="W205" i="23"/>
  <c r="N50" i="31"/>
  <c r="B114" i="37"/>
  <c r="N82" i="35"/>
  <c r="N33" i="20"/>
  <c r="N47" i="20"/>
  <c r="D154" i="20"/>
  <c r="C155" i="20"/>
  <c r="D163" i="20"/>
  <c r="N80" i="20"/>
  <c r="N82" i="20"/>
  <c r="N91" i="20"/>
  <c r="N93" i="20"/>
  <c r="N95" i="20"/>
  <c r="N97" i="20"/>
  <c r="N99" i="20"/>
  <c r="N62" i="29"/>
  <c r="N128" i="15"/>
  <c r="N56" i="34"/>
  <c r="D208" i="19"/>
  <c r="H199" i="25"/>
  <c r="N73" i="26"/>
  <c r="N8" i="25"/>
  <c r="L150" i="25"/>
  <c r="H151" i="25"/>
  <c r="J152" i="25"/>
  <c r="B155" i="25"/>
  <c r="N42" i="25"/>
  <c r="N50" i="25"/>
  <c r="B173" i="25"/>
  <c r="J187" i="25"/>
  <c r="B191" i="25"/>
  <c r="H154" i="24"/>
  <c r="D159" i="24"/>
  <c r="B166" i="24"/>
  <c r="H187" i="24"/>
  <c r="W154" i="24"/>
  <c r="N16" i="23"/>
  <c r="N60" i="23"/>
  <c r="N81" i="23"/>
  <c r="H191" i="23"/>
  <c r="H199" i="23"/>
  <c r="D179" i="22"/>
  <c r="C189" i="22"/>
  <c r="D190" i="22"/>
  <c r="C192" i="22"/>
  <c r="N108" i="22"/>
  <c r="N109" i="22"/>
  <c r="N117" i="22"/>
  <c r="W181" i="22"/>
  <c r="W179" i="8"/>
  <c r="W155" i="8"/>
  <c r="L205" i="22"/>
  <c r="H177" i="22"/>
  <c r="L157" i="22"/>
  <c r="W212" i="9"/>
  <c r="W104" i="37"/>
  <c r="W109" i="37"/>
  <c r="C141" i="35"/>
  <c r="N70" i="35"/>
  <c r="C137" i="35"/>
  <c r="D137" i="35"/>
  <c r="D135" i="35"/>
  <c r="U125" i="35"/>
  <c r="W142" i="35"/>
  <c r="H88" i="34"/>
  <c r="J91" i="33"/>
  <c r="N36" i="33"/>
  <c r="B98" i="29"/>
  <c r="D93" i="29"/>
  <c r="B92" i="29"/>
  <c r="C90" i="29"/>
  <c r="D89" i="29"/>
  <c r="B88" i="29"/>
  <c r="W91" i="28"/>
  <c r="W92" i="32"/>
  <c r="H127" i="35"/>
  <c r="N7" i="8"/>
  <c r="L154" i="22"/>
  <c r="W144" i="25"/>
  <c r="W154" i="22"/>
  <c r="N115" i="7"/>
  <c r="W195" i="7"/>
  <c r="C211" i="13"/>
  <c r="L198" i="11"/>
  <c r="W209" i="9"/>
  <c r="L198" i="17"/>
  <c r="N85" i="16"/>
  <c r="B108" i="29"/>
  <c r="H143" i="35"/>
  <c r="N37" i="20"/>
  <c r="N42" i="20"/>
  <c r="N73" i="20"/>
  <c r="W133" i="20"/>
  <c r="W143" i="20"/>
  <c r="N58" i="32"/>
  <c r="N117" i="21"/>
  <c r="W209" i="22"/>
  <c r="N85" i="35"/>
  <c r="N87" i="35"/>
  <c r="H159" i="26"/>
  <c r="W132" i="26"/>
  <c r="N18" i="25"/>
  <c r="C157" i="25"/>
  <c r="B159" i="25"/>
  <c r="N66" i="25"/>
  <c r="L195" i="25"/>
  <c r="L196" i="25"/>
  <c r="W177" i="25"/>
  <c r="N13" i="24"/>
  <c r="N34" i="24"/>
  <c r="H159" i="24"/>
  <c r="S171" i="24"/>
  <c r="B173" i="24"/>
  <c r="B174" i="24"/>
  <c r="L176" i="24"/>
  <c r="J178" i="24"/>
  <c r="B182" i="24"/>
  <c r="H184" i="24"/>
  <c r="L190" i="24"/>
  <c r="H171" i="23"/>
  <c r="C177" i="23"/>
  <c r="H179" i="23"/>
  <c r="L180" i="23"/>
  <c r="J192" i="23"/>
  <c r="C194" i="23"/>
  <c r="B196" i="23"/>
  <c r="N107" i="23"/>
  <c r="B202" i="23"/>
  <c r="N113" i="23"/>
  <c r="W153" i="23"/>
  <c r="W173" i="23"/>
  <c r="W204" i="23"/>
  <c r="C155" i="22"/>
  <c r="D155" i="22"/>
  <c r="B164" i="22"/>
  <c r="C173" i="22"/>
  <c r="E173" i="22" s="1"/>
  <c r="C175" i="22"/>
  <c r="B201" i="22"/>
  <c r="N113" i="22"/>
  <c r="N116" i="22"/>
  <c r="W187" i="22"/>
  <c r="D175" i="13"/>
  <c r="N20" i="13"/>
  <c r="W101" i="37"/>
  <c r="J134" i="35"/>
  <c r="B86" i="33"/>
  <c r="C91" i="34"/>
  <c r="L100" i="34"/>
  <c r="L161" i="15"/>
  <c r="C144" i="14"/>
  <c r="H147" i="18"/>
  <c r="L207" i="22"/>
  <c r="W200" i="22"/>
  <c r="N10" i="22"/>
  <c r="C158" i="22"/>
  <c r="N17" i="22"/>
  <c r="N22" i="22"/>
  <c r="C162" i="22"/>
  <c r="D163" i="22"/>
  <c r="C164" i="22"/>
  <c r="D165" i="22"/>
  <c r="N40" i="22"/>
  <c r="S168" i="22"/>
  <c r="N50" i="22"/>
  <c r="N57" i="22"/>
  <c r="N67" i="22"/>
  <c r="D192" i="22"/>
  <c r="C202" i="22"/>
  <c r="J200" i="22"/>
  <c r="N200" i="22" s="1"/>
  <c r="U170" i="22"/>
  <c r="L166" i="22"/>
  <c r="W197" i="22"/>
  <c r="N38" i="22"/>
  <c r="N72" i="22"/>
  <c r="L199" i="22"/>
  <c r="L195" i="22"/>
  <c r="L203" i="22"/>
  <c r="N74" i="22"/>
  <c r="J170" i="22"/>
  <c r="N48" i="22"/>
  <c r="J206" i="22"/>
  <c r="N206" i="22" s="1"/>
  <c r="H159" i="22"/>
  <c r="N25" i="22"/>
  <c r="N27" i="22"/>
  <c r="N31" i="22"/>
  <c r="D178" i="22"/>
  <c r="B186" i="22"/>
  <c r="N91" i="22"/>
  <c r="N96" i="22"/>
  <c r="N98" i="22"/>
  <c r="W159" i="22"/>
  <c r="W177" i="22"/>
  <c r="L182" i="22"/>
  <c r="S184" i="22"/>
  <c r="N9" i="22"/>
  <c r="N51" i="22"/>
  <c r="N58" i="22"/>
  <c r="B176" i="22"/>
  <c r="B185" i="22"/>
  <c r="C186" i="22"/>
  <c r="C193" i="22"/>
  <c r="D205" i="22"/>
  <c r="D207" i="22"/>
  <c r="L193" i="22"/>
  <c r="D201" i="22"/>
  <c r="J207" i="22"/>
  <c r="L172" i="22"/>
  <c r="C203" i="22"/>
  <c r="H174" i="22"/>
  <c r="J159" i="22"/>
  <c r="N34" i="22"/>
  <c r="U168" i="22"/>
  <c r="N43" i="22"/>
  <c r="B172" i="22"/>
  <c r="C184" i="22"/>
  <c r="B198" i="22"/>
  <c r="B202" i="22"/>
  <c r="W178" i="22"/>
  <c r="U183" i="23"/>
  <c r="C155" i="23"/>
  <c r="N63" i="23"/>
  <c r="B183" i="23"/>
  <c r="D166" i="23"/>
  <c r="N39" i="23"/>
  <c r="N45" i="23"/>
  <c r="L172" i="23"/>
  <c r="L173" i="23"/>
  <c r="N61" i="23"/>
  <c r="D179" i="23"/>
  <c r="C180" i="23"/>
  <c r="B182" i="23"/>
  <c r="B187" i="23"/>
  <c r="J187" i="23"/>
  <c r="N84" i="23"/>
  <c r="J191" i="23"/>
  <c r="N93" i="23"/>
  <c r="H166" i="23"/>
  <c r="D168" i="23"/>
  <c r="B175" i="23"/>
  <c r="N56" i="23"/>
  <c r="L179" i="23"/>
  <c r="H182" i="23"/>
  <c r="L186" i="23"/>
  <c r="N102" i="23"/>
  <c r="N112" i="23"/>
  <c r="N105" i="23"/>
  <c r="B153" i="23"/>
  <c r="D157" i="23"/>
  <c r="C159" i="23"/>
  <c r="C160" i="23"/>
  <c r="B163" i="23"/>
  <c r="H167" i="23"/>
  <c r="C172" i="23"/>
  <c r="H180" i="23"/>
  <c r="L181" i="23"/>
  <c r="D182" i="23"/>
  <c r="N88" i="23"/>
  <c r="B155" i="23"/>
  <c r="J157" i="23"/>
  <c r="H158" i="23"/>
  <c r="H169" i="23"/>
  <c r="J170" i="23"/>
  <c r="L171" i="23"/>
  <c r="D172" i="23"/>
  <c r="N73" i="23"/>
  <c r="L187" i="23"/>
  <c r="W152" i="23"/>
  <c r="D153" i="23"/>
  <c r="B156" i="23"/>
  <c r="N19" i="23"/>
  <c r="B158" i="23"/>
  <c r="L159" i="23"/>
  <c r="H160" i="23"/>
  <c r="L161" i="23"/>
  <c r="L162" i="23"/>
  <c r="D196" i="23"/>
  <c r="N108" i="23"/>
  <c r="D202" i="23"/>
  <c r="W180" i="23"/>
  <c r="B165" i="23"/>
  <c r="J152" i="23"/>
  <c r="H154" i="23"/>
  <c r="C157" i="23"/>
  <c r="B160" i="23"/>
  <c r="H163" i="23"/>
  <c r="N50" i="23"/>
  <c r="N57" i="23"/>
  <c r="N85" i="23"/>
  <c r="N87" i="23"/>
  <c r="N90" i="23"/>
  <c r="N94" i="23"/>
  <c r="J196" i="23"/>
  <c r="J201" i="23"/>
  <c r="E206" i="23"/>
  <c r="N8" i="24"/>
  <c r="N10" i="24"/>
  <c r="N14" i="24"/>
  <c r="N31" i="24"/>
  <c r="H165" i="24"/>
  <c r="N62" i="24"/>
  <c r="U176" i="24"/>
  <c r="J195" i="24"/>
  <c r="D161" i="24"/>
  <c r="D149" i="24"/>
  <c r="H185" i="24"/>
  <c r="D177" i="24"/>
  <c r="C145" i="24"/>
  <c r="C153" i="24"/>
  <c r="C161" i="24"/>
  <c r="C172" i="24"/>
  <c r="J173" i="24"/>
  <c r="H161" i="24"/>
  <c r="H183" i="24"/>
  <c r="C142" i="24"/>
  <c r="C143" i="24"/>
  <c r="C155" i="24"/>
  <c r="C156" i="24"/>
  <c r="B160" i="24"/>
  <c r="D164" i="24"/>
  <c r="N104" i="24"/>
  <c r="J161" i="24"/>
  <c r="J183" i="24"/>
  <c r="L186" i="24"/>
  <c r="L161" i="24"/>
  <c r="N97" i="24"/>
  <c r="U161" i="24"/>
  <c r="S161" i="24"/>
  <c r="W163" i="24"/>
  <c r="W143" i="24"/>
  <c r="W156" i="24"/>
  <c r="W167" i="24"/>
  <c r="U181" i="25"/>
  <c r="L152" i="25"/>
  <c r="D162" i="25"/>
  <c r="L160" i="25"/>
  <c r="N35" i="25"/>
  <c r="L162" i="25"/>
  <c r="N52" i="25"/>
  <c r="H168" i="25"/>
  <c r="N81" i="25"/>
  <c r="N95" i="25"/>
  <c r="N100" i="25"/>
  <c r="C195" i="25"/>
  <c r="W159" i="25"/>
  <c r="H196" i="25"/>
  <c r="N104" i="25"/>
  <c r="H145" i="25"/>
  <c r="D146" i="25"/>
  <c r="D148" i="25"/>
  <c r="J176" i="25"/>
  <c r="W150" i="25"/>
  <c r="H188" i="25"/>
  <c r="J195" i="25"/>
  <c r="J177" i="25"/>
  <c r="J170" i="25"/>
  <c r="H195" i="25"/>
  <c r="J188" i="25"/>
  <c r="H171" i="25"/>
  <c r="L177" i="25"/>
  <c r="N13" i="25"/>
  <c r="N15" i="25"/>
  <c r="J185" i="25"/>
  <c r="L188" i="25"/>
  <c r="H189" i="25"/>
  <c r="B195" i="25"/>
  <c r="J196" i="25"/>
  <c r="L197" i="25"/>
  <c r="W147" i="25"/>
  <c r="W198" i="25"/>
  <c r="J189" i="25"/>
  <c r="J184" i="25"/>
  <c r="J173" i="25"/>
  <c r="C181" i="25"/>
  <c r="B182" i="25"/>
  <c r="B184" i="25"/>
  <c r="N89" i="25"/>
  <c r="C199" i="25"/>
  <c r="C149" i="25"/>
  <c r="N25" i="25"/>
  <c r="N34" i="25"/>
  <c r="N36" i="25"/>
  <c r="N55" i="25"/>
  <c r="H175" i="25"/>
  <c r="C179" i="25"/>
  <c r="L180" i="25"/>
  <c r="D181" i="25"/>
  <c r="C182" i="25"/>
  <c r="J183" i="25"/>
  <c r="D199" i="25"/>
  <c r="H172" i="25"/>
  <c r="H147" i="25"/>
  <c r="D151" i="25"/>
  <c r="D159" i="25"/>
  <c r="D160" i="25"/>
  <c r="D161" i="25"/>
  <c r="N46" i="25"/>
  <c r="C167" i="25"/>
  <c r="N59" i="25"/>
  <c r="D176" i="25"/>
  <c r="N91" i="25"/>
  <c r="J152" i="26"/>
  <c r="N17" i="26"/>
  <c r="B128" i="26"/>
  <c r="J131" i="26"/>
  <c r="C132" i="26"/>
  <c r="N28" i="26"/>
  <c r="C135" i="26"/>
  <c r="N35" i="26"/>
  <c r="N37" i="26"/>
  <c r="H139" i="26"/>
  <c r="D152" i="26"/>
  <c r="N68" i="26"/>
  <c r="N70" i="26"/>
  <c r="L151" i="26"/>
  <c r="N8" i="26"/>
  <c r="N10" i="26"/>
  <c r="L124" i="26"/>
  <c r="J125" i="26"/>
  <c r="D127" i="26"/>
  <c r="L134" i="26"/>
  <c r="H154" i="26"/>
  <c r="J145" i="26"/>
  <c r="H151" i="26"/>
  <c r="C124" i="26"/>
  <c r="N12" i="26"/>
  <c r="B126" i="26"/>
  <c r="N29" i="26"/>
  <c r="H142" i="26"/>
  <c r="D143" i="26"/>
  <c r="B144" i="26"/>
  <c r="D144" i="26"/>
  <c r="N55" i="26"/>
  <c r="U147" i="26"/>
  <c r="N58" i="26"/>
  <c r="N60" i="26"/>
  <c r="J149" i="26"/>
  <c r="N65" i="26"/>
  <c r="C152" i="26"/>
  <c r="N69" i="26"/>
  <c r="S154" i="26"/>
  <c r="W154" i="26" s="1"/>
  <c r="W128" i="26"/>
  <c r="T151" i="26"/>
  <c r="J155" i="26"/>
  <c r="L139" i="26"/>
  <c r="J148" i="26"/>
  <c r="B150" i="26"/>
  <c r="D151" i="26"/>
  <c r="H155" i="26"/>
  <c r="T145" i="26"/>
  <c r="B143" i="26"/>
  <c r="J151" i="26"/>
  <c r="H146" i="26"/>
  <c r="H123" i="26"/>
  <c r="L145" i="26"/>
  <c r="H152" i="26"/>
  <c r="T139" i="26"/>
  <c r="D137" i="26"/>
  <c r="N40" i="26"/>
  <c r="L140" i="26"/>
  <c r="D145" i="26"/>
  <c r="L129" i="26"/>
  <c r="N31" i="26"/>
  <c r="B135" i="26"/>
  <c r="C140" i="26"/>
  <c r="W152" i="26"/>
  <c r="L158" i="26"/>
  <c r="D159" i="26"/>
  <c r="L89" i="38"/>
  <c r="B115" i="37"/>
  <c r="B93" i="37"/>
  <c r="W92" i="37"/>
  <c r="B107" i="37"/>
  <c r="N14" i="37"/>
  <c r="N7" i="37"/>
  <c r="B96" i="37"/>
  <c r="D97" i="37"/>
  <c r="N9" i="37"/>
  <c r="N57" i="37"/>
  <c r="D92" i="37"/>
  <c r="J99" i="37"/>
  <c r="C110" i="37"/>
  <c r="W102" i="37"/>
  <c r="N26" i="37"/>
  <c r="H107" i="37"/>
  <c r="N17" i="37"/>
  <c r="J92" i="37"/>
  <c r="W114" i="37"/>
  <c r="D122" i="36"/>
  <c r="L121" i="36"/>
  <c r="N71" i="36"/>
  <c r="J126" i="36"/>
  <c r="B155" i="16"/>
  <c r="H136" i="16"/>
  <c r="J135" i="16"/>
  <c r="N27" i="16"/>
  <c r="N18" i="16"/>
  <c r="B134" i="16"/>
  <c r="N62" i="16"/>
  <c r="S156" i="16"/>
  <c r="D134" i="16"/>
  <c r="D146" i="16"/>
  <c r="U146" i="16"/>
  <c r="W146" i="16" s="1"/>
  <c r="H146" i="16"/>
  <c r="B132" i="16"/>
  <c r="L134" i="16"/>
  <c r="B136" i="16"/>
  <c r="H140" i="16"/>
  <c r="H144" i="16"/>
  <c r="J149" i="16"/>
  <c r="N57" i="16"/>
  <c r="W149" i="16"/>
  <c r="L135" i="16"/>
  <c r="L146" i="16"/>
  <c r="L136" i="16"/>
  <c r="U155" i="16"/>
  <c r="T155" i="16"/>
  <c r="D143" i="16"/>
  <c r="J146" i="16"/>
  <c r="H159" i="16"/>
  <c r="H164" i="16"/>
  <c r="D155" i="16"/>
  <c r="T134" i="16"/>
  <c r="B157" i="16"/>
  <c r="U134" i="16"/>
  <c r="L155" i="16"/>
  <c r="L156" i="16"/>
  <c r="N81" i="16"/>
  <c r="W130" i="16"/>
  <c r="H133" i="35"/>
  <c r="H131" i="35"/>
  <c r="N45" i="35"/>
  <c r="L140" i="35"/>
  <c r="N61" i="35"/>
  <c r="J131" i="35"/>
  <c r="H137" i="35"/>
  <c r="C131" i="35"/>
  <c r="C139" i="35"/>
  <c r="N25" i="35"/>
  <c r="N24" i="35"/>
  <c r="N58" i="35"/>
  <c r="D144" i="35"/>
  <c r="L143" i="35"/>
  <c r="B135" i="35"/>
  <c r="H135" i="35"/>
  <c r="S135" i="35"/>
  <c r="B133" i="35"/>
  <c r="J137" i="35"/>
  <c r="H124" i="35"/>
  <c r="N86" i="35"/>
  <c r="L129" i="35"/>
  <c r="H129" i="35"/>
  <c r="N76" i="35"/>
  <c r="J121" i="35"/>
  <c r="C126" i="35"/>
  <c r="J127" i="35"/>
  <c r="W133" i="35"/>
  <c r="D143" i="35"/>
  <c r="U135" i="35"/>
  <c r="L127" i="35"/>
  <c r="H126" i="35"/>
  <c r="N15" i="35"/>
  <c r="D126" i="35"/>
  <c r="H121" i="35"/>
  <c r="W137" i="35"/>
  <c r="H140" i="35"/>
  <c r="T181" i="17"/>
  <c r="U181" i="17"/>
  <c r="S166" i="17"/>
  <c r="W155" i="17"/>
  <c r="J166" i="17"/>
  <c r="H194" i="17"/>
  <c r="U166" i="17"/>
  <c r="H193" i="17"/>
  <c r="W189" i="17"/>
  <c r="C198" i="17"/>
  <c r="N78" i="17"/>
  <c r="D185" i="17"/>
  <c r="N109" i="17"/>
  <c r="N22" i="17"/>
  <c r="N34" i="17"/>
  <c r="N69" i="17"/>
  <c r="B192" i="17"/>
  <c r="W147" i="17"/>
  <c r="D154" i="17"/>
  <c r="D155" i="17"/>
  <c r="D159" i="17"/>
  <c r="B163" i="17"/>
  <c r="B164" i="17"/>
  <c r="L182" i="17"/>
  <c r="N86" i="17"/>
  <c r="T161" i="17"/>
  <c r="J152" i="17"/>
  <c r="L145" i="17"/>
  <c r="B183" i="17"/>
  <c r="C145" i="17"/>
  <c r="N16" i="17"/>
  <c r="T183" i="17"/>
  <c r="H155" i="17"/>
  <c r="H184" i="17"/>
  <c r="N21" i="17"/>
  <c r="L155" i="17"/>
  <c r="J174" i="17"/>
  <c r="W199" i="17"/>
  <c r="B189" i="17"/>
  <c r="D169" i="17"/>
  <c r="J194" i="17"/>
  <c r="J196" i="17"/>
  <c r="H197" i="17"/>
  <c r="N84" i="17"/>
  <c r="N20" i="17"/>
  <c r="C193" i="17"/>
  <c r="C197" i="17"/>
  <c r="B147" i="17"/>
  <c r="B149" i="17"/>
  <c r="D153" i="17"/>
  <c r="D156" i="17"/>
  <c r="D158" i="17"/>
  <c r="H164" i="17"/>
  <c r="C172" i="17"/>
  <c r="W153" i="17"/>
  <c r="T198" i="17"/>
  <c r="E199" i="17"/>
  <c r="D146" i="17"/>
  <c r="C150" i="17"/>
  <c r="D152" i="17"/>
  <c r="N97" i="17"/>
  <c r="H190" i="17"/>
  <c r="L191" i="17"/>
  <c r="W167" i="17"/>
  <c r="W173" i="17"/>
  <c r="N10" i="17"/>
  <c r="L146" i="17"/>
  <c r="D150" i="17"/>
  <c r="N26" i="17"/>
  <c r="N28" i="17"/>
  <c r="N32" i="17"/>
  <c r="N38" i="17"/>
  <c r="L162" i="17"/>
  <c r="N47" i="17"/>
  <c r="N49" i="17"/>
  <c r="B166" i="17"/>
  <c r="H174" i="17"/>
  <c r="N81" i="17"/>
  <c r="H183" i="17"/>
  <c r="B190" i="17"/>
  <c r="D198" i="17"/>
  <c r="J150" i="17"/>
  <c r="L176" i="17"/>
  <c r="N103" i="17"/>
  <c r="N115" i="17"/>
  <c r="B198" i="17"/>
  <c r="J196" i="18"/>
  <c r="D148" i="18"/>
  <c r="N18" i="18"/>
  <c r="H153" i="18"/>
  <c r="N27" i="18"/>
  <c r="B158" i="18"/>
  <c r="L161" i="18"/>
  <c r="B187" i="18"/>
  <c r="J188" i="18"/>
  <c r="N96" i="18"/>
  <c r="J192" i="18"/>
  <c r="W188" i="18"/>
  <c r="N119" i="18"/>
  <c r="W171" i="18"/>
  <c r="N24" i="18"/>
  <c r="N35" i="18"/>
  <c r="N37" i="18"/>
  <c r="T193" i="18"/>
  <c r="J162" i="18"/>
  <c r="N41" i="18"/>
  <c r="H168" i="18"/>
  <c r="N91" i="18"/>
  <c r="D194" i="18"/>
  <c r="D195" i="18"/>
  <c r="C147" i="18"/>
  <c r="N13" i="18"/>
  <c r="C152" i="18"/>
  <c r="N19" i="18"/>
  <c r="H156" i="18"/>
  <c r="C159" i="18"/>
  <c r="C160" i="18"/>
  <c r="N34" i="18"/>
  <c r="C162" i="18"/>
  <c r="J163" i="18"/>
  <c r="D164" i="18"/>
  <c r="D165" i="18"/>
  <c r="B188" i="18"/>
  <c r="L193" i="18"/>
  <c r="J194" i="18"/>
  <c r="H195" i="18"/>
  <c r="D147" i="18"/>
  <c r="B148" i="18"/>
  <c r="L149" i="18"/>
  <c r="J150" i="18"/>
  <c r="N25" i="18"/>
  <c r="D158" i="18"/>
  <c r="H164" i="18"/>
  <c r="D179" i="18"/>
  <c r="C188" i="18"/>
  <c r="D190" i="18"/>
  <c r="J197" i="18"/>
  <c r="L199" i="18"/>
  <c r="L189" i="18"/>
  <c r="C148" i="18"/>
  <c r="N10" i="18"/>
  <c r="C156" i="18"/>
  <c r="J157" i="18"/>
  <c r="J160" i="18"/>
  <c r="D161" i="18"/>
  <c r="B164" i="18"/>
  <c r="C189" i="18"/>
  <c r="B190" i="18"/>
  <c r="H190" i="18"/>
  <c r="D191" i="18"/>
  <c r="D192" i="18"/>
  <c r="C194" i="18"/>
  <c r="B197" i="18"/>
  <c r="B199" i="18"/>
  <c r="N115" i="18"/>
  <c r="W161" i="18"/>
  <c r="S188" i="19"/>
  <c r="C181" i="19"/>
  <c r="N67" i="19"/>
  <c r="H192" i="19"/>
  <c r="N40" i="19"/>
  <c r="T188" i="19"/>
  <c r="D164" i="19"/>
  <c r="N46" i="19"/>
  <c r="B199" i="19"/>
  <c r="D204" i="19"/>
  <c r="N90" i="19"/>
  <c r="J173" i="19"/>
  <c r="C154" i="19"/>
  <c r="J163" i="19"/>
  <c r="D154" i="19"/>
  <c r="D166" i="19"/>
  <c r="H206" i="19"/>
  <c r="J172" i="19"/>
  <c r="L174" i="19"/>
  <c r="N113" i="19"/>
  <c r="N117" i="19"/>
  <c r="N37" i="19"/>
  <c r="H191" i="19"/>
  <c r="N88" i="19"/>
  <c r="H197" i="19"/>
  <c r="N12" i="19"/>
  <c r="N29" i="19"/>
  <c r="C171" i="19"/>
  <c r="C178" i="19"/>
  <c r="D179" i="19"/>
  <c r="B182" i="19"/>
  <c r="H201" i="19"/>
  <c r="W168" i="19"/>
  <c r="N8" i="19"/>
  <c r="C166" i="19"/>
  <c r="N49" i="19"/>
  <c r="J179" i="19"/>
  <c r="J184" i="19"/>
  <c r="D185" i="19"/>
  <c r="N75" i="19"/>
  <c r="D188" i="19"/>
  <c r="D158" i="19"/>
  <c r="H159" i="19"/>
  <c r="N26" i="19"/>
  <c r="H164" i="19"/>
  <c r="N42" i="19"/>
  <c r="C174" i="19"/>
  <c r="C176" i="19"/>
  <c r="N55" i="19"/>
  <c r="L178" i="19"/>
  <c r="B184" i="19"/>
  <c r="C187" i="19"/>
  <c r="N77" i="19"/>
  <c r="N11" i="19"/>
  <c r="D160" i="19"/>
  <c r="L180" i="19"/>
  <c r="C188" i="19"/>
  <c r="N79" i="19"/>
  <c r="D200" i="19"/>
  <c r="W154" i="19"/>
  <c r="W177" i="19"/>
  <c r="N13" i="19"/>
  <c r="L160" i="19"/>
  <c r="B166" i="19"/>
  <c r="D198" i="19"/>
  <c r="D203" i="19"/>
  <c r="J170" i="19"/>
  <c r="J188" i="19"/>
  <c r="L203" i="19"/>
  <c r="N101" i="19"/>
  <c r="N49" i="20"/>
  <c r="N51" i="20"/>
  <c r="N55" i="20"/>
  <c r="N69" i="20"/>
  <c r="N71" i="20"/>
  <c r="W131" i="20"/>
  <c r="W141" i="20"/>
  <c r="D156" i="20"/>
  <c r="N68" i="20"/>
  <c r="N77" i="20"/>
  <c r="C127" i="20"/>
  <c r="H142" i="20"/>
  <c r="N50" i="20"/>
  <c r="H151" i="20"/>
  <c r="D127" i="20"/>
  <c r="J145" i="20"/>
  <c r="L127" i="20"/>
  <c r="N65" i="20"/>
  <c r="N45" i="20"/>
  <c r="J127" i="20"/>
  <c r="N22" i="20"/>
  <c r="N85" i="20"/>
  <c r="D174" i="20"/>
  <c r="W149" i="20"/>
  <c r="B171" i="21"/>
  <c r="J181" i="21"/>
  <c r="C150" i="21"/>
  <c r="D152" i="21"/>
  <c r="H174" i="21"/>
  <c r="C184" i="21"/>
  <c r="B185" i="21"/>
  <c r="D186" i="21"/>
  <c r="J189" i="21"/>
  <c r="D191" i="21"/>
  <c r="N114" i="21"/>
  <c r="H184" i="21"/>
  <c r="C143" i="21"/>
  <c r="C144" i="21"/>
  <c r="J147" i="21"/>
  <c r="L149" i="21"/>
  <c r="H155" i="21"/>
  <c r="D156" i="21"/>
  <c r="C157" i="21"/>
  <c r="B158" i="21"/>
  <c r="J175" i="21"/>
  <c r="H176" i="21"/>
  <c r="C177" i="21"/>
  <c r="B178" i="21"/>
  <c r="C180" i="21"/>
  <c r="D182" i="21"/>
  <c r="D183" i="21"/>
  <c r="N51" i="21"/>
  <c r="D143" i="21"/>
  <c r="D144" i="21"/>
  <c r="B148" i="21"/>
  <c r="C173" i="21"/>
  <c r="D177" i="21"/>
  <c r="J179" i="21"/>
  <c r="J193" i="21"/>
  <c r="W171" i="21"/>
  <c r="S180" i="21"/>
  <c r="B168" i="21"/>
  <c r="N60" i="21"/>
  <c r="B172" i="21"/>
  <c r="L172" i="21"/>
  <c r="D173" i="21"/>
  <c r="N80" i="21"/>
  <c r="N82" i="21"/>
  <c r="J180" i="21"/>
  <c r="B180" i="21"/>
  <c r="N108" i="21"/>
  <c r="N26" i="21"/>
  <c r="L158" i="21"/>
  <c r="D167" i="21"/>
  <c r="C170" i="21"/>
  <c r="C171" i="21"/>
  <c r="N68" i="21"/>
  <c r="H173" i="21"/>
  <c r="C179" i="21"/>
  <c r="J186" i="21"/>
  <c r="C195" i="21"/>
  <c r="W175" i="21"/>
  <c r="J156" i="21"/>
  <c r="N41" i="21"/>
  <c r="N70" i="21"/>
  <c r="N86" i="21"/>
  <c r="W145" i="21"/>
  <c r="W166" i="21"/>
  <c r="W190" i="21"/>
  <c r="N115" i="21"/>
  <c r="S172" i="21"/>
  <c r="W172" i="21" s="1"/>
  <c r="L180" i="21"/>
  <c r="N19" i="21"/>
  <c r="N32" i="21"/>
  <c r="N49" i="21"/>
  <c r="B187" i="21"/>
  <c r="W149" i="21"/>
  <c r="W170" i="21"/>
  <c r="N18" i="33"/>
  <c r="N26" i="33"/>
  <c r="H90" i="33"/>
  <c r="N10" i="33"/>
  <c r="C93" i="33"/>
  <c r="N47" i="9"/>
  <c r="N58" i="9"/>
  <c r="N60" i="9"/>
  <c r="L203" i="9"/>
  <c r="D211" i="9"/>
  <c r="L189" i="9"/>
  <c r="J196" i="9"/>
  <c r="N29" i="9"/>
  <c r="B178" i="9"/>
  <c r="J184" i="9"/>
  <c r="B188" i="9"/>
  <c r="D160" i="9"/>
  <c r="D164" i="9"/>
  <c r="J165" i="9"/>
  <c r="J166" i="9"/>
  <c r="J167" i="9"/>
  <c r="D168" i="9"/>
  <c r="D170" i="9"/>
  <c r="C171" i="9"/>
  <c r="B184" i="9"/>
  <c r="C188" i="9"/>
  <c r="B160" i="9"/>
  <c r="C163" i="9"/>
  <c r="B165" i="9"/>
  <c r="B197" i="9"/>
  <c r="N11" i="9"/>
  <c r="H161" i="9"/>
  <c r="L162" i="9"/>
  <c r="L196" i="9"/>
  <c r="N13" i="9"/>
  <c r="J211" i="9"/>
  <c r="J202" i="9"/>
  <c r="N110" i="9"/>
  <c r="L208" i="9"/>
  <c r="N114" i="11"/>
  <c r="J188" i="11"/>
  <c r="C151" i="11"/>
  <c r="J146" i="11"/>
  <c r="S151" i="11"/>
  <c r="H184" i="11"/>
  <c r="C164" i="11"/>
  <c r="H147" i="11"/>
  <c r="H169" i="11"/>
  <c r="B188" i="11"/>
  <c r="L161" i="11"/>
  <c r="L152" i="11"/>
  <c r="B145" i="11"/>
  <c r="B155" i="11"/>
  <c r="H157" i="11"/>
  <c r="N49" i="11"/>
  <c r="T174" i="11"/>
  <c r="L184" i="11"/>
  <c r="B187" i="11"/>
  <c r="D144" i="11"/>
  <c r="S177" i="11"/>
  <c r="U151" i="11"/>
  <c r="H178" i="11"/>
  <c r="D174" i="11"/>
  <c r="H159" i="11"/>
  <c r="J189" i="11"/>
  <c r="J158" i="11"/>
  <c r="N19" i="11"/>
  <c r="N23" i="11"/>
  <c r="L181" i="11"/>
  <c r="W145" i="11"/>
  <c r="T177" i="11"/>
  <c r="J178" i="11"/>
  <c r="H174" i="11"/>
  <c r="J159" i="11"/>
  <c r="N25" i="11"/>
  <c r="W149" i="11"/>
  <c r="W161" i="11"/>
  <c r="U177" i="11"/>
  <c r="C193" i="11"/>
  <c r="W154" i="11"/>
  <c r="J174" i="11"/>
  <c r="B174" i="11"/>
  <c r="H151" i="11"/>
  <c r="U146" i="11"/>
  <c r="W146" i="11" s="1"/>
  <c r="N18" i="11"/>
  <c r="D151" i="11"/>
  <c r="N57" i="11"/>
  <c r="N81" i="11"/>
  <c r="D190" i="11"/>
  <c r="L197" i="11"/>
  <c r="W155" i="11"/>
  <c r="C177" i="11"/>
  <c r="C194" i="11"/>
  <c r="H160" i="11"/>
  <c r="N24" i="11"/>
  <c r="H168" i="11"/>
  <c r="H175" i="11"/>
  <c r="L174" i="11"/>
  <c r="L151" i="11"/>
  <c r="C165" i="11"/>
  <c r="J160" i="11"/>
  <c r="U184" i="11"/>
  <c r="J168" i="11"/>
  <c r="J175" i="11"/>
  <c r="H161" i="11"/>
  <c r="H152" i="11"/>
  <c r="N13" i="11"/>
  <c r="D165" i="11"/>
  <c r="N52" i="11"/>
  <c r="H185" i="11"/>
  <c r="N92" i="11"/>
  <c r="H191" i="11"/>
  <c r="N116" i="11"/>
  <c r="S174" i="11"/>
  <c r="D157" i="11"/>
  <c r="N43" i="11"/>
  <c r="N72" i="11"/>
  <c r="D184" i="11"/>
  <c r="S179" i="12"/>
  <c r="B186" i="12"/>
  <c r="C194" i="12"/>
  <c r="N168" i="12"/>
  <c r="B155" i="12"/>
  <c r="T179" i="12"/>
  <c r="U179" i="12"/>
  <c r="B150" i="12"/>
  <c r="N66" i="12"/>
  <c r="D181" i="12"/>
  <c r="N9" i="12"/>
  <c r="N44" i="12"/>
  <c r="N68" i="12"/>
  <c r="B176" i="12"/>
  <c r="N114" i="12"/>
  <c r="W146" i="12"/>
  <c r="W158" i="12"/>
  <c r="W178" i="12"/>
  <c r="N117" i="12"/>
  <c r="J85" i="32"/>
  <c r="N12" i="32"/>
  <c r="D96" i="32"/>
  <c r="T106" i="32"/>
  <c r="H95" i="32"/>
  <c r="D100" i="32"/>
  <c r="D106" i="32"/>
  <c r="S106" i="32"/>
  <c r="J89" i="32"/>
  <c r="C92" i="32"/>
  <c r="C102" i="32"/>
  <c r="J97" i="32"/>
  <c r="L97" i="32"/>
  <c r="H90" i="32"/>
  <c r="W103" i="32"/>
  <c r="C83" i="32"/>
  <c r="D84" i="32"/>
  <c r="B87" i="32"/>
  <c r="C88" i="32"/>
  <c r="D89" i="32"/>
  <c r="N26" i="32"/>
  <c r="N41" i="32"/>
  <c r="C101" i="32"/>
  <c r="J103" i="32"/>
  <c r="J100" i="32"/>
  <c r="L89" i="32"/>
  <c r="N14" i="32"/>
  <c r="W101" i="32"/>
  <c r="H92" i="32"/>
  <c r="B84" i="32"/>
  <c r="L99" i="32"/>
  <c r="H200" i="13"/>
  <c r="L186" i="13"/>
  <c r="B160" i="13"/>
  <c r="B161" i="13"/>
  <c r="C159" i="13"/>
  <c r="J191" i="13"/>
  <c r="C183" i="13"/>
  <c r="N74" i="13"/>
  <c r="W179" i="13"/>
  <c r="D210" i="13"/>
  <c r="C177" i="13"/>
  <c r="W158" i="13"/>
  <c r="N14" i="14"/>
  <c r="D164" i="14"/>
  <c r="D181" i="14"/>
  <c r="L155" i="14"/>
  <c r="N83" i="14"/>
  <c r="C190" i="14"/>
  <c r="L190" i="14"/>
  <c r="C178" i="14"/>
  <c r="J151" i="14"/>
  <c r="N47" i="14"/>
  <c r="H151" i="14"/>
  <c r="N86" i="14"/>
  <c r="S178" i="14"/>
  <c r="B185" i="14"/>
  <c r="N33" i="14"/>
  <c r="D152" i="14"/>
  <c r="L167" i="14"/>
  <c r="W155" i="14"/>
  <c r="N60" i="14"/>
  <c r="J194" i="14"/>
  <c r="J162" i="14"/>
  <c r="H178" i="14"/>
  <c r="B170" i="14"/>
  <c r="D187" i="14"/>
  <c r="D189" i="14"/>
  <c r="B196" i="14"/>
  <c r="C171" i="14"/>
  <c r="D162" i="14"/>
  <c r="C159" i="14"/>
  <c r="L162" i="14"/>
  <c r="N68" i="14"/>
  <c r="H194" i="14"/>
  <c r="L170" i="14"/>
  <c r="L178" i="14"/>
  <c r="D161" i="14"/>
  <c r="H155" i="14"/>
  <c r="D159" i="14"/>
  <c r="C170" i="14"/>
  <c r="D168" i="14"/>
  <c r="N57" i="14"/>
  <c r="N37" i="14"/>
  <c r="H170" i="14"/>
  <c r="L174" i="14"/>
  <c r="D192" i="14"/>
  <c r="L144" i="14"/>
  <c r="J148" i="14"/>
  <c r="T178" i="14"/>
  <c r="J174" i="14"/>
  <c r="L182" i="14"/>
  <c r="C165" i="14"/>
  <c r="H182" i="14"/>
  <c r="D185" i="14"/>
  <c r="N99" i="14"/>
  <c r="D194" i="14"/>
  <c r="D146" i="14"/>
  <c r="N93" i="14"/>
  <c r="D155" i="14"/>
  <c r="D148" i="14"/>
  <c r="W164" i="14"/>
  <c r="W148" i="14"/>
  <c r="N42" i="14"/>
  <c r="D175" i="14"/>
  <c r="B178" i="14"/>
  <c r="N80" i="14"/>
  <c r="C180" i="14"/>
  <c r="D182" i="14"/>
  <c r="U188" i="14"/>
  <c r="C191" i="14"/>
  <c r="D193" i="14"/>
  <c r="H149" i="14"/>
  <c r="W199" i="14"/>
  <c r="N37" i="34"/>
  <c r="S91" i="34"/>
  <c r="N9" i="34"/>
  <c r="H86" i="34"/>
  <c r="C90" i="34"/>
  <c r="J83" i="34"/>
  <c r="W102" i="34"/>
  <c r="U91" i="34"/>
  <c r="B84" i="34"/>
  <c r="D85" i="34"/>
  <c r="B94" i="34"/>
  <c r="D95" i="34"/>
  <c r="D103" i="34"/>
  <c r="H83" i="34"/>
  <c r="B91" i="34"/>
  <c r="N11" i="34"/>
  <c r="N34" i="34"/>
  <c r="N53" i="34"/>
  <c r="L92" i="34"/>
  <c r="J91" i="34"/>
  <c r="D84" i="34"/>
  <c r="L98" i="34"/>
  <c r="J95" i="34"/>
  <c r="H87" i="34"/>
  <c r="N120" i="6"/>
  <c r="N36" i="30"/>
  <c r="S78" i="30"/>
  <c r="N20" i="30"/>
  <c r="C86" i="30"/>
  <c r="U78" i="30"/>
  <c r="L76" i="30"/>
  <c r="C87" i="30"/>
  <c r="T86" i="30"/>
  <c r="W86" i="30" s="1"/>
  <c r="D89" i="30"/>
  <c r="N13" i="30"/>
  <c r="D79" i="30"/>
  <c r="N22" i="30"/>
  <c r="B86" i="30"/>
  <c r="D87" i="30"/>
  <c r="D193" i="7"/>
  <c r="J195" i="7"/>
  <c r="H190" i="7"/>
  <c r="H174" i="7"/>
  <c r="J190" i="7"/>
  <c r="J170" i="7"/>
  <c r="B172" i="7"/>
  <c r="H166" i="7"/>
  <c r="L183" i="7"/>
  <c r="B144" i="7"/>
  <c r="J144" i="7"/>
  <c r="B183" i="7"/>
  <c r="W174" i="7"/>
  <c r="D174" i="7"/>
  <c r="D191" i="7"/>
  <c r="C144" i="7"/>
  <c r="D145" i="7"/>
  <c r="J143" i="7"/>
  <c r="C141" i="7"/>
  <c r="W194" i="7"/>
  <c r="L178" i="7"/>
  <c r="J174" i="7"/>
  <c r="J183" i="7"/>
  <c r="D171" i="7"/>
  <c r="N111" i="7"/>
  <c r="B194" i="7"/>
  <c r="C143" i="7"/>
  <c r="H145" i="7"/>
  <c r="H178" i="7"/>
  <c r="D178" i="7"/>
  <c r="J146" i="7"/>
  <c r="W141" i="7"/>
  <c r="H97" i="31"/>
  <c r="N16" i="31"/>
  <c r="B88" i="31"/>
  <c r="D89" i="31"/>
  <c r="B92" i="31"/>
  <c r="D97" i="31"/>
  <c r="H101" i="31"/>
  <c r="N40" i="31"/>
  <c r="J89" i="31"/>
  <c r="N49" i="31"/>
  <c r="L101" i="31"/>
  <c r="L102" i="31"/>
  <c r="N102" i="31" s="1"/>
  <c r="W99" i="31"/>
  <c r="N47" i="31"/>
  <c r="D82" i="31"/>
  <c r="C85" i="31"/>
  <c r="D92" i="31"/>
  <c r="C98" i="31"/>
  <c r="W87" i="31"/>
  <c r="N45" i="31"/>
  <c r="N32" i="31"/>
  <c r="D90" i="31"/>
  <c r="J84" i="31"/>
  <c r="N84" i="31" s="1"/>
  <c r="W83" i="31"/>
  <c r="H86" i="31"/>
  <c r="J97" i="31"/>
  <c r="N23" i="31"/>
  <c r="E209" i="22"/>
  <c r="U104" i="38"/>
  <c r="H98" i="38"/>
  <c r="J94" i="37"/>
  <c r="H99" i="37"/>
  <c r="B108" i="37"/>
  <c r="C108" i="37"/>
  <c r="L92" i="37"/>
  <c r="N11" i="37"/>
  <c r="D94" i="37"/>
  <c r="H94" i="37"/>
  <c r="B94" i="37"/>
  <c r="D109" i="37"/>
  <c r="N56" i="37"/>
  <c r="N32" i="37"/>
  <c r="N40" i="37"/>
  <c r="N20" i="37"/>
  <c r="N30" i="37"/>
  <c r="N35" i="37"/>
  <c r="B97" i="37"/>
  <c r="N37" i="37"/>
  <c r="D103" i="37"/>
  <c r="B104" i="37"/>
  <c r="N58" i="37"/>
  <c r="L98" i="37"/>
  <c r="N48" i="37"/>
  <c r="H113" i="37"/>
  <c r="L106" i="37"/>
  <c r="H98" i="37"/>
  <c r="J93" i="37"/>
  <c r="N59" i="37"/>
  <c r="H106" i="37"/>
  <c r="N23" i="37"/>
  <c r="D95" i="37"/>
  <c r="D98" i="37"/>
  <c r="L93" i="37"/>
  <c r="C97" i="37"/>
  <c r="N24" i="37"/>
  <c r="H112" i="37"/>
  <c r="N55" i="37"/>
  <c r="C96" i="37"/>
  <c r="C105" i="37"/>
  <c r="N27" i="37"/>
  <c r="B95" i="37"/>
  <c r="D105" i="37"/>
  <c r="N47" i="37"/>
  <c r="N42" i="37"/>
  <c r="J110" i="37"/>
  <c r="W124" i="36"/>
  <c r="N20" i="36"/>
  <c r="N63" i="36"/>
  <c r="B126" i="36"/>
  <c r="N27" i="36"/>
  <c r="N29" i="36"/>
  <c r="N67" i="36"/>
  <c r="N10" i="36"/>
  <c r="W125" i="36"/>
  <c r="B128" i="36"/>
  <c r="L130" i="36"/>
  <c r="B120" i="36"/>
  <c r="J155" i="16"/>
  <c r="H142" i="16"/>
  <c r="H160" i="16"/>
  <c r="L164" i="16"/>
  <c r="N31" i="16"/>
  <c r="N87" i="16"/>
  <c r="H151" i="16"/>
  <c r="D148" i="16"/>
  <c r="H137" i="16"/>
  <c r="L163" i="16"/>
  <c r="B131" i="16"/>
  <c r="N13" i="16"/>
  <c r="N20" i="16"/>
  <c r="N42" i="16"/>
  <c r="N49" i="16"/>
  <c r="H155" i="16"/>
  <c r="J156" i="16"/>
  <c r="N68" i="16"/>
  <c r="N77" i="16"/>
  <c r="N83" i="16"/>
  <c r="N29" i="16"/>
  <c r="J138" i="16"/>
  <c r="N8" i="16"/>
  <c r="C131" i="16"/>
  <c r="L147" i="16"/>
  <c r="N56" i="16"/>
  <c r="L151" i="16"/>
  <c r="B167" i="16"/>
  <c r="J147" i="16"/>
  <c r="L130" i="16"/>
  <c r="H131" i="16"/>
  <c r="J142" i="16"/>
  <c r="J134" i="16"/>
  <c r="N75" i="16"/>
  <c r="N37" i="16"/>
  <c r="B146" i="16"/>
  <c r="N73" i="16"/>
  <c r="N79" i="16"/>
  <c r="L152" i="16"/>
  <c r="N7" i="16"/>
  <c r="L131" i="16"/>
  <c r="C133" i="16"/>
  <c r="N41" i="16"/>
  <c r="N53" i="16"/>
  <c r="N22" i="16"/>
  <c r="N70" i="16"/>
  <c r="C158" i="16"/>
  <c r="H152" i="16"/>
  <c r="C134" i="16"/>
  <c r="N15" i="16"/>
  <c r="L140" i="16"/>
  <c r="N9" i="16"/>
  <c r="N23" i="16"/>
  <c r="J148" i="16"/>
  <c r="N51" i="16"/>
  <c r="J139" i="16"/>
  <c r="N11" i="16"/>
  <c r="D149" i="16"/>
  <c r="N78" i="16"/>
  <c r="N82" i="16"/>
  <c r="D167" i="16"/>
  <c r="N66" i="16"/>
  <c r="L139" i="16"/>
  <c r="D162" i="16"/>
  <c r="C164" i="16"/>
  <c r="N55" i="16"/>
  <c r="N33" i="16"/>
  <c r="H156" i="16"/>
  <c r="J140" i="16"/>
  <c r="C145" i="16"/>
  <c r="J149" i="17"/>
  <c r="C173" i="17"/>
  <c r="D177" i="17"/>
  <c r="B180" i="17"/>
  <c r="C186" i="17"/>
  <c r="B187" i="17"/>
  <c r="D189" i="17"/>
  <c r="L192" i="17"/>
  <c r="J193" i="17"/>
  <c r="L174" i="17"/>
  <c r="J148" i="17"/>
  <c r="H146" i="17"/>
  <c r="L168" i="17"/>
  <c r="N63" i="17"/>
  <c r="C174" i="17"/>
  <c r="N71" i="17"/>
  <c r="L178" i="17"/>
  <c r="D179" i="17"/>
  <c r="B181" i="17"/>
  <c r="J181" i="17"/>
  <c r="J185" i="17"/>
  <c r="L188" i="17"/>
  <c r="J190" i="17"/>
  <c r="N90" i="17"/>
  <c r="C180" i="17"/>
  <c r="C166" i="17"/>
  <c r="N54" i="17"/>
  <c r="N56" i="17"/>
  <c r="J169" i="17"/>
  <c r="J173" i="17"/>
  <c r="C175" i="17"/>
  <c r="B177" i="17"/>
  <c r="C183" i="17"/>
  <c r="J186" i="17"/>
  <c r="H147" i="17"/>
  <c r="C153" i="17"/>
  <c r="C154" i="17"/>
  <c r="C155" i="17"/>
  <c r="N31" i="17"/>
  <c r="C157" i="17"/>
  <c r="N35" i="17"/>
  <c r="C159" i="17"/>
  <c r="C160" i="17"/>
  <c r="H163" i="17"/>
  <c r="D164" i="17"/>
  <c r="D165" i="17"/>
  <c r="N58" i="17"/>
  <c r="B173" i="17"/>
  <c r="C177" i="17"/>
  <c r="H180" i="17"/>
  <c r="B182" i="17"/>
  <c r="L187" i="17"/>
  <c r="D193" i="17"/>
  <c r="T148" i="17"/>
  <c r="S162" i="17"/>
  <c r="C146" i="17"/>
  <c r="N15" i="17"/>
  <c r="D157" i="17"/>
  <c r="N93" i="17"/>
  <c r="W192" i="17"/>
  <c r="J151" i="17"/>
  <c r="L148" i="17"/>
  <c r="S161" i="17"/>
  <c r="C148" i="17"/>
  <c r="L157" i="17"/>
  <c r="N51" i="17"/>
  <c r="J168" i="17"/>
  <c r="N106" i="17"/>
  <c r="N108" i="17"/>
  <c r="N114" i="17"/>
  <c r="W195" i="17"/>
  <c r="L199" i="17"/>
  <c r="N32" i="34"/>
  <c r="L90" i="34"/>
  <c r="C100" i="34"/>
  <c r="D100" i="34"/>
  <c r="S99" i="34"/>
  <c r="W99" i="34" s="1"/>
  <c r="L97" i="34"/>
  <c r="L94" i="34"/>
  <c r="W85" i="34"/>
  <c r="W101" i="34"/>
  <c r="D88" i="34"/>
  <c r="J88" i="34"/>
  <c r="N47" i="34"/>
  <c r="N50" i="34"/>
  <c r="L95" i="34"/>
  <c r="L87" i="34"/>
  <c r="C87" i="34"/>
  <c r="N18" i="34"/>
  <c r="N52" i="34"/>
  <c r="N27" i="34"/>
  <c r="J90" i="34"/>
  <c r="B85" i="34"/>
  <c r="N15" i="34"/>
  <c r="C103" i="34"/>
  <c r="D104" i="34"/>
  <c r="C85" i="34"/>
  <c r="H95" i="34"/>
  <c r="J98" i="34"/>
  <c r="N13" i="34"/>
  <c r="D90" i="34"/>
  <c r="N44" i="34"/>
  <c r="N22" i="34"/>
  <c r="N55" i="34"/>
  <c r="B96" i="34"/>
  <c r="L97" i="33"/>
  <c r="N41" i="33"/>
  <c r="D105" i="33"/>
  <c r="N13" i="33"/>
  <c r="N15" i="33"/>
  <c r="J86" i="33"/>
  <c r="J87" i="33"/>
  <c r="H100" i="33"/>
  <c r="L103" i="33"/>
  <c r="C104" i="33"/>
  <c r="B85" i="33"/>
  <c r="C94" i="33"/>
  <c r="B210" i="10"/>
  <c r="L182" i="10"/>
  <c r="D184" i="10"/>
  <c r="S183" i="10"/>
  <c r="N58" i="10"/>
  <c r="N60" i="10"/>
  <c r="N75" i="10"/>
  <c r="D191" i="15"/>
  <c r="C201" i="15"/>
  <c r="N58" i="15"/>
  <c r="N26" i="15"/>
  <c r="H211" i="15"/>
  <c r="H188" i="15"/>
  <c r="J184" i="15"/>
  <c r="J173" i="15"/>
  <c r="H170" i="15"/>
  <c r="J166" i="15"/>
  <c r="H163" i="15"/>
  <c r="N91" i="15"/>
  <c r="D185" i="15"/>
  <c r="L173" i="15"/>
  <c r="D163" i="15"/>
  <c r="N32" i="15"/>
  <c r="D165" i="15"/>
  <c r="H196" i="15"/>
  <c r="J185" i="15"/>
  <c r="J177" i="15"/>
  <c r="J174" i="15"/>
  <c r="D206" i="15"/>
  <c r="B202" i="15"/>
  <c r="N104" i="15"/>
  <c r="N108" i="15"/>
  <c r="C214" i="15"/>
  <c r="L211" i="15"/>
  <c r="N80" i="15"/>
  <c r="C205" i="15"/>
  <c r="J207" i="15"/>
  <c r="D213" i="15"/>
  <c r="C185" i="15"/>
  <c r="N49" i="15"/>
  <c r="N41" i="15"/>
  <c r="C208" i="15"/>
  <c r="N66" i="15"/>
  <c r="N117" i="15"/>
  <c r="D186" i="15"/>
  <c r="D175" i="15"/>
  <c r="J163" i="15"/>
  <c r="L195" i="15"/>
  <c r="N52" i="15"/>
  <c r="B172" i="15"/>
  <c r="N10" i="15"/>
  <c r="J188" i="15"/>
  <c r="J203" i="15"/>
  <c r="C211" i="15"/>
  <c r="H166" i="15"/>
  <c r="D180" i="15"/>
  <c r="B189" i="15"/>
  <c r="N89" i="15"/>
  <c r="C200" i="15"/>
  <c r="J165" i="15"/>
  <c r="L184" i="15"/>
  <c r="C191" i="15"/>
  <c r="B164" i="15"/>
  <c r="B208" i="15"/>
  <c r="N43" i="15"/>
  <c r="J209" i="15"/>
  <c r="L178" i="15"/>
  <c r="H171" i="15"/>
  <c r="N103" i="15"/>
  <c r="B183" i="15"/>
  <c r="C166" i="15"/>
  <c r="N63" i="15"/>
  <c r="C177" i="15"/>
  <c r="C197" i="15"/>
  <c r="B177" i="7"/>
  <c r="D190" i="7"/>
  <c r="N74" i="7"/>
  <c r="C179" i="7"/>
  <c r="N87" i="7"/>
  <c r="C184" i="7"/>
  <c r="B147" i="7"/>
  <c r="B159" i="7"/>
  <c r="J179" i="7"/>
  <c r="N72" i="7"/>
  <c r="N52" i="7"/>
  <c r="L179" i="7"/>
  <c r="N66" i="7"/>
  <c r="T183" i="7"/>
  <c r="N59" i="7"/>
  <c r="N25" i="7"/>
  <c r="S177" i="7"/>
  <c r="T177" i="7"/>
  <c r="W145" i="7"/>
  <c r="U183" i="7"/>
  <c r="C194" i="7"/>
  <c r="N80" i="7"/>
  <c r="B179" i="7"/>
  <c r="C183" i="7"/>
  <c r="C161" i="7"/>
  <c r="H157" i="7"/>
  <c r="N76" i="7"/>
  <c r="N26" i="7"/>
  <c r="N22" i="7"/>
  <c r="C155" i="7"/>
  <c r="N62" i="7"/>
  <c r="L154" i="7"/>
  <c r="L153" i="7"/>
  <c r="H193" i="7"/>
  <c r="W156" i="7"/>
  <c r="D179" i="7"/>
  <c r="N102" i="7"/>
  <c r="C190" i="7"/>
  <c r="N37" i="7"/>
  <c r="J192" i="7"/>
  <c r="W180" i="7"/>
  <c r="J172" i="7"/>
  <c r="B145" i="7"/>
  <c r="D149" i="7"/>
  <c r="D153" i="7"/>
  <c r="D161" i="7"/>
  <c r="C154" i="7"/>
  <c r="J152" i="7"/>
  <c r="H156" i="7"/>
  <c r="N48" i="7"/>
  <c r="N23" i="7"/>
  <c r="J164" i="7"/>
  <c r="L160" i="7"/>
  <c r="B175" i="7"/>
  <c r="C180" i="7"/>
  <c r="N96" i="7"/>
  <c r="C191" i="7"/>
  <c r="N46" i="7"/>
  <c r="N21" i="7"/>
  <c r="N29" i="7"/>
  <c r="N77" i="7"/>
  <c r="N85" i="7"/>
  <c r="D150" i="7"/>
  <c r="B193" i="7"/>
  <c r="L188" i="7"/>
  <c r="L180" i="7"/>
  <c r="L176" i="7"/>
  <c r="L172" i="7"/>
  <c r="H168" i="7"/>
  <c r="W164" i="7"/>
  <c r="L143" i="7"/>
  <c r="N110" i="7"/>
  <c r="D177" i="7"/>
  <c r="N104" i="7"/>
  <c r="N61" i="7"/>
  <c r="J163" i="7"/>
  <c r="W143" i="7"/>
  <c r="H143" i="7"/>
  <c r="H180" i="7"/>
  <c r="B185" i="7"/>
  <c r="D163" i="7"/>
  <c r="B156" i="7"/>
  <c r="L191" i="7"/>
  <c r="C177" i="7"/>
  <c r="N53" i="7"/>
  <c r="N28" i="7"/>
  <c r="N41" i="7"/>
  <c r="D159" i="7"/>
  <c r="N14" i="7"/>
  <c r="W150" i="7"/>
  <c r="H172" i="7"/>
  <c r="J161" i="7"/>
  <c r="W151" i="7"/>
  <c r="B169" i="7"/>
  <c r="H149" i="7"/>
  <c r="D195" i="7"/>
  <c r="J167" i="7"/>
  <c r="W148" i="7"/>
  <c r="H87" i="29"/>
  <c r="L94" i="29"/>
  <c r="N26" i="29"/>
  <c r="N40" i="29"/>
  <c r="N54" i="29"/>
  <c r="H97" i="29"/>
  <c r="C101" i="29"/>
  <c r="C105" i="29"/>
  <c r="D96" i="29"/>
  <c r="D86" i="29"/>
  <c r="J88" i="29"/>
  <c r="B109" i="29"/>
  <c r="N58" i="29"/>
  <c r="J95" i="29"/>
  <c r="D142" i="6"/>
  <c r="D82" i="30"/>
  <c r="B85" i="30"/>
  <c r="D77" i="30"/>
  <c r="B80" i="30"/>
  <c r="D81" i="30"/>
  <c r="B84" i="30"/>
  <c r="U80" i="30"/>
  <c r="W80" i="30" s="1"/>
  <c r="N38" i="30"/>
  <c r="N29" i="30"/>
  <c r="C85" i="30"/>
  <c r="H82" i="30"/>
  <c r="L83" i="30"/>
  <c r="C78" i="30"/>
  <c r="T83" i="30"/>
  <c r="U75" i="30"/>
  <c r="C80" i="30"/>
  <c r="C84" i="30"/>
  <c r="S83" i="30"/>
  <c r="B81" i="30"/>
  <c r="C149" i="5"/>
  <c r="B154" i="5"/>
  <c r="D155" i="5"/>
  <c r="J169" i="5"/>
  <c r="L165" i="5"/>
  <c r="W150" i="5"/>
  <c r="H182" i="5"/>
  <c r="B176" i="5"/>
  <c r="N92" i="5"/>
  <c r="J164" i="5"/>
  <c r="L161" i="5"/>
  <c r="L157" i="5"/>
  <c r="N116" i="5"/>
  <c r="N68" i="5"/>
  <c r="N87" i="5"/>
  <c r="N91" i="5"/>
  <c r="B157" i="5"/>
  <c r="C158" i="5"/>
  <c r="D159" i="5"/>
  <c r="B165" i="5"/>
  <c r="B168" i="5"/>
  <c r="D170" i="5"/>
  <c r="C151" i="5"/>
  <c r="N30" i="5"/>
  <c r="W156" i="5"/>
  <c r="D158" i="5"/>
  <c r="N47" i="5"/>
  <c r="D166" i="5"/>
  <c r="N12" i="5"/>
  <c r="C146" i="5"/>
  <c r="D151" i="5"/>
  <c r="N28" i="5"/>
  <c r="L189" i="5"/>
  <c r="H185" i="5"/>
  <c r="J181" i="5"/>
  <c r="H176" i="5"/>
  <c r="B189" i="5"/>
  <c r="N7" i="5"/>
  <c r="D172" i="5"/>
  <c r="D178" i="5"/>
  <c r="B181" i="5"/>
  <c r="C186" i="5"/>
  <c r="C187" i="5"/>
  <c r="B188" i="5"/>
  <c r="D165" i="5"/>
  <c r="H163" i="5"/>
  <c r="J155" i="5"/>
  <c r="L144" i="5"/>
  <c r="J177" i="5"/>
  <c r="J173" i="5"/>
  <c r="B142" i="5"/>
  <c r="N55" i="5"/>
  <c r="N57" i="5"/>
  <c r="N60" i="5"/>
  <c r="H170" i="5"/>
  <c r="L166" i="5"/>
  <c r="J143" i="5"/>
  <c r="J188" i="5"/>
  <c r="L184" i="5"/>
  <c r="H172" i="5"/>
  <c r="N103" i="5"/>
  <c r="N29" i="5"/>
  <c r="C154" i="5"/>
  <c r="N34" i="5"/>
  <c r="J166" i="5"/>
  <c r="W158" i="5"/>
  <c r="W154" i="5"/>
  <c r="H151" i="5"/>
  <c r="H147" i="5"/>
  <c r="J195" i="5"/>
  <c r="D142" i="5"/>
  <c r="N118" i="5"/>
  <c r="N51" i="5"/>
  <c r="C143" i="5"/>
  <c r="B144" i="5"/>
  <c r="D146" i="5"/>
  <c r="C148" i="5"/>
  <c r="N27" i="5"/>
  <c r="W79" i="30"/>
  <c r="N17" i="30"/>
  <c r="J89" i="30"/>
  <c r="W81" i="30"/>
  <c r="H85" i="30"/>
  <c r="D80" i="30"/>
  <c r="N26" i="30"/>
  <c r="L82" i="30"/>
  <c r="D78" i="30"/>
  <c r="J82" i="30"/>
  <c r="C77" i="30"/>
  <c r="N31" i="30"/>
  <c r="N14" i="30"/>
  <c r="H88" i="30"/>
  <c r="L84" i="30"/>
  <c r="D84" i="30"/>
  <c r="H80" i="30"/>
  <c r="J81" i="30"/>
  <c r="J77" i="30"/>
  <c r="B76" i="30"/>
  <c r="D83" i="30"/>
  <c r="J80" i="30"/>
  <c r="D76" i="30"/>
  <c r="J86" i="30"/>
  <c r="H83" i="30"/>
  <c r="L85" i="30"/>
  <c r="B112" i="28"/>
  <c r="C100" i="28"/>
  <c r="B99" i="28"/>
  <c r="N30" i="28"/>
  <c r="N47" i="28"/>
  <c r="L113" i="28"/>
  <c r="T110" i="28"/>
  <c r="N11" i="28"/>
  <c r="N19" i="28"/>
  <c r="N36" i="28"/>
  <c r="N49" i="28"/>
  <c r="H114" i="28"/>
  <c r="S110" i="28"/>
  <c r="D91" i="28"/>
  <c r="B98" i="28"/>
  <c r="B106" i="28"/>
  <c r="N18" i="28"/>
  <c r="B92" i="28"/>
  <c r="D105" i="28"/>
  <c r="D113" i="28"/>
  <c r="L105" i="28"/>
  <c r="C104" i="28"/>
  <c r="C112" i="28"/>
  <c r="N56" i="28"/>
  <c r="H108" i="28"/>
  <c r="D96" i="28"/>
  <c r="D186" i="2"/>
  <c r="C188" i="2"/>
  <c r="N54" i="2"/>
  <c r="D152" i="2"/>
  <c r="B155" i="2"/>
  <c r="W197" i="2"/>
  <c r="W193" i="2"/>
  <c r="W189" i="2"/>
  <c r="W185" i="2"/>
  <c r="B169" i="2"/>
  <c r="D146" i="2"/>
  <c r="L144" i="2"/>
  <c r="N70" i="2"/>
  <c r="N72" i="2"/>
  <c r="D188" i="2"/>
  <c r="W157" i="2"/>
  <c r="W153" i="2"/>
  <c r="C156" i="2"/>
  <c r="W184" i="2"/>
  <c r="N160" i="2"/>
  <c r="D179" i="2"/>
  <c r="D189" i="2"/>
  <c r="N17" i="1"/>
  <c r="D167" i="1"/>
  <c r="L183" i="1"/>
  <c r="W191" i="1"/>
  <c r="N49" i="1"/>
  <c r="L161" i="1"/>
  <c r="C184" i="1"/>
  <c r="C173" i="1"/>
  <c r="H185" i="1"/>
  <c r="C171" i="1"/>
  <c r="D150" i="1"/>
  <c r="N117" i="1"/>
  <c r="N92" i="1"/>
  <c r="N90" i="1"/>
  <c r="D197" i="1"/>
  <c r="C150" i="1"/>
  <c r="N58" i="1"/>
  <c r="B150" i="1"/>
  <c r="H165" i="1"/>
  <c r="H147" i="1"/>
  <c r="W98" i="33"/>
  <c r="J84" i="33"/>
  <c r="H91" i="33"/>
  <c r="D93" i="33"/>
  <c r="D96" i="33"/>
  <c r="N38" i="33"/>
  <c r="C98" i="33"/>
  <c r="C99" i="33"/>
  <c r="C101" i="33"/>
  <c r="C103" i="33"/>
  <c r="B92" i="33"/>
  <c r="N9" i="33"/>
  <c r="H98" i="33"/>
  <c r="H102" i="33"/>
  <c r="W95" i="33"/>
  <c r="N52" i="33"/>
  <c r="W99" i="33"/>
  <c r="J85" i="33"/>
  <c r="H86" i="33"/>
  <c r="L87" i="33"/>
  <c r="H88" i="33"/>
  <c r="D98" i="33"/>
  <c r="D99" i="33"/>
  <c r="D100" i="33"/>
  <c r="D101" i="33"/>
  <c r="D102" i="33"/>
  <c r="D103" i="33"/>
  <c r="J88" i="33"/>
  <c r="S193" i="9"/>
  <c r="D188" i="9"/>
  <c r="B164" i="9"/>
  <c r="B193" i="9"/>
  <c r="B206" i="9"/>
  <c r="L181" i="9"/>
  <c r="N76" i="9"/>
  <c r="L207" i="9"/>
  <c r="D202" i="9"/>
  <c r="L167" i="9"/>
  <c r="U180" i="9"/>
  <c r="U189" i="9"/>
  <c r="N27" i="9"/>
  <c r="B171" i="9"/>
  <c r="N34" i="9"/>
  <c r="H173" i="9"/>
  <c r="B189" i="9"/>
  <c r="N72" i="9"/>
  <c r="L199" i="9"/>
  <c r="J178" i="9"/>
  <c r="L184" i="9"/>
  <c r="T198" i="9"/>
  <c r="W198" i="9" s="1"/>
  <c r="U164" i="9"/>
  <c r="N10" i="9"/>
  <c r="B162" i="9"/>
  <c r="H164" i="9"/>
  <c r="D167" i="9"/>
  <c r="C169" i="9"/>
  <c r="B173" i="9"/>
  <c r="L193" i="9"/>
  <c r="D194" i="9"/>
  <c r="N94" i="9"/>
  <c r="N119" i="9"/>
  <c r="N122" i="9"/>
  <c r="N126" i="9"/>
  <c r="N128" i="9"/>
  <c r="W161" i="9"/>
  <c r="W213" i="9"/>
  <c r="C214" i="9"/>
  <c r="T206" i="9"/>
  <c r="J173" i="9"/>
  <c r="U202" i="9"/>
  <c r="T191" i="9"/>
  <c r="S189" i="9"/>
  <c r="W189" i="9" s="1"/>
  <c r="D169" i="9"/>
  <c r="L171" i="9"/>
  <c r="D174" i="9"/>
  <c r="L175" i="9"/>
  <c r="L176" i="9"/>
  <c r="D177" i="9"/>
  <c r="D178" i="9"/>
  <c r="B180" i="9"/>
  <c r="H180" i="9"/>
  <c r="J181" i="9"/>
  <c r="D182" i="9"/>
  <c r="N59" i="9"/>
  <c r="D186" i="9"/>
  <c r="H187" i="9"/>
  <c r="D189" i="9"/>
  <c r="J190" i="9"/>
  <c r="N77" i="9"/>
  <c r="W173" i="9"/>
  <c r="D159" i="9"/>
  <c r="N87" i="9"/>
  <c r="U193" i="9"/>
  <c r="L164" i="9"/>
  <c r="L170" i="9"/>
  <c r="C193" i="9"/>
  <c r="J203" i="9"/>
  <c r="N112" i="9"/>
  <c r="L166" i="9"/>
  <c r="D171" i="9"/>
  <c r="C178" i="9"/>
  <c r="B183" i="9"/>
  <c r="D187" i="9"/>
  <c r="C189" i="9"/>
  <c r="B192" i="9"/>
  <c r="C195" i="9"/>
  <c r="J206" i="9"/>
  <c r="T180" i="9"/>
  <c r="J161" i="9"/>
  <c r="N17" i="9"/>
  <c r="N32" i="9"/>
  <c r="L172" i="9"/>
  <c r="L177" i="9"/>
  <c r="D179" i="9"/>
  <c r="B181" i="9"/>
  <c r="N54" i="9"/>
  <c r="L182" i="9"/>
  <c r="B186" i="9"/>
  <c r="B187" i="9"/>
  <c r="H189" i="9"/>
  <c r="D192" i="9"/>
  <c r="N93" i="9"/>
  <c r="N109" i="9"/>
  <c r="J208" i="9"/>
  <c r="N118" i="9"/>
  <c r="N120" i="9"/>
  <c r="W169" i="9"/>
  <c r="N95" i="9"/>
  <c r="N47" i="22"/>
  <c r="B170" i="22"/>
  <c r="H171" i="22"/>
  <c r="J171" i="22"/>
  <c r="N12" i="22"/>
  <c r="N13" i="22"/>
  <c r="B157" i="22"/>
  <c r="N18" i="22"/>
  <c r="B159" i="22"/>
  <c r="D160" i="22"/>
  <c r="N35" i="22"/>
  <c r="B165" i="22"/>
  <c r="H186" i="22"/>
  <c r="L186" i="22"/>
  <c r="J182" i="22"/>
  <c r="L178" i="22"/>
  <c r="J178" i="22"/>
  <c r="H178" i="22"/>
  <c r="H168" i="22"/>
  <c r="H164" i="22"/>
  <c r="J164" i="22"/>
  <c r="H158" i="22"/>
  <c r="C204" i="22"/>
  <c r="B174" i="22"/>
  <c r="B181" i="22"/>
  <c r="T156" i="22"/>
  <c r="H156" i="22"/>
  <c r="U156" i="22"/>
  <c r="S156" i="22"/>
  <c r="C161" i="22"/>
  <c r="J201" i="22"/>
  <c r="H197" i="22"/>
  <c r="L197" i="22"/>
  <c r="J197" i="22"/>
  <c r="J193" i="22"/>
  <c r="H189" i="22"/>
  <c r="L185" i="22"/>
  <c r="H185" i="22"/>
  <c r="H181" i="22"/>
  <c r="L181" i="22"/>
  <c r="H170" i="22"/>
  <c r="L160" i="22"/>
  <c r="J158" i="22"/>
  <c r="U204" i="22"/>
  <c r="N8" i="22"/>
  <c r="H193" i="22"/>
  <c r="J189" i="22"/>
  <c r="B204" i="22"/>
  <c r="C206" i="22"/>
  <c r="N121" i="22"/>
  <c r="W171" i="22"/>
  <c r="W195" i="22"/>
  <c r="J185" i="22"/>
  <c r="L177" i="22"/>
  <c r="H163" i="22"/>
  <c r="H160" i="22"/>
  <c r="T172" i="22"/>
  <c r="S172" i="22"/>
  <c r="H172" i="22"/>
  <c r="N105" i="22"/>
  <c r="D198" i="22"/>
  <c r="D167" i="22"/>
  <c r="N39" i="22"/>
  <c r="N61" i="22"/>
  <c r="U180" i="22"/>
  <c r="L180" i="22"/>
  <c r="L190" i="22"/>
  <c r="H190" i="22"/>
  <c r="J190" i="22"/>
  <c r="J180" i="22"/>
  <c r="J186" i="22"/>
  <c r="S204" i="22"/>
  <c r="C168" i="22"/>
  <c r="J177" i="22"/>
  <c r="D168" i="22"/>
  <c r="D188" i="22"/>
  <c r="N84" i="22"/>
  <c r="T190" i="22"/>
  <c r="U190" i="22"/>
  <c r="S196" i="22"/>
  <c r="T196" i="22"/>
  <c r="N103" i="22"/>
  <c r="B197" i="22"/>
  <c r="L155" i="22"/>
  <c r="J155" i="22"/>
  <c r="L204" i="22"/>
  <c r="J204" i="22"/>
  <c r="H204" i="22"/>
  <c r="J196" i="22"/>
  <c r="N76" i="22"/>
  <c r="B184" i="22"/>
  <c r="N85" i="22"/>
  <c r="B188" i="22"/>
  <c r="S174" i="22"/>
  <c r="U174" i="22"/>
  <c r="C180" i="22"/>
  <c r="L171" i="22"/>
  <c r="L168" i="22"/>
  <c r="J181" i="22"/>
  <c r="N54" i="22"/>
  <c r="N66" i="22"/>
  <c r="B179" i="22"/>
  <c r="D181" i="22"/>
  <c r="N70" i="22"/>
  <c r="U189" i="22"/>
  <c r="S189" i="22"/>
  <c r="B203" i="22"/>
  <c r="N115" i="22"/>
  <c r="D204" i="22"/>
  <c r="N122" i="22"/>
  <c r="B206" i="22"/>
  <c r="H180" i="22"/>
  <c r="J172" i="22"/>
  <c r="J156" i="22"/>
  <c r="D161" i="22"/>
  <c r="L164" i="22"/>
  <c r="D169" i="22"/>
  <c r="D170" i="22"/>
  <c r="C172" i="22"/>
  <c r="D175" i="22"/>
  <c r="W166" i="22"/>
  <c r="J203" i="22"/>
  <c r="J199" i="22"/>
  <c r="J195" i="22"/>
  <c r="J166" i="22"/>
  <c r="T170" i="22"/>
  <c r="L156" i="22"/>
  <c r="H196" i="22"/>
  <c r="N33" i="22"/>
  <c r="D172" i="22"/>
  <c r="N60" i="22"/>
  <c r="C177" i="22"/>
  <c r="D184" i="22"/>
  <c r="C198" i="22"/>
  <c r="C200" i="22"/>
  <c r="N30" i="22"/>
  <c r="W192" i="22"/>
  <c r="B178" i="22"/>
  <c r="D187" i="22"/>
  <c r="C191" i="22"/>
  <c r="N90" i="22"/>
  <c r="T164" i="22"/>
  <c r="W164" i="22" s="1"/>
  <c r="D182" i="22"/>
  <c r="C190" i="22"/>
  <c r="D191" i="22"/>
  <c r="D199" i="22"/>
  <c r="B208" i="22"/>
  <c r="B189" i="22"/>
  <c r="C201" i="22"/>
  <c r="C208" i="22"/>
  <c r="N86" i="22"/>
  <c r="N65" i="22"/>
  <c r="C157" i="22"/>
  <c r="N15" i="22"/>
  <c r="C169" i="22"/>
  <c r="B171" i="22"/>
  <c r="C181" i="22"/>
  <c r="N79" i="22"/>
  <c r="C188" i="22"/>
  <c r="H202" i="22"/>
  <c r="W201" i="22"/>
  <c r="N18" i="23"/>
  <c r="H198" i="23"/>
  <c r="J198" i="23"/>
  <c r="J158" i="23"/>
  <c r="L195" i="23"/>
  <c r="L185" i="23"/>
  <c r="J179" i="23"/>
  <c r="N53" i="23"/>
  <c r="D183" i="23"/>
  <c r="N55" i="23"/>
  <c r="H156" i="23"/>
  <c r="H176" i="23"/>
  <c r="N24" i="23"/>
  <c r="U155" i="23"/>
  <c r="J161" i="23"/>
  <c r="L189" i="23"/>
  <c r="J199" i="23"/>
  <c r="T196" i="23"/>
  <c r="S189" i="23"/>
  <c r="J204" i="23"/>
  <c r="H192" i="23"/>
  <c r="H173" i="23"/>
  <c r="S158" i="23"/>
  <c r="H162" i="23"/>
  <c r="N77" i="23"/>
  <c r="D184" i="23"/>
  <c r="C158" i="23"/>
  <c r="C179" i="23"/>
  <c r="U185" i="23"/>
  <c r="N79" i="23"/>
  <c r="L199" i="23"/>
  <c r="D156" i="23"/>
  <c r="N21" i="23"/>
  <c r="H165" i="23"/>
  <c r="D193" i="23"/>
  <c r="C203" i="23"/>
  <c r="C204" i="23"/>
  <c r="D194" i="23"/>
  <c r="H172" i="23"/>
  <c r="J177" i="23"/>
  <c r="N28" i="23"/>
  <c r="J185" i="23"/>
  <c r="J172" i="23"/>
  <c r="L165" i="23"/>
  <c r="B195" i="23"/>
  <c r="J189" i="23"/>
  <c r="N69" i="23"/>
  <c r="J195" i="23"/>
  <c r="C182" i="23"/>
  <c r="L192" i="23"/>
  <c r="J173" i="23"/>
  <c r="J162" i="23"/>
  <c r="B180" i="23"/>
  <c r="J183" i="23"/>
  <c r="C163" i="23"/>
  <c r="C169" i="23"/>
  <c r="D203" i="23"/>
  <c r="B189" i="23"/>
  <c r="T194" i="23"/>
  <c r="N111" i="23"/>
  <c r="T168" i="23"/>
  <c r="J163" i="23"/>
  <c r="J171" i="23"/>
  <c r="J181" i="23"/>
  <c r="H183" i="23"/>
  <c r="U158" i="23"/>
  <c r="J155" i="23"/>
  <c r="T166" i="23"/>
  <c r="H186" i="23"/>
  <c r="L183" i="23"/>
  <c r="B188" i="23"/>
  <c r="B179" i="23"/>
  <c r="N97" i="23"/>
  <c r="H190" i="23"/>
  <c r="S185" i="23"/>
  <c r="D155" i="23"/>
  <c r="C156" i="23"/>
  <c r="B157" i="23"/>
  <c r="D162" i="23"/>
  <c r="D163" i="23"/>
  <c r="C165" i="23"/>
  <c r="N37" i="23"/>
  <c r="D180" i="23"/>
  <c r="L182" i="23"/>
  <c r="B201" i="23"/>
  <c r="W176" i="23"/>
  <c r="W201" i="23"/>
  <c r="T183" i="23"/>
  <c r="N22" i="23"/>
  <c r="H196" i="23"/>
  <c r="D195" i="23"/>
  <c r="L177" i="23"/>
  <c r="T155" i="23"/>
  <c r="B154" i="23"/>
  <c r="T158" i="23"/>
  <c r="D167" i="23"/>
  <c r="C183" i="23"/>
  <c r="H201" i="23"/>
  <c r="D189" i="23"/>
  <c r="U194" i="23"/>
  <c r="L201" i="23"/>
  <c r="U168" i="23"/>
  <c r="T184" i="23"/>
  <c r="L163" i="23"/>
  <c r="S175" i="23"/>
  <c r="L155" i="23"/>
  <c r="B191" i="23"/>
  <c r="U166" i="23"/>
  <c r="N44" i="23"/>
  <c r="J154" i="23"/>
  <c r="H155" i="23"/>
  <c r="N20" i="23"/>
  <c r="B162" i="23"/>
  <c r="D174" i="23"/>
  <c r="C175" i="23"/>
  <c r="D181" i="23"/>
  <c r="N75" i="23"/>
  <c r="N92" i="23"/>
  <c r="W159" i="23"/>
  <c r="W177" i="23"/>
  <c r="J187" i="24"/>
  <c r="H179" i="24"/>
  <c r="J169" i="24"/>
  <c r="N58" i="24"/>
  <c r="L165" i="24"/>
  <c r="N9" i="24"/>
  <c r="B142" i="24"/>
  <c r="N11" i="24"/>
  <c r="B143" i="24"/>
  <c r="H146" i="24"/>
  <c r="L146" i="24"/>
  <c r="N36" i="24"/>
  <c r="B156" i="24"/>
  <c r="L157" i="24"/>
  <c r="H157" i="24"/>
  <c r="J157" i="24"/>
  <c r="L158" i="24"/>
  <c r="H158" i="24"/>
  <c r="J158" i="24"/>
  <c r="B165" i="24"/>
  <c r="L170" i="24"/>
  <c r="J170" i="24"/>
  <c r="L171" i="24"/>
  <c r="J171" i="24"/>
  <c r="D175" i="24"/>
  <c r="B176" i="24"/>
  <c r="J189" i="24"/>
  <c r="U189" i="24"/>
  <c r="S189" i="24"/>
  <c r="C194" i="24"/>
  <c r="N112" i="24"/>
  <c r="S181" i="24"/>
  <c r="J181" i="24"/>
  <c r="W190" i="24"/>
  <c r="W194" i="24"/>
  <c r="H164" i="24"/>
  <c r="L164" i="24"/>
  <c r="D166" i="24"/>
  <c r="N56" i="24"/>
  <c r="C170" i="24"/>
  <c r="N64" i="24"/>
  <c r="N78" i="24"/>
  <c r="U183" i="24"/>
  <c r="S183" i="24"/>
  <c r="C189" i="24"/>
  <c r="D183" i="24"/>
  <c r="T183" i="24"/>
  <c r="J142" i="24"/>
  <c r="H142" i="24"/>
  <c r="L143" i="24"/>
  <c r="J143" i="24"/>
  <c r="L145" i="24"/>
  <c r="H145" i="24"/>
  <c r="J145" i="24"/>
  <c r="L155" i="24"/>
  <c r="J155" i="24"/>
  <c r="H155" i="24"/>
  <c r="L156" i="24"/>
  <c r="H156" i="24"/>
  <c r="N39" i="24"/>
  <c r="T165" i="24"/>
  <c r="U165" i="24"/>
  <c r="C175" i="24"/>
  <c r="J177" i="24"/>
  <c r="H177" i="24"/>
  <c r="L177" i="24"/>
  <c r="B183" i="24"/>
  <c r="B184" i="24"/>
  <c r="S184" i="24"/>
  <c r="N100" i="24"/>
  <c r="B188" i="24"/>
  <c r="J185" i="24"/>
  <c r="S176" i="24"/>
  <c r="H143" i="24"/>
  <c r="J168" i="24"/>
  <c r="L169" i="24"/>
  <c r="J192" i="24"/>
  <c r="J175" i="24"/>
  <c r="N92" i="24"/>
  <c r="J156" i="24"/>
  <c r="C157" i="24"/>
  <c r="C173" i="24"/>
  <c r="H175" i="24"/>
  <c r="W158" i="24"/>
  <c r="H178" i="24"/>
  <c r="J165" i="24"/>
  <c r="T184" i="24"/>
  <c r="L175" i="24"/>
  <c r="L153" i="24"/>
  <c r="D154" i="24"/>
  <c r="H172" i="24"/>
  <c r="L163" i="24"/>
  <c r="C176" i="24"/>
  <c r="L181" i="24"/>
  <c r="D190" i="24"/>
  <c r="H153" i="24"/>
  <c r="B191" i="24"/>
  <c r="B162" i="24"/>
  <c r="B163" i="24"/>
  <c r="D174" i="24"/>
  <c r="D176" i="24"/>
  <c r="N84" i="24"/>
  <c r="C181" i="24"/>
  <c r="U153" i="24"/>
  <c r="W182" i="24"/>
  <c r="N51" i="24"/>
  <c r="B175" i="24"/>
  <c r="B180" i="24"/>
  <c r="D155" i="24"/>
  <c r="D188" i="24"/>
  <c r="J153" i="24"/>
  <c r="H189" i="24"/>
  <c r="B171" i="24"/>
  <c r="B185" i="24"/>
  <c r="N35" i="24"/>
  <c r="C162" i="24"/>
  <c r="J174" i="24"/>
  <c r="N74" i="24"/>
  <c r="L180" i="24"/>
  <c r="B192" i="24"/>
  <c r="B193" i="24"/>
  <c r="L193" i="24"/>
  <c r="W170" i="24"/>
  <c r="D156" i="24"/>
  <c r="D178" i="24"/>
  <c r="D163" i="24"/>
  <c r="H181" i="24"/>
  <c r="B146" i="24"/>
  <c r="D151" i="24"/>
  <c r="D162" i="24"/>
  <c r="C168" i="24"/>
  <c r="C180" i="24"/>
  <c r="N94" i="24"/>
  <c r="W142" i="24"/>
  <c r="B197" i="25"/>
  <c r="B187" i="25"/>
  <c r="N92" i="25"/>
  <c r="N93" i="25"/>
  <c r="J190" i="25"/>
  <c r="T190" i="25"/>
  <c r="H191" i="25"/>
  <c r="J191" i="25"/>
  <c r="L178" i="25"/>
  <c r="C190" i="25"/>
  <c r="H178" i="25"/>
  <c r="B181" i="25"/>
  <c r="N80" i="25"/>
  <c r="H184" i="25"/>
  <c r="T184" i="25"/>
  <c r="C184" i="25"/>
  <c r="L186" i="25"/>
  <c r="B148" i="25"/>
  <c r="N14" i="25"/>
  <c r="B149" i="25"/>
  <c r="N16" i="25"/>
  <c r="W185" i="25"/>
  <c r="L182" i="25"/>
  <c r="J182" i="25"/>
  <c r="H182" i="25"/>
  <c r="B176" i="25"/>
  <c r="J165" i="25"/>
  <c r="B188" i="25"/>
  <c r="U154" i="25"/>
  <c r="S154" i="25"/>
  <c r="T154" i="25"/>
  <c r="L155" i="25"/>
  <c r="H155" i="25"/>
  <c r="B163" i="25"/>
  <c r="N44" i="25"/>
  <c r="L170" i="25"/>
  <c r="U170" i="25"/>
  <c r="H170" i="25"/>
  <c r="T170" i="25"/>
  <c r="B178" i="25"/>
  <c r="W165" i="25"/>
  <c r="B146" i="25"/>
  <c r="L146" i="25"/>
  <c r="J146" i="25"/>
  <c r="H146" i="25"/>
  <c r="J148" i="25"/>
  <c r="H148" i="25"/>
  <c r="T155" i="25"/>
  <c r="U155" i="25"/>
  <c r="L156" i="25"/>
  <c r="J156" i="25"/>
  <c r="J157" i="25"/>
  <c r="L157" i="25"/>
  <c r="L158" i="25"/>
  <c r="J158" i="25"/>
  <c r="H158" i="25"/>
  <c r="R47" i="25"/>
  <c r="H164" i="25" s="1"/>
  <c r="L171" i="25"/>
  <c r="J171" i="25"/>
  <c r="C178" i="25"/>
  <c r="L190" i="25"/>
  <c r="H186" i="25"/>
  <c r="T158" i="25"/>
  <c r="J151" i="25"/>
  <c r="H150" i="25"/>
  <c r="U179" i="25"/>
  <c r="D182" i="25"/>
  <c r="L198" i="25"/>
  <c r="J186" i="25"/>
  <c r="S171" i="25"/>
  <c r="S180" i="25"/>
  <c r="L151" i="25"/>
  <c r="H190" i="25"/>
  <c r="J150" i="25"/>
  <c r="H180" i="25"/>
  <c r="H185" i="25"/>
  <c r="H173" i="25"/>
  <c r="L147" i="25"/>
  <c r="C158" i="25"/>
  <c r="H181" i="25"/>
  <c r="N86" i="25"/>
  <c r="N109" i="25"/>
  <c r="N113" i="25"/>
  <c r="W172" i="25"/>
  <c r="W194" i="25"/>
  <c r="B183" i="25"/>
  <c r="W146" i="25"/>
  <c r="H192" i="25"/>
  <c r="S158" i="25"/>
  <c r="T171" i="25"/>
  <c r="J180" i="25"/>
  <c r="H176" i="25"/>
  <c r="J162" i="25"/>
  <c r="J192" i="25"/>
  <c r="B167" i="25"/>
  <c r="J145" i="25"/>
  <c r="B185" i="25"/>
  <c r="T145" i="25"/>
  <c r="H152" i="25"/>
  <c r="N84" i="25"/>
  <c r="C155" i="25"/>
  <c r="N49" i="25"/>
  <c r="B166" i="25"/>
  <c r="L167" i="25"/>
  <c r="D168" i="25"/>
  <c r="D169" i="25"/>
  <c r="D170" i="25"/>
  <c r="N63" i="25"/>
  <c r="C173" i="25"/>
  <c r="B174" i="25"/>
  <c r="N69" i="25"/>
  <c r="D177" i="25"/>
  <c r="J193" i="25"/>
  <c r="W192" i="25"/>
  <c r="B198" i="25"/>
  <c r="C198" i="25"/>
  <c r="B150" i="25"/>
  <c r="B160" i="25"/>
  <c r="D163" i="25"/>
  <c r="N47" i="25"/>
  <c r="C171" i="25"/>
  <c r="C191" i="25"/>
  <c r="N106" i="25"/>
  <c r="N108" i="25"/>
  <c r="W196" i="25"/>
  <c r="C149" i="26"/>
  <c r="H148" i="26"/>
  <c r="L147" i="26"/>
  <c r="C133" i="26"/>
  <c r="C139" i="26"/>
  <c r="U141" i="26"/>
  <c r="B127" i="26"/>
  <c r="J124" i="26"/>
  <c r="L153" i="26"/>
  <c r="N50" i="26"/>
  <c r="B131" i="26"/>
  <c r="B136" i="26"/>
  <c r="H143" i="26"/>
  <c r="L135" i="26"/>
  <c r="N38" i="26"/>
  <c r="L157" i="26"/>
  <c r="H153" i="26"/>
  <c r="H156" i="26"/>
  <c r="J147" i="26"/>
  <c r="J154" i="26"/>
  <c r="S141" i="26"/>
  <c r="H141" i="26"/>
  <c r="H125" i="26"/>
  <c r="L142" i="26"/>
  <c r="U153" i="26"/>
  <c r="J144" i="26"/>
  <c r="B130" i="26"/>
  <c r="T131" i="26"/>
  <c r="B140" i="26"/>
  <c r="D131" i="26"/>
  <c r="N26" i="26"/>
  <c r="B133" i="26"/>
  <c r="H135" i="26"/>
  <c r="C137" i="26"/>
  <c r="N72" i="26"/>
  <c r="C158" i="26"/>
  <c r="W158" i="26"/>
  <c r="J153" i="26"/>
  <c r="N19" i="26"/>
  <c r="L143" i="26"/>
  <c r="N62" i="26"/>
  <c r="H147" i="26"/>
  <c r="B142" i="26"/>
  <c r="C156" i="26"/>
  <c r="H157" i="26"/>
  <c r="H131" i="26"/>
  <c r="B146" i="26"/>
  <c r="J134" i="26"/>
  <c r="J150" i="26"/>
  <c r="L136" i="26"/>
  <c r="L131" i="26"/>
  <c r="S131" i="26"/>
  <c r="D135" i="26"/>
  <c r="J142" i="26"/>
  <c r="D126" i="26"/>
  <c r="C151" i="26"/>
  <c r="B152" i="26"/>
  <c r="N79" i="26"/>
  <c r="D141" i="26"/>
  <c r="N30" i="26"/>
  <c r="T136" i="26"/>
  <c r="H136" i="26"/>
  <c r="U136" i="26"/>
  <c r="D147" i="26"/>
  <c r="U135" i="26"/>
  <c r="T147" i="26"/>
  <c r="C138" i="26"/>
  <c r="J140" i="26"/>
  <c r="L150" i="26"/>
  <c r="N36" i="26"/>
  <c r="J126" i="26"/>
  <c r="B145" i="26"/>
  <c r="H124" i="26"/>
  <c r="L126" i="26"/>
  <c r="C127" i="26"/>
  <c r="N18" i="26"/>
  <c r="U140" i="26"/>
  <c r="N49" i="26"/>
  <c r="C153" i="26"/>
  <c r="C142" i="26"/>
  <c r="D140" i="26"/>
  <c r="C157" i="26"/>
  <c r="U148" i="26"/>
  <c r="C148" i="26"/>
  <c r="T153" i="26"/>
  <c r="J135" i="26"/>
  <c r="N7" i="26"/>
  <c r="N9" i="26"/>
  <c r="N11" i="26"/>
  <c r="C129" i="26"/>
  <c r="L137" i="26"/>
  <c r="S140" i="26"/>
  <c r="N61" i="26"/>
  <c r="C150" i="26"/>
  <c r="S96" i="38"/>
  <c r="J99" i="38"/>
  <c r="W91" i="38"/>
  <c r="T104" i="38"/>
  <c r="S109" i="38"/>
  <c r="U96" i="38"/>
  <c r="W94" i="38"/>
  <c r="W97" i="38"/>
  <c r="N25" i="38"/>
  <c r="W103" i="38"/>
  <c r="T108" i="38"/>
  <c r="E110" i="38"/>
  <c r="H90" i="38"/>
  <c r="J108" i="38"/>
  <c r="H105" i="38"/>
  <c r="J98" i="38"/>
  <c r="C131" i="36"/>
  <c r="B115" i="36"/>
  <c r="B130" i="36"/>
  <c r="C133" i="36"/>
  <c r="J116" i="36"/>
  <c r="J121" i="36"/>
  <c r="T117" i="36"/>
  <c r="T129" i="36"/>
  <c r="N72" i="36"/>
  <c r="N52" i="36"/>
  <c r="N58" i="36"/>
  <c r="N53" i="36"/>
  <c r="N60" i="36"/>
  <c r="H135" i="36"/>
  <c r="L127" i="36"/>
  <c r="J117" i="36"/>
  <c r="H120" i="36"/>
  <c r="H131" i="36"/>
  <c r="U129" i="36"/>
  <c r="H130" i="36"/>
  <c r="S117" i="36"/>
  <c r="N12" i="36"/>
  <c r="N40" i="36"/>
  <c r="J134" i="36"/>
  <c r="D125" i="36"/>
  <c r="T136" i="36"/>
  <c r="H117" i="36"/>
  <c r="C135" i="36"/>
  <c r="N8" i="36"/>
  <c r="N16" i="36"/>
  <c r="C119" i="36"/>
  <c r="N28" i="36"/>
  <c r="N36" i="36"/>
  <c r="N39" i="36"/>
  <c r="D131" i="36"/>
  <c r="D129" i="36"/>
  <c r="N56" i="36"/>
  <c r="J133" i="36"/>
  <c r="L126" i="36"/>
  <c r="J122" i="36"/>
  <c r="W120" i="36"/>
  <c r="W113" i="36"/>
  <c r="B136" i="36"/>
  <c r="J120" i="36"/>
  <c r="L120" i="36"/>
  <c r="N14" i="36"/>
  <c r="D120" i="36"/>
  <c r="D124" i="36"/>
  <c r="C127" i="36"/>
  <c r="N42" i="36"/>
  <c r="D130" i="36"/>
  <c r="N55" i="36"/>
  <c r="D134" i="36"/>
  <c r="N50" i="36"/>
  <c r="N57" i="36"/>
  <c r="D135" i="36"/>
  <c r="L132" i="36"/>
  <c r="H129" i="36"/>
  <c r="L125" i="36"/>
  <c r="L119" i="36"/>
  <c r="N64" i="36"/>
  <c r="T135" i="36"/>
  <c r="W116" i="36"/>
  <c r="B121" i="36"/>
  <c r="C125" i="36"/>
  <c r="C121" i="36"/>
  <c r="N68" i="36"/>
  <c r="N74" i="36"/>
  <c r="J127" i="36"/>
  <c r="U122" i="36"/>
  <c r="D117" i="36"/>
  <c r="H133" i="36"/>
  <c r="L113" i="36"/>
  <c r="U132" i="36"/>
  <c r="C116" i="36"/>
  <c r="B132" i="36"/>
  <c r="L133" i="36"/>
  <c r="H126" i="36"/>
  <c r="U133" i="36"/>
  <c r="B135" i="36"/>
  <c r="L135" i="36"/>
  <c r="W126" i="36"/>
  <c r="N25" i="36"/>
  <c r="N45" i="36"/>
  <c r="N65" i="36"/>
  <c r="N69" i="36"/>
  <c r="N73" i="36"/>
  <c r="U123" i="36"/>
  <c r="H118" i="36"/>
  <c r="N61" i="36"/>
  <c r="J130" i="36"/>
  <c r="D114" i="36"/>
  <c r="B117" i="36"/>
  <c r="B125" i="36"/>
  <c r="N24" i="36"/>
  <c r="N34" i="36"/>
  <c r="C130" i="36"/>
  <c r="N66" i="36"/>
  <c r="N70" i="36"/>
  <c r="N59" i="36"/>
  <c r="E113" i="36"/>
  <c r="C118" i="36"/>
  <c r="N31" i="36"/>
  <c r="B131" i="36"/>
  <c r="C134" i="36"/>
  <c r="H134" i="36"/>
  <c r="H132" i="36"/>
  <c r="L134" i="36"/>
  <c r="U118" i="36"/>
  <c r="N15" i="36"/>
  <c r="D118" i="36"/>
  <c r="N38" i="36"/>
  <c r="L118" i="36"/>
  <c r="L114" i="36"/>
  <c r="J136" i="36"/>
  <c r="S118" i="36"/>
  <c r="C117" i="36"/>
  <c r="N18" i="36"/>
  <c r="S134" i="36"/>
  <c r="J114" i="36"/>
  <c r="J132" i="36"/>
  <c r="S114" i="36"/>
  <c r="L129" i="36"/>
  <c r="N37" i="36"/>
  <c r="H114" i="36"/>
  <c r="C114" i="36"/>
  <c r="B122" i="36"/>
  <c r="H123" i="36"/>
  <c r="B119" i="36"/>
  <c r="J129" i="36"/>
  <c r="U136" i="36"/>
  <c r="L122" i="36"/>
  <c r="J135" i="36"/>
  <c r="T132" i="36"/>
  <c r="D115" i="36"/>
  <c r="L123" i="36"/>
  <c r="U115" i="36"/>
  <c r="H121" i="36"/>
  <c r="C122" i="36"/>
  <c r="J123" i="36"/>
  <c r="B129" i="36"/>
  <c r="J119" i="36"/>
  <c r="N47" i="36"/>
  <c r="U134" i="36"/>
  <c r="B133" i="36"/>
  <c r="H128" i="36"/>
  <c r="H124" i="36"/>
  <c r="N32" i="36"/>
  <c r="S121" i="36"/>
  <c r="N17" i="36"/>
  <c r="N7" i="36"/>
  <c r="B127" i="36"/>
  <c r="N30" i="36"/>
  <c r="J124" i="36"/>
  <c r="N44" i="36"/>
  <c r="B124" i="36"/>
  <c r="L115" i="36"/>
  <c r="S135" i="36"/>
  <c r="T121" i="36"/>
  <c r="H127" i="36"/>
  <c r="J118" i="36"/>
  <c r="C128" i="36"/>
  <c r="T114" i="36"/>
  <c r="H136" i="36"/>
  <c r="H119" i="36"/>
  <c r="D127" i="36"/>
  <c r="W130" i="36"/>
  <c r="B123" i="36"/>
  <c r="H125" i="36"/>
  <c r="L136" i="36"/>
  <c r="N48" i="36"/>
  <c r="C136" i="36"/>
  <c r="S127" i="36"/>
  <c r="W127" i="36" s="1"/>
  <c r="J113" i="36"/>
  <c r="N43" i="36"/>
  <c r="H122" i="36"/>
  <c r="L117" i="36"/>
  <c r="U175" i="17"/>
  <c r="H169" i="17"/>
  <c r="N33" i="17"/>
  <c r="N29" i="17"/>
  <c r="W145" i="17"/>
  <c r="B154" i="17"/>
  <c r="B185" i="17"/>
  <c r="J192" i="17"/>
  <c r="D197" i="17"/>
  <c r="T179" i="17"/>
  <c r="S178" i="17"/>
  <c r="B157" i="17"/>
  <c r="L152" i="17"/>
  <c r="J163" i="17"/>
  <c r="L156" i="17"/>
  <c r="N8" i="17"/>
  <c r="H181" i="17"/>
  <c r="L175" i="17"/>
  <c r="D145" i="17"/>
  <c r="L163" i="17"/>
  <c r="C165" i="17"/>
  <c r="N60" i="17"/>
  <c r="D172" i="17"/>
  <c r="L181" i="17"/>
  <c r="N91" i="17"/>
  <c r="C188" i="17"/>
  <c r="D194" i="17"/>
  <c r="W163" i="17"/>
  <c r="H199" i="17"/>
  <c r="B193" i="17"/>
  <c r="W177" i="17"/>
  <c r="B174" i="17"/>
  <c r="N99" i="17"/>
  <c r="S182" i="17"/>
  <c r="H145" i="17"/>
  <c r="H186" i="17"/>
  <c r="H192" i="17"/>
  <c r="L196" i="17"/>
  <c r="H162" i="17"/>
  <c r="N25" i="17"/>
  <c r="H176" i="17"/>
  <c r="T157" i="17"/>
  <c r="B153" i="17"/>
  <c r="B167" i="17"/>
  <c r="S154" i="17"/>
  <c r="S156" i="17"/>
  <c r="H191" i="17"/>
  <c r="B148" i="17"/>
  <c r="D160" i="17"/>
  <c r="N42" i="17"/>
  <c r="B162" i="17"/>
  <c r="L169" i="17"/>
  <c r="D173" i="17"/>
  <c r="J177" i="17"/>
  <c r="C179" i="17"/>
  <c r="D188" i="17"/>
  <c r="C189" i="17"/>
  <c r="L195" i="17"/>
  <c r="L197" i="17"/>
  <c r="L183" i="17"/>
  <c r="H175" i="17"/>
  <c r="N92" i="17"/>
  <c r="J175" i="17"/>
  <c r="T182" i="17"/>
  <c r="S185" i="17"/>
  <c r="J162" i="17"/>
  <c r="J176" i="17"/>
  <c r="J158" i="17"/>
  <c r="H168" i="17"/>
  <c r="S157" i="17"/>
  <c r="J191" i="17"/>
  <c r="D149" i="17"/>
  <c r="C162" i="17"/>
  <c r="C163" i="17"/>
  <c r="H165" i="17"/>
  <c r="D166" i="17"/>
  <c r="D167" i="17"/>
  <c r="B169" i="17"/>
  <c r="N61" i="17"/>
  <c r="N65" i="17"/>
  <c r="D175" i="17"/>
  <c r="N74" i="17"/>
  <c r="N76" i="17"/>
  <c r="D187" i="17"/>
  <c r="N102" i="17"/>
  <c r="N107" i="17"/>
  <c r="W159" i="17"/>
  <c r="W191" i="17"/>
  <c r="W196" i="17"/>
  <c r="N27" i="17"/>
  <c r="N17" i="17"/>
  <c r="N80" i="17"/>
  <c r="J183" i="17"/>
  <c r="B188" i="17"/>
  <c r="J197" i="17"/>
  <c r="T156" i="17"/>
  <c r="C178" i="17"/>
  <c r="L173" i="17"/>
  <c r="T178" i="17"/>
  <c r="B175" i="17"/>
  <c r="J182" i="17"/>
  <c r="W151" i="17"/>
  <c r="S183" i="17"/>
  <c r="U154" i="17"/>
  <c r="L147" i="17"/>
  <c r="H149" i="17"/>
  <c r="N50" i="17"/>
  <c r="D176" i="17"/>
  <c r="L179" i="17"/>
  <c r="N83" i="17"/>
  <c r="C195" i="17"/>
  <c r="W149" i="17"/>
  <c r="B144" i="17"/>
  <c r="S198" i="17"/>
  <c r="N45" i="18"/>
  <c r="J190" i="18"/>
  <c r="L167" i="18"/>
  <c r="N44" i="18"/>
  <c r="B171" i="18"/>
  <c r="H186" i="18"/>
  <c r="S186" i="18"/>
  <c r="T186" i="18"/>
  <c r="L187" i="18"/>
  <c r="J187" i="18"/>
  <c r="J184" i="18"/>
  <c r="D150" i="18"/>
  <c r="N79" i="18"/>
  <c r="N68" i="18"/>
  <c r="C179" i="18"/>
  <c r="J179" i="18"/>
  <c r="H179" i="18"/>
  <c r="L179" i="18"/>
  <c r="T179" i="18"/>
  <c r="L180" i="18"/>
  <c r="J180" i="18"/>
  <c r="H180" i="18"/>
  <c r="J181" i="18"/>
  <c r="H181" i="18"/>
  <c r="L181" i="18"/>
  <c r="N77" i="18"/>
  <c r="T187" i="18"/>
  <c r="N99" i="18"/>
  <c r="N101" i="18"/>
  <c r="C193" i="18"/>
  <c r="J198" i="18"/>
  <c r="H198" i="18"/>
  <c r="J183" i="18"/>
  <c r="H192" i="18"/>
  <c r="J176" i="18"/>
  <c r="H154" i="18"/>
  <c r="D154" i="18"/>
  <c r="S154" i="18"/>
  <c r="J154" i="18"/>
  <c r="H155" i="18"/>
  <c r="J155" i="18"/>
  <c r="L155" i="18"/>
  <c r="S162" i="18"/>
  <c r="U162" i="18"/>
  <c r="T162" i="18"/>
  <c r="W199" i="18"/>
  <c r="C192" i="18"/>
  <c r="D186" i="18"/>
  <c r="B186" i="18"/>
  <c r="U186" i="18"/>
  <c r="J148" i="18"/>
  <c r="H148" i="18"/>
  <c r="B154" i="18"/>
  <c r="N23" i="18"/>
  <c r="D160" i="18"/>
  <c r="U163" i="18"/>
  <c r="B163" i="18"/>
  <c r="W164" i="18"/>
  <c r="W168" i="18"/>
  <c r="N50" i="18"/>
  <c r="B168" i="18"/>
  <c r="S169" i="18"/>
  <c r="U169" i="18"/>
  <c r="T169" i="18"/>
  <c r="N70" i="18"/>
  <c r="C178" i="18"/>
  <c r="N65" i="18"/>
  <c r="B169" i="18"/>
  <c r="H172" i="18"/>
  <c r="L172" i="18"/>
  <c r="N59" i="18"/>
  <c r="D173" i="18"/>
  <c r="B177" i="18"/>
  <c r="N67" i="18"/>
  <c r="T181" i="18"/>
  <c r="U181" i="18"/>
  <c r="C181" i="18"/>
  <c r="T184" i="18"/>
  <c r="S184" i="18"/>
  <c r="U184" i="18"/>
  <c r="N7" i="18"/>
  <c r="B147" i="18"/>
  <c r="H176" i="18"/>
  <c r="L162" i="18"/>
  <c r="H162" i="18"/>
  <c r="C169" i="18"/>
  <c r="T172" i="18"/>
  <c r="S172" i="18"/>
  <c r="U172" i="18"/>
  <c r="H173" i="18"/>
  <c r="J173" i="18"/>
  <c r="L174" i="18"/>
  <c r="J174" i="18"/>
  <c r="H174" i="18"/>
  <c r="J175" i="18"/>
  <c r="H175" i="18"/>
  <c r="L175" i="18"/>
  <c r="C184" i="18"/>
  <c r="U192" i="18"/>
  <c r="L192" i="18"/>
  <c r="B181" i="18"/>
  <c r="J177" i="18"/>
  <c r="J169" i="18"/>
  <c r="N12" i="18"/>
  <c r="B150" i="18"/>
  <c r="B151" i="18"/>
  <c r="N14" i="18"/>
  <c r="H151" i="18"/>
  <c r="L151" i="18"/>
  <c r="J159" i="18"/>
  <c r="H159" i="18"/>
  <c r="L165" i="18"/>
  <c r="N108" i="18"/>
  <c r="N110" i="18"/>
  <c r="N112" i="18"/>
  <c r="W159" i="18"/>
  <c r="T192" i="18"/>
  <c r="N82" i="18"/>
  <c r="N26" i="18"/>
  <c r="N39" i="18"/>
  <c r="H167" i="18"/>
  <c r="N83" i="18"/>
  <c r="L197" i="18"/>
  <c r="W150" i="18"/>
  <c r="W198" i="18"/>
  <c r="N109" i="18"/>
  <c r="L183" i="18"/>
  <c r="T177" i="18"/>
  <c r="C150" i="18"/>
  <c r="H161" i="18"/>
  <c r="B167" i="18"/>
  <c r="D180" i="18"/>
  <c r="N95" i="18"/>
  <c r="C195" i="18"/>
  <c r="D177" i="18"/>
  <c r="B191" i="18"/>
  <c r="D162" i="18"/>
  <c r="B200" i="18"/>
  <c r="J153" i="18"/>
  <c r="U166" i="18"/>
  <c r="S182" i="18"/>
  <c r="H165" i="18"/>
  <c r="C153" i="18"/>
  <c r="D156" i="18"/>
  <c r="B161" i="18"/>
  <c r="C164" i="18"/>
  <c r="L169" i="18"/>
  <c r="D171" i="18"/>
  <c r="C172" i="18"/>
  <c r="C173" i="18"/>
  <c r="C174" i="18"/>
  <c r="B182" i="18"/>
  <c r="D184" i="18"/>
  <c r="N86" i="18"/>
  <c r="J186" i="18"/>
  <c r="C191" i="18"/>
  <c r="N98" i="18"/>
  <c r="D196" i="18"/>
  <c r="C197" i="18"/>
  <c r="W147" i="18"/>
  <c r="N118" i="18"/>
  <c r="D175" i="18"/>
  <c r="B178" i="18"/>
  <c r="H197" i="18"/>
  <c r="H149" i="18"/>
  <c r="D152" i="18"/>
  <c r="C154" i="18"/>
  <c r="N22" i="18"/>
  <c r="B156" i="18"/>
  <c r="N31" i="18"/>
  <c r="D167" i="18"/>
  <c r="D168" i="18"/>
  <c r="N53" i="18"/>
  <c r="L170" i="18"/>
  <c r="C182" i="18"/>
  <c r="H184" i="18"/>
  <c r="J195" i="18"/>
  <c r="D197" i="18"/>
  <c r="W174" i="18"/>
  <c r="L201" i="18"/>
  <c r="D157" i="19"/>
  <c r="N14" i="19"/>
  <c r="C160" i="19"/>
  <c r="N20" i="19"/>
  <c r="C162" i="19"/>
  <c r="N24" i="19"/>
  <c r="L165" i="19"/>
  <c r="H165" i="19"/>
  <c r="C202" i="19"/>
  <c r="N109" i="19"/>
  <c r="J165" i="19"/>
  <c r="W156" i="19"/>
  <c r="L164" i="19"/>
  <c r="N164" i="19" s="1"/>
  <c r="N83" i="19"/>
  <c r="B191" i="19"/>
  <c r="J195" i="19"/>
  <c r="H195" i="19"/>
  <c r="T195" i="19"/>
  <c r="S195" i="19"/>
  <c r="U195" i="19"/>
  <c r="L196" i="19"/>
  <c r="H196" i="19"/>
  <c r="B200" i="19"/>
  <c r="N104" i="19"/>
  <c r="H156" i="19"/>
  <c r="N16" i="19"/>
  <c r="D169" i="19"/>
  <c r="H198" i="19"/>
  <c r="J198" i="19"/>
  <c r="J199" i="19"/>
  <c r="L156" i="19"/>
  <c r="J197" i="19"/>
  <c r="N28" i="19"/>
  <c r="N100" i="19"/>
  <c r="H189" i="19"/>
  <c r="L189" i="19"/>
  <c r="J190" i="19"/>
  <c r="L190" i="19"/>
  <c r="H190" i="19"/>
  <c r="J159" i="19"/>
  <c r="U167" i="19"/>
  <c r="H167" i="19"/>
  <c r="J167" i="19"/>
  <c r="J176" i="19"/>
  <c r="H176" i="19"/>
  <c r="L176" i="19"/>
  <c r="B181" i="19"/>
  <c r="N64" i="19"/>
  <c r="B186" i="19"/>
  <c r="N73" i="19"/>
  <c r="J186" i="19"/>
  <c r="L186" i="19"/>
  <c r="L195" i="19"/>
  <c r="B172" i="19"/>
  <c r="N45" i="19"/>
  <c r="U175" i="19"/>
  <c r="T175" i="19"/>
  <c r="N62" i="19"/>
  <c r="C180" i="19"/>
  <c r="C183" i="19"/>
  <c r="J183" i="19"/>
  <c r="U183" i="19"/>
  <c r="B183" i="19"/>
  <c r="T183" i="19"/>
  <c r="J187" i="19"/>
  <c r="H187" i="19"/>
  <c r="W178" i="19"/>
  <c r="J178" i="19"/>
  <c r="N85" i="19"/>
  <c r="B188" i="19"/>
  <c r="U184" i="19"/>
  <c r="W169" i="19"/>
  <c r="J161" i="19"/>
  <c r="N25" i="19"/>
  <c r="W164" i="19"/>
  <c r="N30" i="19"/>
  <c r="N35" i="19"/>
  <c r="N59" i="19"/>
  <c r="N108" i="19"/>
  <c r="B171" i="19"/>
  <c r="J160" i="19"/>
  <c r="H178" i="19"/>
  <c r="J177" i="19"/>
  <c r="H202" i="19"/>
  <c r="S176" i="19"/>
  <c r="J181" i="19"/>
  <c r="H179" i="19"/>
  <c r="S161" i="19"/>
  <c r="B177" i="19"/>
  <c r="C172" i="19"/>
  <c r="D177" i="19"/>
  <c r="C184" i="19"/>
  <c r="B185" i="19"/>
  <c r="B194" i="19"/>
  <c r="D201" i="19"/>
  <c r="N114" i="19"/>
  <c r="N116" i="19"/>
  <c r="N118" i="19"/>
  <c r="T159" i="19"/>
  <c r="W165" i="19"/>
  <c r="H160" i="19"/>
  <c r="J180" i="19"/>
  <c r="H173" i="19"/>
  <c r="S185" i="19"/>
  <c r="J185" i="19"/>
  <c r="S200" i="19"/>
  <c r="H169" i="19"/>
  <c r="S160" i="19"/>
  <c r="J168" i="19"/>
  <c r="B157" i="19"/>
  <c r="C159" i="19"/>
  <c r="D163" i="19"/>
  <c r="S166" i="19"/>
  <c r="C173" i="19"/>
  <c r="D174" i="19"/>
  <c r="N54" i="19"/>
  <c r="N56" i="19"/>
  <c r="D181" i="19"/>
  <c r="L184" i="19"/>
  <c r="N76" i="19"/>
  <c r="D205" i="19"/>
  <c r="W182" i="19"/>
  <c r="W205" i="19"/>
  <c r="N122" i="19"/>
  <c r="L171" i="19"/>
  <c r="H161" i="19"/>
  <c r="C155" i="19"/>
  <c r="B159" i="19"/>
  <c r="D159" i="19"/>
  <c r="B173" i="19"/>
  <c r="D178" i="19"/>
  <c r="C182" i="19"/>
  <c r="D184" i="19"/>
  <c r="D189" i="19"/>
  <c r="D193" i="19"/>
  <c r="C206" i="19"/>
  <c r="W163" i="19"/>
  <c r="H171" i="19"/>
  <c r="L185" i="19"/>
  <c r="U160" i="19"/>
  <c r="D173" i="19"/>
  <c r="L181" i="19"/>
  <c r="L182" i="19"/>
  <c r="H183" i="19"/>
  <c r="N69" i="19"/>
  <c r="C198" i="19"/>
  <c r="N105" i="19"/>
  <c r="B201" i="19"/>
  <c r="H205" i="19"/>
  <c r="N39" i="20"/>
  <c r="N56" i="20"/>
  <c r="N70" i="20"/>
  <c r="N72" i="20"/>
  <c r="N79" i="20"/>
  <c r="W129" i="20"/>
  <c r="W170" i="20"/>
  <c r="D142" i="20"/>
  <c r="D131" i="20"/>
  <c r="C133" i="20"/>
  <c r="C135" i="20"/>
  <c r="N28" i="20"/>
  <c r="B139" i="20"/>
  <c r="B147" i="20"/>
  <c r="N58" i="20"/>
  <c r="N74" i="20"/>
  <c r="W136" i="20"/>
  <c r="T164" i="20"/>
  <c r="C160" i="20"/>
  <c r="D160" i="20"/>
  <c r="D147" i="20"/>
  <c r="B133" i="20"/>
  <c r="B136" i="20"/>
  <c r="B137" i="20"/>
  <c r="H138" i="20"/>
  <c r="L148" i="20"/>
  <c r="D134" i="20"/>
  <c r="N34" i="20"/>
  <c r="C154" i="20"/>
  <c r="B155" i="20"/>
  <c r="N83" i="20"/>
  <c r="L167" i="20"/>
  <c r="D168" i="20"/>
  <c r="D169" i="20"/>
  <c r="C170" i="20"/>
  <c r="C172" i="20"/>
  <c r="C173" i="20"/>
  <c r="C174" i="20"/>
  <c r="H127" i="20"/>
  <c r="U164" i="20"/>
  <c r="B161" i="21"/>
  <c r="N45" i="21"/>
  <c r="T162" i="21"/>
  <c r="H162" i="21"/>
  <c r="C162" i="21"/>
  <c r="B162" i="21"/>
  <c r="J162" i="21"/>
  <c r="L162" i="21"/>
  <c r="J164" i="21"/>
  <c r="H164" i="21"/>
  <c r="L164" i="21"/>
  <c r="C197" i="21"/>
  <c r="L150" i="21"/>
  <c r="U150" i="21"/>
  <c r="J150" i="21"/>
  <c r="S150" i="21"/>
  <c r="T150" i="21"/>
  <c r="H151" i="21"/>
  <c r="L151" i="21"/>
  <c r="J152" i="21"/>
  <c r="H152" i="21"/>
  <c r="L152" i="21"/>
  <c r="C153" i="21"/>
  <c r="N28" i="21"/>
  <c r="H188" i="21"/>
  <c r="L188" i="21"/>
  <c r="J188" i="21"/>
  <c r="C189" i="21"/>
  <c r="N100" i="21"/>
  <c r="N104" i="21"/>
  <c r="B191" i="21"/>
  <c r="L143" i="21"/>
  <c r="H143" i="21"/>
  <c r="H144" i="21"/>
  <c r="J144" i="21"/>
  <c r="L144" i="21"/>
  <c r="J145" i="21"/>
  <c r="L145" i="21"/>
  <c r="H146" i="21"/>
  <c r="L146" i="21"/>
  <c r="C183" i="21"/>
  <c r="N88" i="21"/>
  <c r="S174" i="21"/>
  <c r="U174" i="21"/>
  <c r="L174" i="21"/>
  <c r="L171" i="21"/>
  <c r="J171" i="21"/>
  <c r="H171" i="21"/>
  <c r="B174" i="21"/>
  <c r="D162" i="21"/>
  <c r="B170" i="21"/>
  <c r="N62" i="21"/>
  <c r="C174" i="21"/>
  <c r="N107" i="21"/>
  <c r="L178" i="21"/>
  <c r="N91" i="21"/>
  <c r="H189" i="21"/>
  <c r="J177" i="21"/>
  <c r="L189" i="21"/>
  <c r="J166" i="21"/>
  <c r="J165" i="21"/>
  <c r="J172" i="21"/>
  <c r="H166" i="21"/>
  <c r="C146" i="21"/>
  <c r="D150" i="21"/>
  <c r="D161" i="21"/>
  <c r="C163" i="21"/>
  <c r="C188" i="21"/>
  <c r="W155" i="21"/>
  <c r="W195" i="21"/>
  <c r="L181" i="21"/>
  <c r="H167" i="21"/>
  <c r="J173" i="21"/>
  <c r="H192" i="21"/>
  <c r="C152" i="21"/>
  <c r="B163" i="21"/>
  <c r="T167" i="21"/>
  <c r="W167" i="21" s="1"/>
  <c r="J155" i="21"/>
  <c r="H147" i="21"/>
  <c r="D145" i="21"/>
  <c r="B153" i="21"/>
  <c r="N39" i="21"/>
  <c r="J160" i="21"/>
  <c r="D164" i="21"/>
  <c r="N52" i="21"/>
  <c r="N69" i="21"/>
  <c r="N79" i="21"/>
  <c r="N83" i="21"/>
  <c r="W148" i="21"/>
  <c r="W163" i="21"/>
  <c r="L192" i="21"/>
  <c r="N85" i="21"/>
  <c r="L179" i="21"/>
  <c r="L147" i="21"/>
  <c r="N47" i="21"/>
  <c r="D174" i="21"/>
  <c r="B181" i="21"/>
  <c r="D197" i="21"/>
  <c r="U177" i="21"/>
  <c r="J154" i="21"/>
  <c r="J174" i="21"/>
  <c r="N14" i="21"/>
  <c r="S177" i="21"/>
  <c r="L173" i="21"/>
  <c r="J178" i="21"/>
  <c r="C148" i="21"/>
  <c r="H150" i="21"/>
  <c r="D157" i="21"/>
  <c r="N57" i="21"/>
  <c r="N59" i="21"/>
  <c r="H175" i="21"/>
  <c r="B183" i="21"/>
  <c r="U184" i="21"/>
  <c r="W146" i="21"/>
  <c r="W158" i="21"/>
  <c r="W168" i="21"/>
  <c r="C142" i="21"/>
  <c r="N116" i="21"/>
  <c r="N78" i="21"/>
  <c r="B144" i="21"/>
  <c r="N23" i="21"/>
  <c r="H185" i="21"/>
  <c r="T152" i="21"/>
  <c r="N106" i="21"/>
  <c r="T180" i="21"/>
  <c r="S152" i="21"/>
  <c r="C149" i="21"/>
  <c r="B151" i="21"/>
  <c r="B152" i="21"/>
  <c r="D159" i="21"/>
  <c r="H179" i="21"/>
  <c r="H180" i="21"/>
  <c r="D193" i="21"/>
  <c r="D194" i="21"/>
  <c r="W151" i="21"/>
  <c r="D142" i="21"/>
  <c r="N34" i="33"/>
  <c r="W91" i="33"/>
  <c r="H85" i="33"/>
  <c r="N40" i="33"/>
  <c r="J90" i="33"/>
  <c r="W84" i="33"/>
  <c r="W92" i="33"/>
  <c r="W103" i="33"/>
  <c r="L84" i="33"/>
  <c r="N37" i="33"/>
  <c r="N39" i="33"/>
  <c r="N16" i="33"/>
  <c r="N21" i="33"/>
  <c r="N57" i="33"/>
  <c r="N24" i="33"/>
  <c r="W87" i="33"/>
  <c r="H92" i="33"/>
  <c r="B89" i="33"/>
  <c r="N27" i="33"/>
  <c r="N19" i="33"/>
  <c r="N20" i="33"/>
  <c r="W89" i="33"/>
  <c r="B179" i="9"/>
  <c r="N48" i="9"/>
  <c r="J179" i="9"/>
  <c r="L179" i="9"/>
  <c r="C182" i="9"/>
  <c r="N55" i="9"/>
  <c r="S184" i="9"/>
  <c r="U184" i="9"/>
  <c r="T184" i="9"/>
  <c r="R60" i="9"/>
  <c r="H185" i="9" s="1"/>
  <c r="S185" i="9"/>
  <c r="W185" i="9" s="1"/>
  <c r="S186" i="9"/>
  <c r="W186" i="9" s="1"/>
  <c r="R62" i="9"/>
  <c r="H186" i="9" s="1"/>
  <c r="J168" i="9"/>
  <c r="H168" i="9"/>
  <c r="L168" i="9"/>
  <c r="H160" i="9"/>
  <c r="J160" i="9"/>
  <c r="D163" i="9"/>
  <c r="U163" i="9"/>
  <c r="T163" i="9"/>
  <c r="S163" i="9"/>
  <c r="L163" i="9"/>
  <c r="D165" i="9"/>
  <c r="N19" i="9"/>
  <c r="B170" i="9"/>
  <c r="C172" i="9"/>
  <c r="U205" i="9"/>
  <c r="S205" i="9"/>
  <c r="T205" i="9"/>
  <c r="L206" i="9"/>
  <c r="H206" i="9"/>
  <c r="C208" i="9"/>
  <c r="N113" i="9"/>
  <c r="N115" i="9"/>
  <c r="B209" i="9"/>
  <c r="J171" i="9"/>
  <c r="H171" i="9"/>
  <c r="B163" i="9"/>
  <c r="N90" i="9"/>
  <c r="C198" i="9"/>
  <c r="N92" i="9"/>
  <c r="C199" i="9"/>
  <c r="D190" i="9"/>
  <c r="H174" i="9"/>
  <c r="J180" i="9"/>
  <c r="B198" i="9"/>
  <c r="H196" i="9"/>
  <c r="L211" i="9"/>
  <c r="L165" i="9"/>
  <c r="S164" i="9"/>
  <c r="B169" i="9"/>
  <c r="J199" i="9"/>
  <c r="D162" i="9"/>
  <c r="H166" i="9"/>
  <c r="L174" i="9"/>
  <c r="C179" i="9"/>
  <c r="J188" i="9"/>
  <c r="H214" i="9"/>
  <c r="B167" i="9"/>
  <c r="L180" i="9"/>
  <c r="J170" i="9"/>
  <c r="B202" i="9"/>
  <c r="H201" i="9"/>
  <c r="H172" i="9"/>
  <c r="T164" i="9"/>
  <c r="B190" i="9"/>
  <c r="N79" i="9"/>
  <c r="J182" i="9"/>
  <c r="J162" i="9"/>
  <c r="N35" i="9"/>
  <c r="C175" i="9"/>
  <c r="N42" i="9"/>
  <c r="N53" i="9"/>
  <c r="H184" i="9"/>
  <c r="N12" i="9"/>
  <c r="W171" i="9"/>
  <c r="H207" i="9"/>
  <c r="U174" i="9"/>
  <c r="W174" i="9" s="1"/>
  <c r="N57" i="9"/>
  <c r="J183" i="9"/>
  <c r="H210" i="9"/>
  <c r="J187" i="9"/>
  <c r="S199" i="9"/>
  <c r="J193" i="9"/>
  <c r="C187" i="9"/>
  <c r="E187" i="9" s="1"/>
  <c r="H199" i="9"/>
  <c r="N50" i="9"/>
  <c r="L183" i="9"/>
  <c r="S160" i="9"/>
  <c r="J195" i="9"/>
  <c r="T178" i="9"/>
  <c r="H165" i="9"/>
  <c r="S172" i="9"/>
  <c r="S190" i="9"/>
  <c r="W190" i="9" s="1"/>
  <c r="S201" i="9"/>
  <c r="C161" i="9"/>
  <c r="N18" i="9"/>
  <c r="C166" i="9"/>
  <c r="N36" i="9"/>
  <c r="D175" i="9"/>
  <c r="D181" i="9"/>
  <c r="C183" i="9"/>
  <c r="D200" i="9"/>
  <c r="D207" i="9"/>
  <c r="W165" i="9"/>
  <c r="B159" i="9"/>
  <c r="D213" i="9"/>
  <c r="U206" i="9"/>
  <c r="B205" i="9"/>
  <c r="N96" i="9"/>
  <c r="C167" i="9"/>
  <c r="D180" i="9"/>
  <c r="T199" i="9"/>
  <c r="U167" i="9"/>
  <c r="B199" i="9"/>
  <c r="B161" i="9"/>
  <c r="B182" i="9"/>
  <c r="T202" i="9"/>
  <c r="U178" i="9"/>
  <c r="N31" i="9"/>
  <c r="C184" i="9"/>
  <c r="N74" i="9"/>
  <c r="N88" i="9"/>
  <c r="C180" i="10"/>
  <c r="U203" i="10"/>
  <c r="H168" i="10"/>
  <c r="B184" i="10"/>
  <c r="N77" i="10"/>
  <c r="L207" i="10"/>
  <c r="B211" i="10"/>
  <c r="N110" i="10"/>
  <c r="J216" i="10"/>
  <c r="S185" i="10"/>
  <c r="T186" i="10"/>
  <c r="N16" i="10"/>
  <c r="L179" i="10"/>
  <c r="B185" i="10"/>
  <c r="N21" i="10"/>
  <c r="B179" i="10"/>
  <c r="H180" i="10"/>
  <c r="W214" i="10"/>
  <c r="N83" i="10"/>
  <c r="N85" i="10"/>
  <c r="N117" i="10"/>
  <c r="S213" i="10"/>
  <c r="N26" i="10"/>
  <c r="H213" i="10"/>
  <c r="T204" i="10"/>
  <c r="T199" i="10"/>
  <c r="B171" i="10"/>
  <c r="C173" i="10"/>
  <c r="U170" i="10"/>
  <c r="U187" i="10"/>
  <c r="U179" i="10"/>
  <c r="C172" i="10"/>
  <c r="B174" i="10"/>
  <c r="C178" i="10"/>
  <c r="D185" i="10"/>
  <c r="N53" i="10"/>
  <c r="C191" i="10"/>
  <c r="B203" i="10"/>
  <c r="C206" i="10"/>
  <c r="N116" i="10"/>
  <c r="N118" i="10"/>
  <c r="N122" i="10"/>
  <c r="W174" i="10"/>
  <c r="C166" i="10"/>
  <c r="T187" i="10"/>
  <c r="S167" i="10"/>
  <c r="S175" i="10"/>
  <c r="N36" i="10"/>
  <c r="L184" i="10"/>
  <c r="J185" i="10"/>
  <c r="D192" i="10"/>
  <c r="C198" i="10"/>
  <c r="J201" i="10"/>
  <c r="C208" i="10"/>
  <c r="L212" i="10"/>
  <c r="T175" i="10"/>
  <c r="S170" i="10"/>
  <c r="J179" i="10"/>
  <c r="C182" i="10"/>
  <c r="T169" i="10"/>
  <c r="H173" i="10"/>
  <c r="H204" i="10"/>
  <c r="B208" i="10"/>
  <c r="W182" i="10"/>
  <c r="T194" i="10"/>
  <c r="L183" i="10"/>
  <c r="B188" i="10"/>
  <c r="T215" i="10"/>
  <c r="C171" i="10"/>
  <c r="N27" i="10"/>
  <c r="L185" i="10"/>
  <c r="T209" i="10"/>
  <c r="U183" i="10"/>
  <c r="L209" i="10"/>
  <c r="N106" i="10"/>
  <c r="C212" i="10"/>
  <c r="B213" i="10"/>
  <c r="W172" i="10"/>
  <c r="S166" i="10"/>
  <c r="C203" i="10"/>
  <c r="U194" i="10"/>
  <c r="S209" i="10"/>
  <c r="N98" i="10"/>
  <c r="L206" i="10"/>
  <c r="L213" i="10"/>
  <c r="H214" i="10"/>
  <c r="H205" i="10"/>
  <c r="J210" i="10"/>
  <c r="D216" i="10"/>
  <c r="U189" i="10"/>
  <c r="N8" i="10"/>
  <c r="L169" i="10"/>
  <c r="N17" i="10"/>
  <c r="N33" i="10"/>
  <c r="C185" i="10"/>
  <c r="H188" i="10"/>
  <c r="C193" i="10"/>
  <c r="L194" i="10"/>
  <c r="N78" i="10"/>
  <c r="N89" i="10"/>
  <c r="N100" i="10"/>
  <c r="J208" i="10"/>
  <c r="D209" i="10"/>
  <c r="N111" i="10"/>
  <c r="N115" i="10"/>
  <c r="N70" i="10"/>
  <c r="N79" i="10"/>
  <c r="N103" i="10"/>
  <c r="C218" i="10"/>
  <c r="U210" i="10"/>
  <c r="H179" i="10"/>
  <c r="U218" i="10"/>
  <c r="T179" i="10"/>
  <c r="U207" i="10"/>
  <c r="L170" i="10"/>
  <c r="H172" i="10"/>
  <c r="L173" i="10"/>
  <c r="N30" i="10"/>
  <c r="J178" i="10"/>
  <c r="D179" i="10"/>
  <c r="N43" i="10"/>
  <c r="B183" i="10"/>
  <c r="H184" i="10"/>
  <c r="N56" i="10"/>
  <c r="L189" i="10"/>
  <c r="N73" i="10"/>
  <c r="C213" i="10"/>
  <c r="N125" i="10"/>
  <c r="W184" i="10"/>
  <c r="J182" i="10"/>
  <c r="B167" i="10"/>
  <c r="J205" i="10"/>
  <c r="N12" i="10"/>
  <c r="C176" i="10"/>
  <c r="C210" i="10"/>
  <c r="H182" i="10"/>
  <c r="N128" i="10"/>
  <c r="T176" i="10"/>
  <c r="L193" i="10"/>
  <c r="S176" i="10"/>
  <c r="H202" i="10"/>
  <c r="H201" i="10"/>
  <c r="L176" i="10"/>
  <c r="H194" i="10"/>
  <c r="U171" i="10"/>
  <c r="W171" i="10" s="1"/>
  <c r="C168" i="10"/>
  <c r="C169" i="10"/>
  <c r="C197" i="10"/>
  <c r="D198" i="10"/>
  <c r="D199" i="10"/>
  <c r="D200" i="10"/>
  <c r="C201" i="10"/>
  <c r="N90" i="10"/>
  <c r="N101" i="10"/>
  <c r="U198" i="10"/>
  <c r="J202" i="10"/>
  <c r="S210" i="10"/>
  <c r="H185" i="10"/>
  <c r="B175" i="10"/>
  <c r="S211" i="10"/>
  <c r="T189" i="10"/>
  <c r="T167" i="10"/>
  <c r="T211" i="10"/>
  <c r="S219" i="10"/>
  <c r="H208" i="10"/>
  <c r="D168" i="10"/>
  <c r="D169" i="10"/>
  <c r="N22" i="10"/>
  <c r="N48" i="10"/>
  <c r="N50" i="10"/>
  <c r="N52" i="10"/>
  <c r="D186" i="10"/>
  <c r="N57" i="10"/>
  <c r="N59" i="10"/>
  <c r="L192" i="10"/>
  <c r="D194" i="10"/>
  <c r="N74" i="10"/>
  <c r="B195" i="10"/>
  <c r="N81" i="10"/>
  <c r="L199" i="10"/>
  <c r="D201" i="10"/>
  <c r="C202" i="10"/>
  <c r="L204" i="10"/>
  <c r="D205" i="10"/>
  <c r="H210" i="10"/>
  <c r="B215" i="10"/>
  <c r="N120" i="10"/>
  <c r="H178" i="10"/>
  <c r="S198" i="10"/>
  <c r="T201" i="10"/>
  <c r="S201" i="10"/>
  <c r="L210" i="10"/>
  <c r="U197" i="10"/>
  <c r="S203" i="10"/>
  <c r="U204" i="10"/>
  <c r="L168" i="10"/>
  <c r="C174" i="10"/>
  <c r="J176" i="10"/>
  <c r="N42" i="10"/>
  <c r="N64" i="10"/>
  <c r="N66" i="10"/>
  <c r="N68" i="10"/>
  <c r="J206" i="10"/>
  <c r="D208" i="10"/>
  <c r="C209" i="10"/>
  <c r="C214" i="10"/>
  <c r="C217" i="10"/>
  <c r="N135" i="10"/>
  <c r="H176" i="10"/>
  <c r="W180" i="10"/>
  <c r="T219" i="10"/>
  <c r="T218" i="10"/>
  <c r="H189" i="10"/>
  <c r="T210" i="10"/>
  <c r="U212" i="10"/>
  <c r="U193" i="10"/>
  <c r="N10" i="10"/>
  <c r="S197" i="10"/>
  <c r="B209" i="10"/>
  <c r="N109" i="10"/>
  <c r="D218" i="10"/>
  <c r="T185" i="10"/>
  <c r="J194" i="10"/>
  <c r="H169" i="10"/>
  <c r="J171" i="10"/>
  <c r="J172" i="10"/>
  <c r="D173" i="10"/>
  <c r="B197" i="10"/>
  <c r="D197" i="10"/>
  <c r="C199" i="10"/>
  <c r="C200" i="10"/>
  <c r="L201" i="10"/>
  <c r="N91" i="10"/>
  <c r="D203" i="10"/>
  <c r="H207" i="10"/>
  <c r="N108" i="10"/>
  <c r="B212" i="10"/>
  <c r="N127" i="10"/>
  <c r="B219" i="10"/>
  <c r="J213" i="10"/>
  <c r="N136" i="10"/>
  <c r="N82" i="10"/>
  <c r="J181" i="10"/>
  <c r="L181" i="10"/>
  <c r="N46" i="10"/>
  <c r="D183" i="10"/>
  <c r="T190" i="10"/>
  <c r="U190" i="10"/>
  <c r="S190" i="10"/>
  <c r="L190" i="10"/>
  <c r="J190" i="10"/>
  <c r="N39" i="10"/>
  <c r="B180" i="10"/>
  <c r="B186" i="10"/>
  <c r="N54" i="10"/>
  <c r="N24" i="10"/>
  <c r="D174" i="10"/>
  <c r="C181" i="10"/>
  <c r="N65" i="10"/>
  <c r="J192" i="10"/>
  <c r="C216" i="10"/>
  <c r="N19" i="10"/>
  <c r="J173" i="10"/>
  <c r="T173" i="10"/>
  <c r="S173" i="10"/>
  <c r="U173" i="10"/>
  <c r="L175" i="10"/>
  <c r="H175" i="10"/>
  <c r="N34" i="10"/>
  <c r="B178" i="10"/>
  <c r="C187" i="10"/>
  <c r="C194" i="10"/>
  <c r="L214" i="10"/>
  <c r="J214" i="10"/>
  <c r="H216" i="10"/>
  <c r="H217" i="10"/>
  <c r="J217" i="10"/>
  <c r="L217" i="10"/>
  <c r="N126" i="10"/>
  <c r="N130" i="10"/>
  <c r="D213" i="10"/>
  <c r="J167" i="10"/>
  <c r="L167" i="10"/>
  <c r="S195" i="10"/>
  <c r="J195" i="10"/>
  <c r="H195" i="10"/>
  <c r="U195" i="10"/>
  <c r="L195" i="10"/>
  <c r="H196" i="10"/>
  <c r="L196" i="10"/>
  <c r="J196" i="10"/>
  <c r="H197" i="10"/>
  <c r="J197" i="10"/>
  <c r="J203" i="10"/>
  <c r="L203" i="10"/>
  <c r="H203" i="10"/>
  <c r="D182" i="10"/>
  <c r="N44" i="10"/>
  <c r="H186" i="10"/>
  <c r="J186" i="10"/>
  <c r="L186" i="10"/>
  <c r="N63" i="10"/>
  <c r="B189" i="10"/>
  <c r="H191" i="10"/>
  <c r="J191" i="10"/>
  <c r="H198" i="10"/>
  <c r="J198" i="10"/>
  <c r="L198" i="10"/>
  <c r="H200" i="10"/>
  <c r="L200" i="10"/>
  <c r="B204" i="10"/>
  <c r="N94" i="10"/>
  <c r="W221" i="10"/>
  <c r="N37" i="10"/>
  <c r="C179" i="10"/>
  <c r="B181" i="10"/>
  <c r="N41" i="10"/>
  <c r="S181" i="10"/>
  <c r="T181" i="10"/>
  <c r="J183" i="10"/>
  <c r="H183" i="10"/>
  <c r="H187" i="10"/>
  <c r="L187" i="10"/>
  <c r="U196" i="10"/>
  <c r="T196" i="10"/>
  <c r="N7" i="10"/>
  <c r="B166" i="10"/>
  <c r="B221" i="10"/>
  <c r="N134" i="10"/>
  <c r="H192" i="10"/>
  <c r="D188" i="10"/>
  <c r="J193" i="10"/>
  <c r="U181" i="10"/>
  <c r="N32" i="10"/>
  <c r="B177" i="10"/>
  <c r="B182" i="10"/>
  <c r="N45" i="10"/>
  <c r="U188" i="10"/>
  <c r="S188" i="10"/>
  <c r="B206" i="10"/>
  <c r="L221" i="10"/>
  <c r="T216" i="10"/>
  <c r="D190" i="10"/>
  <c r="J200" i="10"/>
  <c r="T195" i="10"/>
  <c r="N72" i="10"/>
  <c r="B202" i="10"/>
  <c r="L191" i="10"/>
  <c r="N18" i="10"/>
  <c r="N23" i="10"/>
  <c r="B173" i="10"/>
  <c r="H181" i="10"/>
  <c r="B196" i="10"/>
  <c r="N102" i="10"/>
  <c r="N119" i="10"/>
  <c r="N123" i="10"/>
  <c r="B217" i="10"/>
  <c r="S217" i="10"/>
  <c r="T217" i="10"/>
  <c r="D217" i="10"/>
  <c r="B168" i="10"/>
  <c r="N11" i="10"/>
  <c r="N13" i="10"/>
  <c r="B169" i="10"/>
  <c r="H170" i="10"/>
  <c r="J170" i="10"/>
  <c r="C175" i="10"/>
  <c r="B176" i="10"/>
  <c r="J177" i="10"/>
  <c r="J187" i="10"/>
  <c r="N95" i="10"/>
  <c r="T205" i="10"/>
  <c r="L205" i="10"/>
  <c r="S205" i="10"/>
  <c r="J211" i="10"/>
  <c r="L211" i="10"/>
  <c r="U216" i="10"/>
  <c r="L188" i="10"/>
  <c r="B198" i="10"/>
  <c r="C196" i="10"/>
  <c r="L166" i="10"/>
  <c r="T193" i="10"/>
  <c r="D193" i="10"/>
  <c r="S193" i="10"/>
  <c r="L216" i="10"/>
  <c r="C188" i="10"/>
  <c r="H193" i="10"/>
  <c r="H199" i="10"/>
  <c r="U166" i="10"/>
  <c r="L178" i="10"/>
  <c r="N88" i="10"/>
  <c r="B201" i="10"/>
  <c r="N97" i="10"/>
  <c r="B205" i="10"/>
  <c r="U206" i="10"/>
  <c r="T206" i="10"/>
  <c r="D215" i="10"/>
  <c r="C167" i="10"/>
  <c r="N47" i="10"/>
  <c r="N67" i="10"/>
  <c r="L208" i="10"/>
  <c r="J209" i="10"/>
  <c r="J166" i="10"/>
  <c r="C183" i="10"/>
  <c r="J204" i="10"/>
  <c r="L172" i="10"/>
  <c r="B192" i="10"/>
  <c r="D178" i="10"/>
  <c r="N71" i="10"/>
  <c r="C195" i="10"/>
  <c r="L197" i="10"/>
  <c r="D206" i="10"/>
  <c r="N129" i="10"/>
  <c r="T213" i="10"/>
  <c r="N6" i="10"/>
  <c r="W220" i="10"/>
  <c r="D170" i="10"/>
  <c r="L174" i="10"/>
  <c r="J175" i="10"/>
  <c r="D176" i="10"/>
  <c r="C177" i="10"/>
  <c r="D189" i="10"/>
  <c r="B193" i="10"/>
  <c r="C205" i="10"/>
  <c r="H206" i="10"/>
  <c r="B214" i="10"/>
  <c r="S208" i="10"/>
  <c r="S199" i="10"/>
  <c r="J169" i="10"/>
  <c r="J188" i="10"/>
  <c r="J199" i="10"/>
  <c r="N105" i="10"/>
  <c r="N113" i="10"/>
  <c r="H211" i="10"/>
  <c r="D166" i="10"/>
  <c r="D172" i="10"/>
  <c r="H177" i="10"/>
  <c r="H166" i="10"/>
  <c r="T200" i="10"/>
  <c r="U200" i="10"/>
  <c r="L180" i="10"/>
  <c r="H215" i="10"/>
  <c r="B200" i="10"/>
  <c r="H209" i="10"/>
  <c r="T208" i="10"/>
  <c r="J180" i="10"/>
  <c r="C186" i="10"/>
  <c r="N61" i="10"/>
  <c r="D191" i="10"/>
  <c r="N84" i="10"/>
  <c r="N86" i="10"/>
  <c r="C204" i="10"/>
  <c r="B218" i="10"/>
  <c r="N133" i="10"/>
  <c r="N91" i="12"/>
  <c r="B193" i="12"/>
  <c r="N174" i="12"/>
  <c r="U193" i="12"/>
  <c r="N118" i="12"/>
  <c r="H192" i="12"/>
  <c r="J170" i="12"/>
  <c r="N50" i="12"/>
  <c r="L170" i="12"/>
  <c r="N16" i="12"/>
  <c r="N18" i="12"/>
  <c r="N20" i="12"/>
  <c r="N22" i="12"/>
  <c r="L149" i="12"/>
  <c r="J177" i="12"/>
  <c r="L183" i="12"/>
  <c r="N183" i="12" s="1"/>
  <c r="H170" i="12"/>
  <c r="N30" i="12"/>
  <c r="N39" i="12"/>
  <c r="N78" i="12"/>
  <c r="U181" i="12"/>
  <c r="D182" i="12"/>
  <c r="N94" i="12"/>
  <c r="C190" i="12"/>
  <c r="N109" i="12"/>
  <c r="W144" i="12"/>
  <c r="N147" i="12"/>
  <c r="N155" i="12"/>
  <c r="N163" i="12"/>
  <c r="W164" i="12"/>
  <c r="H193" i="12"/>
  <c r="N6" i="12"/>
  <c r="T149" i="12"/>
  <c r="L177" i="12"/>
  <c r="S170" i="12"/>
  <c r="N11" i="12"/>
  <c r="N36" i="12"/>
  <c r="N49" i="12"/>
  <c r="B163" i="12"/>
  <c r="B164" i="12"/>
  <c r="D168" i="12"/>
  <c r="C170" i="12"/>
  <c r="D188" i="12"/>
  <c r="W187" i="12"/>
  <c r="J193" i="12"/>
  <c r="N84" i="12"/>
  <c r="S160" i="12"/>
  <c r="C143" i="12"/>
  <c r="C144" i="12"/>
  <c r="N17" i="12"/>
  <c r="B148" i="12"/>
  <c r="B159" i="12"/>
  <c r="N55" i="12"/>
  <c r="L193" i="12"/>
  <c r="H161" i="12"/>
  <c r="B151" i="12"/>
  <c r="N34" i="12"/>
  <c r="C158" i="12"/>
  <c r="D194" i="12"/>
  <c r="N151" i="12"/>
  <c r="H172" i="15"/>
  <c r="W209" i="15"/>
  <c r="W202" i="15"/>
  <c r="W186" i="15"/>
  <c r="W182" i="15"/>
  <c r="W178" i="15"/>
  <c r="W174" i="15"/>
  <c r="W170" i="15"/>
  <c r="N33" i="15"/>
  <c r="B173" i="15"/>
  <c r="N17" i="15"/>
  <c r="C204" i="15"/>
  <c r="B193" i="15"/>
  <c r="N88" i="15"/>
  <c r="H199" i="15"/>
  <c r="U199" i="15"/>
  <c r="J199" i="15"/>
  <c r="L199" i="15"/>
  <c r="T199" i="15"/>
  <c r="C203" i="15"/>
  <c r="D207" i="15"/>
  <c r="N115" i="15"/>
  <c r="D211" i="15"/>
  <c r="U212" i="15"/>
  <c r="B212" i="15"/>
  <c r="N64" i="15"/>
  <c r="N45" i="15"/>
  <c r="C178" i="15"/>
  <c r="N40" i="15"/>
  <c r="L209" i="15"/>
  <c r="W166" i="15"/>
  <c r="B199" i="15"/>
  <c r="H209" i="15"/>
  <c r="N75" i="15"/>
  <c r="B198" i="15"/>
  <c r="N106" i="15"/>
  <c r="N110" i="15"/>
  <c r="N19" i="15"/>
  <c r="D212" i="15"/>
  <c r="C183" i="15"/>
  <c r="B181" i="15"/>
  <c r="D205" i="15"/>
  <c r="J187" i="15"/>
  <c r="L187" i="15"/>
  <c r="N14" i="15"/>
  <c r="D164" i="15"/>
  <c r="H210" i="15"/>
  <c r="J210" i="15"/>
  <c r="L210" i="15"/>
  <c r="H187" i="15"/>
  <c r="S199" i="15"/>
  <c r="B204" i="15"/>
  <c r="C196" i="15"/>
  <c r="B166" i="15"/>
  <c r="C190" i="15"/>
  <c r="J196" i="15"/>
  <c r="L164" i="15"/>
  <c r="S203" i="15"/>
  <c r="W203" i="15" s="1"/>
  <c r="D193" i="15"/>
  <c r="C206" i="15"/>
  <c r="D208" i="15"/>
  <c r="B185" i="15"/>
  <c r="D183" i="15"/>
  <c r="B182" i="15"/>
  <c r="C180" i="15"/>
  <c r="D179" i="15"/>
  <c r="N36" i="15"/>
  <c r="C172" i="15"/>
  <c r="C163" i="15"/>
  <c r="H177" i="15"/>
  <c r="L163" i="15"/>
  <c r="W168" i="15"/>
  <c r="W211" i="15"/>
  <c r="S193" i="15"/>
  <c r="N92" i="15"/>
  <c r="N93" i="15"/>
  <c r="D203" i="15"/>
  <c r="N99" i="15"/>
  <c r="N102" i="15"/>
  <c r="N62" i="15"/>
  <c r="N59" i="15"/>
  <c r="B184" i="15"/>
  <c r="J176" i="15"/>
  <c r="J170" i="15"/>
  <c r="N96" i="15"/>
  <c r="N98" i="15"/>
  <c r="N53" i="15"/>
  <c r="L186" i="15"/>
  <c r="L168" i="15"/>
  <c r="J164" i="15"/>
  <c r="B192" i="15"/>
  <c r="N81" i="15"/>
  <c r="N86" i="15"/>
  <c r="C199" i="15"/>
  <c r="C171" i="15"/>
  <c r="N24" i="15"/>
  <c r="N21" i="15"/>
  <c r="D166" i="15"/>
  <c r="N16" i="15"/>
  <c r="L200" i="15"/>
  <c r="L182" i="15"/>
  <c r="J171" i="15"/>
  <c r="N118" i="15"/>
  <c r="N39" i="15"/>
  <c r="N29" i="15"/>
  <c r="C170" i="15"/>
  <c r="N18" i="15"/>
  <c r="B165" i="15"/>
  <c r="N13" i="15"/>
  <c r="B162" i="15"/>
  <c r="L188" i="15"/>
  <c r="D189" i="15"/>
  <c r="N76" i="15"/>
  <c r="B194" i="15"/>
  <c r="D197" i="15"/>
  <c r="N87" i="15"/>
  <c r="N90" i="15"/>
  <c r="D187" i="15"/>
  <c r="D171" i="15"/>
  <c r="B170" i="15"/>
  <c r="D168" i="15"/>
  <c r="B167" i="15"/>
  <c r="C165" i="15"/>
  <c r="C164" i="15"/>
  <c r="N9" i="15"/>
  <c r="J206" i="15"/>
  <c r="J198" i="15"/>
  <c r="L190" i="15"/>
  <c r="L180" i="15"/>
  <c r="L169" i="15"/>
  <c r="L165" i="15"/>
  <c r="B185" i="12"/>
  <c r="B192" i="12"/>
  <c r="H152" i="12"/>
  <c r="N15" i="12"/>
  <c r="N19" i="12"/>
  <c r="N56" i="12"/>
  <c r="N72" i="12"/>
  <c r="N97" i="12"/>
  <c r="N99" i="12"/>
  <c r="N148" i="12"/>
  <c r="S188" i="12"/>
  <c r="N27" i="12"/>
  <c r="N51" i="12"/>
  <c r="N25" i="12"/>
  <c r="C154" i="12"/>
  <c r="C155" i="12"/>
  <c r="B157" i="12"/>
  <c r="C176" i="12"/>
  <c r="N81" i="12"/>
  <c r="B179" i="12"/>
  <c r="N88" i="12"/>
  <c r="C183" i="12"/>
  <c r="B184" i="12"/>
  <c r="B189" i="12"/>
  <c r="B190" i="12"/>
  <c r="W157" i="12"/>
  <c r="D142" i="12"/>
  <c r="D158" i="12"/>
  <c r="B174" i="12"/>
  <c r="N107" i="12"/>
  <c r="W194" i="12"/>
  <c r="J161" i="12"/>
  <c r="U160" i="12"/>
  <c r="B181" i="12"/>
  <c r="U145" i="12"/>
  <c r="T181" i="12"/>
  <c r="H179" i="12"/>
  <c r="D151" i="12"/>
  <c r="C152" i="12"/>
  <c r="N33" i="12"/>
  <c r="C160" i="12"/>
  <c r="B175" i="12"/>
  <c r="L176" i="12"/>
  <c r="N176" i="12" s="1"/>
  <c r="N87" i="12"/>
  <c r="B182" i="12"/>
  <c r="N98" i="12"/>
  <c r="N158" i="12"/>
  <c r="N166" i="12"/>
  <c r="W168" i="12"/>
  <c r="S152" i="12"/>
  <c r="T160" i="12"/>
  <c r="S145" i="12"/>
  <c r="S161" i="12"/>
  <c r="J179" i="12"/>
  <c r="D145" i="12"/>
  <c r="C153" i="12"/>
  <c r="N41" i="12"/>
  <c r="W147" i="12"/>
  <c r="W154" i="12"/>
  <c r="D150" i="12"/>
  <c r="D157" i="12"/>
  <c r="B160" i="12"/>
  <c r="C192" i="12"/>
  <c r="B194" i="12"/>
  <c r="N116" i="12"/>
  <c r="U152" i="12"/>
  <c r="L160" i="12"/>
  <c r="L145" i="12"/>
  <c r="C150" i="12"/>
  <c r="N26" i="12"/>
  <c r="N28" i="12"/>
  <c r="D161" i="12"/>
  <c r="N104" i="12"/>
  <c r="W142" i="12"/>
  <c r="N164" i="12"/>
  <c r="D180" i="12"/>
  <c r="T180" i="12"/>
  <c r="J180" i="12"/>
  <c r="L180" i="12"/>
  <c r="S180" i="12"/>
  <c r="T165" i="12"/>
  <c r="U165" i="12"/>
  <c r="S165" i="12"/>
  <c r="J165" i="12"/>
  <c r="H165" i="12"/>
  <c r="J173" i="12"/>
  <c r="L173" i="12"/>
  <c r="T173" i="12"/>
  <c r="S173" i="12"/>
  <c r="U173" i="12"/>
  <c r="N90" i="12"/>
  <c r="B177" i="12"/>
  <c r="H153" i="12"/>
  <c r="U153" i="12"/>
  <c r="D153" i="12"/>
  <c r="L153" i="12"/>
  <c r="J153" i="12"/>
  <c r="S153" i="12"/>
  <c r="N57" i="12"/>
  <c r="B166" i="12"/>
  <c r="B173" i="12"/>
  <c r="U175" i="12"/>
  <c r="J175" i="12"/>
  <c r="H175" i="12"/>
  <c r="T175" i="12"/>
  <c r="C175" i="12"/>
  <c r="D175" i="12"/>
  <c r="L175" i="12"/>
  <c r="S175" i="12"/>
  <c r="C180" i="12"/>
  <c r="D183" i="12"/>
  <c r="C184" i="12"/>
  <c r="N31" i="12"/>
  <c r="B153" i="12"/>
  <c r="S156" i="12"/>
  <c r="H156" i="12"/>
  <c r="T156" i="12"/>
  <c r="C165" i="12"/>
  <c r="W148" i="12"/>
  <c r="D143" i="12"/>
  <c r="N10" i="12"/>
  <c r="S191" i="12"/>
  <c r="U191" i="12"/>
  <c r="J191" i="12"/>
  <c r="H191" i="12"/>
  <c r="D193" i="12"/>
  <c r="N111" i="12"/>
  <c r="L165" i="12"/>
  <c r="U185" i="12"/>
  <c r="H185" i="12"/>
  <c r="T185" i="12"/>
  <c r="L185" i="12"/>
  <c r="N106" i="12"/>
  <c r="C191" i="12"/>
  <c r="B191" i="12"/>
  <c r="N112" i="12"/>
  <c r="L181" i="12"/>
  <c r="H186" i="12"/>
  <c r="N14" i="12"/>
  <c r="N40" i="12"/>
  <c r="N47" i="12"/>
  <c r="C162" i="12"/>
  <c r="D163" i="12"/>
  <c r="N60" i="12"/>
  <c r="N62" i="12"/>
  <c r="N79" i="12"/>
  <c r="B178" i="12"/>
  <c r="N100" i="12"/>
  <c r="N159" i="12"/>
  <c r="N167" i="12"/>
  <c r="N113" i="12"/>
  <c r="U184" i="12"/>
  <c r="H181" i="12"/>
  <c r="N181" i="12" s="1"/>
  <c r="C145" i="12"/>
  <c r="D152" i="12"/>
  <c r="D155" i="12"/>
  <c r="C157" i="12"/>
  <c r="N64" i="12"/>
  <c r="D176" i="12"/>
  <c r="N142" i="12"/>
  <c r="W163" i="12"/>
  <c r="N93" i="12"/>
  <c r="N146" i="12"/>
  <c r="S192" i="12"/>
  <c r="T192" i="12"/>
  <c r="N71" i="12"/>
  <c r="N108" i="12"/>
  <c r="N92" i="12"/>
  <c r="L186" i="12"/>
  <c r="N24" i="12"/>
  <c r="D173" i="12"/>
  <c r="N75" i="12"/>
  <c r="C179" i="12"/>
  <c r="W167" i="12"/>
  <c r="C141" i="12"/>
  <c r="B149" i="12"/>
  <c r="S149" i="12"/>
  <c r="W149" i="12" s="1"/>
  <c r="S184" i="12"/>
  <c r="S181" i="12"/>
  <c r="D186" i="12"/>
  <c r="T186" i="12"/>
  <c r="T170" i="12"/>
  <c r="C146" i="12"/>
  <c r="C151" i="12"/>
  <c r="D172" i="12"/>
  <c r="D178" i="12"/>
  <c r="D179" i="12"/>
  <c r="U183" i="12"/>
  <c r="W183" i="12" s="1"/>
  <c r="D187" i="12"/>
  <c r="N143" i="12"/>
  <c r="W196" i="12"/>
  <c r="B152" i="12"/>
  <c r="T184" i="12"/>
  <c r="B188" i="12"/>
  <c r="C149" i="12"/>
  <c r="B156" i="12"/>
  <c r="C163" i="12"/>
  <c r="B171" i="12"/>
  <c r="C173" i="12"/>
  <c r="N86" i="12"/>
  <c r="N154" i="12"/>
  <c r="W174" i="12"/>
  <c r="N194" i="12"/>
  <c r="D195" i="12"/>
  <c r="N196" i="12"/>
  <c r="L184" i="13"/>
  <c r="J183" i="13"/>
  <c r="B195" i="13"/>
  <c r="D198" i="13"/>
  <c r="N75" i="13"/>
  <c r="L173" i="13"/>
  <c r="J163" i="13"/>
  <c r="N15" i="13"/>
  <c r="H176" i="13"/>
  <c r="T197" i="13"/>
  <c r="N68" i="13"/>
  <c r="H178" i="13"/>
  <c r="S189" i="13"/>
  <c r="L207" i="13"/>
  <c r="J203" i="13"/>
  <c r="L199" i="13"/>
  <c r="L177" i="13"/>
  <c r="W194" i="13"/>
  <c r="W210" i="13"/>
  <c r="H163" i="13"/>
  <c r="N129" i="13"/>
  <c r="H212" i="13"/>
  <c r="S195" i="13"/>
  <c r="D204" i="13"/>
  <c r="B206" i="13"/>
  <c r="B184" i="13"/>
  <c r="J205" i="13"/>
  <c r="L197" i="13"/>
  <c r="L187" i="13"/>
  <c r="L176" i="13"/>
  <c r="W185" i="13"/>
  <c r="N62" i="13"/>
  <c r="N104" i="13"/>
  <c r="C201" i="13"/>
  <c r="L210" i="13"/>
  <c r="J172" i="13"/>
  <c r="U197" i="13"/>
  <c r="J173" i="13"/>
  <c r="B186" i="13"/>
  <c r="N85" i="13"/>
  <c r="B203" i="13"/>
  <c r="N121" i="13"/>
  <c r="N80" i="13"/>
  <c r="H197" i="13"/>
  <c r="N112" i="13"/>
  <c r="D206" i="13"/>
  <c r="B209" i="13"/>
  <c r="C164" i="13"/>
  <c r="U195" i="13"/>
  <c r="N105" i="13"/>
  <c r="N93" i="13"/>
  <c r="H202" i="13"/>
  <c r="H184" i="13"/>
  <c r="J178" i="13"/>
  <c r="D181" i="13"/>
  <c r="C202" i="13"/>
  <c r="D192" i="13"/>
  <c r="L191" i="13"/>
  <c r="H181" i="13"/>
  <c r="J177" i="13"/>
  <c r="H174" i="13"/>
  <c r="N28" i="13"/>
  <c r="D201" i="13"/>
  <c r="W174" i="13"/>
  <c r="N50" i="13"/>
  <c r="B163" i="13"/>
  <c r="L201" i="13"/>
  <c r="H194" i="13"/>
  <c r="L190" i="13"/>
  <c r="L180" i="13"/>
  <c r="N60" i="13"/>
  <c r="C172" i="13"/>
  <c r="D158" i="13"/>
  <c r="S191" i="13"/>
  <c r="J210" i="13"/>
  <c r="N123" i="13"/>
  <c r="L183" i="13"/>
  <c r="D182" i="13"/>
  <c r="J197" i="13"/>
  <c r="D199" i="13"/>
  <c r="N108" i="13"/>
  <c r="H175" i="13"/>
  <c r="B164" i="13"/>
  <c r="C161" i="13"/>
  <c r="J174" i="13"/>
  <c r="J180" i="13"/>
  <c r="D186" i="13"/>
  <c r="B207" i="13"/>
  <c r="J175" i="13"/>
  <c r="B178" i="13"/>
  <c r="C192" i="13"/>
  <c r="W198" i="13"/>
  <c r="N47" i="13"/>
  <c r="L174" i="13"/>
  <c r="L194" i="13"/>
  <c r="N45" i="13"/>
  <c r="L172" i="13"/>
  <c r="J200" i="13"/>
  <c r="H196" i="13"/>
  <c r="H188" i="13"/>
  <c r="H186" i="13"/>
  <c r="L178" i="13"/>
  <c r="B162" i="13"/>
  <c r="N12" i="13"/>
  <c r="J190" i="13"/>
  <c r="T192" i="13"/>
  <c r="N94" i="13"/>
  <c r="N92" i="13"/>
  <c r="C204" i="13"/>
  <c r="H205" i="13"/>
  <c r="D207" i="13"/>
  <c r="H207" i="13"/>
  <c r="L203" i="13"/>
  <c r="J195" i="13"/>
  <c r="J192" i="13"/>
  <c r="H185" i="13"/>
  <c r="N125" i="13"/>
  <c r="C165" i="13"/>
  <c r="T205" i="13"/>
  <c r="J179" i="13"/>
  <c r="J188" i="13"/>
  <c r="H193" i="13"/>
  <c r="H182" i="13"/>
  <c r="N21" i="13"/>
  <c r="N16" i="13"/>
  <c r="D160" i="13"/>
  <c r="J207" i="13"/>
  <c r="S205" i="13"/>
  <c r="J201" i="13"/>
  <c r="L188" i="13"/>
  <c r="L182" i="13"/>
  <c r="L205" i="13"/>
  <c r="C186" i="13"/>
  <c r="N77" i="13"/>
  <c r="D188" i="13"/>
  <c r="N82" i="13"/>
  <c r="D191" i="13"/>
  <c r="N98" i="13"/>
  <c r="N100" i="13"/>
  <c r="C184" i="13"/>
  <c r="N52" i="13"/>
  <c r="N26" i="13"/>
  <c r="D163" i="13"/>
  <c r="J212" i="13"/>
  <c r="S193" i="13"/>
  <c r="N11" i="13"/>
  <c r="B191" i="13"/>
  <c r="J193" i="13"/>
  <c r="D194" i="13"/>
  <c r="U193" i="13"/>
  <c r="N55" i="13"/>
  <c r="N63" i="13"/>
  <c r="N96" i="13"/>
  <c r="N67" i="13"/>
  <c r="C162" i="13"/>
  <c r="L192" i="13"/>
  <c r="L160" i="13"/>
  <c r="H192" i="13"/>
  <c r="H190" i="13"/>
  <c r="L193" i="13"/>
  <c r="B194" i="13"/>
  <c r="U205" i="13"/>
  <c r="T199" i="13"/>
  <c r="N73" i="13"/>
  <c r="N122" i="13"/>
  <c r="D209" i="13"/>
  <c r="J206" i="13"/>
  <c r="J198" i="13"/>
  <c r="J184" i="13"/>
  <c r="D178" i="13"/>
  <c r="W159" i="13"/>
  <c r="J196" i="13"/>
  <c r="D176" i="13"/>
  <c r="H203" i="13"/>
  <c r="J185" i="13"/>
  <c r="L185" i="13"/>
  <c r="J182" i="13"/>
  <c r="L195" i="13"/>
  <c r="J194" i="13"/>
  <c r="D185" i="13"/>
  <c r="W181" i="13"/>
  <c r="W188" i="13"/>
  <c r="W207" i="13"/>
  <c r="W206" i="13"/>
  <c r="C180" i="13"/>
  <c r="C163" i="13"/>
  <c r="N17" i="13"/>
  <c r="D157" i="13"/>
  <c r="T191" i="13"/>
  <c r="C185" i="13"/>
  <c r="C193" i="13"/>
  <c r="H204" i="13"/>
  <c r="L198" i="13"/>
  <c r="S192" i="13"/>
  <c r="W192" i="13" s="1"/>
  <c r="H177" i="13"/>
  <c r="C181" i="13"/>
  <c r="C190" i="13"/>
  <c r="B193" i="13"/>
  <c r="D197" i="13"/>
  <c r="B205" i="13"/>
  <c r="C207" i="13"/>
  <c r="J204" i="13"/>
  <c r="J186" i="13"/>
  <c r="W182" i="13"/>
  <c r="W190" i="13"/>
  <c r="W209" i="13"/>
  <c r="D177" i="13"/>
  <c r="L176" i="15"/>
  <c r="N109" i="15"/>
  <c r="H161" i="15"/>
  <c r="N50" i="15"/>
  <c r="H180" i="15"/>
  <c r="N61" i="15"/>
  <c r="N48" i="15"/>
  <c r="C207" i="15"/>
  <c r="B169" i="15"/>
  <c r="H216" i="15"/>
  <c r="U191" i="15"/>
  <c r="H202" i="15"/>
  <c r="H164" i="15"/>
  <c r="J161" i="15"/>
  <c r="N56" i="15"/>
  <c r="J202" i="15"/>
  <c r="D172" i="15"/>
  <c r="L196" i="15"/>
  <c r="N107" i="15"/>
  <c r="N68" i="15"/>
  <c r="L207" i="15"/>
  <c r="D176" i="15"/>
  <c r="N30" i="15"/>
  <c r="N27" i="15"/>
  <c r="L162" i="15"/>
  <c r="J216" i="15"/>
  <c r="H176" i="15"/>
  <c r="N113" i="15"/>
  <c r="W180" i="15"/>
  <c r="H214" i="15"/>
  <c r="L170" i="15"/>
  <c r="L194" i="15"/>
  <c r="N57" i="15"/>
  <c r="N69" i="15"/>
  <c r="J213" i="15"/>
  <c r="H184" i="15"/>
  <c r="B195" i="15"/>
  <c r="N12" i="15"/>
  <c r="N105" i="15"/>
  <c r="N28" i="15"/>
  <c r="N6" i="15"/>
  <c r="N82" i="15"/>
  <c r="N94" i="15"/>
  <c r="N97" i="15"/>
  <c r="N101" i="15"/>
  <c r="S207" i="15"/>
  <c r="N70" i="15"/>
  <c r="B187" i="15"/>
  <c r="D184" i="15"/>
  <c r="N55" i="15"/>
  <c r="C182" i="15"/>
  <c r="N42" i="15"/>
  <c r="J183" i="15"/>
  <c r="W173" i="15"/>
  <c r="W165" i="15"/>
  <c r="H206" i="15"/>
  <c r="L171" i="15"/>
  <c r="N20" i="15"/>
  <c r="H213" i="15"/>
  <c r="S212" i="15"/>
  <c r="H194" i="15"/>
  <c r="J191" i="15"/>
  <c r="D195" i="15"/>
  <c r="U207" i="15"/>
  <c r="B188" i="15"/>
  <c r="N72" i="15"/>
  <c r="B210" i="15"/>
  <c r="C168" i="15"/>
  <c r="J211" i="15"/>
  <c r="C212" i="15"/>
  <c r="H185" i="15"/>
  <c r="H198" i="15"/>
  <c r="L191" i="15"/>
  <c r="J195" i="15"/>
  <c r="H191" i="15"/>
  <c r="C195" i="15"/>
  <c r="N83" i="15"/>
  <c r="N84" i="15"/>
  <c r="C210" i="15"/>
  <c r="N34" i="15"/>
  <c r="H178" i="15"/>
  <c r="N119" i="15"/>
  <c r="D204" i="15"/>
  <c r="T195" i="15"/>
  <c r="H207" i="15"/>
  <c r="B196" i="15"/>
  <c r="N121" i="15"/>
  <c r="J178" i="15"/>
  <c r="T207" i="15"/>
  <c r="D198" i="15"/>
  <c r="B207" i="15"/>
  <c r="N114" i="15"/>
  <c r="D174" i="15"/>
  <c r="C173" i="15"/>
  <c r="L166" i="15"/>
  <c r="D216" i="15"/>
  <c r="C185" i="7"/>
  <c r="H175" i="7"/>
  <c r="C175" i="7"/>
  <c r="T175" i="7"/>
  <c r="S181" i="7"/>
  <c r="T181" i="7"/>
  <c r="U181" i="7"/>
  <c r="B186" i="7"/>
  <c r="B187" i="7"/>
  <c r="S187" i="7"/>
  <c r="N106" i="7"/>
  <c r="N65" i="7"/>
  <c r="B170" i="7"/>
  <c r="B166" i="7"/>
  <c r="N58" i="7"/>
  <c r="N33" i="7"/>
  <c r="B154" i="7"/>
  <c r="W188" i="7"/>
  <c r="H184" i="7"/>
  <c r="H176" i="7"/>
  <c r="N117" i="7"/>
  <c r="B196" i="7"/>
  <c r="H146" i="7"/>
  <c r="N75" i="7"/>
  <c r="B188" i="7"/>
  <c r="T187" i="7"/>
  <c r="N70" i="7"/>
  <c r="B174" i="7"/>
  <c r="N81" i="7"/>
  <c r="L142" i="7"/>
  <c r="L187" i="7"/>
  <c r="W175" i="7"/>
  <c r="U176" i="7"/>
  <c r="D189" i="7"/>
  <c r="B173" i="7"/>
  <c r="D175" i="7"/>
  <c r="N83" i="7"/>
  <c r="N93" i="7"/>
  <c r="C142" i="7"/>
  <c r="L141" i="7"/>
  <c r="J141" i="7"/>
  <c r="H192" i="7"/>
  <c r="N113" i="7"/>
  <c r="S175" i="7"/>
  <c r="H165" i="7"/>
  <c r="L165" i="7"/>
  <c r="W165" i="7"/>
  <c r="J165" i="7"/>
  <c r="L161" i="7"/>
  <c r="B162" i="7"/>
  <c r="N50" i="7"/>
  <c r="B165" i="7"/>
  <c r="N55" i="7"/>
  <c r="N35" i="7"/>
  <c r="B155" i="7"/>
  <c r="W176" i="7"/>
  <c r="S176" i="7"/>
  <c r="U175" i="7"/>
  <c r="N92" i="7"/>
  <c r="W158" i="7"/>
  <c r="H158" i="7"/>
  <c r="H188" i="7"/>
  <c r="B176" i="7"/>
  <c r="N19" i="7"/>
  <c r="L175" i="7"/>
  <c r="W146" i="7"/>
  <c r="N97" i="7"/>
  <c r="N73" i="7"/>
  <c r="B168" i="7"/>
  <c r="N109" i="7"/>
  <c r="C192" i="7"/>
  <c r="B161" i="7"/>
  <c r="N47" i="7"/>
  <c r="N49" i="7"/>
  <c r="D162" i="7"/>
  <c r="C163" i="7"/>
  <c r="N27" i="7"/>
  <c r="B151" i="7"/>
  <c r="N32" i="7"/>
  <c r="C156" i="7"/>
  <c r="N45" i="7"/>
  <c r="N13" i="7"/>
  <c r="J185" i="7"/>
  <c r="L185" i="7"/>
  <c r="L181" i="7"/>
  <c r="H181" i="7"/>
  <c r="H177" i="7"/>
  <c r="L177" i="7"/>
  <c r="J177" i="7"/>
  <c r="L173" i="7"/>
  <c r="J173" i="7"/>
  <c r="H170" i="7"/>
  <c r="L170" i="7"/>
  <c r="L157" i="7"/>
  <c r="W171" i="7"/>
  <c r="S143" i="7"/>
  <c r="J188" i="7"/>
  <c r="J149" i="7"/>
  <c r="N79" i="7"/>
  <c r="W172" i="7"/>
  <c r="L167" i="7"/>
  <c r="W184" i="7"/>
  <c r="J175" i="7"/>
  <c r="W187" i="7"/>
  <c r="U180" i="7"/>
  <c r="J187" i="7"/>
  <c r="C182" i="7"/>
  <c r="D187" i="7"/>
  <c r="B189" i="7"/>
  <c r="D167" i="7"/>
  <c r="B150" i="7"/>
  <c r="D151" i="7"/>
  <c r="C158" i="7"/>
  <c r="D142" i="7"/>
  <c r="W160" i="7"/>
  <c r="L156" i="7"/>
  <c r="B141" i="7"/>
  <c r="C196" i="7"/>
  <c r="H195" i="7"/>
  <c r="D181" i="7"/>
  <c r="D168" i="7"/>
  <c r="L146" i="7"/>
  <c r="W183" i="7"/>
  <c r="J184" i="7"/>
  <c r="C167" i="7"/>
  <c r="J171" i="7"/>
  <c r="H171" i="7"/>
  <c r="J160" i="7"/>
  <c r="W149" i="7"/>
  <c r="H167" i="7"/>
  <c r="J176" i="7"/>
  <c r="D180" i="7"/>
  <c r="W157" i="7"/>
  <c r="D173" i="7"/>
  <c r="N78" i="7"/>
  <c r="C160" i="7"/>
  <c r="B164" i="7"/>
  <c r="D155" i="7"/>
  <c r="B157" i="7"/>
  <c r="H194" i="7"/>
  <c r="N118" i="7"/>
  <c r="D182" i="7"/>
  <c r="C187" i="7"/>
  <c r="W142" i="7"/>
  <c r="W196" i="7"/>
  <c r="L149" i="7"/>
  <c r="L195" i="7"/>
  <c r="N82" i="7"/>
  <c r="C189" i="7"/>
  <c r="H191" i="7"/>
  <c r="J196" i="7"/>
  <c r="J191" i="7"/>
  <c r="N63" i="7"/>
  <c r="C170" i="7"/>
  <c r="C174" i="7"/>
  <c r="B182" i="7"/>
  <c r="C186" i="7"/>
  <c r="N112" i="7"/>
  <c r="C168" i="7"/>
  <c r="D160" i="7"/>
  <c r="C162" i="7"/>
  <c r="C164" i="7"/>
  <c r="C152" i="7"/>
  <c r="J182" i="7"/>
  <c r="J166" i="7"/>
  <c r="W162" i="7"/>
  <c r="S75" i="30"/>
  <c r="N8" i="30"/>
  <c r="B82" i="30"/>
  <c r="B75" i="30"/>
  <c r="J75" i="30"/>
  <c r="H77" i="30"/>
  <c r="C75" i="30"/>
  <c r="C79" i="30"/>
  <c r="L80" i="30"/>
  <c r="D75" i="30"/>
  <c r="C89" i="30"/>
  <c r="J83" i="30"/>
  <c r="B83" i="30"/>
  <c r="N30" i="30"/>
  <c r="C88" i="30"/>
  <c r="N7" i="30"/>
  <c r="H75" i="30"/>
  <c r="N12" i="30"/>
  <c r="L75" i="30"/>
  <c r="B79" i="30"/>
  <c r="S76" i="30"/>
  <c r="W76" i="30" s="1"/>
  <c r="W185" i="5"/>
  <c r="D188" i="5"/>
  <c r="B196" i="5"/>
  <c r="S158" i="5"/>
  <c r="L155" i="5"/>
  <c r="U185" i="5"/>
  <c r="C189" i="5"/>
  <c r="B153" i="5"/>
  <c r="S144" i="5"/>
  <c r="N63" i="5"/>
  <c r="L143" i="5"/>
  <c r="H177" i="5"/>
  <c r="L164" i="5"/>
  <c r="W148" i="5"/>
  <c r="J192" i="5"/>
  <c r="H166" i="5"/>
  <c r="W193" i="5"/>
  <c r="B194" i="5"/>
  <c r="N45" i="5"/>
  <c r="C163" i="5"/>
  <c r="J158" i="5"/>
  <c r="W183" i="5"/>
  <c r="W180" i="5"/>
  <c r="T196" i="5"/>
  <c r="N119" i="5"/>
  <c r="S174" i="5"/>
  <c r="W144" i="5"/>
  <c r="B155" i="5"/>
  <c r="L171" i="5"/>
  <c r="J167" i="5"/>
  <c r="T144" i="5"/>
  <c r="N46" i="5"/>
  <c r="B166" i="5"/>
  <c r="C183" i="5"/>
  <c r="N23" i="5"/>
  <c r="J171" i="5"/>
  <c r="W167" i="5"/>
  <c r="N105" i="5"/>
  <c r="N39" i="5"/>
  <c r="H155" i="5"/>
  <c r="B185" i="5"/>
  <c r="W189" i="5"/>
  <c r="H189" i="5"/>
  <c r="T178" i="5"/>
  <c r="J161" i="5"/>
  <c r="B169" i="5"/>
  <c r="E169" i="5" s="1"/>
  <c r="J165" i="5"/>
  <c r="B152" i="5"/>
  <c r="C185" i="5"/>
  <c r="H148" i="5"/>
  <c r="N37" i="5"/>
  <c r="J184" i="5"/>
  <c r="L163" i="5"/>
  <c r="W164" i="5"/>
  <c r="W191" i="5"/>
  <c r="H162" i="5"/>
  <c r="T174" i="5"/>
  <c r="N86" i="5"/>
  <c r="N81" i="5"/>
  <c r="N85" i="5"/>
  <c r="N38" i="5"/>
  <c r="B164" i="5"/>
  <c r="D148" i="5"/>
  <c r="N22" i="5"/>
  <c r="J157" i="5"/>
  <c r="H153" i="5"/>
  <c r="W186" i="5"/>
  <c r="U186" i="5"/>
  <c r="H159" i="5"/>
  <c r="L186" i="5"/>
  <c r="L159" i="5"/>
  <c r="T173" i="5"/>
  <c r="H144" i="5"/>
  <c r="C174" i="5"/>
  <c r="H174" i="5"/>
  <c r="H167" i="5"/>
  <c r="J186" i="5"/>
  <c r="L196" i="5"/>
  <c r="J159" i="5"/>
  <c r="W165" i="5"/>
  <c r="J144" i="5"/>
  <c r="T186" i="5"/>
  <c r="J147" i="5"/>
  <c r="H187" i="5"/>
  <c r="W187" i="5"/>
  <c r="N114" i="5"/>
  <c r="H188" i="5"/>
  <c r="W163" i="5"/>
  <c r="J146" i="5"/>
  <c r="T189" i="5"/>
  <c r="W159" i="5"/>
  <c r="B175" i="5"/>
  <c r="C178" i="5"/>
  <c r="N82" i="5"/>
  <c r="B187" i="5"/>
  <c r="B191" i="5"/>
  <c r="N108" i="5"/>
  <c r="B161" i="5"/>
  <c r="D162" i="5"/>
  <c r="N8" i="5"/>
  <c r="C144" i="5"/>
  <c r="D145" i="5"/>
  <c r="B149" i="5"/>
  <c r="D150" i="5"/>
  <c r="C155" i="5"/>
  <c r="W143" i="5"/>
  <c r="W168" i="5"/>
  <c r="W196" i="5"/>
  <c r="J196" i="5"/>
  <c r="H165" i="5"/>
  <c r="L187" i="5"/>
  <c r="J178" i="5"/>
  <c r="W151" i="5"/>
  <c r="B184" i="5"/>
  <c r="S189" i="5"/>
  <c r="U178" i="5"/>
  <c r="W174" i="5"/>
  <c r="N110" i="5"/>
  <c r="S188" i="5"/>
  <c r="U174" i="5"/>
  <c r="N107" i="5"/>
  <c r="C192" i="5"/>
  <c r="B143" i="5"/>
  <c r="D147" i="5"/>
  <c r="N31" i="5"/>
  <c r="W142" i="5"/>
  <c r="W96" i="28"/>
  <c r="C102" i="28"/>
  <c r="B96" i="28"/>
  <c r="W100" i="28"/>
  <c r="N62" i="28"/>
  <c r="D95" i="28"/>
  <c r="N27" i="28"/>
  <c r="N35" i="28"/>
  <c r="H99" i="28"/>
  <c r="H112" i="28"/>
  <c r="D92" i="28"/>
  <c r="H110" i="28"/>
  <c r="W92" i="28"/>
  <c r="W104" i="28"/>
  <c r="B183" i="2"/>
  <c r="D187" i="2"/>
  <c r="C189" i="2"/>
  <c r="N10" i="2"/>
  <c r="W155" i="2"/>
  <c r="W147" i="2"/>
  <c r="N58" i="2"/>
  <c r="N194" i="2"/>
  <c r="W171" i="2"/>
  <c r="W151" i="2"/>
  <c r="N169" i="2"/>
  <c r="C173" i="2"/>
  <c r="N93" i="2"/>
  <c r="D195" i="2"/>
  <c r="N195" i="2"/>
  <c r="C197" i="2"/>
  <c r="C169" i="2"/>
  <c r="W170" i="2"/>
  <c r="W166" i="2"/>
  <c r="W162" i="2"/>
  <c r="W158" i="2"/>
  <c r="N146" i="2"/>
  <c r="N185" i="2"/>
  <c r="S144" i="2"/>
  <c r="D193" i="2"/>
  <c r="B199" i="2"/>
  <c r="D144" i="2"/>
  <c r="B177" i="2"/>
  <c r="D181" i="2"/>
  <c r="C184" i="2"/>
  <c r="B186" i="2"/>
  <c r="D197" i="2"/>
  <c r="B172" i="2"/>
  <c r="B164" i="2"/>
  <c r="D150" i="2"/>
  <c r="D154" i="2"/>
  <c r="B198" i="2"/>
  <c r="N182" i="2"/>
  <c r="B173" i="2"/>
  <c r="B146" i="2"/>
  <c r="B150" i="2"/>
  <c r="N26" i="2"/>
  <c r="B158" i="2"/>
  <c r="D159" i="2"/>
  <c r="N39" i="2"/>
  <c r="W167" i="2"/>
  <c r="W163" i="2"/>
  <c r="W159" i="2"/>
  <c r="W196" i="2"/>
  <c r="W192" i="2"/>
  <c r="W180" i="2"/>
  <c r="W176" i="2"/>
  <c r="N149" i="2"/>
  <c r="N7" i="2"/>
  <c r="N196" i="2"/>
  <c r="N191" i="2"/>
  <c r="N60" i="2"/>
  <c r="H144" i="2"/>
  <c r="D196" i="2"/>
  <c r="N53" i="2"/>
  <c r="N16" i="2"/>
  <c r="U144" i="2"/>
  <c r="N69" i="2"/>
  <c r="N79" i="2"/>
  <c r="C192" i="2"/>
  <c r="B193" i="2"/>
  <c r="B152" i="2"/>
  <c r="W169" i="2"/>
  <c r="D192" i="2"/>
  <c r="C193" i="2"/>
  <c r="D169" i="2"/>
  <c r="N150" i="2"/>
  <c r="N112" i="2"/>
  <c r="N17" i="2"/>
  <c r="B144" i="2"/>
  <c r="N197" i="2"/>
  <c r="N15" i="2"/>
  <c r="N145" i="2"/>
  <c r="C176" i="2"/>
  <c r="C177" i="2"/>
  <c r="B178" i="2"/>
  <c r="D183" i="2"/>
  <c r="D184" i="2"/>
  <c r="N89" i="2"/>
  <c r="B187" i="2"/>
  <c r="N188" i="2"/>
  <c r="C170" i="2"/>
  <c r="D149" i="2"/>
  <c r="B154" i="2"/>
  <c r="N187" i="2"/>
  <c r="D173" i="2"/>
  <c r="W199" i="2"/>
  <c r="N186" i="2"/>
  <c r="N184" i="2"/>
  <c r="B174" i="2"/>
  <c r="D180" i="2"/>
  <c r="N85" i="2"/>
  <c r="N102" i="2"/>
  <c r="N105" i="2"/>
  <c r="N107" i="2"/>
  <c r="W195" i="2"/>
  <c r="W187" i="2"/>
  <c r="W183" i="2"/>
  <c r="N148" i="2"/>
  <c r="N181" i="2"/>
  <c r="C144" i="2"/>
  <c r="W198" i="2"/>
  <c r="N199" i="2"/>
  <c r="N34" i="2"/>
  <c r="C174" i="2"/>
  <c r="N86" i="2"/>
  <c r="C161" i="2"/>
  <c r="N45" i="2"/>
  <c r="N90" i="2"/>
  <c r="N64" i="2"/>
  <c r="N78" i="2"/>
  <c r="N48" i="2"/>
  <c r="C166" i="2"/>
  <c r="B168" i="2"/>
  <c r="N9" i="2"/>
  <c r="N11" i="2"/>
  <c r="C150" i="2"/>
  <c r="N24" i="2"/>
  <c r="C154" i="2"/>
  <c r="N38" i="2"/>
  <c r="W194" i="2"/>
  <c r="W182" i="2"/>
  <c r="W178" i="2"/>
  <c r="C198" i="2"/>
  <c r="C194" i="2"/>
  <c r="N62" i="2"/>
  <c r="N41" i="2"/>
  <c r="C168" i="2"/>
  <c r="B147" i="2"/>
  <c r="D148" i="2"/>
  <c r="B149" i="2"/>
  <c r="C152" i="2"/>
  <c r="N25" i="2"/>
  <c r="C160" i="2"/>
  <c r="B145" i="2"/>
  <c r="S198" i="2"/>
  <c r="N28" i="2"/>
  <c r="B176" i="2"/>
  <c r="N92" i="2"/>
  <c r="N44" i="2"/>
  <c r="N67" i="2"/>
  <c r="D176" i="2"/>
  <c r="C178" i="2"/>
  <c r="B195" i="2"/>
  <c r="C162" i="2"/>
  <c r="W152" i="2"/>
  <c r="N155" i="2"/>
  <c r="N170" i="2"/>
  <c r="N161" i="2"/>
  <c r="N177" i="2"/>
  <c r="N189" i="2"/>
  <c r="N96" i="2"/>
  <c r="C185" i="2"/>
  <c r="W173" i="2"/>
  <c r="N175" i="2"/>
  <c r="N108" i="2"/>
  <c r="N12" i="2"/>
  <c r="W186" i="2"/>
  <c r="T198" i="2"/>
  <c r="C181" i="2"/>
  <c r="N87" i="2"/>
  <c r="N113" i="2"/>
  <c r="N63" i="2"/>
  <c r="N52" i="2"/>
  <c r="W172" i="2"/>
  <c r="N171" i="2"/>
  <c r="H198" i="2"/>
  <c r="B161" i="2"/>
  <c r="C195" i="2"/>
  <c r="W181" i="2"/>
  <c r="J144" i="2"/>
  <c r="N19" i="2"/>
  <c r="N83" i="2"/>
  <c r="N100" i="2"/>
  <c r="D147" i="2"/>
  <c r="C149" i="2"/>
  <c r="D158" i="2"/>
  <c r="N156" i="2"/>
  <c r="N167" i="2"/>
  <c r="C182" i="2"/>
  <c r="C180" i="2"/>
  <c r="N84" i="2"/>
  <c r="D194" i="2"/>
  <c r="W177" i="2"/>
  <c r="J198" i="2"/>
  <c r="N97" i="2"/>
  <c r="C167" i="2"/>
  <c r="C175" i="2"/>
  <c r="E175" i="2" s="1"/>
  <c r="N180" i="2"/>
  <c r="D182" i="2"/>
  <c r="B162" i="2"/>
  <c r="D167" i="2"/>
  <c r="D145" i="2"/>
  <c r="B148" i="2"/>
  <c r="C153" i="2"/>
  <c r="D155" i="2"/>
  <c r="W174" i="2"/>
  <c r="N147" i="2"/>
  <c r="N193" i="2"/>
  <c r="C202" i="1"/>
  <c r="D189" i="1"/>
  <c r="C190" i="1"/>
  <c r="D192" i="1"/>
  <c r="H150" i="1"/>
  <c r="W172" i="1"/>
  <c r="U150" i="1"/>
  <c r="S151" i="1"/>
  <c r="N44" i="1"/>
  <c r="C159" i="1"/>
  <c r="N23" i="1"/>
  <c r="B151" i="1"/>
  <c r="N11" i="1"/>
  <c r="N38" i="1"/>
  <c r="N120" i="1"/>
  <c r="S167" i="1"/>
  <c r="W178" i="1"/>
  <c r="U177" i="1"/>
  <c r="D179" i="1"/>
  <c r="D193" i="1"/>
  <c r="H149" i="1"/>
  <c r="H152" i="1"/>
  <c r="U155" i="1"/>
  <c r="U171" i="1"/>
  <c r="T151" i="1"/>
  <c r="S178" i="1"/>
  <c r="B172" i="1"/>
  <c r="N46" i="1"/>
  <c r="N55" i="1"/>
  <c r="L167" i="1"/>
  <c r="H163" i="1"/>
  <c r="H189" i="1"/>
  <c r="T161" i="1"/>
  <c r="N93" i="1"/>
  <c r="N69" i="1"/>
  <c r="C162" i="1"/>
  <c r="N13" i="1"/>
  <c r="B149" i="1"/>
  <c r="H103" i="34"/>
  <c r="J103" i="34"/>
  <c r="L103" i="34"/>
  <c r="J170" i="17"/>
  <c r="H170" i="17"/>
  <c r="N32" i="25"/>
  <c r="B157" i="25"/>
  <c r="B171" i="25"/>
  <c r="N60" i="25"/>
  <c r="U176" i="21"/>
  <c r="S176" i="21"/>
  <c r="T176" i="21"/>
  <c r="B185" i="18"/>
  <c r="E185" i="18" s="1"/>
  <c r="B175" i="25"/>
  <c r="J150" i="24"/>
  <c r="H150" i="24"/>
  <c r="D187" i="21"/>
  <c r="B157" i="18"/>
  <c r="L132" i="26"/>
  <c r="N48" i="24"/>
  <c r="B180" i="5"/>
  <c r="N84" i="5"/>
  <c r="C209" i="13"/>
  <c r="N124" i="13"/>
  <c r="C176" i="13"/>
  <c r="N53" i="13"/>
  <c r="J115" i="36"/>
  <c r="N31" i="10"/>
  <c r="N20" i="10"/>
  <c r="N15" i="10"/>
  <c r="T202" i="10"/>
  <c r="N99" i="22"/>
  <c r="B145" i="21"/>
  <c r="J168" i="21"/>
  <c r="H169" i="21"/>
  <c r="W198" i="14"/>
  <c r="N109" i="14"/>
  <c r="J132" i="26"/>
  <c r="N56" i="25"/>
  <c r="U166" i="25"/>
  <c r="C193" i="7"/>
  <c r="U192" i="15"/>
  <c r="S192" i="15"/>
  <c r="D192" i="15"/>
  <c r="T192" i="15"/>
  <c r="J192" i="15"/>
  <c r="H192" i="15"/>
  <c r="C192" i="15"/>
  <c r="L192" i="15"/>
  <c r="N95" i="15"/>
  <c r="D202" i="15"/>
  <c r="T205" i="15"/>
  <c r="U205" i="15"/>
  <c r="S205" i="15"/>
  <c r="N78" i="5"/>
  <c r="C177" i="5"/>
  <c r="D190" i="5"/>
  <c r="D149" i="5"/>
  <c r="N21" i="5"/>
  <c r="D152" i="5"/>
  <c r="H195" i="5"/>
  <c r="L195" i="5"/>
  <c r="C157" i="7"/>
  <c r="N39" i="7"/>
  <c r="N42" i="7"/>
  <c r="B158" i="7"/>
  <c r="J178" i="7"/>
  <c r="W178" i="7"/>
  <c r="B174" i="15"/>
  <c r="N35" i="15"/>
  <c r="J169" i="14"/>
  <c r="L169" i="14"/>
  <c r="H169" i="14"/>
  <c r="N11" i="30"/>
  <c r="B77" i="30"/>
  <c r="U161" i="19"/>
  <c r="T161" i="19"/>
  <c r="C161" i="19"/>
  <c r="J172" i="17"/>
  <c r="H172" i="17"/>
  <c r="N30" i="25"/>
  <c r="B156" i="25"/>
  <c r="N50" i="24"/>
  <c r="C163" i="24"/>
  <c r="H174" i="25"/>
  <c r="H189" i="13"/>
  <c r="J189" i="13"/>
  <c r="D189" i="13"/>
  <c r="T189" i="13"/>
  <c r="W182" i="5"/>
  <c r="U182" i="5"/>
  <c r="J182" i="5"/>
  <c r="T182" i="5"/>
  <c r="S182" i="5"/>
  <c r="J113" i="37"/>
  <c r="L113" i="37"/>
  <c r="C204" i="9"/>
  <c r="D204" i="9"/>
  <c r="J204" i="9"/>
  <c r="H204" i="9"/>
  <c r="U204" i="9"/>
  <c r="L204" i="9"/>
  <c r="L164" i="17"/>
  <c r="J164" i="17"/>
  <c r="L166" i="17"/>
  <c r="H166" i="17"/>
  <c r="N57" i="17"/>
  <c r="B168" i="17"/>
  <c r="L153" i="25"/>
  <c r="D153" i="25"/>
  <c r="C153" i="25"/>
  <c r="U153" i="25"/>
  <c r="T153" i="25"/>
  <c r="S153" i="25"/>
  <c r="B182" i="21"/>
  <c r="U187" i="21"/>
  <c r="B204" i="9"/>
  <c r="L189" i="13"/>
  <c r="L172" i="17"/>
  <c r="J167" i="25"/>
  <c r="T181" i="5"/>
  <c r="S181" i="5"/>
  <c r="H181" i="5"/>
  <c r="D181" i="5"/>
  <c r="W181" i="5"/>
  <c r="D208" i="13"/>
  <c r="L87" i="30"/>
  <c r="H87" i="30"/>
  <c r="N101" i="9"/>
  <c r="B203" i="9"/>
  <c r="B161" i="17"/>
  <c r="N41" i="17"/>
  <c r="J138" i="26"/>
  <c r="L138" i="26"/>
  <c r="J149" i="24"/>
  <c r="H149" i="24"/>
  <c r="H162" i="24"/>
  <c r="L162" i="24"/>
  <c r="J162" i="24"/>
  <c r="W123" i="35"/>
  <c r="T162" i="12"/>
  <c r="N107" i="7"/>
  <c r="D182" i="5"/>
  <c r="T190" i="5"/>
  <c r="S190" i="5"/>
  <c r="C208" i="13"/>
  <c r="N54" i="11"/>
  <c r="B167" i="11"/>
  <c r="D183" i="11"/>
  <c r="N85" i="11"/>
  <c r="N30" i="9"/>
  <c r="C170" i="9"/>
  <c r="H170" i="21"/>
  <c r="L170" i="21"/>
  <c r="H115" i="36"/>
  <c r="N29" i="10"/>
  <c r="B191" i="10"/>
  <c r="N66" i="2"/>
  <c r="N81" i="2"/>
  <c r="B165" i="16"/>
  <c r="W150" i="16"/>
  <c r="N90" i="21"/>
  <c r="L168" i="21"/>
  <c r="B176" i="21"/>
  <c r="C187" i="21"/>
  <c r="L187" i="21"/>
  <c r="N76" i="21"/>
  <c r="U157" i="18"/>
  <c r="J193" i="18"/>
  <c r="D157" i="18"/>
  <c r="N152" i="14"/>
  <c r="C191" i="5"/>
  <c r="N86" i="13"/>
  <c r="N119" i="22"/>
  <c r="B170" i="17"/>
  <c r="B180" i="14"/>
  <c r="N77" i="15"/>
  <c r="C193" i="15"/>
  <c r="B197" i="15"/>
  <c r="D201" i="15"/>
  <c r="B128" i="6"/>
  <c r="U173" i="5"/>
  <c r="W173" i="5"/>
  <c r="L173" i="5"/>
  <c r="S173" i="5"/>
  <c r="H173" i="5"/>
  <c r="D176" i="5"/>
  <c r="N79" i="5"/>
  <c r="B184" i="2"/>
  <c r="N106" i="3"/>
  <c r="H163" i="3"/>
  <c r="W163" i="3"/>
  <c r="N48" i="5"/>
  <c r="B162" i="5"/>
  <c r="T152" i="5"/>
  <c r="S152" i="5"/>
  <c r="U152" i="5"/>
  <c r="D164" i="7"/>
  <c r="N54" i="7"/>
  <c r="C166" i="7"/>
  <c r="N57" i="7"/>
  <c r="D154" i="7"/>
  <c r="N34" i="7"/>
  <c r="B179" i="15"/>
  <c r="N47" i="15"/>
  <c r="N44" i="15"/>
  <c r="D178" i="15"/>
  <c r="B175" i="15"/>
  <c r="N37" i="15"/>
  <c r="H179" i="15"/>
  <c r="L179" i="15"/>
  <c r="J179" i="15"/>
  <c r="L175" i="15"/>
  <c r="H175" i="15"/>
  <c r="J175" i="15"/>
  <c r="L172" i="15"/>
  <c r="J172" i="15"/>
  <c r="H168" i="15"/>
  <c r="J168" i="15"/>
  <c r="L192" i="14"/>
  <c r="J188" i="14"/>
  <c r="J184" i="14"/>
  <c r="H184" i="14"/>
  <c r="L176" i="14"/>
  <c r="H176" i="14"/>
  <c r="J172" i="14"/>
  <c r="H165" i="14"/>
  <c r="N11" i="31"/>
  <c r="C83" i="31"/>
  <c r="U171" i="17"/>
  <c r="S171" i="17"/>
  <c r="B171" i="17"/>
  <c r="H171" i="17"/>
  <c r="J194" i="24"/>
  <c r="H194" i="24"/>
  <c r="H167" i="25"/>
  <c r="H208" i="13"/>
  <c r="J208" i="13"/>
  <c r="T208" i="13"/>
  <c r="S208" i="13"/>
  <c r="B144" i="12"/>
  <c r="N12" i="12"/>
  <c r="L162" i="12"/>
  <c r="J162" i="12"/>
  <c r="H162" i="12"/>
  <c r="U162" i="12"/>
  <c r="B162" i="12"/>
  <c r="D162" i="12"/>
  <c r="D165" i="12"/>
  <c r="N54" i="12"/>
  <c r="L205" i="9"/>
  <c r="H205" i="9"/>
  <c r="C193" i="19"/>
  <c r="N87" i="19"/>
  <c r="D187" i="18"/>
  <c r="U187" i="18"/>
  <c r="S187" i="18"/>
  <c r="H187" i="18"/>
  <c r="L165" i="17"/>
  <c r="J165" i="17"/>
  <c r="H137" i="26"/>
  <c r="J137" i="26"/>
  <c r="J154" i="25"/>
  <c r="H154" i="25"/>
  <c r="L191" i="24"/>
  <c r="J191" i="24"/>
  <c r="M8" i="35"/>
  <c r="D122" i="35" s="1"/>
  <c r="D176" i="21"/>
  <c r="B189" i="13"/>
  <c r="D190" i="13"/>
  <c r="N84" i="13"/>
  <c r="C179" i="5"/>
  <c r="N83" i="5"/>
  <c r="N42" i="34"/>
  <c r="C99" i="34"/>
  <c r="D172" i="9"/>
  <c r="N33" i="9"/>
  <c r="B194" i="9"/>
  <c r="N80" i="9"/>
  <c r="B160" i="17"/>
  <c r="N39" i="17"/>
  <c r="C136" i="26"/>
  <c r="N34" i="26"/>
  <c r="C146" i="24"/>
  <c r="N16" i="24"/>
  <c r="C149" i="24"/>
  <c r="N22" i="24"/>
  <c r="H152" i="24"/>
  <c r="J152" i="24"/>
  <c r="N105" i="24"/>
  <c r="B190" i="24"/>
  <c r="S157" i="18"/>
  <c r="L161" i="19"/>
  <c r="H163" i="19"/>
  <c r="J185" i="11"/>
  <c r="L185" i="11"/>
  <c r="J169" i="9"/>
  <c r="L169" i="9"/>
  <c r="H169" i="9"/>
  <c r="H204" i="19"/>
  <c r="L204" i="19"/>
  <c r="J204" i="19"/>
  <c r="D171" i="23"/>
  <c r="N47" i="23"/>
  <c r="N14" i="13"/>
  <c r="C160" i="13"/>
  <c r="J199" i="25"/>
  <c r="L199" i="25"/>
  <c r="B207" i="10"/>
  <c r="J174" i="10"/>
  <c r="C207" i="10"/>
  <c r="S207" i="10"/>
  <c r="S202" i="10"/>
  <c r="D186" i="22"/>
  <c r="C178" i="21"/>
  <c r="J187" i="21"/>
  <c r="N92" i="21"/>
  <c r="L186" i="18"/>
  <c r="H169" i="18"/>
  <c r="L157" i="18"/>
  <c r="L185" i="18"/>
  <c r="N115" i="14"/>
  <c r="U190" i="5"/>
  <c r="H81" i="30"/>
  <c r="S204" i="9"/>
  <c r="L133" i="26"/>
  <c r="L171" i="17"/>
  <c r="N101" i="8"/>
  <c r="B185" i="11"/>
  <c r="J170" i="21"/>
  <c r="N72" i="19"/>
  <c r="J157" i="17"/>
  <c r="H157" i="17"/>
  <c r="C171" i="17"/>
  <c r="L158" i="17"/>
  <c r="H158" i="17"/>
  <c r="T170" i="17"/>
  <c r="J153" i="17"/>
  <c r="H153" i="17"/>
  <c r="L153" i="17"/>
  <c r="J161" i="25"/>
  <c r="L161" i="25"/>
  <c r="H161" i="25"/>
  <c r="H193" i="24"/>
  <c r="N74" i="14"/>
  <c r="C176" i="14"/>
  <c r="N80" i="2"/>
  <c r="N115" i="13"/>
  <c r="N124" i="15"/>
  <c r="B214" i="15"/>
  <c r="S174" i="1"/>
  <c r="H174" i="1"/>
  <c r="B174" i="1"/>
  <c r="N51" i="2"/>
  <c r="C157" i="2"/>
  <c r="N32" i="2"/>
  <c r="C167" i="3"/>
  <c r="N36" i="3"/>
  <c r="W194" i="5"/>
  <c r="J194" i="5"/>
  <c r="L194" i="5"/>
  <c r="H194" i="5"/>
  <c r="W190" i="5"/>
  <c r="H190" i="5"/>
  <c r="J190" i="5"/>
  <c r="N30" i="7"/>
  <c r="B152" i="7"/>
  <c r="N11" i="7"/>
  <c r="B143" i="7"/>
  <c r="J181" i="7"/>
  <c r="W181" i="7"/>
  <c r="B177" i="8"/>
  <c r="N60" i="8"/>
  <c r="N28" i="8"/>
  <c r="B163" i="8"/>
  <c r="D164" i="8"/>
  <c r="N31" i="8"/>
  <c r="N60" i="15"/>
  <c r="N8" i="15"/>
  <c r="C162" i="15"/>
  <c r="L212" i="15"/>
  <c r="H212" i="15"/>
  <c r="H208" i="15"/>
  <c r="J208" i="15"/>
  <c r="C153" i="14"/>
  <c r="N26" i="14"/>
  <c r="D151" i="14"/>
  <c r="N23" i="14"/>
  <c r="C149" i="14"/>
  <c r="E149" i="14" s="1"/>
  <c r="N18" i="14"/>
  <c r="C146" i="14"/>
  <c r="N10" i="14"/>
  <c r="N153" i="2"/>
  <c r="N64" i="13"/>
  <c r="C182" i="13"/>
  <c r="H171" i="12"/>
  <c r="T171" i="12"/>
  <c r="L171" i="12"/>
  <c r="J171" i="12"/>
  <c r="D171" i="12"/>
  <c r="C166" i="25"/>
  <c r="H166" i="25"/>
  <c r="T166" i="25"/>
  <c r="L166" i="25"/>
  <c r="J166" i="25"/>
  <c r="S166" i="25"/>
  <c r="U174" i="25"/>
  <c r="T174" i="25"/>
  <c r="S174" i="25"/>
  <c r="D174" i="25"/>
  <c r="L174" i="25"/>
  <c r="H177" i="17"/>
  <c r="D166" i="25"/>
  <c r="C171" i="7"/>
  <c r="L120" i="15"/>
  <c r="C213" i="15" s="1"/>
  <c r="B213" i="15"/>
  <c r="N102" i="9"/>
  <c r="C203" i="9"/>
  <c r="N8" i="21"/>
  <c r="B143" i="21"/>
  <c r="T182" i="21"/>
  <c r="U182" i="21"/>
  <c r="L182" i="21"/>
  <c r="J182" i="21"/>
  <c r="D155" i="25"/>
  <c r="N28" i="25"/>
  <c r="N56" i="2"/>
  <c r="J184" i="21"/>
  <c r="N90" i="18"/>
  <c r="D165" i="19"/>
  <c r="L163" i="19"/>
  <c r="L177" i="17"/>
  <c r="J174" i="25"/>
  <c r="N118" i="13"/>
  <c r="C206" i="13"/>
  <c r="H194" i="9"/>
  <c r="J194" i="9"/>
  <c r="L161" i="17"/>
  <c r="H161" i="17"/>
  <c r="J161" i="17"/>
  <c r="L151" i="24"/>
  <c r="J151" i="24"/>
  <c r="H151" i="24"/>
  <c r="N109" i="2"/>
  <c r="N8" i="18"/>
  <c r="N122" i="15"/>
  <c r="B153" i="25"/>
  <c r="N178" i="2"/>
  <c r="N78" i="13"/>
  <c r="N25" i="9"/>
  <c r="C168" i="9"/>
  <c r="N47" i="18"/>
  <c r="C167" i="18"/>
  <c r="H197" i="23"/>
  <c r="L197" i="23"/>
  <c r="J197" i="23"/>
  <c r="D179" i="13"/>
  <c r="N58" i="13"/>
  <c r="J221" i="10"/>
  <c r="H221" i="10"/>
  <c r="J137" i="36"/>
  <c r="L137" i="36"/>
  <c r="H137" i="36"/>
  <c r="H174" i="10"/>
  <c r="N62" i="10"/>
  <c r="J207" i="10"/>
  <c r="D172" i="7"/>
  <c r="S187" i="21"/>
  <c r="H187" i="21"/>
  <c r="N71" i="21"/>
  <c r="L176" i="21"/>
  <c r="T157" i="18"/>
  <c r="E147" i="14"/>
  <c r="L190" i="5"/>
  <c r="N61" i="13"/>
  <c r="T204" i="9"/>
  <c r="L194" i="9"/>
  <c r="B138" i="26"/>
  <c r="S162" i="12"/>
  <c r="T187" i="21"/>
  <c r="T171" i="17"/>
  <c r="D171" i="17"/>
  <c r="J193" i="24"/>
  <c r="N110" i="24"/>
  <c r="H203" i="23"/>
  <c r="N203" i="23" s="1"/>
  <c r="D174" i="2"/>
  <c r="C197" i="13"/>
  <c r="S201" i="13"/>
  <c r="T201" i="13"/>
  <c r="U201" i="13"/>
  <c r="H201" i="13"/>
  <c r="N73" i="14"/>
  <c r="N75" i="14"/>
  <c r="N77" i="14"/>
  <c r="T179" i="14"/>
  <c r="S179" i="14"/>
  <c r="H179" i="14"/>
  <c r="N89" i="14"/>
  <c r="U186" i="14"/>
  <c r="H186" i="14"/>
  <c r="J186" i="14"/>
  <c r="N76" i="2"/>
  <c r="B179" i="2"/>
  <c r="D196" i="14"/>
  <c r="N114" i="14"/>
  <c r="D197" i="14"/>
  <c r="B157" i="1"/>
  <c r="N24" i="1"/>
  <c r="D161" i="2"/>
  <c r="N40" i="2"/>
  <c r="N14" i="2"/>
  <c r="N30" i="2"/>
  <c r="B156" i="2"/>
  <c r="W179" i="2"/>
  <c r="W175" i="2"/>
  <c r="H203" i="3"/>
  <c r="H152" i="5"/>
  <c r="W149" i="5"/>
  <c r="H149" i="5"/>
  <c r="H145" i="5"/>
  <c r="L145" i="5"/>
  <c r="W145" i="5"/>
  <c r="J145" i="5"/>
  <c r="H162" i="19"/>
  <c r="J162" i="19"/>
  <c r="N179" i="2"/>
  <c r="N89" i="13"/>
  <c r="C195" i="13"/>
  <c r="N95" i="13"/>
  <c r="D202" i="13"/>
  <c r="C183" i="14"/>
  <c r="N91" i="14"/>
  <c r="D186" i="8"/>
  <c r="C187" i="8"/>
  <c r="N83" i="8"/>
  <c r="N85" i="8"/>
  <c r="N89" i="8"/>
  <c r="C178" i="7"/>
  <c r="N91" i="7"/>
  <c r="C187" i="3"/>
  <c r="N85" i="3"/>
  <c r="B190" i="3"/>
  <c r="N93" i="3"/>
  <c r="N97" i="3"/>
  <c r="B196" i="3"/>
  <c r="B190" i="14"/>
  <c r="N103" i="14"/>
  <c r="N114" i="13"/>
  <c r="N22" i="2"/>
  <c r="L192" i="12"/>
  <c r="J192" i="12"/>
  <c r="N41" i="11"/>
  <c r="C161" i="11"/>
  <c r="E161" i="11" s="1"/>
  <c r="N41" i="9"/>
  <c r="B175" i="9"/>
  <c r="S176" i="9"/>
  <c r="W176" i="9" s="1"/>
  <c r="C176" i="9"/>
  <c r="J177" i="9"/>
  <c r="H177" i="9"/>
  <c r="N175" i="5"/>
  <c r="W162" i="19"/>
  <c r="H150" i="17"/>
  <c r="L150" i="17"/>
  <c r="W186" i="17"/>
  <c r="B192" i="13"/>
  <c r="N88" i="13"/>
  <c r="J199" i="13"/>
  <c r="H199" i="13"/>
  <c r="S199" i="13"/>
  <c r="C176" i="7"/>
  <c r="B177" i="5"/>
  <c r="N81" i="3"/>
  <c r="N82" i="3"/>
  <c r="N95" i="3"/>
  <c r="C199" i="8"/>
  <c r="B198" i="1"/>
  <c r="N114" i="3"/>
  <c r="C194" i="5"/>
  <c r="N20" i="2"/>
  <c r="B151" i="2"/>
  <c r="B159" i="2"/>
  <c r="N36" i="2"/>
  <c r="N37" i="11"/>
  <c r="D159" i="11"/>
  <c r="N69" i="11"/>
  <c r="D175" i="11"/>
  <c r="J176" i="11"/>
  <c r="H176" i="11"/>
  <c r="N84" i="11"/>
  <c r="B182" i="11"/>
  <c r="H183" i="11"/>
  <c r="B183" i="11"/>
  <c r="S212" i="10"/>
  <c r="J212" i="10"/>
  <c r="N20" i="9"/>
  <c r="C165" i="9"/>
  <c r="L166" i="19"/>
  <c r="J171" i="19"/>
  <c r="L170" i="17"/>
  <c r="C186" i="8"/>
  <c r="W179" i="7"/>
  <c r="N94" i="7"/>
  <c r="N77" i="5"/>
  <c r="T177" i="5"/>
  <c r="W177" i="5"/>
  <c r="B182" i="5"/>
  <c r="N77" i="3"/>
  <c r="N82" i="2"/>
  <c r="B182" i="2"/>
  <c r="N88" i="2"/>
  <c r="N120" i="13"/>
  <c r="B98" i="31"/>
  <c r="N42" i="31"/>
  <c r="B145" i="12"/>
  <c r="H156" i="17"/>
  <c r="J156" i="17"/>
  <c r="N81" i="13"/>
  <c r="N98" i="14"/>
  <c r="B205" i="15"/>
  <c r="B183" i="8"/>
  <c r="W185" i="1"/>
  <c r="N113" i="3"/>
  <c r="N111" i="5"/>
  <c r="D193" i="5"/>
  <c r="U173" i="1"/>
  <c r="S173" i="1"/>
  <c r="T157" i="1"/>
  <c r="S157" i="1"/>
  <c r="U157" i="1"/>
  <c r="N48" i="1"/>
  <c r="N18" i="2"/>
  <c r="B182" i="13"/>
  <c r="N65" i="13"/>
  <c r="B95" i="28"/>
  <c r="N16" i="28"/>
  <c r="N26" i="31"/>
  <c r="L97" i="29"/>
  <c r="H89" i="29"/>
  <c r="N23" i="12"/>
  <c r="N21" i="11"/>
  <c r="B151" i="11"/>
  <c r="W190" i="18"/>
  <c r="W152" i="17"/>
  <c r="B184" i="14"/>
  <c r="D199" i="15"/>
  <c r="C202" i="15"/>
  <c r="N79" i="8"/>
  <c r="B190" i="8"/>
  <c r="D185" i="7"/>
  <c r="D184" i="5"/>
  <c r="D185" i="5"/>
  <c r="N96" i="5"/>
  <c r="N70" i="3"/>
  <c r="N73" i="3"/>
  <c r="C184" i="3"/>
  <c r="T186" i="3"/>
  <c r="N88" i="3"/>
  <c r="N101" i="1"/>
  <c r="N105" i="1"/>
  <c r="N192" i="2"/>
  <c r="N105" i="7"/>
  <c r="C203" i="3"/>
  <c r="C204" i="8"/>
  <c r="D194" i="5"/>
  <c r="N119" i="13"/>
  <c r="B167" i="1"/>
  <c r="C165" i="2"/>
  <c r="B165" i="3"/>
  <c r="D166" i="3"/>
  <c r="N51" i="3"/>
  <c r="J155" i="1"/>
  <c r="L208" i="15"/>
  <c r="N157" i="2"/>
  <c r="S191" i="9"/>
  <c r="L197" i="9"/>
  <c r="N98" i="9"/>
  <c r="B201" i="9"/>
  <c r="C161" i="21"/>
  <c r="N44" i="21"/>
  <c r="N40" i="16"/>
  <c r="W172" i="11"/>
  <c r="N110" i="13"/>
  <c r="C194" i="13"/>
  <c r="B183" i="14"/>
  <c r="D188" i="15"/>
  <c r="N72" i="8"/>
  <c r="D190" i="8"/>
  <c r="D192" i="8"/>
  <c r="D193" i="8"/>
  <c r="C196" i="8"/>
  <c r="D176" i="7"/>
  <c r="W177" i="7"/>
  <c r="N89" i="7"/>
  <c r="N98" i="7"/>
  <c r="D179" i="3"/>
  <c r="N76" i="3"/>
  <c r="D188" i="3"/>
  <c r="N73" i="2"/>
  <c r="C179" i="2"/>
  <c r="N95" i="2"/>
  <c r="N100" i="7"/>
  <c r="D203" i="13"/>
  <c r="N103" i="1"/>
  <c r="N100" i="1"/>
  <c r="B191" i="2"/>
  <c r="C209" i="15"/>
  <c r="D205" i="13"/>
  <c r="D196" i="1"/>
  <c r="D148" i="1"/>
  <c r="B153" i="2"/>
  <c r="N43" i="8"/>
  <c r="J162" i="15"/>
  <c r="N26" i="28"/>
  <c r="N34" i="28"/>
  <c r="N20" i="32"/>
  <c r="J131" i="36"/>
  <c r="L131" i="36"/>
  <c r="N98" i="21"/>
  <c r="B188" i="21"/>
  <c r="B161" i="19"/>
  <c r="C180" i="18"/>
  <c r="N73" i="18"/>
  <c r="B220" i="10"/>
  <c r="N131" i="10"/>
  <c r="N39" i="30"/>
  <c r="J109" i="29"/>
  <c r="H109" i="29"/>
  <c r="L109" i="29"/>
  <c r="W186" i="11"/>
  <c r="J171" i="17"/>
  <c r="C189" i="13"/>
  <c r="N91" i="13"/>
  <c r="N106" i="13"/>
  <c r="D184" i="8"/>
  <c r="N76" i="8"/>
  <c r="C173" i="7"/>
  <c r="C181" i="7"/>
  <c r="N95" i="7"/>
  <c r="N67" i="5"/>
  <c r="N72" i="5"/>
  <c r="N80" i="5"/>
  <c r="C181" i="5"/>
  <c r="C182" i="5"/>
  <c r="B180" i="3"/>
  <c r="N65" i="2"/>
  <c r="N77" i="2"/>
  <c r="N97" i="1"/>
  <c r="C203" i="13"/>
  <c r="C205" i="13"/>
  <c r="B190" i="7"/>
  <c r="B202" i="3"/>
  <c r="D192" i="5"/>
  <c r="B211" i="15"/>
  <c r="N116" i="15"/>
  <c r="N55" i="2"/>
  <c r="B157" i="2"/>
  <c r="C173" i="3"/>
  <c r="C177" i="3"/>
  <c r="C155" i="3"/>
  <c r="H153" i="3"/>
  <c r="N29" i="28"/>
  <c r="N21" i="34"/>
  <c r="B101" i="34"/>
  <c r="N48" i="34"/>
  <c r="N9" i="36"/>
  <c r="C191" i="11"/>
  <c r="N33" i="19"/>
  <c r="C138" i="16"/>
  <c r="S138" i="16"/>
  <c r="W138" i="16" s="1"/>
  <c r="W170" i="19"/>
  <c r="W158" i="19"/>
  <c r="N72" i="13"/>
  <c r="C188" i="13"/>
  <c r="D195" i="13"/>
  <c r="B202" i="13"/>
  <c r="N101" i="14"/>
  <c r="N78" i="15"/>
  <c r="C198" i="15"/>
  <c r="B184" i="8"/>
  <c r="N67" i="7"/>
  <c r="N84" i="7"/>
  <c r="N90" i="7"/>
  <c r="B179" i="3"/>
  <c r="C180" i="3"/>
  <c r="D181" i="3"/>
  <c r="D196" i="3"/>
  <c r="C197" i="3"/>
  <c r="N71" i="2"/>
  <c r="C183" i="2"/>
  <c r="N91" i="2"/>
  <c r="D188" i="1"/>
  <c r="C189" i="1"/>
  <c r="D199" i="8"/>
  <c r="B199" i="3"/>
  <c r="B192" i="7"/>
  <c r="N113" i="14"/>
  <c r="B208" i="13"/>
  <c r="N112" i="5"/>
  <c r="N118" i="3"/>
  <c r="C161" i="1"/>
  <c r="B159" i="1"/>
  <c r="N19" i="1"/>
  <c r="C152" i="1"/>
  <c r="C146" i="2"/>
  <c r="D153" i="2"/>
  <c r="N27" i="2"/>
  <c r="D173" i="3"/>
  <c r="N50" i="5"/>
  <c r="B163" i="5"/>
  <c r="W184" i="5"/>
  <c r="L163" i="7"/>
  <c r="W163" i="7"/>
  <c r="B177" i="15"/>
  <c r="N19" i="30"/>
  <c r="N28" i="30"/>
  <c r="S103" i="28"/>
  <c r="T103" i="28"/>
  <c r="N39" i="11"/>
  <c r="S162" i="11"/>
  <c r="B162" i="11"/>
  <c r="T188" i="11"/>
  <c r="U188" i="11"/>
  <c r="N14" i="9"/>
  <c r="N46" i="9"/>
  <c r="W169" i="21"/>
  <c r="N53" i="17"/>
  <c r="N55" i="17"/>
  <c r="S180" i="17"/>
  <c r="J180" i="17"/>
  <c r="U180" i="17"/>
  <c r="C182" i="17"/>
  <c r="B148" i="1"/>
  <c r="D163" i="2"/>
  <c r="N50" i="2"/>
  <c r="D168" i="3"/>
  <c r="D170" i="3"/>
  <c r="C172" i="3"/>
  <c r="D161" i="3"/>
  <c r="C163" i="3"/>
  <c r="L162" i="1"/>
  <c r="L158" i="1"/>
  <c r="J151" i="1"/>
  <c r="W165" i="2"/>
  <c r="W146" i="2"/>
  <c r="H199" i="3"/>
  <c r="W166" i="5"/>
  <c r="L148" i="5"/>
  <c r="J193" i="7"/>
  <c r="J189" i="7"/>
  <c r="L155" i="7"/>
  <c r="B157" i="8"/>
  <c r="N54" i="15"/>
  <c r="H169" i="15"/>
  <c r="H165" i="15"/>
  <c r="N69" i="13"/>
  <c r="N24" i="28"/>
  <c r="B103" i="28"/>
  <c r="N15" i="31"/>
  <c r="N34" i="31"/>
  <c r="N35" i="34"/>
  <c r="N11" i="36"/>
  <c r="N28" i="37"/>
  <c r="N50" i="37"/>
  <c r="J109" i="28"/>
  <c r="J87" i="30"/>
  <c r="C107" i="29"/>
  <c r="N41" i="36"/>
  <c r="J209" i="13"/>
  <c r="H209" i="13"/>
  <c r="N65" i="12"/>
  <c r="N70" i="12"/>
  <c r="N73" i="12"/>
  <c r="N76" i="12"/>
  <c r="W166" i="12"/>
  <c r="W190" i="12"/>
  <c r="B158" i="11"/>
  <c r="N34" i="11"/>
  <c r="C183" i="11"/>
  <c r="N94" i="11"/>
  <c r="N93" i="10"/>
  <c r="N96" i="10"/>
  <c r="D206" i="9"/>
  <c r="N50" i="21"/>
  <c r="C166" i="18"/>
  <c r="N49" i="18"/>
  <c r="D169" i="18"/>
  <c r="N54" i="18"/>
  <c r="L158" i="16"/>
  <c r="W191" i="24"/>
  <c r="S132" i="20"/>
  <c r="U132" i="20"/>
  <c r="T132" i="20"/>
  <c r="N116" i="2"/>
  <c r="B208" i="8"/>
  <c r="B208" i="19"/>
  <c r="N121" i="19"/>
  <c r="N61" i="37"/>
  <c r="D115" i="37"/>
  <c r="N114" i="7"/>
  <c r="N36" i="1"/>
  <c r="N15" i="1"/>
  <c r="C163" i="2"/>
  <c r="D151" i="2"/>
  <c r="J194" i="1"/>
  <c r="W190" i="1"/>
  <c r="H182" i="1"/>
  <c r="W164" i="2"/>
  <c r="W149" i="2"/>
  <c r="D144" i="7"/>
  <c r="N16" i="7"/>
  <c r="B175" i="8"/>
  <c r="C162" i="8"/>
  <c r="B164" i="8"/>
  <c r="N51" i="15"/>
  <c r="J204" i="15"/>
  <c r="N35" i="30"/>
  <c r="C91" i="31"/>
  <c r="N11" i="32"/>
  <c r="B95" i="32"/>
  <c r="N19" i="37"/>
  <c r="N19" i="38"/>
  <c r="J105" i="28"/>
  <c r="J97" i="28"/>
  <c r="H87" i="32"/>
  <c r="J87" i="34"/>
  <c r="N29" i="12"/>
  <c r="N58" i="12"/>
  <c r="W155" i="12"/>
  <c r="N71" i="11"/>
  <c r="B176" i="11"/>
  <c r="T182" i="11"/>
  <c r="U182" i="11"/>
  <c r="N91" i="11"/>
  <c r="S190" i="11"/>
  <c r="U190" i="11"/>
  <c r="D191" i="11"/>
  <c r="N107" i="9"/>
  <c r="C179" i="19"/>
  <c r="N94" i="19"/>
  <c r="N96" i="19"/>
  <c r="N75" i="18"/>
  <c r="T183" i="18"/>
  <c r="D183" i="18"/>
  <c r="H185" i="18"/>
  <c r="N13" i="17"/>
  <c r="N46" i="17"/>
  <c r="N79" i="17"/>
  <c r="N24" i="16"/>
  <c r="N35" i="16"/>
  <c r="N20" i="24"/>
  <c r="N43" i="24"/>
  <c r="W144" i="24"/>
  <c r="W159" i="24"/>
  <c r="D195" i="14"/>
  <c r="D205" i="8"/>
  <c r="B197" i="2"/>
  <c r="N116" i="14"/>
  <c r="N127" i="13"/>
  <c r="N43" i="2"/>
  <c r="N46" i="2"/>
  <c r="D165" i="2"/>
  <c r="N8" i="2"/>
  <c r="D156" i="2"/>
  <c r="B153" i="3"/>
  <c r="N11" i="3"/>
  <c r="C156" i="3"/>
  <c r="N35" i="3"/>
  <c r="H156" i="1"/>
  <c r="W145" i="2"/>
  <c r="L167" i="3"/>
  <c r="N44" i="5"/>
  <c r="N54" i="5"/>
  <c r="H146" i="5"/>
  <c r="W146" i="5"/>
  <c r="W176" i="5"/>
  <c r="D169" i="7"/>
  <c r="N18" i="7"/>
  <c r="B148" i="7"/>
  <c r="D175" i="8"/>
  <c r="D160" i="8"/>
  <c r="C181" i="15"/>
  <c r="B156" i="14"/>
  <c r="B153" i="14"/>
  <c r="D110" i="28"/>
  <c r="B113" i="28"/>
  <c r="B78" i="30"/>
  <c r="C83" i="30"/>
  <c r="N33" i="31"/>
  <c r="N48" i="31"/>
  <c r="N29" i="32"/>
  <c r="N49" i="32"/>
  <c r="C86" i="34"/>
  <c r="B87" i="34"/>
  <c r="C100" i="37"/>
  <c r="N49" i="37"/>
  <c r="B109" i="37"/>
  <c r="N51" i="37"/>
  <c r="H90" i="29"/>
  <c r="J98" i="31"/>
  <c r="L94" i="31"/>
  <c r="C105" i="32"/>
  <c r="H103" i="32"/>
  <c r="L103" i="32"/>
  <c r="L107" i="37"/>
  <c r="N21" i="12"/>
  <c r="D160" i="12"/>
  <c r="N66" i="11"/>
  <c r="C173" i="11"/>
  <c r="L191" i="9"/>
  <c r="H191" i="9"/>
  <c r="L201" i="9"/>
  <c r="N93" i="21"/>
  <c r="N74" i="19"/>
  <c r="J192" i="19"/>
  <c r="N92" i="19"/>
  <c r="N106" i="18"/>
  <c r="N19" i="16"/>
  <c r="H187" i="25"/>
  <c r="W197" i="25"/>
  <c r="H159" i="1"/>
  <c r="L173" i="3"/>
  <c r="W160" i="3"/>
  <c r="H156" i="3"/>
  <c r="N52" i="5"/>
  <c r="N24" i="7"/>
  <c r="W152" i="7"/>
  <c r="N56" i="8"/>
  <c r="L158" i="14"/>
  <c r="N162" i="2"/>
  <c r="N56" i="29"/>
  <c r="N22" i="32"/>
  <c r="B118" i="36"/>
  <c r="C94" i="37"/>
  <c r="L181" i="13"/>
  <c r="J181" i="13"/>
  <c r="N35" i="11"/>
  <c r="N102" i="11"/>
  <c r="U201" i="9"/>
  <c r="C201" i="9"/>
  <c r="N27" i="21"/>
  <c r="D184" i="21"/>
  <c r="N95" i="21"/>
  <c r="D188" i="21"/>
  <c r="N60" i="19"/>
  <c r="D183" i="19"/>
  <c r="B195" i="19"/>
  <c r="N91" i="19"/>
  <c r="W181" i="19"/>
  <c r="B139" i="26"/>
  <c r="U139" i="26"/>
  <c r="C177" i="25"/>
  <c r="N72" i="25"/>
  <c r="D171" i="5"/>
  <c r="N40" i="5"/>
  <c r="C150" i="5"/>
  <c r="N26" i="5"/>
  <c r="C165" i="7"/>
  <c r="C151" i="7"/>
  <c r="D156" i="7"/>
  <c r="B160" i="7"/>
  <c r="N12" i="7"/>
  <c r="D162" i="8"/>
  <c r="C164" i="8"/>
  <c r="D167" i="8"/>
  <c r="C165" i="8"/>
  <c r="B176" i="15"/>
  <c r="J181" i="15"/>
  <c r="L174" i="15"/>
  <c r="D166" i="14"/>
  <c r="D156" i="14"/>
  <c r="H172" i="14"/>
  <c r="N168" i="2"/>
  <c r="D93" i="28"/>
  <c r="B94" i="28"/>
  <c r="N21" i="28"/>
  <c r="D99" i="28"/>
  <c r="N41" i="28"/>
  <c r="N51" i="28"/>
  <c r="D112" i="28"/>
  <c r="N42" i="29"/>
  <c r="C103" i="29"/>
  <c r="N50" i="29"/>
  <c r="D105" i="29"/>
  <c r="N9" i="30"/>
  <c r="N18" i="30"/>
  <c r="D86" i="30"/>
  <c r="D88" i="31"/>
  <c r="N36" i="31"/>
  <c r="C85" i="32"/>
  <c r="B88" i="32"/>
  <c r="D91" i="32"/>
  <c r="N32" i="32"/>
  <c r="B97" i="32"/>
  <c r="C98" i="32"/>
  <c r="D101" i="32"/>
  <c r="B93" i="34"/>
  <c r="N40" i="34"/>
  <c r="C102" i="34"/>
  <c r="C125" i="35"/>
  <c r="N18" i="35"/>
  <c r="D123" i="36"/>
  <c r="C98" i="37"/>
  <c r="N43" i="37"/>
  <c r="N52" i="37"/>
  <c r="N38" i="38"/>
  <c r="D104" i="38"/>
  <c r="B111" i="28"/>
  <c r="N24" i="30"/>
  <c r="L104" i="28"/>
  <c r="H100" i="28"/>
  <c r="J93" i="28"/>
  <c r="D107" i="29"/>
  <c r="H92" i="29"/>
  <c r="B84" i="31"/>
  <c r="D105" i="32"/>
  <c r="J125" i="36"/>
  <c r="J112" i="37"/>
  <c r="H109" i="37"/>
  <c r="H173" i="13"/>
  <c r="B161" i="12"/>
  <c r="N67" i="12"/>
  <c r="D177" i="12"/>
  <c r="N9" i="11"/>
  <c r="N30" i="11"/>
  <c r="D177" i="11"/>
  <c r="C179" i="11"/>
  <c r="C184" i="11"/>
  <c r="C187" i="11"/>
  <c r="N117" i="11"/>
  <c r="N24" i="9"/>
  <c r="N38" i="9"/>
  <c r="C174" i="9"/>
  <c r="N45" i="9"/>
  <c r="L178" i="9"/>
  <c r="L198" i="9"/>
  <c r="N103" i="9"/>
  <c r="N43" i="21"/>
  <c r="N109" i="21"/>
  <c r="N111" i="21"/>
  <c r="N113" i="21"/>
  <c r="W194" i="21"/>
  <c r="N51" i="19"/>
  <c r="N89" i="19"/>
  <c r="C195" i="19"/>
  <c r="B202" i="19"/>
  <c r="D159" i="18"/>
  <c r="L190" i="18"/>
  <c r="N114" i="18"/>
  <c r="B152" i="17"/>
  <c r="N24" i="17"/>
  <c r="C132" i="16"/>
  <c r="C143" i="16"/>
  <c r="N108" i="24"/>
  <c r="U119" i="36"/>
  <c r="S119" i="36"/>
  <c r="L198" i="3"/>
  <c r="H194" i="3"/>
  <c r="L191" i="3"/>
  <c r="L187" i="3"/>
  <c r="W183" i="3"/>
  <c r="N43" i="5"/>
  <c r="D164" i="5"/>
  <c r="C167" i="5"/>
  <c r="N64" i="5"/>
  <c r="D144" i="5"/>
  <c r="C147" i="5"/>
  <c r="J151" i="5"/>
  <c r="D165" i="7"/>
  <c r="D148" i="7"/>
  <c r="L168" i="7"/>
  <c r="H164" i="7"/>
  <c r="H150" i="7"/>
  <c r="C170" i="8"/>
  <c r="N57" i="8"/>
  <c r="C179" i="8"/>
  <c r="C180" i="8"/>
  <c r="D166" i="8"/>
  <c r="N22" i="15"/>
  <c r="C166" i="14"/>
  <c r="C156" i="14"/>
  <c r="H187" i="14"/>
  <c r="N154" i="2"/>
  <c r="N165" i="2"/>
  <c r="N163" i="2"/>
  <c r="N159" i="2"/>
  <c r="N151" i="2"/>
  <c r="D183" i="13"/>
  <c r="N12" i="28"/>
  <c r="N25" i="28"/>
  <c r="D107" i="28"/>
  <c r="C108" i="28"/>
  <c r="N54" i="28"/>
  <c r="B102" i="29"/>
  <c r="D103" i="29"/>
  <c r="N10" i="30"/>
  <c r="N27" i="30"/>
  <c r="C82" i="31"/>
  <c r="D84" i="31"/>
  <c r="N19" i="31"/>
  <c r="B91" i="31"/>
  <c r="C93" i="31"/>
  <c r="N8" i="32"/>
  <c r="N10" i="32"/>
  <c r="D85" i="32"/>
  <c r="D86" i="34"/>
  <c r="N31" i="34"/>
  <c r="B124" i="35"/>
  <c r="D125" i="35"/>
  <c r="B114" i="36"/>
  <c r="N54" i="36"/>
  <c r="N12" i="37"/>
  <c r="B101" i="37"/>
  <c r="D102" i="37"/>
  <c r="C103" i="37"/>
  <c r="N20" i="38"/>
  <c r="N31" i="38"/>
  <c r="C103" i="38"/>
  <c r="D85" i="30"/>
  <c r="J107" i="29"/>
  <c r="H85" i="32"/>
  <c r="N43" i="34"/>
  <c r="H105" i="37"/>
  <c r="D144" i="12"/>
  <c r="C161" i="12"/>
  <c r="C174" i="12"/>
  <c r="N82" i="12"/>
  <c r="J155" i="11"/>
  <c r="H155" i="11"/>
  <c r="C170" i="10"/>
  <c r="C192" i="10"/>
  <c r="N69" i="10"/>
  <c r="J164" i="9"/>
  <c r="H182" i="9"/>
  <c r="B191" i="9"/>
  <c r="D201" i="9"/>
  <c r="D146" i="21"/>
  <c r="C175" i="21"/>
  <c r="D185" i="21"/>
  <c r="U189" i="19"/>
  <c r="T189" i="19"/>
  <c r="S189" i="19"/>
  <c r="H200" i="19"/>
  <c r="J200" i="19"/>
  <c r="C204" i="19"/>
  <c r="H158" i="18"/>
  <c r="C175" i="18"/>
  <c r="B192" i="18"/>
  <c r="B195" i="18"/>
  <c r="N116" i="18"/>
  <c r="W176" i="18"/>
  <c r="N113" i="17"/>
  <c r="S188" i="23"/>
  <c r="U188" i="23"/>
  <c r="J159" i="13"/>
  <c r="L159" i="13"/>
  <c r="W165" i="1"/>
  <c r="J198" i="3"/>
  <c r="W175" i="3"/>
  <c r="N66" i="5"/>
  <c r="D163" i="5"/>
  <c r="C164" i="5"/>
  <c r="D167" i="5"/>
  <c r="N19" i="5"/>
  <c r="N64" i="7"/>
  <c r="N51" i="7"/>
  <c r="N56" i="7"/>
  <c r="B149" i="7"/>
  <c r="C150" i="7"/>
  <c r="N38" i="7"/>
  <c r="J194" i="7"/>
  <c r="N40" i="8"/>
  <c r="B154" i="8"/>
  <c r="B158" i="8"/>
  <c r="N36" i="8"/>
  <c r="C184" i="15"/>
  <c r="D177" i="15"/>
  <c r="B169" i="14"/>
  <c r="B166" i="14"/>
  <c r="N30" i="14"/>
  <c r="J160" i="14"/>
  <c r="D184" i="13"/>
  <c r="C103" i="28"/>
  <c r="N38" i="28"/>
  <c r="N42" i="28"/>
  <c r="B110" i="28"/>
  <c r="N38" i="29"/>
  <c r="N16" i="30"/>
  <c r="N34" i="30"/>
  <c r="N20" i="31"/>
  <c r="D93" i="31"/>
  <c r="N24" i="32"/>
  <c r="D94" i="32"/>
  <c r="N33" i="32"/>
  <c r="D97" i="32"/>
  <c r="B101" i="32"/>
  <c r="B88" i="34"/>
  <c r="B89" i="34"/>
  <c r="D93" i="34"/>
  <c r="N45" i="34"/>
  <c r="C124" i="35"/>
  <c r="D116" i="36"/>
  <c r="C101" i="37"/>
  <c r="B98" i="38"/>
  <c r="D111" i="28"/>
  <c r="J103" i="28"/>
  <c r="L99" i="28"/>
  <c r="J92" i="28"/>
  <c r="J85" i="30"/>
  <c r="H79" i="30"/>
  <c r="L95" i="29"/>
  <c r="L100" i="31"/>
  <c r="J99" i="32"/>
  <c r="J95" i="32"/>
  <c r="L108" i="37"/>
  <c r="N75" i="5"/>
  <c r="J152" i="12"/>
  <c r="U177" i="12"/>
  <c r="N80" i="12"/>
  <c r="C178" i="12"/>
  <c r="N85" i="12"/>
  <c r="N157" i="12"/>
  <c r="D173" i="11"/>
  <c r="L193" i="11"/>
  <c r="J193" i="11"/>
  <c r="W152" i="11"/>
  <c r="N99" i="10"/>
  <c r="H212" i="10"/>
  <c r="S215" i="10"/>
  <c r="N28" i="9"/>
  <c r="U194" i="9"/>
  <c r="N83" i="9"/>
  <c r="N85" i="9"/>
  <c r="C197" i="9"/>
  <c r="L210" i="9"/>
  <c r="C211" i="9"/>
  <c r="W168" i="9"/>
  <c r="W177" i="9"/>
  <c r="B157" i="21"/>
  <c r="D172" i="21"/>
  <c r="D175" i="21"/>
  <c r="D181" i="21"/>
  <c r="W159" i="21"/>
  <c r="W191" i="21"/>
  <c r="N68" i="19"/>
  <c r="L194" i="19"/>
  <c r="C197" i="19"/>
  <c r="N9" i="18"/>
  <c r="N11" i="18"/>
  <c r="B149" i="18"/>
  <c r="L152" i="18"/>
  <c r="H152" i="18"/>
  <c r="N40" i="18"/>
  <c r="D189" i="18"/>
  <c r="J139" i="26"/>
  <c r="W154" i="23"/>
  <c r="N94" i="22"/>
  <c r="L158" i="13"/>
  <c r="J158" i="13"/>
  <c r="J160" i="13"/>
  <c r="H168" i="1"/>
  <c r="W191" i="2"/>
  <c r="W204" i="3"/>
  <c r="H197" i="3"/>
  <c r="N17" i="5"/>
  <c r="C153" i="5"/>
  <c r="L150" i="5"/>
  <c r="W192" i="5"/>
  <c r="L181" i="5"/>
  <c r="C149" i="7"/>
  <c r="D157" i="7"/>
  <c r="C159" i="7"/>
  <c r="J157" i="7"/>
  <c r="C168" i="8"/>
  <c r="B173" i="8"/>
  <c r="C175" i="8"/>
  <c r="D156" i="8"/>
  <c r="C158" i="8"/>
  <c r="B166" i="8"/>
  <c r="C167" i="15"/>
  <c r="C167" i="14"/>
  <c r="B164" i="14"/>
  <c r="N29" i="14"/>
  <c r="H163" i="14"/>
  <c r="N174" i="2"/>
  <c r="N173" i="2"/>
  <c r="N166" i="2"/>
  <c r="N158" i="2"/>
  <c r="C96" i="28"/>
  <c r="C101" i="28"/>
  <c r="N31" i="28"/>
  <c r="D103" i="28"/>
  <c r="B109" i="28"/>
  <c r="C110" i="28"/>
  <c r="N52" i="28"/>
  <c r="B101" i="29"/>
  <c r="N25" i="30"/>
  <c r="N9" i="31"/>
  <c r="C87" i="31"/>
  <c r="B90" i="31"/>
  <c r="C97" i="31"/>
  <c r="D87" i="32"/>
  <c r="N36" i="32"/>
  <c r="N38" i="32"/>
  <c r="N42" i="32"/>
  <c r="N12" i="34"/>
  <c r="C89" i="34"/>
  <c r="N29" i="34"/>
  <c r="N38" i="34"/>
  <c r="N41" i="34"/>
  <c r="D133" i="36"/>
  <c r="N13" i="37"/>
  <c r="B100" i="37"/>
  <c r="C106" i="37"/>
  <c r="N46" i="37"/>
  <c r="C109" i="37"/>
  <c r="C76" i="30"/>
  <c r="L107" i="29"/>
  <c r="H107" i="29"/>
  <c r="H102" i="29"/>
  <c r="L87" i="29"/>
  <c r="J101" i="32"/>
  <c r="H88" i="32"/>
  <c r="N45" i="37"/>
  <c r="J111" i="37"/>
  <c r="N13" i="12"/>
  <c r="W150" i="12"/>
  <c r="N11" i="11"/>
  <c r="B152" i="11"/>
  <c r="D162" i="11"/>
  <c r="J173" i="11"/>
  <c r="L173" i="11"/>
  <c r="N74" i="11"/>
  <c r="C190" i="11"/>
  <c r="N110" i="11"/>
  <c r="W156" i="11"/>
  <c r="W171" i="11"/>
  <c r="N55" i="10"/>
  <c r="N107" i="10"/>
  <c r="L160" i="9"/>
  <c r="J163" i="9"/>
  <c r="N49" i="9"/>
  <c r="D191" i="9"/>
  <c r="N78" i="9"/>
  <c r="N53" i="21"/>
  <c r="S185" i="21"/>
  <c r="U185" i="21"/>
  <c r="N9" i="19"/>
  <c r="L167" i="19"/>
  <c r="D168" i="19"/>
  <c r="N43" i="19"/>
  <c r="D186" i="19"/>
  <c r="W186" i="19"/>
  <c r="W206" i="19"/>
  <c r="H166" i="18"/>
  <c r="N56" i="18"/>
  <c r="C177" i="18"/>
  <c r="N92" i="18"/>
  <c r="L184" i="17"/>
  <c r="N39" i="26"/>
  <c r="N12" i="25"/>
  <c r="L181" i="25"/>
  <c r="N87" i="25"/>
  <c r="N49" i="23"/>
  <c r="N78" i="22"/>
  <c r="J104" i="37"/>
  <c r="H210" i="13"/>
  <c r="B147" i="12"/>
  <c r="B158" i="12"/>
  <c r="C159" i="12"/>
  <c r="H160" i="12"/>
  <c r="D170" i="12"/>
  <c r="N69" i="12"/>
  <c r="C177" i="12"/>
  <c r="C182" i="12"/>
  <c r="C193" i="12"/>
  <c r="N150" i="12"/>
  <c r="N187" i="12"/>
  <c r="W189" i="12"/>
  <c r="D146" i="11"/>
  <c r="N15" i="11"/>
  <c r="N20" i="11"/>
  <c r="D168" i="11"/>
  <c r="D176" i="11"/>
  <c r="N73" i="11"/>
  <c r="D180" i="11"/>
  <c r="C182" i="11"/>
  <c r="N88" i="11"/>
  <c r="N100" i="11"/>
  <c r="W195" i="11"/>
  <c r="N28" i="10"/>
  <c r="N38" i="10"/>
  <c r="D181" i="10"/>
  <c r="C184" i="10"/>
  <c r="N51" i="10"/>
  <c r="B190" i="10"/>
  <c r="D214" i="10"/>
  <c r="C215" i="10"/>
  <c r="B216" i="10"/>
  <c r="N8" i="9"/>
  <c r="B168" i="9"/>
  <c r="N37" i="9"/>
  <c r="J174" i="9"/>
  <c r="C180" i="9"/>
  <c r="N66" i="9"/>
  <c r="L190" i="9"/>
  <c r="C191" i="9"/>
  <c r="N104" i="9"/>
  <c r="H208" i="9"/>
  <c r="D208" i="9"/>
  <c r="W188" i="9"/>
  <c r="J143" i="21"/>
  <c r="J149" i="21"/>
  <c r="D151" i="21"/>
  <c r="C165" i="21"/>
  <c r="B166" i="21"/>
  <c r="B167" i="21"/>
  <c r="C169" i="21"/>
  <c r="C172" i="21"/>
  <c r="T174" i="21"/>
  <c r="N77" i="21"/>
  <c r="U181" i="21"/>
  <c r="W181" i="21" s="1"/>
  <c r="C182" i="21"/>
  <c r="N97" i="21"/>
  <c r="N110" i="21"/>
  <c r="C157" i="19"/>
  <c r="N17" i="19"/>
  <c r="B162" i="19"/>
  <c r="B163" i="19"/>
  <c r="B167" i="19"/>
  <c r="B180" i="19"/>
  <c r="C185" i="19"/>
  <c r="H186" i="19"/>
  <c r="C191" i="19"/>
  <c r="J196" i="19"/>
  <c r="C203" i="19"/>
  <c r="J149" i="18"/>
  <c r="L150" i="18"/>
  <c r="D155" i="18"/>
  <c r="L159" i="18"/>
  <c r="N42" i="18"/>
  <c r="D166" i="18"/>
  <c r="C171" i="18"/>
  <c r="L177" i="18"/>
  <c r="L188" i="18"/>
  <c r="H189" i="18"/>
  <c r="U150" i="17"/>
  <c r="S150" i="17"/>
  <c r="N36" i="17"/>
  <c r="B158" i="17"/>
  <c r="D182" i="17"/>
  <c r="N101" i="17"/>
  <c r="U148" i="16"/>
  <c r="T148" i="16"/>
  <c r="J161" i="16"/>
  <c r="N9" i="25"/>
  <c r="C151" i="25"/>
  <c r="N33" i="25"/>
  <c r="N51" i="25"/>
  <c r="N67" i="25"/>
  <c r="N76" i="25"/>
  <c r="D183" i="25"/>
  <c r="B158" i="25"/>
  <c r="S162" i="25"/>
  <c r="W162" i="25" s="1"/>
  <c r="C154" i="24"/>
  <c r="N38" i="24"/>
  <c r="U185" i="24"/>
  <c r="C185" i="24"/>
  <c r="N69" i="22"/>
  <c r="C147" i="12"/>
  <c r="C148" i="12"/>
  <c r="D164" i="12"/>
  <c r="C166" i="12"/>
  <c r="B167" i="12"/>
  <c r="B168" i="12"/>
  <c r="C171" i="12"/>
  <c r="N95" i="12"/>
  <c r="W151" i="12"/>
  <c r="C155" i="11"/>
  <c r="L157" i="11"/>
  <c r="C159" i="11"/>
  <c r="C160" i="11"/>
  <c r="L163" i="11"/>
  <c r="N48" i="11"/>
  <c r="B178" i="11"/>
  <c r="N96" i="11"/>
  <c r="B192" i="11"/>
  <c r="L196" i="11"/>
  <c r="D197" i="11"/>
  <c r="J168" i="10"/>
  <c r="L177" i="10"/>
  <c r="D180" i="10"/>
  <c r="J189" i="10"/>
  <c r="B194" i="10"/>
  <c r="D202" i="10"/>
  <c r="C211" i="10"/>
  <c r="C160" i="9"/>
  <c r="H167" i="9"/>
  <c r="B177" i="9"/>
  <c r="D185" i="9"/>
  <c r="N65" i="9"/>
  <c r="D195" i="9"/>
  <c r="N86" i="9"/>
  <c r="N97" i="9"/>
  <c r="N100" i="9"/>
  <c r="N11" i="21"/>
  <c r="C147" i="21"/>
  <c r="N21" i="21"/>
  <c r="J151" i="21"/>
  <c r="N33" i="21"/>
  <c r="C167" i="21"/>
  <c r="H182" i="21"/>
  <c r="H194" i="21"/>
  <c r="J195" i="21"/>
  <c r="C158" i="19"/>
  <c r="D161" i="19"/>
  <c r="C163" i="19"/>
  <c r="C167" i="19"/>
  <c r="C169" i="19"/>
  <c r="C170" i="19"/>
  <c r="N47" i="19"/>
  <c r="J174" i="19"/>
  <c r="B189" i="19"/>
  <c r="N80" i="19"/>
  <c r="D191" i="19"/>
  <c r="H194" i="19"/>
  <c r="C205" i="19"/>
  <c r="W172" i="19"/>
  <c r="C157" i="18"/>
  <c r="L160" i="18"/>
  <c r="C161" i="18"/>
  <c r="L163" i="18"/>
  <c r="D170" i="18"/>
  <c r="E170" i="18" s="1"/>
  <c r="J172" i="18"/>
  <c r="N94" i="18"/>
  <c r="B193" i="18"/>
  <c r="L194" i="18"/>
  <c r="B196" i="18"/>
  <c r="D199" i="18"/>
  <c r="N30" i="17"/>
  <c r="H130" i="26"/>
  <c r="L130" i="26"/>
  <c r="U149" i="26"/>
  <c r="H149" i="26"/>
  <c r="D150" i="25"/>
  <c r="D178" i="25"/>
  <c r="B180" i="25"/>
  <c r="B159" i="24"/>
  <c r="T173" i="24"/>
  <c r="U173" i="24"/>
  <c r="N78" i="35"/>
  <c r="D99" i="29"/>
  <c r="H114" i="37"/>
  <c r="L114" i="37"/>
  <c r="J103" i="37"/>
  <c r="J202" i="13"/>
  <c r="B142" i="12"/>
  <c r="T145" i="12"/>
  <c r="D146" i="12"/>
  <c r="D147" i="12"/>
  <c r="D148" i="12"/>
  <c r="D149" i="12"/>
  <c r="N35" i="12"/>
  <c r="T161" i="12"/>
  <c r="B172" i="12"/>
  <c r="C185" i="12"/>
  <c r="N31" i="11"/>
  <c r="N33" i="11"/>
  <c r="D160" i="11"/>
  <c r="N40" i="11"/>
  <c r="N45" i="11"/>
  <c r="H165" i="11"/>
  <c r="N62" i="11"/>
  <c r="N70" i="11"/>
  <c r="D186" i="11"/>
  <c r="D187" i="11"/>
  <c r="C188" i="11"/>
  <c r="L188" i="11"/>
  <c r="C192" i="11"/>
  <c r="N111" i="11"/>
  <c r="B170" i="10"/>
  <c r="B172" i="10"/>
  <c r="N35" i="10"/>
  <c r="D187" i="10"/>
  <c r="D196" i="10"/>
  <c r="N87" i="10"/>
  <c r="D207" i="10"/>
  <c r="D161" i="9"/>
  <c r="D166" i="9"/>
  <c r="D176" i="9"/>
  <c r="C177" i="9"/>
  <c r="N63" i="9"/>
  <c r="C194" i="9"/>
  <c r="D199" i="9"/>
  <c r="C207" i="9"/>
  <c r="D210" i="9"/>
  <c r="B212" i="9"/>
  <c r="N25" i="21"/>
  <c r="J153" i="21"/>
  <c r="H157" i="21"/>
  <c r="C159" i="21"/>
  <c r="B160" i="21"/>
  <c r="D166" i="21"/>
  <c r="N58" i="21"/>
  <c r="H172" i="21"/>
  <c r="L175" i="21"/>
  <c r="J176" i="21"/>
  <c r="C192" i="21"/>
  <c r="B195" i="21"/>
  <c r="W143" i="21"/>
  <c r="W153" i="21"/>
  <c r="W165" i="21"/>
  <c r="B154" i="19"/>
  <c r="B155" i="19"/>
  <c r="D162" i="19"/>
  <c r="N31" i="19"/>
  <c r="D170" i="19"/>
  <c r="C189" i="19"/>
  <c r="L191" i="19"/>
  <c r="B193" i="19"/>
  <c r="B197" i="19"/>
  <c r="N107" i="19"/>
  <c r="L202" i="19"/>
  <c r="C149" i="18"/>
  <c r="N21" i="18"/>
  <c r="B155" i="18"/>
  <c r="J156" i="18"/>
  <c r="N33" i="18"/>
  <c r="N43" i="18"/>
  <c r="D172" i="18"/>
  <c r="B174" i="18"/>
  <c r="L182" i="18"/>
  <c r="N93" i="18"/>
  <c r="N97" i="18"/>
  <c r="N102" i="18"/>
  <c r="C196" i="18"/>
  <c r="D200" i="18"/>
  <c r="W153" i="18"/>
  <c r="S193" i="18"/>
  <c r="D178" i="17"/>
  <c r="C190" i="17"/>
  <c r="U190" i="17"/>
  <c r="T190" i="17"/>
  <c r="L190" i="17"/>
  <c r="C196" i="17"/>
  <c r="W172" i="17"/>
  <c r="W139" i="16"/>
  <c r="L146" i="26"/>
  <c r="J156" i="26"/>
  <c r="N62" i="25"/>
  <c r="D189" i="25"/>
  <c r="N25" i="24"/>
  <c r="N29" i="24"/>
  <c r="D157" i="24"/>
  <c r="N53" i="24"/>
  <c r="N60" i="24"/>
  <c r="D169" i="24"/>
  <c r="N71" i="24"/>
  <c r="N9" i="23"/>
  <c r="N11" i="23"/>
  <c r="L200" i="23"/>
  <c r="H200" i="23"/>
  <c r="L173" i="22"/>
  <c r="J173" i="22"/>
  <c r="H173" i="22"/>
  <c r="W86" i="34"/>
  <c r="T94" i="34"/>
  <c r="W94" i="34" s="1"/>
  <c r="B207" i="19"/>
  <c r="N119" i="19"/>
  <c r="D167" i="12"/>
  <c r="N63" i="12"/>
  <c r="C172" i="12"/>
  <c r="N77" i="12"/>
  <c r="B180" i="12"/>
  <c r="D185" i="12"/>
  <c r="C187" i="12"/>
  <c r="N101" i="12"/>
  <c r="W143" i="12"/>
  <c r="W182" i="12"/>
  <c r="N190" i="12"/>
  <c r="C145" i="11"/>
  <c r="D158" i="11"/>
  <c r="N50" i="11"/>
  <c r="N64" i="11"/>
  <c r="C174" i="11"/>
  <c r="N82" i="11"/>
  <c r="N87" i="11"/>
  <c r="H187" i="11"/>
  <c r="D188" i="11"/>
  <c r="B190" i="11"/>
  <c r="L190" i="11"/>
  <c r="N109" i="11"/>
  <c r="W148" i="11"/>
  <c r="W159" i="11"/>
  <c r="W194" i="11"/>
  <c r="N9" i="10"/>
  <c r="N25" i="10"/>
  <c r="J184" i="10"/>
  <c r="D204" i="10"/>
  <c r="N104" i="10"/>
  <c r="J218" i="10"/>
  <c r="C164" i="9"/>
  <c r="N39" i="9"/>
  <c r="H175" i="9"/>
  <c r="N52" i="9"/>
  <c r="N62" i="9"/>
  <c r="N69" i="9"/>
  <c r="N105" i="9"/>
  <c r="W175" i="9"/>
  <c r="J146" i="21"/>
  <c r="D158" i="21"/>
  <c r="C160" i="21"/>
  <c r="L167" i="21"/>
  <c r="C168" i="21"/>
  <c r="B175" i="21"/>
  <c r="B177" i="21"/>
  <c r="D180" i="21"/>
  <c r="W179" i="21"/>
  <c r="C168" i="19"/>
  <c r="N39" i="19"/>
  <c r="D171" i="19"/>
  <c r="N53" i="19"/>
  <c r="N58" i="19"/>
  <c r="H184" i="19"/>
  <c r="H188" i="19"/>
  <c r="L199" i="19"/>
  <c r="L201" i="19"/>
  <c r="S157" i="19"/>
  <c r="W173" i="19"/>
  <c r="D149" i="18"/>
  <c r="D153" i="18"/>
  <c r="N61" i="18"/>
  <c r="B175" i="18"/>
  <c r="N71" i="18"/>
  <c r="B180" i="18"/>
  <c r="N76" i="18"/>
  <c r="H183" i="18"/>
  <c r="B184" i="18"/>
  <c r="N85" i="18"/>
  <c r="C186" i="18"/>
  <c r="H193" i="18"/>
  <c r="H200" i="18"/>
  <c r="L200" i="18"/>
  <c r="W167" i="18"/>
  <c r="N11" i="17"/>
  <c r="N64" i="17"/>
  <c r="D139" i="26"/>
  <c r="D142" i="26"/>
  <c r="N23" i="25"/>
  <c r="J153" i="25"/>
  <c r="D154" i="25"/>
  <c r="W156" i="25"/>
  <c r="D158" i="24"/>
  <c r="N57" i="24"/>
  <c r="D171" i="24"/>
  <c r="N73" i="24"/>
  <c r="N68" i="23"/>
  <c r="B192" i="23"/>
  <c r="C195" i="23"/>
  <c r="D158" i="22"/>
  <c r="W164" i="13"/>
  <c r="H142" i="35"/>
  <c r="C138" i="35"/>
  <c r="W200" i="18"/>
  <c r="S148" i="17"/>
  <c r="B150" i="17"/>
  <c r="C158" i="17"/>
  <c r="N44" i="17"/>
  <c r="J167" i="17"/>
  <c r="N73" i="17"/>
  <c r="J178" i="17"/>
  <c r="D186" i="17"/>
  <c r="N94" i="17"/>
  <c r="D195" i="17"/>
  <c r="B197" i="17"/>
  <c r="B137" i="16"/>
  <c r="H141" i="16"/>
  <c r="B154" i="16"/>
  <c r="J157" i="16"/>
  <c r="N25" i="26"/>
  <c r="H144" i="26"/>
  <c r="D149" i="26"/>
  <c r="D149" i="25"/>
  <c r="N37" i="25"/>
  <c r="N41" i="25"/>
  <c r="D172" i="25"/>
  <c r="N64" i="25"/>
  <c r="N70" i="25"/>
  <c r="N73" i="25"/>
  <c r="D184" i="25"/>
  <c r="C188" i="25"/>
  <c r="D194" i="25"/>
  <c r="L142" i="24"/>
  <c r="N15" i="24"/>
  <c r="B151" i="24"/>
  <c r="B152" i="24"/>
  <c r="N37" i="24"/>
  <c r="C159" i="24"/>
  <c r="N46" i="24"/>
  <c r="N59" i="24"/>
  <c r="S179" i="24"/>
  <c r="U179" i="24"/>
  <c r="B189" i="24"/>
  <c r="N38" i="23"/>
  <c r="N42" i="23"/>
  <c r="N46" i="23"/>
  <c r="B170" i="23"/>
  <c r="N58" i="23"/>
  <c r="L178" i="23"/>
  <c r="N72" i="23"/>
  <c r="J202" i="23"/>
  <c r="C156" i="22"/>
  <c r="C163" i="22"/>
  <c r="N32" i="22"/>
  <c r="C165" i="22"/>
  <c r="N37" i="22"/>
  <c r="N68" i="22"/>
  <c r="N81" i="22"/>
  <c r="B191" i="22"/>
  <c r="D161" i="17"/>
  <c r="N48" i="17"/>
  <c r="N59" i="17"/>
  <c r="D174" i="17"/>
  <c r="D183" i="17"/>
  <c r="B184" i="17"/>
  <c r="L186" i="17"/>
  <c r="C191" i="17"/>
  <c r="B194" i="17"/>
  <c r="N34" i="16"/>
  <c r="H148" i="16"/>
  <c r="H162" i="16"/>
  <c r="W141" i="16"/>
  <c r="N15" i="26"/>
  <c r="D128" i="26"/>
  <c r="C141" i="26"/>
  <c r="N11" i="25"/>
  <c r="L149" i="25"/>
  <c r="B152" i="25"/>
  <c r="D157" i="25"/>
  <c r="C165" i="25"/>
  <c r="L169" i="25"/>
  <c r="L179" i="25"/>
  <c r="L185" i="25"/>
  <c r="L193" i="25"/>
  <c r="W157" i="25"/>
  <c r="D150" i="24"/>
  <c r="C160" i="24"/>
  <c r="C178" i="24"/>
  <c r="D181" i="24"/>
  <c r="C153" i="23"/>
  <c r="S156" i="23"/>
  <c r="U156" i="23"/>
  <c r="H157" i="23"/>
  <c r="L157" i="23"/>
  <c r="D204" i="23"/>
  <c r="H184" i="22"/>
  <c r="D200" i="22"/>
  <c r="W175" i="13"/>
  <c r="N120" i="19"/>
  <c r="B134" i="20"/>
  <c r="N20" i="20"/>
  <c r="W156" i="18"/>
  <c r="L160" i="17"/>
  <c r="N45" i="17"/>
  <c r="C168" i="17"/>
  <c r="N77" i="17"/>
  <c r="D190" i="17"/>
  <c r="H195" i="17"/>
  <c r="W193" i="17"/>
  <c r="C130" i="16"/>
  <c r="D137" i="16"/>
  <c r="C146" i="16"/>
  <c r="N46" i="16"/>
  <c r="D154" i="16"/>
  <c r="N61" i="16"/>
  <c r="N71" i="16"/>
  <c r="W145" i="16"/>
  <c r="W165" i="16"/>
  <c r="B123" i="26"/>
  <c r="L125" i="26"/>
  <c r="J128" i="26"/>
  <c r="H149" i="25"/>
  <c r="C152" i="25"/>
  <c r="N29" i="25"/>
  <c r="H157" i="25"/>
  <c r="D158" i="25"/>
  <c r="N45" i="25"/>
  <c r="D165" i="25"/>
  <c r="B168" i="25"/>
  <c r="N58" i="25"/>
  <c r="L175" i="25"/>
  <c r="N85" i="25"/>
  <c r="N90" i="25"/>
  <c r="N105" i="25"/>
  <c r="D195" i="25"/>
  <c r="N110" i="25"/>
  <c r="W160" i="25"/>
  <c r="W193" i="25"/>
  <c r="B144" i="24"/>
  <c r="D152" i="24"/>
  <c r="D153" i="24"/>
  <c r="N52" i="24"/>
  <c r="C166" i="24"/>
  <c r="B168" i="24"/>
  <c r="N72" i="24"/>
  <c r="C174" i="24"/>
  <c r="H188" i="24"/>
  <c r="L188" i="24"/>
  <c r="J188" i="24"/>
  <c r="D189" i="24"/>
  <c r="N17" i="23"/>
  <c r="U158" i="22"/>
  <c r="S158" i="22"/>
  <c r="N45" i="22"/>
  <c r="N59" i="22"/>
  <c r="D180" i="22"/>
  <c r="W202" i="22"/>
  <c r="N100" i="15"/>
  <c r="W152" i="14"/>
  <c r="W160" i="14"/>
  <c r="W168" i="14"/>
  <c r="W195" i="14"/>
  <c r="S93" i="38"/>
  <c r="U93" i="38"/>
  <c r="J101" i="34"/>
  <c r="D132" i="20"/>
  <c r="D148" i="17"/>
  <c r="C151" i="17"/>
  <c r="C156" i="17"/>
  <c r="N40" i="17"/>
  <c r="D168" i="17"/>
  <c r="N67" i="17"/>
  <c r="N85" i="17"/>
  <c r="N88" i="17"/>
  <c r="N104" i="17"/>
  <c r="W165" i="17"/>
  <c r="D130" i="16"/>
  <c r="D131" i="16"/>
  <c r="N12" i="16"/>
  <c r="H134" i="16"/>
  <c r="H138" i="16"/>
  <c r="B139" i="16"/>
  <c r="D145" i="16"/>
  <c r="D159" i="16"/>
  <c r="C165" i="16"/>
  <c r="B125" i="26"/>
  <c r="C130" i="26"/>
  <c r="N24" i="26"/>
  <c r="J141" i="26"/>
  <c r="H145" i="26"/>
  <c r="B151" i="26"/>
  <c r="N17" i="25"/>
  <c r="D152" i="25"/>
  <c r="N26" i="25"/>
  <c r="N38" i="25"/>
  <c r="S161" i="25"/>
  <c r="C168" i="25"/>
  <c r="D171" i="25"/>
  <c r="N65" i="25"/>
  <c r="N75" i="25"/>
  <c r="N77" i="25"/>
  <c r="C186" i="25"/>
  <c r="D190" i="25"/>
  <c r="D191" i="25"/>
  <c r="U188" i="25"/>
  <c r="D143" i="24"/>
  <c r="N23" i="24"/>
  <c r="L150" i="24"/>
  <c r="L152" i="24"/>
  <c r="L159" i="24"/>
  <c r="J164" i="24"/>
  <c r="B169" i="24"/>
  <c r="N77" i="24"/>
  <c r="N83" i="24"/>
  <c r="W174" i="24"/>
  <c r="T179" i="24"/>
  <c r="J182" i="23"/>
  <c r="N71" i="23"/>
  <c r="D191" i="23"/>
  <c r="S196" i="23"/>
  <c r="U196" i="23"/>
  <c r="L196" i="23"/>
  <c r="N101" i="23"/>
  <c r="N103" i="23"/>
  <c r="W200" i="23"/>
  <c r="N16" i="22"/>
  <c r="N42" i="22"/>
  <c r="N52" i="22"/>
  <c r="N112" i="22"/>
  <c r="W172" i="8"/>
  <c r="W208" i="15"/>
  <c r="H161" i="13"/>
  <c r="L161" i="13"/>
  <c r="J157" i="22"/>
  <c r="H157" i="22"/>
  <c r="W161" i="22"/>
  <c r="N11" i="33"/>
  <c r="N33" i="33"/>
  <c r="N9" i="20"/>
  <c r="H131" i="20"/>
  <c r="L131" i="20"/>
  <c r="N24" i="20"/>
  <c r="C136" i="20"/>
  <c r="D194" i="24"/>
  <c r="S175" i="24"/>
  <c r="W186" i="24"/>
  <c r="L153" i="23"/>
  <c r="H159" i="23"/>
  <c r="N30" i="23"/>
  <c r="B167" i="23"/>
  <c r="B181" i="23"/>
  <c r="J184" i="23"/>
  <c r="D199" i="23"/>
  <c r="J200" i="23"/>
  <c r="J160" i="22"/>
  <c r="B182" i="22"/>
  <c r="N22" i="13"/>
  <c r="N19" i="13"/>
  <c r="W160" i="13"/>
  <c r="L191" i="22"/>
  <c r="J169" i="22"/>
  <c r="H162" i="22"/>
  <c r="N162" i="22" s="1"/>
  <c r="H155" i="22"/>
  <c r="L104" i="38"/>
  <c r="H97" i="38"/>
  <c r="L93" i="38"/>
  <c r="W106" i="37"/>
  <c r="J124" i="35"/>
  <c r="D140" i="35"/>
  <c r="C99" i="29"/>
  <c r="N31" i="29"/>
  <c r="N9" i="29"/>
  <c r="C100" i="29"/>
  <c r="C106" i="29"/>
  <c r="W215" i="15"/>
  <c r="N119" i="14"/>
  <c r="L196" i="21"/>
  <c r="T208" i="22"/>
  <c r="U208" i="22"/>
  <c r="S208" i="22"/>
  <c r="L208" i="22"/>
  <c r="W102" i="31"/>
  <c r="N54" i="32"/>
  <c r="U166" i="20"/>
  <c r="T166" i="20"/>
  <c r="E196" i="24"/>
  <c r="W115" i="37"/>
  <c r="N63" i="24"/>
  <c r="N65" i="24"/>
  <c r="N99" i="24"/>
  <c r="L194" i="24"/>
  <c r="W160" i="24"/>
  <c r="U181" i="24"/>
  <c r="C152" i="23"/>
  <c r="N12" i="23"/>
  <c r="N25" i="23"/>
  <c r="B164" i="23"/>
  <c r="N34" i="23"/>
  <c r="C167" i="23"/>
  <c r="N41" i="23"/>
  <c r="B169" i="23"/>
  <c r="C171" i="23"/>
  <c r="B176" i="23"/>
  <c r="E176" i="23" s="1"/>
  <c r="D188" i="23"/>
  <c r="N83" i="23"/>
  <c r="L194" i="23"/>
  <c r="N110" i="23"/>
  <c r="H204" i="23"/>
  <c r="W164" i="23"/>
  <c r="D156" i="22"/>
  <c r="C159" i="22"/>
  <c r="B160" i="22"/>
  <c r="C171" i="22"/>
  <c r="B180" i="22"/>
  <c r="N73" i="22"/>
  <c r="D196" i="22"/>
  <c r="N107" i="22"/>
  <c r="W203" i="22"/>
  <c r="N102" i="8"/>
  <c r="W159" i="8"/>
  <c r="W167" i="8"/>
  <c r="W175" i="8"/>
  <c r="W186" i="8"/>
  <c r="W171" i="14"/>
  <c r="C174" i="13"/>
  <c r="N44" i="13"/>
  <c r="N112" i="10"/>
  <c r="N24" i="13"/>
  <c r="W168" i="10"/>
  <c r="N44" i="22"/>
  <c r="W96" i="37"/>
  <c r="H136" i="35"/>
  <c r="N62" i="35"/>
  <c r="N37" i="29"/>
  <c r="N28" i="29"/>
  <c r="N19" i="29"/>
  <c r="L87" i="31"/>
  <c r="W94" i="31"/>
  <c r="S152" i="20"/>
  <c r="U152" i="20"/>
  <c r="T152" i="20"/>
  <c r="D162" i="20"/>
  <c r="N76" i="20"/>
  <c r="C142" i="20"/>
  <c r="N209" i="22"/>
  <c r="C169" i="24"/>
  <c r="N75" i="24"/>
  <c r="D179" i="24"/>
  <c r="N87" i="24"/>
  <c r="N89" i="24"/>
  <c r="J184" i="24"/>
  <c r="D185" i="24"/>
  <c r="N101" i="24"/>
  <c r="W150" i="24"/>
  <c r="W162" i="24"/>
  <c r="D152" i="23"/>
  <c r="N10" i="23"/>
  <c r="N29" i="23"/>
  <c r="N59" i="23"/>
  <c r="L188" i="23"/>
  <c r="C192" i="23"/>
  <c r="C201" i="23"/>
  <c r="N114" i="23"/>
  <c r="W198" i="23"/>
  <c r="D159" i="22"/>
  <c r="N20" i="22"/>
  <c r="B163" i="22"/>
  <c r="C166" i="22"/>
  <c r="D171" i="22"/>
  <c r="D183" i="22"/>
  <c r="E183" i="22" s="1"/>
  <c r="N83" i="22"/>
  <c r="B192" i="22"/>
  <c r="B193" i="22"/>
  <c r="C194" i="22"/>
  <c r="C199" i="22"/>
  <c r="C207" i="22"/>
  <c r="W190" i="8"/>
  <c r="W205" i="8"/>
  <c r="D159" i="13"/>
  <c r="N49" i="35"/>
  <c r="L126" i="35"/>
  <c r="S84" i="30"/>
  <c r="T84" i="30"/>
  <c r="H90" i="34"/>
  <c r="L135" i="35"/>
  <c r="H91" i="31"/>
  <c r="J91" i="31"/>
  <c r="W95" i="31"/>
  <c r="N44" i="37"/>
  <c r="N6" i="14"/>
  <c r="B144" i="14"/>
  <c r="N115" i="25"/>
  <c r="D198" i="25"/>
  <c r="H205" i="23"/>
  <c r="L205" i="23"/>
  <c r="J205" i="23"/>
  <c r="H106" i="32"/>
  <c r="L106" i="32"/>
  <c r="H171" i="20"/>
  <c r="L171" i="20"/>
  <c r="H199" i="14"/>
  <c r="L199" i="14"/>
  <c r="H105" i="33"/>
  <c r="W105" i="33"/>
  <c r="N206" i="23"/>
  <c r="C221" i="10"/>
  <c r="N67" i="24"/>
  <c r="L172" i="24"/>
  <c r="D173" i="24"/>
  <c r="J176" i="24"/>
  <c r="L178" i="24"/>
  <c r="L179" i="24"/>
  <c r="L184" i="24"/>
  <c r="N98" i="24"/>
  <c r="D192" i="24"/>
  <c r="N111" i="24"/>
  <c r="W192" i="24"/>
  <c r="L152" i="23"/>
  <c r="D154" i="23"/>
  <c r="D159" i="23"/>
  <c r="D161" i="23"/>
  <c r="D165" i="23"/>
  <c r="C166" i="23"/>
  <c r="L168" i="23"/>
  <c r="D173" i="23"/>
  <c r="N54" i="23"/>
  <c r="L184" i="23"/>
  <c r="N80" i="23"/>
  <c r="N100" i="23"/>
  <c r="W161" i="23"/>
  <c r="W178" i="23"/>
  <c r="B162" i="22"/>
  <c r="D166" i="22"/>
  <c r="N41" i="22"/>
  <c r="D177" i="22"/>
  <c r="D194" i="22"/>
  <c r="D195" i="22"/>
  <c r="N101" i="22"/>
  <c r="W157" i="22"/>
  <c r="W167" i="22"/>
  <c r="W199" i="22"/>
  <c r="N46" i="13"/>
  <c r="B173" i="13"/>
  <c r="N23" i="13"/>
  <c r="N102" i="5"/>
  <c r="J174" i="22"/>
  <c r="C132" i="35"/>
  <c r="D131" i="35"/>
  <c r="B134" i="35"/>
  <c r="W102" i="28"/>
  <c r="L85" i="33"/>
  <c r="N6" i="11"/>
  <c r="N7" i="23"/>
  <c r="C132" i="20"/>
  <c r="N27" i="20"/>
  <c r="N48" i="20"/>
  <c r="H163" i="20"/>
  <c r="D166" i="20"/>
  <c r="N125" i="8"/>
  <c r="D202" i="22"/>
  <c r="W161" i="8"/>
  <c r="W169" i="8"/>
  <c r="W177" i="8"/>
  <c r="W194" i="8"/>
  <c r="W206" i="8"/>
  <c r="W154" i="8"/>
  <c r="W197" i="15"/>
  <c r="W163" i="14"/>
  <c r="W184" i="13"/>
  <c r="D180" i="13"/>
  <c r="N48" i="13"/>
  <c r="L196" i="22"/>
  <c r="L158" i="22"/>
  <c r="N24" i="22"/>
  <c r="N111" i="22"/>
  <c r="W163" i="22"/>
  <c r="T102" i="38"/>
  <c r="W105" i="38"/>
  <c r="N15" i="37"/>
  <c r="S123" i="36"/>
  <c r="N41" i="35"/>
  <c r="H138" i="35"/>
  <c r="W89" i="34"/>
  <c r="N8" i="33"/>
  <c r="B87" i="33"/>
  <c r="B88" i="33"/>
  <c r="H89" i="33"/>
  <c r="N28" i="33"/>
  <c r="N29" i="33"/>
  <c r="C97" i="33"/>
  <c r="B99" i="33"/>
  <c r="B100" i="33"/>
  <c r="N47" i="33"/>
  <c r="N49" i="33"/>
  <c r="J103" i="33"/>
  <c r="N7" i="12"/>
  <c r="L144" i="11"/>
  <c r="J144" i="11"/>
  <c r="H144" i="11"/>
  <c r="U88" i="30"/>
  <c r="T88" i="30"/>
  <c r="C149" i="20"/>
  <c r="J148" i="20"/>
  <c r="C105" i="33"/>
  <c r="W156" i="14"/>
  <c r="W202" i="13"/>
  <c r="C158" i="13"/>
  <c r="D164" i="13"/>
  <c r="D162" i="13"/>
  <c r="N18" i="13"/>
  <c r="H165" i="13"/>
  <c r="L165" i="13"/>
  <c r="N97" i="19"/>
  <c r="W99" i="38"/>
  <c r="N27" i="35"/>
  <c r="J98" i="28"/>
  <c r="W95" i="28"/>
  <c r="W93" i="34"/>
  <c r="D85" i="33"/>
  <c r="C86" i="33"/>
  <c r="C87" i="33"/>
  <c r="C88" i="33"/>
  <c r="L94" i="33"/>
  <c r="L95" i="33"/>
  <c r="H96" i="33"/>
  <c r="D97" i="33"/>
  <c r="C100" i="33"/>
  <c r="N21" i="29"/>
  <c r="W94" i="29"/>
  <c r="W102" i="29"/>
  <c r="W82" i="31"/>
  <c r="S144" i="11"/>
  <c r="T144" i="11"/>
  <c r="H144" i="25"/>
  <c r="T195" i="7"/>
  <c r="B196" i="21"/>
  <c r="L195" i="24"/>
  <c r="H195" i="24"/>
  <c r="N37" i="30"/>
  <c r="B88" i="30"/>
  <c r="L88" i="30"/>
  <c r="U143" i="35"/>
  <c r="W143" i="35" s="1"/>
  <c r="S114" i="28"/>
  <c r="U114" i="28"/>
  <c r="L212" i="13"/>
  <c r="B199" i="11"/>
  <c r="D202" i="18"/>
  <c r="N121" i="18"/>
  <c r="J199" i="17"/>
  <c r="C205" i="22"/>
  <c r="W197" i="8"/>
  <c r="W214" i="15"/>
  <c r="W172" i="14"/>
  <c r="W178" i="13"/>
  <c r="W203" i="13"/>
  <c r="W177" i="13"/>
  <c r="C178" i="13"/>
  <c r="N54" i="13"/>
  <c r="C173" i="13"/>
  <c r="N25" i="13"/>
  <c r="H158" i="13"/>
  <c r="W161" i="13"/>
  <c r="W200" i="9"/>
  <c r="H188" i="22"/>
  <c r="N31" i="35"/>
  <c r="N7" i="28"/>
  <c r="B138" i="35"/>
  <c r="N53" i="35"/>
  <c r="W124" i="35"/>
  <c r="L7" i="35"/>
  <c r="H91" i="34"/>
  <c r="W96" i="34"/>
  <c r="W98" i="34"/>
  <c r="D86" i="33"/>
  <c r="D87" i="33"/>
  <c r="D88" i="33"/>
  <c r="N30" i="33"/>
  <c r="N32" i="33"/>
  <c r="B96" i="33"/>
  <c r="J83" i="31"/>
  <c r="H83" i="31"/>
  <c r="W98" i="31"/>
  <c r="W100" i="31"/>
  <c r="J86" i="31"/>
  <c r="N7" i="7"/>
  <c r="L153" i="8"/>
  <c r="N6" i="9"/>
  <c r="C153" i="19"/>
  <c r="H151" i="23"/>
  <c r="W152" i="3"/>
  <c r="L151" i="23"/>
  <c r="U198" i="2"/>
  <c r="C195" i="7"/>
  <c r="U195" i="7"/>
  <c r="H207" i="8"/>
  <c r="J207" i="8"/>
  <c r="W104" i="34"/>
  <c r="N67" i="20"/>
  <c r="U158" i="20"/>
  <c r="S158" i="20"/>
  <c r="N40" i="30"/>
  <c r="W216" i="15"/>
  <c r="W175" i="20"/>
  <c r="D203" i="22"/>
  <c r="W206" i="22"/>
  <c r="W156" i="8"/>
  <c r="W164" i="8"/>
  <c r="W180" i="8"/>
  <c r="W198" i="8"/>
  <c r="W204" i="13"/>
  <c r="N57" i="13"/>
  <c r="D172" i="13"/>
  <c r="N9" i="13"/>
  <c r="N27" i="13"/>
  <c r="B165" i="13"/>
  <c r="W192" i="10"/>
  <c r="L201" i="22"/>
  <c r="W97" i="37"/>
  <c r="W108" i="28"/>
  <c r="W93" i="28"/>
  <c r="N64" i="35"/>
  <c r="W132" i="35"/>
  <c r="W82" i="30"/>
  <c r="L86" i="33"/>
  <c r="H87" i="33"/>
  <c r="C95" i="33"/>
  <c r="H99" i="33"/>
  <c r="N51" i="33"/>
  <c r="L93" i="29"/>
  <c r="C98" i="29"/>
  <c r="B95" i="29"/>
  <c r="D94" i="29"/>
  <c r="N23" i="29"/>
  <c r="C92" i="29"/>
  <c r="N15" i="29"/>
  <c r="C88" i="29"/>
  <c r="E85" i="29"/>
  <c r="J98" i="29"/>
  <c r="J100" i="29"/>
  <c r="W104" i="29"/>
  <c r="W91" i="31"/>
  <c r="W86" i="32"/>
  <c r="N25" i="37"/>
  <c r="N7" i="25"/>
  <c r="C201" i="1"/>
  <c r="C196" i="5"/>
  <c r="U195" i="12"/>
  <c r="S195" i="12"/>
  <c r="D207" i="19"/>
  <c r="H158" i="26"/>
  <c r="S88" i="30"/>
  <c r="B104" i="34"/>
  <c r="N31" i="20"/>
  <c r="C168" i="20"/>
  <c r="B160" i="20"/>
  <c r="C199" i="2"/>
  <c r="N127" i="15"/>
  <c r="H89" i="31"/>
  <c r="W88" i="31"/>
  <c r="W86" i="31"/>
  <c r="W87" i="32"/>
  <c r="W94" i="32"/>
  <c r="W102" i="32"/>
  <c r="C92" i="33"/>
  <c r="D92" i="33"/>
  <c r="W97" i="33"/>
  <c r="W165" i="13"/>
  <c r="N7" i="1"/>
  <c r="N7" i="15"/>
  <c r="N6" i="13"/>
  <c r="J159" i="9"/>
  <c r="D144" i="17"/>
  <c r="J201" i="1"/>
  <c r="B195" i="7"/>
  <c r="N125" i="15"/>
  <c r="L198" i="14"/>
  <c r="C195" i="12"/>
  <c r="H196" i="21"/>
  <c r="N117" i="18"/>
  <c r="D208" i="22"/>
  <c r="N59" i="29"/>
  <c r="C104" i="34"/>
  <c r="N60" i="29"/>
  <c r="B109" i="38"/>
  <c r="N61" i="28"/>
  <c r="C128" i="20"/>
  <c r="H129" i="20"/>
  <c r="D130" i="20"/>
  <c r="N17" i="20"/>
  <c r="N19" i="20"/>
  <c r="D136" i="20"/>
  <c r="D145" i="20"/>
  <c r="C146" i="20"/>
  <c r="C151" i="20"/>
  <c r="B157" i="20"/>
  <c r="C158" i="20"/>
  <c r="L161" i="20"/>
  <c r="B166" i="20"/>
  <c r="T154" i="20"/>
  <c r="N122" i="3"/>
  <c r="N124" i="3"/>
  <c r="N119" i="7"/>
  <c r="N52" i="31"/>
  <c r="C208" i="8"/>
  <c r="C212" i="13"/>
  <c r="D214" i="9"/>
  <c r="W105" i="34"/>
  <c r="W100" i="33"/>
  <c r="B175" i="20"/>
  <c r="C159" i="26"/>
  <c r="N119" i="6"/>
  <c r="W81" i="31"/>
  <c r="W95" i="32"/>
  <c r="N23" i="34"/>
  <c r="W129" i="35"/>
  <c r="H141" i="7"/>
  <c r="D161" i="15"/>
  <c r="E161" i="15" s="1"/>
  <c r="C157" i="13"/>
  <c r="L147" i="18"/>
  <c r="D141" i="24"/>
  <c r="D207" i="8"/>
  <c r="D215" i="15"/>
  <c r="B195" i="12"/>
  <c r="D196" i="21"/>
  <c r="D158" i="26"/>
  <c r="J109" i="38"/>
  <c r="S105" i="32"/>
  <c r="D128" i="20"/>
  <c r="C129" i="20"/>
  <c r="B130" i="20"/>
  <c r="L135" i="20"/>
  <c r="D138" i="20"/>
  <c r="D139" i="20"/>
  <c r="C140" i="20"/>
  <c r="L145" i="20"/>
  <c r="D146" i="20"/>
  <c r="C147" i="20"/>
  <c r="D150" i="20"/>
  <c r="D151" i="20"/>
  <c r="C157" i="20"/>
  <c r="D158" i="20"/>
  <c r="B161" i="20"/>
  <c r="D170" i="20"/>
  <c r="U154" i="20"/>
  <c r="D207" i="3"/>
  <c r="D196" i="7"/>
  <c r="N120" i="14"/>
  <c r="B199" i="14"/>
  <c r="D212" i="13"/>
  <c r="C196" i="12"/>
  <c r="D199" i="11"/>
  <c r="L214" i="9"/>
  <c r="D221" i="10"/>
  <c r="B144" i="35"/>
  <c r="B137" i="36"/>
  <c r="W84" i="31"/>
  <c r="W90" i="31"/>
  <c r="W96" i="31"/>
  <c r="W93" i="33"/>
  <c r="N30" i="35"/>
  <c r="B144" i="11"/>
  <c r="L144" i="25"/>
  <c r="C151" i="23"/>
  <c r="J154" i="22"/>
  <c r="N154" i="22" s="1"/>
  <c r="B157" i="13"/>
  <c r="B114" i="28"/>
  <c r="N60" i="28"/>
  <c r="H196" i="5"/>
  <c r="S211" i="13"/>
  <c r="D201" i="18"/>
  <c r="B195" i="24"/>
  <c r="D88" i="30"/>
  <c r="J88" i="30"/>
  <c r="J104" i="33"/>
  <c r="T105" i="32"/>
  <c r="J143" i="35"/>
  <c r="D129" i="20"/>
  <c r="N12" i="20"/>
  <c r="N14" i="20"/>
  <c r="N21" i="20"/>
  <c r="N23" i="20"/>
  <c r="N25" i="20"/>
  <c r="B141" i="20"/>
  <c r="B148" i="20"/>
  <c r="N61" i="20"/>
  <c r="D157" i="20"/>
  <c r="B158" i="20"/>
  <c r="N88" i="20"/>
  <c r="W147" i="20"/>
  <c r="W171" i="20"/>
  <c r="B197" i="5"/>
  <c r="B89" i="30"/>
  <c r="D103" i="31"/>
  <c r="C199" i="14"/>
  <c r="N131" i="13"/>
  <c r="D196" i="12"/>
  <c r="N133" i="9"/>
  <c r="C144" i="35"/>
  <c r="D137" i="36"/>
  <c r="N116" i="6"/>
  <c r="W92" i="31"/>
  <c r="W100" i="32"/>
  <c r="C89" i="33"/>
  <c r="B90" i="33"/>
  <c r="N22" i="33"/>
  <c r="W94" i="33"/>
  <c r="C153" i="8"/>
  <c r="C144" i="11"/>
  <c r="S153" i="8"/>
  <c r="N7" i="17"/>
  <c r="N7" i="24"/>
  <c r="S141" i="24"/>
  <c r="N115" i="2"/>
  <c r="N59" i="28"/>
  <c r="D196" i="5"/>
  <c r="D211" i="13"/>
  <c r="T211" i="13"/>
  <c r="N118" i="11"/>
  <c r="C207" i="19"/>
  <c r="N114" i="25"/>
  <c r="C195" i="24"/>
  <c r="H208" i="22"/>
  <c r="N53" i="33"/>
  <c r="D136" i="36"/>
  <c r="B127" i="20"/>
  <c r="B132" i="20"/>
  <c r="B138" i="20"/>
  <c r="N32" i="20"/>
  <c r="N36" i="20"/>
  <c r="N43" i="20"/>
  <c r="N53" i="20"/>
  <c r="B163" i="20"/>
  <c r="C169" i="20"/>
  <c r="B172" i="20"/>
  <c r="B173" i="20"/>
  <c r="W139" i="20"/>
  <c r="W168" i="20"/>
  <c r="D199" i="2"/>
  <c r="C197" i="5"/>
  <c r="C103" i="31"/>
  <c r="W103" i="31"/>
  <c r="D199" i="14"/>
  <c r="C137" i="36"/>
  <c r="L115" i="37"/>
  <c r="N17" i="28"/>
  <c r="N22" i="28"/>
  <c r="W107" i="28"/>
  <c r="C115" i="28"/>
  <c r="N44" i="28"/>
  <c r="H109" i="28"/>
  <c r="H106" i="28"/>
  <c r="C114" i="28"/>
  <c r="W101" i="28"/>
  <c r="N63" i="28"/>
  <c r="L101" i="28"/>
  <c r="H93" i="28"/>
  <c r="D101" i="28"/>
  <c r="J108" i="28"/>
  <c r="L103" i="28"/>
  <c r="L108" i="28"/>
  <c r="N8" i="28"/>
  <c r="B107" i="28"/>
  <c r="B108" i="28"/>
  <c r="D109" i="28"/>
  <c r="J113" i="28"/>
  <c r="H107" i="28"/>
  <c r="W98" i="28"/>
  <c r="W111" i="28"/>
  <c r="W105" i="28"/>
  <c r="N20" i="28"/>
  <c r="D106" i="28"/>
  <c r="L106" i="28"/>
  <c r="N9" i="28"/>
  <c r="T106" i="28"/>
  <c r="B100" i="28"/>
  <c r="B93" i="28"/>
  <c r="N15" i="28"/>
  <c r="N33" i="28"/>
  <c r="S106" i="28"/>
  <c r="D98" i="28"/>
  <c r="H105" i="28"/>
  <c r="H103" i="28"/>
  <c r="C92" i="28"/>
  <c r="N13" i="28"/>
  <c r="C95" i="28"/>
  <c r="C97" i="28"/>
  <c r="N28" i="28"/>
  <c r="N48" i="28"/>
  <c r="C111" i="28"/>
  <c r="L110" i="28"/>
  <c r="B105" i="28"/>
  <c r="J111" i="28"/>
  <c r="H101" i="28"/>
  <c r="N32" i="28"/>
  <c r="L112" i="28"/>
  <c r="N45" i="28"/>
  <c r="N14" i="28"/>
  <c r="C94" i="28"/>
  <c r="D97" i="28"/>
  <c r="N23" i="28"/>
  <c r="D102" i="28"/>
  <c r="D104" i="28"/>
  <c r="C107" i="28"/>
  <c r="D108" i="28"/>
  <c r="C109" i="28"/>
  <c r="C106" i="28"/>
  <c r="J112" i="28"/>
  <c r="J110" i="28"/>
  <c r="J106" i="28"/>
  <c r="W97" i="28"/>
  <c r="N58" i="28"/>
  <c r="B115" i="28"/>
  <c r="N9" i="38"/>
  <c r="N55" i="38"/>
  <c r="N35" i="38"/>
  <c r="H95" i="38"/>
  <c r="B95" i="38"/>
  <c r="C102" i="38"/>
  <c r="D92" i="38"/>
  <c r="N27" i="38"/>
  <c r="N46" i="38"/>
  <c r="H104" i="38"/>
  <c r="H102" i="38"/>
  <c r="L91" i="38"/>
  <c r="H108" i="38"/>
  <c r="H101" i="38"/>
  <c r="C90" i="38"/>
  <c r="C94" i="38"/>
  <c r="N39" i="38"/>
  <c r="C105" i="38"/>
  <c r="B97" i="38"/>
  <c r="B104" i="38"/>
  <c r="B108" i="38"/>
  <c r="D109" i="38"/>
  <c r="B106" i="38"/>
  <c r="J96" i="38"/>
  <c r="N46" i="33"/>
  <c r="W85" i="33"/>
  <c r="N55" i="33"/>
  <c r="J89" i="33"/>
  <c r="N50" i="33"/>
  <c r="N12" i="33"/>
  <c r="L104" i="33"/>
  <c r="N48" i="33"/>
  <c r="N45" i="33"/>
  <c r="L105" i="33"/>
  <c r="H104" i="33"/>
  <c r="D95" i="33"/>
  <c r="C96" i="33"/>
  <c r="W88" i="33"/>
  <c r="W96" i="33"/>
  <c r="N7" i="33"/>
  <c r="L89" i="33"/>
  <c r="L92" i="33"/>
  <c r="N14" i="33"/>
  <c r="B94" i="33"/>
  <c r="B101" i="33"/>
  <c r="B103" i="33"/>
  <c r="D89" i="33"/>
  <c r="N25" i="33"/>
  <c r="W90" i="33"/>
  <c r="W104" i="33"/>
  <c r="N54" i="33"/>
  <c r="N56" i="33"/>
  <c r="L88" i="33"/>
  <c r="J97" i="33"/>
  <c r="N42" i="33"/>
  <c r="N44" i="33"/>
  <c r="C102" i="33"/>
  <c r="L90" i="33"/>
  <c r="C90" i="33"/>
  <c r="D91" i="33"/>
  <c r="J105" i="33"/>
  <c r="N129" i="15"/>
  <c r="N123" i="15"/>
  <c r="N47" i="29"/>
  <c r="H105" i="29"/>
  <c r="J101" i="29"/>
  <c r="L85" i="29"/>
  <c r="N25" i="29"/>
  <c r="N39" i="29"/>
  <c r="J97" i="29"/>
  <c r="H91" i="29"/>
  <c r="N29" i="29"/>
  <c r="N17" i="29"/>
  <c r="H100" i="29"/>
  <c r="L90" i="29"/>
  <c r="B93" i="29"/>
  <c r="D90" i="29"/>
  <c r="B89" i="29"/>
  <c r="W99" i="29"/>
  <c r="N61" i="29"/>
  <c r="N34" i="29"/>
  <c r="L91" i="29"/>
  <c r="N44" i="29"/>
  <c r="L88" i="29"/>
  <c r="H98" i="29"/>
  <c r="N20" i="29"/>
  <c r="N30" i="29"/>
  <c r="W92" i="29"/>
  <c r="W100" i="29"/>
  <c r="T108" i="29"/>
  <c r="U108" i="29"/>
  <c r="L100" i="29"/>
  <c r="B107" i="29"/>
  <c r="L101" i="29"/>
  <c r="L104" i="29"/>
  <c r="N22" i="29"/>
  <c r="L99" i="29"/>
  <c r="J89" i="29"/>
  <c r="H86" i="29"/>
  <c r="W86" i="29"/>
  <c r="H85" i="29"/>
  <c r="B106" i="29"/>
  <c r="N45" i="29"/>
  <c r="J94" i="29"/>
  <c r="N49" i="29"/>
  <c r="C91" i="29"/>
  <c r="L105" i="29"/>
  <c r="J91" i="29"/>
  <c r="B100" i="29"/>
  <c r="B104" i="29"/>
  <c r="D106" i="29"/>
  <c r="C97" i="29"/>
  <c r="W87" i="29"/>
  <c r="D108" i="29"/>
  <c r="J104" i="29"/>
  <c r="L102" i="29"/>
  <c r="J102" i="29"/>
  <c r="N43" i="29"/>
  <c r="N7" i="29"/>
  <c r="N46" i="29"/>
  <c r="J106" i="29"/>
  <c r="D92" i="29"/>
  <c r="B91" i="29"/>
  <c r="W88" i="29"/>
  <c r="W95" i="29"/>
  <c r="W103" i="29"/>
  <c r="W105" i="29"/>
  <c r="W101" i="29"/>
  <c r="W97" i="29"/>
  <c r="W93" i="29"/>
  <c r="W89" i="29"/>
  <c r="C108" i="29"/>
  <c r="C181" i="3"/>
  <c r="J203" i="3"/>
  <c r="L203" i="3"/>
  <c r="J200" i="3"/>
  <c r="W200" i="3"/>
  <c r="L196" i="3"/>
  <c r="H196" i="3"/>
  <c r="J196" i="3"/>
  <c r="L177" i="3"/>
  <c r="H177" i="3"/>
  <c r="W167" i="3"/>
  <c r="J167" i="3"/>
  <c r="H152" i="3"/>
  <c r="L152" i="3"/>
  <c r="J152" i="3"/>
  <c r="C183" i="3"/>
  <c r="W177" i="3"/>
  <c r="C198" i="3"/>
  <c r="H160" i="3"/>
  <c r="N63" i="3"/>
  <c r="B178" i="3"/>
  <c r="N25" i="3"/>
  <c r="B161" i="3"/>
  <c r="W173" i="3"/>
  <c r="N90" i="3"/>
  <c r="C192" i="3"/>
  <c r="C194" i="3"/>
  <c r="N94" i="3"/>
  <c r="B186" i="3"/>
  <c r="E186" i="3" s="1"/>
  <c r="N78" i="3"/>
  <c r="B195" i="3"/>
  <c r="N103" i="3"/>
  <c r="H154" i="3"/>
  <c r="L154" i="3"/>
  <c r="J154" i="3"/>
  <c r="D152" i="3"/>
  <c r="N7" i="3"/>
  <c r="N121" i="3"/>
  <c r="B206" i="3"/>
  <c r="N65" i="3"/>
  <c r="C179" i="3"/>
  <c r="N80" i="3"/>
  <c r="B194" i="3"/>
  <c r="W174" i="3"/>
  <c r="H174" i="3"/>
  <c r="J174" i="3"/>
  <c r="L174" i="3"/>
  <c r="L171" i="3"/>
  <c r="J171" i="3"/>
  <c r="W171" i="3"/>
  <c r="H171" i="3"/>
  <c r="L164" i="3"/>
  <c r="H164" i="3"/>
  <c r="W164" i="3"/>
  <c r="J164" i="3"/>
  <c r="L161" i="3"/>
  <c r="H161" i="3"/>
  <c r="J161" i="3"/>
  <c r="J157" i="3"/>
  <c r="L157" i="3"/>
  <c r="W157" i="3"/>
  <c r="J207" i="3"/>
  <c r="N99" i="3"/>
  <c r="N72" i="3"/>
  <c r="S203" i="3"/>
  <c r="T203" i="3"/>
  <c r="U203" i="3"/>
  <c r="B173" i="3"/>
  <c r="N49" i="3"/>
  <c r="D174" i="3"/>
  <c r="C175" i="3"/>
  <c r="N57" i="3"/>
  <c r="B164" i="3"/>
  <c r="N30" i="3"/>
  <c r="W196" i="3"/>
  <c r="W154" i="3"/>
  <c r="W203" i="3"/>
  <c r="B172" i="3"/>
  <c r="N47" i="3"/>
  <c r="N55" i="3"/>
  <c r="B176" i="3"/>
  <c r="N58" i="3"/>
  <c r="W190" i="3"/>
  <c r="N101" i="3"/>
  <c r="N111" i="3"/>
  <c r="N75" i="3"/>
  <c r="J153" i="3"/>
  <c r="W192" i="3"/>
  <c r="L192" i="3"/>
  <c r="J188" i="3"/>
  <c r="L188" i="3"/>
  <c r="L184" i="3"/>
  <c r="H184" i="3"/>
  <c r="W184" i="3"/>
  <c r="J180" i="3"/>
  <c r="L180" i="3"/>
  <c r="J173" i="3"/>
  <c r="J170" i="3"/>
  <c r="W170" i="3"/>
  <c r="H170" i="3"/>
  <c r="W156" i="3"/>
  <c r="L156" i="3"/>
  <c r="J156" i="3"/>
  <c r="J206" i="3"/>
  <c r="N123" i="3"/>
  <c r="U187" i="3"/>
  <c r="H180" i="3"/>
  <c r="T192" i="3"/>
  <c r="J192" i="3"/>
  <c r="C182" i="3"/>
  <c r="H186" i="3"/>
  <c r="C188" i="3"/>
  <c r="D204" i="3"/>
  <c r="D205" i="3"/>
  <c r="N40" i="3"/>
  <c r="N45" i="3"/>
  <c r="N18" i="3"/>
  <c r="N28" i="3"/>
  <c r="J199" i="3"/>
  <c r="J195" i="3"/>
  <c r="L176" i="3"/>
  <c r="H166" i="3"/>
  <c r="L163" i="3"/>
  <c r="N104" i="3"/>
  <c r="N71" i="3"/>
  <c r="N89" i="3"/>
  <c r="J205" i="3"/>
  <c r="H205" i="3"/>
  <c r="W205" i="3"/>
  <c r="H202" i="3"/>
  <c r="L202" i="3"/>
  <c r="W179" i="3"/>
  <c r="H179" i="3"/>
  <c r="H169" i="3"/>
  <c r="L169" i="3"/>
  <c r="J159" i="3"/>
  <c r="H159" i="3"/>
  <c r="W159" i="3"/>
  <c r="W169" i="3"/>
  <c r="J183" i="3"/>
  <c r="D187" i="3"/>
  <c r="W187" i="3"/>
  <c r="H192" i="3"/>
  <c r="H188" i="3"/>
  <c r="W153" i="3"/>
  <c r="L153" i="3"/>
  <c r="D194" i="3"/>
  <c r="N91" i="3"/>
  <c r="B192" i="3"/>
  <c r="N102" i="3"/>
  <c r="D202" i="3"/>
  <c r="N115" i="3"/>
  <c r="D171" i="3"/>
  <c r="D155" i="3"/>
  <c r="N13" i="3"/>
  <c r="N26" i="3"/>
  <c r="W198" i="3"/>
  <c r="H198" i="3"/>
  <c r="U186" i="3"/>
  <c r="U184" i="3"/>
  <c r="N33" i="3"/>
  <c r="T184" i="3"/>
  <c r="B168" i="3"/>
  <c r="D185" i="3"/>
  <c r="T191" i="3"/>
  <c r="U191" i="3"/>
  <c r="C195" i="3"/>
  <c r="B197" i="3"/>
  <c r="N100" i="3"/>
  <c r="B198" i="3"/>
  <c r="U198" i="3"/>
  <c r="N108" i="3"/>
  <c r="C202" i="3"/>
  <c r="N117" i="3"/>
  <c r="N46" i="3"/>
  <c r="N62" i="3"/>
  <c r="D153" i="3"/>
  <c r="N14" i="3"/>
  <c r="B156" i="3"/>
  <c r="N66" i="3"/>
  <c r="N38" i="3"/>
  <c r="B169" i="3"/>
  <c r="C161" i="3"/>
  <c r="H201" i="3"/>
  <c r="W155" i="3"/>
  <c r="W172" i="3"/>
  <c r="N67" i="3"/>
  <c r="N74" i="3"/>
  <c r="N110" i="3"/>
  <c r="B204" i="3"/>
  <c r="N53" i="3"/>
  <c r="D154" i="3"/>
  <c r="C157" i="3"/>
  <c r="J197" i="3"/>
  <c r="H162" i="3"/>
  <c r="W158" i="3"/>
  <c r="C207" i="3"/>
  <c r="L172" i="3"/>
  <c r="L201" i="3"/>
  <c r="N68" i="3"/>
  <c r="N84" i="3"/>
  <c r="C196" i="3"/>
  <c r="N39" i="3"/>
  <c r="D169" i="3"/>
  <c r="C160" i="3"/>
  <c r="N32" i="3"/>
  <c r="H185" i="3"/>
  <c r="N6" i="3"/>
  <c r="L207" i="3"/>
  <c r="H207" i="3"/>
  <c r="N14" i="1"/>
  <c r="N43" i="1"/>
  <c r="U161" i="1"/>
  <c r="J165" i="1"/>
  <c r="N83" i="1"/>
  <c r="N94" i="1"/>
  <c r="D195" i="1"/>
  <c r="B196" i="1"/>
  <c r="N61" i="1"/>
  <c r="N59" i="1"/>
  <c r="N57" i="1"/>
  <c r="C169" i="1"/>
  <c r="C165" i="1"/>
  <c r="C163" i="1"/>
  <c r="N37" i="1"/>
  <c r="N35" i="1"/>
  <c r="N32" i="1"/>
  <c r="B158" i="1"/>
  <c r="B152" i="1"/>
  <c r="W155" i="1"/>
  <c r="W177" i="1"/>
  <c r="J173" i="1"/>
  <c r="L169" i="1"/>
  <c r="W166" i="1"/>
  <c r="W200" i="1"/>
  <c r="T199" i="1"/>
  <c r="W201" i="1"/>
  <c r="U185" i="1"/>
  <c r="N102" i="1"/>
  <c r="N99" i="1"/>
  <c r="C156" i="1"/>
  <c r="H199" i="1"/>
  <c r="W156" i="1"/>
  <c r="H162" i="1"/>
  <c r="N80" i="1"/>
  <c r="B187" i="1"/>
  <c r="N66" i="1"/>
  <c r="N60" i="1"/>
  <c r="N56" i="1"/>
  <c r="D161" i="1"/>
  <c r="N34" i="1"/>
  <c r="D157" i="1"/>
  <c r="N25" i="1"/>
  <c r="N16" i="1"/>
  <c r="D149" i="1"/>
  <c r="W161" i="1"/>
  <c r="W154" i="1"/>
  <c r="W150" i="1"/>
  <c r="W195" i="1"/>
  <c r="J179" i="1"/>
  <c r="D202" i="1"/>
  <c r="U167" i="1"/>
  <c r="N12" i="1"/>
  <c r="C155" i="1"/>
  <c r="S179" i="1"/>
  <c r="N98" i="1"/>
  <c r="C167" i="1"/>
  <c r="D166" i="1"/>
  <c r="B165" i="1"/>
  <c r="C157" i="1"/>
  <c r="N22" i="1"/>
  <c r="C149" i="1"/>
  <c r="N8" i="1"/>
  <c r="H160" i="1"/>
  <c r="J156" i="1"/>
  <c r="H171" i="1"/>
  <c r="W164" i="1"/>
  <c r="L194" i="1"/>
  <c r="W186" i="1"/>
  <c r="W182" i="1"/>
  <c r="C147" i="1"/>
  <c r="D147" i="1"/>
  <c r="B195" i="1"/>
  <c r="D177" i="1"/>
  <c r="W175" i="1"/>
  <c r="L190" i="1"/>
  <c r="H175" i="1"/>
  <c r="C180" i="1"/>
  <c r="B181" i="1"/>
  <c r="N85" i="1"/>
  <c r="N96" i="1"/>
  <c r="C194" i="1"/>
  <c r="N108" i="1"/>
  <c r="N110" i="1"/>
  <c r="D198" i="1"/>
  <c r="B199" i="1"/>
  <c r="C200" i="1"/>
  <c r="N65" i="1"/>
  <c r="D171" i="1"/>
  <c r="L147" i="1"/>
  <c r="L195" i="1"/>
  <c r="B155" i="1"/>
  <c r="B161" i="1"/>
  <c r="T201" i="1"/>
  <c r="C178" i="1"/>
  <c r="D186" i="1"/>
  <c r="N95" i="1"/>
  <c r="D187" i="1"/>
  <c r="N70" i="1"/>
  <c r="D165" i="1"/>
  <c r="D155" i="1"/>
  <c r="C154" i="1"/>
  <c r="W174" i="1"/>
  <c r="J185" i="1"/>
  <c r="W181" i="1"/>
  <c r="U199" i="1"/>
  <c r="B147" i="1"/>
  <c r="N122" i="1"/>
  <c r="D169" i="1"/>
  <c r="U169" i="1"/>
  <c r="S169" i="1"/>
  <c r="U162" i="1"/>
  <c r="S162" i="1"/>
  <c r="H157" i="1"/>
  <c r="J157" i="1"/>
  <c r="L157" i="1"/>
  <c r="W171" i="1"/>
  <c r="W169" i="1"/>
  <c r="T181" i="1"/>
  <c r="N75" i="1"/>
  <c r="B175" i="1"/>
  <c r="N91" i="1"/>
  <c r="U187" i="1"/>
  <c r="S187" i="1"/>
  <c r="U175" i="1"/>
  <c r="S175" i="1"/>
  <c r="T175" i="1"/>
  <c r="B176" i="1"/>
  <c r="N67" i="1"/>
  <c r="W162" i="1"/>
  <c r="W157" i="1"/>
  <c r="B188" i="1"/>
  <c r="L177" i="1"/>
  <c r="J161" i="1"/>
  <c r="L171" i="1"/>
  <c r="N79" i="1"/>
  <c r="L178" i="1"/>
  <c r="T178" i="1"/>
  <c r="C198" i="1"/>
  <c r="T158" i="1"/>
  <c r="U158" i="1"/>
  <c r="N40" i="1"/>
  <c r="N26" i="1"/>
  <c r="J158" i="1"/>
  <c r="W158" i="1"/>
  <c r="H158" i="1"/>
  <c r="L155" i="1"/>
  <c r="H169" i="1"/>
  <c r="J196" i="1"/>
  <c r="W196" i="1"/>
  <c r="L196" i="1"/>
  <c r="W188" i="1"/>
  <c r="L188" i="1"/>
  <c r="W184" i="1"/>
  <c r="L184" i="1"/>
  <c r="H180" i="1"/>
  <c r="J180" i="1"/>
  <c r="W180" i="1"/>
  <c r="J184" i="1"/>
  <c r="L185" i="1"/>
  <c r="H186" i="1"/>
  <c r="J154" i="1"/>
  <c r="H155" i="1"/>
  <c r="L152" i="1"/>
  <c r="N54" i="1"/>
  <c r="T173" i="1"/>
  <c r="J171" i="1"/>
  <c r="U190" i="1"/>
  <c r="T190" i="1"/>
  <c r="D194" i="1"/>
  <c r="T149" i="1"/>
  <c r="U149" i="1"/>
  <c r="L151" i="1"/>
  <c r="W151" i="1"/>
  <c r="J172" i="1"/>
  <c r="L172" i="1"/>
  <c r="B185" i="1"/>
  <c r="L179" i="1"/>
  <c r="L154" i="1"/>
  <c r="H161" i="1"/>
  <c r="U181" i="1"/>
  <c r="U170" i="1"/>
  <c r="T170" i="1"/>
  <c r="N68" i="1"/>
  <c r="B169" i="1"/>
  <c r="N39" i="1"/>
  <c r="H154" i="1"/>
  <c r="L164" i="1"/>
  <c r="J164" i="1"/>
  <c r="H164" i="1"/>
  <c r="N30" i="1"/>
  <c r="N114" i="1"/>
  <c r="N10" i="1"/>
  <c r="N45" i="1"/>
  <c r="C192" i="1"/>
  <c r="C170" i="1"/>
  <c r="N50" i="1"/>
  <c r="D162" i="1"/>
  <c r="N28" i="1"/>
  <c r="N18" i="1"/>
  <c r="J160" i="1"/>
  <c r="J149" i="1"/>
  <c r="L149" i="1"/>
  <c r="L175" i="1"/>
  <c r="J175" i="1"/>
  <c r="J163" i="1"/>
  <c r="L163" i="1"/>
  <c r="W198" i="1"/>
  <c r="L186" i="1"/>
  <c r="J152" i="1"/>
  <c r="H187" i="1"/>
  <c r="W163" i="1"/>
  <c r="N107" i="1"/>
  <c r="L198" i="1"/>
  <c r="N89" i="1"/>
  <c r="N53" i="1"/>
  <c r="S170" i="1"/>
  <c r="D181" i="1"/>
  <c r="C187" i="1"/>
  <c r="S185" i="1"/>
  <c r="T185" i="1"/>
  <c r="B197" i="1"/>
  <c r="N109" i="1"/>
  <c r="N115" i="1"/>
  <c r="N116" i="1"/>
  <c r="B200" i="1"/>
  <c r="D172" i="1"/>
  <c r="B170" i="1"/>
  <c r="B166" i="1"/>
  <c r="N33" i="1"/>
  <c r="N27" i="1"/>
  <c r="J167" i="1"/>
  <c r="L193" i="1"/>
  <c r="W193" i="1"/>
  <c r="N123" i="1"/>
  <c r="L170" i="1"/>
  <c r="B156" i="1"/>
  <c r="J198" i="1"/>
  <c r="D175" i="1"/>
  <c r="N111" i="1"/>
  <c r="B190" i="1"/>
  <c r="B178" i="1"/>
  <c r="N72" i="1"/>
  <c r="N81" i="1"/>
  <c r="B183" i="1"/>
  <c r="T186" i="1"/>
  <c r="U186" i="1"/>
  <c r="B193" i="1"/>
  <c r="N112" i="1"/>
  <c r="B154" i="1"/>
  <c r="J159" i="1"/>
  <c r="L159" i="1"/>
  <c r="W197" i="1"/>
  <c r="J197" i="1"/>
  <c r="L197" i="1"/>
  <c r="L181" i="1"/>
  <c r="D201" i="1"/>
  <c r="C181" i="1"/>
  <c r="B189" i="1"/>
  <c r="D160" i="1"/>
  <c r="N29" i="1"/>
  <c r="H176" i="1"/>
  <c r="N6" i="1"/>
  <c r="W147" i="1"/>
  <c r="H201" i="1"/>
  <c r="L189" i="1"/>
  <c r="L156" i="1"/>
  <c r="L201" i="1"/>
  <c r="J150" i="1"/>
  <c r="L150" i="1"/>
  <c r="N78" i="1"/>
  <c r="D184" i="1"/>
  <c r="N88" i="1"/>
  <c r="D190" i="1"/>
  <c r="B194" i="1"/>
  <c r="C175" i="1"/>
  <c r="D173" i="1"/>
  <c r="N9" i="1"/>
  <c r="H172" i="1"/>
  <c r="J199" i="1"/>
  <c r="H193" i="1"/>
  <c r="N119" i="1"/>
  <c r="N118" i="1"/>
  <c r="L160" i="1"/>
  <c r="J169" i="1"/>
  <c r="C193" i="1"/>
  <c r="C196" i="1"/>
  <c r="C199" i="1"/>
  <c r="N64" i="1"/>
  <c r="N47" i="1"/>
  <c r="D164" i="1"/>
  <c r="J162" i="1"/>
  <c r="N121" i="1"/>
  <c r="B201" i="1"/>
  <c r="W160" i="1"/>
  <c r="B162" i="1"/>
  <c r="S177" i="1"/>
  <c r="N76" i="1"/>
  <c r="D185" i="1"/>
  <c r="B173" i="1"/>
  <c r="H190" i="1"/>
  <c r="B104" i="28"/>
  <c r="L215" i="10"/>
  <c r="N15" i="7"/>
  <c r="L182" i="7"/>
  <c r="S184" i="7"/>
  <c r="C189" i="3"/>
  <c r="N112" i="3"/>
  <c r="W182" i="14"/>
  <c r="N109" i="13"/>
  <c r="C175" i="5"/>
  <c r="N73" i="5"/>
  <c r="N76" i="5"/>
  <c r="C176" i="5"/>
  <c r="N71" i="1"/>
  <c r="D178" i="1"/>
  <c r="B179" i="1"/>
  <c r="N74" i="1"/>
  <c r="B196" i="2"/>
  <c r="N111" i="2"/>
  <c r="N97" i="13"/>
  <c r="D196" i="13"/>
  <c r="J197" i="15"/>
  <c r="L197" i="15"/>
  <c r="B190" i="13"/>
  <c r="W170" i="5"/>
  <c r="L170" i="5"/>
  <c r="J170" i="5"/>
  <c r="L184" i="7"/>
  <c r="B101" i="28"/>
  <c r="D177" i="2"/>
  <c r="H101" i="32"/>
  <c r="J186" i="15"/>
  <c r="N61" i="12"/>
  <c r="N37" i="28"/>
  <c r="T201" i="15"/>
  <c r="B201" i="15"/>
  <c r="S201" i="15"/>
  <c r="N88" i="7"/>
  <c r="D184" i="7"/>
  <c r="B188" i="3"/>
  <c r="N83" i="3"/>
  <c r="U190" i="3"/>
  <c r="S190" i="3"/>
  <c r="T190" i="3"/>
  <c r="H190" i="3"/>
  <c r="J190" i="3"/>
  <c r="L190" i="3"/>
  <c r="H191" i="3"/>
  <c r="S191" i="3"/>
  <c r="J191" i="3"/>
  <c r="B191" i="3"/>
  <c r="W191" i="3"/>
  <c r="D200" i="3"/>
  <c r="T200" i="3"/>
  <c r="S200" i="3"/>
  <c r="L200" i="3"/>
  <c r="H200" i="3"/>
  <c r="C200" i="3"/>
  <c r="U200" i="3"/>
  <c r="B192" i="2"/>
  <c r="N103" i="2"/>
  <c r="B200" i="3"/>
  <c r="C190" i="5"/>
  <c r="N104" i="5"/>
  <c r="N13" i="5"/>
  <c r="B145" i="5"/>
  <c r="J76" i="30"/>
  <c r="H76" i="30"/>
  <c r="H96" i="29"/>
  <c r="J96" i="29"/>
  <c r="L96" i="29"/>
  <c r="J93" i="29"/>
  <c r="H93" i="29"/>
  <c r="L101" i="32"/>
  <c r="N103" i="7"/>
  <c r="H186" i="15"/>
  <c r="S200" i="15"/>
  <c r="U200" i="15"/>
  <c r="T200" i="15"/>
  <c r="B200" i="15"/>
  <c r="H200" i="15"/>
  <c r="J200" i="15"/>
  <c r="N86" i="7"/>
  <c r="B180" i="7"/>
  <c r="D191" i="1"/>
  <c r="C191" i="1"/>
  <c r="U191" i="1"/>
  <c r="H191" i="1"/>
  <c r="L191" i="1"/>
  <c r="S191" i="1"/>
  <c r="N98" i="2"/>
  <c r="L190" i="2" s="1"/>
  <c r="N101" i="2"/>
  <c r="C191" i="2"/>
  <c r="H170" i="1"/>
  <c r="J170" i="1"/>
  <c r="W170" i="1"/>
  <c r="H167" i="1"/>
  <c r="W167" i="1"/>
  <c r="N34" i="37"/>
  <c r="C102" i="37"/>
  <c r="H78" i="30"/>
  <c r="J78" i="30"/>
  <c r="L78" i="30"/>
  <c r="B201" i="13"/>
  <c r="N107" i="13"/>
  <c r="B194" i="2"/>
  <c r="N106" i="2"/>
  <c r="L201" i="15"/>
  <c r="J201" i="15"/>
  <c r="H183" i="15"/>
  <c r="L183" i="15"/>
  <c r="W182" i="7"/>
  <c r="H197" i="15"/>
  <c r="D156" i="5"/>
  <c r="N36" i="5"/>
  <c r="L189" i="7"/>
  <c r="W189" i="7"/>
  <c r="H189" i="7"/>
  <c r="L204" i="15"/>
  <c r="H204" i="15"/>
  <c r="H206" i="3"/>
  <c r="H201" i="15"/>
  <c r="N23" i="15"/>
  <c r="H175" i="19"/>
  <c r="L175" i="19"/>
  <c r="J175" i="19"/>
  <c r="N71" i="15"/>
  <c r="D190" i="15"/>
  <c r="N73" i="15"/>
  <c r="B191" i="15"/>
  <c r="B193" i="8"/>
  <c r="N92" i="8"/>
  <c r="S183" i="1"/>
  <c r="T183" i="1"/>
  <c r="U183" i="1"/>
  <c r="D183" i="1"/>
  <c r="W183" i="1"/>
  <c r="C183" i="1"/>
  <c r="H183" i="1"/>
  <c r="J183" i="1"/>
  <c r="N115" i="5"/>
  <c r="D195" i="5"/>
  <c r="E195" i="5" s="1"/>
  <c r="H177" i="1"/>
  <c r="J177" i="1"/>
  <c r="L173" i="1"/>
  <c r="H173" i="1"/>
  <c r="W173" i="1"/>
  <c r="H166" i="1"/>
  <c r="L166" i="1"/>
  <c r="J166" i="1"/>
  <c r="N13" i="32"/>
  <c r="D86" i="32"/>
  <c r="C127" i="35"/>
  <c r="N21" i="35"/>
  <c r="L193" i="15"/>
  <c r="J193" i="15"/>
  <c r="H193" i="15"/>
  <c r="U169" i="12"/>
  <c r="T169" i="12"/>
  <c r="S169" i="12"/>
  <c r="L169" i="12"/>
  <c r="D169" i="12"/>
  <c r="B169" i="12"/>
  <c r="J169" i="12"/>
  <c r="H169" i="12"/>
  <c r="C189" i="12"/>
  <c r="N102" i="12"/>
  <c r="T184" i="7"/>
  <c r="L154" i="19"/>
  <c r="H154" i="19"/>
  <c r="J154" i="19"/>
  <c r="N71" i="13"/>
  <c r="B185" i="13"/>
  <c r="C198" i="13"/>
  <c r="N101" i="13"/>
  <c r="N112" i="15"/>
  <c r="D209" i="15"/>
  <c r="L166" i="14"/>
  <c r="J166" i="14"/>
  <c r="H166" i="14"/>
  <c r="J215" i="10"/>
  <c r="B184" i="7"/>
  <c r="L206" i="3"/>
  <c r="W141" i="35"/>
  <c r="T191" i="1"/>
  <c r="N67" i="15"/>
  <c r="C189" i="15"/>
  <c r="B192" i="8"/>
  <c r="N90" i="8"/>
  <c r="N98" i="5"/>
  <c r="D187" i="5"/>
  <c r="N87" i="1"/>
  <c r="B186" i="1"/>
  <c r="D153" i="1"/>
  <c r="L153" i="1"/>
  <c r="H153" i="1"/>
  <c r="C153" i="1"/>
  <c r="S153" i="1"/>
  <c r="U153" i="1"/>
  <c r="J153" i="1"/>
  <c r="T153" i="1"/>
  <c r="W153" i="1"/>
  <c r="N63" i="1"/>
  <c r="C174" i="1"/>
  <c r="C168" i="1"/>
  <c r="N51" i="1"/>
  <c r="C164" i="2"/>
  <c r="N47" i="2"/>
  <c r="N31" i="32"/>
  <c r="C95" i="32"/>
  <c r="N111" i="14"/>
  <c r="C194" i="14"/>
  <c r="J186" i="7"/>
  <c r="W186" i="7"/>
  <c r="L186" i="7"/>
  <c r="H186" i="7"/>
  <c r="J205" i="15"/>
  <c r="L205" i="15"/>
  <c r="H205" i="15"/>
  <c r="J189" i="15"/>
  <c r="L189" i="15"/>
  <c r="H189" i="15"/>
  <c r="B199" i="13"/>
  <c r="J96" i="31"/>
  <c r="L96" i="31"/>
  <c r="H96" i="31"/>
  <c r="J163" i="25"/>
  <c r="H163" i="25"/>
  <c r="L163" i="25"/>
  <c r="B175" i="14"/>
  <c r="N72" i="14"/>
  <c r="N88" i="14"/>
  <c r="N65" i="15"/>
  <c r="C188" i="15"/>
  <c r="B187" i="8"/>
  <c r="N80" i="8"/>
  <c r="D186" i="5"/>
  <c r="N97" i="5"/>
  <c r="C179" i="1"/>
  <c r="N73" i="1"/>
  <c r="C195" i="14"/>
  <c r="W107" i="37"/>
  <c r="L169" i="19"/>
  <c r="N83" i="13"/>
  <c r="N87" i="13"/>
  <c r="N90" i="13"/>
  <c r="N103" i="13"/>
  <c r="C199" i="13"/>
  <c r="C200" i="13"/>
  <c r="N87" i="14"/>
  <c r="N91" i="8"/>
  <c r="N96" i="8"/>
  <c r="B183" i="5"/>
  <c r="N87" i="3"/>
  <c r="N176" i="2"/>
  <c r="N74" i="2"/>
  <c r="B185" i="2"/>
  <c r="N77" i="1"/>
  <c r="L182" i="1"/>
  <c r="D182" i="1"/>
  <c r="U182" i="1"/>
  <c r="N104" i="1"/>
  <c r="N101" i="7"/>
  <c r="C188" i="7"/>
  <c r="T201" i="8"/>
  <c r="U201" i="8"/>
  <c r="S201" i="8"/>
  <c r="C193" i="14"/>
  <c r="N108" i="7"/>
  <c r="N24" i="5"/>
  <c r="W188" i="5"/>
  <c r="L188" i="5"/>
  <c r="H161" i="7"/>
  <c r="W161" i="7"/>
  <c r="W153" i="7"/>
  <c r="D171" i="14"/>
  <c r="N65" i="14"/>
  <c r="N13" i="36"/>
  <c r="B116" i="36"/>
  <c r="N41" i="37"/>
  <c r="D163" i="11"/>
  <c r="N44" i="11"/>
  <c r="N51" i="11"/>
  <c r="B166" i="11"/>
  <c r="W175" i="11"/>
  <c r="J169" i="19"/>
  <c r="N79" i="13"/>
  <c r="B198" i="13"/>
  <c r="N102" i="13"/>
  <c r="S192" i="8"/>
  <c r="U192" i="8"/>
  <c r="T192" i="8"/>
  <c r="C192" i="8"/>
  <c r="B181" i="7"/>
  <c r="D186" i="7"/>
  <c r="B174" i="5"/>
  <c r="B183" i="3"/>
  <c r="B185" i="3"/>
  <c r="S195" i="1"/>
  <c r="J195" i="1"/>
  <c r="U195" i="1"/>
  <c r="N104" i="2"/>
  <c r="B204" i="8"/>
  <c r="N116" i="8"/>
  <c r="C196" i="2"/>
  <c r="N110" i="2"/>
  <c r="N113" i="5"/>
  <c r="N41" i="1"/>
  <c r="D163" i="1"/>
  <c r="N59" i="2"/>
  <c r="D170" i="2"/>
  <c r="N20" i="3"/>
  <c r="N25" i="32"/>
  <c r="D92" i="32"/>
  <c r="N39" i="34"/>
  <c r="W98" i="38"/>
  <c r="J166" i="19"/>
  <c r="H166" i="19"/>
  <c r="J154" i="17"/>
  <c r="L154" i="17"/>
  <c r="N99" i="13"/>
  <c r="B197" i="13"/>
  <c r="T200" i="13"/>
  <c r="B200" i="13"/>
  <c r="S200" i="13"/>
  <c r="D200" i="15"/>
  <c r="B172" i="5"/>
  <c r="T172" i="5"/>
  <c r="C158" i="2"/>
  <c r="N35" i="2"/>
  <c r="N39" i="8"/>
  <c r="C167" i="8"/>
  <c r="H205" i="8"/>
  <c r="J205" i="8"/>
  <c r="L205" i="8"/>
  <c r="H201" i="8"/>
  <c r="J201" i="8"/>
  <c r="L201" i="8"/>
  <c r="L197" i="8"/>
  <c r="H197" i="8"/>
  <c r="J197" i="8"/>
  <c r="H193" i="8"/>
  <c r="J193" i="8"/>
  <c r="L193" i="8"/>
  <c r="H189" i="8"/>
  <c r="J189" i="8"/>
  <c r="L189" i="8"/>
  <c r="J185" i="8"/>
  <c r="L185" i="8"/>
  <c r="H185" i="8"/>
  <c r="H181" i="8"/>
  <c r="L181" i="8"/>
  <c r="J181" i="8"/>
  <c r="H177" i="8"/>
  <c r="J177" i="8"/>
  <c r="L177" i="8"/>
  <c r="J156" i="8"/>
  <c r="L156" i="8"/>
  <c r="H156" i="8"/>
  <c r="L100" i="28"/>
  <c r="J100" i="28"/>
  <c r="N108" i="9"/>
  <c r="C206" i="9"/>
  <c r="B190" i="19"/>
  <c r="N81" i="19"/>
  <c r="J193" i="19"/>
  <c r="H193" i="19"/>
  <c r="L193" i="19"/>
  <c r="H157" i="19"/>
  <c r="J157" i="19"/>
  <c r="L157" i="19"/>
  <c r="D183" i="7"/>
  <c r="L182" i="3"/>
  <c r="J182" i="3"/>
  <c r="U182" i="3"/>
  <c r="D190" i="3"/>
  <c r="C191" i="3"/>
  <c r="B191" i="1"/>
  <c r="D191" i="5"/>
  <c r="N112" i="8"/>
  <c r="B202" i="8"/>
  <c r="U166" i="1"/>
  <c r="C166" i="1"/>
  <c r="T166" i="1"/>
  <c r="C153" i="7"/>
  <c r="N31" i="7"/>
  <c r="C181" i="8"/>
  <c r="N69" i="8"/>
  <c r="N10" i="31"/>
  <c r="D83" i="31"/>
  <c r="C202" i="9"/>
  <c r="N99" i="9"/>
  <c r="C191" i="13"/>
  <c r="D193" i="13"/>
  <c r="C196" i="13"/>
  <c r="U196" i="13"/>
  <c r="T196" i="13"/>
  <c r="B196" i="13"/>
  <c r="L196" i="13"/>
  <c r="D200" i="13"/>
  <c r="C189" i="14"/>
  <c r="C183" i="8"/>
  <c r="D191" i="8"/>
  <c r="N88" i="8"/>
  <c r="N93" i="5"/>
  <c r="N96" i="3"/>
  <c r="N99" i="7"/>
  <c r="C195" i="1"/>
  <c r="T198" i="1"/>
  <c r="S198" i="1"/>
  <c r="B205" i="8"/>
  <c r="N118" i="8"/>
  <c r="N31" i="1"/>
  <c r="C158" i="1"/>
  <c r="N31" i="2"/>
  <c r="D157" i="2"/>
  <c r="N33" i="2"/>
  <c r="N21" i="30"/>
  <c r="N32" i="30"/>
  <c r="N21" i="32"/>
  <c r="D90" i="32"/>
  <c r="L93" i="32"/>
  <c r="J93" i="32"/>
  <c r="H93" i="32"/>
  <c r="N69" i="3"/>
  <c r="D182" i="3"/>
  <c r="N86" i="3"/>
  <c r="C190" i="3"/>
  <c r="C193" i="3"/>
  <c r="N75" i="2"/>
  <c r="D178" i="2"/>
  <c r="N86" i="1"/>
  <c r="B200" i="8"/>
  <c r="N108" i="8"/>
  <c r="N106" i="1"/>
  <c r="N116" i="13"/>
  <c r="N113" i="1"/>
  <c r="B163" i="1"/>
  <c r="N42" i="1"/>
  <c r="J192" i="1"/>
  <c r="W192" i="1"/>
  <c r="H192" i="1"/>
  <c r="L192" i="1"/>
  <c r="W178" i="5"/>
  <c r="N42" i="8"/>
  <c r="B169" i="8"/>
  <c r="S166" i="11"/>
  <c r="U166" i="11"/>
  <c r="C166" i="11"/>
  <c r="J166" i="11"/>
  <c r="D166" i="11"/>
  <c r="H166" i="11"/>
  <c r="L166" i="11"/>
  <c r="H167" i="11"/>
  <c r="L167" i="11"/>
  <c r="J167" i="11"/>
  <c r="B173" i="11"/>
  <c r="N65" i="11"/>
  <c r="C177" i="14"/>
  <c r="S183" i="8"/>
  <c r="T183" i="8"/>
  <c r="U183" i="8"/>
  <c r="B186" i="8"/>
  <c r="S191" i="8"/>
  <c r="T191" i="8"/>
  <c r="U191" i="8"/>
  <c r="D196" i="8"/>
  <c r="D197" i="8"/>
  <c r="D198" i="8"/>
  <c r="C172" i="5"/>
  <c r="B184" i="1"/>
  <c r="S199" i="8"/>
  <c r="T199" i="8"/>
  <c r="U199" i="8"/>
  <c r="C200" i="8"/>
  <c r="B201" i="8"/>
  <c r="N110" i="8"/>
  <c r="D202" i="8"/>
  <c r="B203" i="8"/>
  <c r="N114" i="8"/>
  <c r="D204" i="8"/>
  <c r="D170" i="1"/>
  <c r="D151" i="1"/>
  <c r="N21" i="1"/>
  <c r="N57" i="2"/>
  <c r="N49" i="2"/>
  <c r="C168" i="3"/>
  <c r="H178" i="1"/>
  <c r="W154" i="2"/>
  <c r="W150" i="2"/>
  <c r="H183" i="3"/>
  <c r="J179" i="3"/>
  <c r="B171" i="5"/>
  <c r="N65" i="5"/>
  <c r="T170" i="5"/>
  <c r="S170" i="5"/>
  <c r="C145" i="5"/>
  <c r="U145" i="5"/>
  <c r="L158" i="7"/>
  <c r="H154" i="7"/>
  <c r="J154" i="7"/>
  <c r="W154" i="7"/>
  <c r="D157" i="8"/>
  <c r="N26" i="8"/>
  <c r="L174" i="8"/>
  <c r="H174" i="8"/>
  <c r="J174" i="8"/>
  <c r="L170" i="8"/>
  <c r="H170" i="8"/>
  <c r="J170" i="8"/>
  <c r="L164" i="8"/>
  <c r="J164" i="8"/>
  <c r="H164" i="8"/>
  <c r="J160" i="8"/>
  <c r="L160" i="8"/>
  <c r="H160" i="8"/>
  <c r="J212" i="15"/>
  <c r="B159" i="14"/>
  <c r="D154" i="14"/>
  <c r="J153" i="14"/>
  <c r="N172" i="2"/>
  <c r="N70" i="13"/>
  <c r="B102" i="28"/>
  <c r="N53" i="28"/>
  <c r="N55" i="28"/>
  <c r="C113" i="28"/>
  <c r="D101" i="29"/>
  <c r="N30" i="31"/>
  <c r="C92" i="31"/>
  <c r="N37" i="31"/>
  <c r="B85" i="32"/>
  <c r="D88" i="32"/>
  <c r="C91" i="32"/>
  <c r="C96" i="32"/>
  <c r="N30" i="34"/>
  <c r="D96" i="34"/>
  <c r="N29" i="37"/>
  <c r="D100" i="37"/>
  <c r="D108" i="37"/>
  <c r="N39" i="28"/>
  <c r="L90" i="32"/>
  <c r="J85" i="34"/>
  <c r="L85" i="34"/>
  <c r="H171" i="10"/>
  <c r="L171" i="10"/>
  <c r="D171" i="10"/>
  <c r="W181" i="9"/>
  <c r="W155" i="19"/>
  <c r="S175" i="14"/>
  <c r="T187" i="8"/>
  <c r="S187" i="8"/>
  <c r="U187" i="8"/>
  <c r="B127" i="6"/>
  <c r="B173" i="5"/>
  <c r="C173" i="5"/>
  <c r="N89" i="5"/>
  <c r="N106" i="8"/>
  <c r="B199" i="8"/>
  <c r="B192" i="5"/>
  <c r="N115" i="8"/>
  <c r="B203" i="3"/>
  <c r="C205" i="8"/>
  <c r="N120" i="8"/>
  <c r="B206" i="8"/>
  <c r="C172" i="2"/>
  <c r="C148" i="2"/>
  <c r="B171" i="3"/>
  <c r="H151" i="1"/>
  <c r="H194" i="1"/>
  <c r="W194" i="1"/>
  <c r="L180" i="1"/>
  <c r="J178" i="3"/>
  <c r="N11" i="5"/>
  <c r="N32" i="5"/>
  <c r="N60" i="7"/>
  <c r="U143" i="7"/>
  <c r="D143" i="7"/>
  <c r="W192" i="7"/>
  <c r="L192" i="7"/>
  <c r="N63" i="8"/>
  <c r="N25" i="15"/>
  <c r="B167" i="14"/>
  <c r="N46" i="31"/>
  <c r="N34" i="32"/>
  <c r="B100" i="32"/>
  <c r="N50" i="32"/>
  <c r="N36" i="34"/>
  <c r="C101" i="34"/>
  <c r="N22" i="37"/>
  <c r="L81" i="30"/>
  <c r="L98" i="29"/>
  <c r="J92" i="29"/>
  <c r="L98" i="31"/>
  <c r="L95" i="31"/>
  <c r="H104" i="32"/>
  <c r="J104" i="32"/>
  <c r="H86" i="32"/>
  <c r="L86" i="32"/>
  <c r="U188" i="12"/>
  <c r="L188" i="12"/>
  <c r="H188" i="12"/>
  <c r="D195" i="10"/>
  <c r="J209" i="9"/>
  <c r="H209" i="9"/>
  <c r="L209" i="9"/>
  <c r="T193" i="8"/>
  <c r="U193" i="8"/>
  <c r="S193" i="8"/>
  <c r="N105" i="8"/>
  <c r="J194" i="3"/>
  <c r="W194" i="3"/>
  <c r="C188" i="5"/>
  <c r="N109" i="5"/>
  <c r="D176" i="1"/>
  <c r="D154" i="1"/>
  <c r="J187" i="1"/>
  <c r="W187" i="1"/>
  <c r="L187" i="1"/>
  <c r="L177" i="5"/>
  <c r="D169" i="8"/>
  <c r="L203" i="15"/>
  <c r="D158" i="14"/>
  <c r="N25" i="14"/>
  <c r="J84" i="30"/>
  <c r="H84" i="30"/>
  <c r="D192" i="12"/>
  <c r="U188" i="8"/>
  <c r="S188" i="8"/>
  <c r="T188" i="8"/>
  <c r="B189" i="8"/>
  <c r="B194" i="8"/>
  <c r="B195" i="8"/>
  <c r="N104" i="8"/>
  <c r="D180" i="1"/>
  <c r="C185" i="1"/>
  <c r="N111" i="8"/>
  <c r="N113" i="8"/>
  <c r="N117" i="8"/>
  <c r="C206" i="8"/>
  <c r="N23" i="2"/>
  <c r="N29" i="3"/>
  <c r="B159" i="5"/>
  <c r="N41" i="5"/>
  <c r="J154" i="5"/>
  <c r="D154" i="5"/>
  <c r="S154" i="5"/>
  <c r="N17" i="7"/>
  <c r="J180" i="7"/>
  <c r="J148" i="7"/>
  <c r="B171" i="15"/>
  <c r="B89" i="32"/>
  <c r="N51" i="34"/>
  <c r="N51" i="36"/>
  <c r="D132" i="36"/>
  <c r="N53" i="37"/>
  <c r="L102" i="28"/>
  <c r="H102" i="28"/>
  <c r="J102" i="28"/>
  <c r="U196" i="9"/>
  <c r="S196" i="9"/>
  <c r="T196" i="9"/>
  <c r="S184" i="8"/>
  <c r="U184" i="8"/>
  <c r="T184" i="8"/>
  <c r="B185" i="8"/>
  <c r="T189" i="8"/>
  <c r="U189" i="8"/>
  <c r="S189" i="8"/>
  <c r="D195" i="8"/>
  <c r="T195" i="8"/>
  <c r="S195" i="8"/>
  <c r="U195" i="8"/>
  <c r="N103" i="8"/>
  <c r="T184" i="5"/>
  <c r="U184" i="5"/>
  <c r="S184" i="5"/>
  <c r="N107" i="8"/>
  <c r="N109" i="8"/>
  <c r="D201" i="8"/>
  <c r="D203" i="8"/>
  <c r="U204" i="8"/>
  <c r="S204" i="8"/>
  <c r="T204" i="8"/>
  <c r="C177" i="1"/>
  <c r="N62" i="1"/>
  <c r="B153" i="1"/>
  <c r="D175" i="3"/>
  <c r="N22" i="3"/>
  <c r="D162" i="3"/>
  <c r="C166" i="3"/>
  <c r="N54" i="3"/>
  <c r="W199" i="1"/>
  <c r="J186" i="1"/>
  <c r="J182" i="1"/>
  <c r="W161" i="3"/>
  <c r="C159" i="5"/>
  <c r="C169" i="7"/>
  <c r="N40" i="7"/>
  <c r="C146" i="7"/>
  <c r="H187" i="7"/>
  <c r="J168" i="7"/>
  <c r="L159" i="7"/>
  <c r="H159" i="7"/>
  <c r="W159" i="7"/>
  <c r="J159" i="7"/>
  <c r="W155" i="7"/>
  <c r="H144" i="7"/>
  <c r="L144" i="7"/>
  <c r="N9" i="8"/>
  <c r="N20" i="8"/>
  <c r="C159" i="8"/>
  <c r="C169" i="15"/>
  <c r="N67" i="14"/>
  <c r="N152" i="2"/>
  <c r="N46" i="28"/>
  <c r="D102" i="29"/>
  <c r="C81" i="30"/>
  <c r="B82" i="31"/>
  <c r="N25" i="31"/>
  <c r="N23" i="32"/>
  <c r="B91" i="32"/>
  <c r="B93" i="32"/>
  <c r="E93" i="32" s="1"/>
  <c r="N27" i="32"/>
  <c r="N37" i="32"/>
  <c r="D98" i="32"/>
  <c r="D104" i="32"/>
  <c r="N33" i="34"/>
  <c r="C96" i="34"/>
  <c r="N49" i="34"/>
  <c r="N36" i="35"/>
  <c r="B132" i="35"/>
  <c r="N50" i="28"/>
  <c r="L91" i="32"/>
  <c r="J91" i="32"/>
  <c r="L177" i="11"/>
  <c r="J177" i="11"/>
  <c r="N115" i="11"/>
  <c r="D212" i="10"/>
  <c r="C196" i="9"/>
  <c r="U178" i="21"/>
  <c r="S178" i="21"/>
  <c r="T178" i="21"/>
  <c r="H178" i="21"/>
  <c r="B188" i="13"/>
  <c r="T185" i="8"/>
  <c r="U185" i="8"/>
  <c r="S185" i="8"/>
  <c r="L185" i="5"/>
  <c r="S185" i="5"/>
  <c r="B192" i="1"/>
  <c r="D200" i="8"/>
  <c r="C201" i="8"/>
  <c r="C203" i="8"/>
  <c r="B177" i="1"/>
  <c r="B171" i="1"/>
  <c r="D156" i="1"/>
  <c r="C147" i="2"/>
  <c r="C153" i="3"/>
  <c r="N27" i="3"/>
  <c r="C174" i="3"/>
  <c r="W189" i="1"/>
  <c r="W169" i="5"/>
  <c r="U169" i="5"/>
  <c r="S169" i="5"/>
  <c r="C148" i="7"/>
  <c r="L147" i="7"/>
  <c r="J147" i="7"/>
  <c r="H147" i="7"/>
  <c r="B165" i="8"/>
  <c r="C176" i="15"/>
  <c r="D162" i="15"/>
  <c r="N23" i="30"/>
  <c r="C82" i="30"/>
  <c r="D91" i="31"/>
  <c r="N40" i="32"/>
  <c r="N20" i="34"/>
  <c r="D101" i="37"/>
  <c r="D97" i="38"/>
  <c r="C101" i="38"/>
  <c r="N37" i="38"/>
  <c r="B102" i="38"/>
  <c r="H111" i="28"/>
  <c r="L111" i="28"/>
  <c r="H92" i="28"/>
  <c r="L92" i="28"/>
  <c r="C97" i="34"/>
  <c r="H195" i="13"/>
  <c r="C164" i="1"/>
  <c r="D152" i="1"/>
  <c r="C165" i="3"/>
  <c r="H181" i="1"/>
  <c r="H156" i="5"/>
  <c r="L152" i="7"/>
  <c r="L206" i="8"/>
  <c r="H206" i="8"/>
  <c r="J206" i="8"/>
  <c r="L202" i="8"/>
  <c r="H202" i="8"/>
  <c r="J202" i="8"/>
  <c r="L198" i="8"/>
  <c r="H198" i="8"/>
  <c r="J198" i="8"/>
  <c r="L194" i="8"/>
  <c r="H194" i="8"/>
  <c r="J194" i="8"/>
  <c r="L190" i="8"/>
  <c r="J190" i="8"/>
  <c r="H190" i="8"/>
  <c r="L186" i="8"/>
  <c r="J186" i="8"/>
  <c r="H186" i="8"/>
  <c r="L182" i="8"/>
  <c r="J182" i="8"/>
  <c r="H182" i="8"/>
  <c r="L178" i="8"/>
  <c r="H178" i="8"/>
  <c r="J178" i="8"/>
  <c r="J167" i="8"/>
  <c r="H167" i="8"/>
  <c r="L167" i="8"/>
  <c r="J157" i="8"/>
  <c r="L157" i="8"/>
  <c r="H157" i="8"/>
  <c r="L184" i="14"/>
  <c r="H164" i="14"/>
  <c r="L164" i="14"/>
  <c r="B97" i="28"/>
  <c r="N7" i="31"/>
  <c r="B89" i="31"/>
  <c r="D94" i="31"/>
  <c r="N48" i="32"/>
  <c r="C93" i="34"/>
  <c r="N7" i="38"/>
  <c r="C92" i="38"/>
  <c r="N15" i="38"/>
  <c r="C100" i="38"/>
  <c r="D106" i="38"/>
  <c r="J107" i="28"/>
  <c r="L107" i="28"/>
  <c r="L98" i="28"/>
  <c r="J87" i="32"/>
  <c r="C129" i="36"/>
  <c r="H110" i="37"/>
  <c r="B143" i="12"/>
  <c r="N32" i="12"/>
  <c r="N42" i="12"/>
  <c r="N45" i="12"/>
  <c r="B165" i="12"/>
  <c r="N110" i="12"/>
  <c r="N144" i="12"/>
  <c r="N178" i="12"/>
  <c r="N17" i="11"/>
  <c r="S150" i="11"/>
  <c r="C150" i="11"/>
  <c r="U150" i="11"/>
  <c r="N29" i="11"/>
  <c r="D156" i="11"/>
  <c r="U162" i="11"/>
  <c r="C162" i="11"/>
  <c r="T162" i="11"/>
  <c r="B171" i="11"/>
  <c r="D178" i="11"/>
  <c r="D195" i="11"/>
  <c r="D196" i="11"/>
  <c r="W157" i="11"/>
  <c r="B187" i="10"/>
  <c r="C189" i="10"/>
  <c r="H190" i="10"/>
  <c r="N124" i="10"/>
  <c r="N16" i="9"/>
  <c r="D193" i="9"/>
  <c r="B195" i="9"/>
  <c r="L195" i="9"/>
  <c r="H203" i="9"/>
  <c r="D203" i="9"/>
  <c r="J205" i="9"/>
  <c r="N117" i="9"/>
  <c r="W166" i="9"/>
  <c r="N9" i="21"/>
  <c r="N16" i="21"/>
  <c r="N31" i="21"/>
  <c r="B154" i="21"/>
  <c r="J161" i="21"/>
  <c r="H161" i="21"/>
  <c r="L199" i="1"/>
  <c r="J178" i="1"/>
  <c r="J175" i="3"/>
  <c r="B160" i="5"/>
  <c r="T164" i="5"/>
  <c r="U150" i="5"/>
  <c r="H193" i="5"/>
  <c r="J193" i="5"/>
  <c r="D152" i="7"/>
  <c r="N9" i="7"/>
  <c r="L151" i="7"/>
  <c r="H151" i="7"/>
  <c r="H173" i="8"/>
  <c r="J173" i="8"/>
  <c r="L173" i="8"/>
  <c r="J166" i="8"/>
  <c r="L166" i="8"/>
  <c r="H166" i="8"/>
  <c r="J163" i="8"/>
  <c r="L163" i="8"/>
  <c r="H163" i="8"/>
  <c r="L159" i="8"/>
  <c r="J159" i="8"/>
  <c r="H159" i="8"/>
  <c r="L160" i="14"/>
  <c r="C98" i="28"/>
  <c r="N40" i="28"/>
  <c r="N15" i="30"/>
  <c r="D98" i="31"/>
  <c r="B101" i="31"/>
  <c r="B98" i="34"/>
  <c r="N23" i="36"/>
  <c r="D121" i="36"/>
  <c r="C95" i="38"/>
  <c r="N26" i="38"/>
  <c r="C104" i="38"/>
  <c r="H103" i="29"/>
  <c r="N16" i="32"/>
  <c r="H94" i="34"/>
  <c r="J94" i="34"/>
  <c r="B134" i="36"/>
  <c r="H116" i="36"/>
  <c r="L116" i="36"/>
  <c r="D187" i="13"/>
  <c r="N38" i="12"/>
  <c r="N52" i="12"/>
  <c r="C164" i="12"/>
  <c r="L191" i="12"/>
  <c r="D191" i="12"/>
  <c r="T191" i="12"/>
  <c r="N189" i="12"/>
  <c r="L191" i="11"/>
  <c r="U196" i="11"/>
  <c r="T196" i="11"/>
  <c r="S196" i="11"/>
  <c r="N14" i="10"/>
  <c r="B199" i="10"/>
  <c r="N121" i="10"/>
  <c r="D219" i="10"/>
  <c r="C219" i="10"/>
  <c r="N15" i="9"/>
  <c r="N22" i="9"/>
  <c r="N51" i="9"/>
  <c r="N56" i="9"/>
  <c r="D183" i="9"/>
  <c r="D196" i="9"/>
  <c r="W162" i="9"/>
  <c r="N13" i="21"/>
  <c r="N70" i="19"/>
  <c r="N86" i="23"/>
  <c r="J176" i="1"/>
  <c r="L176" i="1"/>
  <c r="J191" i="1"/>
  <c r="J174" i="5"/>
  <c r="J158" i="7"/>
  <c r="L148" i="7"/>
  <c r="H204" i="8"/>
  <c r="J204" i="8"/>
  <c r="L204" i="8"/>
  <c r="J200" i="8"/>
  <c r="H200" i="8"/>
  <c r="L200" i="8"/>
  <c r="J196" i="8"/>
  <c r="L196" i="8"/>
  <c r="H196" i="8"/>
  <c r="H192" i="8"/>
  <c r="J192" i="8"/>
  <c r="L192" i="8"/>
  <c r="J188" i="8"/>
  <c r="L188" i="8"/>
  <c r="H188" i="8"/>
  <c r="J184" i="8"/>
  <c r="L184" i="8"/>
  <c r="H184" i="8"/>
  <c r="H180" i="8"/>
  <c r="J180" i="8"/>
  <c r="L180" i="8"/>
  <c r="J169" i="8"/>
  <c r="H169" i="8"/>
  <c r="L169" i="8"/>
  <c r="L158" i="8"/>
  <c r="H158" i="8"/>
  <c r="J158" i="8"/>
  <c r="L155" i="8"/>
  <c r="J155" i="8"/>
  <c r="H155" i="8"/>
  <c r="D100" i="38"/>
  <c r="J104" i="28"/>
  <c r="H104" i="28"/>
  <c r="J95" i="31"/>
  <c r="D99" i="34"/>
  <c r="H97" i="34"/>
  <c r="J84" i="34"/>
  <c r="H84" i="34"/>
  <c r="J181" i="1"/>
  <c r="B187" i="13"/>
  <c r="H183" i="13"/>
  <c r="H148" i="7"/>
  <c r="J142" i="7"/>
  <c r="N26" i="11"/>
  <c r="C154" i="11"/>
  <c r="J153" i="11"/>
  <c r="U177" i="10"/>
  <c r="D177" i="10"/>
  <c r="S177" i="10"/>
  <c r="N102" i="21"/>
  <c r="B190" i="21"/>
  <c r="C160" i="1"/>
  <c r="L148" i="1"/>
  <c r="W148" i="1"/>
  <c r="H148" i="1"/>
  <c r="J193" i="1"/>
  <c r="J188" i="1"/>
  <c r="H188" i="1"/>
  <c r="H173" i="3"/>
  <c r="H186" i="5"/>
  <c r="W193" i="7"/>
  <c r="W166" i="7"/>
  <c r="H155" i="7"/>
  <c r="H153" i="7"/>
  <c r="N66" i="8"/>
  <c r="J176" i="8"/>
  <c r="L176" i="8"/>
  <c r="H176" i="8"/>
  <c r="H172" i="8"/>
  <c r="J172" i="8"/>
  <c r="L172" i="8"/>
  <c r="J162" i="8"/>
  <c r="L162" i="8"/>
  <c r="H162" i="8"/>
  <c r="B155" i="14"/>
  <c r="H196" i="14"/>
  <c r="J196" i="14"/>
  <c r="L196" i="14"/>
  <c r="B101" i="38"/>
  <c r="H92" i="31"/>
  <c r="L92" i="31"/>
  <c r="L87" i="32"/>
  <c r="J93" i="34"/>
  <c r="H102" i="37"/>
  <c r="J102" i="37"/>
  <c r="B146" i="12"/>
  <c r="N89" i="12"/>
  <c r="N103" i="12"/>
  <c r="D154" i="11"/>
  <c r="D192" i="11"/>
  <c r="L153" i="11"/>
  <c r="W163" i="11"/>
  <c r="B185" i="9"/>
  <c r="N61" i="9"/>
  <c r="C192" i="9"/>
  <c r="N75" i="9"/>
  <c r="L148" i="24"/>
  <c r="H148" i="24"/>
  <c r="J148" i="24"/>
  <c r="B160" i="1"/>
  <c r="H200" i="1"/>
  <c r="L200" i="1"/>
  <c r="H198" i="1"/>
  <c r="H179" i="1"/>
  <c r="N49" i="5"/>
  <c r="B150" i="5"/>
  <c r="L164" i="7"/>
  <c r="J162" i="7"/>
  <c r="L162" i="7"/>
  <c r="H162" i="7"/>
  <c r="D154" i="8"/>
  <c r="D159" i="8"/>
  <c r="J154" i="8"/>
  <c r="H154" i="8"/>
  <c r="J203" i="8"/>
  <c r="H203" i="8"/>
  <c r="L203" i="8"/>
  <c r="J199" i="8"/>
  <c r="L199" i="8"/>
  <c r="H199" i="8"/>
  <c r="J195" i="8"/>
  <c r="L195" i="8"/>
  <c r="H195" i="8"/>
  <c r="J191" i="8"/>
  <c r="L191" i="8"/>
  <c r="H191" i="8"/>
  <c r="J187" i="8"/>
  <c r="L187" i="8"/>
  <c r="H187" i="8"/>
  <c r="H183" i="8"/>
  <c r="J183" i="8"/>
  <c r="L183" i="8"/>
  <c r="J179" i="8"/>
  <c r="L179" i="8"/>
  <c r="H179" i="8"/>
  <c r="H168" i="8"/>
  <c r="J168" i="8"/>
  <c r="L168" i="8"/>
  <c r="L165" i="8"/>
  <c r="H165" i="8"/>
  <c r="J165" i="8"/>
  <c r="J149" i="14"/>
  <c r="D87" i="34"/>
  <c r="N44" i="38"/>
  <c r="N51" i="38"/>
  <c r="H96" i="28"/>
  <c r="L96" i="28"/>
  <c r="L105" i="32"/>
  <c r="H105" i="32"/>
  <c r="J105" i="32"/>
  <c r="L96" i="34"/>
  <c r="J96" i="34"/>
  <c r="C132" i="36"/>
  <c r="J156" i="12"/>
  <c r="D156" i="12"/>
  <c r="L156" i="12"/>
  <c r="U156" i="12"/>
  <c r="J186" i="12"/>
  <c r="C186" i="12"/>
  <c r="S186" i="12"/>
  <c r="N105" i="12"/>
  <c r="W159" i="12"/>
  <c r="N182" i="12"/>
  <c r="N10" i="11"/>
  <c r="W197" i="11"/>
  <c r="D167" i="10"/>
  <c r="D175" i="10"/>
  <c r="N40" i="10"/>
  <c r="N49" i="10"/>
  <c r="C190" i="10"/>
  <c r="N76" i="10"/>
  <c r="N80" i="10"/>
  <c r="N92" i="10"/>
  <c r="C173" i="9"/>
  <c r="J176" i="9"/>
  <c r="U187" i="9"/>
  <c r="S187" i="9"/>
  <c r="B207" i="9"/>
  <c r="N111" i="9"/>
  <c r="C145" i="21"/>
  <c r="D153" i="21"/>
  <c r="D162" i="17"/>
  <c r="N96" i="25"/>
  <c r="B189" i="25"/>
  <c r="D158" i="1"/>
  <c r="L168" i="1"/>
  <c r="J168" i="1"/>
  <c r="W168" i="1"/>
  <c r="H195" i="1"/>
  <c r="J190" i="1"/>
  <c r="H143" i="5"/>
  <c r="H142" i="7"/>
  <c r="L193" i="7"/>
  <c r="J150" i="7"/>
  <c r="L150" i="7"/>
  <c r="N13" i="8"/>
  <c r="N18" i="8"/>
  <c r="J175" i="8"/>
  <c r="L175" i="8"/>
  <c r="H175" i="8"/>
  <c r="J171" i="8"/>
  <c r="H171" i="8"/>
  <c r="L171" i="8"/>
  <c r="J161" i="8"/>
  <c r="L161" i="8"/>
  <c r="H161" i="8"/>
  <c r="B97" i="31"/>
  <c r="N7" i="34"/>
  <c r="N12" i="38"/>
  <c r="D93" i="38"/>
  <c r="H99" i="29"/>
  <c r="J99" i="31"/>
  <c r="J94" i="31"/>
  <c r="L84" i="32"/>
  <c r="H84" i="32"/>
  <c r="L99" i="34"/>
  <c r="L208" i="13"/>
  <c r="H191" i="13"/>
  <c r="L174" i="5"/>
  <c r="N8" i="12"/>
  <c r="C142" i="12"/>
  <c r="N53" i="12"/>
  <c r="C169" i="12"/>
  <c r="N83" i="12"/>
  <c r="C188" i="12"/>
  <c r="L145" i="11"/>
  <c r="J145" i="11"/>
  <c r="N98" i="11"/>
  <c r="N104" i="11"/>
  <c r="N107" i="11"/>
  <c r="D194" i="11"/>
  <c r="C196" i="11"/>
  <c r="H167" i="10"/>
  <c r="D210" i="10"/>
  <c r="J192" i="9"/>
  <c r="N55" i="21"/>
  <c r="C166" i="21"/>
  <c r="B205" i="19"/>
  <c r="N115" i="19"/>
  <c r="C152" i="17"/>
  <c r="N23" i="17"/>
  <c r="H138" i="26"/>
  <c r="S138" i="26"/>
  <c r="N94" i="25"/>
  <c r="D188" i="25"/>
  <c r="J187" i="13"/>
  <c r="S177" i="12"/>
  <c r="L184" i="12"/>
  <c r="T190" i="11"/>
  <c r="H218" i="10"/>
  <c r="B196" i="9"/>
  <c r="S203" i="9"/>
  <c r="N46" i="21"/>
  <c r="N74" i="21"/>
  <c r="H177" i="21"/>
  <c r="D178" i="21"/>
  <c r="N81" i="21"/>
  <c r="L185" i="21"/>
  <c r="C186" i="21"/>
  <c r="C175" i="19"/>
  <c r="L187" i="19"/>
  <c r="U187" i="19"/>
  <c r="D187" i="19"/>
  <c r="T187" i="19"/>
  <c r="S187" i="19"/>
  <c r="U191" i="19"/>
  <c r="S191" i="19"/>
  <c r="N95" i="19"/>
  <c r="L198" i="19"/>
  <c r="D199" i="19"/>
  <c r="N110" i="19"/>
  <c r="J194" i="19"/>
  <c r="C155" i="18"/>
  <c r="J164" i="18"/>
  <c r="N52" i="18"/>
  <c r="J170" i="18"/>
  <c r="H171" i="18"/>
  <c r="J171" i="18"/>
  <c r="D176" i="18"/>
  <c r="C200" i="18"/>
  <c r="W180" i="18"/>
  <c r="N18" i="17"/>
  <c r="B151" i="17"/>
  <c r="N43" i="17"/>
  <c r="L167" i="17"/>
  <c r="C170" i="17"/>
  <c r="N70" i="17"/>
  <c r="B179" i="17"/>
  <c r="D181" i="17"/>
  <c r="C185" i="17"/>
  <c r="N55" i="24"/>
  <c r="N66" i="24"/>
  <c r="B95" i="34"/>
  <c r="J99" i="34"/>
  <c r="L105" i="37"/>
  <c r="L94" i="37"/>
  <c r="U171" i="12"/>
  <c r="U158" i="11"/>
  <c r="J163" i="11"/>
  <c r="B177" i="11"/>
  <c r="B184" i="11"/>
  <c r="S184" i="11"/>
  <c r="H163" i="9"/>
  <c r="B174" i="9"/>
  <c r="T183" i="9"/>
  <c r="T194" i="9"/>
  <c r="N124" i="9"/>
  <c r="N30" i="21"/>
  <c r="H163" i="21"/>
  <c r="J163" i="21"/>
  <c r="H183" i="21"/>
  <c r="L183" i="21"/>
  <c r="W161" i="21"/>
  <c r="W193" i="21"/>
  <c r="J155" i="19"/>
  <c r="N155" i="19" s="1"/>
  <c r="N19" i="19"/>
  <c r="N66" i="19"/>
  <c r="N78" i="19"/>
  <c r="N86" i="19"/>
  <c r="J151" i="18"/>
  <c r="N36" i="18"/>
  <c r="C163" i="18"/>
  <c r="H182" i="18"/>
  <c r="C190" i="18"/>
  <c r="D170" i="17"/>
  <c r="U170" i="17"/>
  <c r="S170" i="17"/>
  <c r="C176" i="17"/>
  <c r="N75" i="17"/>
  <c r="H182" i="17"/>
  <c r="N89" i="17"/>
  <c r="H185" i="17"/>
  <c r="L185" i="17"/>
  <c r="N95" i="17"/>
  <c r="N112" i="17"/>
  <c r="B196" i="17"/>
  <c r="N58" i="16"/>
  <c r="S164" i="25"/>
  <c r="U164" i="25"/>
  <c r="U187" i="24"/>
  <c r="T187" i="24"/>
  <c r="S187" i="24"/>
  <c r="C187" i="24"/>
  <c r="L200" i="13"/>
  <c r="J171" i="11"/>
  <c r="S188" i="11"/>
  <c r="L202" i="9"/>
  <c r="L156" i="21"/>
  <c r="D170" i="21"/>
  <c r="D179" i="21"/>
  <c r="B169" i="19"/>
  <c r="N38" i="19"/>
  <c r="C149" i="17"/>
  <c r="L182" i="24"/>
  <c r="J182" i="24"/>
  <c r="H182" i="24"/>
  <c r="C184" i="23"/>
  <c r="N74" i="23"/>
  <c r="T153" i="12"/>
  <c r="B154" i="12"/>
  <c r="N59" i="12"/>
  <c r="H145" i="12"/>
  <c r="H177" i="12"/>
  <c r="S158" i="11"/>
  <c r="D211" i="10"/>
  <c r="H176" i="9"/>
  <c r="C200" i="9"/>
  <c r="B211" i="9"/>
  <c r="C212" i="9"/>
  <c r="L191" i="21"/>
  <c r="J191" i="21"/>
  <c r="D167" i="19"/>
  <c r="L172" i="19"/>
  <c r="H172" i="19"/>
  <c r="D197" i="19"/>
  <c r="N111" i="19"/>
  <c r="B172" i="18"/>
  <c r="N58" i="18"/>
  <c r="W158" i="18"/>
  <c r="N9" i="17"/>
  <c r="L159" i="17"/>
  <c r="C187" i="17"/>
  <c r="L160" i="23"/>
  <c r="J160" i="23"/>
  <c r="C187" i="13"/>
  <c r="N46" i="12"/>
  <c r="T158" i="11"/>
  <c r="S176" i="11"/>
  <c r="L218" i="10"/>
  <c r="D212" i="9"/>
  <c r="C154" i="21"/>
  <c r="C155" i="21"/>
  <c r="N61" i="21"/>
  <c r="N66" i="21"/>
  <c r="H195" i="21"/>
  <c r="W156" i="21"/>
  <c r="W174" i="19"/>
  <c r="B175" i="19"/>
  <c r="D195" i="19"/>
  <c r="L197" i="19"/>
  <c r="D193" i="18"/>
  <c r="T163" i="18"/>
  <c r="C164" i="17"/>
  <c r="T176" i="17"/>
  <c r="W176" i="17" s="1"/>
  <c r="C184" i="17"/>
  <c r="W164" i="17"/>
  <c r="B129" i="26"/>
  <c r="L145" i="25"/>
  <c r="D145" i="25"/>
  <c r="C145" i="25"/>
  <c r="N36" i="38"/>
  <c r="N47" i="38"/>
  <c r="H200" i="9"/>
  <c r="J200" i="9"/>
  <c r="L200" i="9"/>
  <c r="H212" i="9"/>
  <c r="J212" i="9"/>
  <c r="L212" i="9"/>
  <c r="N63" i="21"/>
  <c r="N15" i="19"/>
  <c r="N27" i="19"/>
  <c r="U197" i="19"/>
  <c r="T197" i="19"/>
  <c r="S197" i="19"/>
  <c r="W198" i="19"/>
  <c r="W203" i="19"/>
  <c r="N32" i="18"/>
  <c r="N104" i="18"/>
  <c r="W155" i="18"/>
  <c r="C161" i="17"/>
  <c r="H173" i="17"/>
  <c r="C181" i="17"/>
  <c r="J166" i="23"/>
  <c r="H174" i="23"/>
  <c r="J174" i="23"/>
  <c r="T192" i="21"/>
  <c r="N22" i="19"/>
  <c r="B187" i="19"/>
  <c r="U193" i="19"/>
  <c r="U201" i="19"/>
  <c r="U146" i="17"/>
  <c r="S146" i="17"/>
  <c r="B156" i="17"/>
  <c r="T174" i="17"/>
  <c r="S174" i="17"/>
  <c r="J179" i="17"/>
  <c r="H179" i="17"/>
  <c r="N105" i="17"/>
  <c r="C194" i="17"/>
  <c r="B195" i="17"/>
  <c r="N110" i="17"/>
  <c r="T146" i="17"/>
  <c r="W137" i="16"/>
  <c r="N13" i="26"/>
  <c r="C131" i="26"/>
  <c r="D138" i="26"/>
  <c r="H140" i="26"/>
  <c r="C145" i="26"/>
  <c r="U145" i="26"/>
  <c r="D150" i="26"/>
  <c r="D164" i="25"/>
  <c r="B165" i="25"/>
  <c r="C175" i="25"/>
  <c r="N82" i="25"/>
  <c r="N88" i="25"/>
  <c r="N111" i="25"/>
  <c r="U145" i="24"/>
  <c r="T145" i="24"/>
  <c r="D145" i="24"/>
  <c r="S145" i="24"/>
  <c r="N27" i="24"/>
  <c r="U157" i="24"/>
  <c r="T157" i="24"/>
  <c r="J166" i="24"/>
  <c r="L166" i="24"/>
  <c r="L167" i="24"/>
  <c r="C179" i="24"/>
  <c r="N82" i="24"/>
  <c r="C184" i="24"/>
  <c r="H186" i="24"/>
  <c r="L187" i="24"/>
  <c r="W168" i="24"/>
  <c r="N40" i="23"/>
  <c r="N52" i="23"/>
  <c r="N106" i="23"/>
  <c r="B152" i="23"/>
  <c r="D176" i="22"/>
  <c r="W196" i="8"/>
  <c r="B165" i="21"/>
  <c r="S182" i="21"/>
  <c r="T184" i="21"/>
  <c r="T157" i="19"/>
  <c r="N34" i="19"/>
  <c r="H182" i="19"/>
  <c r="N102" i="19"/>
  <c r="B204" i="19"/>
  <c r="B206" i="19"/>
  <c r="U185" i="19"/>
  <c r="W185" i="19" s="1"/>
  <c r="N63" i="18"/>
  <c r="U179" i="18"/>
  <c r="T150" i="17"/>
  <c r="U158" i="17"/>
  <c r="S158" i="17"/>
  <c r="T168" i="17"/>
  <c r="S168" i="17"/>
  <c r="B172" i="17"/>
  <c r="B176" i="17"/>
  <c r="C192" i="17"/>
  <c r="W160" i="17"/>
  <c r="T188" i="17"/>
  <c r="W194" i="17"/>
  <c r="N60" i="16"/>
  <c r="C123" i="26"/>
  <c r="N21" i="25"/>
  <c r="N61" i="25"/>
  <c r="N79" i="25"/>
  <c r="D186" i="25"/>
  <c r="W169" i="25"/>
  <c r="N33" i="24"/>
  <c r="B157" i="24"/>
  <c r="L168" i="24"/>
  <c r="N81" i="24"/>
  <c r="U184" i="24"/>
  <c r="W147" i="24"/>
  <c r="W155" i="24"/>
  <c r="N14" i="23"/>
  <c r="N15" i="23"/>
  <c r="J156" i="23"/>
  <c r="N23" i="23"/>
  <c r="N27" i="23"/>
  <c r="D170" i="23"/>
  <c r="N67" i="23"/>
  <c r="C181" i="23"/>
  <c r="W200" i="8"/>
  <c r="U162" i="21"/>
  <c r="U157" i="19"/>
  <c r="N18" i="19"/>
  <c r="C194" i="19"/>
  <c r="B196" i="19"/>
  <c r="L205" i="19"/>
  <c r="J161" i="18"/>
  <c r="B179" i="18"/>
  <c r="S179" i="18"/>
  <c r="B146" i="17"/>
  <c r="N72" i="17"/>
  <c r="B178" i="17"/>
  <c r="U188" i="17"/>
  <c r="T143" i="16"/>
  <c r="S143" i="16"/>
  <c r="B153" i="16"/>
  <c r="J160" i="16"/>
  <c r="L165" i="16"/>
  <c r="H165" i="16"/>
  <c r="J165" i="16"/>
  <c r="D167" i="25"/>
  <c r="C170" i="25"/>
  <c r="C174" i="25"/>
  <c r="W148" i="25"/>
  <c r="B145" i="24"/>
  <c r="N26" i="24"/>
  <c r="C151" i="24"/>
  <c r="N41" i="24"/>
  <c r="C165" i="24"/>
  <c r="N54" i="24"/>
  <c r="L173" i="24"/>
  <c r="N173" i="24" s="1"/>
  <c r="S173" i="24"/>
  <c r="B181" i="24"/>
  <c r="N91" i="24"/>
  <c r="C193" i="24"/>
  <c r="J168" i="23"/>
  <c r="N51" i="23"/>
  <c r="C173" i="23"/>
  <c r="N64" i="23"/>
  <c r="N70" i="23"/>
  <c r="N82" i="23"/>
  <c r="C190" i="23"/>
  <c r="E190" i="23" s="1"/>
  <c r="S192" i="23"/>
  <c r="U192" i="23"/>
  <c r="N109" i="23"/>
  <c r="D164" i="22"/>
  <c r="S162" i="21"/>
  <c r="T167" i="19"/>
  <c r="C196" i="19"/>
  <c r="S167" i="19"/>
  <c r="D192" i="17"/>
  <c r="H196" i="17"/>
  <c r="T122" i="26"/>
  <c r="U122" i="26"/>
  <c r="S122" i="26"/>
  <c r="C196" i="25"/>
  <c r="D160" i="24"/>
  <c r="D165" i="24"/>
  <c r="N96" i="24"/>
  <c r="C186" i="24"/>
  <c r="B161" i="24"/>
  <c r="N19" i="22"/>
  <c r="C160" i="22"/>
  <c r="S188" i="21"/>
  <c r="D196" i="19"/>
  <c r="J206" i="19"/>
  <c r="S193" i="19"/>
  <c r="S201" i="19"/>
  <c r="N29" i="18"/>
  <c r="N19" i="17"/>
  <c r="U184" i="17"/>
  <c r="T184" i="17"/>
  <c r="J187" i="17"/>
  <c r="H187" i="17"/>
  <c r="N100" i="17"/>
  <c r="N111" i="17"/>
  <c r="W197" i="17"/>
  <c r="N22" i="26"/>
  <c r="J133" i="26"/>
  <c r="N33" i="26"/>
  <c r="W133" i="26"/>
  <c r="N27" i="25"/>
  <c r="C156" i="25"/>
  <c r="B164" i="25"/>
  <c r="J169" i="25"/>
  <c r="C180" i="25"/>
  <c r="N83" i="25"/>
  <c r="U186" i="25"/>
  <c r="S186" i="25"/>
  <c r="N97" i="25"/>
  <c r="B192" i="25"/>
  <c r="D196" i="25"/>
  <c r="W152" i="25"/>
  <c r="N18" i="24"/>
  <c r="N40" i="24"/>
  <c r="B158" i="24"/>
  <c r="L160" i="24"/>
  <c r="N69" i="24"/>
  <c r="N90" i="24"/>
  <c r="L192" i="24"/>
  <c r="W164" i="24"/>
  <c r="N48" i="23"/>
  <c r="L176" i="23"/>
  <c r="L154" i="23"/>
  <c r="N19" i="36"/>
  <c r="B168" i="19"/>
  <c r="C201" i="19"/>
  <c r="H189" i="17"/>
  <c r="L189" i="17"/>
  <c r="T158" i="17"/>
  <c r="N64" i="16"/>
  <c r="C122" i="26"/>
  <c r="N32" i="26"/>
  <c r="W126" i="26"/>
  <c r="N43" i="25"/>
  <c r="C164" i="25"/>
  <c r="N53" i="25"/>
  <c r="N57" i="25"/>
  <c r="D180" i="25"/>
  <c r="N45" i="24"/>
  <c r="C183" i="24"/>
  <c r="C188" i="24"/>
  <c r="W151" i="24"/>
  <c r="N26" i="23"/>
  <c r="C161" i="23"/>
  <c r="H168" i="23"/>
  <c r="T187" i="23"/>
  <c r="S187" i="23"/>
  <c r="C187" i="23"/>
  <c r="U187" i="23"/>
  <c r="D192" i="23"/>
  <c r="C196" i="23"/>
  <c r="S190" i="17"/>
  <c r="H122" i="26"/>
  <c r="J122" i="26"/>
  <c r="T188" i="25"/>
  <c r="T153" i="24"/>
  <c r="T181" i="24"/>
  <c r="N43" i="23"/>
  <c r="U171" i="23"/>
  <c r="T171" i="23"/>
  <c r="D177" i="23"/>
  <c r="B186" i="23"/>
  <c r="J194" i="23"/>
  <c r="H194" i="23"/>
  <c r="D201" i="23"/>
  <c r="W165" i="23"/>
  <c r="N11" i="22"/>
  <c r="N21" i="22"/>
  <c r="N29" i="22"/>
  <c r="C174" i="22"/>
  <c r="C176" i="22"/>
  <c r="B196" i="22"/>
  <c r="N102" i="22"/>
  <c r="C197" i="22"/>
  <c r="W179" i="22"/>
  <c r="W183" i="13"/>
  <c r="T131" i="36"/>
  <c r="S131" i="36"/>
  <c r="W109" i="28"/>
  <c r="B122" i="26"/>
  <c r="L123" i="26"/>
  <c r="L159" i="25"/>
  <c r="C172" i="25"/>
  <c r="B186" i="25"/>
  <c r="J181" i="25"/>
  <c r="J197" i="25"/>
  <c r="N12" i="24"/>
  <c r="B187" i="24"/>
  <c r="H160" i="24"/>
  <c r="D158" i="23"/>
  <c r="B177" i="23"/>
  <c r="T193" i="23"/>
  <c r="W170" i="23"/>
  <c r="U181" i="23"/>
  <c r="B158" i="22"/>
  <c r="C170" i="22"/>
  <c r="N63" i="22"/>
  <c r="N87" i="22"/>
  <c r="N114" i="22"/>
  <c r="W160" i="8"/>
  <c r="W168" i="8"/>
  <c r="W176" i="8"/>
  <c r="E84" i="33"/>
  <c r="N114" i="2"/>
  <c r="D198" i="2"/>
  <c r="J195" i="17"/>
  <c r="N14" i="26"/>
  <c r="D155" i="26"/>
  <c r="H159" i="25"/>
  <c r="H169" i="25"/>
  <c r="S178" i="25"/>
  <c r="J160" i="24"/>
  <c r="T175" i="24"/>
  <c r="T185" i="24"/>
  <c r="T189" i="24"/>
  <c r="S193" i="24"/>
  <c r="B194" i="23"/>
  <c r="T199" i="23"/>
  <c r="S199" i="23"/>
  <c r="U199" i="23"/>
  <c r="S140" i="16"/>
  <c r="N20" i="26"/>
  <c r="U182" i="25"/>
  <c r="J149" i="25"/>
  <c r="H153" i="25"/>
  <c r="T178" i="25"/>
  <c r="S169" i="24"/>
  <c r="T171" i="24"/>
  <c r="T193" i="24"/>
  <c r="L170" i="23"/>
  <c r="C174" i="23"/>
  <c r="B204" i="23"/>
  <c r="S179" i="23"/>
  <c r="B190" i="22"/>
  <c r="N54" i="25"/>
  <c r="J175" i="25"/>
  <c r="S182" i="25"/>
  <c r="T169" i="24"/>
  <c r="H176" i="24"/>
  <c r="B168" i="23"/>
  <c r="B199" i="23"/>
  <c r="S171" i="23"/>
  <c r="T179" i="23"/>
  <c r="B161" i="22"/>
  <c r="N23" i="22"/>
  <c r="N36" i="22"/>
  <c r="B174" i="13"/>
  <c r="N49" i="13"/>
  <c r="H91" i="28"/>
  <c r="T84" i="34"/>
  <c r="U84" i="34"/>
  <c r="L122" i="26"/>
  <c r="D122" i="26"/>
  <c r="L164" i="23"/>
  <c r="J164" i="23"/>
  <c r="H164" i="23"/>
  <c r="D169" i="23"/>
  <c r="H187" i="23"/>
  <c r="C193" i="23"/>
  <c r="C199" i="23"/>
  <c r="B177" i="22"/>
  <c r="N62" i="22"/>
  <c r="C179" i="22"/>
  <c r="N75" i="22"/>
  <c r="W177" i="15"/>
  <c r="W198" i="15"/>
  <c r="D161" i="13"/>
  <c r="W178" i="10"/>
  <c r="U196" i="19"/>
  <c r="T196" i="19"/>
  <c r="S196" i="19"/>
  <c r="W108" i="37"/>
  <c r="C140" i="35"/>
  <c r="W85" i="29"/>
  <c r="W89" i="31"/>
  <c r="W89" i="32"/>
  <c r="W206" i="15"/>
  <c r="W192" i="14"/>
  <c r="N56" i="13"/>
  <c r="W173" i="13"/>
  <c r="L174" i="22"/>
  <c r="H96" i="37"/>
  <c r="N75" i="35"/>
  <c r="N16" i="34"/>
  <c r="J89" i="34"/>
  <c r="H89" i="34"/>
  <c r="T87" i="34"/>
  <c r="U87" i="34"/>
  <c r="W88" i="34"/>
  <c r="L98" i="33"/>
  <c r="C124" i="36"/>
  <c r="W85" i="32"/>
  <c r="N7" i="9"/>
  <c r="N29" i="20"/>
  <c r="C138" i="20"/>
  <c r="T184" i="22"/>
  <c r="W191" i="10"/>
  <c r="L184" i="22"/>
  <c r="J168" i="22"/>
  <c r="L91" i="28"/>
  <c r="J91" i="28"/>
  <c r="W99" i="28"/>
  <c r="L134" i="35"/>
  <c r="D136" i="35"/>
  <c r="N33" i="36"/>
  <c r="N26" i="36"/>
  <c r="L153" i="19"/>
  <c r="J153" i="19"/>
  <c r="H153" i="19"/>
  <c r="N49" i="22"/>
  <c r="B158" i="13"/>
  <c r="L163" i="13"/>
  <c r="L108" i="38"/>
  <c r="W98" i="37"/>
  <c r="B95" i="33"/>
  <c r="N31" i="33"/>
  <c r="L100" i="33"/>
  <c r="J100" i="33"/>
  <c r="L85" i="31"/>
  <c r="H85" i="31"/>
  <c r="J157" i="13"/>
  <c r="H157" i="13"/>
  <c r="W186" i="13"/>
  <c r="B159" i="13"/>
  <c r="N10" i="13"/>
  <c r="H201" i="22"/>
  <c r="H176" i="22"/>
  <c r="N176" i="22" s="1"/>
  <c r="L167" i="22"/>
  <c r="H167" i="22"/>
  <c r="L161" i="22"/>
  <c r="J94" i="38"/>
  <c r="D129" i="35"/>
  <c r="W112" i="28"/>
  <c r="L128" i="35"/>
  <c r="H128" i="35"/>
  <c r="C135" i="35"/>
  <c r="D141" i="35"/>
  <c r="W87" i="30"/>
  <c r="J100" i="34"/>
  <c r="T100" i="34"/>
  <c r="S100" i="34"/>
  <c r="N35" i="33"/>
  <c r="H101" i="33"/>
  <c r="J88" i="31"/>
  <c r="H88" i="31"/>
  <c r="C198" i="11"/>
  <c r="N119" i="11"/>
  <c r="B158" i="26"/>
  <c r="W187" i="13"/>
  <c r="B175" i="13"/>
  <c r="J163" i="22"/>
  <c r="W95" i="38"/>
  <c r="W94" i="28"/>
  <c r="W113" i="28"/>
  <c r="N56" i="35"/>
  <c r="L92" i="38"/>
  <c r="N21" i="38"/>
  <c r="C85" i="33"/>
  <c r="B98" i="33"/>
  <c r="N43" i="33"/>
  <c r="N35" i="36"/>
  <c r="W96" i="29"/>
  <c r="L81" i="31"/>
  <c r="H81" i="31"/>
  <c r="N17" i="33"/>
  <c r="N23" i="33"/>
  <c r="B93" i="33"/>
  <c r="B91" i="33"/>
  <c r="D90" i="33"/>
  <c r="N24" i="34"/>
  <c r="N46" i="36"/>
  <c r="L99" i="37"/>
  <c r="J165" i="13"/>
  <c r="H142" i="5"/>
  <c r="J142" i="5"/>
  <c r="N7" i="13"/>
  <c r="T141" i="12"/>
  <c r="S141" i="12"/>
  <c r="N6" i="21"/>
  <c r="N6" i="22"/>
  <c r="C154" i="22"/>
  <c r="N10" i="20"/>
  <c r="N8" i="13"/>
  <c r="L90" i="38"/>
  <c r="U111" i="37"/>
  <c r="W111" i="37" s="1"/>
  <c r="S122" i="36"/>
  <c r="T85" i="30"/>
  <c r="J93" i="33"/>
  <c r="H93" i="33"/>
  <c r="L93" i="33"/>
  <c r="B97" i="33"/>
  <c r="W97" i="31"/>
  <c r="W96" i="32"/>
  <c r="W93" i="32"/>
  <c r="W86" i="33"/>
  <c r="N25" i="34"/>
  <c r="W121" i="35"/>
  <c r="C144" i="17"/>
  <c r="T141" i="24"/>
  <c r="U141" i="24"/>
  <c r="D141" i="12"/>
  <c r="D198" i="14"/>
  <c r="B144" i="20"/>
  <c r="N40" i="20"/>
  <c r="B210" i="13"/>
  <c r="J164" i="13"/>
  <c r="N164" i="13" s="1"/>
  <c r="N32" i="38"/>
  <c r="L94" i="38"/>
  <c r="T92" i="34"/>
  <c r="J96" i="33"/>
  <c r="J102" i="33"/>
  <c r="L102" i="33"/>
  <c r="C123" i="36"/>
  <c r="J82" i="31"/>
  <c r="L82" i="31"/>
  <c r="L90" i="31"/>
  <c r="H90" i="31"/>
  <c r="W97" i="32"/>
  <c r="H100" i="34"/>
  <c r="N42" i="35"/>
  <c r="B141" i="12"/>
  <c r="S142" i="21"/>
  <c r="J142" i="21"/>
  <c r="T142" i="21"/>
  <c r="B153" i="19"/>
  <c r="N6" i="19"/>
  <c r="N84" i="35"/>
  <c r="J94" i="33"/>
  <c r="H94" i="33"/>
  <c r="J98" i="33"/>
  <c r="J101" i="33"/>
  <c r="L101" i="33"/>
  <c r="B87" i="29"/>
  <c r="W93" i="31"/>
  <c r="N8" i="37"/>
  <c r="C92" i="37"/>
  <c r="B153" i="8"/>
  <c r="D144" i="25"/>
  <c r="N6" i="25"/>
  <c r="B141" i="24"/>
  <c r="L215" i="15"/>
  <c r="J215" i="15"/>
  <c r="B166" i="16"/>
  <c r="C137" i="20"/>
  <c r="J161" i="13"/>
  <c r="J103" i="38"/>
  <c r="L100" i="38"/>
  <c r="W106" i="38"/>
  <c r="C91" i="28"/>
  <c r="L91" i="33"/>
  <c r="L83" i="32"/>
  <c r="W83" i="32"/>
  <c r="D91" i="34"/>
  <c r="N26" i="34"/>
  <c r="C99" i="37"/>
  <c r="N6" i="5"/>
  <c r="C142" i="5"/>
  <c r="L157" i="13"/>
  <c r="C159" i="9"/>
  <c r="L142" i="5"/>
  <c r="U141" i="12"/>
  <c r="C141" i="24"/>
  <c r="L166" i="16"/>
  <c r="E205" i="23"/>
  <c r="C96" i="38"/>
  <c r="J95" i="33"/>
  <c r="H95" i="33"/>
  <c r="L99" i="33"/>
  <c r="J99" i="33"/>
  <c r="B102" i="33"/>
  <c r="N21" i="36"/>
  <c r="C91" i="33"/>
  <c r="H92" i="37"/>
  <c r="L141" i="12"/>
  <c r="J141" i="12"/>
  <c r="H141" i="12"/>
  <c r="N123" i="8"/>
  <c r="C207" i="8"/>
  <c r="U166" i="16"/>
  <c r="T166" i="16"/>
  <c r="S166" i="16"/>
  <c r="T107" i="29"/>
  <c r="U107" i="29"/>
  <c r="J149" i="20"/>
  <c r="H149" i="20"/>
  <c r="L149" i="20"/>
  <c r="N6" i="7"/>
  <c r="L159" i="9"/>
  <c r="H159" i="9"/>
  <c r="D153" i="19"/>
  <c r="L144" i="17"/>
  <c r="J144" i="17"/>
  <c r="H144" i="17"/>
  <c r="C144" i="25"/>
  <c r="R6" i="24"/>
  <c r="U151" i="23"/>
  <c r="S151" i="23"/>
  <c r="T151" i="23"/>
  <c r="U144" i="11"/>
  <c r="W159" i="9"/>
  <c r="J147" i="18"/>
  <c r="W144" i="17"/>
  <c r="J151" i="23"/>
  <c r="N126" i="15"/>
  <c r="N115" i="12"/>
  <c r="C196" i="21"/>
  <c r="W207" i="19"/>
  <c r="W201" i="18"/>
  <c r="J198" i="17"/>
  <c r="H198" i="17"/>
  <c r="J114" i="37"/>
  <c r="B105" i="32"/>
  <c r="N13" i="20"/>
  <c r="C134" i="20"/>
  <c r="H139" i="20"/>
  <c r="J139" i="20"/>
  <c r="N41" i="20"/>
  <c r="C150" i="20"/>
  <c r="N52" i="20"/>
  <c r="L154" i="20"/>
  <c r="J154" i="20"/>
  <c r="H154" i="20"/>
  <c r="B156" i="20"/>
  <c r="S153" i="19"/>
  <c r="U153" i="19"/>
  <c r="W206" i="3"/>
  <c r="H215" i="15"/>
  <c r="C198" i="14"/>
  <c r="N131" i="9"/>
  <c r="J196" i="21"/>
  <c r="N125" i="22"/>
  <c r="L128" i="20"/>
  <c r="J128" i="20"/>
  <c r="H128" i="20"/>
  <c r="L146" i="20"/>
  <c r="J146" i="20"/>
  <c r="H146" i="20"/>
  <c r="B145" i="20"/>
  <c r="N6" i="17"/>
  <c r="B151" i="23"/>
  <c r="J153" i="8"/>
  <c r="J144" i="25"/>
  <c r="H213" i="9"/>
  <c r="L207" i="19"/>
  <c r="H166" i="16"/>
  <c r="N132" i="10"/>
  <c r="N7" i="20"/>
  <c r="L129" i="20"/>
  <c r="N26" i="20"/>
  <c r="C143" i="20"/>
  <c r="N38" i="20"/>
  <c r="N81" i="20"/>
  <c r="U165" i="20"/>
  <c r="T165" i="20"/>
  <c r="S165" i="20"/>
  <c r="L166" i="20"/>
  <c r="J166" i="20"/>
  <c r="H166" i="20"/>
  <c r="N92" i="20"/>
  <c r="B170" i="20"/>
  <c r="N100" i="20"/>
  <c r="B174" i="20"/>
  <c r="H135" i="20"/>
  <c r="L83" i="31"/>
  <c r="J207" i="19"/>
  <c r="H207" i="19"/>
  <c r="B201" i="18"/>
  <c r="D166" i="16"/>
  <c r="J166" i="16"/>
  <c r="L136" i="20"/>
  <c r="J136" i="20"/>
  <c r="H136" i="20"/>
  <c r="S142" i="20"/>
  <c r="U142" i="20"/>
  <c r="T142" i="20"/>
  <c r="J135" i="20"/>
  <c r="W146" i="20"/>
  <c r="N86" i="16"/>
  <c r="C167" i="16"/>
  <c r="D151" i="23"/>
  <c r="T153" i="19"/>
  <c r="D114" i="28"/>
  <c r="N57" i="28"/>
  <c r="B211" i="13"/>
  <c r="N128" i="13"/>
  <c r="C213" i="9"/>
  <c r="C166" i="16"/>
  <c r="C106" i="32"/>
  <c r="B104" i="33"/>
  <c r="B143" i="35"/>
  <c r="H220" i="10"/>
  <c r="J220" i="10"/>
  <c r="L220" i="10"/>
  <c r="J137" i="20"/>
  <c r="N35" i="20"/>
  <c r="H143" i="20"/>
  <c r="J143" i="20"/>
  <c r="L143" i="20"/>
  <c r="D144" i="20"/>
  <c r="N57" i="20"/>
  <c r="L153" i="20"/>
  <c r="N62" i="20"/>
  <c r="N75" i="20"/>
  <c r="L168" i="20"/>
  <c r="J168" i="20"/>
  <c r="H168" i="20"/>
  <c r="J169" i="20"/>
  <c r="H169" i="20"/>
  <c r="L169" i="20"/>
  <c r="L139" i="20"/>
  <c r="W89" i="38"/>
  <c r="H142" i="21"/>
  <c r="B144" i="25"/>
  <c r="J114" i="28"/>
  <c r="L114" i="28"/>
  <c r="H211" i="13"/>
  <c r="L211" i="13"/>
  <c r="N130" i="9"/>
  <c r="T196" i="21"/>
  <c r="S196" i="21"/>
  <c r="J104" i="34"/>
  <c r="C143" i="35"/>
  <c r="N8" i="20"/>
  <c r="L132" i="20"/>
  <c r="J132" i="20"/>
  <c r="H132" i="20"/>
  <c r="N18" i="20"/>
  <c r="B151" i="20"/>
  <c r="N54" i="20"/>
  <c r="U153" i="20"/>
  <c r="T153" i="20"/>
  <c r="S153" i="20"/>
  <c r="H153" i="20"/>
  <c r="S162" i="20"/>
  <c r="T162" i="20"/>
  <c r="C130" i="20"/>
  <c r="H195" i="12"/>
  <c r="L213" i="9"/>
  <c r="J208" i="22"/>
  <c r="C109" i="38"/>
  <c r="U127" i="20"/>
  <c r="T127" i="20"/>
  <c r="S127" i="20"/>
  <c r="B129" i="20"/>
  <c r="D135" i="20"/>
  <c r="L138" i="20"/>
  <c r="J138" i="20"/>
  <c r="C139" i="20"/>
  <c r="B140" i="20"/>
  <c r="L142" i="20"/>
  <c r="J142" i="20"/>
  <c r="U145" i="20"/>
  <c r="T145" i="20"/>
  <c r="D149" i="20"/>
  <c r="B150" i="20"/>
  <c r="D153" i="20"/>
  <c r="N60" i="20"/>
  <c r="L157" i="20"/>
  <c r="J157" i="20"/>
  <c r="H157" i="20"/>
  <c r="L165" i="20"/>
  <c r="C167" i="20"/>
  <c r="W128" i="20"/>
  <c r="J131" i="20"/>
  <c r="L137" i="20"/>
  <c r="W140" i="20"/>
  <c r="H208" i="19"/>
  <c r="J208" i="19"/>
  <c r="L208" i="19"/>
  <c r="L195" i="12"/>
  <c r="B213" i="9"/>
  <c r="H201" i="18"/>
  <c r="L108" i="29"/>
  <c r="J108" i="29"/>
  <c r="H108" i="29"/>
  <c r="N53" i="38"/>
  <c r="J106" i="32"/>
  <c r="D133" i="20"/>
  <c r="D137" i="20"/>
  <c r="L140" i="20"/>
  <c r="J140" i="20"/>
  <c r="C141" i="20"/>
  <c r="H147" i="20"/>
  <c r="C148" i="20"/>
  <c r="L151" i="20"/>
  <c r="B152" i="20"/>
  <c r="C156" i="20"/>
  <c r="J159" i="20"/>
  <c r="L163" i="20"/>
  <c r="J163" i="20"/>
  <c r="B164" i="20"/>
  <c r="N87" i="20"/>
  <c r="N89" i="20"/>
  <c r="L172" i="20"/>
  <c r="J172" i="20"/>
  <c r="H172" i="20"/>
  <c r="L173" i="20"/>
  <c r="J173" i="20"/>
  <c r="J129" i="20"/>
  <c r="W130" i="20"/>
  <c r="H133" i="20"/>
  <c r="W138" i="20"/>
  <c r="J141" i="20"/>
  <c r="J151" i="20"/>
  <c r="S156" i="20"/>
  <c r="N130" i="13"/>
  <c r="H107" i="32"/>
  <c r="L107" i="32"/>
  <c r="J107" i="32"/>
  <c r="W197" i="21"/>
  <c r="J144" i="35"/>
  <c r="L144" i="35"/>
  <c r="B159" i="26"/>
  <c r="N80" i="26"/>
  <c r="U196" i="5"/>
  <c r="B215" i="15"/>
  <c r="J195" i="12"/>
  <c r="H198" i="11"/>
  <c r="H198" i="25"/>
  <c r="D220" i="10"/>
  <c r="N54" i="38"/>
  <c r="H109" i="38"/>
  <c r="B131" i="20"/>
  <c r="D141" i="20"/>
  <c r="B142" i="20"/>
  <c r="L144" i="20"/>
  <c r="J144" i="20"/>
  <c r="C145" i="20"/>
  <c r="D148" i="20"/>
  <c r="U151" i="20"/>
  <c r="T151" i="20"/>
  <c r="S151" i="20"/>
  <c r="C152" i="20"/>
  <c r="L155" i="20"/>
  <c r="U159" i="20"/>
  <c r="T159" i="20"/>
  <c r="S159" i="20"/>
  <c r="C164" i="20"/>
  <c r="B128" i="20"/>
  <c r="J133" i="20"/>
  <c r="J147" i="20"/>
  <c r="T156" i="20"/>
  <c r="S201" i="1"/>
  <c r="H202" i="18"/>
  <c r="J202" i="18"/>
  <c r="J201" i="18"/>
  <c r="J198" i="25"/>
  <c r="L130" i="20"/>
  <c r="J130" i="20"/>
  <c r="H130" i="20"/>
  <c r="C131" i="20"/>
  <c r="N16" i="20"/>
  <c r="B135" i="20"/>
  <c r="U137" i="20"/>
  <c r="T137" i="20"/>
  <c r="S137" i="20"/>
  <c r="N30" i="20"/>
  <c r="H141" i="20"/>
  <c r="N44" i="20"/>
  <c r="H148" i="20"/>
  <c r="B149" i="20"/>
  <c r="D152" i="20"/>
  <c r="L160" i="20"/>
  <c r="J160" i="20"/>
  <c r="H160" i="20"/>
  <c r="B162" i="20"/>
  <c r="D164" i="20"/>
  <c r="N101" i="20"/>
  <c r="W134" i="20"/>
  <c r="H137" i="20"/>
  <c r="H144" i="20"/>
  <c r="L147" i="20"/>
  <c r="J208" i="8"/>
  <c r="H208" i="8"/>
  <c r="L208" i="8"/>
  <c r="N126" i="8"/>
  <c r="W101" i="33"/>
  <c r="C220" i="10"/>
  <c r="L134" i="20"/>
  <c r="J134" i="20"/>
  <c r="H134" i="20"/>
  <c r="H145" i="20"/>
  <c r="U148" i="20"/>
  <c r="T148" i="20"/>
  <c r="L152" i="20"/>
  <c r="J152" i="20"/>
  <c r="H152" i="20"/>
  <c r="N63" i="20"/>
  <c r="C162" i="20"/>
  <c r="N84" i="20"/>
  <c r="C166" i="20"/>
  <c r="B167" i="20"/>
  <c r="N86" i="20"/>
  <c r="H140" i="20"/>
  <c r="W144" i="20"/>
  <c r="L202" i="18"/>
  <c r="L156" i="20"/>
  <c r="J156" i="20"/>
  <c r="H156" i="20"/>
  <c r="L162" i="20"/>
  <c r="J162" i="20"/>
  <c r="H162" i="20"/>
  <c r="B169" i="20"/>
  <c r="L159" i="20"/>
  <c r="J161" i="20"/>
  <c r="B168" i="20"/>
  <c r="J171" i="20"/>
  <c r="W172" i="20"/>
  <c r="H202" i="1"/>
  <c r="W202" i="1"/>
  <c r="L202" i="1"/>
  <c r="H89" i="30"/>
  <c r="L89" i="30"/>
  <c r="D208" i="8"/>
  <c r="D107" i="32"/>
  <c r="J175" i="20"/>
  <c r="L175" i="20"/>
  <c r="H175" i="20"/>
  <c r="B153" i="20"/>
  <c r="D155" i="20"/>
  <c r="U157" i="20"/>
  <c r="T157" i="20"/>
  <c r="S157" i="20"/>
  <c r="B159" i="20"/>
  <c r="C161" i="20"/>
  <c r="U163" i="20"/>
  <c r="T163" i="20"/>
  <c r="S163" i="20"/>
  <c r="D167" i="20"/>
  <c r="U169" i="20"/>
  <c r="T169" i="20"/>
  <c r="S169" i="20"/>
  <c r="B171" i="20"/>
  <c r="J153" i="20"/>
  <c r="H155" i="20"/>
  <c r="T158" i="20"/>
  <c r="S160" i="20"/>
  <c r="H165" i="20"/>
  <c r="S174" i="20"/>
  <c r="L197" i="5"/>
  <c r="W197" i="5"/>
  <c r="J197" i="5"/>
  <c r="W89" i="30"/>
  <c r="D109" i="29"/>
  <c r="B196" i="12"/>
  <c r="W102" i="33"/>
  <c r="N196" i="24"/>
  <c r="C175" i="20"/>
  <c r="H115" i="37"/>
  <c r="J115" i="37"/>
  <c r="L159" i="26"/>
  <c r="C153" i="20"/>
  <c r="C159" i="20"/>
  <c r="D161" i="20"/>
  <c r="B165" i="20"/>
  <c r="C171" i="20"/>
  <c r="N96" i="20"/>
  <c r="L174" i="20"/>
  <c r="J174" i="20"/>
  <c r="H174" i="20"/>
  <c r="J155" i="20"/>
  <c r="T160" i="20"/>
  <c r="J165" i="20"/>
  <c r="H167" i="20"/>
  <c r="T174" i="20"/>
  <c r="N117" i="2"/>
  <c r="B207" i="3"/>
  <c r="N121" i="14"/>
  <c r="N120" i="11"/>
  <c r="W214" i="9"/>
  <c r="W208" i="19"/>
  <c r="J167" i="16"/>
  <c r="H167" i="16"/>
  <c r="L167" i="16"/>
  <c r="N81" i="26"/>
  <c r="W159" i="26"/>
  <c r="U155" i="20"/>
  <c r="T155" i="20"/>
  <c r="S155" i="20"/>
  <c r="L158" i="20"/>
  <c r="J158" i="20"/>
  <c r="H158" i="20"/>
  <c r="L164" i="20"/>
  <c r="J164" i="20"/>
  <c r="H164" i="20"/>
  <c r="C165" i="20"/>
  <c r="L170" i="20"/>
  <c r="J170" i="20"/>
  <c r="H170" i="20"/>
  <c r="D171" i="20"/>
  <c r="B154" i="20"/>
  <c r="H159" i="20"/>
  <c r="J167" i="20"/>
  <c r="W207" i="3"/>
  <c r="B105" i="33"/>
  <c r="W206" i="23"/>
  <c r="B199" i="25"/>
  <c r="N117" i="25"/>
  <c r="L150" i="20"/>
  <c r="J150" i="20"/>
  <c r="H150" i="20"/>
  <c r="N64" i="20"/>
  <c r="N66" i="20"/>
  <c r="D159" i="20"/>
  <c r="N78" i="20"/>
  <c r="D165" i="20"/>
  <c r="U167" i="20"/>
  <c r="T167" i="20"/>
  <c r="S167" i="20"/>
  <c r="N90" i="20"/>
  <c r="N98" i="20"/>
  <c r="W150" i="20"/>
  <c r="H197" i="5"/>
  <c r="B216" i="15"/>
  <c r="C107" i="32"/>
  <c r="J199" i="11"/>
  <c r="L199" i="11"/>
  <c r="H199" i="11"/>
  <c r="C199" i="11"/>
  <c r="B214" i="9"/>
  <c r="N132" i="9"/>
  <c r="D105" i="34"/>
  <c r="E105" i="34" s="1"/>
  <c r="H197" i="21"/>
  <c r="J197" i="21"/>
  <c r="L197" i="21"/>
  <c r="D175" i="20"/>
  <c r="C202" i="18"/>
  <c r="W202" i="18"/>
  <c r="N116" i="25"/>
  <c r="L115" i="28"/>
  <c r="J199" i="14"/>
  <c r="J214" i="9"/>
  <c r="J159" i="26"/>
  <c r="B202" i="18"/>
  <c r="N115" i="6"/>
  <c r="L196" i="7"/>
  <c r="N51" i="31"/>
  <c r="N57" i="32"/>
  <c r="H196" i="7"/>
  <c r="L130" i="6"/>
  <c r="H130" i="6"/>
  <c r="J130" i="6"/>
  <c r="N117" i="6"/>
  <c r="N122" i="6"/>
  <c r="N123" i="6"/>
  <c r="N121" i="6"/>
  <c r="N118" i="6"/>
  <c r="N125" i="6"/>
  <c r="N124" i="6"/>
  <c r="C144" i="6"/>
  <c r="J133" i="6"/>
  <c r="B142" i="6"/>
  <c r="E120" i="6"/>
  <c r="U136" i="6"/>
  <c r="N37" i="6"/>
  <c r="B141" i="6"/>
  <c r="C142" i="6"/>
  <c r="E117" i="6"/>
  <c r="E122" i="6"/>
  <c r="E119" i="6"/>
  <c r="N44" i="6"/>
  <c r="N80" i="6"/>
  <c r="B151" i="6"/>
  <c r="C141" i="6"/>
  <c r="B144" i="6"/>
  <c r="E125" i="6"/>
  <c r="E116" i="6"/>
  <c r="E126" i="6"/>
  <c r="E124" i="6"/>
  <c r="C139" i="6"/>
  <c r="C147" i="6"/>
  <c r="B150" i="6"/>
  <c r="D144" i="6"/>
  <c r="L143" i="6"/>
  <c r="J143" i="6"/>
  <c r="H143" i="6"/>
  <c r="C127" i="6"/>
  <c r="B131" i="6"/>
  <c r="J142" i="6"/>
  <c r="L142" i="6"/>
  <c r="H142" i="6"/>
  <c r="D127" i="6"/>
  <c r="D143" i="6"/>
  <c r="B146" i="6"/>
  <c r="L141" i="6"/>
  <c r="C143" i="6"/>
  <c r="B147" i="6"/>
  <c r="B148" i="6"/>
  <c r="B149" i="6"/>
  <c r="U127" i="6"/>
  <c r="T127" i="6"/>
  <c r="S127" i="6"/>
  <c r="E123" i="6"/>
  <c r="B143" i="6"/>
  <c r="B145" i="6"/>
  <c r="L144" i="6"/>
  <c r="J144" i="6"/>
  <c r="H144" i="6"/>
  <c r="E118" i="6"/>
  <c r="E121" i="6"/>
  <c r="N64" i="28"/>
  <c r="N110" i="38"/>
  <c r="W109" i="29"/>
  <c r="W115" i="28"/>
  <c r="J115" i="28"/>
  <c r="T109" i="38"/>
  <c r="L109" i="38"/>
  <c r="E89" i="38"/>
  <c r="N14" i="38"/>
  <c r="D94" i="38"/>
  <c r="C97" i="38"/>
  <c r="D99" i="38"/>
  <c r="N22" i="38"/>
  <c r="S108" i="38"/>
  <c r="S100" i="38"/>
  <c r="C93" i="38"/>
  <c r="N17" i="38"/>
  <c r="D98" i="38"/>
  <c r="N29" i="38"/>
  <c r="D101" i="38"/>
  <c r="N40" i="38"/>
  <c r="B105" i="38"/>
  <c r="C106" i="38"/>
  <c r="N49" i="38"/>
  <c r="J106" i="38"/>
  <c r="J100" i="38"/>
  <c r="J97" i="38"/>
  <c r="H91" i="38"/>
  <c r="U100" i="38"/>
  <c r="B96" i="38"/>
  <c r="H100" i="38"/>
  <c r="J102" i="38"/>
  <c r="N8" i="38"/>
  <c r="C91" i="38"/>
  <c r="N13" i="38"/>
  <c r="D96" i="38"/>
  <c r="N43" i="38"/>
  <c r="D107" i="38"/>
  <c r="J107" i="38"/>
  <c r="J104" i="38"/>
  <c r="J101" i="38"/>
  <c r="L99" i="38"/>
  <c r="H93" i="38"/>
  <c r="J105" i="38"/>
  <c r="J90" i="38"/>
  <c r="L102" i="38"/>
  <c r="N52" i="38"/>
  <c r="N10" i="38"/>
  <c r="N16" i="38"/>
  <c r="N23" i="38"/>
  <c r="D102" i="38"/>
  <c r="N41" i="38"/>
  <c r="D105" i="38"/>
  <c r="H107" i="38"/>
  <c r="L103" i="38"/>
  <c r="L95" i="38"/>
  <c r="N57" i="38"/>
  <c r="B100" i="38"/>
  <c r="U101" i="38"/>
  <c r="C98" i="38"/>
  <c r="T101" i="38"/>
  <c r="B91" i="38"/>
  <c r="D95" i="38"/>
  <c r="C99" i="38"/>
  <c r="N34" i="38"/>
  <c r="N48" i="38"/>
  <c r="D108" i="38"/>
  <c r="C107" i="38"/>
  <c r="L98" i="38"/>
  <c r="N56" i="38"/>
  <c r="H99" i="38"/>
  <c r="H96" i="38"/>
  <c r="N18" i="38"/>
  <c r="N30" i="38"/>
  <c r="B103" i="38"/>
  <c r="H106" i="38"/>
  <c r="H103" i="38"/>
  <c r="L97" i="38"/>
  <c r="B92" i="38"/>
  <c r="J92" i="38"/>
  <c r="J91" i="38"/>
  <c r="B90" i="38"/>
  <c r="D91" i="38"/>
  <c r="N33" i="38"/>
  <c r="N45" i="38"/>
  <c r="L101" i="38"/>
  <c r="L105" i="38"/>
  <c r="D103" i="38"/>
  <c r="N50" i="38"/>
  <c r="B107" i="38"/>
  <c r="L96" i="38"/>
  <c r="N28" i="38"/>
  <c r="B99" i="38"/>
  <c r="N11" i="38"/>
  <c r="N24" i="38"/>
  <c r="L107" i="38"/>
  <c r="B94" i="38"/>
  <c r="J95" i="38"/>
  <c r="B93" i="38"/>
  <c r="J93" i="38"/>
  <c r="N42" i="38"/>
  <c r="L106" i="38"/>
  <c r="T140" i="6"/>
  <c r="L149" i="6"/>
  <c r="J146" i="6"/>
  <c r="N66" i="6"/>
  <c r="S150" i="6"/>
  <c r="H151" i="6"/>
  <c r="N43" i="6"/>
  <c r="C140" i="6"/>
  <c r="N68" i="6"/>
  <c r="L132" i="6"/>
  <c r="W137" i="6"/>
  <c r="W141" i="6"/>
  <c r="B137" i="6"/>
  <c r="D141" i="6"/>
  <c r="L145" i="6"/>
  <c r="C133" i="6"/>
  <c r="S136" i="6"/>
  <c r="D146" i="6"/>
  <c r="H137" i="6"/>
  <c r="C130" i="6"/>
  <c r="H139" i="6"/>
  <c r="S131" i="6"/>
  <c r="D131" i="6"/>
  <c r="D132" i="6"/>
  <c r="H149" i="6"/>
  <c r="J138" i="6"/>
  <c r="U131" i="6"/>
  <c r="C131" i="6"/>
  <c r="S147" i="6"/>
  <c r="N50" i="6"/>
  <c r="N61" i="6"/>
  <c r="L148" i="6"/>
  <c r="H141" i="6"/>
  <c r="J137" i="6"/>
  <c r="J151" i="6"/>
  <c r="N45" i="6"/>
  <c r="B132" i="6"/>
  <c r="L147" i="6"/>
  <c r="B129" i="6"/>
  <c r="N47" i="6"/>
  <c r="J136" i="6"/>
  <c r="J132" i="6"/>
  <c r="U138" i="6"/>
  <c r="N38" i="6"/>
  <c r="T130" i="6"/>
  <c r="N46" i="6"/>
  <c r="J149" i="6"/>
  <c r="D130" i="6"/>
  <c r="T132" i="6"/>
  <c r="N48" i="6"/>
  <c r="W148" i="6"/>
  <c r="W143" i="6"/>
  <c r="W133" i="6"/>
  <c r="J150" i="6"/>
  <c r="N90" i="6"/>
  <c r="U139" i="6"/>
  <c r="U132" i="6"/>
  <c r="W132" i="6" s="1"/>
  <c r="L146" i="6"/>
  <c r="J140" i="6"/>
  <c r="H136" i="6"/>
  <c r="W129" i="6"/>
  <c r="N89" i="6"/>
  <c r="N42" i="6"/>
  <c r="H147" i="6"/>
  <c r="D148" i="6"/>
  <c r="L139" i="6"/>
  <c r="L136" i="6"/>
  <c r="T139" i="6"/>
  <c r="U140" i="6"/>
  <c r="C146" i="6"/>
  <c r="J139" i="6"/>
  <c r="H132" i="6"/>
  <c r="W145" i="6"/>
  <c r="W146" i="6"/>
  <c r="L137" i="6"/>
  <c r="C128" i="6"/>
  <c r="N40" i="6"/>
  <c r="D134" i="6"/>
  <c r="C145" i="6"/>
  <c r="L140" i="6"/>
  <c r="N36" i="6"/>
  <c r="C132" i="6"/>
  <c r="D133" i="6"/>
  <c r="B135" i="6"/>
  <c r="N70" i="6"/>
  <c r="H148" i="6"/>
  <c r="L138" i="6"/>
  <c r="H135" i="6"/>
  <c r="L131" i="6"/>
  <c r="W151" i="6"/>
  <c r="D149" i="6"/>
  <c r="N84" i="6"/>
  <c r="C149" i="6"/>
  <c r="N81" i="6"/>
  <c r="N79" i="6"/>
  <c r="N78" i="6"/>
  <c r="N74" i="6"/>
  <c r="N71" i="6"/>
  <c r="D140" i="6"/>
  <c r="B136" i="6"/>
  <c r="C136" i="6"/>
  <c r="D137" i="6"/>
  <c r="D138" i="6"/>
  <c r="B139" i="6"/>
  <c r="N65" i="6"/>
  <c r="D145" i="6"/>
  <c r="N76" i="6"/>
  <c r="D147" i="6"/>
  <c r="N75" i="6"/>
  <c r="N69" i="6"/>
  <c r="N67" i="6"/>
  <c r="B140" i="6"/>
  <c r="N62" i="6"/>
  <c r="D139" i="6"/>
  <c r="N60" i="6"/>
  <c r="N59" i="6"/>
  <c r="B138" i="6"/>
  <c r="C138" i="6"/>
  <c r="C137" i="6"/>
  <c r="N57" i="6"/>
  <c r="N55" i="6"/>
  <c r="D136" i="6"/>
  <c r="S135" i="6"/>
  <c r="J141" i="6"/>
  <c r="S138" i="6"/>
  <c r="S128" i="6"/>
  <c r="B134" i="6"/>
  <c r="N64" i="6"/>
  <c r="S130" i="6"/>
  <c r="D128" i="6"/>
  <c r="D129" i="6"/>
  <c r="N51" i="6"/>
  <c r="N53" i="6"/>
  <c r="N72" i="6"/>
  <c r="C148" i="6"/>
  <c r="H140" i="6"/>
  <c r="H134" i="6"/>
  <c r="J131" i="6"/>
  <c r="H138" i="6"/>
  <c r="L135" i="6"/>
  <c r="C151" i="6"/>
  <c r="N56" i="6"/>
  <c r="N41" i="6"/>
  <c r="N52" i="6"/>
  <c r="N58" i="6"/>
  <c r="D150" i="6"/>
  <c r="L151" i="6"/>
  <c r="H146" i="6"/>
  <c r="H131" i="6"/>
  <c r="J135" i="6"/>
  <c r="U128" i="6"/>
  <c r="J147" i="6"/>
  <c r="U135" i="6"/>
  <c r="U147" i="6"/>
  <c r="N49" i="6"/>
  <c r="H133" i="6"/>
  <c r="D151" i="6"/>
  <c r="C135" i="6"/>
  <c r="W149" i="6"/>
  <c r="W144" i="6"/>
  <c r="N88" i="6"/>
  <c r="N54" i="6"/>
  <c r="N63" i="6"/>
  <c r="B130" i="6"/>
  <c r="N77" i="6"/>
  <c r="C134" i="6"/>
  <c r="T134" i="6"/>
  <c r="C150" i="6"/>
  <c r="H150" i="6"/>
  <c r="J145" i="6"/>
  <c r="H145" i="6"/>
  <c r="U134" i="6"/>
  <c r="T150" i="6"/>
  <c r="N87" i="6"/>
  <c r="N39" i="6"/>
  <c r="N86" i="6"/>
  <c r="L150" i="6"/>
  <c r="J148" i="6"/>
  <c r="N85" i="6"/>
  <c r="N83" i="6"/>
  <c r="N82" i="6"/>
  <c r="N73" i="6"/>
  <c r="J134" i="6"/>
  <c r="L134" i="6"/>
  <c r="D135" i="6"/>
  <c r="B133" i="6"/>
  <c r="L133" i="6"/>
  <c r="C129" i="6"/>
  <c r="W193" i="15" l="1"/>
  <c r="N109" i="37"/>
  <c r="W128" i="36"/>
  <c r="W115" i="36"/>
  <c r="N132" i="35"/>
  <c r="W125" i="35"/>
  <c r="E142" i="35"/>
  <c r="E134" i="35"/>
  <c r="E123" i="35"/>
  <c r="E102" i="31"/>
  <c r="W195" i="15"/>
  <c r="W202" i="23"/>
  <c r="N170" i="23"/>
  <c r="E150" i="24"/>
  <c r="N167" i="24"/>
  <c r="E192" i="25"/>
  <c r="N194" i="25"/>
  <c r="W167" i="25"/>
  <c r="W149" i="25"/>
  <c r="N160" i="25"/>
  <c r="W176" i="25"/>
  <c r="W149" i="26"/>
  <c r="E156" i="26"/>
  <c r="W155" i="26"/>
  <c r="W129" i="16"/>
  <c r="W151" i="16"/>
  <c r="N158" i="16"/>
  <c r="W154" i="16"/>
  <c r="W158" i="16"/>
  <c r="N153" i="21"/>
  <c r="W173" i="21"/>
  <c r="W147" i="21"/>
  <c r="N104" i="34"/>
  <c r="W195" i="9"/>
  <c r="W182" i="9"/>
  <c r="W169" i="10"/>
  <c r="W183" i="11"/>
  <c r="N192" i="11"/>
  <c r="W180" i="11"/>
  <c r="N194" i="11"/>
  <c r="N98" i="32"/>
  <c r="N179" i="13"/>
  <c r="W180" i="14"/>
  <c r="E177" i="14"/>
  <c r="E97" i="31"/>
  <c r="N93" i="31"/>
  <c r="E95" i="29"/>
  <c r="N172" i="5"/>
  <c r="N192" i="22"/>
  <c r="W92" i="38"/>
  <c r="N165" i="11"/>
  <c r="W167" i="11"/>
  <c r="N183" i="11"/>
  <c r="N196" i="11"/>
  <c r="N170" i="11"/>
  <c r="W191" i="11"/>
  <c r="E185" i="11"/>
  <c r="E156" i="11"/>
  <c r="W176" i="11"/>
  <c r="W193" i="11"/>
  <c r="N190" i="11"/>
  <c r="N169" i="11"/>
  <c r="E189" i="11"/>
  <c r="E153" i="11"/>
  <c r="N186" i="11"/>
  <c r="N146" i="11"/>
  <c r="E163" i="11"/>
  <c r="E86" i="32"/>
  <c r="N173" i="14"/>
  <c r="E157" i="14"/>
  <c r="E144" i="14"/>
  <c r="N156" i="14"/>
  <c r="N197" i="14"/>
  <c r="W176" i="14"/>
  <c r="N180" i="14"/>
  <c r="E93" i="29"/>
  <c r="E87" i="29"/>
  <c r="E190" i="19"/>
  <c r="E156" i="19"/>
  <c r="N172" i="3"/>
  <c r="E164" i="3"/>
  <c r="E154" i="3"/>
  <c r="E152" i="3"/>
  <c r="N175" i="3"/>
  <c r="N160" i="3"/>
  <c r="N189" i="3"/>
  <c r="N176" i="3"/>
  <c r="N187" i="3"/>
  <c r="E91" i="28"/>
  <c r="W102" i="38"/>
  <c r="W179" i="17"/>
  <c r="W162" i="17"/>
  <c r="W94" i="37"/>
  <c r="W133" i="36"/>
  <c r="W146" i="26"/>
  <c r="W138" i="26"/>
  <c r="W163" i="25"/>
  <c r="W175" i="25"/>
  <c r="E197" i="25"/>
  <c r="N179" i="25"/>
  <c r="E185" i="25"/>
  <c r="E172" i="25"/>
  <c r="W161" i="25"/>
  <c r="E147" i="25"/>
  <c r="W171" i="24"/>
  <c r="N180" i="24"/>
  <c r="E170" i="24"/>
  <c r="N172" i="24"/>
  <c r="E182" i="24"/>
  <c r="N147" i="24"/>
  <c r="N144" i="24"/>
  <c r="E186" i="24"/>
  <c r="E144" i="24"/>
  <c r="W162" i="23"/>
  <c r="N166" i="23"/>
  <c r="W181" i="23"/>
  <c r="W184" i="23"/>
  <c r="W193" i="23"/>
  <c r="W143" i="26"/>
  <c r="N198" i="22"/>
  <c r="E193" i="22"/>
  <c r="N188" i="22"/>
  <c r="W133" i="16"/>
  <c r="W144" i="16"/>
  <c r="W153" i="16"/>
  <c r="N141" i="16"/>
  <c r="W152" i="16"/>
  <c r="N162" i="16"/>
  <c r="N161" i="16"/>
  <c r="E162" i="16"/>
  <c r="E136" i="35"/>
  <c r="N138" i="35"/>
  <c r="E154" i="14"/>
  <c r="W175" i="14"/>
  <c r="N188" i="14"/>
  <c r="N198" i="14"/>
  <c r="W186" i="14"/>
  <c r="E174" i="8"/>
  <c r="E181" i="8"/>
  <c r="E198" i="8"/>
  <c r="E154" i="8"/>
  <c r="E194" i="8"/>
  <c r="E177" i="8"/>
  <c r="E86" i="31"/>
  <c r="N99" i="31"/>
  <c r="E90" i="31"/>
  <c r="N86" i="29"/>
  <c r="E89" i="29"/>
  <c r="N103" i="29"/>
  <c r="N106" i="29"/>
  <c r="E86" i="29"/>
  <c r="E96" i="29"/>
  <c r="N166" i="5"/>
  <c r="E168" i="5"/>
  <c r="N158" i="5"/>
  <c r="E157" i="5"/>
  <c r="N143" i="5"/>
  <c r="N149" i="5"/>
  <c r="N154" i="5"/>
  <c r="W175" i="17"/>
  <c r="N159" i="17"/>
  <c r="E159" i="18"/>
  <c r="W183" i="18"/>
  <c r="E165" i="18"/>
  <c r="W191" i="18"/>
  <c r="W184" i="19"/>
  <c r="N188" i="19"/>
  <c r="N158" i="19"/>
  <c r="E190" i="21"/>
  <c r="W192" i="21"/>
  <c r="E194" i="21"/>
  <c r="W92" i="34"/>
  <c r="N93" i="34"/>
  <c r="W97" i="34"/>
  <c r="W192" i="9"/>
  <c r="W170" i="9"/>
  <c r="W197" i="9"/>
  <c r="W203" i="9"/>
  <c r="W160" i="9"/>
  <c r="N188" i="9"/>
  <c r="N181" i="9"/>
  <c r="N166" i="3"/>
  <c r="E157" i="3"/>
  <c r="N168" i="3"/>
  <c r="E184" i="3"/>
  <c r="N186" i="3"/>
  <c r="E206" i="3"/>
  <c r="N178" i="3"/>
  <c r="E178" i="3"/>
  <c r="W186" i="10"/>
  <c r="N202" i="23"/>
  <c r="W175" i="23"/>
  <c r="E191" i="17"/>
  <c r="W184" i="21"/>
  <c r="E83" i="32"/>
  <c r="E92" i="34"/>
  <c r="E148" i="24"/>
  <c r="W183" i="23"/>
  <c r="E194" i="23"/>
  <c r="E132" i="26"/>
  <c r="N156" i="21"/>
  <c r="E190" i="18"/>
  <c r="W182" i="18"/>
  <c r="N79" i="30"/>
  <c r="E176" i="14"/>
  <c r="W167" i="9"/>
  <c r="W176" i="22"/>
  <c r="W108" i="38"/>
  <c r="E178" i="5"/>
  <c r="N206" i="13"/>
  <c r="W166" i="19"/>
  <c r="E89" i="32"/>
  <c r="W156" i="16"/>
  <c r="E198" i="18"/>
  <c r="E145" i="11"/>
  <c r="E169" i="17"/>
  <c r="W161" i="17"/>
  <c r="N183" i="5"/>
  <c r="N150" i="16"/>
  <c r="N102" i="34"/>
  <c r="W182" i="22"/>
  <c r="W132" i="16"/>
  <c r="N190" i="23"/>
  <c r="W150" i="26"/>
  <c r="N158" i="11"/>
  <c r="N175" i="22"/>
  <c r="N179" i="22"/>
  <c r="E185" i="22"/>
  <c r="W190" i="23"/>
  <c r="W181" i="25"/>
  <c r="E154" i="25"/>
  <c r="W190" i="25"/>
  <c r="N183" i="25"/>
  <c r="N174" i="24"/>
  <c r="N154" i="24"/>
  <c r="W147" i="26"/>
  <c r="W127" i="26"/>
  <c r="W90" i="38"/>
  <c r="W95" i="37"/>
  <c r="N130" i="35"/>
  <c r="W170" i="22"/>
  <c r="N167" i="23"/>
  <c r="E149" i="5"/>
  <c r="E94" i="31"/>
  <c r="E94" i="29"/>
  <c r="N86" i="31"/>
  <c r="W123" i="36"/>
  <c r="E192" i="7"/>
  <c r="E180" i="14"/>
  <c r="N192" i="5"/>
  <c r="W159" i="19"/>
  <c r="N198" i="18"/>
  <c r="N176" i="5"/>
  <c r="N169" i="5"/>
  <c r="E200" i="23"/>
  <c r="N134" i="26"/>
  <c r="E95" i="31"/>
  <c r="W178" i="18"/>
  <c r="N162" i="11"/>
  <c r="W193" i="9"/>
  <c r="W131" i="16"/>
  <c r="N171" i="14"/>
  <c r="W140" i="16"/>
  <c r="E156" i="25"/>
  <c r="E183" i="7"/>
  <c r="E167" i="8"/>
  <c r="N136" i="35"/>
  <c r="N163" i="14"/>
  <c r="N189" i="5"/>
  <c r="E152" i="14"/>
  <c r="E155" i="8"/>
  <c r="E176" i="8"/>
  <c r="N105" i="34"/>
  <c r="W85" i="30"/>
  <c r="E98" i="31"/>
  <c r="E207" i="19"/>
  <c r="N150" i="5"/>
  <c r="N161" i="23"/>
  <c r="N190" i="14"/>
  <c r="N141" i="35"/>
  <c r="E150" i="14"/>
  <c r="E198" i="23"/>
  <c r="N214" i="15"/>
  <c r="W136" i="16"/>
  <c r="E141" i="16"/>
  <c r="N140" i="6"/>
  <c r="N161" i="22"/>
  <c r="N168" i="22"/>
  <c r="N184" i="12"/>
  <c r="N156" i="5"/>
  <c r="E189" i="14"/>
  <c r="E171" i="7"/>
  <c r="E144" i="21"/>
  <c r="E151" i="18"/>
  <c r="W110" i="28"/>
  <c r="W151" i="11"/>
  <c r="N177" i="14"/>
  <c r="N157" i="14"/>
  <c r="N154" i="16"/>
  <c r="E178" i="23"/>
  <c r="N101" i="37"/>
  <c r="W158" i="25"/>
  <c r="E187" i="24"/>
  <c r="E160" i="5"/>
  <c r="N153" i="14"/>
  <c r="N153" i="23"/>
  <c r="N202" i="19"/>
  <c r="N210" i="13"/>
  <c r="E167" i="11"/>
  <c r="N148" i="26"/>
  <c r="E191" i="24"/>
  <c r="N146" i="24"/>
  <c r="W188" i="19"/>
  <c r="N144" i="16"/>
  <c r="N152" i="26"/>
  <c r="N193" i="23"/>
  <c r="E160" i="16"/>
  <c r="N154" i="11"/>
  <c r="N191" i="14"/>
  <c r="W176" i="12"/>
  <c r="W142" i="26"/>
  <c r="W210" i="9"/>
  <c r="W148" i="18"/>
  <c r="N179" i="5"/>
  <c r="W160" i="12"/>
  <c r="E171" i="2"/>
  <c r="N185" i="24"/>
  <c r="N197" i="25"/>
  <c r="W184" i="11"/>
  <c r="E104" i="32"/>
  <c r="E96" i="32"/>
  <c r="E156" i="5"/>
  <c r="E159" i="23"/>
  <c r="N141" i="26"/>
  <c r="W148" i="17"/>
  <c r="E161" i="12"/>
  <c r="E151" i="14"/>
  <c r="W180" i="25"/>
  <c r="E157" i="11"/>
  <c r="E139" i="35"/>
  <c r="N89" i="38"/>
  <c r="W199" i="19"/>
  <c r="N178" i="18"/>
  <c r="N172" i="12"/>
  <c r="W172" i="12"/>
  <c r="E181" i="11"/>
  <c r="W179" i="11"/>
  <c r="W178" i="11"/>
  <c r="N148" i="11"/>
  <c r="E210" i="13"/>
  <c r="N196" i="17"/>
  <c r="N163" i="11"/>
  <c r="N192" i="9"/>
  <c r="E146" i="7"/>
  <c r="E186" i="5"/>
  <c r="W153" i="8"/>
  <c r="N159" i="24"/>
  <c r="N149" i="12"/>
  <c r="N154" i="26"/>
  <c r="E149" i="16"/>
  <c r="N152" i="11"/>
  <c r="E161" i="25"/>
  <c r="N168" i="25"/>
  <c r="N165" i="3"/>
  <c r="N191" i="5"/>
  <c r="W160" i="18"/>
  <c r="W189" i="18"/>
  <c r="W160" i="22"/>
  <c r="W145" i="26"/>
  <c r="E197" i="22"/>
  <c r="N164" i="18"/>
  <c r="E174" i="1"/>
  <c r="E97" i="29"/>
  <c r="E162" i="22"/>
  <c r="E164" i="23"/>
  <c r="N178" i="23"/>
  <c r="N156" i="26"/>
  <c r="N194" i="18"/>
  <c r="E154" i="24"/>
  <c r="N152" i="12"/>
  <c r="N85" i="32"/>
  <c r="N158" i="14"/>
  <c r="E193" i="5"/>
  <c r="N179" i="14"/>
  <c r="N169" i="18"/>
  <c r="N165" i="14"/>
  <c r="E169" i="25"/>
  <c r="N86" i="30"/>
  <c r="E148" i="14"/>
  <c r="E177" i="24"/>
  <c r="E112" i="37"/>
  <c r="E149" i="11"/>
  <c r="E163" i="16"/>
  <c r="W157" i="16"/>
  <c r="N153" i="16"/>
  <c r="N145" i="16"/>
  <c r="E156" i="16"/>
  <c r="N129" i="16"/>
  <c r="W160" i="16"/>
  <c r="E142" i="16"/>
  <c r="E152" i="16"/>
  <c r="E164" i="16"/>
  <c r="N149" i="16"/>
  <c r="E157" i="16"/>
  <c r="N133" i="16"/>
  <c r="N139" i="35"/>
  <c r="E135" i="35"/>
  <c r="N145" i="17"/>
  <c r="N155" i="17"/>
  <c r="N146" i="17"/>
  <c r="N160" i="17"/>
  <c r="N163" i="18"/>
  <c r="N183" i="19"/>
  <c r="E179" i="19"/>
  <c r="N186" i="21"/>
  <c r="E186" i="21"/>
  <c r="N148" i="21"/>
  <c r="E156" i="21"/>
  <c r="N169" i="21"/>
  <c r="N154" i="21"/>
  <c r="E164" i="21"/>
  <c r="E169" i="21"/>
  <c r="E170" i="21"/>
  <c r="E168" i="21"/>
  <c r="N190" i="21"/>
  <c r="E198" i="9"/>
  <c r="E209" i="9"/>
  <c r="N195" i="9"/>
  <c r="N193" i="9"/>
  <c r="N156" i="11"/>
  <c r="E170" i="11"/>
  <c r="E169" i="11"/>
  <c r="E182" i="11"/>
  <c r="E171" i="11"/>
  <c r="E186" i="11"/>
  <c r="N144" i="11"/>
  <c r="E194" i="11"/>
  <c r="N164" i="11"/>
  <c r="N171" i="11"/>
  <c r="E150" i="11"/>
  <c r="N180" i="11"/>
  <c r="E168" i="11"/>
  <c r="E175" i="11"/>
  <c r="E151" i="11"/>
  <c r="N182" i="11"/>
  <c r="N149" i="11"/>
  <c r="E184" i="11"/>
  <c r="N172" i="11"/>
  <c r="E180" i="11"/>
  <c r="E189" i="12"/>
  <c r="N96" i="32"/>
  <c r="E102" i="32"/>
  <c r="E92" i="32"/>
  <c r="E90" i="32"/>
  <c r="E87" i="32"/>
  <c r="N200" i="13"/>
  <c r="E175" i="13"/>
  <c r="N155" i="14"/>
  <c r="N175" i="14"/>
  <c r="E191" i="14"/>
  <c r="N168" i="14"/>
  <c r="E169" i="14"/>
  <c r="E181" i="14"/>
  <c r="N150" i="14"/>
  <c r="N184" i="14"/>
  <c r="N170" i="14"/>
  <c r="E160" i="14"/>
  <c r="W183" i="14"/>
  <c r="E146" i="14"/>
  <c r="E145" i="14"/>
  <c r="E89" i="31"/>
  <c r="N89" i="31"/>
  <c r="E87" i="31"/>
  <c r="E92" i="31"/>
  <c r="E96" i="31"/>
  <c r="N141" i="7"/>
  <c r="E98" i="29"/>
  <c r="E78" i="30"/>
  <c r="W83" i="30"/>
  <c r="E183" i="5"/>
  <c r="N162" i="5"/>
  <c r="E165" i="5"/>
  <c r="N155" i="5"/>
  <c r="E184" i="5"/>
  <c r="E155" i="5"/>
  <c r="E161" i="5"/>
  <c r="E142" i="5"/>
  <c r="E148" i="5"/>
  <c r="E176" i="5"/>
  <c r="N172" i="25"/>
  <c r="E151" i="5"/>
  <c r="W197" i="23"/>
  <c r="N88" i="34"/>
  <c r="N185" i="14"/>
  <c r="N150" i="11"/>
  <c r="N178" i="5"/>
  <c r="W161" i="16"/>
  <c r="W131" i="35"/>
  <c r="W188" i="22"/>
  <c r="E149" i="1"/>
  <c r="E193" i="24"/>
  <c r="E151" i="24"/>
  <c r="N168" i="24"/>
  <c r="E206" i="19"/>
  <c r="E81" i="30"/>
  <c r="E154" i="5"/>
  <c r="N88" i="29"/>
  <c r="N133" i="35"/>
  <c r="W151" i="18"/>
  <c r="W187" i="14"/>
  <c r="E159" i="9"/>
  <c r="N91" i="34"/>
  <c r="N193" i="25"/>
  <c r="E186" i="17"/>
  <c r="E203" i="19"/>
  <c r="E112" i="28"/>
  <c r="E185" i="5"/>
  <c r="N186" i="14"/>
  <c r="N171" i="5"/>
  <c r="E187" i="22"/>
  <c r="E186" i="9"/>
  <c r="N184" i="5"/>
  <c r="E161" i="14"/>
  <c r="E174" i="14"/>
  <c r="N195" i="14"/>
  <c r="E161" i="13"/>
  <c r="E160" i="24"/>
  <c r="E193" i="8"/>
  <c r="E171" i="24"/>
  <c r="N197" i="23"/>
  <c r="N178" i="7"/>
  <c r="E182" i="19"/>
  <c r="N176" i="25"/>
  <c r="N199" i="23"/>
  <c r="E178" i="22"/>
  <c r="E186" i="14"/>
  <c r="N147" i="18"/>
  <c r="N184" i="22"/>
  <c r="E173" i="24"/>
  <c r="E210" i="15"/>
  <c r="N185" i="15"/>
  <c r="E182" i="15"/>
  <c r="E174" i="19"/>
  <c r="E90" i="34"/>
  <c r="N188" i="17"/>
  <c r="N167" i="14"/>
  <c r="E143" i="26"/>
  <c r="W211" i="9"/>
  <c r="N183" i="14"/>
  <c r="W184" i="14"/>
  <c r="E93" i="28"/>
  <c r="N158" i="3"/>
  <c r="N162" i="3"/>
  <c r="E162" i="3"/>
  <c r="E196" i="3"/>
  <c r="N193" i="3"/>
  <c r="N173" i="3"/>
  <c r="E159" i="3"/>
  <c r="E205" i="3"/>
  <c r="E177" i="3"/>
  <c r="E199" i="3"/>
  <c r="N181" i="3"/>
  <c r="E167" i="3"/>
  <c r="N155" i="3"/>
  <c r="E187" i="3"/>
  <c r="N109" i="3"/>
  <c r="E176" i="3"/>
  <c r="N197" i="13"/>
  <c r="E173" i="19"/>
  <c r="E198" i="11"/>
  <c r="E188" i="24"/>
  <c r="N206" i="19"/>
  <c r="E149" i="17"/>
  <c r="E102" i="29"/>
  <c r="E188" i="5"/>
  <c r="E193" i="14"/>
  <c r="E103" i="33"/>
  <c r="E194" i="25"/>
  <c r="N187" i="11"/>
  <c r="N149" i="26"/>
  <c r="E185" i="19"/>
  <c r="E166" i="5"/>
  <c r="W179" i="10"/>
  <c r="N196" i="9"/>
  <c r="W184" i="25"/>
  <c r="E145" i="7"/>
  <c r="N159" i="11"/>
  <c r="E194" i="18"/>
  <c r="E162" i="25"/>
  <c r="E114" i="37"/>
  <c r="E164" i="24"/>
  <c r="N161" i="11"/>
  <c r="W196" i="18"/>
  <c r="E163" i="14"/>
  <c r="W161" i="15"/>
  <c r="E188" i="14"/>
  <c r="W208" i="9"/>
  <c r="N97" i="37"/>
  <c r="N195" i="11"/>
  <c r="E169" i="22"/>
  <c r="E84" i="30"/>
  <c r="E85" i="34"/>
  <c r="E198" i="19"/>
  <c r="N160" i="11"/>
  <c r="E192" i="19"/>
  <c r="E172" i="11"/>
  <c r="E182" i="14"/>
  <c r="W179" i="9"/>
  <c r="N193" i="22"/>
  <c r="N155" i="21"/>
  <c r="W179" i="25"/>
  <c r="N153" i="5"/>
  <c r="E174" i="25"/>
  <c r="N106" i="32"/>
  <c r="E104" i="33"/>
  <c r="E155" i="26"/>
  <c r="N205" i="19"/>
  <c r="N167" i="17"/>
  <c r="E193" i="9"/>
  <c r="E195" i="11"/>
  <c r="N92" i="29"/>
  <c r="E183" i="8"/>
  <c r="E174" i="5"/>
  <c r="N188" i="5"/>
  <c r="E94" i="28"/>
  <c r="N124" i="35"/>
  <c r="N134" i="16"/>
  <c r="E142" i="26"/>
  <c r="E186" i="18"/>
  <c r="W174" i="21"/>
  <c r="N143" i="21"/>
  <c r="E180" i="9"/>
  <c r="N100" i="31"/>
  <c r="E179" i="8"/>
  <c r="N151" i="5"/>
  <c r="N198" i="9"/>
  <c r="E88" i="31"/>
  <c r="N172" i="14"/>
  <c r="E169" i="9"/>
  <c r="E152" i="18"/>
  <c r="E160" i="18"/>
  <c r="W157" i="17"/>
  <c r="W104" i="38"/>
  <c r="E157" i="26"/>
  <c r="N126" i="26"/>
  <c r="E137" i="26"/>
  <c r="E175" i="22"/>
  <c r="N137" i="16"/>
  <c r="E85" i="31"/>
  <c r="E133" i="35"/>
  <c r="W151" i="26"/>
  <c r="N169" i="23"/>
  <c r="N203" i="19"/>
  <c r="N159" i="16"/>
  <c r="E140" i="16"/>
  <c r="E185" i="23"/>
  <c r="E99" i="32"/>
  <c r="N194" i="22"/>
  <c r="W124" i="26"/>
  <c r="W172" i="24"/>
  <c r="W142" i="16"/>
  <c r="W189" i="21"/>
  <c r="W180" i="24"/>
  <c r="N145" i="14"/>
  <c r="E183" i="3"/>
  <c r="E161" i="24"/>
  <c r="E165" i="3"/>
  <c r="N152" i="23"/>
  <c r="E141" i="26"/>
  <c r="N157" i="16"/>
  <c r="N191" i="19"/>
  <c r="N166" i="18"/>
  <c r="N88" i="32"/>
  <c r="N95" i="29"/>
  <c r="E103" i="37"/>
  <c r="N178" i="9"/>
  <c r="E179" i="11"/>
  <c r="E86" i="30"/>
  <c r="N192" i="19"/>
  <c r="E180" i="3"/>
  <c r="E163" i="9"/>
  <c r="N82" i="30"/>
  <c r="E126" i="36"/>
  <c r="N168" i="18"/>
  <c r="N123" i="35"/>
  <c r="N146" i="14"/>
  <c r="E148" i="11"/>
  <c r="W180" i="19"/>
  <c r="W193" i="12"/>
  <c r="N204" i="3"/>
  <c r="E179" i="14"/>
  <c r="E208" i="8"/>
  <c r="N202" i="9"/>
  <c r="N160" i="14"/>
  <c r="E158" i="14"/>
  <c r="E157" i="8"/>
  <c r="E195" i="3"/>
  <c r="N94" i="29"/>
  <c r="N113" i="28"/>
  <c r="E131" i="16"/>
  <c r="N142" i="35"/>
  <c r="N188" i="11"/>
  <c r="N167" i="9"/>
  <c r="E197" i="9"/>
  <c r="E183" i="19"/>
  <c r="E208" i="19"/>
  <c r="E163" i="3"/>
  <c r="N179" i="12"/>
  <c r="N180" i="19"/>
  <c r="E187" i="25"/>
  <c r="N175" i="24"/>
  <c r="N172" i="23"/>
  <c r="W78" i="30"/>
  <c r="N127" i="35"/>
  <c r="E136" i="16"/>
  <c r="E179" i="25"/>
  <c r="N143" i="16"/>
  <c r="E113" i="37"/>
  <c r="N193" i="14"/>
  <c r="E130" i="35"/>
  <c r="E147" i="16"/>
  <c r="N187" i="22"/>
  <c r="E147" i="11"/>
  <c r="N102" i="32"/>
  <c r="N180" i="5"/>
  <c r="N103" i="31"/>
  <c r="E193" i="25"/>
  <c r="W122" i="35"/>
  <c r="W196" i="15"/>
  <c r="E197" i="1"/>
  <c r="N195" i="5"/>
  <c r="E167" i="24"/>
  <c r="N190" i="2"/>
  <c r="W173" i="25"/>
  <c r="E158" i="19"/>
  <c r="E168" i="12"/>
  <c r="E173" i="8"/>
  <c r="E98" i="37"/>
  <c r="E192" i="14"/>
  <c r="E188" i="9"/>
  <c r="N90" i="32"/>
  <c r="E187" i="5"/>
  <c r="E198" i="25"/>
  <c r="N135" i="35"/>
  <c r="N160" i="18"/>
  <c r="N174" i="19"/>
  <c r="E164" i="14"/>
  <c r="E168" i="8"/>
  <c r="E173" i="18"/>
  <c r="N161" i="14"/>
  <c r="E128" i="35"/>
  <c r="N198" i="11"/>
  <c r="E193" i="3"/>
  <c r="E194" i="15"/>
  <c r="W171" i="19"/>
  <c r="E183" i="18"/>
  <c r="E198" i="14"/>
  <c r="N180" i="23"/>
  <c r="N183" i="22"/>
  <c r="W200" i="19"/>
  <c r="N159" i="14"/>
  <c r="W202" i="9"/>
  <c r="N130" i="36"/>
  <c r="E165" i="14"/>
  <c r="N197" i="11"/>
  <c r="E164" i="11"/>
  <c r="E96" i="37"/>
  <c r="N183" i="7"/>
  <c r="E162" i="14"/>
  <c r="N181" i="11"/>
  <c r="N190" i="24"/>
  <c r="N179" i="11"/>
  <c r="E83" i="34"/>
  <c r="E170" i="8"/>
  <c r="E181" i="15"/>
  <c r="N186" i="24"/>
  <c r="E153" i="3"/>
  <c r="E171" i="19"/>
  <c r="E159" i="11"/>
  <c r="N87" i="29"/>
  <c r="W185" i="17"/>
  <c r="W135" i="26"/>
  <c r="E107" i="32"/>
  <c r="E207" i="3"/>
  <c r="E169" i="20"/>
  <c r="E183" i="24"/>
  <c r="E129" i="26"/>
  <c r="N197" i="19"/>
  <c r="E155" i="21"/>
  <c r="N160" i="23"/>
  <c r="W183" i="9"/>
  <c r="E188" i="12"/>
  <c r="E100" i="32"/>
  <c r="E191" i="8"/>
  <c r="E171" i="14"/>
  <c r="N185" i="3"/>
  <c r="E197" i="3"/>
  <c r="N97" i="33"/>
  <c r="E160" i="20"/>
  <c r="N103" i="33"/>
  <c r="E192" i="24"/>
  <c r="E182" i="22"/>
  <c r="E159" i="16"/>
  <c r="E192" i="21"/>
  <c r="N157" i="21"/>
  <c r="E186" i="19"/>
  <c r="N190" i="18"/>
  <c r="N181" i="15"/>
  <c r="E177" i="25"/>
  <c r="N97" i="28"/>
  <c r="N169" i="15"/>
  <c r="N180" i="17"/>
  <c r="N197" i="9"/>
  <c r="N192" i="14"/>
  <c r="E143" i="5"/>
  <c r="E170" i="7"/>
  <c r="E152" i="12"/>
  <c r="N177" i="15"/>
  <c r="E185" i="15"/>
  <c r="N210" i="10"/>
  <c r="W172" i="9"/>
  <c r="E149" i="21"/>
  <c r="N168" i="19"/>
  <c r="N160" i="19"/>
  <c r="E188" i="19"/>
  <c r="W182" i="17"/>
  <c r="E147" i="26"/>
  <c r="E160" i="25"/>
  <c r="L165" i="25"/>
  <c r="N165" i="25" s="1"/>
  <c r="N163" i="16"/>
  <c r="N94" i="32"/>
  <c r="N165" i="22"/>
  <c r="E143" i="20"/>
  <c r="N96" i="37"/>
  <c r="N138" i="26"/>
  <c r="E150" i="5"/>
  <c r="E91" i="31"/>
  <c r="E127" i="35"/>
  <c r="E131" i="35"/>
  <c r="E136" i="26"/>
  <c r="N182" i="5"/>
  <c r="E183" i="21"/>
  <c r="E152" i="26"/>
  <c r="E154" i="22"/>
  <c r="W188" i="21"/>
  <c r="E179" i="17"/>
  <c r="E196" i="11"/>
  <c r="E189" i="25"/>
  <c r="N153" i="7"/>
  <c r="E101" i="31"/>
  <c r="N185" i="5"/>
  <c r="N165" i="1"/>
  <c r="N160" i="22"/>
  <c r="E149" i="25"/>
  <c r="N201" i="19"/>
  <c r="W193" i="18"/>
  <c r="E155" i="11"/>
  <c r="N139" i="26"/>
  <c r="E85" i="30"/>
  <c r="W139" i="26"/>
  <c r="N103" i="32"/>
  <c r="E170" i="3"/>
  <c r="W191" i="9"/>
  <c r="E179" i="5"/>
  <c r="E122" i="35"/>
  <c r="E181" i="12"/>
  <c r="N182" i="15"/>
  <c r="E191" i="21"/>
  <c r="W176" i="19"/>
  <c r="E153" i="26"/>
  <c r="E181" i="25"/>
  <c r="E175" i="24"/>
  <c r="N163" i="24"/>
  <c r="N198" i="23"/>
  <c r="N195" i="22"/>
  <c r="E155" i="22"/>
  <c r="E172" i="8"/>
  <c r="E173" i="14"/>
  <c r="E161" i="8"/>
  <c r="N87" i="34"/>
  <c r="E191" i="5"/>
  <c r="E180" i="7"/>
  <c r="E189" i="3"/>
  <c r="N196" i="22"/>
  <c r="N188" i="23"/>
  <c r="N128" i="26"/>
  <c r="N194" i="21"/>
  <c r="E197" i="11"/>
  <c r="E152" i="11"/>
  <c r="E99" i="28"/>
  <c r="N161" i="5"/>
  <c r="E167" i="16"/>
  <c r="E92" i="37"/>
  <c r="N134" i="35"/>
  <c r="E168" i="23"/>
  <c r="E187" i="17"/>
  <c r="E176" i="18"/>
  <c r="N203" i="9"/>
  <c r="E162" i="15"/>
  <c r="E189" i="8"/>
  <c r="E160" i="3"/>
  <c r="E195" i="22"/>
  <c r="E143" i="24"/>
  <c r="N145" i="26"/>
  <c r="E139" i="16"/>
  <c r="N95" i="32"/>
  <c r="W189" i="19"/>
  <c r="N182" i="9"/>
  <c r="E202" i="19"/>
  <c r="E184" i="8"/>
  <c r="N152" i="5"/>
  <c r="W162" i="12"/>
  <c r="N187" i="18"/>
  <c r="W170" i="12"/>
  <c r="E184" i="9"/>
  <c r="N162" i="9"/>
  <c r="E173" i="25"/>
  <c r="N147" i="25"/>
  <c r="N199" i="22"/>
  <c r="N151" i="17"/>
  <c r="N92" i="34"/>
  <c r="E94" i="34"/>
  <c r="W188" i="14"/>
  <c r="N148" i="14"/>
  <c r="E168" i="14"/>
  <c r="N100" i="32"/>
  <c r="E110" i="37"/>
  <c r="N205" i="22"/>
  <c r="E172" i="14"/>
  <c r="N160" i="5"/>
  <c r="N187" i="14"/>
  <c r="E174" i="15"/>
  <c r="E189" i="5"/>
  <c r="N180" i="7"/>
  <c r="E104" i="29"/>
  <c r="N87" i="31"/>
  <c r="N183" i="18"/>
  <c r="E184" i="14"/>
  <c r="N211" i="15"/>
  <c r="N180" i="15"/>
  <c r="W166" i="18"/>
  <c r="N83" i="32"/>
  <c r="E174" i="23"/>
  <c r="N181" i="25"/>
  <c r="E164" i="22"/>
  <c r="E199" i="19"/>
  <c r="N187" i="13"/>
  <c r="N149" i="14"/>
  <c r="N191" i="11"/>
  <c r="N152" i="7"/>
  <c r="E97" i="34"/>
  <c r="E166" i="3"/>
  <c r="E101" i="29"/>
  <c r="E83" i="31"/>
  <c r="E175" i="14"/>
  <c r="N195" i="3"/>
  <c r="E100" i="28"/>
  <c r="E88" i="29"/>
  <c r="N179" i="24"/>
  <c r="W166" i="20"/>
  <c r="E168" i="25"/>
  <c r="N101" i="34"/>
  <c r="N144" i="26"/>
  <c r="E174" i="11"/>
  <c r="N149" i="18"/>
  <c r="E177" i="18"/>
  <c r="N111" i="37"/>
  <c r="E156" i="8"/>
  <c r="N164" i="9"/>
  <c r="E190" i="14"/>
  <c r="E165" i="19"/>
  <c r="N174" i="1"/>
  <c r="E149" i="24"/>
  <c r="N157" i="5"/>
  <c r="N198" i="15"/>
  <c r="N165" i="21"/>
  <c r="N177" i="19"/>
  <c r="W195" i="19"/>
  <c r="W177" i="18"/>
  <c r="N152" i="17"/>
  <c r="N150" i="26"/>
  <c r="W136" i="26"/>
  <c r="N157" i="26"/>
  <c r="W189" i="22"/>
  <c r="E170" i="5"/>
  <c r="E187" i="14"/>
  <c r="N170" i="19"/>
  <c r="E172" i="23"/>
  <c r="N189" i="14"/>
  <c r="N159" i="21"/>
  <c r="W104" i="32"/>
  <c r="E186" i="2"/>
  <c r="E148" i="1"/>
  <c r="E159" i="1"/>
  <c r="N147" i="1"/>
  <c r="E167" i="22"/>
  <c r="N207" i="22"/>
  <c r="W184" i="22"/>
  <c r="E176" i="22"/>
  <c r="E205" i="22"/>
  <c r="E202" i="22"/>
  <c r="E192" i="22"/>
  <c r="N169" i="22"/>
  <c r="E200" i="22"/>
  <c r="W168" i="22"/>
  <c r="W186" i="22"/>
  <c r="N163" i="22"/>
  <c r="E190" i="22"/>
  <c r="E170" i="22"/>
  <c r="E199" i="22"/>
  <c r="N191" i="22"/>
  <c r="N171" i="22"/>
  <c r="W180" i="22"/>
  <c r="W172" i="22"/>
  <c r="N189" i="22"/>
  <c r="E202" i="23"/>
  <c r="E197" i="23"/>
  <c r="E187" i="23"/>
  <c r="E166" i="23"/>
  <c r="E188" i="23"/>
  <c r="E175" i="23"/>
  <c r="E156" i="23"/>
  <c r="N186" i="23"/>
  <c r="W189" i="23"/>
  <c r="N175" i="23"/>
  <c r="N181" i="23"/>
  <c r="E184" i="23"/>
  <c r="E154" i="23"/>
  <c r="W155" i="23"/>
  <c r="E196" i="23"/>
  <c r="N154" i="23"/>
  <c r="E191" i="23"/>
  <c r="N158" i="23"/>
  <c r="E160" i="23"/>
  <c r="E182" i="23"/>
  <c r="E186" i="23"/>
  <c r="E153" i="23"/>
  <c r="N185" i="23"/>
  <c r="N179" i="23"/>
  <c r="W183" i="24"/>
  <c r="E168" i="24"/>
  <c r="N187" i="24"/>
  <c r="N164" i="24"/>
  <c r="N191" i="24"/>
  <c r="W176" i="24"/>
  <c r="W165" i="24"/>
  <c r="N183" i="24"/>
  <c r="E172" i="24"/>
  <c r="W177" i="24"/>
  <c r="E184" i="24"/>
  <c r="E195" i="24"/>
  <c r="W187" i="25"/>
  <c r="N188" i="25"/>
  <c r="N152" i="25"/>
  <c r="E170" i="25"/>
  <c r="E195" i="25"/>
  <c r="N187" i="25"/>
  <c r="N162" i="25"/>
  <c r="W170" i="25"/>
  <c r="N155" i="25"/>
  <c r="N195" i="25"/>
  <c r="N153" i="25"/>
  <c r="N173" i="25"/>
  <c r="E165" i="25"/>
  <c r="E150" i="25"/>
  <c r="E151" i="25"/>
  <c r="E148" i="25"/>
  <c r="N196" i="25"/>
  <c r="W183" i="25"/>
  <c r="W145" i="25"/>
  <c r="N127" i="26"/>
  <c r="E144" i="26"/>
  <c r="E124" i="26"/>
  <c r="E146" i="26"/>
  <c r="E145" i="26"/>
  <c r="E126" i="26"/>
  <c r="N129" i="26"/>
  <c r="E125" i="26"/>
  <c r="E128" i="26"/>
  <c r="E123" i="26"/>
  <c r="N158" i="26"/>
  <c r="N125" i="26"/>
  <c r="N146" i="26"/>
  <c r="N142" i="26"/>
  <c r="E134" i="26"/>
  <c r="W144" i="26"/>
  <c r="E154" i="26"/>
  <c r="N155" i="26"/>
  <c r="W103" i="37"/>
  <c r="W112" i="37"/>
  <c r="E108" i="37"/>
  <c r="E106" i="37"/>
  <c r="N107" i="37"/>
  <c r="N100" i="37"/>
  <c r="N103" i="37"/>
  <c r="N108" i="37"/>
  <c r="N94" i="37"/>
  <c r="N104" i="37"/>
  <c r="E107" i="37"/>
  <c r="E99" i="37"/>
  <c r="N110" i="37"/>
  <c r="E115" i="37"/>
  <c r="E104" i="37"/>
  <c r="E93" i="37"/>
  <c r="E111" i="37"/>
  <c r="N95" i="37"/>
  <c r="E115" i="36"/>
  <c r="E129" i="16"/>
  <c r="N136" i="16"/>
  <c r="E144" i="16"/>
  <c r="E150" i="16"/>
  <c r="W155" i="16"/>
  <c r="E138" i="16"/>
  <c r="N164" i="16"/>
  <c r="E145" i="16"/>
  <c r="E153" i="16"/>
  <c r="W147" i="16"/>
  <c r="E146" i="16"/>
  <c r="E135" i="16"/>
  <c r="E133" i="16"/>
  <c r="E134" i="16"/>
  <c r="N135" i="16"/>
  <c r="E137" i="35"/>
  <c r="N125" i="35"/>
  <c r="N129" i="35"/>
  <c r="E129" i="35"/>
  <c r="E141" i="35"/>
  <c r="N143" i="35"/>
  <c r="N126" i="35"/>
  <c r="N140" i="35"/>
  <c r="N152" i="18"/>
  <c r="N191" i="18"/>
  <c r="N158" i="18"/>
  <c r="W154" i="18"/>
  <c r="N192" i="18"/>
  <c r="N199" i="18"/>
  <c r="E188" i="18"/>
  <c r="N188" i="18"/>
  <c r="E155" i="18"/>
  <c r="N196" i="18"/>
  <c r="N157" i="18"/>
  <c r="N184" i="18"/>
  <c r="E147" i="18"/>
  <c r="E158" i="18"/>
  <c r="N165" i="18"/>
  <c r="W169" i="18"/>
  <c r="E160" i="19"/>
  <c r="E166" i="19"/>
  <c r="N195" i="19"/>
  <c r="E176" i="19"/>
  <c r="E132" i="20"/>
  <c r="E127" i="20"/>
  <c r="E142" i="20"/>
  <c r="W157" i="21"/>
  <c r="W186" i="21"/>
  <c r="E142" i="21"/>
  <c r="N192" i="21"/>
  <c r="E193" i="21"/>
  <c r="N195" i="21"/>
  <c r="N179" i="21"/>
  <c r="N160" i="21"/>
  <c r="N177" i="21"/>
  <c r="E147" i="21"/>
  <c r="E143" i="21"/>
  <c r="E180" i="21"/>
  <c r="N167" i="21"/>
  <c r="E195" i="21"/>
  <c r="N193" i="21"/>
  <c r="W83" i="34"/>
  <c r="N97" i="34"/>
  <c r="N98" i="34"/>
  <c r="E95" i="34"/>
  <c r="N86" i="34"/>
  <c r="N83" i="34"/>
  <c r="W91" i="34"/>
  <c r="E94" i="33"/>
  <c r="N84" i="33"/>
  <c r="N91" i="33"/>
  <c r="E99" i="33"/>
  <c r="E178" i="9"/>
  <c r="E164" i="9"/>
  <c r="N190" i="9"/>
  <c r="E160" i="9"/>
  <c r="N208" i="9"/>
  <c r="N189" i="9"/>
  <c r="E210" i="9"/>
  <c r="N187" i="9"/>
  <c r="W164" i="11"/>
  <c r="E194" i="12"/>
  <c r="W145" i="12"/>
  <c r="E160" i="12"/>
  <c r="E184" i="12"/>
  <c r="E154" i="12"/>
  <c r="W171" i="12"/>
  <c r="E163" i="12"/>
  <c r="W152" i="12"/>
  <c r="E84" i="32"/>
  <c r="N147" i="14"/>
  <c r="E170" i="14"/>
  <c r="N151" i="14"/>
  <c r="N203" i="15"/>
  <c r="E189" i="15"/>
  <c r="N213" i="15"/>
  <c r="W191" i="15"/>
  <c r="E190" i="15"/>
  <c r="N174" i="15"/>
  <c r="E214" i="15"/>
  <c r="N166" i="15"/>
  <c r="N194" i="15"/>
  <c r="N164" i="15"/>
  <c r="N163" i="15"/>
  <c r="N167" i="15"/>
  <c r="E186" i="15"/>
  <c r="N190" i="15"/>
  <c r="E180" i="8"/>
  <c r="E178" i="8"/>
  <c r="E182" i="8"/>
  <c r="E165" i="8"/>
  <c r="E163" i="8"/>
  <c r="N154" i="8"/>
  <c r="E197" i="8"/>
  <c r="N153" i="8"/>
  <c r="E185" i="8"/>
  <c r="E166" i="8"/>
  <c r="E207" i="8"/>
  <c r="E160" i="8"/>
  <c r="N82" i="31"/>
  <c r="E100" i="31"/>
  <c r="E194" i="7"/>
  <c r="N179" i="7"/>
  <c r="E144" i="7"/>
  <c r="E178" i="7"/>
  <c r="E156" i="7"/>
  <c r="N167" i="7"/>
  <c r="E147" i="7"/>
  <c r="E153" i="7"/>
  <c r="N182" i="7"/>
  <c r="N194" i="7"/>
  <c r="N181" i="7"/>
  <c r="N174" i="7"/>
  <c r="N145" i="7"/>
  <c r="N190" i="7"/>
  <c r="N144" i="5"/>
  <c r="N147" i="5"/>
  <c r="E146" i="5"/>
  <c r="E160" i="2"/>
  <c r="W144" i="2"/>
  <c r="E181" i="2"/>
  <c r="E166" i="2"/>
  <c r="E168" i="1"/>
  <c r="E172" i="1"/>
  <c r="E167" i="1"/>
  <c r="E182" i="1"/>
  <c r="N129" i="20"/>
  <c r="N208" i="22"/>
  <c r="E146" i="17"/>
  <c r="N175" i="8"/>
  <c r="N95" i="31"/>
  <c r="E169" i="15"/>
  <c r="E190" i="3"/>
  <c r="W201" i="15"/>
  <c r="E179" i="3"/>
  <c r="N90" i="29"/>
  <c r="E157" i="13"/>
  <c r="E166" i="24"/>
  <c r="E199" i="18"/>
  <c r="N184" i="17"/>
  <c r="E183" i="11"/>
  <c r="N147" i="17"/>
  <c r="N168" i="17"/>
  <c r="E135" i="26"/>
  <c r="E199" i="11"/>
  <c r="E141" i="20"/>
  <c r="W145" i="20"/>
  <c r="E153" i="8"/>
  <c r="W181" i="24"/>
  <c r="E179" i="24"/>
  <c r="E178" i="11"/>
  <c r="E202" i="18"/>
  <c r="E201" i="18"/>
  <c r="E102" i="33"/>
  <c r="E158" i="22"/>
  <c r="E158" i="24"/>
  <c r="W201" i="19"/>
  <c r="E156" i="17"/>
  <c r="E184" i="17"/>
  <c r="N179" i="8"/>
  <c r="N195" i="8"/>
  <c r="N177" i="5"/>
  <c r="E195" i="14"/>
  <c r="E201" i="3"/>
  <c r="E155" i="3"/>
  <c r="N184" i="3"/>
  <c r="E103" i="31"/>
  <c r="N196" i="5"/>
  <c r="N146" i="21"/>
  <c r="N175" i="21"/>
  <c r="N150" i="18"/>
  <c r="N210" i="9"/>
  <c r="N167" i="18"/>
  <c r="E142" i="24"/>
  <c r="E158" i="5"/>
  <c r="E88" i="32"/>
  <c r="N167" i="3"/>
  <c r="N105" i="28"/>
  <c r="E163" i="22"/>
  <c r="E194" i="24"/>
  <c r="N190" i="17"/>
  <c r="N191" i="23"/>
  <c r="W148" i="26"/>
  <c r="W169" i="7"/>
  <c r="L169" i="7"/>
  <c r="H169" i="7"/>
  <c r="E180" i="5"/>
  <c r="E155" i="2"/>
  <c r="E189" i="2"/>
  <c r="N163" i="5"/>
  <c r="E141" i="7"/>
  <c r="N195" i="15"/>
  <c r="E165" i="15"/>
  <c r="N188" i="15"/>
  <c r="E206" i="15"/>
  <c r="W180" i="21"/>
  <c r="N173" i="19"/>
  <c r="E164" i="18"/>
  <c r="E145" i="17"/>
  <c r="E125" i="36"/>
  <c r="E120" i="36"/>
  <c r="E162" i="23"/>
  <c r="E180" i="23"/>
  <c r="N171" i="23"/>
  <c r="N165" i="23"/>
  <c r="N202" i="22"/>
  <c r="E189" i="22"/>
  <c r="N203" i="22"/>
  <c r="N147" i="11"/>
  <c r="E166" i="17"/>
  <c r="E147" i="17"/>
  <c r="W181" i="17"/>
  <c r="E159" i="25"/>
  <c r="N189" i="25"/>
  <c r="N122" i="35"/>
  <c r="E146" i="11"/>
  <c r="E193" i="12"/>
  <c r="E170" i="12"/>
  <c r="E96" i="28"/>
  <c r="N157" i="7"/>
  <c r="N99" i="32"/>
  <c r="E94" i="32"/>
  <c r="E195" i="18"/>
  <c r="E144" i="5"/>
  <c r="N112" i="37"/>
  <c r="E184" i="21"/>
  <c r="N146" i="5"/>
  <c r="W179" i="14"/>
  <c r="E146" i="24"/>
  <c r="E160" i="17"/>
  <c r="E187" i="18"/>
  <c r="E179" i="15"/>
  <c r="E162" i="2"/>
  <c r="N164" i="5"/>
  <c r="E163" i="7"/>
  <c r="N196" i="15"/>
  <c r="N173" i="12"/>
  <c r="N180" i="12"/>
  <c r="W199" i="15"/>
  <c r="W189" i="10"/>
  <c r="W183" i="10"/>
  <c r="E182" i="9"/>
  <c r="E205" i="9"/>
  <c r="N211" i="9"/>
  <c r="N180" i="21"/>
  <c r="E150" i="21"/>
  <c r="N152" i="21"/>
  <c r="E181" i="19"/>
  <c r="N159" i="19"/>
  <c r="N195" i="18"/>
  <c r="E162" i="18"/>
  <c r="W181" i="18"/>
  <c r="E163" i="17"/>
  <c r="E117" i="36"/>
  <c r="E130" i="36"/>
  <c r="E148" i="26"/>
  <c r="N131" i="26"/>
  <c r="E182" i="25"/>
  <c r="E146" i="25"/>
  <c r="N184" i="25"/>
  <c r="W174" i="22"/>
  <c r="W190" i="22"/>
  <c r="N177" i="22"/>
  <c r="N178" i="22"/>
  <c r="E188" i="2"/>
  <c r="E157" i="17"/>
  <c r="E165" i="11"/>
  <c r="E193" i="11"/>
  <c r="N189" i="11"/>
  <c r="E155" i="16"/>
  <c r="E151" i="16"/>
  <c r="E158" i="3"/>
  <c r="E161" i="16"/>
  <c r="E205" i="15"/>
  <c r="N171" i="19"/>
  <c r="E197" i="14"/>
  <c r="E155" i="25"/>
  <c r="E170" i="9"/>
  <c r="W189" i="13"/>
  <c r="E152" i="5"/>
  <c r="E180" i="2"/>
  <c r="N167" i="5"/>
  <c r="N166" i="7"/>
  <c r="E168" i="15"/>
  <c r="E155" i="12"/>
  <c r="E163" i="15"/>
  <c r="E180" i="15"/>
  <c r="N207" i="9"/>
  <c r="N153" i="18"/>
  <c r="W192" i="18"/>
  <c r="E128" i="36"/>
  <c r="N128" i="36"/>
  <c r="E176" i="25"/>
  <c r="E155" i="23"/>
  <c r="E201" i="22"/>
  <c r="N181" i="22"/>
  <c r="W196" i="22"/>
  <c r="N182" i="22"/>
  <c r="N156" i="16"/>
  <c r="E158" i="16"/>
  <c r="E148" i="16"/>
  <c r="N162" i="14"/>
  <c r="E164" i="19"/>
  <c r="E159" i="17"/>
  <c r="E188" i="8"/>
  <c r="E103" i="34"/>
  <c r="W103" i="34"/>
  <c r="N95" i="34"/>
  <c r="E98" i="34"/>
  <c r="E88" i="34"/>
  <c r="E84" i="34"/>
  <c r="N158" i="21"/>
  <c r="N181" i="21"/>
  <c r="E145" i="21"/>
  <c r="E158" i="21"/>
  <c r="N184" i="21"/>
  <c r="N150" i="21"/>
  <c r="E189" i="21"/>
  <c r="E151" i="21"/>
  <c r="E157" i="21"/>
  <c r="N164" i="21"/>
  <c r="E173" i="21"/>
  <c r="N149" i="21"/>
  <c r="E161" i="21"/>
  <c r="N173" i="18"/>
  <c r="N148" i="18"/>
  <c r="N204" i="22"/>
  <c r="N178" i="25"/>
  <c r="N170" i="25"/>
  <c r="N177" i="25"/>
  <c r="N146" i="25"/>
  <c r="N130" i="16"/>
  <c r="N140" i="16"/>
  <c r="N147" i="16"/>
  <c r="E193" i="17"/>
  <c r="E154" i="17"/>
  <c r="E178" i="17"/>
  <c r="E150" i="17"/>
  <c r="E167" i="17"/>
  <c r="N174" i="17"/>
  <c r="N166" i="17"/>
  <c r="N192" i="17"/>
  <c r="E177" i="17"/>
  <c r="E147" i="20"/>
  <c r="E163" i="20"/>
  <c r="E174" i="20"/>
  <c r="N142" i="20"/>
  <c r="N127" i="20"/>
  <c r="N90" i="34"/>
  <c r="E102" i="34"/>
  <c r="E91" i="34"/>
  <c r="N89" i="34"/>
  <c r="E93" i="34"/>
  <c r="E100" i="34"/>
  <c r="N88" i="33"/>
  <c r="N171" i="9"/>
  <c r="E189" i="9"/>
  <c r="N161" i="9"/>
  <c r="N184" i="9"/>
  <c r="E162" i="9"/>
  <c r="N191" i="9"/>
  <c r="N179" i="9"/>
  <c r="E184" i="10"/>
  <c r="W144" i="11"/>
  <c r="N185" i="11"/>
  <c r="N92" i="32"/>
  <c r="W197" i="13"/>
  <c r="N190" i="13"/>
  <c r="N203" i="13"/>
  <c r="W193" i="13"/>
  <c r="N178" i="13"/>
  <c r="E181" i="13"/>
  <c r="E165" i="13"/>
  <c r="E183" i="13"/>
  <c r="N180" i="13"/>
  <c r="E195" i="13"/>
  <c r="E179" i="13"/>
  <c r="E177" i="13"/>
  <c r="N176" i="13"/>
  <c r="E196" i="14"/>
  <c r="E155" i="14"/>
  <c r="E194" i="14"/>
  <c r="W178" i="14"/>
  <c r="N182" i="14"/>
  <c r="N168" i="8"/>
  <c r="E158" i="8"/>
  <c r="N199" i="8"/>
  <c r="E206" i="8"/>
  <c r="E205" i="8"/>
  <c r="E190" i="8"/>
  <c r="E171" i="8"/>
  <c r="N88" i="31"/>
  <c r="N195" i="7"/>
  <c r="E103" i="29"/>
  <c r="E100" i="29"/>
  <c r="E92" i="29"/>
  <c r="E90" i="29"/>
  <c r="E99" i="29"/>
  <c r="E113" i="28"/>
  <c r="E111" i="28"/>
  <c r="N157" i="3"/>
  <c r="E169" i="3"/>
  <c r="E185" i="12"/>
  <c r="N197" i="3"/>
  <c r="N155" i="11"/>
  <c r="E187" i="11"/>
  <c r="N109" i="29"/>
  <c r="W194" i="10"/>
  <c r="E152" i="21"/>
  <c r="N162" i="21"/>
  <c r="N185" i="19"/>
  <c r="E191" i="18"/>
  <c r="E168" i="18"/>
  <c r="E150" i="18"/>
  <c r="N136" i="26"/>
  <c r="E185" i="24"/>
  <c r="N201" i="23"/>
  <c r="E87" i="30"/>
  <c r="E185" i="14"/>
  <c r="W177" i="11"/>
  <c r="N184" i="11"/>
  <c r="N146" i="16"/>
  <c r="E103" i="32"/>
  <c r="N132" i="6"/>
  <c r="W169" i="20"/>
  <c r="N144" i="35"/>
  <c r="E152" i="23"/>
  <c r="W162" i="11"/>
  <c r="W188" i="8"/>
  <c r="N183" i="3"/>
  <c r="N182" i="3"/>
  <c r="W201" i="8"/>
  <c r="N205" i="3"/>
  <c r="E194" i="3"/>
  <c r="W106" i="28"/>
  <c r="E160" i="11"/>
  <c r="W148" i="16"/>
  <c r="E124" i="35"/>
  <c r="N173" i="21"/>
  <c r="N189" i="21"/>
  <c r="N186" i="18"/>
  <c r="W171" i="25"/>
  <c r="E203" i="23"/>
  <c r="N173" i="15"/>
  <c r="N101" i="31"/>
  <c r="W179" i="12"/>
  <c r="N193" i="17"/>
  <c r="E126" i="35"/>
  <c r="N131" i="35"/>
  <c r="N180" i="25"/>
  <c r="N161" i="24"/>
  <c r="E99" i="31"/>
  <c r="W143" i="16"/>
  <c r="N182" i="24"/>
  <c r="N161" i="8"/>
  <c r="N191" i="8"/>
  <c r="E202" i="8"/>
  <c r="N193" i="15"/>
  <c r="E144" i="35"/>
  <c r="E169" i="24"/>
  <c r="W93" i="38"/>
  <c r="E156" i="22"/>
  <c r="E166" i="18"/>
  <c r="N161" i="15"/>
  <c r="E193" i="15"/>
  <c r="W201" i="10"/>
  <c r="N180" i="9"/>
  <c r="W184" i="9"/>
  <c r="E163" i="21"/>
  <c r="N166" i="21"/>
  <c r="E162" i="21"/>
  <c r="N150" i="25"/>
  <c r="E189" i="23"/>
  <c r="E191" i="7"/>
  <c r="N178" i="14"/>
  <c r="N178" i="11"/>
  <c r="N199" i="11"/>
  <c r="N172" i="8"/>
  <c r="N163" i="8"/>
  <c r="N182" i="8"/>
  <c r="E96" i="34"/>
  <c r="N164" i="8"/>
  <c r="N159" i="3"/>
  <c r="N174" i="3"/>
  <c r="N177" i="3"/>
  <c r="W152" i="20"/>
  <c r="N157" i="22"/>
  <c r="E97" i="32"/>
  <c r="E164" i="8"/>
  <c r="E174" i="7"/>
  <c r="E175" i="12"/>
  <c r="W165" i="12"/>
  <c r="N187" i="15"/>
  <c r="W163" i="9"/>
  <c r="N155" i="18"/>
  <c r="N179" i="18"/>
  <c r="N153" i="24"/>
  <c r="N183" i="23"/>
  <c r="N131" i="16"/>
  <c r="E178" i="14"/>
  <c r="N175" i="11"/>
  <c r="E190" i="11"/>
  <c r="N147" i="21"/>
  <c r="E148" i="18"/>
  <c r="E132" i="16"/>
  <c r="E188" i="22"/>
  <c r="E196" i="22"/>
  <c r="E208" i="22"/>
  <c r="E186" i="22"/>
  <c r="N172" i="22"/>
  <c r="W156" i="22"/>
  <c r="E174" i="22"/>
  <c r="E160" i="22"/>
  <c r="E207" i="22"/>
  <c r="N180" i="22"/>
  <c r="N158" i="22"/>
  <c r="N186" i="22"/>
  <c r="E157" i="22"/>
  <c r="E172" i="22"/>
  <c r="E168" i="22"/>
  <c r="N156" i="22"/>
  <c r="N173" i="22"/>
  <c r="E198" i="22"/>
  <c r="W204" i="22"/>
  <c r="N159" i="22"/>
  <c r="N167" i="22"/>
  <c r="N166" i="22"/>
  <c r="N170" i="22"/>
  <c r="E181" i="22"/>
  <c r="N187" i="23"/>
  <c r="N204" i="23"/>
  <c r="N184" i="23"/>
  <c r="E163" i="23"/>
  <c r="E157" i="23"/>
  <c r="W168" i="23"/>
  <c r="N176" i="23"/>
  <c r="W166" i="23"/>
  <c r="W185" i="23"/>
  <c r="N173" i="23"/>
  <c r="N159" i="23"/>
  <c r="W194" i="23"/>
  <c r="N192" i="23"/>
  <c r="N195" i="23"/>
  <c r="N188" i="24"/>
  <c r="N171" i="24"/>
  <c r="N157" i="24"/>
  <c r="E174" i="24"/>
  <c r="N151" i="24"/>
  <c r="N170" i="24"/>
  <c r="N176" i="24"/>
  <c r="W179" i="24"/>
  <c r="N143" i="24"/>
  <c r="E156" i="24"/>
  <c r="W193" i="24"/>
  <c r="N142" i="24"/>
  <c r="E155" i="24"/>
  <c r="N158" i="24"/>
  <c r="W161" i="24"/>
  <c r="N150" i="24"/>
  <c r="E162" i="24"/>
  <c r="E180" i="24"/>
  <c r="N181" i="24"/>
  <c r="E153" i="24"/>
  <c r="E145" i="25"/>
  <c r="N151" i="25"/>
  <c r="E190" i="25"/>
  <c r="N185" i="25"/>
  <c r="N192" i="25"/>
  <c r="N156" i="25"/>
  <c r="E199" i="25"/>
  <c r="N145" i="25"/>
  <c r="E178" i="25"/>
  <c r="N186" i="25"/>
  <c r="N158" i="25"/>
  <c r="W155" i="25"/>
  <c r="N148" i="25"/>
  <c r="W154" i="25"/>
  <c r="N182" i="25"/>
  <c r="N190" i="25"/>
  <c r="N159" i="26"/>
  <c r="N123" i="26"/>
  <c r="E133" i="26"/>
  <c r="E130" i="26"/>
  <c r="N135" i="26"/>
  <c r="N147" i="26"/>
  <c r="N151" i="26"/>
  <c r="E149" i="26"/>
  <c r="E150" i="26"/>
  <c r="N99" i="37"/>
  <c r="N113" i="37"/>
  <c r="N92" i="37"/>
  <c r="N93" i="37"/>
  <c r="W134" i="16"/>
  <c r="E143" i="16"/>
  <c r="N155" i="16"/>
  <c r="N152" i="16"/>
  <c r="N148" i="16"/>
  <c r="E138" i="35"/>
  <c r="W135" i="35"/>
  <c r="N137" i="35"/>
  <c r="N121" i="35"/>
  <c r="E125" i="35"/>
  <c r="E164" i="17"/>
  <c r="N149" i="17"/>
  <c r="W166" i="17"/>
  <c r="N191" i="17"/>
  <c r="N194" i="17"/>
  <c r="E173" i="17"/>
  <c r="W170" i="17"/>
  <c r="E175" i="17"/>
  <c r="E144" i="17"/>
  <c r="E183" i="17"/>
  <c r="N199" i="17"/>
  <c r="W198" i="17"/>
  <c r="N162" i="17"/>
  <c r="N148" i="17"/>
  <c r="E155" i="17"/>
  <c r="E181" i="17"/>
  <c r="N182" i="17"/>
  <c r="W183" i="17"/>
  <c r="N178" i="17"/>
  <c r="E198" i="17"/>
  <c r="N183" i="17"/>
  <c r="E153" i="17"/>
  <c r="W184" i="17"/>
  <c r="N181" i="17"/>
  <c r="N161" i="17"/>
  <c r="N144" i="17"/>
  <c r="N157" i="17"/>
  <c r="E167" i="18"/>
  <c r="N177" i="18"/>
  <c r="E169" i="18"/>
  <c r="E156" i="18"/>
  <c r="N197" i="18"/>
  <c r="N174" i="18"/>
  <c r="W184" i="18"/>
  <c r="E175" i="18"/>
  <c r="N189" i="18"/>
  <c r="E189" i="18"/>
  <c r="N176" i="18"/>
  <c r="N151" i="18"/>
  <c r="N156" i="18"/>
  <c r="W187" i="18"/>
  <c r="E197" i="18"/>
  <c r="E153" i="18"/>
  <c r="N181" i="18"/>
  <c r="E178" i="18"/>
  <c r="W162" i="18"/>
  <c r="E154" i="19"/>
  <c r="E180" i="19"/>
  <c r="E177" i="19"/>
  <c r="N194" i="19"/>
  <c r="W175" i="19"/>
  <c r="N179" i="19"/>
  <c r="E205" i="19"/>
  <c r="E178" i="19"/>
  <c r="E200" i="19"/>
  <c r="N165" i="19"/>
  <c r="N178" i="19"/>
  <c r="N196" i="19"/>
  <c r="W161" i="19"/>
  <c r="E191" i="19"/>
  <c r="E189" i="19"/>
  <c r="N161" i="19"/>
  <c r="E157" i="19"/>
  <c r="N167" i="19"/>
  <c r="N181" i="19"/>
  <c r="N167" i="20"/>
  <c r="W127" i="20"/>
  <c r="W154" i="20"/>
  <c r="E173" i="20"/>
  <c r="W155" i="20"/>
  <c r="N173" i="20"/>
  <c r="E134" i="20"/>
  <c r="W164" i="20"/>
  <c r="N154" i="20"/>
  <c r="E161" i="20"/>
  <c r="E179" i="21"/>
  <c r="N171" i="21"/>
  <c r="N188" i="21"/>
  <c r="E197" i="21"/>
  <c r="E177" i="21"/>
  <c r="N151" i="21"/>
  <c r="E148" i="21"/>
  <c r="E176" i="21"/>
  <c r="W150" i="21"/>
  <c r="E182" i="21"/>
  <c r="N168" i="21"/>
  <c r="N145" i="21"/>
  <c r="W162" i="21"/>
  <c r="N196" i="21"/>
  <c r="E185" i="21"/>
  <c r="E171" i="21"/>
  <c r="N86" i="33"/>
  <c r="W180" i="9"/>
  <c r="E181" i="9"/>
  <c r="N173" i="9"/>
  <c r="N206" i="9"/>
  <c r="W164" i="9"/>
  <c r="N199" i="9"/>
  <c r="E179" i="9"/>
  <c r="E171" i="9"/>
  <c r="N183" i="9"/>
  <c r="E167" i="9"/>
  <c r="W185" i="10"/>
  <c r="W199" i="10"/>
  <c r="W170" i="10"/>
  <c r="W203" i="10"/>
  <c r="N157" i="11"/>
  <c r="N193" i="11"/>
  <c r="W182" i="11"/>
  <c r="N168" i="11"/>
  <c r="N177" i="11"/>
  <c r="E158" i="11"/>
  <c r="N174" i="11"/>
  <c r="E144" i="11"/>
  <c r="E191" i="11"/>
  <c r="E192" i="11"/>
  <c r="W174" i="11"/>
  <c r="N151" i="11"/>
  <c r="W195" i="12"/>
  <c r="E159" i="12"/>
  <c r="N193" i="12"/>
  <c r="N170" i="12"/>
  <c r="E158" i="12"/>
  <c r="E150" i="12"/>
  <c r="E157" i="12"/>
  <c r="W192" i="12"/>
  <c r="N175" i="12"/>
  <c r="E174" i="12"/>
  <c r="N97" i="32"/>
  <c r="E106" i="32"/>
  <c r="E101" i="32"/>
  <c r="N89" i="32"/>
  <c r="W106" i="32"/>
  <c r="N207" i="13"/>
  <c r="W195" i="13"/>
  <c r="E206" i="13"/>
  <c r="E192" i="13"/>
  <c r="N157" i="13"/>
  <c r="E199" i="14"/>
  <c r="E183" i="14"/>
  <c r="N174" i="14"/>
  <c r="E159" i="14"/>
  <c r="N194" i="14"/>
  <c r="N143" i="6"/>
  <c r="N83" i="30"/>
  <c r="W75" i="30"/>
  <c r="E172" i="7"/>
  <c r="E161" i="7"/>
  <c r="E173" i="7"/>
  <c r="E190" i="7"/>
  <c r="N160" i="7"/>
  <c r="N91" i="31"/>
  <c r="N97" i="31"/>
  <c r="W96" i="38"/>
  <c r="E105" i="37"/>
  <c r="E94" i="37"/>
  <c r="E101" i="37"/>
  <c r="E95" i="37"/>
  <c r="E97" i="37"/>
  <c r="N98" i="37"/>
  <c r="N114" i="37"/>
  <c r="N106" i="37"/>
  <c r="E102" i="37"/>
  <c r="E135" i="36"/>
  <c r="W129" i="36"/>
  <c r="E134" i="36"/>
  <c r="N123" i="36"/>
  <c r="N120" i="36"/>
  <c r="N113" i="36"/>
  <c r="E122" i="36"/>
  <c r="N160" i="16"/>
  <c r="N151" i="16"/>
  <c r="N138" i="16"/>
  <c r="N142" i="16"/>
  <c r="E130" i="16"/>
  <c r="E165" i="16"/>
  <c r="N139" i="16"/>
  <c r="W174" i="17"/>
  <c r="E196" i="17"/>
  <c r="N154" i="17"/>
  <c r="E180" i="17"/>
  <c r="E190" i="17"/>
  <c r="E165" i="17"/>
  <c r="E148" i="17"/>
  <c r="E174" i="17"/>
  <c r="N197" i="17"/>
  <c r="N163" i="17"/>
  <c r="E197" i="17"/>
  <c r="N177" i="17"/>
  <c r="E189" i="17"/>
  <c r="N176" i="17"/>
  <c r="N100" i="34"/>
  <c r="N96" i="34"/>
  <c r="E89" i="34"/>
  <c r="E87" i="34"/>
  <c r="E86" i="34"/>
  <c r="E104" i="34"/>
  <c r="N84" i="34"/>
  <c r="N87" i="33"/>
  <c r="E101" i="33"/>
  <c r="N85" i="33"/>
  <c r="W167" i="10"/>
  <c r="E216" i="10"/>
  <c r="W213" i="10"/>
  <c r="N182" i="10"/>
  <c r="W175" i="10"/>
  <c r="N210" i="15"/>
  <c r="N172" i="15"/>
  <c r="E171" i="15"/>
  <c r="E175" i="15"/>
  <c r="E191" i="15"/>
  <c r="E203" i="15"/>
  <c r="E208" i="15"/>
  <c r="E215" i="15"/>
  <c r="E173" i="15"/>
  <c r="N165" i="15"/>
  <c r="E204" i="15"/>
  <c r="E172" i="15"/>
  <c r="E212" i="15"/>
  <c r="N171" i="15"/>
  <c r="E166" i="15"/>
  <c r="E164" i="15"/>
  <c r="N209" i="15"/>
  <c r="E196" i="15"/>
  <c r="N184" i="15"/>
  <c r="E178" i="15"/>
  <c r="N189" i="15"/>
  <c r="E170" i="15"/>
  <c r="E201" i="15"/>
  <c r="E195" i="15"/>
  <c r="N191" i="15"/>
  <c r="N206" i="15"/>
  <c r="E187" i="15"/>
  <c r="E183" i="15"/>
  <c r="E179" i="7"/>
  <c r="E154" i="7"/>
  <c r="E186" i="7"/>
  <c r="E177" i="7"/>
  <c r="N168" i="7"/>
  <c r="E188" i="7"/>
  <c r="E187" i="7"/>
  <c r="N156" i="7"/>
  <c r="E185" i="7"/>
  <c r="E159" i="7"/>
  <c r="E160" i="7"/>
  <c r="E158" i="7"/>
  <c r="E151" i="7"/>
  <c r="E193" i="7"/>
  <c r="N188" i="7"/>
  <c r="N172" i="7"/>
  <c r="N170" i="7"/>
  <c r="N162" i="7"/>
  <c r="E142" i="7"/>
  <c r="N173" i="7"/>
  <c r="E175" i="7"/>
  <c r="N163" i="7"/>
  <c r="N149" i="7"/>
  <c r="N185" i="7"/>
  <c r="N165" i="7"/>
  <c r="E149" i="7"/>
  <c r="N143" i="7"/>
  <c r="N184" i="7"/>
  <c r="E168" i="7"/>
  <c r="N176" i="7"/>
  <c r="E143" i="7"/>
  <c r="N191" i="7"/>
  <c r="E165" i="7"/>
  <c r="E189" i="7"/>
  <c r="N171" i="7"/>
  <c r="N146" i="7"/>
  <c r="E167" i="7"/>
  <c r="N192" i="7"/>
  <c r="E184" i="7"/>
  <c r="N99" i="29"/>
  <c r="N101" i="29"/>
  <c r="N89" i="29"/>
  <c r="N104" i="29"/>
  <c r="N100" i="29"/>
  <c r="N107" i="29"/>
  <c r="E105" i="29"/>
  <c r="N151" i="6"/>
  <c r="N135" i="6"/>
  <c r="N85" i="30"/>
  <c r="E77" i="30"/>
  <c r="N77" i="30"/>
  <c r="N80" i="30"/>
  <c r="E80" i="30"/>
  <c r="N194" i="5"/>
  <c r="N170" i="5"/>
  <c r="E194" i="5"/>
  <c r="N165" i="5"/>
  <c r="E167" i="5"/>
  <c r="E190" i="5"/>
  <c r="E197" i="5"/>
  <c r="E82" i="30"/>
  <c r="E89" i="30"/>
  <c r="E79" i="30"/>
  <c r="E76" i="30"/>
  <c r="N75" i="30"/>
  <c r="N76" i="30"/>
  <c r="E75" i="30"/>
  <c r="N98" i="28"/>
  <c r="N99" i="28"/>
  <c r="E110" i="28"/>
  <c r="N93" i="28"/>
  <c r="E105" i="28"/>
  <c r="W114" i="28"/>
  <c r="N108" i="28"/>
  <c r="E197" i="2"/>
  <c r="E169" i="2"/>
  <c r="E146" i="2"/>
  <c r="E168" i="2"/>
  <c r="E199" i="2"/>
  <c r="E163" i="2"/>
  <c r="E187" i="2"/>
  <c r="E173" i="2"/>
  <c r="E172" i="2"/>
  <c r="E193" i="2"/>
  <c r="E150" i="1"/>
  <c r="E192" i="1"/>
  <c r="E151" i="1"/>
  <c r="E180" i="1"/>
  <c r="E173" i="1"/>
  <c r="N90" i="33"/>
  <c r="N92" i="33"/>
  <c r="E96" i="33"/>
  <c r="E93" i="33"/>
  <c r="E98" i="33"/>
  <c r="E100" i="33"/>
  <c r="E214" i="9"/>
  <c r="J185" i="9"/>
  <c r="E194" i="9"/>
  <c r="W206" i="9"/>
  <c r="E190" i="9"/>
  <c r="E199" i="9"/>
  <c r="E192" i="9"/>
  <c r="L185" i="9"/>
  <c r="N175" i="9"/>
  <c r="E165" i="9"/>
  <c r="E173" i="9"/>
  <c r="N172" i="9"/>
  <c r="N214" i="9"/>
  <c r="E213" i="9"/>
  <c r="E174" i="9"/>
  <c r="E166" i="9"/>
  <c r="E175" i="9"/>
  <c r="W178" i="9"/>
  <c r="N166" i="9"/>
  <c r="N163" i="9"/>
  <c r="E202" i="9"/>
  <c r="E161" i="9"/>
  <c r="N201" i="9"/>
  <c r="N170" i="9"/>
  <c r="N160" i="9"/>
  <c r="N164" i="22"/>
  <c r="E194" i="22"/>
  <c r="E184" i="22"/>
  <c r="N190" i="22"/>
  <c r="N197" i="22"/>
  <c r="E166" i="22"/>
  <c r="N201" i="22"/>
  <c r="E203" i="22"/>
  <c r="E159" i="22"/>
  <c r="N155" i="22"/>
  <c r="E179" i="22"/>
  <c r="E177" i="22"/>
  <c r="E191" i="22"/>
  <c r="E161" i="22"/>
  <c r="E165" i="22"/>
  <c r="E206" i="22"/>
  <c r="N185" i="22"/>
  <c r="E204" i="22"/>
  <c r="E193" i="23"/>
  <c r="E158" i="23"/>
  <c r="E165" i="23"/>
  <c r="N182" i="23"/>
  <c r="E179" i="23"/>
  <c r="E169" i="23"/>
  <c r="N164" i="23"/>
  <c r="N194" i="23"/>
  <c r="N156" i="23"/>
  <c r="N177" i="23"/>
  <c r="N163" i="23"/>
  <c r="N162" i="23"/>
  <c r="N205" i="23"/>
  <c r="W196" i="23"/>
  <c r="N155" i="23"/>
  <c r="E173" i="23"/>
  <c r="E199" i="23"/>
  <c r="E201" i="23"/>
  <c r="E183" i="23"/>
  <c r="E204" i="23"/>
  <c r="N196" i="23"/>
  <c r="E170" i="23"/>
  <c r="E195" i="23"/>
  <c r="N189" i="23"/>
  <c r="W158" i="23"/>
  <c r="N184" i="24"/>
  <c r="W185" i="24"/>
  <c r="N169" i="24"/>
  <c r="W153" i="24"/>
  <c r="N177" i="24"/>
  <c r="E181" i="24"/>
  <c r="N165" i="24"/>
  <c r="N155" i="24"/>
  <c r="E178" i="24"/>
  <c r="E176" i="24"/>
  <c r="N192" i="24"/>
  <c r="W184" i="24"/>
  <c r="N178" i="24"/>
  <c r="E189" i="24"/>
  <c r="E190" i="24"/>
  <c r="N189" i="24"/>
  <c r="N145" i="24"/>
  <c r="E163" i="24"/>
  <c r="W189" i="24"/>
  <c r="W141" i="24"/>
  <c r="E159" i="24"/>
  <c r="N156" i="24"/>
  <c r="E152" i="25"/>
  <c r="N171" i="25"/>
  <c r="E167" i="25"/>
  <c r="N157" i="25"/>
  <c r="E184" i="25"/>
  <c r="N199" i="25"/>
  <c r="E191" i="25"/>
  <c r="E183" i="25"/>
  <c r="E166" i="25"/>
  <c r="E157" i="25"/>
  <c r="J164" i="25"/>
  <c r="L164" i="25"/>
  <c r="N169" i="25"/>
  <c r="N149" i="25"/>
  <c r="N144" i="25"/>
  <c r="W166" i="25"/>
  <c r="E153" i="25"/>
  <c r="E175" i="25"/>
  <c r="E163" i="25"/>
  <c r="N191" i="25"/>
  <c r="W140" i="26"/>
  <c r="N153" i="26"/>
  <c r="N133" i="26"/>
  <c r="E131" i="26"/>
  <c r="E139" i="26"/>
  <c r="E158" i="26"/>
  <c r="W131" i="26"/>
  <c r="E140" i="26"/>
  <c r="W141" i="26"/>
  <c r="E127" i="26"/>
  <c r="E151" i="26"/>
  <c r="N124" i="26"/>
  <c r="N143" i="26"/>
  <c r="N132" i="26"/>
  <c r="E159" i="26"/>
  <c r="E122" i="26"/>
  <c r="N140" i="26"/>
  <c r="W153" i="26"/>
  <c r="N98" i="38"/>
  <c r="W109" i="38"/>
  <c r="E104" i="38"/>
  <c r="N99" i="38"/>
  <c r="E95" i="38"/>
  <c r="N92" i="38"/>
  <c r="N104" i="38"/>
  <c r="E121" i="36"/>
  <c r="N136" i="36"/>
  <c r="N133" i="36"/>
  <c r="N121" i="36"/>
  <c r="N129" i="36"/>
  <c r="W114" i="36"/>
  <c r="N134" i="36"/>
  <c r="W117" i="36"/>
  <c r="N122" i="36"/>
  <c r="N127" i="36"/>
  <c r="E129" i="36"/>
  <c r="N125" i="36"/>
  <c r="W132" i="36"/>
  <c r="E119" i="36"/>
  <c r="N117" i="36"/>
  <c r="W136" i="36"/>
  <c r="N126" i="36"/>
  <c r="E131" i="36"/>
  <c r="N135" i="36"/>
  <c r="W135" i="36"/>
  <c r="E136" i="36"/>
  <c r="N132" i="36"/>
  <c r="W122" i="36"/>
  <c r="E124" i="36"/>
  <c r="E133" i="36"/>
  <c r="N118" i="36"/>
  <c r="E118" i="36"/>
  <c r="W118" i="36"/>
  <c r="N119" i="36"/>
  <c r="W121" i="36"/>
  <c r="N131" i="36"/>
  <c r="E123" i="36"/>
  <c r="W131" i="36"/>
  <c r="W119" i="36"/>
  <c r="N137" i="36"/>
  <c r="E114" i="36"/>
  <c r="N124" i="36"/>
  <c r="N114" i="36"/>
  <c r="W134" i="36"/>
  <c r="E127" i="36"/>
  <c r="N186" i="17"/>
  <c r="W156" i="17"/>
  <c r="N187" i="17"/>
  <c r="E172" i="17"/>
  <c r="N175" i="17"/>
  <c r="W154" i="17"/>
  <c r="N179" i="17"/>
  <c r="N173" i="17"/>
  <c r="E162" i="17"/>
  <c r="E158" i="17"/>
  <c r="N165" i="17"/>
  <c r="W178" i="17"/>
  <c r="E151" i="17"/>
  <c r="W190" i="17"/>
  <c r="W150" i="17"/>
  <c r="E185" i="17"/>
  <c r="N156" i="17"/>
  <c r="N164" i="17"/>
  <c r="E161" i="17"/>
  <c r="E192" i="17"/>
  <c r="E182" i="17"/>
  <c r="N150" i="17"/>
  <c r="E188" i="17"/>
  <c r="N169" i="17"/>
  <c r="E163" i="18"/>
  <c r="E149" i="18"/>
  <c r="E157" i="18"/>
  <c r="E154" i="18"/>
  <c r="E180" i="18"/>
  <c r="E174" i="18"/>
  <c r="N159" i="18"/>
  <c r="E181" i="18"/>
  <c r="N162" i="18"/>
  <c r="W186" i="18"/>
  <c r="N161" i="18"/>
  <c r="W163" i="18"/>
  <c r="N171" i="18"/>
  <c r="E184" i="18"/>
  <c r="E161" i="18"/>
  <c r="E171" i="18"/>
  <c r="E192" i="18"/>
  <c r="N154" i="18"/>
  <c r="N180" i="18"/>
  <c r="N172" i="18"/>
  <c r="E182" i="18"/>
  <c r="E179" i="18"/>
  <c r="E172" i="18"/>
  <c r="N182" i="18"/>
  <c r="N170" i="18"/>
  <c r="W157" i="18"/>
  <c r="N175" i="18"/>
  <c r="W172" i="18"/>
  <c r="N186" i="19"/>
  <c r="E201" i="19"/>
  <c r="E194" i="19"/>
  <c r="E195" i="19"/>
  <c r="E170" i="19"/>
  <c r="N189" i="19"/>
  <c r="N198" i="19"/>
  <c r="N199" i="19"/>
  <c r="E155" i="19"/>
  <c r="E161" i="19"/>
  <c r="W160" i="19"/>
  <c r="E184" i="19"/>
  <c r="W167" i="19"/>
  <c r="N204" i="19"/>
  <c r="N163" i="19"/>
  <c r="W183" i="19"/>
  <c r="E172" i="19"/>
  <c r="N187" i="19"/>
  <c r="N169" i="19"/>
  <c r="N184" i="19"/>
  <c r="E193" i="19"/>
  <c r="N156" i="19"/>
  <c r="N190" i="19"/>
  <c r="N182" i="19"/>
  <c r="W197" i="19"/>
  <c r="W187" i="19"/>
  <c r="E159" i="19"/>
  <c r="N176" i="19"/>
  <c r="E148" i="20"/>
  <c r="E128" i="20"/>
  <c r="E135" i="20"/>
  <c r="N163" i="20"/>
  <c r="E144" i="20"/>
  <c r="N161" i="20"/>
  <c r="W159" i="20"/>
  <c r="E157" i="20"/>
  <c r="E146" i="20"/>
  <c r="N174" i="20"/>
  <c r="W158" i="20"/>
  <c r="W163" i="20"/>
  <c r="E155" i="20"/>
  <c r="N145" i="20"/>
  <c r="N131" i="20"/>
  <c r="E140" i="20"/>
  <c r="E158" i="20"/>
  <c r="E170" i="20"/>
  <c r="E136" i="20"/>
  <c r="E154" i="20"/>
  <c r="N134" i="20"/>
  <c r="E139" i="20"/>
  <c r="W153" i="20"/>
  <c r="E172" i="20"/>
  <c r="N158" i="20"/>
  <c r="E133" i="20"/>
  <c r="N138" i="20"/>
  <c r="W165" i="20"/>
  <c r="E166" i="20"/>
  <c r="N142" i="21"/>
  <c r="W152" i="21"/>
  <c r="E174" i="21"/>
  <c r="E153" i="21"/>
  <c r="N178" i="21"/>
  <c r="N172" i="21"/>
  <c r="E146" i="21"/>
  <c r="N174" i="21"/>
  <c r="N144" i="21"/>
  <c r="N170" i="21"/>
  <c r="E159" i="21"/>
  <c r="W196" i="21"/>
  <c r="N185" i="21"/>
  <c r="N176" i="21"/>
  <c r="E167" i="21"/>
  <c r="W185" i="21"/>
  <c r="E181" i="21"/>
  <c r="W176" i="21"/>
  <c r="W177" i="21"/>
  <c r="E90" i="33"/>
  <c r="E97" i="33"/>
  <c r="E86" i="33"/>
  <c r="E88" i="33"/>
  <c r="E92" i="33"/>
  <c r="E105" i="33"/>
  <c r="E200" i="9"/>
  <c r="E207" i="9"/>
  <c r="E185" i="9"/>
  <c r="E201" i="9"/>
  <c r="W194" i="9"/>
  <c r="N177" i="9"/>
  <c r="E172" i="9"/>
  <c r="N174" i="9"/>
  <c r="N168" i="9"/>
  <c r="E208" i="9"/>
  <c r="N165" i="9"/>
  <c r="W205" i="9"/>
  <c r="E183" i="9"/>
  <c r="E211" i="9"/>
  <c r="E168" i="9"/>
  <c r="W201" i="9"/>
  <c r="W199" i="9"/>
  <c r="L186" i="9"/>
  <c r="J186" i="9"/>
  <c r="N168" i="10"/>
  <c r="E200" i="10"/>
  <c r="W206" i="10"/>
  <c r="W218" i="10"/>
  <c r="E203" i="10"/>
  <c r="E210" i="10"/>
  <c r="N176" i="10"/>
  <c r="E185" i="10"/>
  <c r="N173" i="10"/>
  <c r="W209" i="10"/>
  <c r="N190" i="10"/>
  <c r="E212" i="10"/>
  <c r="W188" i="10"/>
  <c r="E179" i="10"/>
  <c r="E209" i="10"/>
  <c r="E208" i="10"/>
  <c r="W187" i="10"/>
  <c r="E173" i="10"/>
  <c r="N202" i="10"/>
  <c r="E195" i="10"/>
  <c r="E218" i="10"/>
  <c r="N204" i="10"/>
  <c r="N178" i="10"/>
  <c r="W193" i="10"/>
  <c r="W205" i="10"/>
  <c r="E166" i="10"/>
  <c r="W181" i="10"/>
  <c r="N206" i="10"/>
  <c r="W204" i="10"/>
  <c r="E197" i="10"/>
  <c r="W176" i="10"/>
  <c r="E213" i="10"/>
  <c r="N180" i="10"/>
  <c r="E172" i="10"/>
  <c r="E169" i="10"/>
  <c r="W177" i="10"/>
  <c r="W215" i="10"/>
  <c r="W207" i="10"/>
  <c r="N192" i="10"/>
  <c r="W219" i="10"/>
  <c r="E174" i="10"/>
  <c r="W198" i="10"/>
  <c r="E201" i="10"/>
  <c r="N208" i="10"/>
  <c r="N179" i="10"/>
  <c r="W166" i="10"/>
  <c r="E189" i="10"/>
  <c r="W208" i="10"/>
  <c r="N205" i="10"/>
  <c r="N207" i="10"/>
  <c r="E214" i="10"/>
  <c r="E198" i="10"/>
  <c r="N213" i="10"/>
  <c r="N201" i="10"/>
  <c r="E186" i="10"/>
  <c r="W210" i="10"/>
  <c r="E171" i="10"/>
  <c r="N189" i="10"/>
  <c r="N197" i="10"/>
  <c r="W195" i="10"/>
  <c r="N217" i="10"/>
  <c r="N175" i="10"/>
  <c r="N194" i="10"/>
  <c r="E221" i="10"/>
  <c r="N174" i="10"/>
  <c r="N184" i="10"/>
  <c r="W202" i="10"/>
  <c r="N172" i="10"/>
  <c r="N185" i="10"/>
  <c r="E180" i="10"/>
  <c r="W173" i="10"/>
  <c r="E199" i="10"/>
  <c r="E188" i="10"/>
  <c r="N188" i="10"/>
  <c r="N187" i="10"/>
  <c r="N203" i="10"/>
  <c r="E183" i="10"/>
  <c r="E191" i="10"/>
  <c r="N196" i="10"/>
  <c r="N214" i="10"/>
  <c r="W211" i="10"/>
  <c r="E167" i="10"/>
  <c r="W212" i="10"/>
  <c r="W200" i="10"/>
  <c r="W216" i="10"/>
  <c r="E168" i="10"/>
  <c r="E206" i="10"/>
  <c r="W196" i="10"/>
  <c r="N200" i="10"/>
  <c r="N167" i="10"/>
  <c r="N198" i="10"/>
  <c r="W197" i="10"/>
  <c r="N209" i="10"/>
  <c r="N169" i="10"/>
  <c r="E193" i="10"/>
  <c r="N181" i="10"/>
  <c r="W190" i="10"/>
  <c r="E202" i="10"/>
  <c r="E194" i="10"/>
  <c r="E215" i="10"/>
  <c r="N191" i="10"/>
  <c r="N216" i="10"/>
  <c r="E175" i="10"/>
  <c r="E187" i="10"/>
  <c r="E204" i="10"/>
  <c r="N211" i="10"/>
  <c r="E176" i="10"/>
  <c r="E196" i="10"/>
  <c r="N177" i="10"/>
  <c r="W217" i="10"/>
  <c r="E177" i="10"/>
  <c r="E220" i="10"/>
  <c r="N166" i="10"/>
  <c r="N170" i="10"/>
  <c r="E181" i="10"/>
  <c r="E192" i="10"/>
  <c r="N221" i="10"/>
  <c r="N199" i="10"/>
  <c r="E217" i="10"/>
  <c r="N186" i="10"/>
  <c r="N195" i="10"/>
  <c r="E178" i="10"/>
  <c r="E190" i="10"/>
  <c r="E219" i="10"/>
  <c r="E205" i="10"/>
  <c r="N193" i="10"/>
  <c r="E182" i="10"/>
  <c r="N183" i="10"/>
  <c r="N177" i="12"/>
  <c r="N165" i="12"/>
  <c r="N145" i="12"/>
  <c r="W161" i="12"/>
  <c r="E190" i="12"/>
  <c r="W181" i="12"/>
  <c r="E153" i="12"/>
  <c r="N161" i="12"/>
  <c r="N185" i="12"/>
  <c r="W188" i="12"/>
  <c r="N192" i="12"/>
  <c r="W180" i="12"/>
  <c r="E156" i="12"/>
  <c r="N160" i="12"/>
  <c r="E188" i="15"/>
  <c r="N170" i="15"/>
  <c r="E207" i="15"/>
  <c r="E176" i="15"/>
  <c r="E211" i="15"/>
  <c r="E167" i="15"/>
  <c r="E184" i="15"/>
  <c r="E209" i="15"/>
  <c r="E199" i="15"/>
  <c r="E192" i="15"/>
  <c r="W212" i="15"/>
  <c r="E197" i="15"/>
  <c r="N199" i="15"/>
  <c r="E143" i="12"/>
  <c r="W177" i="12"/>
  <c r="E180" i="12"/>
  <c r="E149" i="12"/>
  <c r="E171" i="12"/>
  <c r="E179" i="12"/>
  <c r="W185" i="12"/>
  <c r="E192" i="12"/>
  <c r="W191" i="12"/>
  <c r="E178" i="12"/>
  <c r="E145" i="12"/>
  <c r="E144" i="12"/>
  <c r="E176" i="12"/>
  <c r="N191" i="12"/>
  <c r="E183" i="12"/>
  <c r="E147" i="12"/>
  <c r="E172" i="12"/>
  <c r="E148" i="12"/>
  <c r="E182" i="12"/>
  <c r="E151" i="12"/>
  <c r="W186" i="12"/>
  <c r="E186" i="12"/>
  <c r="N186" i="12"/>
  <c r="E173" i="12"/>
  <c r="W153" i="12"/>
  <c r="W156" i="12"/>
  <c r="E191" i="12"/>
  <c r="E166" i="12"/>
  <c r="W175" i="12"/>
  <c r="N156" i="12"/>
  <c r="E187" i="12"/>
  <c r="E177" i="12"/>
  <c r="E162" i="12"/>
  <c r="N169" i="12"/>
  <c r="W184" i="12"/>
  <c r="N153" i="12"/>
  <c r="W173" i="12"/>
  <c r="N194" i="13"/>
  <c r="E207" i="13"/>
  <c r="N184" i="13"/>
  <c r="N160" i="13"/>
  <c r="E176" i="13"/>
  <c r="E172" i="13"/>
  <c r="E164" i="13"/>
  <c r="N173" i="13"/>
  <c r="N172" i="13"/>
  <c r="N175" i="13"/>
  <c r="W201" i="13"/>
  <c r="E178" i="13"/>
  <c r="E160" i="13"/>
  <c r="W191" i="13"/>
  <c r="N191" i="13"/>
  <c r="E197" i="13"/>
  <c r="N185" i="13"/>
  <c r="E204" i="13"/>
  <c r="N163" i="13"/>
  <c r="N188" i="13"/>
  <c r="N174" i="13"/>
  <c r="W196" i="13"/>
  <c r="N202" i="13"/>
  <c r="E158" i="13"/>
  <c r="E159" i="13"/>
  <c r="N212" i="13"/>
  <c r="E211" i="13"/>
  <c r="E185" i="13"/>
  <c r="E173" i="13"/>
  <c r="E186" i="13"/>
  <c r="E188" i="13"/>
  <c r="W200" i="13"/>
  <c r="E198" i="13"/>
  <c r="E180" i="13"/>
  <c r="E205" i="13"/>
  <c r="N186" i="13"/>
  <c r="N177" i="13"/>
  <c r="N196" i="13"/>
  <c r="E184" i="13"/>
  <c r="N205" i="13"/>
  <c r="N183" i="13"/>
  <c r="N195" i="13"/>
  <c r="E193" i="13"/>
  <c r="E190" i="13"/>
  <c r="E203" i="13"/>
  <c r="E194" i="13"/>
  <c r="E209" i="13"/>
  <c r="N182" i="13"/>
  <c r="E191" i="13"/>
  <c r="E201" i="13"/>
  <c r="N201" i="13"/>
  <c r="N198" i="13"/>
  <c r="E163" i="13"/>
  <c r="N193" i="13"/>
  <c r="E202" i="13"/>
  <c r="N181" i="13"/>
  <c r="W199" i="13"/>
  <c r="E208" i="13"/>
  <c r="E162" i="13"/>
  <c r="E212" i="13"/>
  <c r="W205" i="13"/>
  <c r="N209" i="13"/>
  <c r="N159" i="13"/>
  <c r="N189" i="13"/>
  <c r="N204" i="13"/>
  <c r="N161" i="13"/>
  <c r="N208" i="13"/>
  <c r="E189" i="13"/>
  <c r="N192" i="13"/>
  <c r="E216" i="15"/>
  <c r="E213" i="15"/>
  <c r="W207" i="15"/>
  <c r="N216" i="15"/>
  <c r="E198" i="15"/>
  <c r="N178" i="15"/>
  <c r="N176" i="15"/>
  <c r="N192" i="15"/>
  <c r="N186" i="15"/>
  <c r="N207" i="15"/>
  <c r="N162" i="15"/>
  <c r="N202" i="15"/>
  <c r="E148" i="7"/>
  <c r="E196" i="7"/>
  <c r="E176" i="7"/>
  <c r="E166" i="7"/>
  <c r="E157" i="7"/>
  <c r="E182" i="7"/>
  <c r="N177" i="7"/>
  <c r="N175" i="7"/>
  <c r="E181" i="7"/>
  <c r="N161" i="7"/>
  <c r="E155" i="7"/>
  <c r="N193" i="7"/>
  <c r="N155" i="7"/>
  <c r="N187" i="7"/>
  <c r="N142" i="7"/>
  <c r="N158" i="7"/>
  <c r="E150" i="7"/>
  <c r="E164" i="7"/>
  <c r="E162" i="7"/>
  <c r="N81" i="30"/>
  <c r="N88" i="30"/>
  <c r="N87" i="30"/>
  <c r="W84" i="30"/>
  <c r="E83" i="30"/>
  <c r="N145" i="5"/>
  <c r="E196" i="5"/>
  <c r="N148" i="5"/>
  <c r="N186" i="5"/>
  <c r="E192" i="5"/>
  <c r="E175" i="5"/>
  <c r="N187" i="5"/>
  <c r="N159" i="5"/>
  <c r="E153" i="5"/>
  <c r="E164" i="5"/>
  <c r="E147" i="5"/>
  <c r="N190" i="5"/>
  <c r="E162" i="5"/>
  <c r="N173" i="5"/>
  <c r="E107" i="28"/>
  <c r="E92" i="28"/>
  <c r="E109" i="28"/>
  <c r="E102" i="28"/>
  <c r="E115" i="28"/>
  <c r="N109" i="28"/>
  <c r="E95" i="28"/>
  <c r="E176" i="2"/>
  <c r="E152" i="2"/>
  <c r="E150" i="2"/>
  <c r="E148" i="2"/>
  <c r="E164" i="2"/>
  <c r="E177" i="2"/>
  <c r="E167" i="2"/>
  <c r="E192" i="2"/>
  <c r="E183" i="2"/>
  <c r="E159" i="2"/>
  <c r="E144" i="2"/>
  <c r="E198" i="2"/>
  <c r="E185" i="2"/>
  <c r="E149" i="2"/>
  <c r="E154" i="2"/>
  <c r="E184" i="2"/>
  <c r="N144" i="2"/>
  <c r="N198" i="2"/>
  <c r="E165" i="2"/>
  <c r="E170" i="2"/>
  <c r="E194" i="2"/>
  <c r="E161" i="2"/>
  <c r="E174" i="2"/>
  <c r="E145" i="2"/>
  <c r="E156" i="2"/>
  <c r="E179" i="2"/>
  <c r="E158" i="2"/>
  <c r="E147" i="2"/>
  <c r="E178" i="2"/>
  <c r="E182" i="2"/>
  <c r="E151" i="2"/>
  <c r="E195" i="2"/>
  <c r="N151" i="1"/>
  <c r="N161" i="1"/>
  <c r="E178" i="1"/>
  <c r="E162" i="1"/>
  <c r="N201" i="1"/>
  <c r="N152" i="1"/>
  <c r="N155" i="1"/>
  <c r="E188" i="1"/>
  <c r="N189" i="1"/>
  <c r="E170" i="1"/>
  <c r="E186" i="1"/>
  <c r="E199" i="1"/>
  <c r="N160" i="1"/>
  <c r="E147" i="1"/>
  <c r="N156" i="1"/>
  <c r="E154" i="1"/>
  <c r="E201" i="1"/>
  <c r="E196" i="1"/>
  <c r="N162" i="1"/>
  <c r="N159" i="1"/>
  <c r="N196" i="1"/>
  <c r="N198" i="1"/>
  <c r="E176" i="1"/>
  <c r="N185" i="1"/>
  <c r="W193" i="19"/>
  <c r="N157" i="19"/>
  <c r="E202" i="15"/>
  <c r="E188" i="25"/>
  <c r="E186" i="8"/>
  <c r="N197" i="8"/>
  <c r="N163" i="25"/>
  <c r="E87" i="33"/>
  <c r="N187" i="21"/>
  <c r="N171" i="12"/>
  <c r="W204" i="9"/>
  <c r="N107" i="32"/>
  <c r="E85" i="33"/>
  <c r="W182" i="21"/>
  <c r="E197" i="19"/>
  <c r="E99" i="34"/>
  <c r="E101" i="34"/>
  <c r="N194" i="1"/>
  <c r="E200" i="8"/>
  <c r="E206" i="9"/>
  <c r="E187" i="8"/>
  <c r="E202" i="3"/>
  <c r="E88" i="30"/>
  <c r="N200" i="19"/>
  <c r="E176" i="9"/>
  <c r="W187" i="21"/>
  <c r="E182" i="5"/>
  <c r="E168" i="17"/>
  <c r="E175" i="20"/>
  <c r="E159" i="20"/>
  <c r="N148" i="20"/>
  <c r="E129" i="20"/>
  <c r="E130" i="20"/>
  <c r="E151" i="20"/>
  <c r="N135" i="20"/>
  <c r="N99" i="33"/>
  <c r="N96" i="33"/>
  <c r="N165" i="13"/>
  <c r="E138" i="20"/>
  <c r="W87" i="34"/>
  <c r="N174" i="22"/>
  <c r="E145" i="24"/>
  <c r="W179" i="18"/>
  <c r="E157" i="24"/>
  <c r="E165" i="21"/>
  <c r="W188" i="11"/>
  <c r="N99" i="34"/>
  <c r="E196" i="9"/>
  <c r="E166" i="21"/>
  <c r="N84" i="32"/>
  <c r="N158" i="8"/>
  <c r="N192" i="8"/>
  <c r="N116" i="36"/>
  <c r="E162" i="11"/>
  <c r="N194" i="8"/>
  <c r="W185" i="8"/>
  <c r="N91" i="32"/>
  <c r="N212" i="15"/>
  <c r="N170" i="8"/>
  <c r="E171" i="5"/>
  <c r="E157" i="2"/>
  <c r="N198" i="3"/>
  <c r="N169" i="3"/>
  <c r="E173" i="3"/>
  <c r="N89" i="33"/>
  <c r="N108" i="38"/>
  <c r="E195" i="7"/>
  <c r="N207" i="8"/>
  <c r="E171" i="22"/>
  <c r="E167" i="23"/>
  <c r="E175" i="21"/>
  <c r="E163" i="19"/>
  <c r="E191" i="9"/>
  <c r="E84" i="31"/>
  <c r="E109" i="37"/>
  <c r="N166" i="25"/>
  <c r="N152" i="24"/>
  <c r="N154" i="25"/>
  <c r="W208" i="13"/>
  <c r="N194" i="24"/>
  <c r="N176" i="14"/>
  <c r="N115" i="36"/>
  <c r="N204" i="9"/>
  <c r="N151" i="23"/>
  <c r="E165" i="1"/>
  <c r="E137" i="36"/>
  <c r="N200" i="18"/>
  <c r="E162" i="8"/>
  <c r="N162" i="19"/>
  <c r="N194" i="9"/>
  <c r="W188" i="25"/>
  <c r="E168" i="19"/>
  <c r="N205" i="9"/>
  <c r="E157" i="1"/>
  <c r="N154" i="3"/>
  <c r="N193" i="18"/>
  <c r="E170" i="10"/>
  <c r="E158" i="25"/>
  <c r="E171" i="20"/>
  <c r="E149" i="20"/>
  <c r="N83" i="31"/>
  <c r="N92" i="31"/>
  <c r="W211" i="13"/>
  <c r="E152" i="24"/>
  <c r="N130" i="26"/>
  <c r="E188" i="21"/>
  <c r="N179" i="15"/>
  <c r="N149" i="24"/>
  <c r="E177" i="5"/>
  <c r="W174" i="20"/>
  <c r="N171" i="20"/>
  <c r="N208" i="8"/>
  <c r="E140" i="35"/>
  <c r="N175" i="25"/>
  <c r="N195" i="17"/>
  <c r="E196" i="25"/>
  <c r="W173" i="24"/>
  <c r="E204" i="19"/>
  <c r="W157" i="24"/>
  <c r="E195" i="17"/>
  <c r="N174" i="23"/>
  <c r="N164" i="7"/>
  <c r="E146" i="12"/>
  <c r="N98" i="31"/>
  <c r="E171" i="3"/>
  <c r="N160" i="8"/>
  <c r="E201" i="8"/>
  <c r="E195" i="1"/>
  <c r="N100" i="28"/>
  <c r="E116" i="36"/>
  <c r="E191" i="2"/>
  <c r="E104" i="28"/>
  <c r="E189" i="1"/>
  <c r="N184" i="1"/>
  <c r="E181" i="1"/>
  <c r="N207" i="3"/>
  <c r="E156" i="3"/>
  <c r="E192" i="3"/>
  <c r="N199" i="3"/>
  <c r="N105" i="29"/>
  <c r="N110" i="28"/>
  <c r="W105" i="32"/>
  <c r="M7" i="35"/>
  <c r="C121" i="35"/>
  <c r="N195" i="24"/>
  <c r="W158" i="22"/>
  <c r="E154" i="16"/>
  <c r="E160" i="21"/>
  <c r="E162" i="19"/>
  <c r="E93" i="31"/>
  <c r="E103" i="28"/>
  <c r="E153" i="2"/>
  <c r="N199" i="13"/>
  <c r="W174" i="25"/>
  <c r="N193" i="24"/>
  <c r="N169" i="9"/>
  <c r="E204" i="9"/>
  <c r="W153" i="25"/>
  <c r="W205" i="15"/>
  <c r="N170" i="17"/>
  <c r="N8" i="35"/>
  <c r="E161" i="3"/>
  <c r="W171" i="17"/>
  <c r="E171" i="25"/>
  <c r="W148" i="20"/>
  <c r="N173" i="8"/>
  <c r="N107" i="28"/>
  <c r="N202" i="8"/>
  <c r="E173" i="11"/>
  <c r="E95" i="32"/>
  <c r="E195" i="12"/>
  <c r="E156" i="14"/>
  <c r="N149" i="20"/>
  <c r="E200" i="18"/>
  <c r="E203" i="9"/>
  <c r="E169" i="7"/>
  <c r="N104" i="32"/>
  <c r="E203" i="3"/>
  <c r="N192" i="3"/>
  <c r="E109" i="38"/>
  <c r="W88" i="30"/>
  <c r="W156" i="23"/>
  <c r="W180" i="17"/>
  <c r="N153" i="17"/>
  <c r="N168" i="15"/>
  <c r="N196" i="7"/>
  <c r="N199" i="14"/>
  <c r="W167" i="20"/>
  <c r="N150" i="20"/>
  <c r="E168" i="20"/>
  <c r="N152" i="20"/>
  <c r="N130" i="20"/>
  <c r="N215" i="15"/>
  <c r="E196" i="21"/>
  <c r="E137" i="20"/>
  <c r="N98" i="33"/>
  <c r="W175" i="24"/>
  <c r="E177" i="23"/>
  <c r="E161" i="23"/>
  <c r="E180" i="25"/>
  <c r="W122" i="26"/>
  <c r="E181" i="23"/>
  <c r="E194" i="17"/>
  <c r="E193" i="18"/>
  <c r="E211" i="10"/>
  <c r="E169" i="19"/>
  <c r="E177" i="11"/>
  <c r="E178" i="21"/>
  <c r="W190" i="11"/>
  <c r="E142" i="12"/>
  <c r="N94" i="31"/>
  <c r="N153" i="11"/>
  <c r="E164" i="12"/>
  <c r="E152" i="7"/>
  <c r="E195" i="9"/>
  <c r="N147" i="7"/>
  <c r="E98" i="32"/>
  <c r="E82" i="31"/>
  <c r="E185" i="1"/>
  <c r="E167" i="14"/>
  <c r="E199" i="8"/>
  <c r="E85" i="32"/>
  <c r="E196" i="8"/>
  <c r="N201" i="8"/>
  <c r="N201" i="15"/>
  <c r="N101" i="32"/>
  <c r="N156" i="3"/>
  <c r="N153" i="3"/>
  <c r="E181" i="3"/>
  <c r="E89" i="33"/>
  <c r="N112" i="28"/>
  <c r="N158" i="13"/>
  <c r="W208" i="22"/>
  <c r="E188" i="11"/>
  <c r="E196" i="18"/>
  <c r="E177" i="9"/>
  <c r="E172" i="21"/>
  <c r="E175" i="8"/>
  <c r="N212" i="10"/>
  <c r="E176" i="11"/>
  <c r="N171" i="17"/>
  <c r="N175" i="15"/>
  <c r="E181" i="5"/>
  <c r="W192" i="15"/>
  <c r="N185" i="18"/>
  <c r="N150" i="7"/>
  <c r="N144" i="7"/>
  <c r="E101" i="28"/>
  <c r="N163" i="3"/>
  <c r="N157" i="23"/>
  <c r="N200" i="23"/>
  <c r="W188" i="23"/>
  <c r="E153" i="14"/>
  <c r="N103" i="34"/>
  <c r="E174" i="13"/>
  <c r="E176" i="17"/>
  <c r="E175" i="19"/>
  <c r="W150" i="11"/>
  <c r="N200" i="15"/>
  <c r="N152" i="3"/>
  <c r="W132" i="20"/>
  <c r="E177" i="15"/>
  <c r="E95" i="33"/>
  <c r="N166" i="24"/>
  <c r="N105" i="37"/>
  <c r="N180" i="8"/>
  <c r="N194" i="3"/>
  <c r="N170" i="3"/>
  <c r="E180" i="22"/>
  <c r="N167" i="25"/>
  <c r="N172" i="17"/>
  <c r="N174" i="25"/>
  <c r="E92" i="38"/>
  <c r="W100" i="38"/>
  <c r="E196" i="12"/>
  <c r="W160" i="20"/>
  <c r="N151" i="20"/>
  <c r="N172" i="20"/>
  <c r="E105" i="32"/>
  <c r="W166" i="16"/>
  <c r="W141" i="12"/>
  <c r="N128" i="35"/>
  <c r="W169" i="24"/>
  <c r="E192" i="23"/>
  <c r="W188" i="17"/>
  <c r="E138" i="26"/>
  <c r="N200" i="9"/>
  <c r="E167" i="19"/>
  <c r="W158" i="11"/>
  <c r="E152" i="17"/>
  <c r="N145" i="11"/>
  <c r="E132" i="36"/>
  <c r="N176" i="8"/>
  <c r="E154" i="11"/>
  <c r="N188" i="8"/>
  <c r="N159" i="8"/>
  <c r="E165" i="12"/>
  <c r="N87" i="32"/>
  <c r="E174" i="3"/>
  <c r="E132" i="35"/>
  <c r="N186" i="1"/>
  <c r="E100" i="37"/>
  <c r="N156" i="8"/>
  <c r="E172" i="5"/>
  <c r="N215" i="10"/>
  <c r="E190" i="1"/>
  <c r="E155" i="1"/>
  <c r="E161" i="1"/>
  <c r="N201" i="3"/>
  <c r="E172" i="3"/>
  <c r="E108" i="29"/>
  <c r="E107" i="29"/>
  <c r="N97" i="29"/>
  <c r="N105" i="33"/>
  <c r="N104" i="33"/>
  <c r="N101" i="28"/>
  <c r="E171" i="23"/>
  <c r="E137" i="16"/>
  <c r="E167" i="12"/>
  <c r="N173" i="11"/>
  <c r="E166" i="14"/>
  <c r="W103" i="28"/>
  <c r="E163" i="5"/>
  <c r="N208" i="15"/>
  <c r="E182" i="13"/>
  <c r="N176" i="11"/>
  <c r="N182" i="21"/>
  <c r="N120" i="15"/>
  <c r="N161" i="25"/>
  <c r="N158" i="17"/>
  <c r="E207" i="10"/>
  <c r="N137" i="26"/>
  <c r="N162" i="12"/>
  <c r="E171" i="17"/>
  <c r="E187" i="21"/>
  <c r="N162" i="24"/>
  <c r="N181" i="5"/>
  <c r="N169" i="14"/>
  <c r="N102" i="28"/>
  <c r="E106" i="28"/>
  <c r="E108" i="28"/>
  <c r="N103" i="28"/>
  <c r="N106" i="28"/>
  <c r="E114" i="28"/>
  <c r="E98" i="28"/>
  <c r="E97" i="28"/>
  <c r="E106" i="38"/>
  <c r="E107" i="38"/>
  <c r="E102" i="38"/>
  <c r="E96" i="38"/>
  <c r="N101" i="38"/>
  <c r="N107" i="38"/>
  <c r="E100" i="38"/>
  <c r="E97" i="38"/>
  <c r="E93" i="38"/>
  <c r="E91" i="38"/>
  <c r="N90" i="38"/>
  <c r="E108" i="38"/>
  <c r="E101" i="38"/>
  <c r="N94" i="38"/>
  <c r="N97" i="38"/>
  <c r="N102" i="33"/>
  <c r="N94" i="33"/>
  <c r="N100" i="33"/>
  <c r="E91" i="33"/>
  <c r="W108" i="29"/>
  <c r="N91" i="29"/>
  <c r="N102" i="29"/>
  <c r="N98" i="29"/>
  <c r="N85" i="29"/>
  <c r="E91" i="29"/>
  <c r="E109" i="29"/>
  <c r="E106" i="29"/>
  <c r="N180" i="3"/>
  <c r="E168" i="3"/>
  <c r="E182" i="3"/>
  <c r="E185" i="3"/>
  <c r="E198" i="3"/>
  <c r="N203" i="3"/>
  <c r="N161" i="3"/>
  <c r="E204" i="3"/>
  <c r="N164" i="3"/>
  <c r="E175" i="3"/>
  <c r="N206" i="3"/>
  <c r="N200" i="3"/>
  <c r="N202" i="3"/>
  <c r="N179" i="3"/>
  <c r="E188" i="3"/>
  <c r="N188" i="3"/>
  <c r="N171" i="3"/>
  <c r="N196" i="3"/>
  <c r="E171" i="1"/>
  <c r="N167" i="1"/>
  <c r="N164" i="1"/>
  <c r="N171" i="1"/>
  <c r="E187" i="1"/>
  <c r="N187" i="1"/>
  <c r="E179" i="1"/>
  <c r="E193" i="1"/>
  <c r="E200" i="1"/>
  <c r="N149" i="1"/>
  <c r="N180" i="1"/>
  <c r="E166" i="1"/>
  <c r="N163" i="1"/>
  <c r="E198" i="1"/>
  <c r="E202" i="1"/>
  <c r="N197" i="1"/>
  <c r="N169" i="1"/>
  <c r="N193" i="1"/>
  <c r="E152" i="1"/>
  <c r="E194" i="1"/>
  <c r="N158" i="1"/>
  <c r="N199" i="1"/>
  <c r="E177" i="1"/>
  <c r="N182" i="1"/>
  <c r="E153" i="1"/>
  <c r="E191" i="1"/>
  <c r="E169" i="1"/>
  <c r="N154" i="1"/>
  <c r="N202" i="1"/>
  <c r="N168" i="1"/>
  <c r="N179" i="1"/>
  <c r="E163" i="1"/>
  <c r="E158" i="1"/>
  <c r="N175" i="1"/>
  <c r="N172" i="1"/>
  <c r="E156" i="1"/>
  <c r="N166" i="1"/>
  <c r="E164" i="1"/>
  <c r="E184" i="1"/>
  <c r="N192" i="1"/>
  <c r="N150" i="1"/>
  <c r="E175" i="1"/>
  <c r="N157" i="1"/>
  <c r="N190" i="1"/>
  <c r="N173" i="1"/>
  <c r="E183" i="1"/>
  <c r="E187" i="13"/>
  <c r="E165" i="20"/>
  <c r="N201" i="18"/>
  <c r="W84" i="34"/>
  <c r="N183" i="21"/>
  <c r="N196" i="14"/>
  <c r="N94" i="34"/>
  <c r="N154" i="7"/>
  <c r="N193" i="19"/>
  <c r="N100" i="38"/>
  <c r="E94" i="38"/>
  <c r="N91" i="38"/>
  <c r="E98" i="38"/>
  <c r="E105" i="38"/>
  <c r="N170" i="20"/>
  <c r="N167" i="16"/>
  <c r="N155" i="20"/>
  <c r="N156" i="20"/>
  <c r="E167" i="20"/>
  <c r="N144" i="20"/>
  <c r="N160" i="20"/>
  <c r="E164" i="20"/>
  <c r="N108" i="29"/>
  <c r="N208" i="19"/>
  <c r="N195" i="12"/>
  <c r="W101" i="38"/>
  <c r="N105" i="38"/>
  <c r="N109" i="38"/>
  <c r="E142" i="6"/>
  <c r="N130" i="6"/>
  <c r="N115" i="37"/>
  <c r="N175" i="20"/>
  <c r="N137" i="20"/>
  <c r="W137" i="20"/>
  <c r="N198" i="25"/>
  <c r="W156" i="20"/>
  <c r="N143" i="20"/>
  <c r="N146" i="20"/>
  <c r="W151" i="23"/>
  <c r="N159" i="9"/>
  <c r="W107" i="29"/>
  <c r="N95" i="33"/>
  <c r="N85" i="31"/>
  <c r="E186" i="25"/>
  <c r="N168" i="23"/>
  <c r="W186" i="25"/>
  <c r="W192" i="23"/>
  <c r="N165" i="16"/>
  <c r="W157" i="19"/>
  <c r="E187" i="19"/>
  <c r="N172" i="19"/>
  <c r="N176" i="9"/>
  <c r="W187" i="24"/>
  <c r="W191" i="19"/>
  <c r="N171" i="8"/>
  <c r="N187" i="8"/>
  <c r="N148" i="24"/>
  <c r="N104" i="28"/>
  <c r="N196" i="8"/>
  <c r="N204" i="8"/>
  <c r="W196" i="11"/>
  <c r="N166" i="8"/>
  <c r="N167" i="8"/>
  <c r="N186" i="8"/>
  <c r="N206" i="8"/>
  <c r="N92" i="28"/>
  <c r="E91" i="32"/>
  <c r="W204" i="8"/>
  <c r="E159" i="5"/>
  <c r="E196" i="13"/>
  <c r="N189" i="8"/>
  <c r="N96" i="31"/>
  <c r="N166" i="14"/>
  <c r="N189" i="7"/>
  <c r="W200" i="15"/>
  <c r="N93" i="29"/>
  <c r="E145" i="5"/>
  <c r="E191" i="3"/>
  <c r="E196" i="2"/>
  <c r="N101" i="33"/>
  <c r="E151" i="23"/>
  <c r="L141" i="24"/>
  <c r="J141" i="24"/>
  <c r="N185" i="17"/>
  <c r="N111" i="28"/>
  <c r="N171" i="10"/>
  <c r="N181" i="8"/>
  <c r="N164" i="20"/>
  <c r="W157" i="20"/>
  <c r="N162" i="20"/>
  <c r="W151" i="20"/>
  <c r="W162" i="20"/>
  <c r="N211" i="13"/>
  <c r="N169" i="20"/>
  <c r="W142" i="20"/>
  <c r="N198" i="17"/>
  <c r="E153" i="19"/>
  <c r="N90" i="31"/>
  <c r="N142" i="5"/>
  <c r="W100" i="34"/>
  <c r="W196" i="19"/>
  <c r="N91" i="28"/>
  <c r="W199" i="23"/>
  <c r="W178" i="25"/>
  <c r="N160" i="24"/>
  <c r="N189" i="17"/>
  <c r="W168" i="17"/>
  <c r="N212" i="9"/>
  <c r="N191" i="21"/>
  <c r="E170" i="17"/>
  <c r="N155" i="8"/>
  <c r="N174" i="5"/>
  <c r="N193" i="5"/>
  <c r="N178" i="8"/>
  <c r="N190" i="8"/>
  <c r="E159" i="8"/>
  <c r="N159" i="7"/>
  <c r="W195" i="8"/>
  <c r="E195" i="8"/>
  <c r="N209" i="9"/>
  <c r="E173" i="5"/>
  <c r="W166" i="11"/>
  <c r="N93" i="32"/>
  <c r="N185" i="8"/>
  <c r="N193" i="8"/>
  <c r="W192" i="8"/>
  <c r="N191" i="3"/>
  <c r="N198" i="8"/>
  <c r="W196" i="9"/>
  <c r="N183" i="15"/>
  <c r="N197" i="21"/>
  <c r="N159" i="20"/>
  <c r="N165" i="20"/>
  <c r="N202" i="18"/>
  <c r="E131" i="20"/>
  <c r="N133" i="20"/>
  <c r="E152" i="20"/>
  <c r="E166" i="16"/>
  <c r="W179" i="23"/>
  <c r="W146" i="17"/>
  <c r="W164" i="25"/>
  <c r="N163" i="21"/>
  <c r="N218" i="10"/>
  <c r="W187" i="9"/>
  <c r="N105" i="32"/>
  <c r="N200" i="1"/>
  <c r="N162" i="8"/>
  <c r="N188" i="1"/>
  <c r="N200" i="8"/>
  <c r="N161" i="21"/>
  <c r="N157" i="8"/>
  <c r="N181" i="1"/>
  <c r="W184" i="8"/>
  <c r="N84" i="30"/>
  <c r="N174" i="8"/>
  <c r="N167" i="11"/>
  <c r="N205" i="8"/>
  <c r="E199" i="13"/>
  <c r="N205" i="15"/>
  <c r="E169" i="12"/>
  <c r="N96" i="29"/>
  <c r="W171" i="23"/>
  <c r="W183" i="8"/>
  <c r="N154" i="19"/>
  <c r="N140" i="20"/>
  <c r="E162" i="20"/>
  <c r="E150" i="20"/>
  <c r="N153" i="20"/>
  <c r="N132" i="20"/>
  <c r="N114" i="28"/>
  <c r="N168" i="20"/>
  <c r="N136" i="20"/>
  <c r="N207" i="19"/>
  <c r="N166" i="16"/>
  <c r="E145" i="20"/>
  <c r="N128" i="20"/>
  <c r="E156" i="20"/>
  <c r="N139" i="20"/>
  <c r="N81" i="31"/>
  <c r="N159" i="25"/>
  <c r="W187" i="23"/>
  <c r="E164" i="25"/>
  <c r="W158" i="17"/>
  <c r="E212" i="9"/>
  <c r="N195" i="1"/>
  <c r="N165" i="8"/>
  <c r="N203" i="8"/>
  <c r="E169" i="8"/>
  <c r="N197" i="15"/>
  <c r="N191" i="1"/>
  <c r="E200" i="15"/>
  <c r="E200" i="3"/>
  <c r="W153" i="19"/>
  <c r="N164" i="14"/>
  <c r="W178" i="21"/>
  <c r="N86" i="32"/>
  <c r="N197" i="5"/>
  <c r="N89" i="30"/>
  <c r="N141" i="20"/>
  <c r="E144" i="25"/>
  <c r="N220" i="10"/>
  <c r="W142" i="21"/>
  <c r="E165" i="24"/>
  <c r="E160" i="1"/>
  <c r="N176" i="1"/>
  <c r="N151" i="7"/>
  <c r="E154" i="21"/>
  <c r="W189" i="8"/>
  <c r="W193" i="8"/>
  <c r="N188" i="12"/>
  <c r="W187" i="8"/>
  <c r="N85" i="34"/>
  <c r="N178" i="1"/>
  <c r="W199" i="8"/>
  <c r="W191" i="8"/>
  <c r="N166" i="11"/>
  <c r="E200" i="13"/>
  <c r="N166" i="19"/>
  <c r="E204" i="8"/>
  <c r="N153" i="1"/>
  <c r="E192" i="8"/>
  <c r="N183" i="1"/>
  <c r="N175" i="19"/>
  <c r="N204" i="15"/>
  <c r="N78" i="30"/>
  <c r="N170" i="1"/>
  <c r="N190" i="3"/>
  <c r="N93" i="33"/>
  <c r="N102" i="37"/>
  <c r="N169" i="8"/>
  <c r="N177" i="1"/>
  <c r="N102" i="38"/>
  <c r="E153" i="20"/>
  <c r="N147" i="20"/>
  <c r="N157" i="20"/>
  <c r="E143" i="35"/>
  <c r="H141" i="24"/>
  <c r="N166" i="20"/>
  <c r="N213" i="9"/>
  <c r="N141" i="12"/>
  <c r="E141" i="24"/>
  <c r="E141" i="12"/>
  <c r="N153" i="19"/>
  <c r="W182" i="25"/>
  <c r="N122" i="26"/>
  <c r="E196" i="19"/>
  <c r="W145" i="24"/>
  <c r="N96" i="28"/>
  <c r="N183" i="8"/>
  <c r="N148" i="1"/>
  <c r="N148" i="7"/>
  <c r="N184" i="8"/>
  <c r="E203" i="8"/>
  <c r="N177" i="8"/>
  <c r="E166" i="11"/>
  <c r="N186" i="7"/>
  <c r="W169" i="12"/>
  <c r="N131" i="6"/>
  <c r="N133" i="6"/>
  <c r="N146" i="6"/>
  <c r="N136" i="6"/>
  <c r="N148" i="6"/>
  <c r="N139" i="6"/>
  <c r="N145" i="6"/>
  <c r="N138" i="6"/>
  <c r="N137" i="6"/>
  <c r="N144" i="6"/>
  <c r="N147" i="6"/>
  <c r="N142" i="6"/>
  <c r="N150" i="6"/>
  <c r="N134" i="6"/>
  <c r="N141" i="6"/>
  <c r="N149" i="6"/>
  <c r="W136" i="6"/>
  <c r="W140" i="6"/>
  <c r="W127" i="6"/>
  <c r="E127" i="6"/>
  <c r="W150" i="6"/>
  <c r="E132" i="6"/>
  <c r="N115" i="28"/>
  <c r="E103" i="38"/>
  <c r="N95" i="38"/>
  <c r="E90" i="38"/>
  <c r="E99" i="38"/>
  <c r="N103" i="38"/>
  <c r="N93" i="38"/>
  <c r="N106" i="38"/>
  <c r="N96" i="38"/>
  <c r="W134" i="6"/>
  <c r="W131" i="6"/>
  <c r="W130" i="6"/>
  <c r="E131" i="6"/>
  <c r="E140" i="6"/>
  <c r="E130" i="6"/>
  <c r="W135" i="6"/>
  <c r="W139" i="6"/>
  <c r="W138" i="6"/>
  <c r="E149" i="6"/>
  <c r="W147" i="6"/>
  <c r="E133" i="6"/>
  <c r="E136" i="6"/>
  <c r="E146" i="6"/>
  <c r="E128" i="6"/>
  <c r="E145" i="6"/>
  <c r="E148" i="6"/>
  <c r="E139" i="6"/>
  <c r="E137" i="6"/>
  <c r="E138" i="6"/>
  <c r="E147" i="6"/>
  <c r="E144" i="6"/>
  <c r="E143" i="6"/>
  <c r="E141" i="6"/>
  <c r="E129" i="6"/>
  <c r="E135" i="6"/>
  <c r="E151" i="6"/>
  <c r="E134" i="6"/>
  <c r="E150" i="6"/>
  <c r="W128" i="6"/>
  <c r="N169" i="7" l="1"/>
  <c r="N185" i="9"/>
  <c r="N186" i="9"/>
  <c r="N164" i="25"/>
  <c r="D121" i="35"/>
  <c r="E121" i="35" s="1"/>
  <c r="N7" i="35"/>
  <c r="N141" i="2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0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0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1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1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David Weisstanner</author>
    <author>Microsoft Office User</author>
  </authors>
  <commentList>
    <comment ref="F4" authorId="0" shapeId="0" xr:uid="{00000000-0006-0000-02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2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137" authorId="1" shapeId="0" xr:uid="{D0D01F2C-1F77-5D4D-B3E7-49B90C2613DA}">
      <text>
        <r>
          <rPr>
            <sz val="10"/>
            <color rgb="FF000000"/>
            <rFont val="Tahoma"/>
            <family val="2"/>
          </rPr>
          <t>Caretaker government was sworn in as a fully empowered government due to the covid-19 pandemic</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3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3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xr:uid="{00000000-0006-0000-0300-000003000000}">
      <text>
        <r>
          <rPr>
            <sz val="9"/>
            <color rgb="FF000000"/>
            <rFont val="Tahoma"/>
            <family val="2"/>
          </rPr>
          <t>First government based on a multi-party election held on 17 June 1990.</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4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4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s>
  <commentList>
    <comment ref="F4" authorId="0" shapeId="0" xr:uid="{00000000-0006-0000-05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5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Y7" authorId="1" shapeId="0" xr:uid="{00000000-0006-0000-0500-000003000000}">
      <text>
        <r>
          <rPr>
            <sz val="9"/>
            <color rgb="FF000000"/>
            <rFont val="Tahoma"/>
            <family val="2"/>
          </rPr>
          <t xml:space="preserve">SDP, HSLS, PGS and SBHS formed an electoral coalition for the 2000 elections. For the exact seat share we deviated from Ismayr (2006) as primary source and consulted the official governmental web page (www.hidra.hr).
</t>
        </r>
      </text>
    </comment>
    <comment ref="AA7" authorId="1" shapeId="0" xr:uid="{00000000-0006-0000-0500-000004000000}">
      <text>
        <r>
          <rPr>
            <sz val="9"/>
            <color indexed="81"/>
            <rFont val="Tahoma"/>
            <family val="2"/>
          </rPr>
          <t xml:space="preserve">In the 2000 elections part of allia1
</t>
        </r>
      </text>
    </comment>
    <comment ref="AC7" authorId="1" shapeId="0" xr:uid="{00000000-0006-0000-0500-000005000000}">
      <text>
        <r>
          <rPr>
            <sz val="9"/>
            <color indexed="81"/>
            <rFont val="Tahoma"/>
            <family val="2"/>
          </rPr>
          <t>SDP, HSLS, PGS and SBHS formed an electoral coalition for the 2000 elections. For the exact seat share we deviated from Ismayr (2006) as primary source and consulted the official governmental web page (www.hidra.hr).</t>
        </r>
      </text>
    </comment>
    <comment ref="AG7" authorId="1" shapeId="0" xr:uid="{00000000-0006-0000-0500-000006000000}">
      <text>
        <r>
          <rPr>
            <sz val="9"/>
            <color indexed="81"/>
            <rFont val="Tahoma"/>
            <family val="2"/>
          </rPr>
          <t>HSS, LS, HNS and IDS formed an electoral coalition for the 2000 elections. For the exact seat share we deviated from Ismayr (2006) as primary source and consulted the official governmental web page (www.hidra.hr).</t>
        </r>
      </text>
    </comment>
    <comment ref="AK7" authorId="1" shapeId="0" xr:uid="{00000000-0006-0000-0500-000007000000}">
      <text>
        <r>
          <rPr>
            <sz val="9"/>
            <color rgb="FF000000"/>
            <rFont val="Tahoma"/>
            <family val="2"/>
          </rPr>
          <t>HSS, LS, HNS and IDS formed an electoral coalition for the 2000 elections. For the exact seat share we deviated from Ismayr (2006) as primary source and consulted the official governmental web page (www.hidra.hr).</t>
        </r>
      </text>
    </comment>
    <comment ref="AO7" authorId="1" shapeId="0" xr:uid="{00000000-0006-0000-0500-000008000000}">
      <text>
        <r>
          <rPr>
            <sz val="9"/>
            <color indexed="81"/>
            <rFont val="Tahoma"/>
            <family val="2"/>
          </rPr>
          <t>HSS, LS, HNS and IDS formed an electoral coalition for the 2000 elections. For the exact seat share we deviated from Ismayr (2006) as primary source and consulted the official governmental web page (www.hidra.hr).</t>
        </r>
      </text>
    </comment>
    <comment ref="Z12" authorId="1" shapeId="0" xr:uid="{00000000-0006-0000-0500-000009000000}">
      <text>
        <r>
          <rPr>
            <sz val="9"/>
            <color rgb="FF000000"/>
            <rFont val="Tahoma"/>
            <family val="2"/>
          </rPr>
          <t xml:space="preserve">Splitter party of HSLS 
</t>
        </r>
      </text>
    </comment>
    <comment ref="AC12" authorId="1" shapeId="0" xr:uid="{00000000-0006-0000-0500-00000A000000}">
      <text>
        <r>
          <rPr>
            <sz val="9"/>
            <color indexed="81"/>
            <rFont val="Tahoma"/>
            <family val="2"/>
          </rPr>
          <t xml:space="preserve">Source: http://www.hidra.hr/cro/politicke_stranke/parlamentarne_stranke/zastupljenost_stranaka_u_saboru
</t>
        </r>
      </text>
    </comment>
    <comment ref="AM14" authorId="1" shapeId="0" xr:uid="{00000000-0006-0000-0500-00000B000000}">
      <text>
        <r>
          <rPr>
            <sz val="9"/>
            <color indexed="81"/>
            <rFont val="Tahoma"/>
            <family val="2"/>
          </rPr>
          <t>In 2000 elections part of allia2</t>
        </r>
      </text>
    </comment>
    <comment ref="AC15" authorId="1" shapeId="0" xr:uid="{00000000-0006-0000-0500-00000C000000}">
      <text>
        <r>
          <rPr>
            <sz val="9"/>
            <color indexed="81"/>
            <rFont val="Tahoma"/>
            <family val="2"/>
          </rPr>
          <t xml:space="preserve">Source: http://www.hidra.hr/cro/politicke_stranke/parlamentarne_stranke/zastupljenost_stranaka_u_saboru
</t>
        </r>
      </text>
    </comment>
    <comment ref="AD25" authorId="1" shapeId="0" xr:uid="{00000000-0006-0000-0500-00000D000000}">
      <text>
        <r>
          <rPr>
            <sz val="9"/>
            <color indexed="81"/>
            <rFont val="Tahoma"/>
            <family val="2"/>
          </rPr>
          <t xml:space="preserve">In electoral coalition with HSS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David Weisstanner</author>
    <author>Isler, Christian (IPW)</author>
  </authors>
  <commentList>
    <comment ref="F4" authorId="0" shapeId="0" xr:uid="{00000000-0006-0000-06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6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C6" authorId="1" shapeId="0" xr:uid="{00000000-0006-0000-0600-000003000000}">
      <text>
        <r>
          <rPr>
            <sz val="9"/>
            <color rgb="FF000000"/>
            <rFont val="Tahoma"/>
            <family val="2"/>
          </rPr>
          <t>From 1974 until 1977, archbishop Makarios III was the first president of the Republic of Cyprus. He had no party affiliation and was not officially elected. The first official presidential election was held in 1978. Therefore we consider the period in between 1976 (year of the first election after the division of Cyprus in 1974) and 1978 as transitory period.</t>
        </r>
      </text>
    </comment>
    <comment ref="Y9" authorId="1" shapeId="0" xr:uid="{00000000-0006-0000-0600-000004000000}">
      <text>
        <r>
          <rPr>
            <sz val="9"/>
            <color indexed="81"/>
            <rFont val="Tahoma"/>
            <family val="2"/>
          </rPr>
          <t xml:space="preserve">Entered in CPDS under "allia1" (electoral alliance of The Democratic Party (DIKO), Progressive Party of the Working People (AKEL) and The Socialist Party (EDEK)). The alliance got 97,1 percent of parliamentary seats, the single seat shares are from ParlGov (2016).
</t>
        </r>
      </text>
    </comment>
    <comment ref="AC9" authorId="1" shapeId="0" xr:uid="{00000000-0006-0000-0600-000005000000}">
      <text>
        <r>
          <rPr>
            <sz val="9"/>
            <color indexed="81"/>
            <rFont val="Tahoma"/>
            <family val="2"/>
          </rPr>
          <t>Entered in CPDS under "allia1" (electoral alliance of The Democratic Party (DIKO), Progressive Party of the Working People (AKEL) and The Socialist Party (EDEK)). The alliance got 97,1 percent of parliamentary seats, the single seat shares are from ParlGov (2016).</t>
        </r>
      </text>
    </comment>
    <comment ref="V81" authorId="0" shapeId="0" xr:uid="{00000000-0006-0000-0600-000006000000}">
      <text>
        <r>
          <rPr>
            <sz val="9"/>
            <color indexed="81"/>
            <rFont val="Tahoma"/>
            <family val="2"/>
          </rPr>
          <t xml:space="preserve">We counted the United Democrats (Enomeni Dimokrates, EDI) to AKEL. They participated for AKEL in the legislative elections of May 2011 (see http://en.wikipedia.org/wiki/United_Democrats ; http://derstandard.at/1311802816776/Neue-Regierung-nach-Koalitionsbruch ). The United Democrats received two cabinet posts on August 5 but were replaced on March 20 and October 15.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7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7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C7" authorId="0" shapeId="0" xr:uid="{00000000-0006-0000-0700-000003000000}">
      <text>
        <r>
          <rPr>
            <sz val="9"/>
            <color rgb="FF000000"/>
            <rFont val="Tahoma"/>
            <family val="2"/>
          </rPr>
          <t>Pithart I and Klaus I were the Prime Ministers in the Czech part of Czechoslovakia until the dissolution of Czechoslovakia on 31 December 1992.</t>
        </r>
      </text>
    </comment>
    <comment ref="F7" authorId="0" shapeId="0" xr:uid="{00000000-0006-0000-0700-000004000000}">
      <text>
        <r>
          <rPr>
            <sz val="9"/>
            <color rgb="FF000000"/>
            <rFont val="Tahoma"/>
            <family val="2"/>
          </rPr>
          <t xml:space="preserve">First post-communist government based on free elections held on 9 June 1990.
</t>
        </r>
      </text>
    </comment>
    <comment ref="C11" authorId="0" shapeId="0" xr:uid="{00000000-0006-0000-0700-000005000000}">
      <text>
        <r>
          <rPr>
            <sz val="9"/>
            <color rgb="FF000000"/>
            <rFont val="Tahoma"/>
            <family val="2"/>
          </rPr>
          <t>Pithart I and Klaus I were the Prime Ministers in the Czech part of Czechoslovakia until the dissolution of Czechoslovakia on 31 December 1992.</t>
        </r>
      </text>
    </comment>
    <comment ref="F12" authorId="0" shapeId="0" xr:uid="{00000000-0006-0000-0700-000006000000}">
      <text>
        <r>
          <rPr>
            <sz val="9"/>
            <color rgb="FF000000"/>
            <rFont val="Tahoma"/>
            <family val="2"/>
          </rPr>
          <t>Dissolution of Czechoslovakia on 31 December 1992</t>
        </r>
      </text>
    </comment>
    <comment ref="AC33" authorId="0" shapeId="0" xr:uid="{00000000-0006-0000-0700-000007000000}">
      <text>
        <r>
          <rPr>
            <sz val="9"/>
            <color indexed="81"/>
            <rFont val="Tahoma"/>
            <family val="2"/>
          </rPr>
          <t>Entered in CPDS under "allia2" (coalition of Christian Democratic Union/Czech People's Party and Freedom Union - Democratic Union, KDU/CSL-US/DEU). The alliance got 15.5 percent of parliamentary seats, the single seat shares are from EJPR (Linek 2003: 918).</t>
        </r>
      </text>
    </comment>
    <comment ref="AD33" authorId="0" shapeId="0" xr:uid="{00000000-0006-0000-0700-000008000000}">
      <text>
        <r>
          <rPr>
            <sz val="9"/>
            <color indexed="81"/>
            <rFont val="Tahoma"/>
            <family val="2"/>
          </rPr>
          <t>Freedom Union - Democratic Union</t>
        </r>
      </text>
    </comment>
    <comment ref="AG33" authorId="0" shapeId="0" xr:uid="{00000000-0006-0000-0700-000009000000}">
      <text>
        <r>
          <rPr>
            <sz val="9"/>
            <color indexed="81"/>
            <rFont val="Tahoma"/>
            <family val="2"/>
          </rPr>
          <t>Entered in CPDS under "allia2" (coalition of Christian Democratic Union/Czech People's Party and Freedom Union - Democratic Union, KDU/CSL-US/DEU). The alliance got 15.5 percent of parliamentary seats, the single seat shares are from EJPR (Linek 2003: 918).</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8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8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9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9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0900-000003000000}">
      <text>
        <r>
          <rPr>
            <sz val="9"/>
            <color rgb="FF000000"/>
            <rFont val="Tahoma"/>
            <family val="2"/>
          </rPr>
          <t xml:space="preserve">Independence from the U.S.S.R. was confirmed on 20 August 1991. After that, the next parliamentary elections were held on 20 September 1992.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A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A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18" authorId="0" shapeId="0" xr:uid="{00000000-0006-0000-0A00-000003000000}">
      <text>
        <r>
          <rPr>
            <sz val="9"/>
            <color indexed="81"/>
            <rFont val="Tahoma"/>
            <family val="2"/>
          </rPr>
          <t>"Mr Virolainen, Parliamentary leader of KESK, succeeded 11.09.64 to replace the Non-Party government by a government supported by a Parliamentary majority" (Woldendorp et al. 2000: 190)</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David Weisstanner</author>
    <author>david.weisstanner</author>
  </authors>
  <commentList>
    <comment ref="F4" authorId="0" shapeId="0" xr:uid="{00000000-0006-0000-0B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B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AK41" authorId="0" shapeId="0" xr:uid="{00000000-0006-0000-0B00-000003000000}">
      <text>
        <r>
          <rPr>
            <sz val="9"/>
            <color indexed="81"/>
            <rFont val="Tahoma"/>
            <family val="2"/>
          </rPr>
          <t>1973 not in CPDS I, won 1.7% votes and 11/473=2.3% seats</t>
        </r>
      </text>
    </comment>
    <comment ref="G116" authorId="1" shapeId="0" xr:uid="{00000000-0006-0000-0B00-000004000000}">
      <text>
        <r>
          <rPr>
            <sz val="8"/>
            <color indexed="81"/>
            <rFont val="Tahoma"/>
            <family val="2"/>
          </rPr>
          <t>Ministers</t>
        </r>
        <r>
          <rPr>
            <sz val="8"/>
            <color indexed="81"/>
            <rFont val="Tahoma"/>
            <family val="2"/>
          </rPr>
          <t xml:space="preserve"> Chr. Albanel und Chr. Lagarde classified as UMP instead of as independents from here on in the EJPR report (Cauters 2010: 972)</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C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C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H71" authorId="0" shapeId="0" xr:uid="{00000000-0006-0000-0C00-000003000000}">
      <text>
        <r>
          <rPr>
            <sz val="9"/>
            <color indexed="81"/>
            <rFont val="Tahoma"/>
            <family val="2"/>
          </rPr>
          <t>new ministry (postal and telecommunication)</t>
        </r>
      </text>
    </comment>
    <comment ref="F73" authorId="0" shapeId="0" xr:uid="{00000000-0006-0000-0C00-000004000000}">
      <text>
        <r>
          <rPr>
            <sz val="9"/>
            <color rgb="FF000000"/>
            <rFont val="Tahoma"/>
            <family val="2"/>
          </rPr>
          <t>Reason for termination is re-unification of Germany and subsequent increase in number of MPs from 519 to 663, and the inclusion of 5 ministers from the new eastern Länder in the Federal government. (Woldendorp et al. 2000: 228)</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D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D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24" authorId="0" shapeId="0" xr:uid="{00000000-0006-0000-0D00-000003000000}">
      <text>
        <r>
          <rPr>
            <sz val="9"/>
            <color rgb="FF000000"/>
            <rFont val="Tahoma"/>
            <family val="2"/>
          </rPr>
          <t>Athanasiadis failed to receive a vote of confidence in Parliament, after which the CU split in two.</t>
        </r>
      </text>
    </comment>
    <comment ref="AC25" authorId="0" shapeId="0" xr:uid="{00000000-0006-0000-0D00-000004000000}">
      <text>
        <r>
          <rPr>
            <sz val="9"/>
            <color indexed="81"/>
            <rFont val="Tahoma"/>
            <family val="2"/>
          </rPr>
          <t>see Woldendorp et al. (2000: 239). For the 1964 elections, ERE and KP formed an electoral alliance. The combined vote and seat shares are entered under the label conserv1 in the CPDS, since ERE gained more than 75% of the alliance's seat.</t>
        </r>
      </text>
    </comment>
    <comment ref="AG25" authorId="0" shapeId="0" xr:uid="{00000000-0006-0000-0D00-000005000000}">
      <text>
        <r>
          <rPr>
            <sz val="9"/>
            <color indexed="81"/>
            <rFont val="Tahoma"/>
            <family val="2"/>
          </rPr>
          <t>see Woldendorp et al. (2000: 239). For the 1964 elections, ERE and KP formed an electoral alliance. The combined vote and seat shares are entered under the label conserv1 in the CPDS, since ERE gained more than 75% of the alliance's seat.</t>
        </r>
      </text>
    </comment>
    <comment ref="F30" authorId="0" shapeId="0" xr:uid="{00000000-0006-0000-0D00-000006000000}">
      <text>
        <r>
          <rPr>
            <sz val="9"/>
            <color rgb="FF000000"/>
            <rFont val="Tahoma"/>
            <family val="2"/>
          </rPr>
          <t>Military coup on 21 April 1967.</t>
        </r>
      </text>
    </comment>
    <comment ref="F44" authorId="0" shapeId="0" xr:uid="{00000000-0006-0000-0D00-000007000000}">
      <text>
        <r>
          <rPr>
            <sz val="9"/>
            <color rgb="FF000000"/>
            <rFont val="Tahoma"/>
            <family val="2"/>
          </rPr>
          <t>Reason for termination of previous government is military coup on 21 April 1967</t>
        </r>
      </text>
    </comment>
    <comment ref="G44" authorId="0" shapeId="0" xr:uid="{00000000-0006-0000-0D00-000008000000}">
      <text>
        <r>
          <rPr>
            <sz val="9"/>
            <color indexed="81"/>
            <rFont val="Tahoma"/>
            <family val="2"/>
          </rPr>
          <t>The cabinet composition was: 7 ERE, 5 CU and 7 independents (Woldendorp et al. 2000: 241-257). Since the last parliamentary election was a decade ago and parliament had been controlled by the military junta, we did not include any parliamentary support to the transition government Karamanlis VI and classified it as "non-partisan".</t>
        </r>
      </text>
    </comment>
    <comment ref="S44" authorId="0" shapeId="0" xr:uid="{00000000-0006-0000-0D00-000009000000}">
      <text>
        <r>
          <rPr>
            <sz val="9"/>
            <color indexed="81"/>
            <rFont val="Tahoma"/>
            <family val="2"/>
          </rPr>
          <t>First civilian transitional government to restore parliamentary democracy. Main task is to organise elections (Woldendorp et al. 2000: 240)</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E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E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0E00-000003000000}">
      <text>
        <r>
          <rPr>
            <sz val="9"/>
            <color rgb="FF000000"/>
            <rFont val="Tahoma"/>
            <family val="2"/>
          </rPr>
          <t>First post-communist government based on free elections held on 25 March (first round) and 8 April 1990.</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F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F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0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0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1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1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Z93" authorId="1" shapeId="0" xr:uid="{00000000-0006-0000-1100-000003000000}">
      <text>
        <r>
          <rPr>
            <b/>
            <sz val="9"/>
            <color indexed="81"/>
            <rFont val="Tahoma"/>
            <family val="2"/>
          </rPr>
          <t>E</t>
        </r>
        <r>
          <rPr>
            <sz val="9"/>
            <color indexed="81"/>
            <rFont val="Tahoma"/>
            <family val="2"/>
          </rPr>
          <t>lectoral alliance between Italian Popular Party (PPI) and Democratic Union (UD)</t>
        </r>
      </text>
    </comment>
    <comment ref="AD93" authorId="1" shapeId="0" xr:uid="{00000000-0006-0000-1100-000004000000}">
      <text>
        <r>
          <rPr>
            <sz val="9"/>
            <color indexed="81"/>
            <rFont val="Tahoma"/>
            <family val="2"/>
          </rPr>
          <t>Electoral alliance between Italian Popular Party (PPI) and Democratic Union (UD)</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2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2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59" authorId="1" shapeId="0" xr:uid="{00000000-0006-0000-1200-000003000000}">
      <text>
        <r>
          <rPr>
            <sz val="9"/>
            <color indexed="81"/>
            <rFont val="Tahoma"/>
            <family val="2"/>
          </rPr>
          <t>Re-election Nakasone as chairman LDP and hence PM</t>
        </r>
      </text>
    </comment>
    <comment ref="C86" authorId="1" shapeId="0" xr:uid="{00000000-0006-0000-1200-000004000000}">
      <text>
        <r>
          <rPr>
            <sz val="9"/>
            <color indexed="81"/>
            <rFont val="Tahoma"/>
            <family val="2"/>
          </rPr>
          <t xml:space="preserve">Coalition cabinet with only LDP ministers in it
</t>
        </r>
      </text>
    </comment>
    <comment ref="S86" authorId="0" shapeId="0" xr:uid="{00000000-0006-0000-1200-000005000000}">
      <text>
        <r>
          <rPr>
            <sz val="9"/>
            <color indexed="81"/>
            <rFont val="Tahoma"/>
            <family val="2"/>
          </rPr>
          <t>Coalition cabinet with only LDP ministers in it</t>
        </r>
      </text>
    </comment>
    <comment ref="AC92" authorId="0" shapeId="0" xr:uid="{00000000-0006-0000-1200-000006000000}">
      <text>
        <r>
          <rPr>
            <sz val="9"/>
            <color indexed="81"/>
            <rFont val="Tahoma"/>
            <family val="2"/>
          </rPr>
          <t>LP and CGP are successor parties of the New Frontier Party (NFP) which split up in 1997. In the 1996 election, they participated as NFP and did not get any seats on their own. The seats shares of the successor parties are from EJPR (Kato 2000).</t>
        </r>
      </text>
    </comment>
    <comment ref="AG93" authorId="0" shapeId="0" xr:uid="{00000000-0006-0000-1200-000007000000}">
      <text>
        <r>
          <rPr>
            <sz val="9"/>
            <color indexed="81"/>
            <rFont val="Tahoma"/>
            <family val="2"/>
          </rPr>
          <t>LP and CGP are successor parties of the New Frontier Party (NFP) which split up in 1997. In the 1996 election, they participated as NFP and did not get any seats on their own. The seats shares of the successor parties are from EJPR (Kato 2000).</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s>
  <commentList>
    <comment ref="F4" authorId="0" shapeId="0" xr:uid="{00000000-0006-0000-13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3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1300-000003000000}">
      <text>
        <r>
          <rPr>
            <sz val="9"/>
            <color rgb="FF000000"/>
            <rFont val="Tahoma"/>
            <family val="2"/>
          </rPr>
          <t>First post-communist government based on the first free elections after independence from the Sovjet Union, held on 6 June 1993.</t>
        </r>
      </text>
    </comment>
    <comment ref="Z9" authorId="1" shapeId="0" xr:uid="{00000000-0006-0000-1300-000004000000}">
      <text>
        <r>
          <rPr>
            <sz val="9"/>
            <color indexed="81"/>
            <rFont val="Tahoma"/>
            <family val="2"/>
          </rPr>
          <t xml:space="preserve">Formed during legislation (breaking away from Harmony for Latvia), hence did not get any seats on their own in the 1993 election.
</t>
        </r>
      </text>
    </comment>
    <comment ref="AK11" authorId="0" shapeId="0" xr:uid="{00000000-0006-0000-1300-000005000000}">
      <text>
        <r>
          <rPr>
            <sz val="9"/>
            <color indexed="81"/>
            <rFont val="Tahoma"/>
            <family val="2"/>
          </rPr>
          <t>Formed an electoral alliance with the Latvian Green Party in 1995. The seat share entered is the total share of the alliance (allia1).</t>
        </r>
      </text>
    </comment>
    <comment ref="AO44" authorId="0" shapeId="0" xr:uid="{00000000-0006-0000-1300-000006000000}">
      <text>
        <r>
          <rPr>
            <sz val="9"/>
            <color indexed="81"/>
            <rFont val="Tahoma"/>
            <family val="2"/>
          </rPr>
          <t>Founded in 2008, hence did not get any seats in the 2006 election.</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Knöpfel, Laura (IPW)</author>
  </authors>
  <commentList>
    <comment ref="F4" authorId="0" shapeId="0" xr:uid="{00000000-0006-0000-14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4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1400-000003000000}">
      <text>
        <r>
          <rPr>
            <sz val="9"/>
            <color rgb="FF000000"/>
            <rFont val="Tahoma"/>
            <family val="2"/>
          </rPr>
          <t>First post-communist government based on the first free elections after independence from the Sovjet Union, held on 15 November 1992.</t>
        </r>
      </text>
    </comment>
    <comment ref="Y27" authorId="1" shapeId="0" xr:uid="{00000000-0006-0000-1400-000004000000}">
      <text>
        <r>
          <rPr>
            <sz val="9"/>
            <color indexed="81"/>
            <rFont val="Tahoma"/>
            <family val="2"/>
          </rPr>
          <t>Since LSDP was part of the Social-Democratic Coalition of Algirdas Brazauskas their own seat share is not apparent in the CPDS and thus taken from Krupavicius (2002: 1019).</t>
        </r>
      </text>
    </comment>
    <comment ref="AC34" authorId="1" shapeId="0" xr:uid="{00000000-0006-0000-1400-000005000000}">
      <text>
        <r>
          <rPr>
            <sz val="9"/>
            <color rgb="FF000000"/>
            <rFont val="Tahoma"/>
            <family val="2"/>
          </rPr>
          <t xml:space="preserve">Since LSDP was part of the Coalition of Algirdas Bazauskas and Arturas Paulauskas "Working for Lithuania" their own seat share is not apparent in the CPDS and thus taken from Krupavicius (2005: 1091).
</t>
        </r>
      </text>
    </comment>
    <comment ref="AG34" authorId="2" shapeId="0" xr:uid="{00000000-0006-0000-1400-000006000000}">
      <text>
        <r>
          <rPr>
            <sz val="9"/>
            <color rgb="FF000000"/>
            <rFont val="Tahoma"/>
            <family val="2"/>
          </rPr>
          <t>Since NS-LP was part of the Coalition of Algirdas Bazauskas and Arturas Paulauskas "Working for Lithuania" their own seat share is not apparent in the CPDS and thus taken from Krupavicius (2005: 1091).</t>
        </r>
      </text>
    </comment>
    <comment ref="Y39" authorId="0" shapeId="0" xr:uid="{00000000-0006-0000-1400-000007000000}">
      <text>
        <r>
          <rPr>
            <sz val="9"/>
            <color rgb="FF000000"/>
            <rFont val="Tahoma"/>
            <family val="2"/>
          </rPr>
          <t>Since LSDP was part of the Coalition of Algirdas Bazauskas and Arturas Paulauskas "Working for Lithuania" their own seat share is not apparent in the CPDS and thus taken from Krupavicius (2007: 1020).</t>
        </r>
      </text>
    </comment>
    <comment ref="AD39" authorId="0" shapeId="0" xr:uid="{00000000-0006-0000-1400-000008000000}">
      <text>
        <r>
          <rPr>
            <sz val="9"/>
            <color rgb="FF000000"/>
            <rFont val="Tahoma"/>
            <family val="2"/>
          </rPr>
          <t>Founded 2006 (break away from Labour Party), hence the party did not win any seats in the 2004 elections. Their seat share on 18.07.2006 is taken from EJPR (Krupavicius 2007: 1020).</t>
        </r>
      </text>
    </comment>
  </commentList>
</comments>
</file>

<file path=xl/comments22.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5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5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3.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6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6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4.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7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7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5.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8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8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S82" authorId="1" shapeId="0" xr:uid="{00000000-0006-0000-1800-000003000000}">
      <text>
        <r>
          <rPr>
            <sz val="9"/>
            <color indexed="81"/>
            <rFont val="Tahoma"/>
            <family val="2"/>
          </rPr>
          <t xml:space="preserve">Based on the seats share of the last parliamentary election in 1993 this government should still be coded as a single party majority government. However we code it as a minimal winning coalition since seat shares in parliament have shifted in 1995 with the foundation of the United New Zealand splinter party. Based on Vowles (1997, EJPR 32: 451-161), the seat shares were 43.4% for the National Party and 7.0% for the United Party, thus making this government a minimal winning coalition.
</t>
        </r>
      </text>
    </comment>
  </commentList>
</comments>
</file>

<file path=xl/comments26.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9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9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List>
</comments>
</file>

<file path=xl/comments27.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A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A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1A00-000003000000}">
      <text>
        <r>
          <rPr>
            <sz val="9"/>
            <color rgb="FF000000"/>
            <rFont val="Tahoma"/>
            <family val="2"/>
          </rPr>
          <t>First post-communist government based on the first free elections held on 27 October 1991.</t>
        </r>
      </text>
    </comment>
    <comment ref="F10" authorId="1" shapeId="0" xr:uid="{00000000-0006-0000-1A00-000004000000}">
      <text>
        <r>
          <rPr>
            <sz val="9"/>
            <color rgb="FF000000"/>
            <rFont val="Tahoma"/>
            <family val="2"/>
          </rPr>
          <t>Reason for termination is failure to form a new government because of lack of support from the parliament.</t>
        </r>
      </text>
    </comment>
    <comment ref="AS10" authorId="0" shapeId="0" xr:uid="{00000000-0006-0000-1A00-000005000000}">
      <text>
        <r>
          <rPr>
            <sz val="9"/>
            <color indexed="81"/>
            <rFont val="Tahoma"/>
            <family val="2"/>
          </rPr>
          <t>Run in the election as part of PL.</t>
        </r>
      </text>
    </comment>
    <comment ref="Y35" authorId="1" shapeId="0" xr:uid="{00000000-0006-0000-1A00-000006000000}">
      <text>
        <r>
          <rPr>
            <sz val="9"/>
            <color indexed="81"/>
            <rFont val="Tahoma"/>
            <family val="2"/>
          </rPr>
          <t xml:space="preserve">SLD and UP formed an electoral alliance for the 2001 election (included in social3 in CPDS III, because SLD got more than 75% of the seats of the alliance). The seat share entered here is from Jasiewicz/Jasiewicz-Betkiewicz (2002: 1061).
</t>
        </r>
      </text>
    </comment>
    <comment ref="AC35" authorId="1" shapeId="0" xr:uid="{00000000-0006-0000-1A00-000007000000}">
      <text>
        <r>
          <rPr>
            <sz val="9"/>
            <color indexed="81"/>
            <rFont val="Tahoma"/>
            <family val="2"/>
          </rPr>
          <t xml:space="preserve">SLD and UP formed an electoral alliance for the 2001 election (included in social3 in CPDS III, because SLD got more than 75% of the seats of the alliance). The seat share entered here is from Jasiewicz/Jasiewicz-Betkiewicz (2002: 1061).
</t>
        </r>
      </text>
    </comment>
    <comment ref="AG49" authorId="1" shapeId="0" xr:uid="{00000000-0006-0000-1A00-000008000000}">
      <text>
        <r>
          <rPr>
            <sz val="9"/>
            <color indexed="81"/>
            <rFont val="Tahoma"/>
            <family val="2"/>
          </rPr>
          <t xml:space="preserve">The SdPL was established on 1 April 2004 by 31 dissenters from the SLD, joined by two dissenters from the UP (asiewicz an Jasiewicz-Betkiewicz, EJPR 2005: 1148). SdPLs seat share is included in the seat share of SLD and UP. 
</t>
        </r>
      </text>
    </comment>
  </commentList>
</comments>
</file>

<file path=xl/comments28.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B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B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xr:uid="{00000000-0006-0000-1B00-000003000000}">
      <text>
        <r>
          <rPr>
            <sz val="9"/>
            <color rgb="FF000000"/>
            <rFont val="Tahoma"/>
            <family val="2"/>
          </rPr>
          <t>On 25 April 1974, the "Carnation Revolution" initiated a the two-year revolutionary transitory phase which resulted in the new democratic constitution enacted on 25 April 1976.</t>
        </r>
      </text>
    </comment>
    <comment ref="V17" authorId="1" shapeId="0" xr:uid="{00000000-0006-0000-1B00-000004000000}">
      <text>
        <r>
          <rPr>
            <sz val="9"/>
            <color indexed="81"/>
            <rFont val="Tahoma"/>
            <family val="2"/>
          </rPr>
          <t xml:space="preserve">Electoral alliance of Center Social Democrats, Social Democrats and Popular Monarchist Party </t>
        </r>
      </text>
    </comment>
    <comment ref="Z17" authorId="1" shapeId="0" xr:uid="{00000000-0006-0000-1B00-000005000000}">
      <text>
        <r>
          <rPr>
            <sz val="9"/>
            <color indexed="81"/>
            <rFont val="Tahoma"/>
            <family val="2"/>
          </rPr>
          <t xml:space="preserve">Electoral alliance of Center Social Democrats, Social Democrats and Popular Monarchist Party </t>
        </r>
      </text>
    </comment>
    <comment ref="AD17" authorId="1" shapeId="0" xr:uid="{00000000-0006-0000-1B00-000006000000}">
      <text>
        <r>
          <rPr>
            <sz val="9"/>
            <color indexed="81"/>
            <rFont val="Tahoma"/>
            <family val="2"/>
          </rPr>
          <t xml:space="preserve">Electoral alliance of Center Social Democrats, Social Democrats and Popular Monarchist Party </t>
        </r>
      </text>
    </comment>
    <comment ref="F19" authorId="1" shapeId="0" xr:uid="{00000000-0006-0000-1B00-000007000000}">
      <text>
        <r>
          <rPr>
            <sz val="9"/>
            <color indexed="81"/>
            <rFont val="Tahoma"/>
            <family val="2"/>
          </rPr>
          <t>Reason for termination is the death of Sá Carneiro on 4 December 1980.</t>
        </r>
      </text>
    </comment>
  </commentList>
</comments>
</file>

<file path=xl/comments29.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Knöpfel, Laura (IPW)</author>
  </authors>
  <commentList>
    <comment ref="F4" authorId="0" shapeId="0" xr:uid="{00000000-0006-0000-1C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C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1C00-000003000000}">
      <text>
        <r>
          <rPr>
            <sz val="9"/>
            <color rgb="FF000000"/>
            <rFont val="Tahoma"/>
            <family val="2"/>
          </rPr>
          <t>Government based on the first free elections held on 20 May 1990 after the communist regime under Ceaușescu.</t>
        </r>
      </text>
    </comment>
    <comment ref="AK9" authorId="1" shapeId="0" xr:uid="{00000000-0006-0000-1C00-000004000000}">
      <text>
        <r>
          <rPr>
            <sz val="9"/>
            <color indexed="81"/>
            <rFont val="Tahoma"/>
            <family val="2"/>
          </rPr>
          <t xml:space="preserve">Since in the 1990 elections PDAR did not pass our treshold of 2% vote share the party's seat share is not apparent in the CPDS III database. Based on Woldendorp et al. (2011) the party won 9 seats (2.3 % seat share) in the 1990 elections.  </t>
        </r>
      </text>
    </comment>
    <comment ref="V37" authorId="1" shapeId="0" xr:uid="{00000000-0006-0000-1C00-000005000000}">
      <text>
        <r>
          <rPr>
            <sz val="9"/>
            <color indexed="81"/>
            <rFont val="Tahoma"/>
            <family val="2"/>
          </rPr>
          <t>For the 2004 election, PNL and PD formed an electoral alliance under the name "Justice and Truth Alliance". The coalition's seat share is entered into CPDS under the label liberal2. For the calcultations of the government variables the seat share is split up based on EJPR (Stan and Zaharia 2007: 1083-1086).</t>
        </r>
      </text>
    </comment>
    <comment ref="Y37" authorId="1" shapeId="0" xr:uid="{00000000-0006-0000-1C00-000006000000}">
      <text>
        <r>
          <rPr>
            <sz val="9"/>
            <color indexed="81"/>
            <rFont val="Tahoma"/>
            <family val="2"/>
          </rPr>
          <t>PNL won 19.2% of parliamentary seats whilst competing in the electoral coalition with PD (Stan and Zaharia 2007: 1086).</t>
        </r>
      </text>
    </comment>
    <comment ref="Z37" authorId="2" shapeId="0" xr:uid="{00000000-0006-0000-1C00-000007000000}">
      <text>
        <r>
          <rPr>
            <sz val="9"/>
            <color indexed="81"/>
            <rFont val="Tahoma"/>
            <family val="2"/>
          </rPr>
          <t>For the 2004 election, PNL and PD formed an electoral alliance under the name "Justice and Truth Alliance". The coalition's seat share is entered into CPDS under the label liberal2. For the calcultations of the government variables the seat share is split up based on EJPR (Stan and Zaharia 2007: 1083-1086).</t>
        </r>
      </text>
    </comment>
    <comment ref="AC37" authorId="1" shapeId="0" xr:uid="{00000000-0006-0000-1C00-000008000000}">
      <text>
        <r>
          <rPr>
            <sz val="9"/>
            <color indexed="81"/>
            <rFont val="Tahoma"/>
            <family val="2"/>
          </rPr>
          <t>PD won 14.5% of parliamentary seats whilst competing in the electoral coalition with PNL (Stan and Zaharia 2007: 1086).</t>
        </r>
      </text>
    </comment>
    <comment ref="AH37" authorId="1" shapeId="0" xr:uid="{00000000-0006-0000-1C00-000009000000}">
      <text>
        <r>
          <rPr>
            <sz val="9"/>
            <color indexed="81"/>
            <rFont val="Tahoma"/>
            <family val="2"/>
          </rPr>
          <t>For the 2004 election, PUR formed an electoral alliance with the Social Democratic Party (PSD). The coaliton won 39.7% of parliamentary seats (entered into CPDS under the label social1), of which 19 seats were allocated to PUR (Stan and Zaharia 2007: 1083).</t>
        </r>
      </text>
    </comment>
    <comment ref="Z49" authorId="2" shapeId="0" xr:uid="{00000000-0006-0000-1C00-00000A000000}">
      <text>
        <r>
          <rPr>
            <sz val="9"/>
            <color indexed="81"/>
            <rFont val="Tahoma"/>
            <family val="2"/>
          </rPr>
          <t>For the 2008 elections, PSD formed an electoral alliance with the Conservatory Party (PC).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AD54" authorId="2" shapeId="0" xr:uid="{00000000-0006-0000-1C00-00000B000000}">
      <text>
        <r>
          <rPr>
            <sz val="9"/>
            <color indexed="81"/>
            <rFont val="Tahoma"/>
            <family val="2"/>
          </rPr>
          <t xml:space="preserve">The UNPR was formed in March 2010 as a spliter group form the Social Democratic Party (PSD). Hence their seat share is not apparent in the CPDS database. </t>
        </r>
        <r>
          <rPr>
            <sz val="9"/>
            <color indexed="81"/>
            <rFont val="Tahoma"/>
            <family val="2"/>
          </rPr>
          <t xml:space="preserve">
</t>
        </r>
      </text>
    </comment>
    <comment ref="AG54" authorId="2" shapeId="0" xr:uid="{00000000-0006-0000-1C00-00000C000000}">
      <text>
        <r>
          <rPr>
            <sz val="9"/>
            <color indexed="81"/>
            <rFont val="Tahoma"/>
            <family val="2"/>
          </rPr>
          <t xml:space="preserve">The seat share of UNPR is taken from EJPR (Stan and Zaharia 2011: 1108). 
</t>
        </r>
      </text>
    </comment>
    <comment ref="Y62" authorId="2" shapeId="0" xr:uid="{00000000-0006-0000-1C00-00000D000000}">
      <text>
        <r>
          <rPr>
            <sz val="9"/>
            <color indexed="81"/>
            <rFont val="Tahoma"/>
            <family val="2"/>
          </rPr>
          <t>For the 2008 elections, PSD formed an electoral alliance with the Conservatory Party (PC).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AD62" authorId="2" shapeId="0" xr:uid="{00000000-0006-0000-1C00-00000E000000}">
      <text>
        <r>
          <rPr>
            <sz val="9"/>
            <color indexed="81"/>
            <rFont val="Tahoma"/>
            <family val="2"/>
          </rPr>
          <t>For the 2008 elections, PC formed an electoral alliance with the Social Democratic Party (PSD).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V64" authorId="2" shapeId="0" xr:uid="{00000000-0006-0000-1C00-00000F000000}">
      <text>
        <r>
          <rPr>
            <sz val="9"/>
            <color indexed="81"/>
            <rFont val="Tahoma"/>
            <family val="2"/>
          </rPr>
          <t>For the 2012 elections, the Social Democratic Party (PSD) formed an electoral alliance with the National Liberal Party (PNL), the Conservative Party (PC) and the National Union for Romania's Progress (UNPR). Therefore their seat share is not apparent seperately and it is entered under the label allia2 in CPDS.</t>
        </r>
      </text>
    </comment>
    <comment ref="Y64" authorId="2" shapeId="0" xr:uid="{00000000-0006-0000-1C00-000010000000}">
      <text>
        <r>
          <rPr>
            <sz val="9"/>
            <color rgb="FF000000"/>
            <rFont val="Tahoma"/>
            <family val="2"/>
          </rPr>
          <t>The seat share of PSD, PNL, PC and UNPR is taken from EJPR (Stan 2013: 201).</t>
        </r>
      </text>
    </comment>
    <comment ref="Z64" authorId="2" shapeId="0" xr:uid="{00000000-0006-0000-1C00-000011000000}">
      <text>
        <r>
          <rPr>
            <sz val="9"/>
            <color rgb="FF000000"/>
            <rFont val="Tahoma"/>
            <family val="2"/>
          </rPr>
          <t>For the 2012 elections, the National Liberal Party (PNL) formed an electoral alliance with the Social Democratic Party (PSD), the Conservative Party (PC) and the National Union for Romania's Progress (UNPR). Therefore their seat share is not apparent seperately and it is entered under the label allia2 in CPDS.</t>
        </r>
      </text>
    </comment>
    <comment ref="AC64" authorId="2" shapeId="0" xr:uid="{00000000-0006-0000-1C00-000012000000}">
      <text>
        <r>
          <rPr>
            <sz val="9"/>
            <color indexed="81"/>
            <rFont val="Tahoma"/>
            <family val="2"/>
          </rPr>
          <t>The seat share of PSD, PNL, PC and UNPR is taken from EJPR (Stan 2013: 201).</t>
        </r>
      </text>
    </comment>
    <comment ref="AD64" authorId="0" shapeId="0" xr:uid="{00000000-0006-0000-1C00-000013000000}">
      <text>
        <r>
          <rPr>
            <sz val="9"/>
            <color indexed="81"/>
            <rFont val="Tahoma"/>
            <family val="2"/>
          </rPr>
          <t>For the 2012 elections, the Conservative Party (PC) formed an electoral alliance with the Social Democratic Party (PSD), the National Liberal Party (PNL) and the National Union for Romania's Progress (UNPR). Therefore their seat share is not apparent seperately and it is entered under the label allia2 in CPDS.</t>
        </r>
      </text>
    </comment>
    <comment ref="AG64" authorId="0" shapeId="0" xr:uid="{00000000-0006-0000-1C00-000014000000}">
      <text>
        <r>
          <rPr>
            <sz val="9"/>
            <color indexed="81"/>
            <rFont val="Tahoma"/>
            <family val="2"/>
          </rPr>
          <t>The seat share of PSD, PNL, PC and UNPR is taken from EJPR (Stan 2013: 201).</t>
        </r>
      </text>
    </comment>
    <comment ref="AH64" authorId="0" shapeId="0" xr:uid="{00000000-0006-0000-1C00-000015000000}">
      <text>
        <r>
          <rPr>
            <sz val="9"/>
            <color indexed="81"/>
            <rFont val="Tahoma"/>
            <family val="2"/>
          </rPr>
          <t>For the 2012 elections, the National Union for Romania's Progress (UNPR) formed an electoral alliance with the Social Democratic Party (PSD), the National Liberal Party (PNL) and the Conservative Party (PC). Therefore their seat share is not apparent seperately and it is entered under the label allia2 in CPDS.</t>
        </r>
      </text>
    </comment>
    <comment ref="AK64" authorId="0" shapeId="0" xr:uid="{00000000-0006-0000-1C00-000016000000}">
      <text>
        <r>
          <rPr>
            <sz val="9"/>
            <color indexed="81"/>
            <rFont val="Tahoma"/>
            <family val="2"/>
          </rPr>
          <t>The seat share of PSD, PNL, PC and UNPR is taken from EJPR (Stan 2013: 201).</t>
        </r>
      </text>
    </comment>
  </commentList>
</comments>
</file>

<file path=xl/comments30.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D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D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C7" authorId="0" shapeId="0" xr:uid="{00000000-0006-0000-1D00-000003000000}">
      <text>
        <r>
          <rPr>
            <sz val="9"/>
            <color rgb="FF000000"/>
            <rFont val="Tahoma"/>
            <family val="2"/>
          </rPr>
          <t>Mečiar I, Čarnogurský I and Mečiar II were the Prime Ministers in the Slovak part of Czechoslovakia until the dissolution of Czechoslovakia on 31 December 1992.</t>
        </r>
      </text>
    </comment>
    <comment ref="F7" authorId="0" shapeId="0" xr:uid="{00000000-0006-0000-1D00-000004000000}">
      <text>
        <r>
          <rPr>
            <sz val="9"/>
            <color rgb="FF000000"/>
            <rFont val="Tahoma"/>
            <family val="2"/>
          </rPr>
          <t xml:space="preserve">Government based on the first free elections held on 9 June 1990.
</t>
        </r>
      </text>
    </comment>
    <comment ref="C9" authorId="0" shapeId="0" xr:uid="{00000000-0006-0000-1D00-000005000000}">
      <text>
        <r>
          <rPr>
            <sz val="9"/>
            <color rgb="FF000000"/>
            <rFont val="Tahoma"/>
            <family val="2"/>
          </rPr>
          <t>Mečiar I, Čarnogurský I and Mečiar II were the Prime Ministers in the Slovak part of Czechoslovakia until the dissolution of Czechoslovakia on 31 December 1992.</t>
        </r>
      </text>
    </comment>
    <comment ref="C11" authorId="0" shapeId="0" xr:uid="{00000000-0006-0000-1D00-000006000000}">
      <text>
        <r>
          <rPr>
            <sz val="9"/>
            <color rgb="FF000000"/>
            <rFont val="Tahoma"/>
            <family val="2"/>
          </rPr>
          <t>Mečiar I, Čarnogurský I and Mečiar II were the Prime Ministers in the Slovak part of Czechoslovakia until the dissolution of Czechoslovakia on 31 December 1992.</t>
        </r>
      </text>
    </comment>
    <comment ref="F12" authorId="0" shapeId="0" xr:uid="{00000000-0006-0000-1D00-000007000000}">
      <text>
        <r>
          <rPr>
            <sz val="9"/>
            <color rgb="FF000000"/>
            <rFont val="Tahoma"/>
            <family val="2"/>
          </rPr>
          <t>Dissolution of Czechoslovakia on 31 December 1992</t>
        </r>
      </text>
    </comment>
    <comment ref="AG17" authorId="0" shapeId="0" xr:uid="{00000000-0006-0000-1D00-000008000000}">
      <text>
        <r>
          <rPr>
            <sz val="9"/>
            <color indexed="81"/>
            <rFont val="Tahoma"/>
            <family val="2"/>
          </rPr>
          <t>DUS and ADSR are splinter parties from the HZDS. Their seat share is taken from Müller-Rommel et al. (2008: 828).</t>
        </r>
      </text>
    </comment>
    <comment ref="AK17" authorId="0" shapeId="0" xr:uid="{00000000-0006-0000-1D00-000009000000}">
      <text>
        <r>
          <rPr>
            <sz val="9"/>
            <color indexed="81"/>
            <rFont val="Tahoma"/>
            <family val="2"/>
          </rPr>
          <t>DUS and ADSR are splinter parties from the HZDS. Their seat share is taken from Müller-Rommel et al. (2008: 828).</t>
        </r>
      </text>
    </comment>
    <comment ref="AO17" authorId="0" shapeId="0" xr:uid="{00000000-0006-0000-1D00-00000A000000}">
      <text>
        <r>
          <rPr>
            <sz val="9"/>
            <color indexed="81"/>
            <rFont val="Tahoma"/>
            <family val="2"/>
          </rPr>
          <t>NDS is a splinter parties from SNS. Its seat share is taken from Müller-Rommel et al. (2008: 828).</t>
        </r>
      </text>
    </comment>
  </commentList>
</comments>
</file>

<file path=xl/comments31.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E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E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xr:uid="{00000000-0006-0000-1E00-000003000000}">
      <text>
        <r>
          <rPr>
            <sz val="9"/>
            <color rgb="FF000000"/>
            <rFont val="Tahoma"/>
            <family val="2"/>
          </rPr>
          <t>Government based on the first fully free elections held on 6 December 1992 after independence from the Socialist Federal Republic of Yugoslavia.</t>
        </r>
      </text>
    </comment>
  </commentList>
</comments>
</file>

<file path=xl/comments32.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F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F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1F00-000003000000}">
      <text>
        <r>
          <rPr>
            <sz val="9"/>
            <color indexed="81"/>
            <rFont val="Tahoma"/>
            <family val="2"/>
          </rPr>
          <t>After the political reform laws of 1976, the first competitive parliamentary elections were held on 15 June 1977.</t>
        </r>
      </text>
    </comment>
  </commentList>
</comments>
</file>

<file path=xl/comments33.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20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20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61" authorId="1" shapeId="0" xr:uid="{00000000-0006-0000-2000-000003000000}">
      <text>
        <r>
          <rPr>
            <sz val="9"/>
            <color indexed="81"/>
            <rFont val="Tahoma"/>
            <family val="2"/>
          </rPr>
          <t>Reason for termination is assassination of PM Palme.</t>
        </r>
      </text>
    </comment>
  </commentList>
</comments>
</file>

<file path=xl/comments34.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21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21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AE6" authorId="1" shapeId="0" xr:uid="{00000000-0006-0000-2100-000003000000}">
      <text>
        <r>
          <rPr>
            <sz val="9"/>
            <color rgb="FF000000"/>
            <rFont val="Tahoma"/>
            <family val="2"/>
          </rPr>
          <t>Coded as agrarian until 1994 and as right4 (right-wing populist) since 1995.</t>
        </r>
      </text>
    </comment>
    <comment ref="F7" authorId="1" shapeId="0" xr:uid="{00000000-0006-0000-2100-000004000000}">
      <text>
        <r>
          <rPr>
            <sz val="9"/>
            <color rgb="FF000000"/>
            <rFont val="Tahoma"/>
            <family val="2"/>
          </rPr>
          <t>Head of State is the chairperson of the Federal Council (Bundespräsident), whose members alternate in the position each year.</t>
        </r>
      </text>
    </comment>
    <comment ref="AI7" authorId="1" shapeId="0" xr:uid="{00000000-0006-0000-2100-000005000000}">
      <text>
        <r>
          <rPr>
            <sz val="9"/>
            <color rgb="FF000000"/>
            <rFont val="Tahoma"/>
            <family val="2"/>
          </rPr>
          <t>Coded as agrarian until 1994 and as right4 (right-wing populist) since 1995.</t>
        </r>
      </text>
    </comment>
    <comment ref="AI8" authorId="1" shapeId="0" xr:uid="{00000000-0006-0000-2100-000006000000}">
      <text>
        <r>
          <rPr>
            <sz val="9"/>
            <color rgb="FF000000"/>
            <rFont val="Tahoma"/>
            <family val="2"/>
          </rPr>
          <t>Coded as agrarian until 1994 and as right4 (right-wing populist) since 1995.</t>
        </r>
      </text>
    </comment>
  </commentList>
</comments>
</file>

<file path=xl/comments35.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22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22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36.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s>
  <commentList>
    <comment ref="F4" authorId="0" shapeId="0" xr:uid="{00000000-0006-0000-23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23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9" authorId="0" shapeId="0" xr:uid="{00000000-0006-0000-2300-000003000000}">
      <text>
        <r>
          <rPr>
            <sz val="9"/>
            <color rgb="FF000000"/>
            <rFont val="Tahoma"/>
            <family val="2"/>
          </rPr>
          <t>Election to the House of Representatives (relevant for the variables gov2 and gov3), does not indicate a change of government.</t>
        </r>
      </text>
    </comment>
    <comment ref="F16" authorId="1" shapeId="0" xr:uid="{00000000-0006-0000-2300-000004000000}">
      <text>
        <r>
          <rPr>
            <sz val="9"/>
            <color rgb="FF000000"/>
            <rFont val="Tahoma"/>
            <family val="2"/>
          </rPr>
          <t>Reason for termination is assassination of President Kennedey.</t>
        </r>
      </text>
    </comment>
  </commentList>
</comments>
</file>

<file path=xl/sharedStrings.xml><?xml version="1.0" encoding="utf-8"?>
<sst xmlns="http://schemas.openxmlformats.org/spreadsheetml/2006/main" count="34663" uniqueCount="1551">
  <si>
    <t>gov_right2</t>
  </si>
  <si>
    <t>gov_cent2</t>
  </si>
  <si>
    <t>gov_left2</t>
  </si>
  <si>
    <t>Year</t>
  </si>
  <si>
    <t>Investiture Date</t>
  </si>
  <si>
    <t>Days in Year</t>
  </si>
  <si>
    <t>Prime Minister</t>
  </si>
  <si>
    <t>Termination (prev. Gov.)</t>
  </si>
  <si>
    <t>gov_right1</t>
  </si>
  <si>
    <t>gov_cent1</t>
  </si>
  <si>
    <t>gov_left1</t>
  </si>
  <si>
    <t>right</t>
  </si>
  <si>
    <t>left</t>
  </si>
  <si>
    <t>Government Type</t>
  </si>
  <si>
    <t>Government Composition and Parties in Government</t>
  </si>
  <si>
    <t>Austria</t>
  </si>
  <si>
    <t>ÖVP</t>
  </si>
  <si>
    <t>relig1</t>
  </si>
  <si>
    <t>center</t>
  </si>
  <si>
    <t>SPÖ</t>
  </si>
  <si>
    <t>social1</t>
  </si>
  <si>
    <t>FPÖ</t>
  </si>
  <si>
    <t>liberal1</t>
  </si>
  <si>
    <t>Name</t>
  </si>
  <si>
    <t>Family</t>
  </si>
  <si>
    <t>Ideology</t>
  </si>
  <si>
    <t>gov_sup</t>
  </si>
  <si>
    <t>right1</t>
  </si>
  <si>
    <t>Raab III (ÖVP)</t>
  </si>
  <si>
    <t>Gorbach I (ÖVP)</t>
  </si>
  <si>
    <t>Gorbach II (ÖVP)</t>
  </si>
  <si>
    <t>Klaus I (ÖVP)</t>
  </si>
  <si>
    <t>Klaus II (ÖVP)</t>
  </si>
  <si>
    <t>Kreisky I (SPÖ)</t>
  </si>
  <si>
    <t>Kreisky II (SPÖ)</t>
  </si>
  <si>
    <t>Kreisky III (SPÖ)</t>
  </si>
  <si>
    <t>Kreisky IV (SPÖ)</t>
  </si>
  <si>
    <t>Vranitzky I (SPÖ)</t>
  </si>
  <si>
    <t>Sinowatz I (SPÖ)</t>
  </si>
  <si>
    <t>Vranitzky II (SPÖ)</t>
  </si>
  <si>
    <t>Vranitzky III (SPÖ)</t>
  </si>
  <si>
    <t>Vranitzky IV (SPÖ)</t>
  </si>
  <si>
    <t>Vranitzky V (SPÖ)</t>
  </si>
  <si>
    <t>Klima I (SPÖ)</t>
  </si>
  <si>
    <t>Schüssel I (ÖVP)</t>
  </si>
  <si>
    <t>Schüssel II (ÖVP)</t>
  </si>
  <si>
    <t>Gusenbauer I (SPÖ)</t>
  </si>
  <si>
    <t>Faymann I (SPÖ)</t>
  </si>
  <si>
    <t>Australia</t>
  </si>
  <si>
    <t>Belgium</t>
  </si>
  <si>
    <t>Canada</t>
  </si>
  <si>
    <t>Cyprus</t>
  </si>
  <si>
    <t>Denmark</t>
  </si>
  <si>
    <t>Finland</t>
  </si>
  <si>
    <t>France</t>
  </si>
  <si>
    <t>Germany</t>
  </si>
  <si>
    <t>Greece</t>
  </si>
  <si>
    <t>Iceland</t>
  </si>
  <si>
    <t>Ireland</t>
  </si>
  <si>
    <t>Italy</t>
  </si>
  <si>
    <t>Japan</t>
  </si>
  <si>
    <t>Luxembourg</t>
  </si>
  <si>
    <t>Malta</t>
  </si>
  <si>
    <t>Netherlands</t>
  </si>
  <si>
    <t>New Zealand</t>
  </si>
  <si>
    <t>Norway</t>
  </si>
  <si>
    <t>Portugal</t>
  </si>
  <si>
    <t>Spain</t>
  </si>
  <si>
    <t>Sweden</t>
  </si>
  <si>
    <t>Switzerland</t>
  </si>
  <si>
    <t>United Kingdom</t>
  </si>
  <si>
    <t>United States</t>
  </si>
  <si>
    <t>LIB</t>
  </si>
  <si>
    <t>CNT</t>
  </si>
  <si>
    <t>conserv1</t>
  </si>
  <si>
    <t>conserv2</t>
  </si>
  <si>
    <t>conserv3</t>
  </si>
  <si>
    <t>ALP</t>
  </si>
  <si>
    <t>conserv4</t>
  </si>
  <si>
    <t>conserv5</t>
  </si>
  <si>
    <t>CVP</t>
  </si>
  <si>
    <t>relig2</t>
  </si>
  <si>
    <t>LP</t>
  </si>
  <si>
    <t>SP</t>
  </si>
  <si>
    <t>PSC</t>
  </si>
  <si>
    <t>relig3</t>
  </si>
  <si>
    <t>PVV</t>
  </si>
  <si>
    <t>liberal2</t>
  </si>
  <si>
    <t>VU</t>
  </si>
  <si>
    <t>ethnic1</t>
  </si>
  <si>
    <t>RW</t>
  </si>
  <si>
    <t>ethnic3</t>
  </si>
  <si>
    <t>FDF</t>
  </si>
  <si>
    <t>ethnic2</t>
  </si>
  <si>
    <t>SP.a</t>
  </si>
  <si>
    <t>PS</t>
  </si>
  <si>
    <t>social3</t>
  </si>
  <si>
    <t>social2</t>
  </si>
  <si>
    <t>PRL</t>
  </si>
  <si>
    <t>liberal3</t>
  </si>
  <si>
    <t>PC</t>
  </si>
  <si>
    <t>SD</t>
  </si>
  <si>
    <t>RV</t>
  </si>
  <si>
    <t>DRF</t>
  </si>
  <si>
    <t>KF</t>
  </si>
  <si>
    <t>CD</t>
  </si>
  <si>
    <t>liberal4</t>
  </si>
  <si>
    <t>KESK</t>
  </si>
  <si>
    <t>KOK</t>
  </si>
  <si>
    <t>RKP</t>
  </si>
  <si>
    <t>LKP</t>
  </si>
  <si>
    <t>SDP</t>
  </si>
  <si>
    <t>SKDL</t>
  </si>
  <si>
    <t>comm1</t>
  </si>
  <si>
    <t>TPSL</t>
  </si>
  <si>
    <t>leftsoc1</t>
  </si>
  <si>
    <t>SMP</t>
  </si>
  <si>
    <t>protest1</t>
  </si>
  <si>
    <t>UMP</t>
  </si>
  <si>
    <t>CONS</t>
  </si>
  <si>
    <t>MRP</t>
  </si>
  <si>
    <t>RSP</t>
  </si>
  <si>
    <t>IND</t>
  </si>
  <si>
    <t>PDM</t>
  </si>
  <si>
    <t>CDP</t>
  </si>
  <si>
    <t>MRG</t>
  </si>
  <si>
    <t>UDF</t>
  </si>
  <si>
    <t>PCF</t>
  </si>
  <si>
    <t>CDU</t>
  </si>
  <si>
    <t>CSU</t>
  </si>
  <si>
    <t>DP</t>
  </si>
  <si>
    <t>FDP</t>
  </si>
  <si>
    <t>SPD</t>
  </si>
  <si>
    <t>gov_cent3</t>
  </si>
  <si>
    <t>gov_left3</t>
  </si>
  <si>
    <t>gov_right3</t>
  </si>
  <si>
    <t>Bulgaria</t>
  </si>
  <si>
    <t>Czech Republic</t>
  </si>
  <si>
    <t>Croatia</t>
  </si>
  <si>
    <t>Estonia</t>
  </si>
  <si>
    <t>Hungary</t>
  </si>
  <si>
    <t>Latvia</t>
  </si>
  <si>
    <t>Lithuania</t>
  </si>
  <si>
    <t>Poland</t>
  </si>
  <si>
    <t>Romania</t>
  </si>
  <si>
    <t>Slovakia</t>
  </si>
  <si>
    <t>Slovenia</t>
  </si>
  <si>
    <t>Menzies V (LIB)</t>
  </si>
  <si>
    <t>Menzies VI (LIB)</t>
  </si>
  <si>
    <t>Menzies VII (LIB)</t>
  </si>
  <si>
    <t>Holt I (LIB)</t>
  </si>
  <si>
    <t>Holt II (LIB)</t>
  </si>
  <si>
    <t>McEwen I (CNT)</t>
  </si>
  <si>
    <t>Gorton I (LIB)</t>
  </si>
  <si>
    <t>Gorton II (LIB)</t>
  </si>
  <si>
    <t>McMahon I (LIB)</t>
  </si>
  <si>
    <t>Whitlam I (ALP)</t>
  </si>
  <si>
    <t>Whitlam II (ALP)</t>
  </si>
  <si>
    <t>Fraser I (LIB)</t>
  </si>
  <si>
    <t>Fraser II (LIB)</t>
  </si>
  <si>
    <t>Fraser III (LIB)</t>
  </si>
  <si>
    <t>Fraser IV (LIB)</t>
  </si>
  <si>
    <t>Hawke I (ALP)</t>
  </si>
  <si>
    <t>Hawke II (ALP)</t>
  </si>
  <si>
    <t>Hawke III (ALP)</t>
  </si>
  <si>
    <t>Hawke IV (ALP)</t>
  </si>
  <si>
    <t>Keating II (ALP)</t>
  </si>
  <si>
    <t>Keating I (ALP)</t>
  </si>
  <si>
    <t>Howard I (LIB)</t>
  </si>
  <si>
    <t>Howard II (LIB)</t>
  </si>
  <si>
    <t>Howard III (LIB)</t>
  </si>
  <si>
    <t>Howard IV (LIB)</t>
  </si>
  <si>
    <t>Rudd I (ALP)</t>
  </si>
  <si>
    <t>Gillard I (ALP)</t>
  </si>
  <si>
    <t>Gillard II (ALP)</t>
  </si>
  <si>
    <t>Karamanlis I (ND)</t>
  </si>
  <si>
    <t>Karamanlis II (ND)</t>
  </si>
  <si>
    <t>Rallis I (ND)</t>
  </si>
  <si>
    <t>Tzannetakis I (ND)</t>
  </si>
  <si>
    <t>Simitis I (PASOK)</t>
  </si>
  <si>
    <t>Simitis II (PASOK)</t>
  </si>
  <si>
    <t>Simitis III (PASOK)</t>
  </si>
  <si>
    <t>Papademos I (Ind.)</t>
  </si>
  <si>
    <t>Pikramenos I (Ind.)</t>
  </si>
  <si>
    <t>Samaras I (ND)</t>
  </si>
  <si>
    <t>Grivas (Ind.)</t>
  </si>
  <si>
    <t>Zolotas I (Ind.)</t>
  </si>
  <si>
    <t>Zolotas II (Ind.)</t>
  </si>
  <si>
    <t>ND</t>
  </si>
  <si>
    <t>PASOK</t>
  </si>
  <si>
    <t>SYRIZA</t>
  </si>
  <si>
    <t>comm3</t>
  </si>
  <si>
    <t>DIMAR</t>
  </si>
  <si>
    <t>Eyskens III (CVP)</t>
  </si>
  <si>
    <t>Eyskens IV (CVP)</t>
  </si>
  <si>
    <t>Harmel I (CVP)</t>
  </si>
  <si>
    <t>Leburton I (SP)</t>
  </si>
  <si>
    <t>Tindemans I (CVP)</t>
  </si>
  <si>
    <t>Tindemans II (CVP)</t>
  </si>
  <si>
    <t>Tindemans III (CVP)</t>
  </si>
  <si>
    <t>Martens I (CVP)</t>
  </si>
  <si>
    <t>Martens II (CVP)</t>
  </si>
  <si>
    <t>Martens III (CVP)</t>
  </si>
  <si>
    <t>Martens IV (CVP)</t>
  </si>
  <si>
    <t>Eyskens I (CVP)</t>
  </si>
  <si>
    <t>Martens V (CVP)</t>
  </si>
  <si>
    <t>Martens VI (CVP)</t>
  </si>
  <si>
    <t>Martens VII (CVP)</t>
  </si>
  <si>
    <t>Martens VIII (CVP)</t>
  </si>
  <si>
    <t>Martens IX (CVP)</t>
  </si>
  <si>
    <t>Dehaene I (CVP)</t>
  </si>
  <si>
    <t>Dehaene II (CVP)</t>
  </si>
  <si>
    <t>Verhofstadt I (VLD)</t>
  </si>
  <si>
    <t>VLD</t>
  </si>
  <si>
    <t>ECOLO</t>
  </si>
  <si>
    <t>AGALEV</t>
  </si>
  <si>
    <t>green1</t>
  </si>
  <si>
    <t>green2</t>
  </si>
  <si>
    <t>Verhofstadt II (VLD)</t>
  </si>
  <si>
    <t>MR</t>
  </si>
  <si>
    <t>Verhofstadt III (VLD)</t>
  </si>
  <si>
    <t>CD&amp;V</t>
  </si>
  <si>
    <t>CDH</t>
  </si>
  <si>
    <t>Leterme I (CD&amp;V)</t>
  </si>
  <si>
    <t>Van Rompuy I (CD&amp;V)</t>
  </si>
  <si>
    <t>Leterme II (CD&amp;V)</t>
  </si>
  <si>
    <t>Di Rupo I (PS)</t>
  </si>
  <si>
    <t>Diefenbaker III (PC)</t>
  </si>
  <si>
    <t>Diefenbaker II (PC)</t>
  </si>
  <si>
    <t>Pearson I (LIB)</t>
  </si>
  <si>
    <t>Pearson II (LIB)</t>
  </si>
  <si>
    <t>Clark I (PC)</t>
  </si>
  <si>
    <t>Turner I (LIB)</t>
  </si>
  <si>
    <t>Mulroney I (PC)</t>
  </si>
  <si>
    <t>Mulroney II (PC)</t>
  </si>
  <si>
    <t>Campbell I (PC)</t>
  </si>
  <si>
    <t>Chrétien I (LIB)</t>
  </si>
  <si>
    <t>Chrétien II (LIB)</t>
  </si>
  <si>
    <t>Chrétien III (LIB)</t>
  </si>
  <si>
    <t>Martin I (LIB)</t>
  </si>
  <si>
    <t>Martin II (LIB)</t>
  </si>
  <si>
    <t>Harper I (PC)</t>
  </si>
  <si>
    <t>Harper II (PC)</t>
  </si>
  <si>
    <t>Harper III (PC)</t>
  </si>
  <si>
    <t>Hansen II (SD)</t>
  </si>
  <si>
    <t>Kampmann I (SD)</t>
  </si>
  <si>
    <t>Kampmann II (SD)</t>
  </si>
  <si>
    <t>Krag I (SD)</t>
  </si>
  <si>
    <t>Krag II (SD)</t>
  </si>
  <si>
    <t>Krag III (SD)</t>
  </si>
  <si>
    <t>Baunsgaard I (RV)</t>
  </si>
  <si>
    <t>Krag IV (SD)</t>
  </si>
  <si>
    <t>Jørgensen I (SD)</t>
  </si>
  <si>
    <t>Hartling I (LIB)</t>
  </si>
  <si>
    <t>Jørgensen II (SD)</t>
  </si>
  <si>
    <t>Jørgensen III (SD)</t>
  </si>
  <si>
    <t>Jørgensen IV (SD)</t>
  </si>
  <si>
    <t>Jørgensen V (SD)</t>
  </si>
  <si>
    <t>Jørgensen VI (SD)</t>
  </si>
  <si>
    <t>Schlüter I (KF)</t>
  </si>
  <si>
    <t>Schlüter II (KF)</t>
  </si>
  <si>
    <t>Schlüter III (KF)</t>
  </si>
  <si>
    <t>Schlüter IV (KF)</t>
  </si>
  <si>
    <t>Schlüter V (KF)</t>
  </si>
  <si>
    <t>KRF</t>
  </si>
  <si>
    <t>Nyrup Rasmussen I (SD)</t>
  </si>
  <si>
    <t>Nyrup Rasmussen II (SD)</t>
  </si>
  <si>
    <t>Nyrup Rasmussen III (SD)</t>
  </si>
  <si>
    <t>Nyrup Rasmussen IV (SD)</t>
  </si>
  <si>
    <t>Fogh Rasmussen I (LIB)</t>
  </si>
  <si>
    <t>Fogh Rasmussen II (LIB)</t>
  </si>
  <si>
    <t>Fogh Rasmussen III (LIB)</t>
  </si>
  <si>
    <t>Løkke Rasmussen I (LIB)</t>
  </si>
  <si>
    <t>Thorning-Schmidt I (SD)</t>
  </si>
  <si>
    <t>SPP</t>
  </si>
  <si>
    <t>Thors III (IP)</t>
  </si>
  <si>
    <t>Hafstein I (IP)</t>
  </si>
  <si>
    <t>Gröndal I (SDP)</t>
  </si>
  <si>
    <t>Thoroddsen I (IP)</t>
  </si>
  <si>
    <t>Hermannsson I (PP)</t>
  </si>
  <si>
    <t>Hermannsson II (PP)</t>
  </si>
  <si>
    <t>Hermannsson III (PP)</t>
  </si>
  <si>
    <t>Oddsson I (IP)</t>
  </si>
  <si>
    <t>Oddsson II (IP)</t>
  </si>
  <si>
    <t>Oddsson III (IP)</t>
  </si>
  <si>
    <t>Oddsson IV (IP)</t>
  </si>
  <si>
    <t>Haarde I (IP)</t>
  </si>
  <si>
    <t>Haarde II (IP)</t>
  </si>
  <si>
    <t>Cowen I (FF)</t>
  </si>
  <si>
    <t>Kenny I (FG)</t>
  </si>
  <si>
    <t>Andreotti VII (DC)</t>
  </si>
  <si>
    <t>Amato I (PSI)</t>
  </si>
  <si>
    <t>Ciampi I (Ind.)</t>
  </si>
  <si>
    <t>Berlusconi I (FI)</t>
  </si>
  <si>
    <t>right2</t>
  </si>
  <si>
    <t>Dini I (Ind.)</t>
  </si>
  <si>
    <t>Prodi I (PPI)</t>
  </si>
  <si>
    <t>leftsoc2</t>
  </si>
  <si>
    <t>Greens</t>
  </si>
  <si>
    <t>D'Alema I  (DS)</t>
  </si>
  <si>
    <t>D'Alema II  (DS)</t>
  </si>
  <si>
    <t>Amato II (Ind.)</t>
  </si>
  <si>
    <t>Berlusconi II (FI)</t>
  </si>
  <si>
    <t>Berlusconi III (FI)</t>
  </si>
  <si>
    <t>social4</t>
  </si>
  <si>
    <t>comm2</t>
  </si>
  <si>
    <t>liberal5</t>
  </si>
  <si>
    <t>Berlusconi IV (FI)</t>
  </si>
  <si>
    <t>Monti I (Ind.)</t>
  </si>
  <si>
    <t>x</t>
  </si>
  <si>
    <t>Kaifu II (LDP)</t>
  </si>
  <si>
    <t>Miyazawa I (LDP)</t>
  </si>
  <si>
    <t>Miyazawa II (LDP)</t>
  </si>
  <si>
    <t>Hosokawa I (JNP)</t>
  </si>
  <si>
    <t>Hata I (JRP)</t>
  </si>
  <si>
    <t>Murayama I (SDP)</t>
  </si>
  <si>
    <t>Murayama II (SDP)</t>
  </si>
  <si>
    <t>Hashimoto I (LDP)</t>
  </si>
  <si>
    <t>Hashimoto II (LDP)</t>
  </si>
  <si>
    <t>Obuchi I (LDP)</t>
  </si>
  <si>
    <t>Obuchi II (LDP)</t>
  </si>
  <si>
    <t>Obuchi III (LDP)</t>
  </si>
  <si>
    <t>Noda I (DPJ)</t>
  </si>
  <si>
    <t xml:space="preserve">center </t>
  </si>
  <si>
    <t>relig4</t>
  </si>
  <si>
    <t>relig5</t>
  </si>
  <si>
    <t>relig6</t>
  </si>
  <si>
    <t>-</t>
  </si>
  <si>
    <t>SVP</t>
  </si>
  <si>
    <t>BDP</t>
  </si>
  <si>
    <t>RP</t>
  </si>
  <si>
    <t>Sukselainen IV (KESK)</t>
  </si>
  <si>
    <t>Miettunen I (KESK)</t>
  </si>
  <si>
    <t>Karjalainen I (KESK)</t>
  </si>
  <si>
    <t>Karjalainen II (KESK)</t>
  </si>
  <si>
    <t>X</t>
  </si>
  <si>
    <t>Virolainen I (KESK)</t>
  </si>
  <si>
    <t>Paasio I (SDP)</t>
  </si>
  <si>
    <t>Koivisto I (SDP)</t>
  </si>
  <si>
    <t>Lehto I (Ind.)</t>
  </si>
  <si>
    <t>Aura I (LKP)</t>
  </si>
  <si>
    <t>Karjalainen III (KESK)</t>
  </si>
  <si>
    <t>Karjalainen IV (KESK)</t>
  </si>
  <si>
    <t>Aura II (LKP)</t>
  </si>
  <si>
    <t>Paasio II (SDP)</t>
  </si>
  <si>
    <t>Sorsa I (SDP)</t>
  </si>
  <si>
    <t>Liinamaa I (SDP)</t>
  </si>
  <si>
    <t>Miettunen II (KESK)</t>
  </si>
  <si>
    <t>Miettunen III (KESK)</t>
  </si>
  <si>
    <t>Sorsa II (SDP)</t>
  </si>
  <si>
    <t>Sorsa III (SDP)</t>
  </si>
  <si>
    <t>Koivisto II (SDP)</t>
  </si>
  <si>
    <t>Sorsa IV (SDP)</t>
  </si>
  <si>
    <t>Sorsa V (SDP)</t>
  </si>
  <si>
    <t>Sorsa VI (SDP)</t>
  </si>
  <si>
    <t>Holkeri I (KOK)</t>
  </si>
  <si>
    <t>Holkeri II (KOK)</t>
  </si>
  <si>
    <t>Aho I (KESK)</t>
  </si>
  <si>
    <t>SKL</t>
  </si>
  <si>
    <t>Aho II (KESK)</t>
  </si>
  <si>
    <t>Lipponen I (SDP)</t>
  </si>
  <si>
    <t>VAS</t>
  </si>
  <si>
    <t>VIHR</t>
  </si>
  <si>
    <t>Lipponen II (SDP)</t>
  </si>
  <si>
    <t>Lipponen III (SDP)</t>
  </si>
  <si>
    <t>Jäätteenmäki I (KESK)</t>
  </si>
  <si>
    <t>Vanhanen I (KESK)</t>
  </si>
  <si>
    <t>Vanhanen II (KESK)</t>
  </si>
  <si>
    <t>Kiviniemi I (KESK)</t>
  </si>
  <si>
    <t>Katainen I (KOK)</t>
  </si>
  <si>
    <t>KD</t>
  </si>
  <si>
    <t>UDR</t>
  </si>
  <si>
    <t>RPR</t>
  </si>
  <si>
    <t>Debré I (UDR)</t>
  </si>
  <si>
    <t>Pompidou I (UDR)</t>
  </si>
  <si>
    <t>Pompidou II (UDR)</t>
  </si>
  <si>
    <t>Pompidou III (UDR)</t>
  </si>
  <si>
    <t>Pompidou IV (UDR)</t>
  </si>
  <si>
    <t>Pompidou V (UDR)</t>
  </si>
  <si>
    <t>Pompidou VI (UDR)</t>
  </si>
  <si>
    <t>Couve de Murville I (UDR)</t>
  </si>
  <si>
    <t>Chaban-Delmas I (UDR)</t>
  </si>
  <si>
    <t>Messmer I (UDR)</t>
  </si>
  <si>
    <t>Messmer II (UDR)</t>
  </si>
  <si>
    <t>Messmer III (UDR)</t>
  </si>
  <si>
    <t>Chirac I (UDR)</t>
  </si>
  <si>
    <t>Barre I (CDP)</t>
  </si>
  <si>
    <t>Barre II (CDP)</t>
  </si>
  <si>
    <t>Barre III (CDP)</t>
  </si>
  <si>
    <t>Mauroy I (PS)</t>
  </si>
  <si>
    <t>Mauroy II (PS)</t>
  </si>
  <si>
    <t>Mauroy III (PS)</t>
  </si>
  <si>
    <t>Fabius I (PS)</t>
  </si>
  <si>
    <t>Rocard I (PS)</t>
  </si>
  <si>
    <t>Rocard II (PS)</t>
  </si>
  <si>
    <t>Cresson I (PS)</t>
  </si>
  <si>
    <t>GE</t>
  </si>
  <si>
    <t>Bérégovoy I (PS)</t>
  </si>
  <si>
    <t>Balladur I (RPR)</t>
  </si>
  <si>
    <t>Chirac II (RPR)</t>
  </si>
  <si>
    <t>Juppé I (RPR)</t>
  </si>
  <si>
    <t>Juppé II (RPR)</t>
  </si>
  <si>
    <t>Jospin I (PS)</t>
  </si>
  <si>
    <t>MDC</t>
  </si>
  <si>
    <t>V</t>
  </si>
  <si>
    <t>Raffarin I (UMP)</t>
  </si>
  <si>
    <t>Raffarin II (UMP)</t>
  </si>
  <si>
    <t>Raffarin III (UMP)</t>
  </si>
  <si>
    <t>Villepin I (UMP)</t>
  </si>
  <si>
    <t>Fillon I (UMP)</t>
  </si>
  <si>
    <t>Fillon II (UMP)</t>
  </si>
  <si>
    <t>NC</t>
  </si>
  <si>
    <t>Ayrault I (PS)</t>
  </si>
  <si>
    <t>Ayrault II (PS)</t>
  </si>
  <si>
    <t xml:space="preserve"> Schaffner I (FDP)
Hans Schaffner (FDP)</t>
  </si>
  <si>
    <t xml:space="preserve"> Bonvin I (CVP)</t>
  </si>
  <si>
    <t xml:space="preserve">  Chaudet II (FDP)</t>
  </si>
  <si>
    <t>Gnägi I (SVP)</t>
  </si>
  <si>
    <t>Celio I (FDP)</t>
  </si>
  <si>
    <t xml:space="preserve"> Bonvin II (CVP)</t>
  </si>
  <si>
    <t>Brugger I (FDP)</t>
  </si>
  <si>
    <t>Gnägi II (SVP)</t>
  </si>
  <si>
    <t>Furgler I (CVP)</t>
  </si>
  <si>
    <t>Hürlimann I (CVP)</t>
  </si>
  <si>
    <t>Chevallaz I (FDP)</t>
  </si>
  <si>
    <t>Furgler II (CVP)</t>
  </si>
  <si>
    <t xml:space="preserve"> Honegger I (FDP)</t>
  </si>
  <si>
    <t>Schlumpf I (SVP)</t>
  </si>
  <si>
    <t>Furgler III (CVP)</t>
  </si>
  <si>
    <t xml:space="preserve"> Egli I (CVP)</t>
  </si>
  <si>
    <t>Delamuraz I (FDP)</t>
  </si>
  <si>
    <t>Delamuraz II (FDP)</t>
  </si>
  <si>
    <t>Koller I (CVP)</t>
  </si>
  <si>
    <t>Cotti I (CVP)</t>
  </si>
  <si>
    <t>Ogi I (SVP)</t>
  </si>
  <si>
    <t>Villiger II (FDP)</t>
  </si>
  <si>
    <t>Koller II (CVP)</t>
  </si>
  <si>
    <t>Cotti II (CVP)</t>
  </si>
  <si>
    <t>Ogi II (SVP)</t>
  </si>
  <si>
    <t>Villiger I (FDP)</t>
  </si>
  <si>
    <t xml:space="preserve"> Couchepin I (FDP)</t>
  </si>
  <si>
    <t>Deiss I (CVP)</t>
  </si>
  <si>
    <t>Schmid I (SVP)</t>
  </si>
  <si>
    <t>Couchepin I (FDP)</t>
  </si>
  <si>
    <t>Merz I (FDP)</t>
  </si>
  <si>
    <t>Leuthard I (CVP)</t>
  </si>
  <si>
    <t>Widmer-Schlumpf I (BDP)</t>
  </si>
  <si>
    <t>Maurer I (SVP)</t>
  </si>
  <si>
    <t>Wahlen I (SVP)</t>
  </si>
  <si>
    <t>Petitpierre III (FDP)</t>
  </si>
  <si>
    <t xml:space="preserve">U </t>
  </si>
  <si>
    <t>LAB</t>
  </si>
  <si>
    <t>NP</t>
  </si>
  <si>
    <t>NZF</t>
  </si>
  <si>
    <t>SPS</t>
  </si>
  <si>
    <t>Tschudi I (SPS)</t>
  </si>
  <si>
    <t>Tschudi II (SPS)</t>
  </si>
  <si>
    <t>Graber I (SPS)</t>
  </si>
  <si>
    <t>Ritschard I (SPS)</t>
  </si>
  <si>
    <t xml:space="preserve"> Aubert I (SPS)</t>
  </si>
  <si>
    <t xml:space="preserve"> Aubert II (SPS)</t>
  </si>
  <si>
    <t>Stich I (SPS)</t>
  </si>
  <si>
    <t>Felber I (SPS)</t>
  </si>
  <si>
    <t>Stich II (SPS)</t>
  </si>
  <si>
    <t>Dreifuss I (SPS)</t>
  </si>
  <si>
    <t>Leuenberger I (SPS)</t>
  </si>
  <si>
    <t>Leuenberger II (SPS)</t>
  </si>
  <si>
    <t>Calmy-Rey I (SPS)</t>
  </si>
  <si>
    <t>Calmy-Rey II (SPS)</t>
  </si>
  <si>
    <t xml:space="preserve">S </t>
  </si>
  <si>
    <t>C</t>
  </si>
  <si>
    <t>FP</t>
  </si>
  <si>
    <t>M</t>
  </si>
  <si>
    <t>KDS</t>
  </si>
  <si>
    <t>UCD</t>
  </si>
  <si>
    <t>PSOE</t>
  </si>
  <si>
    <t>PP</t>
  </si>
  <si>
    <t>PPD</t>
  </si>
  <si>
    <t>PPM</t>
  </si>
  <si>
    <t>CDS-PP</t>
  </si>
  <si>
    <t>DNA</t>
  </si>
  <si>
    <t>H</t>
  </si>
  <si>
    <t>SV</t>
  </si>
  <si>
    <t>KVP</t>
  </si>
  <si>
    <t>ARP</t>
  </si>
  <si>
    <t>CHU</t>
  </si>
  <si>
    <t>VVD</t>
  </si>
  <si>
    <t>PvdA</t>
  </si>
  <si>
    <t>DS70</t>
  </si>
  <si>
    <t>D66</t>
  </si>
  <si>
    <t>CDA</t>
  </si>
  <si>
    <t>LPF</t>
  </si>
  <si>
    <t>CSP</t>
  </si>
  <si>
    <t>LSAP</t>
  </si>
  <si>
    <t>LDP</t>
  </si>
  <si>
    <t>NLC</t>
  </si>
  <si>
    <t>JRP</t>
  </si>
  <si>
    <t>CGP</t>
  </si>
  <si>
    <t>JNP</t>
  </si>
  <si>
    <t>DSP</t>
  </si>
  <si>
    <t>UDS</t>
  </si>
  <si>
    <t>CP</t>
  </si>
  <si>
    <t>PNP</t>
  </si>
  <si>
    <t>DC</t>
  </si>
  <si>
    <t>PSDI</t>
  </si>
  <si>
    <t>PRI</t>
  </si>
  <si>
    <t>PSI</t>
  </si>
  <si>
    <t>PSU</t>
  </si>
  <si>
    <t>PLI</t>
  </si>
  <si>
    <t>FI</t>
  </si>
  <si>
    <t>LN</t>
  </si>
  <si>
    <t>PPI</t>
  </si>
  <si>
    <t>PDS</t>
  </si>
  <si>
    <t>RI</t>
  </si>
  <si>
    <t>AN</t>
  </si>
  <si>
    <t>PDL</t>
  </si>
  <si>
    <t>DCpA</t>
  </si>
  <si>
    <t>UDEUR</t>
  </si>
  <si>
    <t>RC</t>
  </si>
  <si>
    <t>SDI</t>
  </si>
  <si>
    <t>PCDI</t>
  </si>
  <si>
    <t>Adenauer V (CDU)</t>
  </si>
  <si>
    <t>Adenauer VI (CDU)</t>
  </si>
  <si>
    <t>Adenauer VII (CDU)</t>
  </si>
  <si>
    <t>Adenauer VIII (CDU)</t>
  </si>
  <si>
    <t>Adenauer IX (CDU)</t>
  </si>
  <si>
    <t>Erhard I (CDU)</t>
  </si>
  <si>
    <t>Erhard II (CDU)</t>
  </si>
  <si>
    <t>Erhard III (CDU)</t>
  </si>
  <si>
    <t>Kiesinger I (CDU)</t>
  </si>
  <si>
    <t>Brandt I (SPD)</t>
  </si>
  <si>
    <t>Brandt II (SPD)</t>
  </si>
  <si>
    <t>Brandt III (SPD)</t>
  </si>
  <si>
    <t>Schmidt I (SPD)</t>
  </si>
  <si>
    <t>Schmidt II (SPD)</t>
  </si>
  <si>
    <t>Schmidt III (SPD)</t>
  </si>
  <si>
    <t>Schmidt IV (SPD)</t>
  </si>
  <si>
    <t>Kohl I (CDU)</t>
  </si>
  <si>
    <t>Kohl II (CDU)</t>
  </si>
  <si>
    <t>Kohl III (CDU)</t>
  </si>
  <si>
    <t>Kohl IV (CDU)</t>
  </si>
  <si>
    <t>Kohl V (CDU)</t>
  </si>
  <si>
    <t>Kohl VI (CDU)</t>
  </si>
  <si>
    <t>Schröder I (SPD)</t>
  </si>
  <si>
    <t>G</t>
  </si>
  <si>
    <t>Schröder II (SPD)</t>
  </si>
  <si>
    <t>Merkel I (CDU)</t>
  </si>
  <si>
    <t>Merkel II (CDU)</t>
  </si>
  <si>
    <t>LAOS</t>
  </si>
  <si>
    <t>Karamanlis VII (ND)</t>
  </si>
  <si>
    <t>CCD</t>
  </si>
  <si>
    <t>UD</t>
  </si>
  <si>
    <t>DEM</t>
  </si>
  <si>
    <t>FF</t>
  </si>
  <si>
    <t>FG</t>
  </si>
  <si>
    <t>PD</t>
  </si>
  <si>
    <t>DL</t>
  </si>
  <si>
    <t>GP</t>
  </si>
  <si>
    <t>IP</t>
  </si>
  <si>
    <t>PA</t>
  </si>
  <si>
    <t>SDA</t>
  </si>
  <si>
    <t>LG</t>
  </si>
  <si>
    <t>ULL</t>
  </si>
  <si>
    <t>A</t>
  </si>
  <si>
    <t>PPR</t>
  </si>
  <si>
    <t>CU</t>
  </si>
  <si>
    <t>NPS</t>
  </si>
  <si>
    <t xml:space="preserve">NPS </t>
  </si>
  <si>
    <t>NCP</t>
  </si>
  <si>
    <t>DPJ</t>
  </si>
  <si>
    <t>DPL</t>
  </si>
  <si>
    <t>UDC</t>
  </si>
  <si>
    <t>Eisenhower II (RP)</t>
  </si>
  <si>
    <t>Kennedy I (DP)</t>
  </si>
  <si>
    <t>Johnson I (DP)</t>
  </si>
  <si>
    <t>Johnson II (DP)</t>
  </si>
  <si>
    <t>Nixon I (RP)</t>
  </si>
  <si>
    <t>Nixon II (RP)</t>
  </si>
  <si>
    <t>Ford I (RP)</t>
  </si>
  <si>
    <t>Carter I (DP)</t>
  </si>
  <si>
    <t>Reagan I (RP)</t>
  </si>
  <si>
    <t>Reagan II (RP)</t>
  </si>
  <si>
    <t>Clinton I (DP)</t>
  </si>
  <si>
    <t>Clinton II (DP)</t>
  </si>
  <si>
    <t>Obama I (DP)</t>
  </si>
  <si>
    <t>Erlander VII (S)</t>
  </si>
  <si>
    <t>Erlander VIII (S)</t>
  </si>
  <si>
    <t>Erlander IX (S)</t>
  </si>
  <si>
    <t>Erlander X (S)</t>
  </si>
  <si>
    <t>Palme I (S)</t>
  </si>
  <si>
    <t>Palme II (S)</t>
  </si>
  <si>
    <t>Palme III (S)</t>
  </si>
  <si>
    <t xml:space="preserve">Fälldin I (C) </t>
  </si>
  <si>
    <t xml:space="preserve">Fälldin II (C) </t>
  </si>
  <si>
    <t xml:space="preserve">Fälldin III (C) </t>
  </si>
  <si>
    <t>Palme IV (S)</t>
  </si>
  <si>
    <t>Palme V (S)</t>
  </si>
  <si>
    <t>Carlsson I (S)</t>
  </si>
  <si>
    <t>Carlsson II (S)</t>
  </si>
  <si>
    <t>Carlsson III (S)</t>
  </si>
  <si>
    <t>Bildt I (M)</t>
  </si>
  <si>
    <t>Carlsson IV (S)</t>
  </si>
  <si>
    <t>Persson I (S)</t>
  </si>
  <si>
    <t>Persson II (S)</t>
  </si>
  <si>
    <t>Persson III (S)</t>
  </si>
  <si>
    <t>Reinfeldt I (M)</t>
  </si>
  <si>
    <t>Reinfeldt II (M)</t>
  </si>
  <si>
    <t>Soares I (PS)</t>
  </si>
  <si>
    <t>Soares II (PS)</t>
  </si>
  <si>
    <t>Soares III (PS)</t>
  </si>
  <si>
    <t>Gerhardsen V (DNA)</t>
  </si>
  <si>
    <t>Gerhardsen VI (DNA)</t>
  </si>
  <si>
    <t>Lyng I (H)</t>
  </si>
  <si>
    <t>Gerhardsen VII (DNA)</t>
  </si>
  <si>
    <t>Borten I (SP)</t>
  </si>
  <si>
    <t>Borten II (SP)</t>
  </si>
  <si>
    <t>Bratelli I (DNA)</t>
  </si>
  <si>
    <t>Korvald I (KRF)</t>
  </si>
  <si>
    <t>Brattelli II (DNA)</t>
  </si>
  <si>
    <t>Nordli I (DNA)</t>
  </si>
  <si>
    <t>Nordli II (DNA)</t>
  </si>
  <si>
    <t>Harlem Brundtland I (DNA)</t>
  </si>
  <si>
    <t>Willoch I (H)</t>
  </si>
  <si>
    <t>Willoch II (H)</t>
  </si>
  <si>
    <t>Willoch III (H)</t>
  </si>
  <si>
    <t>Harlem Brundtland II (DNA)</t>
  </si>
  <si>
    <t>Nash I (LAB)</t>
  </si>
  <si>
    <t>Holyoake II (NP)</t>
  </si>
  <si>
    <t>Holyoake III (NP)</t>
  </si>
  <si>
    <t>Holyoake IV (NP)</t>
  </si>
  <si>
    <t>Holyoake V (NP)</t>
  </si>
  <si>
    <t>Marshall I (NP)</t>
  </si>
  <si>
    <t>Kirk I (LAB)</t>
  </si>
  <si>
    <t>Rowling I (LAB)</t>
  </si>
  <si>
    <t>Muldoon I (NP)</t>
  </si>
  <si>
    <t>Muldoon II (NP)</t>
  </si>
  <si>
    <t>Muldoon III (NP)</t>
  </si>
  <si>
    <t>Lange I (LAB)</t>
  </si>
  <si>
    <t>Lange II (LAB)</t>
  </si>
  <si>
    <t>Palmer I (LAB)</t>
  </si>
  <si>
    <t>Bolger I (NP)</t>
  </si>
  <si>
    <t>Bolger II (NP)</t>
  </si>
  <si>
    <t>Bolger III (NP)</t>
  </si>
  <si>
    <t>Bolger IV (NP)</t>
  </si>
  <si>
    <t>Shipley I (NP)</t>
  </si>
  <si>
    <t>Shipley II (NP)</t>
  </si>
  <si>
    <t>Clark I (LAB)</t>
  </si>
  <si>
    <t>Clark II (LAB)</t>
  </si>
  <si>
    <t>Clark III (LAB)</t>
  </si>
  <si>
    <t>Key I (NP)</t>
  </si>
  <si>
    <t>Key II (NP)</t>
  </si>
  <si>
    <t>Quay I (KVP)</t>
  </si>
  <si>
    <t>Marijnen I (KVP)</t>
  </si>
  <si>
    <t>Cals I (KVP)</t>
  </si>
  <si>
    <t>Zijlstra I (ARP)</t>
  </si>
  <si>
    <t>Biesheuvel I (ARP)</t>
  </si>
  <si>
    <t>Biesheuvel II (ARP)</t>
  </si>
  <si>
    <t>Lubbers I (CDA)</t>
  </si>
  <si>
    <t>Lubbers II (CDA)</t>
  </si>
  <si>
    <t>Lubbers III (CDA)</t>
  </si>
  <si>
    <t>Kok I (PvdA)</t>
  </si>
  <si>
    <t>Kok II (PvdA)</t>
  </si>
  <si>
    <t>Kok III (PvdA)</t>
  </si>
  <si>
    <t>Balkenende I (CDA)</t>
  </si>
  <si>
    <t>Balkenende II (CDA)</t>
  </si>
  <si>
    <t>Balkenende III (CDA)</t>
  </si>
  <si>
    <t>Balkenende IV (CDA)</t>
  </si>
  <si>
    <t>Balkenende V (CDA)</t>
  </si>
  <si>
    <t>Balkenende VI (CDA)</t>
  </si>
  <si>
    <t>Rutte I (VVD)</t>
  </si>
  <si>
    <t>Rutte II (VVD)</t>
  </si>
  <si>
    <t>Werner I (CSP)</t>
  </si>
  <si>
    <t>Werner II (CSP)</t>
  </si>
  <si>
    <t>Werner III (CSP)</t>
  </si>
  <si>
    <t>Werner IV (CSP)</t>
  </si>
  <si>
    <t>Thorn I (DP)</t>
  </si>
  <si>
    <t>Werner V (CSP)</t>
  </si>
  <si>
    <t>Santer I (CSP)</t>
  </si>
  <si>
    <t>Santer II (CSP)</t>
  </si>
  <si>
    <t>Santer III (CSP)</t>
  </si>
  <si>
    <t>Juncker I (CSP)</t>
  </si>
  <si>
    <t>Juncker II (CSP)</t>
  </si>
  <si>
    <t>Juncker III (CSP)</t>
  </si>
  <si>
    <t>Juncker IV (CSP)</t>
  </si>
  <si>
    <t>Kishi II (LDP)</t>
  </si>
  <si>
    <t>Ikeda II (LDP)</t>
  </si>
  <si>
    <t>Ikeda I (LDP)</t>
  </si>
  <si>
    <t>Ikeda III (LDP)</t>
  </si>
  <si>
    <t>Tanaka I (LDP)</t>
  </si>
  <si>
    <t>Tanaka II (LDP)</t>
  </si>
  <si>
    <t>Miki I (LDP)</t>
  </si>
  <si>
    <t>Suzuki I (LDP)</t>
  </si>
  <si>
    <t>Nakasone I (LDP)</t>
  </si>
  <si>
    <t>Nakasone II (LDP)</t>
  </si>
  <si>
    <t>Nakasone III (LDP)</t>
  </si>
  <si>
    <t>Nakasone IV (LDP)</t>
  </si>
  <si>
    <t>Takeshita I (LDP)</t>
  </si>
  <si>
    <t>Uno I (LDP)</t>
  </si>
  <si>
    <t>Kaifu I (LDP)</t>
  </si>
  <si>
    <t>Koizumi I (LDP)</t>
  </si>
  <si>
    <t>Koizumi II (LDP)</t>
  </si>
  <si>
    <t>Abe I (LDP)</t>
  </si>
  <si>
    <t>Hatoyama I (DPJ)</t>
  </si>
  <si>
    <t>Hatoyama II (DPJ)</t>
  </si>
  <si>
    <t>Segni II (DC)</t>
  </si>
  <si>
    <t>Tambroni I (DC)</t>
  </si>
  <si>
    <t>Fanfani III (DC)</t>
  </si>
  <si>
    <t>Fanfani IV (DC)</t>
  </si>
  <si>
    <t>Leone I (DC)</t>
  </si>
  <si>
    <t>Moro I (DC)</t>
  </si>
  <si>
    <t>Moro II (DC)</t>
  </si>
  <si>
    <t>Moro III (DC)</t>
  </si>
  <si>
    <t>Leone II (DC)</t>
  </si>
  <si>
    <t>Rumor I (DC)</t>
  </si>
  <si>
    <t>Rumor II (DC)</t>
  </si>
  <si>
    <t>Rumor III (DC)</t>
  </si>
  <si>
    <t>Colombo I (DC)</t>
  </si>
  <si>
    <t>Colombo II (DC)</t>
  </si>
  <si>
    <t>Andreotti I (DC)</t>
  </si>
  <si>
    <t>Andreotti II (DC)</t>
  </si>
  <si>
    <t>Rumor IV (DC)</t>
  </si>
  <si>
    <t>Rumor V (DC)</t>
  </si>
  <si>
    <t>Moro IV (DC)</t>
  </si>
  <si>
    <t>Moro V (DC)</t>
  </si>
  <si>
    <t>Andreotti III (DC)</t>
  </si>
  <si>
    <t>Andreotti IV (DC)</t>
  </si>
  <si>
    <t>Andreotti V (DC)</t>
  </si>
  <si>
    <t>Cossiga I (DC)</t>
  </si>
  <si>
    <t>Cossiga II (DC)</t>
  </si>
  <si>
    <t>Forlani I (DC)</t>
  </si>
  <si>
    <t>Spadolini I (PRI)</t>
  </si>
  <si>
    <t>Spadolini II (PRI)</t>
  </si>
  <si>
    <t>Fanfani V (DC)</t>
  </si>
  <si>
    <t>Craxi I (PSI)</t>
  </si>
  <si>
    <t>Craxi II (PSI)</t>
  </si>
  <si>
    <t>Fanfani VI (DC)</t>
  </si>
  <si>
    <t>Goria I (DC)</t>
  </si>
  <si>
    <t>De Mita I (DC)</t>
  </si>
  <si>
    <t>Andreotti VI (DC)</t>
  </si>
  <si>
    <t>Andreotti VIII (DC)</t>
  </si>
  <si>
    <t>Lemass I (FF)</t>
  </si>
  <si>
    <t>Lemass II (FF)</t>
  </si>
  <si>
    <t>Lemass III (FF)</t>
  </si>
  <si>
    <t>Lynch I (FF)</t>
  </si>
  <si>
    <t>Lynch II (FF)</t>
  </si>
  <si>
    <t>Cosgrave I (FG)</t>
  </si>
  <si>
    <t>Lynch III (FF)</t>
  </si>
  <si>
    <t>Haughey I (FF)</t>
  </si>
  <si>
    <t>Fitzgerald I (FG)</t>
  </si>
  <si>
    <t>Haughey II (FF)</t>
  </si>
  <si>
    <t>Fitzgerald II (FG)</t>
  </si>
  <si>
    <t>Haughey III (FF)</t>
  </si>
  <si>
    <t>Haughey IV (FF)</t>
  </si>
  <si>
    <t>Reynolds I (FF)</t>
  </si>
  <si>
    <t>Reynolds II (FF)</t>
  </si>
  <si>
    <t>Bruton I (FG)</t>
  </si>
  <si>
    <t>Ahern I (FF)</t>
  </si>
  <si>
    <t>Ahern II (FF)</t>
  </si>
  <si>
    <t>Ahern III (FF)</t>
  </si>
  <si>
    <t>Cowen II (FF)</t>
  </si>
  <si>
    <t>Cowen III (FF)</t>
  </si>
  <si>
    <t>Karamanlis IV (ERE)</t>
  </si>
  <si>
    <t>Dovas I (Ind.)</t>
  </si>
  <si>
    <t>Karamanlis VIII (ND)</t>
  </si>
  <si>
    <t>Karamanlis V (ERE)</t>
  </si>
  <si>
    <t>Pipinelis I (Ind.)</t>
  </si>
  <si>
    <t>Mavromihalis I (Ind.)</t>
  </si>
  <si>
    <t>Paraskevopoulos I (Ind.)</t>
  </si>
  <si>
    <t>Athanassiades-Novas I (CU)</t>
  </si>
  <si>
    <t>Tsirimokos I (Diss-CU)</t>
  </si>
  <si>
    <t>Stefanopoulos I (Diss-CU)</t>
  </si>
  <si>
    <t>Paraskevopoulos II (Ind.)</t>
  </si>
  <si>
    <t>Karamanlis VI (ERE)</t>
  </si>
  <si>
    <t>ERE</t>
  </si>
  <si>
    <t>Diss-CU</t>
  </si>
  <si>
    <t>Kanellopoulos II (ERE)</t>
  </si>
  <si>
    <t>Military junta</t>
  </si>
  <si>
    <t>Parliament. Election</t>
  </si>
  <si>
    <t xml:space="preserve">Technocrat-led partisan government </t>
  </si>
  <si>
    <t>Wilson I (LAB)</t>
  </si>
  <si>
    <t>Wilson II (LAB)</t>
  </si>
  <si>
    <t>Wilson III (LAB)</t>
  </si>
  <si>
    <t>Wilson IV (LAB)</t>
  </si>
  <si>
    <t>Callaghan I (LAB)</t>
  </si>
  <si>
    <t>Blair I (LAB)</t>
  </si>
  <si>
    <t>Blair II (LAB)</t>
  </si>
  <si>
    <t>Blair III (LAB)</t>
  </si>
  <si>
    <t>Brown I (LAB)</t>
  </si>
  <si>
    <t>CON</t>
  </si>
  <si>
    <t>Douglas-Home I (CON)</t>
  </si>
  <si>
    <t>Heath I (CON)</t>
  </si>
  <si>
    <t>Thatcher I (CON)</t>
  </si>
  <si>
    <t>Thatcher II (CON)</t>
  </si>
  <si>
    <t>Thatcher III (CON)</t>
  </si>
  <si>
    <t>Major I (CON)</t>
  </si>
  <si>
    <t>Major II (CON)</t>
  </si>
  <si>
    <t>Cameron I (CON)</t>
  </si>
  <si>
    <t>Nonpartisan caretaker government</t>
  </si>
  <si>
    <t>Full technocratic government</t>
  </si>
  <si>
    <t xml:space="preserve">Nonpartisan caretaker government </t>
  </si>
  <si>
    <t>ULIVO</t>
  </si>
  <si>
    <t>RnP</t>
  </si>
  <si>
    <t>NPSI</t>
  </si>
  <si>
    <t>Prodi II (ULIVO)</t>
  </si>
  <si>
    <t>Kan I (DPJ)</t>
  </si>
  <si>
    <t>Mori I (LDP)</t>
  </si>
  <si>
    <t>Abe II (LDP)</t>
  </si>
  <si>
    <t>de Jong I (KVP)</t>
  </si>
  <si>
    <t>den Uyl I (PvdA)</t>
  </si>
  <si>
    <t>van Agt I (CDA)</t>
  </si>
  <si>
    <t>van Agt II (CDA)</t>
  </si>
  <si>
    <t>van Agt III (CDA)</t>
  </si>
  <si>
    <t>Spühler I (SPS)</t>
  </si>
  <si>
    <t>Spühler II (SPS)</t>
  </si>
  <si>
    <t>Syse I (H)</t>
  </si>
  <si>
    <t>Harlem Brundtland III (DNA)</t>
  </si>
  <si>
    <t>Bondevik I (KRF)</t>
  </si>
  <si>
    <t xml:space="preserve">Jagland I (DNA) </t>
  </si>
  <si>
    <t>Stoltenberg I (DNA)</t>
  </si>
  <si>
    <t>Stoltenberg II (DNA)</t>
  </si>
  <si>
    <t>Stoltenberg III (DNA)</t>
  </si>
  <si>
    <t>Bondevik II (KRF)</t>
  </si>
  <si>
    <t>Mota Pinto I (Ind.)</t>
  </si>
  <si>
    <t>Lurdes Pintassilgo I (Ind.)</t>
  </si>
  <si>
    <t>Sá Carneiro I (PPD)</t>
  </si>
  <si>
    <t>Pinto Balsemão I (PPD)</t>
  </si>
  <si>
    <t>Pinto Balsemão II (PPD)</t>
  </si>
  <si>
    <t>Cavaco Silva I (PPD)</t>
  </si>
  <si>
    <t>Cavaco Silva II (PPD)</t>
  </si>
  <si>
    <t>Cavaco Silva III (PPD)</t>
  </si>
  <si>
    <t>Guterres I (PS)</t>
  </si>
  <si>
    <t>Guterres II (PS)</t>
  </si>
  <si>
    <t>Barosso I (PPD)</t>
  </si>
  <si>
    <t>Santana Lopes I (PPD)</t>
  </si>
  <si>
    <t>Sócrates I (PS)</t>
  </si>
  <si>
    <t>Sócrates II (PS)</t>
  </si>
  <si>
    <t>Nobre da Costa I (Ind.)</t>
  </si>
  <si>
    <t>Suárez I (UCD)</t>
  </si>
  <si>
    <t>Suárez II (UCD)</t>
  </si>
  <si>
    <t>Calvo-Sotelo I (UCD)</t>
  </si>
  <si>
    <t>González I (PSOE)</t>
  </si>
  <si>
    <t>González II (PSOE)</t>
  </si>
  <si>
    <t>González III (PSOE)</t>
  </si>
  <si>
    <t>González IV (PSOE)</t>
  </si>
  <si>
    <t>Aznar II (PP)</t>
  </si>
  <si>
    <t>Aznar I (PP)</t>
  </si>
  <si>
    <t>Zapatero I (PSOE)</t>
  </si>
  <si>
    <t>Zapatero II (PSOE)</t>
  </si>
  <si>
    <t>Rajoy I (PP)</t>
  </si>
  <si>
    <t>Ullsten I (FP)</t>
  </si>
  <si>
    <t>von Moos I (CVP)</t>
  </si>
  <si>
    <t>von Moos II (CVP)</t>
  </si>
  <si>
    <t>right4</t>
  </si>
  <si>
    <t>Macmillan II (CON)</t>
  </si>
  <si>
    <t>Mori II (LDP)</t>
  </si>
  <si>
    <t>Koizumi III (LDP)</t>
  </si>
  <si>
    <t>Drnovšek II (LDS)</t>
  </si>
  <si>
    <t>Drnovšek III (LDS)</t>
  </si>
  <si>
    <t>Drnovšek IV (LDS)</t>
  </si>
  <si>
    <t>Drnovšek V (LDS)</t>
  </si>
  <si>
    <t>Rop I (LDS)</t>
  </si>
  <si>
    <t>Bajuk I (SLS)</t>
  </si>
  <si>
    <t>Rop II (LDS)</t>
  </si>
  <si>
    <t>LDS</t>
  </si>
  <si>
    <t>SKD</t>
  </si>
  <si>
    <t>ZLSD</t>
  </si>
  <si>
    <t>ZS</t>
  </si>
  <si>
    <t>SDS</t>
  </si>
  <si>
    <t>SLS</t>
  </si>
  <si>
    <t>agrarian1</t>
  </si>
  <si>
    <t>DeSUS</t>
  </si>
  <si>
    <t>NSi</t>
  </si>
  <si>
    <t>Pahor I (SD)</t>
  </si>
  <si>
    <t>ZARES</t>
  </si>
  <si>
    <t>Pahor II (SD)</t>
  </si>
  <si>
    <t>SLS-SKD</t>
  </si>
  <si>
    <t>allia2</t>
  </si>
  <si>
    <t>HZDS</t>
  </si>
  <si>
    <t>SNS</t>
  </si>
  <si>
    <t>Mečiar II (HZDS)</t>
  </si>
  <si>
    <t>Mečiar III (HZDS)</t>
  </si>
  <si>
    <t>Mečiar IV (HZDS)</t>
  </si>
  <si>
    <t>SDL</t>
  </si>
  <si>
    <t>KDH</t>
  </si>
  <si>
    <t>SDK</t>
  </si>
  <si>
    <t>ANO</t>
  </si>
  <si>
    <t>Dzurinda I (SDK)</t>
  </si>
  <si>
    <t>ZRS</t>
  </si>
  <si>
    <t>SOP</t>
  </si>
  <si>
    <t>SDKU</t>
  </si>
  <si>
    <t xml:space="preserve">ANO </t>
  </si>
  <si>
    <t>SMK</t>
  </si>
  <si>
    <t>liberal6</t>
  </si>
  <si>
    <t>liberal7</t>
  </si>
  <si>
    <t>SDKU-DS</t>
  </si>
  <si>
    <t>LS-HZDS</t>
  </si>
  <si>
    <t>Radičová I (SDKU-DS)</t>
  </si>
  <si>
    <t>SaS</t>
  </si>
  <si>
    <t>Most-Hid</t>
  </si>
  <si>
    <t>liberal8</t>
  </si>
  <si>
    <t>ethnic4</t>
  </si>
  <si>
    <t>Smer-SD</t>
  </si>
  <si>
    <t>Fico II (Smer-SD)</t>
  </si>
  <si>
    <t>Fico I (Smer-SD)</t>
  </si>
  <si>
    <t>Roman I (NSF)</t>
  </si>
  <si>
    <t>Stolojan I (NSF)</t>
  </si>
  <si>
    <t>NSF</t>
  </si>
  <si>
    <t>PNL</t>
  </si>
  <si>
    <t>MER</t>
  </si>
  <si>
    <t>PDAR</t>
  </si>
  <si>
    <t>PDSR</t>
  </si>
  <si>
    <t>PUNR</t>
  </si>
  <si>
    <t>CDR</t>
  </si>
  <si>
    <t>allia1</t>
  </si>
  <si>
    <t xml:space="preserve">PD </t>
  </si>
  <si>
    <t>UDMR</t>
  </si>
  <si>
    <t>Ciorbea I (CDR)</t>
  </si>
  <si>
    <t>Vasile I (CDR)</t>
  </si>
  <si>
    <t>PUR</t>
  </si>
  <si>
    <t>PSD</t>
  </si>
  <si>
    <t>Boc I (PD-L)</t>
  </si>
  <si>
    <t>PD-L</t>
  </si>
  <si>
    <t>Boc II (PD-L)</t>
  </si>
  <si>
    <t>Boc III (PD-L)</t>
  </si>
  <si>
    <t>Boc IV (PD-L)</t>
  </si>
  <si>
    <t>UNPR</t>
  </si>
  <si>
    <t>Ponta I (PSD)</t>
  </si>
  <si>
    <t>Ungureanu I (PD-L)</t>
  </si>
  <si>
    <t>Ponta II (PSD)</t>
  </si>
  <si>
    <t>Olszewski I (PC)</t>
  </si>
  <si>
    <t>WAK</t>
  </si>
  <si>
    <t>PL</t>
  </si>
  <si>
    <t>agrarian2</t>
  </si>
  <si>
    <t>Pawlak I (PSL)</t>
  </si>
  <si>
    <t>ZChN</t>
  </si>
  <si>
    <t xml:space="preserve">PChD </t>
  </si>
  <si>
    <t>KLD</t>
  </si>
  <si>
    <t>PSL</t>
  </si>
  <si>
    <t>SLD</t>
  </si>
  <si>
    <t>Pawlak II (PSL)</t>
  </si>
  <si>
    <t>Olesky I (SLD)</t>
  </si>
  <si>
    <t>Cimoszewicz I (SLD)</t>
  </si>
  <si>
    <t>AWS</t>
  </si>
  <si>
    <t>UW</t>
  </si>
  <si>
    <t xml:space="preserve">Miller I (SLD) </t>
  </si>
  <si>
    <t xml:space="preserve">UP </t>
  </si>
  <si>
    <t xml:space="preserve">Miller II (SLD) </t>
  </si>
  <si>
    <t>Belka I (SLD)</t>
  </si>
  <si>
    <t>Belka II (SLD)</t>
  </si>
  <si>
    <t>SdPL</t>
  </si>
  <si>
    <t>Pis</t>
  </si>
  <si>
    <t xml:space="preserve">Marcinkiewicz I (Pis) </t>
  </si>
  <si>
    <t xml:space="preserve">Marcinkiewicz II (Pis) </t>
  </si>
  <si>
    <t>SRP</t>
  </si>
  <si>
    <t>agrarian3</t>
  </si>
  <si>
    <t>LPR</t>
  </si>
  <si>
    <t>Tusk I (PO)</t>
  </si>
  <si>
    <t>PO</t>
  </si>
  <si>
    <t>Tusk II (PO)</t>
  </si>
  <si>
    <t>Dimitrov I (SDS)</t>
  </si>
  <si>
    <t>Sofiyanski I (SDS)</t>
  </si>
  <si>
    <t>Kostov I (SDS)</t>
  </si>
  <si>
    <t>Berov I (Ind.)</t>
  </si>
  <si>
    <t>Popov I (Ind.)</t>
  </si>
  <si>
    <t>BSP</t>
  </si>
  <si>
    <t>BZNS</t>
  </si>
  <si>
    <t>Indzhova I (Ind.)</t>
  </si>
  <si>
    <t>BSP/CDL</t>
  </si>
  <si>
    <t>Videnov I (BSP/CDL)</t>
  </si>
  <si>
    <t>Lukanov II (BSP)</t>
  </si>
  <si>
    <t>Saxecoburggotski I (NDSV)</t>
  </si>
  <si>
    <t>NDSV</t>
  </si>
  <si>
    <t>person1</t>
  </si>
  <si>
    <t>DPS</t>
  </si>
  <si>
    <t>Stanishev I (KB)</t>
  </si>
  <si>
    <t>BSP/KB</t>
  </si>
  <si>
    <t>KB</t>
  </si>
  <si>
    <t>Borissov I (GERB)</t>
  </si>
  <si>
    <t>GERB</t>
  </si>
  <si>
    <t>postcom1</t>
  </si>
  <si>
    <t>Fenech Adami I (PN)</t>
  </si>
  <si>
    <t>PN</t>
  </si>
  <si>
    <t>Fenech Adami II (PN)</t>
  </si>
  <si>
    <t>Sant I (MLP)</t>
  </si>
  <si>
    <t>MLP</t>
  </si>
  <si>
    <t>Fenech Adami III (PN)</t>
  </si>
  <si>
    <t>Fenech Adami IV (PN)</t>
  </si>
  <si>
    <t>Gonzi I (PN)</t>
  </si>
  <si>
    <t>Gonzi II (PN)</t>
  </si>
  <si>
    <t>HSLS</t>
  </si>
  <si>
    <t>HSS</t>
  </si>
  <si>
    <t>IDS</t>
  </si>
  <si>
    <t>HNS</t>
  </si>
  <si>
    <t>Libra</t>
  </si>
  <si>
    <t>LS</t>
  </si>
  <si>
    <t>Sanader I (HDZ)</t>
  </si>
  <si>
    <t>HDZ</t>
  </si>
  <si>
    <t>Sanader II (HDZ)</t>
  </si>
  <si>
    <t>Sanader III (HDZ)</t>
  </si>
  <si>
    <t>SDSS</t>
  </si>
  <si>
    <t>Kosor I (HDZ)</t>
  </si>
  <si>
    <t>Kosor II (HDZ)</t>
  </si>
  <si>
    <t>Brazauskas I (LSDP)</t>
  </si>
  <si>
    <t>NS-SL</t>
  </si>
  <si>
    <t>Brazauskas II (LSDP)</t>
  </si>
  <si>
    <t>LPPU</t>
  </si>
  <si>
    <t>LCU</t>
  </si>
  <si>
    <t>TS-LK</t>
  </si>
  <si>
    <t>NRP</t>
  </si>
  <si>
    <t>LMLR</t>
  </si>
  <si>
    <t>PTT</t>
  </si>
  <si>
    <t>LLRA</t>
  </si>
  <si>
    <t>LDDP</t>
  </si>
  <si>
    <t>LKDP</t>
  </si>
  <si>
    <t>LCS</t>
  </si>
  <si>
    <t xml:space="preserve">Paksas I (TS-LK) </t>
  </si>
  <si>
    <t xml:space="preserve">Kubilius I (TS-LK) </t>
  </si>
  <si>
    <t xml:space="preserve">Lubys I (LDDP) </t>
  </si>
  <si>
    <t>LLS</t>
  </si>
  <si>
    <t xml:space="preserve">liberal5 </t>
  </si>
  <si>
    <t>LC</t>
  </si>
  <si>
    <t>Birkavs I (LC)</t>
  </si>
  <si>
    <t>LZS</t>
  </si>
  <si>
    <t>Gailis I (LC)</t>
  </si>
  <si>
    <t>TPA</t>
  </si>
  <si>
    <t>TB</t>
  </si>
  <si>
    <t>LNNK</t>
  </si>
  <si>
    <t>TB/LNNK</t>
  </si>
  <si>
    <t>JP</t>
  </si>
  <si>
    <t>social6</t>
  </si>
  <si>
    <t>LSDA</t>
  </si>
  <si>
    <t>social5</t>
  </si>
  <si>
    <t>TP</t>
  </si>
  <si>
    <t>JL</t>
  </si>
  <si>
    <t>ZZS</t>
  </si>
  <si>
    <t>LPP</t>
  </si>
  <si>
    <t>Emsis I (ZZS)</t>
  </si>
  <si>
    <t>allia3</t>
  </si>
  <si>
    <t>LPP/LC</t>
  </si>
  <si>
    <t>Godmanis I (LPP/LC)</t>
  </si>
  <si>
    <t>DISY</t>
  </si>
  <si>
    <t>DIKO</t>
  </si>
  <si>
    <t>EDI</t>
  </si>
  <si>
    <t>EDEK</t>
  </si>
  <si>
    <t>Vassiliou I (Ind.)</t>
  </si>
  <si>
    <t>Papadopoulos I (DIKO)</t>
  </si>
  <si>
    <t>Clerides II (DISY)</t>
  </si>
  <si>
    <t>AKEL</t>
  </si>
  <si>
    <t>Christofias I (AKEL)</t>
  </si>
  <si>
    <t>Clerides I (DISY)</t>
  </si>
  <si>
    <t>conserv6</t>
  </si>
  <si>
    <t>VPN</t>
  </si>
  <si>
    <t>DS</t>
  </si>
  <si>
    <t>DUS</t>
  </si>
  <si>
    <t>Pithart I (OF)</t>
  </si>
  <si>
    <t>Klaus I (ODS)</t>
  </si>
  <si>
    <t>Klaus II (ODS)</t>
  </si>
  <si>
    <t>Tošovský I (Ind.)</t>
  </si>
  <si>
    <t>Zeman I (CSSD)</t>
  </si>
  <si>
    <t>Špidla I (CSSD)</t>
  </si>
  <si>
    <t>Gross I (CSSD)</t>
  </si>
  <si>
    <t>Paroubek I (CSSD)</t>
  </si>
  <si>
    <t>Topolánek I (ODS)</t>
  </si>
  <si>
    <t>Topolánek II (ODS)</t>
  </si>
  <si>
    <t>Fischer I (Ind.)</t>
  </si>
  <si>
    <t>Nečas I (ODS)</t>
  </si>
  <si>
    <t>Mečiar I (VPN)</t>
  </si>
  <si>
    <t>Čarnogurský I (KDH)</t>
  </si>
  <si>
    <t>OF</t>
  </si>
  <si>
    <t>HSD-SMS</t>
  </si>
  <si>
    <t>regio1</t>
  </si>
  <si>
    <t>KDU-CSL</t>
  </si>
  <si>
    <t>ODS</t>
  </si>
  <si>
    <t>ODA</t>
  </si>
  <si>
    <t>CSSD</t>
  </si>
  <si>
    <t>US-DEU</t>
  </si>
  <si>
    <t>liberal5/7</t>
  </si>
  <si>
    <t>SZ</t>
  </si>
  <si>
    <t>TOP 09</t>
  </si>
  <si>
    <t>VV</t>
  </si>
  <si>
    <t>Tarand I (Ind.)</t>
  </si>
  <si>
    <t>Ansip I (RE)</t>
  </si>
  <si>
    <t>Ansip II (RE)</t>
  </si>
  <si>
    <t>Ansip III (RE)</t>
  </si>
  <si>
    <t>Ansip IV (RE)</t>
  </si>
  <si>
    <t>ERSP</t>
  </si>
  <si>
    <t>Vähi II (KMU)</t>
  </si>
  <si>
    <t>Vähi III (KMU)</t>
  </si>
  <si>
    <t>Siimann I (KMU)</t>
  </si>
  <si>
    <t>KMU</t>
  </si>
  <si>
    <t>RE</t>
  </si>
  <si>
    <t>IL</t>
  </si>
  <si>
    <t>Laar I (IL)</t>
  </si>
  <si>
    <t>Laar II (IL)</t>
  </si>
  <si>
    <t>Parts I (RP)</t>
  </si>
  <si>
    <t>RL</t>
  </si>
  <si>
    <t>IRL</t>
  </si>
  <si>
    <t>SDE</t>
  </si>
  <si>
    <t>Antall I (MDF)</t>
  </si>
  <si>
    <t>Boross I (MDF)</t>
  </si>
  <si>
    <t>Horn I (MSZP)</t>
  </si>
  <si>
    <t>Medgyessy I (MSZP)</t>
  </si>
  <si>
    <t>Gyurcsány I (MSZP)</t>
  </si>
  <si>
    <t>Gyurcsány II (MSZP)</t>
  </si>
  <si>
    <t>Gyurcsány III (MSZP)</t>
  </si>
  <si>
    <t>Bajnai I (MSZP)</t>
  </si>
  <si>
    <t>MDF</t>
  </si>
  <si>
    <t>FKGP</t>
  </si>
  <si>
    <t>KDNP</t>
  </si>
  <si>
    <t>MSZP</t>
  </si>
  <si>
    <t>Orbán I (FIDESZ)</t>
  </si>
  <si>
    <t>Orbán II (FIDESZ)</t>
  </si>
  <si>
    <t>FIDESZ</t>
  </si>
  <si>
    <t>SZDSZ</t>
  </si>
  <si>
    <t>Šķēle I (Ind.)</t>
  </si>
  <si>
    <t>Šķēle II (Ind.)</t>
  </si>
  <si>
    <t>Šķēle III (TP)</t>
  </si>
  <si>
    <t>LVP</t>
  </si>
  <si>
    <t>Krasts I (TB/LNNK)</t>
  </si>
  <si>
    <t>Krasts II (TB/LNNK)</t>
  </si>
  <si>
    <t>LZS/KDS</t>
  </si>
  <si>
    <t>Krištopans I (LC)</t>
  </si>
  <si>
    <t>Krištopans II (LC)</t>
  </si>
  <si>
    <t>Bērziņš I (LC)</t>
  </si>
  <si>
    <t>Repše I (JL)</t>
  </si>
  <si>
    <t>Kalvītis I (TP)</t>
  </si>
  <si>
    <t>Kalvītis II (TP)</t>
  </si>
  <si>
    <t>Kalvītis III (TP)</t>
  </si>
  <si>
    <t>Dombrovskis I (JL)</t>
  </si>
  <si>
    <t>Dombrovskis II (JL)</t>
  </si>
  <si>
    <t>Dombrovskis III (V)</t>
  </si>
  <si>
    <t>Dombrovskis IV (V)</t>
  </si>
  <si>
    <t>ZRP</t>
  </si>
  <si>
    <t>NA</t>
  </si>
  <si>
    <t>right5</t>
  </si>
  <si>
    <t>Fillon III (UMP)</t>
  </si>
  <si>
    <t>Starting date of calculations: 23.05.1990</t>
  </si>
  <si>
    <t>Starting date of calculations: 21.10.1992</t>
  </si>
  <si>
    <t>Starting date of calculations: 26.06.1990</t>
  </si>
  <si>
    <t>Starting date of calculations: 20.09.1990</t>
  </si>
  <si>
    <t xml:space="preserve">Šleževičius I (LDDP) </t>
  </si>
  <si>
    <t xml:space="preserve">Stankevičius I (LDDP) </t>
  </si>
  <si>
    <t xml:space="preserve">Vagnorius II (TS-LK) </t>
  </si>
  <si>
    <t xml:space="preserve">Paksas II (LLS) </t>
  </si>
  <si>
    <t>LSDP</t>
  </si>
  <si>
    <t>Kirkilas I (LSDP)</t>
  </si>
  <si>
    <t>Kirkilas II (LSDP)</t>
  </si>
  <si>
    <t>Kubilius II (TS-LK)</t>
  </si>
  <si>
    <t>Butkevičius I (LSDP)</t>
  </si>
  <si>
    <t>Unable to form government (only acting ministers)</t>
  </si>
  <si>
    <t>Suchocka I (UD)</t>
  </si>
  <si>
    <t>SLCh</t>
  </si>
  <si>
    <t>Buzek I (AWS)</t>
  </si>
  <si>
    <t>Buzek II (AWS)</t>
  </si>
  <si>
    <t>Starting date of calculations: 23.12.1991</t>
  </si>
  <si>
    <t>Kaczyński I (Pis)</t>
  </si>
  <si>
    <t>Kaczyński II (Pis)</t>
  </si>
  <si>
    <t>Văcăroiu I (Ind.)</t>
  </si>
  <si>
    <t>Văcăroiu II (Ind.)</t>
  </si>
  <si>
    <t>Dejeu I (CDR)</t>
  </si>
  <si>
    <t>Isărescu I (Ind.)</t>
  </si>
  <si>
    <t>Năstase I (PDSR)</t>
  </si>
  <si>
    <t>Popescu-Tăriceanu I (PNL)</t>
  </si>
  <si>
    <t>Popescu-Tăriceanu II (PNL)</t>
  </si>
  <si>
    <t>Jóhannesson I (PP)</t>
  </si>
  <si>
    <t>Hallgrímsson I (IP)</t>
  </si>
  <si>
    <t>Jóhannesson II (PP)</t>
  </si>
  <si>
    <t>Pálsson I (IP)</t>
  </si>
  <si>
    <t>Ásgrímsson I (PP)</t>
  </si>
  <si>
    <t>Sigurðardóttir I (SDA)</t>
  </si>
  <si>
    <t>Sigurðardóttir II (SDA)</t>
  </si>
  <si>
    <t>Satō I (LDP)</t>
  </si>
  <si>
    <t>Satō II (LDP)</t>
  </si>
  <si>
    <t>Satō III (LDP)</t>
  </si>
  <si>
    <t>Ōhira I (LDP)</t>
  </si>
  <si>
    <t>Ōhira II (LDP)</t>
  </si>
  <si>
    <t>Asō I (LDP)</t>
  </si>
  <si>
    <t>Račan I (SDP)</t>
  </si>
  <si>
    <t>Račan III (SDP)</t>
  </si>
  <si>
    <t>Račan IV (SDP)</t>
  </si>
  <si>
    <t>Milanović I (SDP)</t>
  </si>
  <si>
    <t>Lefèvre I (CVP)</t>
  </si>
  <si>
    <t>Vanden Boeynants I (CVP)</t>
  </si>
  <si>
    <t>Vanden Boeynants II (PSC)</t>
  </si>
  <si>
    <t>Văcăroiu II (PDSR)</t>
  </si>
  <si>
    <t>Governing Party 1</t>
  </si>
  <si>
    <t>Governing Party 2</t>
  </si>
  <si>
    <t>Governing Party 3</t>
  </si>
  <si>
    <t>Governing Party 4</t>
  </si>
  <si>
    <t>Governing Party 5</t>
  </si>
  <si>
    <t>Governing Party 6</t>
  </si>
  <si>
    <t>Right</t>
  </si>
  <si>
    <t>Left</t>
  </si>
  <si>
    <t>Total</t>
  </si>
  <si>
    <t>% of Seats in Parliament</t>
  </si>
  <si>
    <t>% Seats</t>
  </si>
  <si>
    <t>Number of Cabinet Posts</t>
  </si>
  <si>
    <t>% of Posts in Government</t>
  </si>
  <si>
    <t>Văcăroiu III (PDSR)</t>
  </si>
  <si>
    <t>Starting date of calculations: 28.06.1990</t>
  </si>
  <si>
    <t>Moravčik I (DUS)</t>
  </si>
  <si>
    <t>ADSR</t>
  </si>
  <si>
    <t>NDS</t>
  </si>
  <si>
    <t>Mečiar V (HZDS)</t>
  </si>
  <si>
    <t>Dzurinda II (SDKU)</t>
  </si>
  <si>
    <t>Starting date of calculations: 27.06.1990</t>
  </si>
  <si>
    <t>Dzurinda III (SDKU-DS)</t>
  </si>
  <si>
    <t>Drnovšek VI (LDS)</t>
  </si>
  <si>
    <t>Janša II (SDS)</t>
  </si>
  <si>
    <t>Janša I (SDS)</t>
  </si>
  <si>
    <t>Starting date of calculations: 12.01.1993</t>
  </si>
  <si>
    <t>Starting date of calculations: 26.07.1974.</t>
  </si>
  <si>
    <t>Starting date of calculations: 27.01.2000</t>
  </si>
  <si>
    <t>Government Composition 1</t>
  </si>
  <si>
    <t>Government Composition 2</t>
  </si>
  <si>
    <t>Government Support</t>
  </si>
  <si>
    <t>(relative power position based on parliamentary seat share)</t>
  </si>
  <si>
    <t>(relative power position based on cabinet posts)</t>
  </si>
  <si>
    <t>(percentage of seats in parliament)</t>
  </si>
  <si>
    <t>(total government support)</t>
  </si>
  <si>
    <t>Starting date of calculations: 23.07.1976</t>
  </si>
  <si>
    <t>Starting date of calculations: 05.07.1977</t>
  </si>
  <si>
    <t>Starting date of calculations: 03.08.1993</t>
  </si>
  <si>
    <t>Starting date of calculations: 10.12.1992</t>
  </si>
  <si>
    <t>Raab II (ÖVP)</t>
  </si>
  <si>
    <t>Fagerholm III (SDP)</t>
  </si>
  <si>
    <t>De Gaulle (UDR)</t>
  </si>
  <si>
    <t>Jonsson II (SDP)</t>
  </si>
  <si>
    <t>Valera IX (FF)</t>
  </si>
  <si>
    <t>Fanfani II (DC)</t>
  </si>
  <si>
    <t>Frieden I (CSP)</t>
  </si>
  <si>
    <t>Beel II (KVP)</t>
  </si>
  <si>
    <t>Chaudet I (FDP)</t>
  </si>
  <si>
    <t>Macmillan I (CON)</t>
  </si>
  <si>
    <t>Rudd II (ALP)</t>
  </si>
  <si>
    <t>Abbott I (LIB)</t>
  </si>
  <si>
    <t>Faymann II (SPÖ)</t>
  </si>
  <si>
    <t>Raykov I (Ind.)</t>
  </si>
  <si>
    <t>Oresharksi I (KB)</t>
  </si>
  <si>
    <t>Merkel III (CDU)</t>
  </si>
  <si>
    <t>Gunnlaugsson I (PP)</t>
  </si>
  <si>
    <t>Bettel I (DP)</t>
  </si>
  <si>
    <t>green3</t>
  </si>
  <si>
    <t>Solberg I (H)</t>
  </si>
  <si>
    <t>FrP</t>
  </si>
  <si>
    <t>.24.07.2013</t>
  </si>
  <si>
    <t>Burkhalter I (FDP)</t>
  </si>
  <si>
    <t>Obama II (DP)</t>
  </si>
  <si>
    <t>Letta I (PD)</t>
  </si>
  <si>
    <t>Anastasiades I (DISY)</t>
  </si>
  <si>
    <t>EVROKO</t>
  </si>
  <si>
    <t>Rusnok I (Ind.)</t>
  </si>
  <si>
    <t>Muscat I (MLP)</t>
  </si>
  <si>
    <t>Bratušek I (PS)</t>
  </si>
  <si>
    <t>IR</t>
  </si>
  <si>
    <t>SC</t>
  </si>
  <si>
    <t>GLEI-GAP</t>
  </si>
  <si>
    <t>Technocratic government (Thomáš Podivínský remained a member of KDU-CSL while in government)</t>
  </si>
  <si>
    <t>Governing Party 7</t>
  </si>
  <si>
    <t>Governing Party 8</t>
  </si>
  <si>
    <t>President</t>
  </si>
  <si>
    <t>(transitory period)</t>
  </si>
  <si>
    <t>Annualized Variables (used in Comparative Political Data Sets)</t>
  </si>
  <si>
    <t>G.W. Bush I (RP)</t>
  </si>
  <si>
    <t>G.W. Bush II (RP)</t>
  </si>
  <si>
    <t>G.H.W. Bush I (RP)</t>
  </si>
  <si>
    <t>Janša III (SDS)</t>
  </si>
  <si>
    <t>Passos Coelho I (PSD)</t>
  </si>
  <si>
    <t>Samaras II (ND)</t>
  </si>
  <si>
    <t>Borg Olivier I (PN)</t>
  </si>
  <si>
    <t>Mintoff (MLP)</t>
  </si>
  <si>
    <t>Mintoff II (MLP)</t>
  </si>
  <si>
    <t>Mintoff III (MLP)</t>
  </si>
  <si>
    <t>Mifsud Bonnici (MLP)</t>
  </si>
  <si>
    <t>Starting date of calculations: 01.04.1966</t>
  </si>
  <si>
    <t>KP</t>
  </si>
  <si>
    <t>Michel I (MR)</t>
  </si>
  <si>
    <t>N-VA</t>
  </si>
  <si>
    <t>Bliznashki I</t>
  </si>
  <si>
    <t>Borissov II (GERB)</t>
  </si>
  <si>
    <t>RB</t>
  </si>
  <si>
    <t>ABV</t>
  </si>
  <si>
    <t>Sobotka I (CSSD)</t>
  </si>
  <si>
    <t>Thorning-Schmidt II (SD)</t>
  </si>
  <si>
    <t>Rõivas I (RE)</t>
  </si>
  <si>
    <t>Valls I (PS)</t>
  </si>
  <si>
    <t>Orbán III (FIDESZ)</t>
  </si>
  <si>
    <t>Renzi I (PD)</t>
  </si>
  <si>
    <t>Abe III (LDP)</t>
  </si>
  <si>
    <t>Straujuma I (V)</t>
  </si>
  <si>
    <t>Straujuma II (V)</t>
  </si>
  <si>
    <t>Butkevičius II (LSDP)</t>
  </si>
  <si>
    <t>Sommaruga I (SPS)</t>
  </si>
  <si>
    <t>NCD</t>
  </si>
  <si>
    <t>NCD-UDC</t>
  </si>
  <si>
    <t>Kyprianou I (DIKO)</t>
  </si>
  <si>
    <t>Kyprianou II (DIKO)</t>
  </si>
  <si>
    <t>Key III (NP)</t>
  </si>
  <si>
    <t>Kopacz I (PO)</t>
  </si>
  <si>
    <t>Ponta III (PSD)</t>
  </si>
  <si>
    <t>Ponta IV (PSD)</t>
  </si>
  <si>
    <t>PLR</t>
  </si>
  <si>
    <t>Löfven I (S)</t>
  </si>
  <si>
    <t>MP</t>
  </si>
  <si>
    <t>Stubb I (KOK)</t>
  </si>
  <si>
    <t>ZaAB</t>
  </si>
  <si>
    <t>Cerar I (MC)</t>
  </si>
  <si>
    <t>MC</t>
  </si>
  <si>
    <t>liberal9</t>
  </si>
  <si>
    <t>Nonpartisan government</t>
  </si>
  <si>
    <t>Starting date of calculations: 08.03.1978</t>
  </si>
  <si>
    <t>Turnbull I (LIB)</t>
  </si>
  <si>
    <t>Milanović II (SDP)</t>
  </si>
  <si>
    <t>Løkke Rasmussen II (LIB)</t>
  </si>
  <si>
    <t>Rõivas II (RE)</t>
  </si>
  <si>
    <t>Sipilä I (KESK)</t>
  </si>
  <si>
    <t>PRG</t>
  </si>
  <si>
    <t>Tsipras I (SYRIZA)</t>
  </si>
  <si>
    <t>Vassiliki T.-C. II (Ind.)</t>
  </si>
  <si>
    <t>Tsiparas II (SYRIZA)</t>
  </si>
  <si>
    <t>ANEL</t>
  </si>
  <si>
    <t>right3</t>
  </si>
  <si>
    <t>Szydlo I (PiS)</t>
  </si>
  <si>
    <t>PiS</t>
  </si>
  <si>
    <t>Passos Coelho II (PSD)</t>
  </si>
  <si>
    <t>Costa I (PS)</t>
  </si>
  <si>
    <t>Partisan caretaker government</t>
  </si>
  <si>
    <t>Cîmpeanu I (Ind)</t>
  </si>
  <si>
    <t>Ciolos I (Ind.)</t>
  </si>
  <si>
    <t>Schneider-Ammann I (FDP)</t>
  </si>
  <si>
    <t>Cameron II (CON)</t>
  </si>
  <si>
    <t>KE</t>
  </si>
  <si>
    <t>Kern I (SPÖ)</t>
  </si>
  <si>
    <t>Orešković I (ind.)</t>
  </si>
  <si>
    <t>Plenković I (HDZ)</t>
  </si>
  <si>
    <t>MOST</t>
  </si>
  <si>
    <t>Løkke Rasmussen III (LIB)</t>
  </si>
  <si>
    <t>LA</t>
  </si>
  <si>
    <t>Cazeneuve I (PS)</t>
  </si>
  <si>
    <t>Johannsson I (PP)</t>
  </si>
  <si>
    <t>Kenny II (FG)</t>
  </si>
  <si>
    <t>Gentiloni I (PD)</t>
  </si>
  <si>
    <t>Valls II (PS)</t>
  </si>
  <si>
    <t>Kucinskis (ZZS) I</t>
  </si>
  <si>
    <t>Skvernelis I (LVŽS)</t>
  </si>
  <si>
    <t>LVŽS</t>
  </si>
  <si>
    <t>English I (NP)</t>
  </si>
  <si>
    <t>Fico III (Smer-SD)</t>
  </si>
  <si>
    <t>Sieť</t>
  </si>
  <si>
    <t>Rajoy II (PP)</t>
  </si>
  <si>
    <t>Leuthard II (CVP)</t>
  </si>
  <si>
    <t>May I (CON)</t>
  </si>
  <si>
    <t>Ratas I (KE)</t>
  </si>
  <si>
    <t>Harlem Brundtland IV (DNA)</t>
  </si>
  <si>
    <t>Georgios Papandreou I (CU)</t>
  </si>
  <si>
    <t>Georgios Papandreou II (CU)</t>
  </si>
  <si>
    <t>Andreas Papandreou I (PASOK)</t>
  </si>
  <si>
    <t>Andreas Papandreou II (PASOK)</t>
  </si>
  <si>
    <t>Andreas Papandreou III (PASOK)</t>
  </si>
  <si>
    <t>George Papandreou I (PASOK)</t>
  </si>
  <si>
    <t>Turnbull II (LIB)</t>
  </si>
  <si>
    <t>Kurz I (ÖVP)</t>
  </si>
  <si>
    <t>Borissov III (GERB)</t>
  </si>
  <si>
    <t>Gerdzhikov I (NDSV)</t>
  </si>
  <si>
    <t>OP</t>
  </si>
  <si>
    <t>Babiš I (ANO)</t>
  </si>
  <si>
    <t>Philippe I (LR)</t>
  </si>
  <si>
    <t>Philippe II (LR)</t>
  </si>
  <si>
    <t>LR</t>
  </si>
  <si>
    <t>MoDem</t>
  </si>
  <si>
    <t>LRM</t>
  </si>
  <si>
    <t>BF</t>
  </si>
  <si>
    <t>Jakobsdóttir I (LG)</t>
  </si>
  <si>
    <t>Varadkar I (FG)</t>
  </si>
  <si>
    <t>Abe IV (LDP)</t>
  </si>
  <si>
    <t>Muscat II (MLP)</t>
  </si>
  <si>
    <t>Rutte III (VVD)</t>
  </si>
  <si>
    <t>Ardern I (LP)</t>
  </si>
  <si>
    <t>Solberg II (H)</t>
  </si>
  <si>
    <t>Morawiecki I (Ind)</t>
  </si>
  <si>
    <t>Grindeanu I (PSD)</t>
  </si>
  <si>
    <t>Tudose I (PSD)</t>
  </si>
  <si>
    <t>ALDE</t>
  </si>
  <si>
    <t>May II (CON)</t>
  </si>
  <si>
    <t>Trump I (RP)</t>
  </si>
  <si>
    <t>Plenković II (HDZ)</t>
  </si>
  <si>
    <t>Morrison I (LIB)</t>
  </si>
  <si>
    <t>Michel II (MR)</t>
  </si>
  <si>
    <t>Anastasiades II (DISY)</t>
  </si>
  <si>
    <t>Babiš II (ANO)</t>
  </si>
  <si>
    <t>SIN</t>
  </si>
  <si>
    <t>Merkel IV (CDU)</t>
  </si>
  <si>
    <t>Orbán IV (FIDESZ)</t>
  </si>
  <si>
    <t>Conte I (Ind)</t>
  </si>
  <si>
    <t>M5S</t>
  </si>
  <si>
    <t>protest2</t>
  </si>
  <si>
    <t>L</t>
  </si>
  <si>
    <t>Bettel II (DP)</t>
  </si>
  <si>
    <t>Solberg III (H)</t>
  </si>
  <si>
    <t>Dăncilă I (PSD)</t>
  </si>
  <si>
    <t>Šarec I (LMŠ)</t>
  </si>
  <si>
    <t>LMS</t>
  </si>
  <si>
    <t>Sánchez I (PSOE)</t>
  </si>
  <si>
    <t xml:space="preserve">Trump I (RP)	</t>
  </si>
  <si>
    <t>Sipilä II (KESK)</t>
  </si>
  <si>
    <t>Morrison II (LIB)</t>
  </si>
  <si>
    <t>Löger (ÖVP)</t>
  </si>
  <si>
    <t>Bierlein (Ind.)</t>
  </si>
  <si>
    <t>Ratas II (KE)</t>
  </si>
  <si>
    <t>Rinne I (SDP)</t>
  </si>
  <si>
    <t>Marin I (SDP)</t>
  </si>
  <si>
    <t>SFP</t>
  </si>
  <si>
    <t>Agir</t>
  </si>
  <si>
    <t>Conte II (Ind)</t>
  </si>
  <si>
    <t>LeU</t>
  </si>
  <si>
    <t>leftsoc4</t>
  </si>
  <si>
    <t>IV</t>
  </si>
  <si>
    <t>Karins I (V)</t>
  </si>
  <si>
    <t>KPV</t>
  </si>
  <si>
    <t>JKP</t>
  </si>
  <si>
    <t>conserv9</t>
  </si>
  <si>
    <t>A/P</t>
  </si>
  <si>
    <t>LSDDP</t>
  </si>
  <si>
    <t>Morawiecki II (Ind)</t>
  </si>
  <si>
    <t>Costa II (PS)</t>
  </si>
  <si>
    <t>Orban I (PNL)</t>
  </si>
  <si>
    <t>Löfven II (S)</t>
  </si>
  <si>
    <t>Berset I (SPS)</t>
  </si>
  <si>
    <t>Maurer II (SVP)</t>
  </si>
  <si>
    <t>Sommaruga II (SPS)</t>
  </si>
  <si>
    <t>Johnson I (CON)</t>
  </si>
  <si>
    <t>Johnson II (CON)</t>
  </si>
  <si>
    <t>Mette Frederiksen I (SD)</t>
  </si>
  <si>
    <t>conserv10</t>
  </si>
  <si>
    <t>BZÖ</t>
  </si>
  <si>
    <t>rigth2</t>
  </si>
  <si>
    <t>Leterme III (CD&amp;V)</t>
  </si>
  <si>
    <t>Di Rupo II (PS)</t>
  </si>
  <si>
    <t>Trudeau Pierre I (LIB)</t>
  </si>
  <si>
    <t>Trudeau Pierre II (LIB)</t>
  </si>
  <si>
    <t>Trudeau Pierre III (LIB)</t>
  </si>
  <si>
    <t>Trudeau Pierre IV (LIB)</t>
  </si>
  <si>
    <t>Trudeau Pierre V (LIB)</t>
  </si>
  <si>
    <t>Trudeau Justin I (LIB)</t>
  </si>
  <si>
    <t>Trudeau Justin II (LIB)</t>
  </si>
  <si>
    <t>Benediktsson Bjarni (b. 1970) I (IP)</t>
  </si>
  <si>
    <t>Benediktsson Bjarni (b. 1908) I (IP)</t>
  </si>
  <si>
    <t>Benediktsson Bjarni (b. 1908) I 
(IP)</t>
  </si>
  <si>
    <t>Benediktsson Bjarni (b. 1908) II (IP)</t>
  </si>
  <si>
    <t>Fukuda Yasuo I (LDP)</t>
  </si>
  <si>
    <t>Fukuda Takeo I (LDP)</t>
  </si>
  <si>
    <t>Račan II (SDP)</t>
  </si>
  <si>
    <t>Pellegrini I (Smer-SD)</t>
  </si>
  <si>
    <t>Michel III (MR)</t>
  </si>
  <si>
    <t>Sipilä III (KESK)</t>
  </si>
  <si>
    <t>Kurz II (ÖVP)</t>
  </si>
  <si>
    <t>GA</t>
  </si>
  <si>
    <t>Wilmès I (MR)</t>
  </si>
  <si>
    <t>Wilmès II (MR)</t>
  </si>
  <si>
    <t>EKRE</t>
  </si>
  <si>
    <t>TDP</t>
  </si>
  <si>
    <t>Castex I (LRM)</t>
  </si>
  <si>
    <t>EC</t>
  </si>
  <si>
    <t>Martin I (FF)</t>
  </si>
  <si>
    <t>Suga I (LDP)</t>
  </si>
  <si>
    <t>Šimonytè I (Ind)</t>
  </si>
  <si>
    <t>Abela I (MLP)</t>
  </si>
  <si>
    <t>Ardern II (LP)</t>
  </si>
  <si>
    <t>Orban II (PNL)</t>
  </si>
  <si>
    <t>USR</t>
  </si>
  <si>
    <t>Cîțu I (PNL)</t>
  </si>
  <si>
    <t>OLaNO</t>
  </si>
  <si>
    <t>Za'ludi</t>
  </si>
  <si>
    <t>Janša IV (SDS)</t>
  </si>
  <si>
    <t>Nsi</t>
  </si>
  <si>
    <t>P</t>
  </si>
  <si>
    <t>Sanchez II (PSOE)</t>
  </si>
  <si>
    <t>Solberg IV (H)</t>
  </si>
  <si>
    <t>Fico IV (Smer-SD)</t>
  </si>
  <si>
    <t>SME</t>
  </si>
  <si>
    <t>Varadkar II (FG)</t>
  </si>
  <si>
    <t>right6</t>
  </si>
  <si>
    <t>Kyriakos Mitsotakis I (ND)</t>
  </si>
  <si>
    <t>Konstantinos Mitsotakis I (ND)</t>
  </si>
  <si>
    <t>pension1</t>
  </si>
  <si>
    <t>Draghi I (Ind)</t>
  </si>
  <si>
    <t>Schallenberg I (ÖVP)</t>
  </si>
  <si>
    <t>Nehammer I (ÖVP)</t>
  </si>
  <si>
    <t>Vooruit</t>
  </si>
  <si>
    <t>ITN</t>
  </si>
  <si>
    <t>DB</t>
  </si>
  <si>
    <t>Petkov I (PP)</t>
  </si>
  <si>
    <t>Kishida I (LDP)</t>
  </si>
  <si>
    <t>Kishida II (LDP)</t>
  </si>
  <si>
    <t xml:space="preserve"> Støre I (DNA)</t>
  </si>
  <si>
    <t>Trudeau Justin III (LIB)</t>
  </si>
  <si>
    <t>Fiala I (ODS)</t>
  </si>
  <si>
    <t>TOP09</t>
  </si>
  <si>
    <t>STAN</t>
  </si>
  <si>
    <t>Pirati</t>
  </si>
  <si>
    <t>Scholz I (SPD)</t>
  </si>
  <si>
    <t>Biden I (DP)</t>
  </si>
  <si>
    <t>Parmelin I (SVP)</t>
  </si>
  <si>
    <t>Jakobsdóttir II (LG)</t>
  </si>
  <si>
    <t>Löfven III (S)</t>
  </si>
  <si>
    <t>Andersson I (S)</t>
  </si>
  <si>
    <t>Heger I (OLaNO)</t>
  </si>
  <si>
    <t>Matovič I (OLaNO)</t>
  </si>
  <si>
    <t>Cassis I (FDP)</t>
  </si>
  <si>
    <t>Costa III (PS)</t>
  </si>
  <si>
    <t>Ciucă I (PNL)</t>
  </si>
  <si>
    <t>Karins II (V)</t>
  </si>
  <si>
    <t>Janša V (SDS)</t>
  </si>
  <si>
    <t>conserv7</t>
  </si>
  <si>
    <t>De Croo I (VLD)</t>
  </si>
  <si>
    <t>Plenković III (HDZ)</t>
  </si>
  <si>
    <t>Siim Kallas I (RE)</t>
  </si>
  <si>
    <t>coserv2</t>
  </si>
  <si>
    <t xml:space="preserve">Albanese I (ALP) </t>
  </si>
  <si>
    <t>Mette Frederiksen II (SD)</t>
  </si>
  <si>
    <t>Orbán V (FIDESZ)</t>
  </si>
  <si>
    <t>Varadkar III (FG)</t>
  </si>
  <si>
    <t>FdI</t>
  </si>
  <si>
    <t>Meloni I (FdI)</t>
  </si>
  <si>
    <t>Karins III (V)</t>
  </si>
  <si>
    <t xml:space="preserve">conserv2 </t>
  </si>
  <si>
    <t>AS</t>
  </si>
  <si>
    <t>Abela II (MLP)</t>
  </si>
  <si>
    <t>Rutte IV (VVD)</t>
  </si>
  <si>
    <t>Costa IIII (PS)</t>
  </si>
  <si>
    <t>GS</t>
  </si>
  <si>
    <t>Golob I (GS)</t>
  </si>
  <si>
    <t>Kristersson I (M)</t>
  </si>
  <si>
    <t>Berset II (SPS)</t>
  </si>
  <si>
    <t>Truss I (CON)</t>
  </si>
  <si>
    <t>Sunak I (CON)</t>
  </si>
  <si>
    <t>Borne I (LRM)</t>
  </si>
  <si>
    <t>HOR</t>
  </si>
  <si>
    <t>Heger II (OLaNO)</t>
  </si>
  <si>
    <t>Heger III (OLaNO)</t>
  </si>
  <si>
    <t>Levica</t>
  </si>
  <si>
    <t>K</t>
  </si>
  <si>
    <t>conserv11</t>
  </si>
  <si>
    <t>Donev I (Ind)</t>
  </si>
  <si>
    <t>Yanev I (Ind)</t>
  </si>
  <si>
    <t>Yanev II (Ind)</t>
  </si>
  <si>
    <t>Kallas I (RE)</t>
  </si>
  <si>
    <t>Kallas II (RE)</t>
  </si>
  <si>
    <t>Kallas III (RE)</t>
  </si>
  <si>
    <t>Borne II (LRM)</t>
  </si>
  <si>
    <t>Center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</si>
</sst>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yyyy\-mm\-dd;@"/>
  </numFmts>
  <fonts count="26" x14ac:knownFonts="1">
    <font>
      <sz val="10"/>
      <name val="Arial"/>
    </font>
    <font>
      <sz val="7"/>
      <name val="Arial"/>
      <family val="2"/>
    </font>
    <font>
      <sz val="8"/>
      <color indexed="81"/>
      <name val="Tahoma"/>
      <family val="2"/>
    </font>
    <font>
      <sz val="10"/>
      <name val="Arial"/>
      <family val="2"/>
    </font>
    <font>
      <b/>
      <sz val="7"/>
      <name val="Arial"/>
      <family val="2"/>
    </font>
    <font>
      <sz val="9"/>
      <color indexed="81"/>
      <name val="Tahoma"/>
      <family val="2"/>
    </font>
    <font>
      <b/>
      <sz val="9"/>
      <color indexed="81"/>
      <name val="Tahoma"/>
      <family val="2"/>
    </font>
    <font>
      <sz val="10"/>
      <name val="Arial"/>
      <family val="2"/>
    </font>
    <font>
      <i/>
      <sz val="7"/>
      <name val="Arial"/>
      <family val="2"/>
    </font>
    <font>
      <b/>
      <sz val="8"/>
      <name val="Arial"/>
      <family val="2"/>
    </font>
    <font>
      <b/>
      <i/>
      <sz val="7"/>
      <name val="Arial"/>
      <family val="2"/>
    </font>
    <font>
      <sz val="11"/>
      <name val="Arial"/>
      <family val="2"/>
    </font>
    <font>
      <sz val="11"/>
      <color theme="1"/>
      <name val="Calibri"/>
      <family val="2"/>
      <scheme val="minor"/>
    </font>
    <font>
      <i/>
      <sz val="7"/>
      <color theme="0" tint="-0.34998626667073579"/>
      <name val="Arial"/>
      <family val="2"/>
    </font>
    <font>
      <i/>
      <sz val="7"/>
      <color theme="0" tint="-0.499984740745262"/>
      <name val="Arial"/>
      <family val="2"/>
    </font>
    <font>
      <sz val="7"/>
      <color theme="0" tint="-0.34998626667073579"/>
      <name val="Arial"/>
      <family val="2"/>
    </font>
    <font>
      <sz val="7"/>
      <color theme="1"/>
      <name val="Arial"/>
      <family val="2"/>
    </font>
    <font>
      <sz val="7"/>
      <color theme="0" tint="-0.499984740745262"/>
      <name val="Arial"/>
      <family val="2"/>
    </font>
    <font>
      <sz val="7"/>
      <color theme="0" tint="-0.249977111117893"/>
      <name val="Arial"/>
      <family val="2"/>
    </font>
    <font>
      <i/>
      <sz val="7"/>
      <color theme="1"/>
      <name val="Arial"/>
      <family val="2"/>
    </font>
    <font>
      <sz val="7"/>
      <color rgb="FFFF0000"/>
      <name val="Arial"/>
      <family val="2"/>
    </font>
    <font>
      <sz val="9"/>
      <color rgb="FF000000"/>
      <name val="Tahoma"/>
      <family val="2"/>
    </font>
    <font>
      <b/>
      <sz val="9"/>
      <color rgb="FF000000"/>
      <name val="Tahoma"/>
      <family val="2"/>
    </font>
    <font>
      <sz val="8"/>
      <name val="Arial"/>
      <family val="2"/>
    </font>
    <font>
      <sz val="10"/>
      <color rgb="FF000000"/>
      <name val="Tahoma"/>
      <family val="2"/>
    </font>
    <font>
      <sz val="8"/>
      <name val="Arial"/>
      <family val="2"/>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CC"/>
        <bgColor indexed="64"/>
      </patternFill>
    </fill>
    <fill>
      <patternFill patternType="solid">
        <fgColor theme="0" tint="-0.249977111117893"/>
        <bgColor indexed="64"/>
      </patternFill>
    </fill>
    <fill>
      <patternFill patternType="solid">
        <fgColor rgb="FFD9D9D9"/>
        <bgColor rgb="FF000000"/>
      </patternFill>
    </fill>
    <fill>
      <patternFill patternType="solid">
        <fgColor theme="0"/>
        <bgColor rgb="FF000000"/>
      </patternFill>
    </fill>
  </fills>
  <borders count="27">
    <border>
      <left/>
      <right/>
      <top/>
      <bottom/>
      <diagonal/>
    </border>
    <border>
      <left/>
      <right style="thin">
        <color indexed="64"/>
      </right>
      <top/>
      <bottom/>
      <diagonal/>
    </border>
    <border>
      <left/>
      <right/>
      <top/>
      <bottom style="thin">
        <color indexed="64"/>
      </bottom>
      <diagonal/>
    </border>
    <border>
      <left/>
      <right style="hair">
        <color indexed="64"/>
      </right>
      <top/>
      <bottom/>
      <diagonal/>
    </border>
    <border>
      <left/>
      <right/>
      <top style="thin">
        <color indexed="64"/>
      </top>
      <bottom/>
      <diagonal/>
    </border>
    <border>
      <left style="thin">
        <color indexed="64"/>
      </left>
      <right/>
      <top/>
      <bottom/>
      <diagonal/>
    </border>
    <border>
      <left style="thin">
        <color indexed="64"/>
      </left>
      <right style="thin">
        <color indexed="64"/>
      </right>
      <top/>
      <bottom/>
      <diagonal/>
    </border>
    <border>
      <left style="hair">
        <color indexed="64"/>
      </left>
      <right/>
      <top/>
      <bottom/>
      <diagonal/>
    </border>
    <border>
      <left style="hair">
        <color indexed="64"/>
      </left>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indexed="64"/>
      </left>
      <right style="hair">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hair">
        <color indexed="64"/>
      </left>
      <right/>
      <top style="thin">
        <color indexed="64"/>
      </top>
      <bottom/>
      <diagonal/>
    </border>
    <border>
      <left/>
      <right style="hair">
        <color indexed="64"/>
      </right>
      <top style="thin">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diagonal/>
    </border>
    <border>
      <left style="hair">
        <color theme="1"/>
      </left>
      <right/>
      <top/>
      <bottom/>
      <diagonal/>
    </border>
    <border>
      <left/>
      <right style="hair">
        <color theme="1"/>
      </right>
      <top/>
      <bottom/>
      <diagonal/>
    </border>
    <border>
      <left style="thin">
        <color theme="1"/>
      </left>
      <right/>
      <top/>
      <bottom/>
      <diagonal/>
    </border>
    <border>
      <left style="hair">
        <color theme="1"/>
      </left>
      <right/>
      <top/>
      <bottom style="hair">
        <color theme="1"/>
      </bottom>
      <diagonal/>
    </border>
    <border>
      <left style="thin">
        <color indexed="64"/>
      </left>
      <right style="hair">
        <color theme="1"/>
      </right>
      <top/>
      <bottom/>
      <diagonal/>
    </border>
    <border>
      <left/>
      <right style="thin">
        <color theme="1"/>
      </right>
      <top/>
      <bottom/>
      <diagonal/>
    </border>
  </borders>
  <cellStyleXfs count="7">
    <xf numFmtId="0" fontId="0" fillId="0" borderId="0"/>
    <xf numFmtId="9" fontId="12" fillId="0" borderId="0" applyFont="0" applyFill="0" applyBorder="0" applyAlignment="0" applyProtection="0"/>
    <xf numFmtId="0" fontId="7" fillId="0" borderId="0"/>
    <xf numFmtId="0" fontId="3" fillId="0" borderId="0"/>
    <xf numFmtId="0" fontId="11" fillId="0" borderId="0"/>
    <xf numFmtId="0" fontId="3" fillId="0" borderId="0"/>
    <xf numFmtId="0" fontId="12" fillId="0" borderId="0"/>
  </cellStyleXfs>
  <cellXfs count="438">
    <xf numFmtId="0" fontId="0" fillId="0" borderId="0" xfId="0"/>
    <xf numFmtId="0" fontId="1" fillId="0" borderId="0" xfId="0" applyFont="1" applyAlignment="1">
      <alignment horizontal="center"/>
    </xf>
    <xf numFmtId="0" fontId="1" fillId="0" borderId="1" xfId="0" applyFont="1" applyBorder="1" applyAlignment="1">
      <alignment horizontal="center"/>
    </xf>
    <xf numFmtId="0" fontId="1" fillId="0" borderId="2" xfId="0" applyFont="1" applyBorder="1" applyAlignment="1">
      <alignment horizontal="center"/>
    </xf>
    <xf numFmtId="2" fontId="1" fillId="0" borderId="0" xfId="0" applyNumberFormat="1" applyFont="1" applyAlignment="1">
      <alignment horizontal="center"/>
    </xf>
    <xf numFmtId="2" fontId="1" fillId="0" borderId="0" xfId="0" applyNumberFormat="1" applyFont="1" applyAlignment="1">
      <alignment horizontal="right"/>
    </xf>
    <xf numFmtId="1" fontId="1" fillId="0" borderId="0" xfId="0" applyNumberFormat="1" applyFont="1" applyAlignment="1">
      <alignment horizontal="right"/>
    </xf>
    <xf numFmtId="1" fontId="1" fillId="0" borderId="2" xfId="0" applyNumberFormat="1" applyFont="1" applyBorder="1" applyAlignment="1">
      <alignment horizontal="right"/>
    </xf>
    <xf numFmtId="2" fontId="1" fillId="0" borderId="2" xfId="0" applyNumberFormat="1" applyFont="1" applyBorder="1" applyAlignment="1">
      <alignment horizontal="right"/>
    </xf>
    <xf numFmtId="0" fontId="1" fillId="0" borderId="0" xfId="0" applyFont="1" applyAlignment="1">
      <alignment horizontal="right"/>
    </xf>
    <xf numFmtId="2" fontId="1" fillId="0" borderId="0" xfId="0" applyNumberFormat="1" applyFont="1"/>
    <xf numFmtId="164" fontId="1" fillId="0" borderId="0" xfId="0" applyNumberFormat="1" applyFont="1" applyAlignment="1">
      <alignment horizontal="center"/>
    </xf>
    <xf numFmtId="2" fontId="1" fillId="0" borderId="2" xfId="0" applyNumberFormat="1" applyFont="1" applyBorder="1" applyAlignment="1">
      <alignment horizontal="center"/>
    </xf>
    <xf numFmtId="1" fontId="1" fillId="0" borderId="0" xfId="0" applyNumberFormat="1" applyFont="1" applyAlignment="1">
      <alignment horizontal="center"/>
    </xf>
    <xf numFmtId="1" fontId="1" fillId="0" borderId="2" xfId="0" applyNumberFormat="1" applyFont="1" applyBorder="1" applyAlignment="1">
      <alignment horizontal="center"/>
    </xf>
    <xf numFmtId="0" fontId="9" fillId="0" borderId="0" xfId="0" applyFont="1" applyAlignment="1">
      <alignment horizontal="left"/>
    </xf>
    <xf numFmtId="0" fontId="1" fillId="0" borderId="3" xfId="0" applyFont="1" applyBorder="1" applyAlignment="1">
      <alignment horizontal="center"/>
    </xf>
    <xf numFmtId="2" fontId="13" fillId="0" borderId="0" xfId="0" applyNumberFormat="1" applyFont="1" applyAlignment="1">
      <alignment horizontal="right"/>
    </xf>
    <xf numFmtId="2" fontId="13" fillId="0" borderId="2" xfId="0" applyNumberFormat="1" applyFont="1" applyBorder="1" applyAlignment="1">
      <alignment horizontal="right"/>
    </xf>
    <xf numFmtId="164" fontId="8" fillId="0" borderId="0" xfId="0" applyNumberFormat="1" applyFont="1" applyAlignment="1">
      <alignment horizontal="center"/>
    </xf>
    <xf numFmtId="0" fontId="1" fillId="0" borderId="2" xfId="0" applyFont="1" applyBorder="1" applyAlignment="1">
      <alignment horizontal="right"/>
    </xf>
    <xf numFmtId="2" fontId="1" fillId="0" borderId="2" xfId="0" applyNumberFormat="1" applyFont="1" applyBorder="1"/>
    <xf numFmtId="0" fontId="1" fillId="0" borderId="0" xfId="0" applyFont="1" applyAlignment="1">
      <alignment horizontal="left"/>
    </xf>
    <xf numFmtId="2" fontId="14" fillId="0" borderId="0" xfId="0" applyNumberFormat="1" applyFont="1" applyAlignment="1">
      <alignment horizontal="right"/>
    </xf>
    <xf numFmtId="0" fontId="8" fillId="0" borderId="0" xfId="0" applyFont="1"/>
    <xf numFmtId="0" fontId="8" fillId="0" borderId="0" xfId="0" applyFont="1" applyAlignment="1">
      <alignment horizontal="center"/>
    </xf>
    <xf numFmtId="0" fontId="10" fillId="0" borderId="0" xfId="0" applyFont="1" applyAlignment="1">
      <alignment horizontal="left"/>
    </xf>
    <xf numFmtId="0" fontId="10" fillId="0" borderId="4" xfId="0" applyFont="1" applyBorder="1"/>
    <xf numFmtId="0" fontId="1" fillId="2" borderId="0" xfId="0" applyFont="1" applyFill="1" applyAlignment="1">
      <alignment horizontal="center"/>
    </xf>
    <xf numFmtId="0" fontId="1" fillId="2" borderId="5" xfId="0" applyFont="1" applyFill="1" applyBorder="1" applyAlignment="1">
      <alignment horizontal="right"/>
    </xf>
    <xf numFmtId="0" fontId="1" fillId="2" borderId="0" xfId="0" applyFont="1" applyFill="1" applyAlignment="1">
      <alignment horizontal="right"/>
    </xf>
    <xf numFmtId="0" fontId="8" fillId="2" borderId="1" xfId="0" applyFont="1" applyFill="1" applyBorder="1" applyAlignment="1">
      <alignment horizontal="right"/>
    </xf>
    <xf numFmtId="164" fontId="1" fillId="2" borderId="0" xfId="0" applyNumberFormat="1" applyFont="1" applyFill="1" applyAlignment="1">
      <alignment horizontal="right"/>
    </xf>
    <xf numFmtId="164" fontId="8" fillId="2" borderId="0" xfId="0" applyNumberFormat="1" applyFont="1" applyFill="1" applyAlignment="1">
      <alignment horizontal="right"/>
    </xf>
    <xf numFmtId="164" fontId="1" fillId="2" borderId="5" xfId="0" applyNumberFormat="1" applyFont="1" applyFill="1" applyBorder="1" applyAlignment="1">
      <alignment horizontal="right"/>
    </xf>
    <xf numFmtId="164" fontId="8" fillId="2" borderId="1" xfId="0" applyNumberFormat="1" applyFont="1" applyFill="1" applyBorder="1" applyAlignment="1">
      <alignment horizontal="right"/>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Alignment="1">
      <alignment horizontal="center"/>
    </xf>
    <xf numFmtId="1" fontId="1" fillId="2" borderId="0" xfId="0" applyNumberFormat="1" applyFont="1" applyFill="1" applyAlignment="1">
      <alignment horizontal="right"/>
    </xf>
    <xf numFmtId="14" fontId="1" fillId="2" borderId="0" xfId="0" applyNumberFormat="1" applyFont="1" applyFill="1" applyAlignment="1">
      <alignment horizontal="right"/>
    </xf>
    <xf numFmtId="1" fontId="1" fillId="2" borderId="5" xfId="0" applyNumberFormat="1" applyFont="1" applyFill="1" applyBorder="1" applyAlignment="1">
      <alignment horizontal="right"/>
    </xf>
    <xf numFmtId="1" fontId="8" fillId="2" borderId="1" xfId="0" applyNumberFormat="1" applyFont="1" applyFill="1" applyBorder="1" applyAlignment="1">
      <alignment horizontal="right"/>
    </xf>
    <xf numFmtId="164" fontId="1" fillId="2" borderId="5" xfId="0" applyNumberFormat="1" applyFont="1" applyFill="1" applyBorder="1" applyAlignment="1">
      <alignment horizontal="center"/>
    </xf>
    <xf numFmtId="164" fontId="1" fillId="2" borderId="0" xfId="0" applyNumberFormat="1" applyFont="1" applyFill="1" applyAlignment="1">
      <alignment horizontal="center"/>
    </xf>
    <xf numFmtId="164" fontId="8" fillId="2" borderId="1" xfId="0" applyNumberFormat="1" applyFont="1" applyFill="1" applyBorder="1" applyAlignment="1">
      <alignment horizontal="center"/>
    </xf>
    <xf numFmtId="1" fontId="1" fillId="2" borderId="5" xfId="0" applyNumberFormat="1" applyFont="1" applyFill="1" applyBorder="1" applyAlignment="1">
      <alignment horizontal="center"/>
    </xf>
    <xf numFmtId="14" fontId="1" fillId="2" borderId="6" xfId="0" applyNumberFormat="1" applyFont="1" applyFill="1" applyBorder="1" applyAlignment="1">
      <alignment horizontal="center"/>
    </xf>
    <xf numFmtId="2" fontId="1" fillId="2" borderId="0" xfId="0" applyNumberFormat="1" applyFont="1" applyFill="1" applyAlignment="1">
      <alignment horizontal="center"/>
    </xf>
    <xf numFmtId="1" fontId="1" fillId="2" borderId="0" xfId="0" applyNumberFormat="1" applyFont="1" applyFill="1" applyAlignment="1">
      <alignment horizontal="center"/>
    </xf>
    <xf numFmtId="0" fontId="1" fillId="3" borderId="4" xfId="0" applyFont="1" applyFill="1" applyBorder="1" applyAlignment="1">
      <alignment horizontal="center"/>
    </xf>
    <xf numFmtId="0" fontId="1" fillId="3" borderId="2" xfId="0" applyFont="1" applyFill="1" applyBorder="1" applyAlignment="1">
      <alignment horizontal="center"/>
    </xf>
    <xf numFmtId="0" fontId="1" fillId="3" borderId="8" xfId="0" applyFont="1" applyFill="1" applyBorder="1" applyAlignment="1">
      <alignment horizontal="center"/>
    </xf>
    <xf numFmtId="0" fontId="1" fillId="3" borderId="9" xfId="0" applyFont="1" applyFill="1" applyBorder="1" applyAlignment="1">
      <alignment horizontal="center"/>
    </xf>
    <xf numFmtId="0" fontId="1" fillId="3" borderId="10" xfId="0" applyFont="1" applyFill="1" applyBorder="1" applyAlignment="1">
      <alignment horizontal="center"/>
    </xf>
    <xf numFmtId="1" fontId="15" fillId="2" borderId="0" xfId="0" applyNumberFormat="1" applyFont="1" applyFill="1" applyAlignment="1">
      <alignment horizontal="right"/>
    </xf>
    <xf numFmtId="1" fontId="1" fillId="2" borderId="0" xfId="0" applyNumberFormat="1" applyFont="1" applyFill="1"/>
    <xf numFmtId="1" fontId="1" fillId="2" borderId="5" xfId="0" applyNumberFormat="1" applyFont="1" applyFill="1" applyBorder="1"/>
    <xf numFmtId="1" fontId="8" fillId="2" borderId="1" xfId="0" applyNumberFormat="1" applyFont="1" applyFill="1" applyBorder="1"/>
    <xf numFmtId="0" fontId="1" fillId="2" borderId="7" xfId="0" applyFont="1" applyFill="1" applyBorder="1"/>
    <xf numFmtId="0" fontId="1" fillId="2" borderId="0" xfId="0" applyFont="1" applyFill="1"/>
    <xf numFmtId="0" fontId="1" fillId="2" borderId="3" xfId="0" applyFont="1" applyFill="1" applyBorder="1"/>
    <xf numFmtId="2" fontId="1" fillId="2" borderId="0" xfId="0" applyNumberFormat="1" applyFont="1" applyFill="1"/>
    <xf numFmtId="0" fontId="1" fillId="2" borderId="5" xfId="0" applyFont="1" applyFill="1" applyBorder="1" applyAlignment="1">
      <alignment horizontal="center"/>
    </xf>
    <xf numFmtId="1" fontId="8" fillId="2" borderId="1" xfId="0" applyNumberFormat="1" applyFont="1" applyFill="1" applyBorder="1" applyAlignment="1">
      <alignment horizontal="center"/>
    </xf>
    <xf numFmtId="164" fontId="8" fillId="2" borderId="0" xfId="0" applyNumberFormat="1" applyFont="1" applyFill="1" applyAlignment="1">
      <alignment horizontal="center"/>
    </xf>
    <xf numFmtId="1" fontId="1" fillId="2" borderId="6" xfId="0" applyNumberFormat="1" applyFont="1" applyFill="1" applyBorder="1" applyAlignment="1">
      <alignment horizontal="center"/>
    </xf>
    <xf numFmtId="0" fontId="17" fillId="2" borderId="0" xfId="0" applyFont="1" applyFill="1" applyAlignment="1">
      <alignment horizontal="center"/>
    </xf>
    <xf numFmtId="1" fontId="8" fillId="2" borderId="0" xfId="0" applyNumberFormat="1" applyFont="1" applyFill="1" applyAlignment="1">
      <alignment horizontal="center"/>
    </xf>
    <xf numFmtId="0" fontId="8" fillId="2" borderId="0" xfId="0" applyFont="1" applyFill="1" applyAlignment="1">
      <alignment horizontal="center"/>
    </xf>
    <xf numFmtId="0" fontId="8" fillId="2" borderId="1" xfId="0" applyFont="1" applyFill="1" applyBorder="1" applyAlignment="1">
      <alignment horizontal="center"/>
    </xf>
    <xf numFmtId="0" fontId="1" fillId="2" borderId="2" xfId="0" applyFont="1" applyFill="1" applyBorder="1" applyAlignment="1">
      <alignment horizontal="center"/>
    </xf>
    <xf numFmtId="0" fontId="1" fillId="2" borderId="12" xfId="0" applyFont="1" applyFill="1" applyBorder="1" applyAlignment="1">
      <alignment horizontal="center"/>
    </xf>
    <xf numFmtId="0" fontId="8" fillId="2" borderId="10" xfId="0" applyFont="1" applyFill="1" applyBorder="1" applyAlignment="1">
      <alignment horizontal="center"/>
    </xf>
    <xf numFmtId="164" fontId="1" fillId="2" borderId="2" xfId="0" applyNumberFormat="1" applyFont="1" applyFill="1" applyBorder="1" applyAlignment="1">
      <alignment horizontal="center"/>
    </xf>
    <xf numFmtId="164" fontId="8" fillId="2" borderId="2" xfId="0" applyNumberFormat="1" applyFont="1" applyFill="1" applyBorder="1" applyAlignment="1">
      <alignment horizontal="center"/>
    </xf>
    <xf numFmtId="164" fontId="1" fillId="2" borderId="12" xfId="0" applyNumberFormat="1" applyFont="1" applyFill="1" applyBorder="1" applyAlignment="1">
      <alignment horizontal="center"/>
    </xf>
    <xf numFmtId="164" fontId="8" fillId="2" borderId="10" xfId="0" applyNumberFormat="1" applyFont="1" applyFill="1" applyBorder="1" applyAlignment="1">
      <alignment horizontal="center"/>
    </xf>
    <xf numFmtId="0" fontId="1" fillId="2" borderId="8" xfId="0" applyFont="1" applyFill="1" applyBorder="1" applyAlignment="1">
      <alignment horizontal="center"/>
    </xf>
    <xf numFmtId="0" fontId="1" fillId="2" borderId="9" xfId="0" applyFont="1" applyFill="1" applyBorder="1" applyAlignment="1">
      <alignment horizontal="center"/>
    </xf>
    <xf numFmtId="0" fontId="1" fillId="2" borderId="10" xfId="0" applyFont="1" applyFill="1" applyBorder="1" applyAlignment="1">
      <alignment horizontal="center"/>
    </xf>
    <xf numFmtId="0" fontId="15" fillId="2" borderId="0" xfId="0" applyFont="1" applyFill="1" applyAlignment="1">
      <alignment horizontal="center"/>
    </xf>
    <xf numFmtId="0" fontId="1" fillId="2" borderId="4" xfId="0" applyFont="1" applyFill="1" applyBorder="1" applyAlignment="1">
      <alignment horizontal="center"/>
    </xf>
    <xf numFmtId="0" fontId="8" fillId="2" borderId="7" xfId="0" applyFont="1" applyFill="1" applyBorder="1"/>
    <xf numFmtId="1" fontId="16" fillId="2" borderId="0" xfId="0" applyNumberFormat="1" applyFont="1" applyFill="1" applyAlignment="1">
      <alignment horizontal="center"/>
    </xf>
    <xf numFmtId="164" fontId="1" fillId="2" borderId="3" xfId="0" applyNumberFormat="1" applyFont="1" applyFill="1" applyBorder="1" applyAlignment="1">
      <alignment horizontal="center"/>
    </xf>
    <xf numFmtId="0" fontId="8" fillId="2" borderId="7" xfId="0" applyFont="1" applyFill="1" applyBorder="1" applyAlignment="1">
      <alignment horizontal="left"/>
    </xf>
    <xf numFmtId="0" fontId="15" fillId="2" borderId="2" xfId="0" applyFont="1" applyFill="1" applyBorder="1" applyAlignment="1">
      <alignment horizontal="center"/>
    </xf>
    <xf numFmtId="0" fontId="1" fillId="2" borderId="7" xfId="0" applyFont="1" applyFill="1" applyBorder="1" applyAlignment="1">
      <alignment horizontal="left"/>
    </xf>
    <xf numFmtId="1" fontId="1" fillId="2" borderId="2" xfId="0" applyNumberFormat="1" applyFont="1" applyFill="1" applyBorder="1" applyAlignment="1">
      <alignment horizontal="center"/>
    </xf>
    <xf numFmtId="0" fontId="8" fillId="2" borderId="8" xfId="0" applyFont="1" applyFill="1" applyBorder="1" applyAlignment="1">
      <alignment horizontal="left"/>
    </xf>
    <xf numFmtId="0" fontId="1" fillId="2" borderId="0" xfId="0" applyFont="1" applyFill="1" applyAlignment="1">
      <alignment horizontal="left"/>
    </xf>
    <xf numFmtId="0" fontId="1" fillId="2" borderId="14" xfId="0" applyFont="1" applyFill="1" applyBorder="1" applyAlignment="1">
      <alignment horizontal="center"/>
    </xf>
    <xf numFmtId="0" fontId="8" fillId="2" borderId="15" xfId="0" applyFont="1" applyFill="1" applyBorder="1" applyAlignment="1">
      <alignment horizontal="center"/>
    </xf>
    <xf numFmtId="164" fontId="1" fillId="2" borderId="4" xfId="0" applyNumberFormat="1" applyFont="1" applyFill="1" applyBorder="1" applyAlignment="1">
      <alignment horizontal="center"/>
    </xf>
    <xf numFmtId="164" fontId="8" fillId="2" borderId="4" xfId="0" applyNumberFormat="1" applyFont="1" applyFill="1" applyBorder="1" applyAlignment="1">
      <alignment horizontal="center"/>
    </xf>
    <xf numFmtId="164" fontId="1" fillId="2" borderId="14" xfId="0" applyNumberFormat="1" applyFont="1" applyFill="1" applyBorder="1" applyAlignment="1">
      <alignment horizontal="center"/>
    </xf>
    <xf numFmtId="164" fontId="8" fillId="2" borderId="15" xfId="0" applyNumberFormat="1" applyFont="1" applyFill="1" applyBorder="1" applyAlignment="1">
      <alignment horizontal="center"/>
    </xf>
    <xf numFmtId="0" fontId="1" fillId="2" borderId="17" xfId="0" applyFont="1" applyFill="1" applyBorder="1" applyAlignment="1">
      <alignment horizontal="center"/>
    </xf>
    <xf numFmtId="0" fontId="1" fillId="2" borderId="18" xfId="0" applyFont="1" applyFill="1" applyBorder="1" applyAlignment="1">
      <alignment horizontal="center"/>
    </xf>
    <xf numFmtId="0" fontId="1" fillId="2" borderId="15" xfId="0" applyFont="1" applyFill="1" applyBorder="1" applyAlignment="1">
      <alignment horizontal="center"/>
    </xf>
    <xf numFmtId="2" fontId="1" fillId="2" borderId="0" xfId="0" applyNumberFormat="1" applyFont="1" applyFill="1" applyAlignment="1">
      <alignment horizontal="right"/>
    </xf>
    <xf numFmtId="0" fontId="1" fillId="2" borderId="14" xfId="0" applyFont="1" applyFill="1" applyBorder="1" applyAlignment="1">
      <alignment horizontal="right"/>
    </xf>
    <xf numFmtId="0" fontId="1" fillId="2" borderId="4" xfId="0" applyFont="1" applyFill="1" applyBorder="1" applyAlignment="1">
      <alignment horizontal="right"/>
    </xf>
    <xf numFmtId="0" fontId="8" fillId="2" borderId="15" xfId="0" applyFont="1" applyFill="1" applyBorder="1" applyAlignment="1">
      <alignment horizontal="right"/>
    </xf>
    <xf numFmtId="164" fontId="1" fillId="2" borderId="4" xfId="0" applyNumberFormat="1" applyFont="1" applyFill="1" applyBorder="1" applyAlignment="1">
      <alignment horizontal="right"/>
    </xf>
    <xf numFmtId="164" fontId="8" fillId="2" borderId="4" xfId="0" applyNumberFormat="1" applyFont="1" applyFill="1" applyBorder="1" applyAlignment="1">
      <alignment horizontal="right"/>
    </xf>
    <xf numFmtId="164" fontId="1" fillId="2" borderId="14" xfId="0" applyNumberFormat="1" applyFont="1" applyFill="1" applyBorder="1" applyAlignment="1">
      <alignment horizontal="right"/>
    </xf>
    <xf numFmtId="164" fontId="8" fillId="2" borderId="15" xfId="0" applyNumberFormat="1" applyFont="1" applyFill="1" applyBorder="1" applyAlignment="1">
      <alignment horizontal="right"/>
    </xf>
    <xf numFmtId="0" fontId="1" fillId="2" borderId="17" xfId="0" applyFont="1" applyFill="1" applyBorder="1" applyAlignment="1">
      <alignment horizontal="left"/>
    </xf>
    <xf numFmtId="0" fontId="1" fillId="2" borderId="2" xfId="0" applyFont="1" applyFill="1" applyBorder="1" applyAlignment="1">
      <alignment horizontal="left"/>
    </xf>
    <xf numFmtId="0" fontId="8" fillId="2" borderId="15" xfId="0" applyFont="1" applyFill="1" applyBorder="1"/>
    <xf numFmtId="0" fontId="8" fillId="0" borderId="0" xfId="0" applyFont="1" applyAlignment="1">
      <alignment horizontal="right"/>
    </xf>
    <xf numFmtId="1" fontId="1" fillId="3" borderId="0" xfId="0" applyNumberFormat="1" applyFont="1" applyFill="1" applyAlignment="1">
      <alignment horizontal="right"/>
    </xf>
    <xf numFmtId="0" fontId="1" fillId="3" borderId="0" xfId="0" applyFont="1" applyFill="1" applyAlignment="1">
      <alignment horizontal="right"/>
    </xf>
    <xf numFmtId="1" fontId="1" fillId="3" borderId="2" xfId="0" applyNumberFormat="1" applyFont="1" applyFill="1" applyBorder="1" applyAlignment="1">
      <alignment horizontal="center"/>
    </xf>
    <xf numFmtId="2" fontId="1" fillId="3" borderId="2" xfId="0" applyNumberFormat="1" applyFont="1" applyFill="1" applyBorder="1" applyAlignment="1">
      <alignment horizontal="center"/>
    </xf>
    <xf numFmtId="1" fontId="1" fillId="3" borderId="2" xfId="0" applyNumberFormat="1" applyFont="1" applyFill="1" applyBorder="1" applyAlignment="1">
      <alignment horizontal="right"/>
    </xf>
    <xf numFmtId="0" fontId="18" fillId="2" borderId="0" xfId="0" applyFont="1" applyFill="1" applyAlignment="1">
      <alignment horizontal="center"/>
    </xf>
    <xf numFmtId="0" fontId="1" fillId="2" borderId="13" xfId="0" applyFont="1" applyFill="1" applyBorder="1" applyAlignment="1">
      <alignment horizontal="center"/>
    </xf>
    <xf numFmtId="164" fontId="1" fillId="2" borderId="15" xfId="0" applyNumberFormat="1" applyFont="1" applyFill="1" applyBorder="1" applyAlignment="1">
      <alignment horizontal="center"/>
    </xf>
    <xf numFmtId="0" fontId="15" fillId="2" borderId="3" xfId="0" applyFont="1" applyFill="1" applyBorder="1" applyAlignment="1">
      <alignment horizontal="center"/>
    </xf>
    <xf numFmtId="0" fontId="10" fillId="0" borderId="0" xfId="0" applyFont="1"/>
    <xf numFmtId="1" fontId="17" fillId="4" borderId="0" xfId="0" applyNumberFormat="1" applyFont="1" applyFill="1" applyAlignment="1">
      <alignment horizontal="right"/>
    </xf>
    <xf numFmtId="0" fontId="17" fillId="4" borderId="0" xfId="0" applyFont="1" applyFill="1" applyAlignment="1">
      <alignment horizontal="center" vertical="center" wrapText="1"/>
    </xf>
    <xf numFmtId="1" fontId="17" fillId="4" borderId="5" xfId="0" applyNumberFormat="1" applyFont="1" applyFill="1" applyBorder="1" applyAlignment="1">
      <alignment horizontal="right"/>
    </xf>
    <xf numFmtId="0" fontId="17" fillId="4" borderId="0" xfId="0" applyFont="1" applyFill="1" applyAlignment="1">
      <alignment horizontal="center" vertical="center"/>
    </xf>
    <xf numFmtId="1" fontId="14" fillId="4" borderId="1" xfId="0" applyNumberFormat="1" applyFont="1" applyFill="1" applyBorder="1" applyAlignment="1">
      <alignment horizontal="right"/>
    </xf>
    <xf numFmtId="164" fontId="17" fillId="4" borderId="0" xfId="0" applyNumberFormat="1" applyFont="1" applyFill="1" applyAlignment="1">
      <alignment horizontal="right"/>
    </xf>
    <xf numFmtId="164" fontId="14" fillId="4" borderId="0" xfId="0" applyNumberFormat="1" applyFont="1" applyFill="1" applyAlignment="1">
      <alignment horizontal="right"/>
    </xf>
    <xf numFmtId="164" fontId="17" fillId="4" borderId="5" xfId="0" applyNumberFormat="1" applyFont="1" applyFill="1" applyBorder="1" applyAlignment="1">
      <alignment horizontal="center"/>
    </xf>
    <xf numFmtId="164" fontId="17" fillId="4" borderId="0" xfId="0" applyNumberFormat="1" applyFont="1" applyFill="1" applyAlignment="1">
      <alignment horizontal="center"/>
    </xf>
    <xf numFmtId="164" fontId="14" fillId="4" borderId="1" xfId="0" applyNumberFormat="1" applyFont="1" applyFill="1" applyBorder="1" applyAlignment="1">
      <alignment horizontal="center"/>
    </xf>
    <xf numFmtId="1" fontId="17" fillId="4" borderId="5" xfId="0" applyNumberFormat="1" applyFont="1" applyFill="1" applyBorder="1" applyAlignment="1">
      <alignment horizontal="center"/>
    </xf>
    <xf numFmtId="14" fontId="17" fillId="4" borderId="6" xfId="0" applyNumberFormat="1" applyFont="1" applyFill="1" applyBorder="1" applyAlignment="1">
      <alignment horizontal="center"/>
    </xf>
    <xf numFmtId="14" fontId="17" fillId="4" borderId="0" xfId="0" applyNumberFormat="1" applyFont="1" applyFill="1" applyAlignment="1">
      <alignment horizontal="center"/>
    </xf>
    <xf numFmtId="0" fontId="17" fillId="4" borderId="7" xfId="0" applyFont="1" applyFill="1" applyBorder="1" applyAlignment="1">
      <alignment horizontal="center"/>
    </xf>
    <xf numFmtId="0" fontId="17" fillId="4" borderId="0" xfId="0" applyFont="1" applyFill="1" applyAlignment="1">
      <alignment horizontal="center"/>
    </xf>
    <xf numFmtId="0" fontId="17" fillId="4" borderId="3" xfId="0" applyFont="1" applyFill="1" applyBorder="1" applyAlignment="1">
      <alignment horizontal="center"/>
    </xf>
    <xf numFmtId="0" fontId="17" fillId="4" borderId="1" xfId="0" applyFont="1" applyFill="1" applyBorder="1" applyAlignment="1">
      <alignment horizontal="center"/>
    </xf>
    <xf numFmtId="2" fontId="17" fillId="4" borderId="0" xfId="0" applyNumberFormat="1" applyFont="1" applyFill="1" applyAlignment="1">
      <alignment horizontal="right"/>
    </xf>
    <xf numFmtId="2" fontId="14" fillId="4" borderId="0" xfId="0" applyNumberFormat="1" applyFont="1" applyFill="1" applyAlignment="1">
      <alignment horizontal="right"/>
    </xf>
    <xf numFmtId="2" fontId="17" fillId="4" borderId="0" xfId="0" applyNumberFormat="1" applyFont="1" applyFill="1" applyAlignment="1">
      <alignment horizontal="center"/>
    </xf>
    <xf numFmtId="1" fontId="17" fillId="4" borderId="0" xfId="0" applyNumberFormat="1" applyFont="1" applyFill="1" applyAlignment="1">
      <alignment horizontal="center"/>
    </xf>
    <xf numFmtId="14" fontId="17" fillId="4" borderId="0" xfId="0" applyNumberFormat="1" applyFont="1" applyFill="1" applyAlignment="1">
      <alignment horizontal="right"/>
    </xf>
    <xf numFmtId="0" fontId="17" fillId="4" borderId="5" xfId="0" applyFont="1" applyFill="1" applyBorder="1" applyAlignment="1">
      <alignment horizontal="center"/>
    </xf>
    <xf numFmtId="1" fontId="14" fillId="4" borderId="1" xfId="0" applyNumberFormat="1" applyFont="1" applyFill="1" applyBorder="1" applyAlignment="1">
      <alignment horizontal="center"/>
    </xf>
    <xf numFmtId="164" fontId="14" fillId="4" borderId="0" xfId="0" applyNumberFormat="1" applyFont="1" applyFill="1" applyAlignment="1">
      <alignment horizontal="center"/>
    </xf>
    <xf numFmtId="1" fontId="17" fillId="4" borderId="6" xfId="0" applyNumberFormat="1" applyFont="1" applyFill="1" applyBorder="1" applyAlignment="1">
      <alignment horizontal="center"/>
    </xf>
    <xf numFmtId="14" fontId="17" fillId="4" borderId="11" xfId="0" applyNumberFormat="1" applyFont="1" applyFill="1" applyBorder="1" applyAlignment="1">
      <alignment horizontal="center"/>
    </xf>
    <xf numFmtId="0" fontId="17" fillId="4" borderId="0" xfId="0" applyFont="1" applyFill="1" applyAlignment="1">
      <alignment horizontal="right"/>
    </xf>
    <xf numFmtId="0" fontId="14" fillId="4" borderId="1" xfId="0" applyFont="1" applyFill="1" applyBorder="1" applyAlignment="1">
      <alignment horizontal="center"/>
    </xf>
    <xf numFmtId="2" fontId="17" fillId="4" borderId="0" xfId="0" applyNumberFormat="1" applyFont="1" applyFill="1"/>
    <xf numFmtId="0" fontId="17" fillId="4" borderId="6" xfId="0" applyFont="1" applyFill="1" applyBorder="1" applyAlignment="1">
      <alignment horizontal="center"/>
    </xf>
    <xf numFmtId="0" fontId="17" fillId="4" borderId="7" xfId="0" applyFont="1" applyFill="1" applyBorder="1" applyAlignment="1">
      <alignment horizontal="left"/>
    </xf>
    <xf numFmtId="0" fontId="17" fillId="4" borderId="0" xfId="0" applyFont="1" applyFill="1" applyAlignment="1">
      <alignment horizontal="left"/>
    </xf>
    <xf numFmtId="0" fontId="17" fillId="4" borderId="17" xfId="0" applyFont="1" applyFill="1" applyBorder="1" applyAlignment="1">
      <alignment horizontal="center"/>
    </xf>
    <xf numFmtId="0" fontId="17" fillId="4" borderId="5" xfId="0" applyFont="1" applyFill="1" applyBorder="1" applyAlignment="1">
      <alignment horizontal="right"/>
    </xf>
    <xf numFmtId="0" fontId="14" fillId="4" borderId="1" xfId="0" applyFont="1" applyFill="1" applyBorder="1" applyAlignment="1">
      <alignment horizontal="right"/>
    </xf>
    <xf numFmtId="164" fontId="17" fillId="4" borderId="5" xfId="0" applyNumberFormat="1" applyFont="1" applyFill="1" applyBorder="1" applyAlignment="1">
      <alignment horizontal="right"/>
    </xf>
    <xf numFmtId="164" fontId="14" fillId="4" borderId="1" xfId="0" applyNumberFormat="1" applyFont="1" applyFill="1" applyBorder="1" applyAlignment="1">
      <alignment horizontal="right"/>
    </xf>
    <xf numFmtId="0" fontId="17" fillId="4" borderId="17" xfId="0" applyFont="1" applyFill="1" applyBorder="1" applyAlignment="1">
      <alignment horizontal="left"/>
    </xf>
    <xf numFmtId="0" fontId="17" fillId="4" borderId="4" xfId="0" applyFont="1" applyFill="1" applyBorder="1" applyAlignment="1">
      <alignment horizontal="center"/>
    </xf>
    <xf numFmtId="0" fontId="17" fillId="4" borderId="18" xfId="0" applyFont="1" applyFill="1" applyBorder="1" applyAlignment="1">
      <alignment horizontal="center"/>
    </xf>
    <xf numFmtId="0" fontId="16" fillId="2" borderId="0" xfId="0" applyFont="1" applyFill="1" applyAlignment="1">
      <alignment horizontal="center"/>
    </xf>
    <xf numFmtId="2" fontId="1" fillId="2" borderId="1" xfId="0" applyNumberFormat="1" applyFont="1" applyFill="1" applyBorder="1" applyAlignment="1">
      <alignment horizontal="center"/>
    </xf>
    <xf numFmtId="2" fontId="1" fillId="2" borderId="1" xfId="0" applyNumberFormat="1" applyFont="1" applyFill="1" applyBorder="1"/>
    <xf numFmtId="0" fontId="1" fillId="2" borderId="1" xfId="0" applyFont="1" applyFill="1" applyBorder="1"/>
    <xf numFmtId="0" fontId="1" fillId="3" borderId="0" xfId="0" applyFont="1" applyFill="1" applyAlignment="1">
      <alignment horizontal="center"/>
    </xf>
    <xf numFmtId="0" fontId="1" fillId="3" borderId="5" xfId="0" applyFont="1" applyFill="1" applyBorder="1" applyAlignment="1">
      <alignment horizontal="right"/>
    </xf>
    <xf numFmtId="0" fontId="8" fillId="3" borderId="1" xfId="0" applyFont="1" applyFill="1" applyBorder="1" applyAlignment="1">
      <alignment horizontal="right"/>
    </xf>
    <xf numFmtId="164" fontId="1" fillId="3" borderId="0" xfId="0" applyNumberFormat="1" applyFont="1" applyFill="1" applyAlignment="1">
      <alignment horizontal="right"/>
    </xf>
    <xf numFmtId="164" fontId="8" fillId="3" borderId="0" xfId="0" applyNumberFormat="1" applyFont="1" applyFill="1" applyAlignment="1">
      <alignment horizontal="right"/>
    </xf>
    <xf numFmtId="164" fontId="1" fillId="3" borderId="5" xfId="0" applyNumberFormat="1" applyFont="1" applyFill="1" applyBorder="1" applyAlignment="1">
      <alignment horizontal="right"/>
    </xf>
    <xf numFmtId="164" fontId="8" fillId="3" borderId="1" xfId="0" applyNumberFormat="1" applyFont="1" applyFill="1" applyBorder="1" applyAlignment="1">
      <alignment horizontal="right"/>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0" fontId="1" fillId="5" borderId="4" xfId="0" applyFont="1" applyFill="1" applyBorder="1" applyAlignment="1">
      <alignment horizontal="center"/>
    </xf>
    <xf numFmtId="0" fontId="1" fillId="5" borderId="12" xfId="0" applyFont="1" applyFill="1" applyBorder="1" applyAlignment="1">
      <alignment horizontal="center" vertical="center"/>
    </xf>
    <xf numFmtId="0" fontId="1" fillId="5" borderId="2" xfId="0" applyFont="1" applyFill="1" applyBorder="1" applyAlignment="1">
      <alignment horizontal="center" vertical="center"/>
    </xf>
    <xf numFmtId="0" fontId="8" fillId="5" borderId="10" xfId="0" applyFont="1" applyFill="1" applyBorder="1" applyAlignment="1">
      <alignment horizontal="center" vertical="center"/>
    </xf>
    <xf numFmtId="0" fontId="8" fillId="5" borderId="2" xfId="0" applyFont="1" applyFill="1" applyBorder="1" applyAlignment="1">
      <alignment horizontal="center" vertical="center"/>
    </xf>
    <xf numFmtId="0" fontId="1" fillId="5" borderId="2" xfId="0" applyFont="1" applyFill="1" applyBorder="1" applyAlignment="1">
      <alignment horizontal="center"/>
    </xf>
    <xf numFmtId="0" fontId="1" fillId="5" borderId="8" xfId="0" applyFont="1" applyFill="1" applyBorder="1" applyAlignment="1">
      <alignment horizontal="center"/>
    </xf>
    <xf numFmtId="0" fontId="1" fillId="5" borderId="9" xfId="0" applyFont="1" applyFill="1" applyBorder="1" applyAlignment="1">
      <alignment horizontal="center"/>
    </xf>
    <xf numFmtId="0" fontId="1" fillId="5" borderId="10" xfId="0" applyFont="1" applyFill="1" applyBorder="1" applyAlignment="1">
      <alignment horizontal="center"/>
    </xf>
    <xf numFmtId="0" fontId="1" fillId="3" borderId="6" xfId="0" applyFont="1" applyFill="1" applyBorder="1" applyAlignment="1">
      <alignment horizontal="center"/>
    </xf>
    <xf numFmtId="0" fontId="16" fillId="3" borderId="0" xfId="0" applyFont="1" applyFill="1" applyAlignment="1">
      <alignment horizontal="center"/>
    </xf>
    <xf numFmtId="0" fontId="17" fillId="3" borderId="0" xfId="0" applyFont="1" applyFill="1" applyAlignment="1">
      <alignment horizontal="center"/>
    </xf>
    <xf numFmtId="1" fontId="1" fillId="5" borderId="4" xfId="0" applyNumberFormat="1" applyFont="1" applyFill="1" applyBorder="1" applyAlignment="1">
      <alignment horizontal="right"/>
    </xf>
    <xf numFmtId="2" fontId="4" fillId="5" borderId="4" xfId="0" applyNumberFormat="1" applyFont="1" applyFill="1" applyBorder="1"/>
    <xf numFmtId="0" fontId="1" fillId="5" borderId="4" xfId="0" applyFont="1" applyFill="1" applyBorder="1" applyAlignment="1">
      <alignment horizontal="right"/>
    </xf>
    <xf numFmtId="2" fontId="4" fillId="5" borderId="4" xfId="0" applyNumberFormat="1" applyFont="1" applyFill="1" applyBorder="1" applyAlignment="1">
      <alignment horizontal="right"/>
    </xf>
    <xf numFmtId="1" fontId="1" fillId="5" borderId="0" xfId="0" applyNumberFormat="1" applyFont="1" applyFill="1" applyAlignment="1">
      <alignment horizontal="right"/>
    </xf>
    <xf numFmtId="2" fontId="1" fillId="5" borderId="0" xfId="0" applyNumberFormat="1" applyFont="1" applyFill="1"/>
    <xf numFmtId="2" fontId="4" fillId="5" borderId="0" xfId="0" applyNumberFormat="1" applyFont="1" applyFill="1"/>
    <xf numFmtId="0" fontId="1" fillId="5" borderId="0" xfId="0" applyFont="1" applyFill="1" applyAlignment="1">
      <alignment horizontal="right"/>
    </xf>
    <xf numFmtId="2" fontId="1" fillId="5" borderId="0" xfId="0" applyNumberFormat="1" applyFont="1" applyFill="1" applyAlignment="1">
      <alignment horizontal="left"/>
    </xf>
    <xf numFmtId="1" fontId="4" fillId="5" borderId="0" xfId="0" applyNumberFormat="1" applyFont="1" applyFill="1" applyAlignment="1">
      <alignment horizontal="right"/>
    </xf>
    <xf numFmtId="2" fontId="4" fillId="5" borderId="0" xfId="0" applyNumberFormat="1" applyFont="1" applyFill="1" applyAlignment="1">
      <alignment horizontal="right"/>
    </xf>
    <xf numFmtId="1" fontId="1" fillId="5" borderId="2" xfId="0" applyNumberFormat="1" applyFont="1" applyFill="1" applyBorder="1" applyAlignment="1">
      <alignment horizontal="center"/>
    </xf>
    <xf numFmtId="2" fontId="1" fillId="5" borderId="2" xfId="0" applyNumberFormat="1" applyFont="1" applyFill="1" applyBorder="1" applyAlignment="1">
      <alignment horizontal="right"/>
    </xf>
    <xf numFmtId="2" fontId="13" fillId="5" borderId="2" xfId="0" applyNumberFormat="1" applyFont="1" applyFill="1" applyBorder="1" applyAlignment="1">
      <alignment horizontal="right"/>
    </xf>
    <xf numFmtId="0" fontId="1" fillId="5" borderId="2" xfId="0" applyFont="1" applyFill="1" applyBorder="1" applyAlignment="1">
      <alignment horizontal="right"/>
    </xf>
    <xf numFmtId="2" fontId="1" fillId="5" borderId="2" xfId="0" applyNumberFormat="1" applyFont="1" applyFill="1" applyBorder="1" applyAlignment="1">
      <alignment horizontal="center"/>
    </xf>
    <xf numFmtId="1" fontId="1" fillId="5" borderId="2" xfId="0" applyNumberFormat="1" applyFont="1" applyFill="1" applyBorder="1" applyAlignment="1">
      <alignment horizontal="right"/>
    </xf>
    <xf numFmtId="0" fontId="8" fillId="5" borderId="2" xfId="0" applyFont="1" applyFill="1" applyBorder="1" applyAlignment="1">
      <alignment horizontal="right"/>
    </xf>
    <xf numFmtId="1" fontId="1" fillId="3" borderId="5" xfId="0" applyNumberFormat="1" applyFont="1" applyFill="1" applyBorder="1" applyAlignment="1">
      <alignment horizontal="right"/>
    </xf>
    <xf numFmtId="1" fontId="8" fillId="3" borderId="1" xfId="0" applyNumberFormat="1" applyFont="1" applyFill="1" applyBorder="1" applyAlignment="1">
      <alignment horizontal="right"/>
    </xf>
    <xf numFmtId="164" fontId="1" fillId="3" borderId="5" xfId="0" applyNumberFormat="1" applyFont="1" applyFill="1" applyBorder="1" applyAlignment="1">
      <alignment horizontal="center"/>
    </xf>
    <xf numFmtId="164" fontId="1" fillId="3" borderId="0" xfId="0" applyNumberFormat="1" applyFont="1" applyFill="1" applyAlignment="1">
      <alignment horizontal="center"/>
    </xf>
    <xf numFmtId="164" fontId="8" fillId="3" borderId="1" xfId="0" applyNumberFormat="1" applyFont="1" applyFill="1" applyBorder="1" applyAlignment="1">
      <alignment horizontal="center"/>
    </xf>
    <xf numFmtId="1" fontId="1" fillId="3" borderId="0" xfId="0" applyNumberFormat="1" applyFont="1" applyFill="1" applyAlignment="1">
      <alignment horizontal="center"/>
    </xf>
    <xf numFmtId="2" fontId="1" fillId="3" borderId="0" xfId="0" applyNumberFormat="1" applyFont="1" applyFill="1" applyAlignment="1">
      <alignment horizontal="center"/>
    </xf>
    <xf numFmtId="2" fontId="1" fillId="3" borderId="1" xfId="0" applyNumberFormat="1" applyFont="1" applyFill="1" applyBorder="1" applyAlignment="1">
      <alignment horizontal="center"/>
    </xf>
    <xf numFmtId="1" fontId="15" fillId="3" borderId="0" xfId="0" applyNumberFormat="1" applyFont="1" applyFill="1" applyAlignment="1">
      <alignment horizontal="right"/>
    </xf>
    <xf numFmtId="1" fontId="1" fillId="3" borderId="6" xfId="0" applyNumberFormat="1" applyFont="1" applyFill="1" applyBorder="1" applyAlignment="1">
      <alignment horizontal="center"/>
    </xf>
    <xf numFmtId="1" fontId="1" fillId="3" borderId="12" xfId="0" applyNumberFormat="1" applyFont="1" applyFill="1" applyBorder="1" applyAlignment="1">
      <alignment horizontal="right"/>
    </xf>
    <xf numFmtId="1" fontId="8" fillId="3" borderId="10" xfId="0" applyNumberFormat="1" applyFont="1" applyFill="1" applyBorder="1" applyAlignment="1">
      <alignment horizontal="right"/>
    </xf>
    <xf numFmtId="164" fontId="1" fillId="3" borderId="2" xfId="0" applyNumberFormat="1" applyFont="1" applyFill="1" applyBorder="1" applyAlignment="1">
      <alignment horizontal="right"/>
    </xf>
    <xf numFmtId="164" fontId="8" fillId="3" borderId="2" xfId="0" applyNumberFormat="1" applyFont="1" applyFill="1" applyBorder="1" applyAlignment="1">
      <alignment horizontal="right"/>
    </xf>
    <xf numFmtId="164" fontId="1" fillId="3" borderId="12" xfId="0" applyNumberFormat="1" applyFont="1" applyFill="1" applyBorder="1" applyAlignment="1">
      <alignment horizontal="center"/>
    </xf>
    <xf numFmtId="164" fontId="1" fillId="3" borderId="2" xfId="0" applyNumberFormat="1" applyFont="1" applyFill="1" applyBorder="1" applyAlignment="1">
      <alignment horizontal="center"/>
    </xf>
    <xf numFmtId="164" fontId="8" fillId="3" borderId="10" xfId="0" applyNumberFormat="1" applyFont="1" applyFill="1" applyBorder="1" applyAlignment="1">
      <alignment horizontal="center"/>
    </xf>
    <xf numFmtId="2" fontId="1" fillId="3" borderId="10" xfId="0" applyNumberFormat="1" applyFont="1" applyFill="1" applyBorder="1" applyAlignment="1">
      <alignment horizontal="center"/>
    </xf>
    <xf numFmtId="0" fontId="1" fillId="3" borderId="0" xfId="0" applyFont="1" applyFill="1"/>
    <xf numFmtId="0" fontId="1" fillId="3" borderId="7" xfId="0" applyFont="1" applyFill="1" applyBorder="1"/>
    <xf numFmtId="0" fontId="1" fillId="3" borderId="3" xfId="0" applyFont="1" applyFill="1" applyBorder="1"/>
    <xf numFmtId="0" fontId="1" fillId="3" borderId="1" xfId="0" applyFont="1" applyFill="1" applyBorder="1"/>
    <xf numFmtId="0" fontId="1" fillId="3" borderId="5" xfId="0" applyFont="1" applyFill="1" applyBorder="1" applyAlignment="1">
      <alignment horizontal="center"/>
    </xf>
    <xf numFmtId="1" fontId="8" fillId="3" borderId="0" xfId="0" applyNumberFormat="1" applyFont="1" applyFill="1" applyAlignment="1">
      <alignment horizontal="center"/>
    </xf>
    <xf numFmtId="164" fontId="8" fillId="3" borderId="0" xfId="0" applyNumberFormat="1" applyFont="1" applyFill="1" applyAlignment="1">
      <alignment horizontal="center"/>
    </xf>
    <xf numFmtId="0" fontId="17" fillId="3" borderId="1" xfId="0" applyFont="1" applyFill="1" applyBorder="1" applyAlignment="1">
      <alignment horizontal="center"/>
    </xf>
    <xf numFmtId="1" fontId="8" fillId="3" borderId="2" xfId="0" applyNumberFormat="1" applyFont="1" applyFill="1" applyBorder="1" applyAlignment="1">
      <alignment horizontal="center"/>
    </xf>
    <xf numFmtId="164" fontId="8" fillId="3" borderId="2" xfId="0" applyNumberFormat="1" applyFont="1" applyFill="1" applyBorder="1" applyAlignment="1">
      <alignment horizontal="center"/>
    </xf>
    <xf numFmtId="1" fontId="1" fillId="3" borderId="13" xfId="0" applyNumberFormat="1" applyFont="1" applyFill="1" applyBorder="1" applyAlignment="1">
      <alignment horizontal="center"/>
    </xf>
    <xf numFmtId="0" fontId="8" fillId="3" borderId="0" xfId="0" applyFont="1" applyFill="1" applyAlignment="1">
      <alignment horizontal="center"/>
    </xf>
    <xf numFmtId="0" fontId="8" fillId="3" borderId="1" xfId="0" applyFont="1" applyFill="1" applyBorder="1" applyAlignment="1">
      <alignment horizontal="center"/>
    </xf>
    <xf numFmtId="0" fontId="8" fillId="3" borderId="7" xfId="0" applyFont="1" applyFill="1" applyBorder="1" applyAlignment="1">
      <alignment horizontal="left"/>
    </xf>
    <xf numFmtId="1" fontId="1" fillId="3" borderId="0" xfId="0" applyNumberFormat="1" applyFont="1" applyFill="1" applyAlignment="1">
      <alignment horizontal="center" vertical="top"/>
    </xf>
    <xf numFmtId="0" fontId="15" fillId="3" borderId="0" xfId="0" applyFont="1" applyFill="1" applyAlignment="1">
      <alignment horizontal="center"/>
    </xf>
    <xf numFmtId="1" fontId="16" fillId="3" borderId="0" xfId="0" applyNumberFormat="1" applyFont="1" applyFill="1" applyAlignment="1">
      <alignment horizontal="center" vertical="top"/>
    </xf>
    <xf numFmtId="1" fontId="16" fillId="3" borderId="0" xfId="0" applyNumberFormat="1" applyFont="1" applyFill="1" applyAlignment="1">
      <alignment horizontal="center"/>
    </xf>
    <xf numFmtId="0" fontId="15" fillId="3" borderId="1" xfId="0" applyFont="1" applyFill="1" applyBorder="1" applyAlignment="1">
      <alignment horizontal="center"/>
    </xf>
    <xf numFmtId="164" fontId="1" fillId="3" borderId="3" xfId="0" applyNumberFormat="1" applyFont="1" applyFill="1" applyBorder="1" applyAlignment="1">
      <alignment horizontal="center"/>
    </xf>
    <xf numFmtId="0" fontId="1" fillId="3" borderId="12" xfId="0" applyFont="1" applyFill="1" applyBorder="1" applyAlignment="1">
      <alignment horizontal="center"/>
    </xf>
    <xf numFmtId="0" fontId="8" fillId="3" borderId="10" xfId="0" applyFont="1" applyFill="1" applyBorder="1" applyAlignment="1">
      <alignment horizontal="center"/>
    </xf>
    <xf numFmtId="0" fontId="1" fillId="3" borderId="7" xfId="0" applyFont="1" applyFill="1" applyBorder="1" applyAlignment="1">
      <alignment horizontal="left"/>
    </xf>
    <xf numFmtId="0" fontId="18" fillId="3" borderId="0" xfId="0" applyFont="1" applyFill="1" applyAlignment="1">
      <alignment horizontal="center"/>
    </xf>
    <xf numFmtId="0" fontId="1" fillId="3" borderId="0" xfId="0" applyFont="1" applyFill="1" applyAlignment="1">
      <alignment horizontal="left"/>
    </xf>
    <xf numFmtId="2" fontId="1" fillId="3" borderId="0" xfId="0" applyNumberFormat="1" applyFont="1" applyFill="1" applyAlignment="1">
      <alignment horizontal="right"/>
    </xf>
    <xf numFmtId="0" fontId="15" fillId="3" borderId="3" xfId="0" applyFont="1" applyFill="1" applyBorder="1" applyAlignment="1">
      <alignment horizontal="center"/>
    </xf>
    <xf numFmtId="0" fontId="15" fillId="3" borderId="7" xfId="0" applyFont="1" applyFill="1" applyBorder="1" applyAlignment="1">
      <alignment horizontal="center"/>
    </xf>
    <xf numFmtId="0" fontId="1" fillId="3" borderId="16" xfId="0" applyFont="1" applyFill="1" applyBorder="1" applyAlignment="1">
      <alignment horizontal="center"/>
    </xf>
    <xf numFmtId="0" fontId="1" fillId="3" borderId="13" xfId="0" applyFont="1" applyFill="1" applyBorder="1" applyAlignment="1">
      <alignment horizontal="center"/>
    </xf>
    <xf numFmtId="0" fontId="8" fillId="3" borderId="15" xfId="0" applyFont="1" applyFill="1" applyBorder="1" applyAlignment="1">
      <alignment horizontal="center"/>
    </xf>
    <xf numFmtId="164" fontId="1" fillId="3" borderId="14" xfId="0" applyNumberFormat="1" applyFont="1" applyFill="1" applyBorder="1" applyAlignment="1">
      <alignment horizontal="center"/>
    </xf>
    <xf numFmtId="164" fontId="1" fillId="3" borderId="4" xfId="0" applyNumberFormat="1" applyFont="1" applyFill="1" applyBorder="1" applyAlignment="1">
      <alignment horizontal="center"/>
    </xf>
    <xf numFmtId="164" fontId="8" fillId="3" borderId="15" xfId="0" applyNumberFormat="1" applyFont="1" applyFill="1" applyBorder="1" applyAlignment="1">
      <alignment horizontal="center"/>
    </xf>
    <xf numFmtId="0" fontId="1" fillId="3" borderId="17" xfId="0" applyFont="1" applyFill="1" applyBorder="1" applyAlignment="1">
      <alignment horizontal="center"/>
    </xf>
    <xf numFmtId="0" fontId="1" fillId="3" borderId="18" xfId="0" applyFont="1" applyFill="1" applyBorder="1" applyAlignment="1">
      <alignment horizontal="center"/>
    </xf>
    <xf numFmtId="2" fontId="14" fillId="0" borderId="0" xfId="0" applyNumberFormat="1" applyFont="1"/>
    <xf numFmtId="0" fontId="1" fillId="0" borderId="0" xfId="0" applyFont="1"/>
    <xf numFmtId="0" fontId="16" fillId="2" borderId="5" xfId="0" applyFont="1" applyFill="1" applyBorder="1" applyAlignment="1">
      <alignment horizontal="center"/>
    </xf>
    <xf numFmtId="0" fontId="19" fillId="2" borderId="1" xfId="0" applyFont="1" applyFill="1" applyBorder="1" applyAlignment="1">
      <alignment horizontal="center"/>
    </xf>
    <xf numFmtId="0" fontId="16" fillId="3" borderId="5" xfId="0" applyFont="1" applyFill="1" applyBorder="1" applyAlignment="1">
      <alignment horizontal="center"/>
    </xf>
    <xf numFmtId="0" fontId="19" fillId="3" borderId="1" xfId="0" applyFont="1" applyFill="1" applyBorder="1" applyAlignment="1">
      <alignment horizontal="center"/>
    </xf>
    <xf numFmtId="14" fontId="1" fillId="2" borderId="0" xfId="0" applyNumberFormat="1" applyFont="1" applyFill="1" applyAlignment="1">
      <alignment horizontal="left"/>
    </xf>
    <xf numFmtId="1" fontId="15" fillId="2" borderId="0" xfId="0" applyNumberFormat="1" applyFont="1" applyFill="1"/>
    <xf numFmtId="0" fontId="20" fillId="0" borderId="0" xfId="0" applyFont="1" applyAlignment="1">
      <alignment horizontal="center"/>
    </xf>
    <xf numFmtId="0" fontId="8" fillId="2" borderId="0" xfId="0" applyFont="1" applyFill="1" applyAlignment="1">
      <alignment horizontal="left" vertical="center"/>
    </xf>
    <xf numFmtId="0" fontId="1" fillId="6" borderId="0" xfId="0" applyFont="1" applyFill="1" applyAlignment="1">
      <alignment horizontal="center"/>
    </xf>
    <xf numFmtId="165" fontId="16" fillId="2" borderId="0" xfId="0" applyNumberFormat="1" applyFont="1" applyFill="1" applyAlignment="1">
      <alignment horizontal="center"/>
    </xf>
    <xf numFmtId="165" fontId="1" fillId="3" borderId="0" xfId="0" applyNumberFormat="1" applyFont="1" applyFill="1" applyAlignment="1">
      <alignment horizontal="right"/>
    </xf>
    <xf numFmtId="165" fontId="1" fillId="2" borderId="0" xfId="0" applyNumberFormat="1" applyFont="1" applyFill="1" applyAlignment="1">
      <alignment horizontal="right"/>
    </xf>
    <xf numFmtId="165" fontId="15" fillId="2" borderId="0" xfId="0" applyNumberFormat="1" applyFont="1" applyFill="1" applyAlignment="1">
      <alignment horizontal="right"/>
    </xf>
    <xf numFmtId="165" fontId="1" fillId="3" borderId="2" xfId="0" applyNumberFormat="1" applyFont="1" applyFill="1" applyBorder="1" applyAlignment="1">
      <alignment horizontal="right"/>
    </xf>
    <xf numFmtId="165" fontId="1" fillId="2" borderId="0" xfId="0" applyNumberFormat="1" applyFont="1" applyFill="1"/>
    <xf numFmtId="165" fontId="1" fillId="3" borderId="0" xfId="0" applyNumberFormat="1" applyFont="1" applyFill="1" applyAlignment="1">
      <alignment horizontal="center"/>
    </xf>
    <xf numFmtId="165" fontId="15" fillId="3" borderId="0" xfId="0" applyNumberFormat="1" applyFont="1" applyFill="1" applyAlignment="1">
      <alignment horizontal="right"/>
    </xf>
    <xf numFmtId="165" fontId="1" fillId="3" borderId="6" xfId="0" applyNumberFormat="1" applyFont="1" applyFill="1" applyBorder="1" applyAlignment="1">
      <alignment horizontal="center"/>
    </xf>
    <xf numFmtId="165" fontId="1" fillId="2" borderId="6" xfId="0" applyNumberFormat="1" applyFont="1" applyFill="1" applyBorder="1" applyAlignment="1">
      <alignment horizontal="center"/>
    </xf>
    <xf numFmtId="165" fontId="1" fillId="3" borderId="13" xfId="0" applyNumberFormat="1" applyFont="1" applyFill="1" applyBorder="1" applyAlignment="1">
      <alignment horizontal="center"/>
    </xf>
    <xf numFmtId="165" fontId="1" fillId="3" borderId="5" xfId="0" applyNumberFormat="1" applyFont="1" applyFill="1" applyBorder="1" applyAlignment="1">
      <alignment horizontal="center"/>
    </xf>
    <xf numFmtId="165" fontId="17" fillId="4" borderId="0" xfId="0" applyNumberFormat="1" applyFont="1" applyFill="1" applyAlignment="1">
      <alignment horizontal="right"/>
    </xf>
    <xf numFmtId="165" fontId="17" fillId="2" borderId="0" xfId="0" applyNumberFormat="1" applyFont="1" applyFill="1" applyAlignment="1">
      <alignment horizontal="right"/>
    </xf>
    <xf numFmtId="165" fontId="17" fillId="3" borderId="0" xfId="0" applyNumberFormat="1" applyFont="1" applyFill="1" applyAlignment="1">
      <alignment horizontal="right"/>
    </xf>
    <xf numFmtId="165" fontId="1" fillId="2" borderId="11" xfId="0" applyNumberFormat="1" applyFont="1" applyFill="1" applyBorder="1" applyAlignment="1">
      <alignment horizontal="center"/>
    </xf>
    <xf numFmtId="165" fontId="1" fillId="3" borderId="2" xfId="0" applyNumberFormat="1" applyFont="1" applyFill="1" applyBorder="1" applyAlignment="1">
      <alignment horizontal="center"/>
    </xf>
    <xf numFmtId="165" fontId="1" fillId="3" borderId="0" xfId="0" applyNumberFormat="1" applyFont="1" applyFill="1"/>
    <xf numFmtId="165" fontId="1" fillId="2" borderId="0" xfId="0" applyNumberFormat="1" applyFont="1" applyFill="1" applyAlignment="1">
      <alignment horizontal="center"/>
    </xf>
    <xf numFmtId="165" fontId="17" fillId="4" borderId="0" xfId="0" applyNumberFormat="1" applyFont="1" applyFill="1" applyAlignment="1">
      <alignment horizontal="center"/>
    </xf>
    <xf numFmtId="165" fontId="17" fillId="4" borderId="11" xfId="0" applyNumberFormat="1" applyFont="1" applyFill="1" applyBorder="1" applyAlignment="1">
      <alignment horizontal="center"/>
    </xf>
    <xf numFmtId="165" fontId="1" fillId="3" borderId="11" xfId="0" applyNumberFormat="1" applyFont="1" applyFill="1" applyBorder="1" applyAlignment="1">
      <alignment horizontal="center"/>
    </xf>
    <xf numFmtId="165" fontId="1" fillId="3" borderId="19" xfId="0" applyNumberFormat="1" applyFont="1" applyFill="1" applyBorder="1" applyAlignment="1">
      <alignment horizontal="center"/>
    </xf>
    <xf numFmtId="165" fontId="17" fillId="2" borderId="0" xfId="0" applyNumberFormat="1" applyFont="1" applyFill="1" applyAlignment="1">
      <alignment horizontal="center"/>
    </xf>
    <xf numFmtId="165" fontId="17" fillId="3" borderId="0" xfId="0" applyNumberFormat="1" applyFont="1" applyFill="1" applyAlignment="1">
      <alignment horizontal="center"/>
    </xf>
    <xf numFmtId="165" fontId="1" fillId="2" borderId="2" xfId="0" applyNumberFormat="1" applyFont="1" applyFill="1" applyBorder="1" applyAlignment="1">
      <alignment horizontal="center"/>
    </xf>
    <xf numFmtId="165" fontId="15" fillId="2" borderId="0" xfId="0" applyNumberFormat="1" applyFont="1" applyFill="1" applyAlignment="1">
      <alignment horizontal="center"/>
    </xf>
    <xf numFmtId="165" fontId="1" fillId="2" borderId="13" xfId="0" applyNumberFormat="1" applyFont="1" applyFill="1" applyBorder="1" applyAlignment="1">
      <alignment horizontal="center"/>
    </xf>
    <xf numFmtId="165" fontId="15" fillId="3" borderId="0" xfId="0" applyNumberFormat="1" applyFont="1" applyFill="1" applyAlignment="1">
      <alignment horizontal="center"/>
    </xf>
    <xf numFmtId="165" fontId="16" fillId="3" borderId="0" xfId="0" applyNumberFormat="1" applyFont="1" applyFill="1" applyAlignment="1">
      <alignment horizontal="center"/>
    </xf>
    <xf numFmtId="165" fontId="18" fillId="2" borderId="0" xfId="0" applyNumberFormat="1" applyFont="1" applyFill="1" applyAlignment="1">
      <alignment horizontal="center"/>
    </xf>
    <xf numFmtId="165" fontId="17" fillId="4" borderId="6" xfId="0" applyNumberFormat="1" applyFont="1" applyFill="1" applyBorder="1" applyAlignment="1">
      <alignment horizontal="center"/>
    </xf>
    <xf numFmtId="165" fontId="15" fillId="2" borderId="2" xfId="0" applyNumberFormat="1" applyFont="1" applyFill="1" applyBorder="1" applyAlignment="1">
      <alignment horizontal="center"/>
    </xf>
    <xf numFmtId="165" fontId="18" fillId="3" borderId="0" xfId="0" applyNumberFormat="1" applyFont="1" applyFill="1" applyAlignment="1">
      <alignment horizontal="center"/>
    </xf>
    <xf numFmtId="165" fontId="15" fillId="0" borderId="0" xfId="0" applyNumberFormat="1" applyFont="1" applyAlignment="1">
      <alignment horizontal="center"/>
    </xf>
    <xf numFmtId="165" fontId="1" fillId="2" borderId="4" xfId="0" applyNumberFormat="1" applyFont="1" applyFill="1" applyBorder="1" applyAlignment="1">
      <alignment horizontal="center"/>
    </xf>
    <xf numFmtId="165" fontId="1" fillId="2" borderId="16" xfId="0" applyNumberFormat="1" applyFont="1" applyFill="1" applyBorder="1" applyAlignment="1">
      <alignment horizontal="center"/>
    </xf>
    <xf numFmtId="165" fontId="1" fillId="2" borderId="0" xfId="0" applyNumberFormat="1" applyFont="1" applyFill="1" applyAlignment="1">
      <alignment horizontal="center" vertical="center"/>
    </xf>
    <xf numFmtId="165" fontId="17" fillId="2" borderId="0" xfId="0" applyNumberFormat="1" applyFont="1" applyFill="1" applyAlignment="1">
      <alignment horizontal="center" vertical="center"/>
    </xf>
    <xf numFmtId="165" fontId="16" fillId="2" borderId="0" xfId="0" applyNumberFormat="1" applyFont="1" applyFill="1" applyAlignment="1">
      <alignment horizontal="center" vertical="center"/>
    </xf>
    <xf numFmtId="165" fontId="1" fillId="2" borderId="0" xfId="0" quotePrefix="1" applyNumberFormat="1" applyFont="1" applyFill="1" applyAlignment="1">
      <alignment horizontal="center"/>
    </xf>
    <xf numFmtId="165" fontId="15" fillId="2" borderId="5" xfId="0" applyNumberFormat="1" applyFont="1" applyFill="1" applyBorder="1" applyAlignment="1">
      <alignment horizontal="center"/>
    </xf>
    <xf numFmtId="1" fontId="1" fillId="2" borderId="1" xfId="0" applyNumberFormat="1" applyFont="1" applyFill="1" applyBorder="1"/>
    <xf numFmtId="1" fontId="1" fillId="3" borderId="1" xfId="0" applyNumberFormat="1" applyFont="1" applyFill="1" applyBorder="1" applyAlignment="1">
      <alignment horizontal="right"/>
    </xf>
    <xf numFmtId="165" fontId="1" fillId="2" borderId="1" xfId="0" applyNumberFormat="1" applyFont="1" applyFill="1" applyBorder="1" applyAlignment="1">
      <alignment horizontal="center"/>
    </xf>
    <xf numFmtId="2" fontId="1" fillId="3" borderId="7" xfId="0" applyNumberFormat="1" applyFont="1" applyFill="1" applyBorder="1" applyAlignment="1">
      <alignment horizontal="center"/>
    </xf>
    <xf numFmtId="2" fontId="1" fillId="3" borderId="23" xfId="0" applyNumberFormat="1" applyFont="1" applyFill="1" applyBorder="1" applyAlignment="1">
      <alignment horizontal="center"/>
    </xf>
    <xf numFmtId="0" fontId="8" fillId="2" borderId="21" xfId="0" applyFont="1" applyFill="1" applyBorder="1" applyAlignment="1">
      <alignment horizontal="left" vertical="center"/>
    </xf>
    <xf numFmtId="0" fontId="1" fillId="3" borderId="21" xfId="0" applyFont="1" applyFill="1" applyBorder="1" applyAlignment="1">
      <alignment horizontal="center" vertical="center"/>
    </xf>
    <xf numFmtId="0" fontId="1" fillId="3" borderId="22" xfId="0" applyFont="1" applyFill="1" applyBorder="1" applyAlignment="1">
      <alignment horizontal="center"/>
    </xf>
    <xf numFmtId="0" fontId="1" fillId="2" borderId="21" xfId="0" applyFont="1" applyFill="1" applyBorder="1" applyAlignment="1">
      <alignment horizontal="center"/>
    </xf>
    <xf numFmtId="0" fontId="1" fillId="3" borderId="21" xfId="0" applyFont="1" applyFill="1" applyBorder="1" applyAlignment="1">
      <alignment horizontal="center"/>
    </xf>
    <xf numFmtId="0" fontId="1" fillId="2" borderId="22" xfId="0" applyFont="1" applyFill="1" applyBorder="1" applyAlignment="1">
      <alignment horizontal="center"/>
    </xf>
    <xf numFmtId="0" fontId="1" fillId="3" borderId="24" xfId="0" applyFont="1" applyFill="1" applyBorder="1" applyAlignment="1">
      <alignment horizontal="center"/>
    </xf>
    <xf numFmtId="164" fontId="1" fillId="3" borderId="1" xfId="0" applyNumberFormat="1" applyFont="1" applyFill="1" applyBorder="1" applyAlignment="1">
      <alignment horizontal="center"/>
    </xf>
    <xf numFmtId="164" fontId="1" fillId="2" borderId="1" xfId="0" applyNumberFormat="1" applyFont="1" applyFill="1" applyBorder="1" applyAlignment="1">
      <alignment horizontal="center"/>
    </xf>
    <xf numFmtId="0" fontId="1" fillId="2" borderId="25" xfId="0" applyFont="1" applyFill="1" applyBorder="1" applyAlignment="1">
      <alignment horizontal="center"/>
    </xf>
    <xf numFmtId="164" fontId="1" fillId="2" borderId="22" xfId="0" applyNumberFormat="1" applyFont="1" applyFill="1" applyBorder="1" applyAlignment="1">
      <alignment horizontal="center"/>
    </xf>
    <xf numFmtId="164" fontId="1" fillId="3" borderId="22" xfId="0" applyNumberFormat="1" applyFont="1" applyFill="1" applyBorder="1" applyAlignment="1">
      <alignment horizontal="center"/>
    </xf>
    <xf numFmtId="0" fontId="1" fillId="2" borderId="26" xfId="0" applyFont="1" applyFill="1" applyBorder="1" applyAlignment="1">
      <alignment horizontal="center"/>
    </xf>
    <xf numFmtId="0" fontId="1" fillId="3" borderId="26" xfId="0" applyFont="1" applyFill="1" applyBorder="1" applyAlignment="1">
      <alignment horizontal="center"/>
    </xf>
    <xf numFmtId="0" fontId="16" fillId="3" borderId="1" xfId="0" applyFont="1" applyFill="1" applyBorder="1" applyAlignment="1">
      <alignment horizontal="center"/>
    </xf>
    <xf numFmtId="165" fontId="1" fillId="0" borderId="0" xfId="0" applyNumberFormat="1" applyFont="1" applyAlignment="1">
      <alignment horizontal="center"/>
    </xf>
    <xf numFmtId="165" fontId="16" fillId="3" borderId="11" xfId="0" applyNumberFormat="1" applyFont="1" applyFill="1" applyBorder="1" applyAlignment="1">
      <alignment horizontal="center"/>
    </xf>
    <xf numFmtId="0" fontId="16" fillId="2" borderId="1" xfId="0" applyFont="1" applyFill="1" applyBorder="1" applyAlignment="1">
      <alignment horizontal="center"/>
    </xf>
    <xf numFmtId="0" fontId="15" fillId="2" borderId="1" xfId="0" applyFont="1" applyFill="1" applyBorder="1" applyAlignment="1">
      <alignment horizontal="center"/>
    </xf>
    <xf numFmtId="165" fontId="16" fillId="2" borderId="3" xfId="0" applyNumberFormat="1" applyFont="1" applyFill="1" applyBorder="1" applyAlignment="1">
      <alignment horizontal="center"/>
    </xf>
    <xf numFmtId="165" fontId="16" fillId="2" borderId="11" xfId="0" applyNumberFormat="1" applyFont="1" applyFill="1" applyBorder="1" applyAlignment="1">
      <alignment horizontal="center"/>
    </xf>
    <xf numFmtId="49" fontId="1" fillId="3" borderId="0" xfId="0" applyNumberFormat="1" applyFont="1" applyFill="1" applyAlignment="1">
      <alignment horizontal="center"/>
    </xf>
    <xf numFmtId="0" fontId="1" fillId="6" borderId="3" xfId="0" applyFont="1" applyFill="1" applyBorder="1" applyAlignment="1">
      <alignment horizontal="center"/>
    </xf>
    <xf numFmtId="0" fontId="1" fillId="7" borderId="3" xfId="0" applyFont="1" applyFill="1" applyBorder="1" applyAlignment="1">
      <alignment horizontal="center"/>
    </xf>
    <xf numFmtId="165" fontId="1" fillId="3" borderId="1" xfId="0" applyNumberFormat="1" applyFont="1" applyFill="1" applyBorder="1" applyAlignment="1">
      <alignment horizontal="center"/>
    </xf>
    <xf numFmtId="165" fontId="16" fillId="3" borderId="3" xfId="0" applyNumberFormat="1" applyFont="1" applyFill="1" applyBorder="1" applyAlignment="1">
      <alignment horizontal="center"/>
    </xf>
    <xf numFmtId="165" fontId="1" fillId="3" borderId="3" xfId="0" applyNumberFormat="1" applyFont="1" applyFill="1" applyBorder="1" applyAlignment="1">
      <alignment horizontal="center"/>
    </xf>
    <xf numFmtId="165" fontId="1" fillId="2" borderId="3" xfId="0" applyNumberFormat="1" applyFont="1" applyFill="1" applyBorder="1" applyAlignment="1">
      <alignment horizontal="center"/>
    </xf>
    <xf numFmtId="1" fontId="15" fillId="3" borderId="1" xfId="0" applyNumberFormat="1" applyFont="1" applyFill="1" applyBorder="1" applyAlignment="1">
      <alignment horizontal="right"/>
    </xf>
    <xf numFmtId="0" fontId="1" fillId="0" borderId="7" xfId="0" applyFont="1" applyBorder="1" applyAlignment="1">
      <alignment horizontal="center"/>
    </xf>
    <xf numFmtId="14" fontId="17" fillId="0" borderId="0" xfId="0" applyNumberFormat="1" applyFont="1" applyAlignment="1">
      <alignment horizontal="center"/>
    </xf>
    <xf numFmtId="0" fontId="17" fillId="0" borderId="0" xfId="0" applyFont="1" applyAlignment="1">
      <alignment horizontal="center"/>
    </xf>
    <xf numFmtId="165" fontId="15" fillId="3" borderId="6" xfId="0" applyNumberFormat="1" applyFont="1" applyFill="1" applyBorder="1" applyAlignment="1">
      <alignment horizontal="center"/>
    </xf>
    <xf numFmtId="0" fontId="1" fillId="0" borderId="6" xfId="0" applyFont="1" applyBorder="1" applyAlignment="1">
      <alignment horizontal="center"/>
    </xf>
    <xf numFmtId="165" fontId="1" fillId="2" borderId="22" xfId="0" applyNumberFormat="1" applyFont="1" applyFill="1" applyBorder="1" applyAlignment="1">
      <alignment horizontal="center"/>
    </xf>
    <xf numFmtId="0" fontId="16" fillId="2" borderId="6" xfId="0" applyFont="1" applyFill="1" applyBorder="1" applyAlignment="1">
      <alignment horizontal="center"/>
    </xf>
    <xf numFmtId="165" fontId="1" fillId="0" borderId="0" xfId="0" quotePrefix="1" applyNumberFormat="1" applyFont="1" applyAlignment="1">
      <alignment horizontal="center"/>
    </xf>
    <xf numFmtId="0" fontId="1" fillId="7" borderId="0" xfId="0" applyFont="1" applyFill="1" applyAlignment="1">
      <alignment horizontal="center"/>
    </xf>
    <xf numFmtId="0" fontId="8" fillId="2" borderId="21" xfId="0" applyFont="1" applyFill="1" applyBorder="1" applyAlignment="1">
      <alignment horizontal="center" vertical="center"/>
    </xf>
    <xf numFmtId="0" fontId="17" fillId="2" borderId="1" xfId="0" applyFont="1" applyFill="1" applyBorder="1" applyAlignment="1">
      <alignment horizontal="center"/>
    </xf>
    <xf numFmtId="2" fontId="1" fillId="0" borderId="0" xfId="0" applyNumberFormat="1" applyFont="1"/>
    <xf numFmtId="2" fontId="13" fillId="0" borderId="0" xfId="0" applyNumberFormat="1" applyFont="1" applyAlignment="1">
      <alignment horizontal="right"/>
    </xf>
    <xf numFmtId="2" fontId="1" fillId="0" borderId="2" xfId="0" applyNumberFormat="1" applyFont="1" applyBorder="1"/>
    <xf numFmtId="2" fontId="1" fillId="0" borderId="4" xfId="0" applyNumberFormat="1" applyFont="1" applyBorder="1"/>
    <xf numFmtId="2" fontId="1" fillId="3" borderId="0" xfId="0" applyNumberFormat="1" applyFont="1" applyFill="1" applyAlignment="1">
      <alignment horizontal="center"/>
    </xf>
    <xf numFmtId="2" fontId="1" fillId="2" borderId="0" xfId="0" applyNumberFormat="1" applyFont="1" applyFill="1" applyAlignment="1">
      <alignment horizontal="center"/>
    </xf>
    <xf numFmtId="14" fontId="1" fillId="3" borderId="2" xfId="0" applyNumberFormat="1" applyFont="1" applyFill="1" applyBorder="1" applyAlignment="1">
      <alignment horizontal="center"/>
    </xf>
    <xf numFmtId="14" fontId="1" fillId="3" borderId="0" xfId="0" applyNumberFormat="1" applyFont="1" applyFill="1" applyAlignment="1">
      <alignment horizontal="center"/>
    </xf>
    <xf numFmtId="14" fontId="1" fillId="2" borderId="0" xfId="0" applyNumberFormat="1" applyFont="1" applyFill="1" applyAlignment="1">
      <alignment horizontal="center"/>
    </xf>
    <xf numFmtId="0" fontId="1" fillId="5" borderId="17" xfId="0" applyFont="1" applyFill="1" applyBorder="1" applyAlignment="1">
      <alignment horizontal="center" vertical="center"/>
    </xf>
    <xf numFmtId="0" fontId="1" fillId="5" borderId="4" xfId="0" applyFont="1" applyFill="1" applyBorder="1" applyAlignment="1">
      <alignment horizontal="center" vertical="center"/>
    </xf>
    <xf numFmtId="0" fontId="1" fillId="5" borderId="18" xfId="0" applyFont="1" applyFill="1" applyBorder="1" applyAlignment="1">
      <alignment horizontal="center" vertical="center"/>
    </xf>
    <xf numFmtId="0" fontId="1" fillId="5" borderId="14" xfId="0" applyFont="1" applyFill="1" applyBorder="1" applyAlignment="1">
      <alignment horizontal="center" vertical="center"/>
    </xf>
    <xf numFmtId="0" fontId="1" fillId="5" borderId="15" xfId="0" applyFont="1" applyFill="1" applyBorder="1" applyAlignment="1">
      <alignment horizontal="center" vertical="center"/>
    </xf>
    <xf numFmtId="1" fontId="1" fillId="5" borderId="16" xfId="0" applyNumberFormat="1" applyFont="1" applyFill="1" applyBorder="1" applyAlignment="1">
      <alignment horizontal="center" vertical="center" wrapText="1"/>
    </xf>
    <xf numFmtId="1" fontId="1" fillId="5" borderId="13" xfId="0" applyNumberFormat="1" applyFont="1" applyFill="1" applyBorder="1" applyAlignment="1">
      <alignment horizontal="center" vertical="center" wrapText="1"/>
    </xf>
    <xf numFmtId="0" fontId="1" fillId="5" borderId="4" xfId="0" applyFont="1" applyFill="1" applyBorder="1" applyAlignment="1">
      <alignment horizontal="center" vertical="center" wrapText="1"/>
    </xf>
    <xf numFmtId="0" fontId="1" fillId="5" borderId="2" xfId="0" applyFont="1" applyFill="1" applyBorder="1" applyAlignment="1">
      <alignment horizontal="center" vertical="center" wrapText="1"/>
    </xf>
    <xf numFmtId="0" fontId="1" fillId="5" borderId="20" xfId="0" applyFont="1" applyFill="1" applyBorder="1" applyAlignment="1">
      <alignment horizontal="center" vertical="center" wrapText="1"/>
    </xf>
    <xf numFmtId="0" fontId="1" fillId="5" borderId="19" xfId="0" applyFont="1" applyFill="1" applyBorder="1" applyAlignment="1">
      <alignment horizontal="center" vertical="center" wrapText="1"/>
    </xf>
    <xf numFmtId="14" fontId="17" fillId="4" borderId="0" xfId="0" applyNumberFormat="1" applyFont="1" applyFill="1" applyAlignment="1">
      <alignment horizontal="center"/>
    </xf>
    <xf numFmtId="2" fontId="1" fillId="0" borderId="2" xfId="0" applyNumberFormat="1" applyFont="1" applyBorder="1" applyAlignment="1">
      <alignment horizontal="center"/>
    </xf>
    <xf numFmtId="0" fontId="1" fillId="5" borderId="2" xfId="0" applyFont="1" applyFill="1" applyBorder="1" applyAlignment="1">
      <alignment horizontal="center" vertical="center"/>
    </xf>
    <xf numFmtId="0" fontId="1" fillId="5" borderId="0" xfId="0" applyFont="1" applyFill="1" applyAlignment="1">
      <alignment horizontal="center" vertical="center"/>
    </xf>
    <xf numFmtId="2" fontId="4" fillId="5" borderId="4" xfId="0" applyNumberFormat="1" applyFont="1" applyFill="1" applyBorder="1" applyAlignment="1">
      <alignment horizontal="left"/>
    </xf>
    <xf numFmtId="2" fontId="1" fillId="5" borderId="2" xfId="0" applyNumberFormat="1" applyFont="1" applyFill="1" applyBorder="1" applyAlignment="1">
      <alignment horizontal="right"/>
    </xf>
    <xf numFmtId="2" fontId="13" fillId="5" borderId="2" xfId="0" applyNumberFormat="1" applyFont="1" applyFill="1" applyBorder="1" applyAlignment="1">
      <alignment horizontal="right"/>
    </xf>
    <xf numFmtId="2" fontId="17" fillId="4" borderId="4" xfId="0" applyNumberFormat="1" applyFont="1" applyFill="1" applyBorder="1"/>
    <xf numFmtId="2" fontId="13" fillId="4" borderId="4" xfId="0" applyNumberFormat="1" applyFont="1" applyFill="1" applyBorder="1" applyAlignment="1">
      <alignment horizontal="right"/>
    </xf>
    <xf numFmtId="2" fontId="13" fillId="0" borderId="2" xfId="0" applyNumberFormat="1" applyFont="1" applyBorder="1" applyAlignment="1">
      <alignment horizontal="right"/>
    </xf>
    <xf numFmtId="2" fontId="1" fillId="0" borderId="0" xfId="0" applyNumberFormat="1" applyFont="1" applyAlignment="1">
      <alignment horizontal="right"/>
    </xf>
    <xf numFmtId="2" fontId="1" fillId="0" borderId="2" xfId="0" applyNumberFormat="1" applyFont="1" applyBorder="1" applyAlignment="1">
      <alignment horizontal="right"/>
    </xf>
    <xf numFmtId="0" fontId="1" fillId="2" borderId="0" xfId="0" applyFont="1" applyFill="1" applyAlignment="1">
      <alignment horizontal="center"/>
    </xf>
    <xf numFmtId="0" fontId="1" fillId="3" borderId="0" xfId="0" applyFont="1" applyFill="1" applyAlignment="1">
      <alignment horizontal="center"/>
    </xf>
    <xf numFmtId="2" fontId="17" fillId="4" borderId="4" xfId="0" applyNumberFormat="1" applyFont="1" applyFill="1" applyBorder="1" applyAlignment="1">
      <alignment horizontal="right"/>
    </xf>
    <xf numFmtId="0" fontId="1" fillId="0" borderId="0" xfId="0" applyFont="1" applyAlignment="1">
      <alignment horizontal="center"/>
    </xf>
    <xf numFmtId="0" fontId="17" fillId="4" borderId="0" xfId="0" applyFont="1" applyFill="1" applyAlignment="1">
      <alignment horizontal="center"/>
    </xf>
    <xf numFmtId="0" fontId="1" fillId="3" borderId="2" xfId="0" applyFont="1" applyFill="1" applyBorder="1" applyAlignment="1">
      <alignment horizontal="center"/>
    </xf>
    <xf numFmtId="2" fontId="14" fillId="4" borderId="4" xfId="0" applyNumberFormat="1" applyFont="1" applyFill="1" applyBorder="1" applyAlignment="1">
      <alignment horizontal="right"/>
    </xf>
    <xf numFmtId="14" fontId="1" fillId="2" borderId="2" xfId="0" applyNumberFormat="1" applyFont="1" applyFill="1" applyBorder="1" applyAlignment="1">
      <alignment horizontal="center"/>
    </xf>
    <xf numFmtId="0" fontId="8" fillId="3" borderId="7" xfId="0" applyFont="1" applyFill="1" applyBorder="1" applyAlignment="1">
      <alignment horizontal="center"/>
    </xf>
    <xf numFmtId="0" fontId="8" fillId="3" borderId="0" xfId="0" applyFont="1" applyFill="1" applyAlignment="1">
      <alignment horizontal="center"/>
    </xf>
    <xf numFmtId="0" fontId="8" fillId="3" borderId="3" xfId="0" applyFont="1" applyFill="1" applyBorder="1" applyAlignment="1">
      <alignment horizontal="center"/>
    </xf>
    <xf numFmtId="0" fontId="8" fillId="2" borderId="4" xfId="0" applyFont="1" applyFill="1" applyBorder="1" applyAlignment="1">
      <alignment horizontal="center"/>
    </xf>
    <xf numFmtId="2" fontId="1" fillId="0" borderId="4" xfId="0" applyNumberFormat="1" applyFont="1" applyBorder="1" applyAlignment="1">
      <alignment horizontal="right"/>
    </xf>
    <xf numFmtId="2" fontId="13" fillId="0" borderId="4" xfId="0" applyNumberFormat="1" applyFont="1" applyBorder="1" applyAlignment="1">
      <alignment horizontal="right"/>
    </xf>
    <xf numFmtId="0" fontId="8" fillId="2" borderId="7" xfId="0" applyFont="1" applyFill="1" applyBorder="1" applyAlignment="1">
      <alignment horizontal="center"/>
    </xf>
    <xf numFmtId="0" fontId="8" fillId="2" borderId="0" xfId="0" applyFont="1" applyFill="1" applyAlignment="1">
      <alignment horizontal="center"/>
    </xf>
    <xf numFmtId="0" fontId="8" fillId="2" borderId="3" xfId="0" applyFont="1" applyFill="1" applyBorder="1" applyAlignment="1">
      <alignment horizontal="center"/>
    </xf>
    <xf numFmtId="2" fontId="17" fillId="4" borderId="0" xfId="0" applyNumberFormat="1" applyFont="1" applyFill="1"/>
    <xf numFmtId="2" fontId="14" fillId="4" borderId="0" xfId="0" applyNumberFormat="1" applyFont="1" applyFill="1" applyAlignment="1">
      <alignment horizontal="right"/>
    </xf>
    <xf numFmtId="2" fontId="14" fillId="0" borderId="0" xfId="0" applyNumberFormat="1" applyFont="1" applyAlignment="1">
      <alignment horizontal="right"/>
    </xf>
    <xf numFmtId="14" fontId="8" fillId="2" borderId="0" xfId="0" applyNumberFormat="1" applyFont="1" applyFill="1" applyAlignment="1">
      <alignment horizontal="center" vertical="center"/>
    </xf>
    <xf numFmtId="0" fontId="1" fillId="5" borderId="15" xfId="0" applyFont="1" applyFill="1" applyBorder="1" applyAlignment="1">
      <alignment horizontal="center" vertical="center" wrapText="1"/>
    </xf>
    <xf numFmtId="0" fontId="1" fillId="5" borderId="10" xfId="0" applyFont="1" applyFill="1" applyBorder="1" applyAlignment="1">
      <alignment horizontal="center" vertical="center" wrapText="1"/>
    </xf>
    <xf numFmtId="0" fontId="8" fillId="3" borderId="7" xfId="0" applyFont="1" applyFill="1" applyBorder="1" applyAlignment="1">
      <alignment horizontal="left"/>
    </xf>
    <xf numFmtId="0" fontId="8" fillId="3" borderId="0" xfId="0" applyFont="1" applyFill="1" applyAlignment="1">
      <alignment horizontal="left"/>
    </xf>
    <xf numFmtId="0" fontId="8" fillId="3" borderId="3" xfId="0" applyFont="1" applyFill="1" applyBorder="1" applyAlignment="1">
      <alignment horizontal="left"/>
    </xf>
    <xf numFmtId="0" fontId="13" fillId="0" borderId="0" xfId="0" applyFont="1" applyAlignment="1">
      <alignment horizontal="right"/>
    </xf>
    <xf numFmtId="0" fontId="14" fillId="4" borderId="4" xfId="0" applyFont="1" applyFill="1" applyBorder="1" applyAlignment="1">
      <alignment horizontal="right"/>
    </xf>
    <xf numFmtId="0" fontId="13" fillId="0" borderId="2" xfId="0" applyFont="1" applyBorder="1" applyAlignment="1">
      <alignment horizontal="right"/>
    </xf>
    <xf numFmtId="2" fontId="15" fillId="0" borderId="0" xfId="0" applyNumberFormat="1" applyFont="1" applyAlignment="1">
      <alignment horizontal="right"/>
    </xf>
    <xf numFmtId="16" fontId="1" fillId="2" borderId="0" xfId="0" applyNumberFormat="1" applyFont="1" applyFill="1" applyAlignment="1">
      <alignment horizontal="center"/>
    </xf>
    <xf numFmtId="16" fontId="1" fillId="3" borderId="0" xfId="0" applyNumberFormat="1" applyFont="1" applyFill="1" applyAlignment="1">
      <alignment horizontal="center"/>
    </xf>
    <xf numFmtId="0" fontId="1" fillId="2" borderId="2" xfId="0" applyFont="1" applyFill="1" applyBorder="1" applyAlignment="1">
      <alignment horizontal="center"/>
    </xf>
    <xf numFmtId="0" fontId="1" fillId="2" borderId="4" xfId="0" applyFont="1" applyFill="1" applyBorder="1" applyAlignment="1">
      <alignment horizontal="center"/>
    </xf>
    <xf numFmtId="0" fontId="1" fillId="3" borderId="0" xfId="0" applyFont="1" applyFill="1" applyAlignment="1">
      <alignment horizontal="center" wrapText="1"/>
    </xf>
    <xf numFmtId="0" fontId="1" fillId="3" borderId="4" xfId="0" applyFont="1" applyFill="1" applyBorder="1" applyAlignment="1">
      <alignment horizontal="center"/>
    </xf>
    <xf numFmtId="0" fontId="8" fillId="2" borderId="7" xfId="0" applyFont="1" applyFill="1" applyBorder="1" applyAlignment="1">
      <alignment horizontal="left"/>
    </xf>
    <xf numFmtId="0" fontId="8" fillId="2" borderId="0" xfId="0" applyFont="1" applyFill="1" applyAlignment="1">
      <alignment horizontal="left"/>
    </xf>
    <xf numFmtId="0" fontId="8" fillId="2" borderId="3" xfId="0" applyFont="1" applyFill="1" applyBorder="1" applyAlignment="1">
      <alignment horizontal="left"/>
    </xf>
    <xf numFmtId="49" fontId="1" fillId="3" borderId="0" xfId="0" applyNumberFormat="1" applyFont="1" applyFill="1" applyAlignment="1">
      <alignment horizontal="center"/>
    </xf>
    <xf numFmtId="49" fontId="1" fillId="2" borderId="0" xfId="0" applyNumberFormat="1" applyFont="1" applyFill="1" applyAlignment="1">
      <alignment horizontal="center"/>
    </xf>
    <xf numFmtId="0" fontId="1" fillId="6" borderId="0" xfId="0" applyFont="1" applyFill="1" applyAlignment="1">
      <alignment horizontal="center"/>
    </xf>
    <xf numFmtId="0" fontId="1" fillId="5" borderId="16" xfId="0" applyFont="1" applyFill="1" applyBorder="1" applyAlignment="1">
      <alignment horizontal="center" vertical="center" wrapText="1"/>
    </xf>
    <xf numFmtId="0" fontId="1" fillId="5" borderId="13" xfId="0" applyFont="1" applyFill="1" applyBorder="1" applyAlignment="1">
      <alignment horizontal="center" vertical="center" wrapText="1"/>
    </xf>
  </cellXfs>
  <cellStyles count="7">
    <cellStyle name="Prozent 2" xfId="1" xr:uid="{00000000-0005-0000-0000-000000000000}"/>
    <cellStyle name="Standard" xfId="0" builtinId="0"/>
    <cellStyle name="Standard 2" xfId="2" xr:uid="{00000000-0005-0000-0000-000002000000}"/>
    <cellStyle name="Standard 2 2" xfId="3" xr:uid="{00000000-0005-0000-0000-000003000000}"/>
    <cellStyle name="Standard 2 3" xfId="4" xr:uid="{00000000-0005-0000-0000-000004000000}"/>
    <cellStyle name="Standard 3" xfId="5" xr:uid="{00000000-0005-0000-0000-000005000000}"/>
    <cellStyle name="Standard 4" xfId="6" xr:uid="{00000000-0005-0000-0000-000006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twoCellAnchor>
    <xdr:from>
      <xdr:col>30</xdr:col>
      <xdr:colOff>0</xdr:colOff>
      <xdr:row>34</xdr:row>
      <xdr:rowOff>0</xdr:rowOff>
    </xdr:from>
    <xdr:to>
      <xdr:col>36</xdr:col>
      <xdr:colOff>0</xdr:colOff>
      <xdr:row>38</xdr:row>
      <xdr:rowOff>87313</xdr:rowOff>
    </xdr:to>
    <xdr:sp macro="" textlink="">
      <xdr:nvSpPr>
        <xdr:cNvPr id="2" name="Textfeld 1">
          <a:extLst>
            <a:ext uri="{FF2B5EF4-FFF2-40B4-BE49-F238E27FC236}">
              <a16:creationId xmlns:a16="http://schemas.microsoft.com/office/drawing/2014/main" id="{00000000-0008-0000-0000-000002000000}"/>
            </a:ext>
          </a:extLst>
        </xdr:cNvPr>
        <xdr:cNvSpPr txBox="1"/>
      </xdr:nvSpPr>
      <xdr:spPr>
        <a:xfrm>
          <a:off x="11628438" y="3762375"/>
          <a:ext cx="2286000" cy="53181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LIB</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Australian Liberal Party</a:t>
          </a:r>
        </a:p>
        <a:p>
          <a:r>
            <a:rPr lang="de-DE" sz="800" b="1" baseline="0">
              <a:latin typeface="Arial" panose="020B0604020202020204" pitchFamily="34" charset="0"/>
              <a:cs typeface="Arial" panose="020B0604020202020204" pitchFamily="34" charset="0"/>
            </a:rPr>
            <a:t>CNT</a:t>
          </a:r>
          <a:r>
            <a:rPr lang="de-DE" sz="800" baseline="0">
              <a:latin typeface="Arial" panose="020B0604020202020204" pitchFamily="34" charset="0"/>
              <a:cs typeface="Arial" panose="020B0604020202020204" pitchFamily="34" charset="0"/>
            </a:rPr>
            <a:t>: Country National Party</a:t>
          </a:r>
        </a:p>
        <a:p>
          <a:r>
            <a:rPr lang="de-DE" sz="800" b="1" baseline="0">
              <a:latin typeface="Arial" panose="020B0604020202020204" pitchFamily="34" charset="0"/>
              <a:cs typeface="Arial" panose="020B0604020202020204" pitchFamily="34" charset="0"/>
            </a:rPr>
            <a:t>ALP</a:t>
          </a:r>
          <a:r>
            <a:rPr lang="de-DE" sz="800" baseline="0">
              <a:latin typeface="Arial" panose="020B0604020202020204" pitchFamily="34" charset="0"/>
              <a:cs typeface="Arial" panose="020B0604020202020204" pitchFamily="34" charset="0"/>
            </a:rPr>
            <a:t>: Australian Labour Party</a:t>
          </a:r>
          <a:endParaRPr lang="de-DE" sz="800">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1</xdr:colOff>
      <xdr:row>28</xdr:row>
      <xdr:rowOff>0</xdr:rowOff>
    </xdr:from>
    <xdr:to>
      <xdr:col>32</xdr:col>
      <xdr:colOff>1</xdr:colOff>
      <xdr:row>34</xdr:row>
      <xdr:rowOff>46182</xdr:rowOff>
    </xdr:to>
    <xdr:sp macro="" textlink="">
      <xdr:nvSpPr>
        <xdr:cNvPr id="3" name="Textfeld 2">
          <a:extLst>
            <a:ext uri="{FF2B5EF4-FFF2-40B4-BE49-F238E27FC236}">
              <a16:creationId xmlns:a16="http://schemas.microsoft.com/office/drawing/2014/main" id="{00000000-0008-0000-0100-000003000000}"/>
            </a:ext>
          </a:extLst>
        </xdr:cNvPr>
        <xdr:cNvSpPr txBox="1"/>
      </xdr:nvSpPr>
      <xdr:spPr>
        <a:xfrm>
          <a:off x="10494819" y="3429000"/>
          <a:ext cx="2355273" cy="738909"/>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ÖVP</a:t>
          </a:r>
          <a:r>
            <a:rPr lang="de-DE" sz="800" b="0">
              <a:latin typeface="Arial" panose="020B0604020202020204" pitchFamily="34" charset="0"/>
              <a:cs typeface="Arial" panose="020B0604020202020204" pitchFamily="34" charset="0"/>
            </a:rPr>
            <a:t>:</a:t>
          </a:r>
          <a:r>
            <a:rPr lang="de-DE" sz="800" b="0" baseline="0">
              <a:latin typeface="Arial" panose="020B0604020202020204" pitchFamily="34" charset="0"/>
              <a:cs typeface="Arial" panose="020B0604020202020204" pitchFamily="34" charset="0"/>
            </a:rPr>
            <a:t> People's Party</a:t>
          </a:r>
        </a:p>
        <a:p>
          <a:r>
            <a:rPr lang="de-DE" sz="800" b="1" baseline="0">
              <a:latin typeface="Arial" panose="020B0604020202020204" pitchFamily="34" charset="0"/>
              <a:cs typeface="Arial" panose="020B0604020202020204" pitchFamily="34" charset="0"/>
            </a:rPr>
            <a:t>SPÖ</a:t>
          </a:r>
          <a:r>
            <a:rPr lang="de-DE" sz="800" b="0" baseline="0">
              <a:latin typeface="Arial" panose="020B0604020202020204" pitchFamily="34" charset="0"/>
              <a:cs typeface="Arial" panose="020B0604020202020204" pitchFamily="34" charset="0"/>
            </a:rPr>
            <a:t>: Socialist Party</a:t>
          </a:r>
        </a:p>
        <a:p>
          <a:r>
            <a:rPr lang="de-DE" sz="800" b="1">
              <a:latin typeface="Arial" panose="020B0604020202020204" pitchFamily="34" charset="0"/>
              <a:cs typeface="Arial" panose="020B0604020202020204" pitchFamily="34" charset="0"/>
            </a:rPr>
            <a:t>FPÖ</a:t>
          </a:r>
          <a:r>
            <a:rPr lang="de-DE" sz="800">
              <a:latin typeface="Arial" panose="020B0604020202020204" pitchFamily="34" charset="0"/>
              <a:cs typeface="Arial" panose="020B0604020202020204" pitchFamily="34" charset="0"/>
            </a:rPr>
            <a:t>: Freedom Party</a:t>
          </a:r>
        </a:p>
        <a:p>
          <a:r>
            <a:rPr lang="de-DE" sz="800" b="1">
              <a:latin typeface="Arial" panose="020B0604020202020204" pitchFamily="34" charset="0"/>
              <a:cs typeface="Arial" panose="020B0604020202020204" pitchFamily="34" charset="0"/>
            </a:rPr>
            <a:t>GA</a:t>
          </a:r>
          <a:r>
            <a:rPr lang="de-DE" sz="800">
              <a:latin typeface="Arial" panose="020B0604020202020204" pitchFamily="34" charset="0"/>
              <a:cs typeface="Arial" panose="020B0604020202020204" pitchFamily="34" charset="0"/>
            </a:rPr>
            <a:t>: The Greens</a:t>
          </a:r>
        </a:p>
        <a:p>
          <a:endParaRPr lang="de-DE" sz="800">
            <a:latin typeface="Arial" panose="020B0604020202020204" pitchFamily="34" charset="0"/>
            <a:cs typeface="Arial" panose="020B0604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34</xdr:col>
      <xdr:colOff>0</xdr:colOff>
      <xdr:row>9</xdr:row>
      <xdr:rowOff>0</xdr:rowOff>
    </xdr:from>
    <xdr:to>
      <xdr:col>43</xdr:col>
      <xdr:colOff>0</xdr:colOff>
      <xdr:row>32</xdr:row>
      <xdr:rowOff>87313</xdr:rowOff>
    </xdr:to>
    <xdr:sp macro="" textlink="">
      <xdr:nvSpPr>
        <xdr:cNvPr id="3" name="Textfeld 2">
          <a:extLst>
            <a:ext uri="{FF2B5EF4-FFF2-40B4-BE49-F238E27FC236}">
              <a16:creationId xmlns:a16="http://schemas.microsoft.com/office/drawing/2014/main" id="{00000000-0008-0000-0200-000003000000}"/>
            </a:ext>
          </a:extLst>
        </xdr:cNvPr>
        <xdr:cNvSpPr txBox="1"/>
      </xdr:nvSpPr>
      <xdr:spPr>
        <a:xfrm>
          <a:off x="13152438" y="984250"/>
          <a:ext cx="3429000" cy="2643188"/>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CVP </a:t>
          </a:r>
          <a:r>
            <a:rPr lang="de-DE" sz="800" b="0">
              <a:latin typeface="Arial" panose="020B0604020202020204" pitchFamily="34" charset="0"/>
              <a:cs typeface="Arial" panose="020B0604020202020204" pitchFamily="34" charset="0"/>
            </a:rPr>
            <a:t>(until 2001)</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Christian People's Party (flemish, until 1967: Catholic Party)</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CD&amp;V </a:t>
          </a:r>
          <a:r>
            <a:rPr lang="de-DE" sz="800" b="0" baseline="0">
              <a:latin typeface="Arial" panose="020B0604020202020204" pitchFamily="34" charset="0"/>
              <a:cs typeface="Arial" panose="020B0604020202020204" pitchFamily="34" charset="0"/>
            </a:rPr>
            <a:t>(since 2001)</a:t>
          </a:r>
          <a:r>
            <a:rPr lang="de-DE" sz="800" baseline="0">
              <a:latin typeface="Arial" panose="020B0604020202020204" pitchFamily="34" charset="0"/>
              <a:cs typeface="Arial" panose="020B0604020202020204" pitchFamily="34" charset="0"/>
            </a:rPr>
            <a:t>: Christian Democrat &amp; Flemish (2007 in alliance with New Flemish Alliance, N-VA)</a:t>
          </a:r>
        </a:p>
        <a:p>
          <a:r>
            <a:rPr lang="de-DE" sz="800" b="1" baseline="0">
              <a:latin typeface="Arial" panose="020B0604020202020204" pitchFamily="34" charset="0"/>
              <a:cs typeface="Arial" panose="020B0604020202020204" pitchFamily="34" charset="0"/>
            </a:rPr>
            <a:t>LP</a:t>
          </a:r>
          <a:r>
            <a:rPr lang="de-DE" sz="800" baseline="0">
              <a:latin typeface="Arial" panose="020B0604020202020204" pitchFamily="34" charset="0"/>
              <a:cs typeface="Arial" panose="020B0604020202020204" pitchFamily="34" charset="0"/>
            </a:rPr>
            <a:t>: Liberal Party</a:t>
          </a:r>
        </a:p>
        <a:p>
          <a:r>
            <a:rPr lang="de-DE" sz="800" b="1" baseline="0">
              <a:latin typeface="Arial" panose="020B0604020202020204" pitchFamily="34" charset="0"/>
              <a:cs typeface="Arial" panose="020B0604020202020204" pitchFamily="34" charset="0"/>
            </a:rPr>
            <a:t>SP</a:t>
          </a:r>
          <a:r>
            <a:rPr lang="de-DE" sz="800" baseline="0">
              <a:latin typeface="Arial" panose="020B0604020202020204" pitchFamily="34" charset="0"/>
              <a:cs typeface="Arial" panose="020B0604020202020204" pitchFamily="34" charset="0"/>
            </a:rPr>
            <a:t>: Socialist Party</a:t>
          </a:r>
        </a:p>
        <a:p>
          <a:r>
            <a:rPr lang="de-DE" sz="800" b="1" baseline="0">
              <a:latin typeface="Arial" panose="020B0604020202020204" pitchFamily="34" charset="0"/>
              <a:cs typeface="Arial" panose="020B0604020202020204" pitchFamily="34" charset="0"/>
            </a:rPr>
            <a:t>PSC </a:t>
          </a:r>
          <a:r>
            <a:rPr lang="de-DE" sz="800" b="0" baseline="0">
              <a:latin typeface="Arial" panose="020B0604020202020204" pitchFamily="34" charset="0"/>
              <a:cs typeface="Arial" panose="020B0604020202020204" pitchFamily="34" charset="0"/>
            </a:rPr>
            <a:t>(until 2002)</a:t>
          </a:r>
          <a:r>
            <a:rPr lang="de-DE" sz="800" baseline="0">
              <a:latin typeface="Arial" panose="020B0604020202020204" pitchFamily="34" charset="0"/>
              <a:cs typeface="Arial" panose="020B0604020202020204" pitchFamily="34" charset="0"/>
            </a:rPr>
            <a:t>: Christian Social Party (francophone)</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CDH </a:t>
          </a:r>
          <a:r>
            <a:rPr lang="de-DE" sz="800" b="0" baseline="0">
              <a:latin typeface="Arial" panose="020B0604020202020204" pitchFamily="34" charset="0"/>
              <a:cs typeface="Arial" panose="020B0604020202020204" pitchFamily="34" charset="0"/>
            </a:rPr>
            <a:t>(since 2002)</a:t>
          </a:r>
          <a:r>
            <a:rPr lang="de-DE" sz="800" baseline="0">
              <a:latin typeface="Arial" panose="020B0604020202020204" pitchFamily="34" charset="0"/>
              <a:cs typeface="Arial" panose="020B0604020202020204" pitchFamily="34" charset="0"/>
            </a:rPr>
            <a:t>: Democratic Humanist Centre</a:t>
          </a:r>
        </a:p>
        <a:p>
          <a:r>
            <a:rPr lang="de-DE" sz="800" b="1" baseline="0">
              <a:latin typeface="Arial" panose="020B0604020202020204" pitchFamily="34" charset="0"/>
              <a:cs typeface="Arial" panose="020B0604020202020204" pitchFamily="34" charset="0"/>
            </a:rPr>
            <a:t>PVV </a:t>
          </a:r>
          <a:r>
            <a:rPr lang="de-DE" sz="800" b="0" baseline="0">
              <a:latin typeface="Arial" panose="020B0604020202020204" pitchFamily="34" charset="0"/>
              <a:cs typeface="Arial" panose="020B0604020202020204" pitchFamily="34" charset="0"/>
            </a:rPr>
            <a:t>(until 1992)</a:t>
          </a:r>
          <a:r>
            <a:rPr lang="de-DE" sz="800" baseline="0">
              <a:latin typeface="Arial" panose="020B0604020202020204" pitchFamily="34" charset="0"/>
              <a:cs typeface="Arial" panose="020B0604020202020204" pitchFamily="34" charset="0"/>
            </a:rPr>
            <a:t>: Party of Liberty and Progress</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VLD</a:t>
          </a:r>
          <a:r>
            <a:rPr lang="de-DE" sz="800" baseline="0">
              <a:latin typeface="Arial" panose="020B0604020202020204" pitchFamily="34" charset="0"/>
              <a:cs typeface="Arial" panose="020B0604020202020204" pitchFamily="34" charset="0"/>
            </a:rPr>
            <a:t> (since 1992): Flemish Liberals and Democrats</a:t>
          </a:r>
        </a:p>
        <a:p>
          <a:r>
            <a:rPr lang="de-DE" sz="800" b="1" baseline="0">
              <a:latin typeface="Arial" panose="020B0604020202020204" pitchFamily="34" charset="0"/>
              <a:cs typeface="Arial" panose="020B0604020202020204" pitchFamily="34" charset="0"/>
            </a:rPr>
            <a:t>VU</a:t>
          </a:r>
          <a:r>
            <a:rPr lang="de-DE" sz="800" b="0" baseline="0">
              <a:latin typeface="Arial" panose="020B0604020202020204" pitchFamily="34" charset="0"/>
              <a:cs typeface="Arial" panose="020B0604020202020204" pitchFamily="34" charset="0"/>
            </a:rPr>
            <a:t> (until 2001)</a:t>
          </a:r>
          <a:r>
            <a:rPr lang="de-DE" sz="800" baseline="0">
              <a:latin typeface="Arial" panose="020B0604020202020204" pitchFamily="34" charset="0"/>
              <a:cs typeface="Arial" panose="020B0604020202020204" pitchFamily="34" charset="0"/>
            </a:rPr>
            <a:t>: Flemish/People's Union</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N-VA </a:t>
          </a:r>
          <a:r>
            <a:rPr lang="de-DE" sz="800" b="0" baseline="0">
              <a:latin typeface="Arial" panose="020B0604020202020204" pitchFamily="34" charset="0"/>
              <a:cs typeface="Arial" panose="020B0604020202020204" pitchFamily="34" charset="0"/>
            </a:rPr>
            <a:t>(since 2001)</a:t>
          </a:r>
          <a:r>
            <a:rPr lang="de-DE" sz="800" baseline="0">
              <a:latin typeface="Arial" panose="020B0604020202020204" pitchFamily="34" charset="0"/>
              <a:cs typeface="Arial" panose="020B0604020202020204" pitchFamily="34" charset="0"/>
            </a:rPr>
            <a:t>: New Flemish Alliance </a:t>
          </a:r>
        </a:p>
        <a:p>
          <a:r>
            <a:rPr lang="de-DE" sz="800" b="1">
              <a:latin typeface="Arial" panose="020B0604020202020204" pitchFamily="34" charset="0"/>
              <a:cs typeface="Arial" panose="020B0604020202020204" pitchFamily="34" charset="0"/>
            </a:rPr>
            <a:t>RW</a:t>
          </a:r>
          <a:r>
            <a:rPr lang="de-DE" sz="800">
              <a:latin typeface="Arial" panose="020B0604020202020204" pitchFamily="34" charset="0"/>
              <a:cs typeface="Arial" panose="020B0604020202020204" pitchFamily="34" charset="0"/>
            </a:rPr>
            <a:t>: Walloon Rally</a:t>
          </a:r>
        </a:p>
        <a:p>
          <a:r>
            <a:rPr lang="de-DE" sz="800" b="1">
              <a:latin typeface="Arial" panose="020B0604020202020204" pitchFamily="34" charset="0"/>
              <a:cs typeface="Arial" panose="020B0604020202020204" pitchFamily="34" charset="0"/>
            </a:rPr>
            <a:t>FDF</a:t>
          </a:r>
          <a:r>
            <a:rPr lang="de-DE" sz="800">
              <a:latin typeface="Arial" panose="020B0604020202020204" pitchFamily="34" charset="0"/>
              <a:cs typeface="Arial" panose="020B0604020202020204" pitchFamily="34" charset="0"/>
            </a:rPr>
            <a:t>: Francophone Democratic Front</a:t>
          </a:r>
        </a:p>
        <a:p>
          <a:r>
            <a:rPr lang="de-DE" sz="800" b="1">
              <a:latin typeface="Arial" panose="020B0604020202020204" pitchFamily="34" charset="0"/>
              <a:cs typeface="Arial" panose="020B0604020202020204" pitchFamily="34" charset="0"/>
            </a:rPr>
            <a:t>PRL</a:t>
          </a:r>
          <a:r>
            <a:rPr lang="de-DE" sz="800">
              <a:latin typeface="Arial" panose="020B0604020202020204" pitchFamily="34" charset="0"/>
              <a:cs typeface="Arial" panose="020B0604020202020204" pitchFamily="34" charset="0"/>
            </a:rPr>
            <a:t>: Francophone Liberal Reform Party</a:t>
          </a:r>
        </a:p>
        <a:p>
          <a:r>
            <a:rPr lang="de-DE" sz="800">
              <a:latin typeface="Arial" panose="020B0604020202020204" pitchFamily="34" charset="0"/>
              <a:cs typeface="Arial" panose="020B0604020202020204" pitchFamily="34" charset="0"/>
            </a:rPr>
            <a:t>-----1995: Alliance with FDF</a:t>
          </a:r>
        </a:p>
        <a:p>
          <a:r>
            <a:rPr lang="de-DE" sz="800">
              <a:latin typeface="Arial" panose="020B0604020202020204" pitchFamily="34" charset="0"/>
              <a:cs typeface="Arial" panose="020B0604020202020204" pitchFamily="34" charset="0"/>
            </a:rPr>
            <a:t>-----1999:</a:t>
          </a:r>
          <a:r>
            <a:rPr lang="de-DE" sz="800" baseline="0">
              <a:latin typeface="Arial" panose="020B0604020202020204" pitchFamily="34" charset="0"/>
              <a:cs typeface="Arial" panose="020B0604020202020204" pitchFamily="34" charset="0"/>
            </a:rPr>
            <a:t> Fédération PRL-FDF-MCC</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MR</a:t>
          </a:r>
          <a:r>
            <a:rPr lang="de-DE" sz="800" baseline="0">
              <a:latin typeface="Arial" panose="020B0604020202020204" pitchFamily="34" charset="0"/>
              <a:cs typeface="Arial" panose="020B0604020202020204" pitchFamily="34" charset="0"/>
            </a:rPr>
            <a:t> (since 2002): Reform Movement</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PS</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Francophone Socialist Party</a:t>
          </a:r>
        </a:p>
        <a:p>
          <a:r>
            <a:rPr lang="de-DE" sz="800" b="1" baseline="0">
              <a:latin typeface="Arial" panose="020B0604020202020204" pitchFamily="34" charset="0"/>
              <a:cs typeface="Arial" panose="020B0604020202020204" pitchFamily="34" charset="0"/>
            </a:rPr>
            <a:t>SP.a </a:t>
          </a:r>
          <a:r>
            <a:rPr lang="de-DE" sz="800" b="0" baseline="0">
              <a:latin typeface="Arial" panose="020B0604020202020204" pitchFamily="34" charset="0"/>
              <a:cs typeface="Arial" panose="020B0604020202020204" pitchFamily="34" charset="0"/>
            </a:rPr>
            <a:t>(until 2021)</a:t>
          </a:r>
          <a:r>
            <a:rPr lang="de-DE" sz="800" baseline="0">
              <a:latin typeface="Arial" panose="020B0604020202020204" pitchFamily="34" charset="0"/>
              <a:cs typeface="Arial" panose="020B0604020202020204" pitchFamily="34" charset="0"/>
            </a:rPr>
            <a:t>: Socialist Party Different</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Vooruit </a:t>
          </a:r>
          <a:r>
            <a:rPr lang="de-DE" sz="800" b="0" baseline="0">
              <a:latin typeface="Arial" panose="020B0604020202020204" pitchFamily="34" charset="0"/>
              <a:cs typeface="Arial" panose="020B0604020202020204" pitchFamily="34" charset="0"/>
            </a:rPr>
            <a:t>(since 2021): Onward</a:t>
          </a:r>
          <a:endParaRPr lang="de-DE" sz="800" b="1" baseline="0">
            <a:latin typeface="Arial" panose="020B0604020202020204" pitchFamily="34" charset="0"/>
            <a:cs typeface="Arial" panose="020B0604020202020204" pitchFamily="34" charset="0"/>
          </a:endParaRPr>
        </a:p>
        <a:p>
          <a:r>
            <a:rPr lang="de-DE" sz="800" b="1" baseline="0">
              <a:latin typeface="Arial" panose="020B0604020202020204" pitchFamily="34" charset="0"/>
              <a:cs typeface="Arial" panose="020B0604020202020204" pitchFamily="34" charset="0"/>
            </a:rPr>
            <a:t>ECOLO</a:t>
          </a:r>
          <a:r>
            <a:rPr lang="de-DE" sz="800" baseline="0">
              <a:latin typeface="Arial" panose="020B0604020202020204" pitchFamily="34" charset="0"/>
              <a:cs typeface="Arial" panose="020B0604020202020204" pitchFamily="34" charset="0"/>
            </a:rPr>
            <a:t>: Greens (francophone)</a:t>
          </a:r>
        </a:p>
        <a:p>
          <a:r>
            <a:rPr lang="de-DE" sz="800" b="1" baseline="0">
              <a:latin typeface="Arial" panose="020B0604020202020204" pitchFamily="34" charset="0"/>
              <a:cs typeface="Arial" panose="020B0604020202020204" pitchFamily="34" charset="0"/>
            </a:rPr>
            <a:t>AGALEV</a:t>
          </a:r>
          <a:r>
            <a:rPr lang="de-DE" sz="800" baseline="0">
              <a:latin typeface="Arial" panose="020B0604020202020204" pitchFamily="34" charset="0"/>
              <a:cs typeface="Arial" panose="020B0604020202020204" pitchFamily="34" charset="0"/>
            </a:rPr>
            <a:t>: Greens (flemish)</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33</xdr:col>
      <xdr:colOff>119138</xdr:colOff>
      <xdr:row>10</xdr:row>
      <xdr:rowOff>95248</xdr:rowOff>
    </xdr:from>
    <xdr:to>
      <xdr:col>42</xdr:col>
      <xdr:colOff>119138</xdr:colOff>
      <xdr:row>41</xdr:row>
      <xdr:rowOff>87156</xdr:rowOff>
    </xdr:to>
    <xdr:sp macro="" textlink="">
      <xdr:nvSpPr>
        <xdr:cNvPr id="2" name="Textfeld 1">
          <a:extLst>
            <a:ext uri="{FF2B5EF4-FFF2-40B4-BE49-F238E27FC236}">
              <a16:creationId xmlns:a16="http://schemas.microsoft.com/office/drawing/2014/main" id="{00000000-0008-0000-0300-000002000000}"/>
            </a:ext>
          </a:extLst>
        </xdr:cNvPr>
        <xdr:cNvSpPr txBox="1"/>
      </xdr:nvSpPr>
      <xdr:spPr>
        <a:xfrm>
          <a:off x="13528844" y="1427503"/>
          <a:ext cx="3529853" cy="3465731"/>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BSP</a:t>
          </a:r>
          <a:r>
            <a:rPr lang="de-DE" sz="800" baseline="0">
              <a:latin typeface="Arial" panose="020B0604020202020204" pitchFamily="34" charset="0"/>
              <a:cs typeface="Arial" panose="020B0604020202020204" pitchFamily="34" charset="0"/>
            </a:rPr>
            <a:t>: Bulgarian Socialist Party</a:t>
          </a:r>
        </a:p>
        <a:p>
          <a:pPr lvl="0"/>
          <a:r>
            <a:rPr lang="de-DE" sz="800" b="1" baseline="0">
              <a:latin typeface="Arial" panose="020B0604020202020204" pitchFamily="34" charset="0"/>
              <a:cs typeface="Arial" panose="020B0604020202020204" pitchFamily="34" charset="0"/>
            </a:rPr>
            <a:t>BSP/CDL</a:t>
          </a:r>
          <a:r>
            <a:rPr lang="de-DE" sz="800" baseline="0">
              <a:latin typeface="Arial" panose="020B0604020202020204" pitchFamily="34" charset="0"/>
              <a:cs typeface="Arial" panose="020B0604020202020204" pitchFamily="34" charset="0"/>
            </a:rPr>
            <a:t>: Coalition for the Democratic Left [comprised of Bulgarian Socialist Party; Bulgarian Agrarian People's Union - Alexander Stanboliski and PC "Ecoglasnost"]</a:t>
          </a:r>
        </a:p>
        <a:p>
          <a:pPr lvl="0"/>
          <a:r>
            <a:rPr lang="de-DE" sz="800" b="1" baseline="0">
              <a:latin typeface="Arial" panose="020B0604020202020204" pitchFamily="34" charset="0"/>
              <a:cs typeface="Arial" panose="020B0604020202020204" pitchFamily="34" charset="0"/>
            </a:rPr>
            <a:t>BSP/KB</a:t>
          </a:r>
          <a:r>
            <a:rPr lang="de-DE" sz="800" baseline="0">
              <a:latin typeface="Arial" panose="020B0604020202020204" pitchFamily="34" charset="0"/>
              <a:cs typeface="Arial" panose="020B0604020202020204" pitchFamily="34" charset="0"/>
            </a:rPr>
            <a:t>: Bulgarian Socialist Party as part of the Coalition for Bulgaria (see KB)</a:t>
          </a:r>
        </a:p>
        <a:p>
          <a:pPr lvl="0"/>
          <a:r>
            <a:rPr lang="de-DE" sz="800" b="1" baseline="0">
              <a:latin typeface="Arial" panose="020B0604020202020204" pitchFamily="34" charset="0"/>
              <a:cs typeface="Arial" panose="020B0604020202020204" pitchFamily="34" charset="0"/>
            </a:rPr>
            <a:t>KB</a:t>
          </a:r>
          <a:r>
            <a:rPr lang="de-DE" sz="800" baseline="0">
              <a:latin typeface="Arial" panose="020B0604020202020204" pitchFamily="34" charset="0"/>
              <a:cs typeface="Arial" panose="020B0604020202020204" pitchFamily="34" charset="0"/>
            </a:rPr>
            <a:t>: Coalition for Bulgaria [comprised of Bulgarian Socialist Party, "Social Democrats" Political Movement, United Labour Block, Bulgarian Agrarian Union "Al. Stamboliyski - 1899", Union for the Fatherland, Social-Liberal Progress Alliance, "Forward Bulgaria" Movement, Communist Party of Bulgaria, "Trakiya" Political Club, "Roma" Civil Alliance]</a:t>
          </a:r>
        </a:p>
        <a:p>
          <a:pPr lvl="0"/>
          <a:r>
            <a:rPr lang="de-DE" sz="800" b="1" baseline="0">
              <a:latin typeface="Arial" panose="020B0604020202020204" pitchFamily="34" charset="0"/>
              <a:cs typeface="Arial" panose="020B0604020202020204" pitchFamily="34" charset="0"/>
            </a:rPr>
            <a:t>SDS</a:t>
          </a:r>
          <a:r>
            <a:rPr lang="de-DE" sz="800" baseline="0">
              <a:latin typeface="Arial" panose="020B0604020202020204" pitchFamily="34" charset="0"/>
              <a:cs typeface="Arial" panose="020B0604020202020204" pitchFamily="34" charset="0"/>
            </a:rPr>
            <a:t>: Union of Democratic Forces [1997-2008: Participated as major party in the alliance of the United Democratic Forces; also part of the electoral alliance were the Bulgarian Agrarian People’s Union (BZNS), Democratic Party (DP) and the Bulgarian Social Democratic Party]</a:t>
          </a:r>
        </a:p>
        <a:p>
          <a:r>
            <a:rPr lang="de-DE" sz="800" b="1" baseline="0">
              <a:latin typeface="Arial" panose="020B0604020202020204" pitchFamily="34" charset="0"/>
              <a:cs typeface="Arial" panose="020B0604020202020204" pitchFamily="34" charset="0"/>
            </a:rPr>
            <a:t>BZNS</a:t>
          </a:r>
          <a:r>
            <a:rPr lang="de-DE" sz="800" baseline="0">
              <a:latin typeface="Arial" panose="020B0604020202020204" pitchFamily="34" charset="0"/>
              <a:cs typeface="Arial" panose="020B0604020202020204" pitchFamily="34" charset="0"/>
            </a:rPr>
            <a:t>: Bulgarian National People's Union</a:t>
          </a:r>
        </a:p>
        <a:p>
          <a:r>
            <a:rPr lang="de-DE" sz="800" b="1" baseline="0">
              <a:latin typeface="Arial" panose="020B0604020202020204" pitchFamily="34" charset="0"/>
              <a:cs typeface="Arial" panose="020B0604020202020204" pitchFamily="34" charset="0"/>
            </a:rPr>
            <a:t>NDSV</a:t>
          </a:r>
          <a:r>
            <a:rPr lang="de-DE" sz="800" baseline="0">
              <a:latin typeface="Arial" panose="020B0604020202020204" pitchFamily="34" charset="0"/>
              <a:cs typeface="Arial" panose="020B0604020202020204" pitchFamily="34" charset="0"/>
            </a:rPr>
            <a:t>: </a:t>
          </a:r>
          <a:r>
            <a:rPr lang="vi-VN" sz="800" baseline="0">
              <a:latin typeface="Arial" panose="020B0604020202020204" pitchFamily="34" charset="0"/>
              <a:cs typeface="Arial" panose="020B0604020202020204" pitchFamily="34" charset="0"/>
            </a:rPr>
            <a:t>National Movement for Stability and Progress [Until 2007: National Movement Simeon II</a:t>
          </a:r>
          <a:r>
            <a:rPr lang="de-CH" sz="800" baseline="0">
              <a:latin typeface="Arial" panose="020B0604020202020204" pitchFamily="34" charset="0"/>
              <a:cs typeface="Arial" panose="020B0604020202020204" pitchFamily="34" charset="0"/>
            </a:rPr>
            <a:t>]</a:t>
          </a:r>
        </a:p>
        <a:p>
          <a:r>
            <a:rPr lang="de-CH" sz="800" b="1" baseline="0">
              <a:latin typeface="Arial" panose="020B0604020202020204" pitchFamily="34" charset="0"/>
              <a:cs typeface="Arial" panose="020B0604020202020204" pitchFamily="34" charset="0"/>
            </a:rPr>
            <a:t>DPS</a:t>
          </a:r>
          <a:r>
            <a:rPr lang="de-CH" sz="800" baseline="0">
              <a:latin typeface="Arial" panose="020B0604020202020204" pitchFamily="34" charset="0"/>
              <a:cs typeface="Arial" panose="020B0604020202020204" pitchFamily="34" charset="0"/>
            </a:rPr>
            <a:t>: Movement for Rights and Freedoms [2001-2011: Participated as major party in the Coalition of Movement for Rights and Freedoms; also part of the alliance were the Liberal Union and Euroroma]</a:t>
          </a:r>
        </a:p>
        <a:p>
          <a:r>
            <a:rPr lang="de-CH" sz="800" b="1" baseline="0">
              <a:latin typeface="Arial" panose="020B0604020202020204" pitchFamily="34" charset="0"/>
              <a:cs typeface="Arial" panose="020B0604020202020204" pitchFamily="34" charset="0"/>
            </a:rPr>
            <a:t>GERB</a:t>
          </a:r>
          <a:r>
            <a:rPr lang="de-CH" sz="800" baseline="0">
              <a:latin typeface="Arial" panose="020B0604020202020204" pitchFamily="34" charset="0"/>
              <a:cs typeface="Arial" panose="020B0604020202020204" pitchFamily="34" charset="0"/>
            </a:rPr>
            <a:t>: Citizens for European Development of Bulgaria</a:t>
          </a:r>
        </a:p>
        <a:p>
          <a:r>
            <a:rPr lang="de-CH" sz="800" b="1" baseline="0">
              <a:latin typeface="Arial" panose="020B0604020202020204" pitchFamily="34" charset="0"/>
              <a:cs typeface="Arial" panose="020B0604020202020204" pitchFamily="34" charset="0"/>
            </a:rPr>
            <a:t>RB: </a:t>
          </a:r>
          <a:r>
            <a:rPr lang="de-CH" sz="800" b="0" baseline="0">
              <a:latin typeface="Arial" panose="020B0604020202020204" pitchFamily="34" charset="0"/>
              <a:cs typeface="Arial" panose="020B0604020202020204" pitchFamily="34" charset="0"/>
            </a:rPr>
            <a:t>Reformist Bloc</a:t>
          </a:r>
          <a:endParaRPr lang="de-DE" sz="800" b="0" baseline="0">
            <a:latin typeface="Arial" panose="020B0604020202020204" pitchFamily="34" charset="0"/>
            <a:cs typeface="Arial" panose="020B0604020202020204" pitchFamily="34" charset="0"/>
          </a:endParaRPr>
        </a:p>
        <a:p>
          <a:r>
            <a:rPr lang="de-DE" sz="800" b="1" baseline="0">
              <a:latin typeface="Arial" panose="020B0604020202020204" pitchFamily="34" charset="0"/>
              <a:cs typeface="Arial" panose="020B0604020202020204" pitchFamily="34" charset="0"/>
            </a:rPr>
            <a:t>ABV:</a:t>
          </a:r>
          <a:r>
            <a:rPr lang="de-DE" sz="800" b="0" baseline="0">
              <a:latin typeface="Arial" panose="020B0604020202020204" pitchFamily="34" charset="0"/>
              <a:cs typeface="Arial" panose="020B0604020202020204" pitchFamily="34" charset="0"/>
            </a:rPr>
            <a:t> Alternative for Bulgarian Revival</a:t>
          </a:r>
        </a:p>
        <a:p>
          <a:r>
            <a:rPr lang="de-DE" sz="800" b="1" baseline="0">
              <a:latin typeface="Arial" panose="020B0604020202020204" pitchFamily="34" charset="0"/>
              <a:cs typeface="Arial" panose="020B0604020202020204" pitchFamily="34" charset="0"/>
            </a:rPr>
            <a:t>OP: </a:t>
          </a:r>
          <a:r>
            <a:rPr lang="de-DE" sz="800" b="0" baseline="0">
              <a:latin typeface="Arial" panose="020B0604020202020204" pitchFamily="34" charset="0"/>
              <a:cs typeface="Arial" panose="020B0604020202020204" pitchFamily="34" charset="0"/>
            </a:rPr>
            <a:t>United Patriots</a:t>
          </a:r>
          <a:br>
            <a:rPr lang="de-DE" sz="800" b="0" baseline="0">
              <a:latin typeface="Arial" panose="020B0604020202020204" pitchFamily="34" charset="0"/>
              <a:cs typeface="Arial" panose="020B0604020202020204" pitchFamily="34" charset="0"/>
            </a:rPr>
          </a:br>
          <a:r>
            <a:rPr lang="de-DE" sz="800" b="1" baseline="0">
              <a:latin typeface="Arial" panose="020B0604020202020204" pitchFamily="34" charset="0"/>
              <a:cs typeface="Arial" panose="020B0604020202020204" pitchFamily="34" charset="0"/>
            </a:rPr>
            <a:t>DP</a:t>
          </a:r>
          <a:r>
            <a:rPr lang="de-DE" sz="800" b="0" baseline="0">
              <a:latin typeface="Arial" panose="020B0604020202020204" pitchFamily="34" charset="0"/>
              <a:cs typeface="Arial" panose="020B0604020202020204" pitchFamily="34" charset="0"/>
            </a:rPr>
            <a:t>: Democratic Party</a:t>
          </a:r>
          <a:br>
            <a:rPr lang="de-DE" sz="800" b="0" baseline="0">
              <a:latin typeface="Arial" panose="020B0604020202020204" pitchFamily="34" charset="0"/>
              <a:cs typeface="Arial" panose="020B0604020202020204" pitchFamily="34" charset="0"/>
            </a:rPr>
          </a:br>
          <a:r>
            <a:rPr lang="de-DE" sz="800" b="1" baseline="0">
              <a:latin typeface="Arial" panose="020B0604020202020204" pitchFamily="34" charset="0"/>
              <a:cs typeface="Arial" panose="020B0604020202020204" pitchFamily="34" charset="0"/>
            </a:rPr>
            <a:t>PP</a:t>
          </a:r>
          <a:r>
            <a:rPr lang="de-DE" sz="800" b="0" baseline="0">
              <a:latin typeface="Arial" panose="020B0604020202020204" pitchFamily="34" charset="0"/>
              <a:cs typeface="Arial" panose="020B0604020202020204" pitchFamily="34" charset="0"/>
            </a:rPr>
            <a:t>: We Continue the Change</a:t>
          </a:r>
        </a:p>
        <a:p>
          <a:r>
            <a:rPr lang="de-CH" sz="800" b="1" baseline="0">
              <a:latin typeface="Arial" panose="020B0604020202020204" pitchFamily="34" charset="0"/>
              <a:cs typeface="Arial" panose="020B0604020202020204" pitchFamily="34" charset="0"/>
            </a:rPr>
            <a:t>ITN</a:t>
          </a:r>
          <a:r>
            <a:rPr lang="de-CH" sz="800" b="0" baseline="0">
              <a:latin typeface="Arial" panose="020B0604020202020204" pitchFamily="34" charset="0"/>
              <a:cs typeface="Arial" panose="020B0604020202020204" pitchFamily="34" charset="0"/>
            </a:rPr>
            <a:t>: There is such a People</a:t>
          </a:r>
        </a:p>
        <a:p>
          <a:r>
            <a:rPr lang="de-CH" sz="800" b="1" baseline="0">
              <a:latin typeface="Arial" panose="020B0604020202020204" pitchFamily="34" charset="0"/>
              <a:cs typeface="Arial" panose="020B0604020202020204" pitchFamily="34" charset="0"/>
            </a:rPr>
            <a:t>DB</a:t>
          </a:r>
          <a:r>
            <a:rPr lang="de-CH" sz="800" b="0" baseline="0">
              <a:latin typeface="Arial" panose="020B0604020202020204" pitchFamily="34" charset="0"/>
              <a:cs typeface="Arial" panose="020B0604020202020204" pitchFamily="34" charset="0"/>
            </a:rPr>
            <a:t>: Democratic Bulgaria</a:t>
          </a:r>
          <a:r>
            <a:rPr lang="de-CH" sz="800" b="1" baseline="0">
              <a:latin typeface="Arial" panose="020B0604020202020204" pitchFamily="34" charset="0"/>
              <a:cs typeface="Arial" panose="020B0604020202020204" pitchFamily="34" charset="0"/>
            </a:rPr>
            <a:t> </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26</xdr:col>
      <xdr:colOff>1</xdr:colOff>
      <xdr:row>28</xdr:row>
      <xdr:rowOff>1</xdr:rowOff>
    </xdr:from>
    <xdr:to>
      <xdr:col>32</xdr:col>
      <xdr:colOff>1</xdr:colOff>
      <xdr:row>32</xdr:row>
      <xdr:rowOff>31751</xdr:rowOff>
    </xdr:to>
    <xdr:sp macro="" textlink="">
      <xdr:nvSpPr>
        <xdr:cNvPr id="3" name="Textfeld 2">
          <a:extLst>
            <a:ext uri="{FF2B5EF4-FFF2-40B4-BE49-F238E27FC236}">
              <a16:creationId xmlns:a16="http://schemas.microsoft.com/office/drawing/2014/main" id="{00000000-0008-0000-0400-000003000000}"/>
            </a:ext>
          </a:extLst>
        </xdr:cNvPr>
        <xdr:cNvSpPr txBox="1"/>
      </xdr:nvSpPr>
      <xdr:spPr>
        <a:xfrm>
          <a:off x="10104439" y="3095626"/>
          <a:ext cx="2286000" cy="476250"/>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PC</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Progressive Conservative Party</a:t>
          </a:r>
        </a:p>
        <a:p>
          <a:r>
            <a:rPr lang="de-DE" sz="800" b="1" baseline="0">
              <a:latin typeface="Arial" panose="020B0604020202020204" pitchFamily="34" charset="0"/>
              <a:cs typeface="Arial" panose="020B0604020202020204" pitchFamily="34" charset="0"/>
            </a:rPr>
            <a:t>LIB</a:t>
          </a:r>
          <a:r>
            <a:rPr lang="de-DE" sz="800" baseline="0">
              <a:latin typeface="Arial" panose="020B0604020202020204" pitchFamily="34" charset="0"/>
              <a:cs typeface="Arial" panose="020B0604020202020204" pitchFamily="34" charset="0"/>
            </a:rPr>
            <a:t>: Liberal Party</a:t>
          </a:r>
          <a:endParaRPr lang="de-DE" sz="800">
            <a:latin typeface="Arial" panose="020B0604020202020204" pitchFamily="34" charset="0"/>
            <a:cs typeface="Arial" panose="020B0604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37</xdr:col>
      <xdr:colOff>47624</xdr:colOff>
      <xdr:row>16</xdr:row>
      <xdr:rowOff>7938</xdr:rowOff>
    </xdr:from>
    <xdr:to>
      <xdr:col>45</xdr:col>
      <xdr:colOff>468311</xdr:colOff>
      <xdr:row>31</xdr:row>
      <xdr:rowOff>0</xdr:rowOff>
    </xdr:to>
    <xdr:sp macro="" textlink="">
      <xdr:nvSpPr>
        <xdr:cNvPr id="2" name="Textfeld 1">
          <a:extLst>
            <a:ext uri="{FF2B5EF4-FFF2-40B4-BE49-F238E27FC236}">
              <a16:creationId xmlns:a16="http://schemas.microsoft.com/office/drawing/2014/main" id="{00000000-0008-0000-0500-000002000000}"/>
            </a:ext>
          </a:extLst>
        </xdr:cNvPr>
        <xdr:cNvSpPr txBox="1"/>
      </xdr:nvSpPr>
      <xdr:spPr>
        <a:xfrm>
          <a:off x="14343062" y="4214813"/>
          <a:ext cx="3468687" cy="1658937"/>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SDP</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Social Democratic Party of Croatia (Socijaldemokratska Partija Hrvatska)</a:t>
          </a:r>
        </a:p>
        <a:p>
          <a:r>
            <a:rPr lang="de-DE" sz="800" b="1" baseline="0">
              <a:latin typeface="Arial" panose="020B0604020202020204" pitchFamily="34" charset="0"/>
              <a:cs typeface="Arial" panose="020B0604020202020204" pitchFamily="34" charset="0"/>
            </a:rPr>
            <a:t>HSLS</a:t>
          </a:r>
          <a:r>
            <a:rPr lang="de-DE" sz="800" baseline="0">
              <a:latin typeface="Arial" panose="020B0604020202020204" pitchFamily="34" charset="0"/>
              <a:cs typeface="Arial" panose="020B0604020202020204" pitchFamily="34" charset="0"/>
            </a:rPr>
            <a:t>: Croatian Social Liberal Party (Hrvatska Socijalno Liberalna Stranka)</a:t>
          </a:r>
        </a:p>
        <a:p>
          <a:r>
            <a:rPr lang="de-DE" sz="800" b="1" baseline="0">
              <a:latin typeface="Arial" panose="020B0604020202020204" pitchFamily="34" charset="0"/>
              <a:cs typeface="Arial" panose="020B0604020202020204" pitchFamily="34" charset="0"/>
            </a:rPr>
            <a:t>HSS: </a:t>
          </a:r>
          <a:r>
            <a:rPr lang="de-DE" sz="800" b="0" baseline="0">
              <a:latin typeface="Arial" panose="020B0604020202020204" pitchFamily="34" charset="0"/>
              <a:cs typeface="Arial" panose="020B0604020202020204" pitchFamily="34" charset="0"/>
            </a:rPr>
            <a:t>Croatian Peasant Party (Hrvatska Seljačka Stranka)</a:t>
          </a:r>
        </a:p>
        <a:p>
          <a:r>
            <a:rPr lang="de-DE" sz="800" b="1" baseline="0">
              <a:latin typeface="Arial" panose="020B0604020202020204" pitchFamily="34" charset="0"/>
              <a:cs typeface="Arial" panose="020B0604020202020204" pitchFamily="34" charset="0"/>
            </a:rPr>
            <a:t>HNS: </a:t>
          </a:r>
          <a:r>
            <a:rPr lang="de-DE" sz="800" b="0" baseline="0">
              <a:latin typeface="Arial" panose="020B0604020202020204" pitchFamily="34" charset="0"/>
              <a:cs typeface="Arial" panose="020B0604020202020204" pitchFamily="34" charset="0"/>
            </a:rPr>
            <a:t>Croatian People’s Party (Hrvatska Narodna)</a:t>
          </a:r>
        </a:p>
        <a:p>
          <a:r>
            <a:rPr lang="de-DE" sz="800" b="1" baseline="0">
              <a:latin typeface="Arial" panose="020B0604020202020204" pitchFamily="34" charset="0"/>
              <a:cs typeface="Arial" panose="020B0604020202020204" pitchFamily="34" charset="0"/>
            </a:rPr>
            <a:t>Libra: </a:t>
          </a:r>
          <a:r>
            <a:rPr lang="de-DE" sz="800" b="0" baseline="0">
              <a:latin typeface="Arial" panose="020B0604020202020204" pitchFamily="34" charset="0"/>
              <a:cs typeface="Arial" panose="020B0604020202020204" pitchFamily="34" charset="0"/>
            </a:rPr>
            <a:t>Party of Liberal Democrats</a:t>
          </a:r>
        </a:p>
        <a:p>
          <a:r>
            <a:rPr lang="de-DE" sz="800" b="1" baseline="0">
              <a:latin typeface="Arial" panose="020B0604020202020204" pitchFamily="34" charset="0"/>
              <a:cs typeface="Arial" panose="020B0604020202020204" pitchFamily="34" charset="0"/>
            </a:rPr>
            <a:t>LS: </a:t>
          </a:r>
          <a:r>
            <a:rPr lang="de-DE" sz="800" b="0" baseline="0">
              <a:latin typeface="Arial" panose="020B0604020202020204" pitchFamily="34" charset="0"/>
              <a:cs typeface="Arial" panose="020B0604020202020204" pitchFamily="34" charset="0"/>
            </a:rPr>
            <a:t>Liberal Party (Liberalna Stranka)</a:t>
          </a:r>
        </a:p>
        <a:p>
          <a:r>
            <a:rPr lang="de-DE" sz="800" b="1" baseline="0">
              <a:latin typeface="Arial" panose="020B0604020202020204" pitchFamily="34" charset="0"/>
              <a:cs typeface="Arial" panose="020B0604020202020204" pitchFamily="34" charset="0"/>
            </a:rPr>
            <a:t>HDZ: </a:t>
          </a:r>
          <a:r>
            <a:rPr lang="de-DE" sz="800" b="0" baseline="0">
              <a:latin typeface="Arial" panose="020B0604020202020204" pitchFamily="34" charset="0"/>
              <a:cs typeface="Arial" panose="020B0604020202020204" pitchFamily="34" charset="0"/>
            </a:rPr>
            <a:t>Croatian Democratic Union (Hrvatska Demokratska Zajednica)</a:t>
          </a:r>
        </a:p>
        <a:p>
          <a:r>
            <a:rPr lang="de-DE" sz="800" b="1" baseline="0">
              <a:latin typeface="Arial" panose="020B0604020202020204" pitchFamily="34" charset="0"/>
              <a:cs typeface="Arial" panose="020B0604020202020204" pitchFamily="34" charset="0"/>
            </a:rPr>
            <a:t>DC: </a:t>
          </a:r>
          <a:r>
            <a:rPr lang="de-DE" sz="800" b="0" baseline="0">
              <a:latin typeface="Arial" panose="020B0604020202020204" pitchFamily="34" charset="0"/>
              <a:cs typeface="Arial" panose="020B0604020202020204" pitchFamily="34" charset="0"/>
            </a:rPr>
            <a:t>Democratic Center (Demokratski Centar)</a:t>
          </a:r>
        </a:p>
        <a:p>
          <a:r>
            <a:rPr lang="de-DE" sz="800" b="1" baseline="0">
              <a:latin typeface="Arial" panose="020B0604020202020204" pitchFamily="34" charset="0"/>
              <a:cs typeface="Arial" panose="020B0604020202020204" pitchFamily="34" charset="0"/>
            </a:rPr>
            <a:t>SDSS: </a:t>
          </a:r>
          <a:r>
            <a:rPr lang="de-DE" sz="800" b="0" baseline="0">
              <a:latin typeface="Arial" panose="020B0604020202020204" pitchFamily="34" charset="0"/>
              <a:cs typeface="Arial" panose="020B0604020202020204" pitchFamily="34" charset="0"/>
            </a:rPr>
            <a:t>Independent Democratic Serb Party (Samostalna demokratska srpska stranka)</a:t>
          </a:r>
        </a:p>
        <a:p>
          <a:r>
            <a:rPr lang="de-DE" sz="800" b="1" baseline="0">
              <a:latin typeface="Arial" panose="020B0604020202020204" pitchFamily="34" charset="0"/>
              <a:cs typeface="Arial" panose="020B0604020202020204" pitchFamily="34" charset="0"/>
            </a:rPr>
            <a:t>IDS: </a:t>
          </a:r>
          <a:r>
            <a:rPr lang="de-DE" sz="800" b="0" baseline="0">
              <a:latin typeface="Arial" panose="020B0604020202020204" pitchFamily="34" charset="0"/>
              <a:cs typeface="Arial" panose="020B0604020202020204" pitchFamily="34" charset="0"/>
            </a:rPr>
            <a:t>Istrian Democratic Assembly (Istarski Demokratski Sabor)</a:t>
          </a:r>
          <a:endParaRPr lang="de-DE" sz="800" b="0">
            <a:latin typeface="Arial" panose="020B0604020202020204" pitchFamily="34" charset="0"/>
            <a:cs typeface="Arial" panose="020B0604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29</xdr:col>
      <xdr:colOff>182563</xdr:colOff>
      <xdr:row>13</xdr:row>
      <xdr:rowOff>15874</xdr:rowOff>
    </xdr:from>
    <xdr:to>
      <xdr:col>38</xdr:col>
      <xdr:colOff>182563</xdr:colOff>
      <xdr:row>24</xdr:row>
      <xdr:rowOff>55562</xdr:rowOff>
    </xdr:to>
    <xdr:sp macro="" textlink="">
      <xdr:nvSpPr>
        <xdr:cNvPr id="2" name="Textfeld 1">
          <a:extLst>
            <a:ext uri="{FF2B5EF4-FFF2-40B4-BE49-F238E27FC236}">
              <a16:creationId xmlns:a16="http://schemas.microsoft.com/office/drawing/2014/main" id="{00000000-0008-0000-0600-000002000000}"/>
            </a:ext>
          </a:extLst>
        </xdr:cNvPr>
        <xdr:cNvSpPr txBox="1"/>
      </xdr:nvSpPr>
      <xdr:spPr>
        <a:xfrm>
          <a:off x="11430001" y="1666874"/>
          <a:ext cx="3429000" cy="126206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800" b="1" baseline="0">
              <a:latin typeface="Arial" panose="020B0604020202020204" pitchFamily="34" charset="0"/>
              <a:cs typeface="Arial" panose="020B0604020202020204" pitchFamily="34" charset="0"/>
            </a:rPr>
            <a:t>DIKO</a:t>
          </a:r>
          <a:r>
            <a:rPr lang="de-CH" sz="800" b="0" baseline="0">
              <a:latin typeface="Arial" panose="020B0604020202020204" pitchFamily="34" charset="0"/>
              <a:cs typeface="Arial" panose="020B0604020202020204" pitchFamily="34" charset="0"/>
            </a:rPr>
            <a:t>: The Democratic Party</a:t>
          </a:r>
        </a:p>
        <a:p>
          <a:r>
            <a:rPr lang="de-CH" sz="800" b="1" baseline="0">
              <a:latin typeface="Arial" panose="020B0604020202020204" pitchFamily="34" charset="0"/>
              <a:cs typeface="Arial" panose="020B0604020202020204" pitchFamily="34" charset="0"/>
            </a:rPr>
            <a:t>AKEL</a:t>
          </a:r>
          <a:r>
            <a:rPr lang="de-CH" sz="800" b="0" baseline="0">
              <a:latin typeface="Arial" panose="020B0604020202020204" pitchFamily="34" charset="0"/>
              <a:cs typeface="Arial" panose="020B0604020202020204" pitchFamily="34" charset="0"/>
            </a:rPr>
            <a:t>: Progressive Party of the Working People, The Communist Party</a:t>
          </a:r>
        </a:p>
        <a:p>
          <a:r>
            <a:rPr lang="de-CH" sz="800" b="1" baseline="0">
              <a:latin typeface="Arial" panose="020B0604020202020204" pitchFamily="34" charset="0"/>
              <a:cs typeface="Arial" panose="020B0604020202020204" pitchFamily="34" charset="0"/>
            </a:rPr>
            <a:t>DISY</a:t>
          </a:r>
          <a:r>
            <a:rPr lang="de-CH" sz="800" b="0" baseline="0">
              <a:latin typeface="Arial" panose="020B0604020202020204" pitchFamily="34" charset="0"/>
              <a:cs typeface="Arial" panose="020B0604020202020204" pitchFamily="34" charset="0"/>
            </a:rPr>
            <a:t>: The Democratic Rally</a:t>
          </a:r>
        </a:p>
        <a:p>
          <a:r>
            <a:rPr lang="de-CH" sz="800" b="1" baseline="0">
              <a:latin typeface="Arial" panose="020B0604020202020204" pitchFamily="34" charset="0"/>
              <a:cs typeface="Arial" panose="020B0604020202020204" pitchFamily="34" charset="0"/>
            </a:rPr>
            <a:t>EDI</a:t>
          </a:r>
          <a:r>
            <a:rPr lang="de-CH" sz="800" b="0" baseline="0">
              <a:latin typeface="Arial" panose="020B0604020202020204" pitchFamily="34" charset="0"/>
              <a:cs typeface="Arial" panose="020B0604020202020204" pitchFamily="34" charset="0"/>
            </a:rPr>
            <a:t>: Free/United Democrats</a:t>
          </a:r>
        </a:p>
        <a:p>
          <a:r>
            <a:rPr lang="de-CH" sz="800" b="1" baseline="0">
              <a:latin typeface="Arial" panose="020B0604020202020204" pitchFamily="34" charset="0"/>
              <a:cs typeface="Arial" panose="020B0604020202020204" pitchFamily="34" charset="0"/>
            </a:rPr>
            <a:t>EDEK</a:t>
          </a:r>
          <a:r>
            <a:rPr lang="de-CH" sz="800" b="0" baseline="0">
              <a:latin typeface="Arial" panose="020B0604020202020204" pitchFamily="34" charset="0"/>
              <a:cs typeface="Arial" panose="020B0604020202020204" pitchFamily="34" charset="0"/>
            </a:rPr>
            <a:t>: Social Democrats Movement; former United Democratic Union of Cyprus, The Socialist Party </a:t>
          </a:r>
        </a:p>
        <a:p>
          <a:r>
            <a:rPr lang="de-CH" sz="800" b="1" baseline="0">
              <a:latin typeface="Arial" panose="020B0604020202020204" pitchFamily="34" charset="0"/>
              <a:cs typeface="Arial" panose="020B0604020202020204" pitchFamily="34" charset="0"/>
            </a:rPr>
            <a:t>EVROKO</a:t>
          </a:r>
          <a:r>
            <a:rPr lang="de-CH" sz="800" b="0" baseline="0">
              <a:latin typeface="Arial" panose="020B0604020202020204" pitchFamily="34" charset="0"/>
              <a:cs typeface="Arial" panose="020B0604020202020204" pitchFamily="34" charset="0"/>
            </a:rPr>
            <a:t>: European Party (</a:t>
          </a:r>
          <a:r>
            <a:rPr lang="de-CH" sz="800" b="0" i="1" baseline="0">
              <a:latin typeface="Arial" panose="020B0604020202020204" pitchFamily="34" charset="0"/>
              <a:cs typeface="Arial" panose="020B0604020202020204" pitchFamily="34" charset="0"/>
            </a:rPr>
            <a:t>2016: Although EVROKO never formally declared its departure from government, since March 2016 it does not consider itself as part of the government any longer. The EVROKO minister stayed on declaring himself above party politics</a:t>
          </a:r>
          <a:r>
            <a:rPr lang="de-CH" sz="800" b="0" baseline="0">
              <a:latin typeface="Arial" panose="020B0604020202020204" pitchFamily="34" charset="0"/>
              <a:cs typeface="Arial" panose="020B0604020202020204" pitchFamily="34" charset="0"/>
            </a:rPr>
            <a:t>) </a:t>
          </a:r>
          <a:endParaRPr lang="de-CH" sz="800" b="1" baseline="0">
            <a:latin typeface="Arial" panose="020B0604020202020204" pitchFamily="34" charset="0"/>
            <a:cs typeface="Arial" panose="020B0604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33</xdr:col>
      <xdr:colOff>126999</xdr:colOff>
      <xdr:row>16</xdr:row>
      <xdr:rowOff>55563</xdr:rowOff>
    </xdr:from>
    <xdr:to>
      <xdr:col>46</xdr:col>
      <xdr:colOff>1587</xdr:colOff>
      <xdr:row>32</xdr:row>
      <xdr:rowOff>23738</xdr:rowOff>
    </xdr:to>
    <xdr:sp macro="" textlink="">
      <xdr:nvSpPr>
        <xdr:cNvPr id="2" name="Textfeld 1">
          <a:extLst>
            <a:ext uri="{FF2B5EF4-FFF2-40B4-BE49-F238E27FC236}">
              <a16:creationId xmlns:a16="http://schemas.microsoft.com/office/drawing/2014/main" id="{00000000-0008-0000-0700-000002000000}"/>
            </a:ext>
          </a:extLst>
        </xdr:cNvPr>
        <xdr:cNvSpPr txBox="1"/>
      </xdr:nvSpPr>
      <xdr:spPr>
        <a:xfrm>
          <a:off x="13301765" y="2061451"/>
          <a:ext cx="4966458" cy="1772287"/>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OF</a:t>
          </a:r>
          <a:r>
            <a:rPr lang="de-DE" sz="800" baseline="0">
              <a:latin typeface="Arial" panose="020B0604020202020204" pitchFamily="34" charset="0"/>
              <a:cs typeface="Arial" panose="020B0604020202020204" pitchFamily="34" charset="0"/>
            </a:rPr>
            <a:t>: Civic Forum</a:t>
          </a:r>
        </a:p>
        <a:p>
          <a:r>
            <a:rPr lang="de-DE" sz="800" b="1" baseline="0">
              <a:latin typeface="Arial" panose="020B0604020202020204" pitchFamily="34" charset="0"/>
              <a:cs typeface="Arial" panose="020B0604020202020204" pitchFamily="34" charset="0"/>
            </a:rPr>
            <a:t>HSD-SMS</a:t>
          </a:r>
          <a:r>
            <a:rPr lang="de-DE" sz="800" baseline="0">
              <a:latin typeface="Arial" panose="020B0604020202020204" pitchFamily="34" charset="0"/>
              <a:cs typeface="Arial" panose="020B0604020202020204" pitchFamily="34" charset="0"/>
            </a:rPr>
            <a:t>: Movement for Self-Governing Democracy - Society for Moravia and Silezia</a:t>
          </a:r>
        </a:p>
        <a:p>
          <a:r>
            <a:rPr lang="de-DE" sz="800" b="1" baseline="0">
              <a:latin typeface="Arial" panose="020B0604020202020204" pitchFamily="34" charset="0"/>
              <a:cs typeface="Arial" panose="020B0604020202020204" pitchFamily="34" charset="0"/>
            </a:rPr>
            <a:t>KDU-CSL</a:t>
          </a:r>
          <a:r>
            <a:rPr lang="de-DE" sz="800" baseline="0">
              <a:latin typeface="Arial" panose="020B0604020202020204" pitchFamily="34" charset="0"/>
              <a:cs typeface="Arial" panose="020B0604020202020204" pitchFamily="34" charset="0"/>
            </a:rPr>
            <a:t>: Christian Democratic Union - Czechoslovak People's Party</a:t>
          </a:r>
        </a:p>
        <a:p>
          <a:r>
            <a:rPr lang="de-DE" sz="800" b="1" baseline="0">
              <a:latin typeface="Arial" panose="020B0604020202020204" pitchFamily="34" charset="0"/>
              <a:cs typeface="Arial" panose="020B0604020202020204" pitchFamily="34" charset="0"/>
            </a:rPr>
            <a:t>ODS</a:t>
          </a:r>
          <a:r>
            <a:rPr lang="de-DE" sz="800" baseline="0">
              <a:latin typeface="Arial" panose="020B0604020202020204" pitchFamily="34" charset="0"/>
              <a:cs typeface="Arial" panose="020B0604020202020204" pitchFamily="34" charset="0"/>
            </a:rPr>
            <a:t>: Civic Democratic Party [1992: in alliance with Christian Democratic Party, KDS, merged in 1996]</a:t>
          </a:r>
        </a:p>
        <a:p>
          <a:r>
            <a:rPr lang="de-DE" sz="800" b="1" baseline="0">
              <a:latin typeface="Arial" panose="020B0604020202020204" pitchFamily="34" charset="0"/>
              <a:cs typeface="Arial" panose="020B0604020202020204" pitchFamily="34" charset="0"/>
            </a:rPr>
            <a:t>ODA</a:t>
          </a:r>
          <a:r>
            <a:rPr lang="de-DE" sz="800" baseline="0">
              <a:latin typeface="Arial" panose="020B0604020202020204" pitchFamily="34" charset="0"/>
              <a:cs typeface="Arial" panose="020B0604020202020204" pitchFamily="34" charset="0"/>
            </a:rPr>
            <a:t>: Civic Democratic Alliance</a:t>
          </a:r>
        </a:p>
        <a:p>
          <a:r>
            <a:rPr lang="de-DE" sz="800" b="1" baseline="0">
              <a:latin typeface="Arial" panose="020B0604020202020204" pitchFamily="34" charset="0"/>
              <a:cs typeface="Arial" panose="020B0604020202020204" pitchFamily="34" charset="0"/>
            </a:rPr>
            <a:t>CSSD</a:t>
          </a:r>
          <a:r>
            <a:rPr lang="de-DE" sz="800" baseline="0">
              <a:latin typeface="Arial" panose="020B0604020202020204" pitchFamily="34" charset="0"/>
              <a:cs typeface="Arial" panose="020B0604020202020204" pitchFamily="34" charset="0"/>
            </a:rPr>
            <a:t>: Czech Social Democratic Party</a:t>
          </a:r>
        </a:p>
        <a:p>
          <a:r>
            <a:rPr lang="de-DE" sz="800" b="1" baseline="0">
              <a:latin typeface="Arial" panose="020B0604020202020204" pitchFamily="34" charset="0"/>
              <a:cs typeface="Arial" panose="020B0604020202020204" pitchFamily="34" charset="0"/>
            </a:rPr>
            <a:t>US-DEU</a:t>
          </a:r>
          <a:r>
            <a:rPr lang="de-DE" sz="800" baseline="0">
              <a:latin typeface="Arial" panose="020B0604020202020204" pitchFamily="34" charset="0"/>
              <a:cs typeface="Arial" panose="020B0604020202020204" pitchFamily="34" charset="0"/>
            </a:rPr>
            <a:t>: Freedom Union-Democratic Union</a:t>
          </a:r>
        </a:p>
        <a:p>
          <a:r>
            <a:rPr lang="de-DE" sz="800" b="1" baseline="0">
              <a:latin typeface="Arial" panose="020B0604020202020204" pitchFamily="34" charset="0"/>
              <a:cs typeface="Arial" panose="020B0604020202020204" pitchFamily="34" charset="0"/>
            </a:rPr>
            <a:t>SZ</a:t>
          </a:r>
          <a:r>
            <a:rPr lang="de-DE" sz="800" baseline="0">
              <a:latin typeface="Arial" panose="020B0604020202020204" pitchFamily="34" charset="0"/>
              <a:cs typeface="Arial" panose="020B0604020202020204" pitchFamily="34" charset="0"/>
            </a:rPr>
            <a:t>: Green Party</a:t>
          </a:r>
        </a:p>
        <a:p>
          <a:r>
            <a:rPr lang="de-DE" sz="800" b="1" baseline="0">
              <a:latin typeface="Arial" panose="020B0604020202020204" pitchFamily="34" charset="0"/>
              <a:cs typeface="Arial" panose="020B0604020202020204" pitchFamily="34" charset="0"/>
            </a:rPr>
            <a:t>TOP 09</a:t>
          </a:r>
          <a:r>
            <a:rPr lang="de-DE" sz="800" baseline="0">
              <a:latin typeface="Arial" panose="020B0604020202020204" pitchFamily="34" charset="0"/>
              <a:cs typeface="Arial" panose="020B0604020202020204" pitchFamily="34" charset="0"/>
            </a:rPr>
            <a:t>: TOP 09</a:t>
          </a:r>
        </a:p>
        <a:p>
          <a:r>
            <a:rPr lang="de-DE" sz="800" b="1" baseline="0">
              <a:latin typeface="Arial" panose="020B0604020202020204" pitchFamily="34" charset="0"/>
              <a:cs typeface="Arial" panose="020B0604020202020204" pitchFamily="34" charset="0"/>
            </a:rPr>
            <a:t>VV</a:t>
          </a:r>
          <a:r>
            <a:rPr lang="de-DE" sz="800" baseline="0">
              <a:latin typeface="Arial" panose="020B0604020202020204" pitchFamily="34" charset="0"/>
              <a:cs typeface="Arial" panose="020B0604020202020204" pitchFamily="34" charset="0"/>
            </a:rPr>
            <a:t>: Public Affairs</a:t>
          </a:r>
          <a:endParaRPr lang="de-DE" sz="1100" b="0" i="0" u="none" strike="noStrike" baseline="0">
            <a:solidFill>
              <a:schemeClr val="dk1"/>
            </a:solidFill>
            <a:effectLst/>
            <a:latin typeface="+mn-lt"/>
            <a:ea typeface="+mn-ea"/>
            <a:cs typeface="+mn-cs"/>
          </a:endParaRPr>
        </a:p>
        <a:p>
          <a:r>
            <a:rPr lang="de-DE" sz="800" b="1" i="0" u="none" strike="noStrike" baseline="0">
              <a:solidFill>
                <a:schemeClr val="dk1"/>
              </a:solidFill>
              <a:effectLst/>
              <a:latin typeface="Arial" panose="020B0604020202020204" pitchFamily="34" charset="0"/>
              <a:ea typeface="+mn-ea"/>
              <a:cs typeface="Arial" panose="020B0604020202020204" pitchFamily="34" charset="0"/>
            </a:rPr>
            <a:t>LIDEM</a:t>
          </a:r>
          <a:r>
            <a:rPr lang="de-DE" sz="800" b="0" i="0" u="none" strike="noStrike" baseline="0">
              <a:solidFill>
                <a:schemeClr val="dk1"/>
              </a:solidFill>
              <a:effectLst/>
              <a:latin typeface="Arial" panose="020B0604020202020204" pitchFamily="34" charset="0"/>
              <a:ea typeface="+mn-ea"/>
              <a:cs typeface="Arial" panose="020B0604020202020204" pitchFamily="34" charset="0"/>
            </a:rPr>
            <a:t>: Liberal Democracy</a:t>
          </a:r>
          <a:endParaRPr lang="de-DE" sz="400" b="0" i="0" u="none" strike="noStrike" baseline="0">
            <a:solidFill>
              <a:schemeClr val="dk1"/>
            </a:solidFill>
            <a:effectLst/>
            <a:latin typeface="Arial" panose="020B0604020202020204" pitchFamily="34" charset="0"/>
            <a:ea typeface="+mn-ea"/>
            <a:cs typeface="Arial" panose="020B0604020202020204" pitchFamily="34" charset="0"/>
          </a:endParaRPr>
        </a:p>
        <a:p>
          <a:r>
            <a:rPr lang="de-DE" sz="800" b="1" i="0" u="none" strike="noStrike" baseline="0">
              <a:solidFill>
                <a:schemeClr val="dk1"/>
              </a:solidFill>
              <a:effectLst/>
              <a:latin typeface="Arial" panose="020B0604020202020204" pitchFamily="34" charset="0"/>
              <a:ea typeface="+mn-ea"/>
              <a:cs typeface="Arial" panose="020B0604020202020204" pitchFamily="34" charset="0"/>
            </a:rPr>
            <a:t>ANO: </a:t>
          </a:r>
          <a:r>
            <a:rPr lang="de-DE" sz="800" b="0" i="0" u="none" strike="noStrike" baseline="0">
              <a:solidFill>
                <a:schemeClr val="dk1"/>
              </a:solidFill>
              <a:effectLst/>
              <a:latin typeface="Arial" panose="020B0604020202020204" pitchFamily="34" charset="0"/>
              <a:ea typeface="+mn-ea"/>
              <a:cs typeface="Arial" panose="020B0604020202020204" pitchFamily="34" charset="0"/>
            </a:rPr>
            <a:t>Action of Dissatisfied Citizens</a:t>
          </a:r>
        </a:p>
        <a:p>
          <a:r>
            <a:rPr lang="de-DE" sz="800" b="1" i="0" u="none" strike="noStrike" baseline="0">
              <a:solidFill>
                <a:schemeClr val="dk1"/>
              </a:solidFill>
              <a:effectLst/>
              <a:latin typeface="Arial" panose="020B0604020202020204" pitchFamily="34" charset="0"/>
              <a:ea typeface="+mn-ea"/>
              <a:cs typeface="Arial" panose="020B0604020202020204" pitchFamily="34" charset="0"/>
            </a:rPr>
            <a:t>STAN</a:t>
          </a:r>
          <a:r>
            <a:rPr lang="de-DE" sz="800" b="0" i="0" u="none" strike="noStrike" baseline="0">
              <a:solidFill>
                <a:schemeClr val="dk1"/>
              </a:solidFill>
              <a:effectLst/>
              <a:latin typeface="Arial" panose="020B0604020202020204" pitchFamily="34" charset="0"/>
              <a:ea typeface="+mn-ea"/>
              <a:cs typeface="Arial" panose="020B0604020202020204" pitchFamily="34" charset="0"/>
            </a:rPr>
            <a:t>: Mayors and Independents [2021: in alliance with Czech Pirate Party, Pirati, as Pirates and Mayors]</a:t>
          </a:r>
        </a:p>
        <a:p>
          <a:r>
            <a:rPr lang="de-DE" sz="800" b="1" i="0" u="none" strike="noStrike" baseline="0">
              <a:solidFill>
                <a:schemeClr val="dk1"/>
              </a:solidFill>
              <a:effectLst/>
              <a:latin typeface="Arial" panose="020B0604020202020204" pitchFamily="34" charset="0"/>
              <a:ea typeface="+mn-ea"/>
              <a:cs typeface="Arial" panose="020B0604020202020204" pitchFamily="34" charset="0"/>
            </a:rPr>
            <a:t>Spolu</a:t>
          </a:r>
          <a:r>
            <a:rPr lang="de-DE" sz="800" b="0" i="0" u="none" strike="noStrike" baseline="0">
              <a:solidFill>
                <a:schemeClr val="dk1"/>
              </a:solidFill>
              <a:effectLst/>
              <a:latin typeface="Arial" panose="020B0604020202020204" pitchFamily="34" charset="0"/>
              <a:ea typeface="+mn-ea"/>
              <a:cs typeface="Arial" panose="020B0604020202020204" pitchFamily="34" charset="0"/>
            </a:rPr>
            <a:t>: Together</a:t>
          </a:r>
          <a:endParaRPr lang="de-DE" sz="1100" b="1" i="0" u="none" strike="noStrike" baseline="0">
            <a:solidFill>
              <a:schemeClr val="dk1"/>
            </a:solidFill>
            <a:effectLst/>
            <a:latin typeface="Arial" panose="020B0604020202020204" pitchFamily="34" charset="0"/>
            <a:ea typeface="+mn-ea"/>
            <a:cs typeface="Arial" panose="020B0604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30</xdr:col>
      <xdr:colOff>0</xdr:colOff>
      <xdr:row>33</xdr:row>
      <xdr:rowOff>0</xdr:rowOff>
    </xdr:from>
    <xdr:to>
      <xdr:col>37</xdr:col>
      <xdr:colOff>0</xdr:colOff>
      <xdr:row>44</xdr:row>
      <xdr:rowOff>39688</xdr:rowOff>
    </xdr:to>
    <xdr:sp macro="" textlink="">
      <xdr:nvSpPr>
        <xdr:cNvPr id="5" name="Textfeld 4">
          <a:extLst>
            <a:ext uri="{FF2B5EF4-FFF2-40B4-BE49-F238E27FC236}">
              <a16:creationId xmlns:a16="http://schemas.microsoft.com/office/drawing/2014/main" id="{00000000-0008-0000-0800-000005000000}"/>
            </a:ext>
          </a:extLst>
        </xdr:cNvPr>
        <xdr:cNvSpPr txBox="1"/>
      </xdr:nvSpPr>
      <xdr:spPr>
        <a:xfrm>
          <a:off x="11628438" y="3651250"/>
          <a:ext cx="2667000" cy="126206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SD</a:t>
          </a:r>
          <a:r>
            <a:rPr lang="de-DE" sz="800">
              <a:latin typeface="Arial" panose="020B0604020202020204" pitchFamily="34" charset="0"/>
              <a:cs typeface="Arial" panose="020B0604020202020204" pitchFamily="34" charset="0"/>
            </a:rPr>
            <a:t>: Social</a:t>
          </a:r>
          <a:r>
            <a:rPr lang="de-DE" sz="800" baseline="0">
              <a:latin typeface="Arial" panose="020B0604020202020204" pitchFamily="34" charset="0"/>
              <a:cs typeface="Arial" panose="020B0604020202020204" pitchFamily="34" charset="0"/>
            </a:rPr>
            <a:t> Democrats</a:t>
          </a:r>
        </a:p>
        <a:p>
          <a:r>
            <a:rPr lang="de-DE" sz="800" b="1" baseline="0">
              <a:latin typeface="Arial" panose="020B0604020202020204" pitchFamily="34" charset="0"/>
              <a:cs typeface="Arial" panose="020B0604020202020204" pitchFamily="34" charset="0"/>
            </a:rPr>
            <a:t>RV</a:t>
          </a:r>
          <a:r>
            <a:rPr lang="de-DE" sz="800" baseline="0">
              <a:latin typeface="Arial" panose="020B0604020202020204" pitchFamily="34" charset="0"/>
              <a:cs typeface="Arial" panose="020B0604020202020204" pitchFamily="34" charset="0"/>
            </a:rPr>
            <a:t>: Radical Party (Social Liberal Party)</a:t>
          </a:r>
        </a:p>
        <a:p>
          <a:r>
            <a:rPr lang="de-DE" sz="800" b="1" baseline="0">
              <a:latin typeface="Arial" panose="020B0604020202020204" pitchFamily="34" charset="0"/>
              <a:cs typeface="Arial" panose="020B0604020202020204" pitchFamily="34" charset="0"/>
            </a:rPr>
            <a:t>DRF</a:t>
          </a:r>
          <a:r>
            <a:rPr lang="de-DE" sz="800" baseline="0">
              <a:latin typeface="Arial" panose="020B0604020202020204" pitchFamily="34" charset="0"/>
              <a:cs typeface="Arial" panose="020B0604020202020204" pitchFamily="34" charset="0"/>
            </a:rPr>
            <a:t>: Justice Party</a:t>
          </a:r>
        </a:p>
        <a:p>
          <a:r>
            <a:rPr lang="de-DE" sz="800" b="1" baseline="0">
              <a:latin typeface="Arial" panose="020B0604020202020204" pitchFamily="34" charset="0"/>
              <a:cs typeface="Arial" panose="020B0604020202020204" pitchFamily="34" charset="0"/>
            </a:rPr>
            <a:t>LIB</a:t>
          </a:r>
          <a:r>
            <a:rPr lang="de-DE" sz="800" baseline="0">
              <a:latin typeface="Arial" panose="020B0604020202020204" pitchFamily="34" charset="0"/>
              <a:cs typeface="Arial" panose="020B0604020202020204" pitchFamily="34" charset="0"/>
            </a:rPr>
            <a:t>: Liberals (Venstre)</a:t>
          </a:r>
        </a:p>
        <a:p>
          <a:r>
            <a:rPr lang="de-DE" sz="800" b="1" baseline="0">
              <a:latin typeface="Arial" panose="020B0604020202020204" pitchFamily="34" charset="0"/>
              <a:cs typeface="Arial" panose="020B0604020202020204" pitchFamily="34" charset="0"/>
            </a:rPr>
            <a:t>KF</a:t>
          </a:r>
          <a:r>
            <a:rPr lang="de-DE" sz="800" baseline="0">
              <a:latin typeface="Arial" panose="020B0604020202020204" pitchFamily="34" charset="0"/>
              <a:cs typeface="Arial" panose="020B0604020202020204" pitchFamily="34" charset="0"/>
            </a:rPr>
            <a:t>: Conservative People's Party</a:t>
          </a:r>
        </a:p>
        <a:p>
          <a:r>
            <a:rPr lang="de-DE" sz="800" b="1">
              <a:latin typeface="Arial" panose="020B0604020202020204" pitchFamily="34" charset="0"/>
              <a:cs typeface="Arial" panose="020B0604020202020204" pitchFamily="34" charset="0"/>
            </a:rPr>
            <a:t>CD</a:t>
          </a:r>
          <a:r>
            <a:rPr lang="de-DE" sz="800">
              <a:latin typeface="Arial" panose="020B0604020202020204" pitchFamily="34" charset="0"/>
              <a:cs typeface="Arial" panose="020B0604020202020204" pitchFamily="34" charset="0"/>
            </a:rPr>
            <a:t>: Centre Democrats</a:t>
          </a:r>
        </a:p>
        <a:p>
          <a:r>
            <a:rPr lang="de-DE" sz="800" b="1">
              <a:latin typeface="Arial" panose="020B0604020202020204" pitchFamily="34" charset="0"/>
              <a:cs typeface="Arial" panose="020B0604020202020204" pitchFamily="34" charset="0"/>
            </a:rPr>
            <a:t>KRF</a:t>
          </a:r>
          <a:r>
            <a:rPr lang="de-DE" sz="800">
              <a:latin typeface="Arial" panose="020B0604020202020204" pitchFamily="34" charset="0"/>
              <a:cs typeface="Arial" panose="020B0604020202020204" pitchFamily="34" charset="0"/>
            </a:rPr>
            <a:t>: Christian People's Party</a:t>
          </a:r>
        </a:p>
        <a:p>
          <a:r>
            <a:rPr lang="de-DE" sz="800" b="1">
              <a:latin typeface="Arial" panose="020B0604020202020204" pitchFamily="34" charset="0"/>
              <a:cs typeface="Arial" panose="020B0604020202020204" pitchFamily="34" charset="0"/>
            </a:rPr>
            <a:t>SPP</a:t>
          </a:r>
          <a:r>
            <a:rPr lang="de-DE" sz="800">
              <a:latin typeface="Arial" panose="020B0604020202020204" pitchFamily="34" charset="0"/>
              <a:cs typeface="Arial" panose="020B0604020202020204" pitchFamily="34" charset="0"/>
            </a:rPr>
            <a:t>: Socialist People's</a:t>
          </a:r>
          <a:r>
            <a:rPr lang="de-DE" sz="800" baseline="0">
              <a:latin typeface="Arial" panose="020B0604020202020204" pitchFamily="34" charset="0"/>
              <a:cs typeface="Arial" panose="020B0604020202020204" pitchFamily="34" charset="0"/>
            </a:rPr>
            <a:t> Party</a:t>
          </a:r>
        </a:p>
        <a:p>
          <a:r>
            <a:rPr lang="de-DE" sz="800" b="1" baseline="0">
              <a:latin typeface="Arial" panose="020B0604020202020204" pitchFamily="34" charset="0"/>
              <a:cs typeface="Arial" panose="020B0604020202020204" pitchFamily="34" charset="0"/>
            </a:rPr>
            <a:t>LA</a:t>
          </a:r>
          <a:r>
            <a:rPr lang="de-DE" sz="800" baseline="0">
              <a:latin typeface="Arial" panose="020B0604020202020204" pitchFamily="34" charset="0"/>
              <a:cs typeface="Arial" panose="020B0604020202020204" pitchFamily="34" charset="0"/>
            </a:rPr>
            <a:t>: Liberal Alliance</a:t>
          </a:r>
          <a:br>
            <a:rPr lang="de-DE" sz="800" baseline="0">
              <a:latin typeface="Arial" panose="020B0604020202020204" pitchFamily="34" charset="0"/>
              <a:cs typeface="Arial" panose="020B0604020202020204" pitchFamily="34" charset="0"/>
            </a:rPr>
          </a:br>
          <a:r>
            <a:rPr lang="de-DE" sz="800" b="1" baseline="0">
              <a:latin typeface="Arial" panose="020B0604020202020204" pitchFamily="34" charset="0"/>
              <a:cs typeface="Arial" panose="020B0604020202020204" pitchFamily="34" charset="0"/>
            </a:rPr>
            <a:t>M</a:t>
          </a:r>
          <a:r>
            <a:rPr lang="de-DE" sz="800" baseline="0">
              <a:latin typeface="Arial" panose="020B0604020202020204" pitchFamily="34" charset="0"/>
              <a:cs typeface="Arial" panose="020B0604020202020204" pitchFamily="34" charset="0"/>
            </a:rPr>
            <a:t>: Moderates</a:t>
          </a:r>
          <a:endParaRPr lang="de-DE" sz="800">
            <a:latin typeface="Arial" panose="020B0604020202020204" pitchFamily="34" charset="0"/>
            <a:cs typeface="Arial" panose="020B0604020202020204" pitchFamily="34" charset="0"/>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33</xdr:col>
      <xdr:colOff>39687</xdr:colOff>
      <xdr:row>7</xdr:row>
      <xdr:rowOff>31749</xdr:rowOff>
    </xdr:from>
    <xdr:to>
      <xdr:col>45</xdr:col>
      <xdr:colOff>333375</xdr:colOff>
      <xdr:row>23</xdr:row>
      <xdr:rowOff>71438</xdr:rowOff>
    </xdr:to>
    <xdr:sp macro="" textlink="">
      <xdr:nvSpPr>
        <xdr:cNvPr id="2" name="Textfeld 1">
          <a:extLst>
            <a:ext uri="{FF2B5EF4-FFF2-40B4-BE49-F238E27FC236}">
              <a16:creationId xmlns:a16="http://schemas.microsoft.com/office/drawing/2014/main" id="{00000000-0008-0000-0900-000002000000}"/>
            </a:ext>
          </a:extLst>
        </xdr:cNvPr>
        <xdr:cNvSpPr txBox="1"/>
      </xdr:nvSpPr>
      <xdr:spPr>
        <a:xfrm>
          <a:off x="12811125" y="1015999"/>
          <a:ext cx="4865688" cy="1817689"/>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IL</a:t>
          </a:r>
          <a:r>
            <a:rPr lang="de-DE" sz="800" baseline="0">
              <a:latin typeface="Arial" panose="020B0604020202020204" pitchFamily="34" charset="0"/>
              <a:cs typeface="Arial" panose="020B0604020202020204" pitchFamily="34" charset="0"/>
            </a:rPr>
            <a:t>: Homeland (Isamaa) until 1999; in 1999 merged with Pro Patria and formed Homeland - Pro Patria Union (Isamaaliit)</a:t>
          </a:r>
        </a:p>
        <a:p>
          <a:r>
            <a:rPr lang="de-DE" sz="800" b="1" baseline="0">
              <a:latin typeface="Arial" panose="020B0604020202020204" pitchFamily="34" charset="0"/>
              <a:cs typeface="Arial" panose="020B0604020202020204" pitchFamily="34" charset="0"/>
            </a:rPr>
            <a:t>ERSP</a:t>
          </a:r>
          <a:r>
            <a:rPr lang="de-DE" sz="800" baseline="0">
              <a:latin typeface="Arial" panose="020B0604020202020204" pitchFamily="34" charset="0"/>
              <a:cs typeface="Arial" panose="020B0604020202020204" pitchFamily="34" charset="0"/>
            </a:rPr>
            <a:t>: Estonian National Independence Party</a:t>
          </a:r>
        </a:p>
        <a:p>
          <a:r>
            <a:rPr lang="de-DE" sz="800" b="1" baseline="0">
              <a:latin typeface="Arial" panose="020B0604020202020204" pitchFamily="34" charset="0"/>
              <a:cs typeface="Arial" panose="020B0604020202020204" pitchFamily="34" charset="0"/>
            </a:rPr>
            <a:t>M</a:t>
          </a:r>
          <a:r>
            <a:rPr lang="de-DE" sz="800" baseline="0">
              <a:latin typeface="Arial" panose="020B0604020202020204" pitchFamily="34" charset="0"/>
              <a:cs typeface="Arial" panose="020B0604020202020204" pitchFamily="34" charset="0"/>
            </a:rPr>
            <a:t>: Moderates [merger of People’s Party (Estonian Social Democratic Party + Rural Centre Party) with Moderates; from 1999 on known as People's Party Moderates]</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SDE</a:t>
          </a:r>
          <a:r>
            <a:rPr lang="de-DE" sz="800" baseline="0">
              <a:latin typeface="Arial" panose="020B0604020202020204" pitchFamily="34" charset="0"/>
              <a:cs typeface="Arial" panose="020B0604020202020204" pitchFamily="34" charset="0"/>
            </a:rPr>
            <a:t> (since 2004): Social Democratic Party</a:t>
          </a:r>
        </a:p>
        <a:p>
          <a:r>
            <a:rPr lang="de-DE" sz="800" b="1" baseline="0">
              <a:latin typeface="Arial" panose="020B0604020202020204" pitchFamily="34" charset="0"/>
              <a:cs typeface="Arial" panose="020B0604020202020204" pitchFamily="34" charset="0"/>
            </a:rPr>
            <a:t>KMU</a:t>
          </a:r>
          <a:r>
            <a:rPr lang="de-DE" sz="800" baseline="0">
              <a:latin typeface="Arial" panose="020B0604020202020204" pitchFamily="34" charset="0"/>
              <a:cs typeface="Arial" panose="020B0604020202020204" pitchFamily="34" charset="0"/>
            </a:rPr>
            <a:t>: Estonian Coalition Party and Rural Union [formed from Estonian Coalition Party (KE or KMU-K), Estonian Rural Union (EM or KMU-M), Estonian Country People's Party (EME), Estonian Pensioners' and Families' League (EPPL) and Farmers' Assembly (PK)]</a:t>
          </a:r>
        </a:p>
        <a:p>
          <a:r>
            <a:rPr lang="de-DE" sz="800" b="1" baseline="0">
              <a:latin typeface="Arial" panose="020B0604020202020204" pitchFamily="34" charset="0"/>
              <a:cs typeface="Arial" panose="020B0604020202020204" pitchFamily="34" charset="0"/>
            </a:rPr>
            <a:t>KE</a:t>
          </a:r>
          <a:r>
            <a:rPr lang="de-DE" sz="800" baseline="0">
              <a:latin typeface="Arial" panose="020B0604020202020204" pitchFamily="34" charset="0"/>
              <a:cs typeface="Arial" panose="020B0604020202020204" pitchFamily="34" charset="0"/>
            </a:rPr>
            <a:t>: Estonian Centre Party</a:t>
          </a:r>
        </a:p>
        <a:p>
          <a:r>
            <a:rPr lang="de-DE" sz="800" b="1" baseline="0">
              <a:latin typeface="Arial" panose="020B0604020202020204" pitchFamily="34" charset="0"/>
              <a:cs typeface="Arial" panose="020B0604020202020204" pitchFamily="34" charset="0"/>
            </a:rPr>
            <a:t>RE</a:t>
          </a:r>
          <a:r>
            <a:rPr lang="de-DE" sz="800" baseline="0">
              <a:latin typeface="Arial" panose="020B0604020202020204" pitchFamily="34" charset="0"/>
              <a:cs typeface="Arial" panose="020B0604020202020204" pitchFamily="34" charset="0"/>
            </a:rPr>
            <a:t>: Estonian Reform Party</a:t>
          </a:r>
        </a:p>
        <a:p>
          <a:r>
            <a:rPr lang="de-DE" sz="800" b="1" baseline="0">
              <a:latin typeface="Arial" panose="020B0604020202020204" pitchFamily="34" charset="0"/>
              <a:cs typeface="Arial" panose="020B0604020202020204" pitchFamily="34" charset="0"/>
            </a:rPr>
            <a:t>RP</a:t>
          </a:r>
          <a:r>
            <a:rPr lang="de-DE" sz="800" baseline="0">
              <a:latin typeface="Arial" panose="020B0604020202020204" pitchFamily="34" charset="0"/>
              <a:cs typeface="Arial" panose="020B0604020202020204" pitchFamily="34" charset="0"/>
            </a:rPr>
            <a:t>: Union for the Republic Res Publica</a:t>
          </a:r>
        </a:p>
        <a:p>
          <a:r>
            <a:rPr lang="de-DE" sz="800" b="1" baseline="0">
              <a:latin typeface="Arial" panose="020B0604020202020204" pitchFamily="34" charset="0"/>
              <a:cs typeface="Arial" panose="020B0604020202020204" pitchFamily="34" charset="0"/>
            </a:rPr>
            <a:t>RL</a:t>
          </a:r>
          <a:r>
            <a:rPr lang="de-DE" sz="800" baseline="0">
              <a:latin typeface="Arial" panose="020B0604020202020204" pitchFamily="34" charset="0"/>
              <a:cs typeface="Arial" panose="020B0604020202020204" pitchFamily="34" charset="0"/>
            </a:rPr>
            <a:t>: Estonian People's Union -&gt; 2012: </a:t>
          </a:r>
          <a:r>
            <a:rPr lang="de-DE" sz="800" b="1" baseline="0">
              <a:latin typeface="Arial" panose="020B0604020202020204" pitchFamily="34" charset="0"/>
              <a:cs typeface="Arial" panose="020B0604020202020204" pitchFamily="34" charset="0"/>
            </a:rPr>
            <a:t>EKRE</a:t>
          </a:r>
          <a:r>
            <a:rPr lang="de-DE" sz="800" b="0" baseline="0">
              <a:latin typeface="Arial" panose="020B0604020202020204" pitchFamily="34" charset="0"/>
              <a:cs typeface="Arial" panose="020B0604020202020204" pitchFamily="34" charset="0"/>
            </a:rPr>
            <a:t>: Conservative People's Party</a:t>
          </a:r>
          <a:endParaRPr lang="de-DE" sz="800" baseline="0">
            <a:latin typeface="Arial" panose="020B0604020202020204" pitchFamily="34" charset="0"/>
            <a:cs typeface="Arial" panose="020B0604020202020204" pitchFamily="34" charset="0"/>
          </a:endParaRPr>
        </a:p>
        <a:p>
          <a:r>
            <a:rPr lang="de-DE" sz="800" b="1" baseline="0">
              <a:latin typeface="Arial" panose="020B0604020202020204" pitchFamily="34" charset="0"/>
              <a:cs typeface="Arial" panose="020B0604020202020204" pitchFamily="34" charset="0"/>
            </a:rPr>
            <a:t>IRL</a:t>
          </a:r>
          <a:r>
            <a:rPr lang="de-DE" sz="800" baseline="0">
              <a:latin typeface="Arial" panose="020B0604020202020204" pitchFamily="34" charset="0"/>
              <a:cs typeface="Arial" panose="020B0604020202020204" pitchFamily="34" charset="0"/>
            </a:rPr>
            <a:t>: Pro Patria and Res Publica Union [merger of Res Publica (RP) and Pro Patria Union (IL)]</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38</xdr:col>
      <xdr:colOff>0</xdr:colOff>
      <xdr:row>50</xdr:row>
      <xdr:rowOff>113577</xdr:rowOff>
    </xdr:from>
    <xdr:to>
      <xdr:col>45</xdr:col>
      <xdr:colOff>7937</xdr:colOff>
      <xdr:row>67</xdr:row>
      <xdr:rowOff>103251</xdr:rowOff>
    </xdr:to>
    <xdr:sp macro="" textlink="">
      <xdr:nvSpPr>
        <xdr:cNvPr id="2" name="Textfeld 1">
          <a:extLst>
            <a:ext uri="{FF2B5EF4-FFF2-40B4-BE49-F238E27FC236}">
              <a16:creationId xmlns:a16="http://schemas.microsoft.com/office/drawing/2014/main" id="{00000000-0008-0000-0A00-000002000000}"/>
            </a:ext>
          </a:extLst>
        </xdr:cNvPr>
        <xdr:cNvSpPr txBox="1"/>
      </xdr:nvSpPr>
      <xdr:spPr>
        <a:xfrm>
          <a:off x="15172886" y="5993780"/>
          <a:ext cx="2754441" cy="1920487"/>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KESK</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Centre Party</a:t>
          </a:r>
        </a:p>
        <a:p>
          <a:r>
            <a:rPr lang="de-DE" sz="800" b="1" baseline="0">
              <a:latin typeface="Arial" panose="020B0604020202020204" pitchFamily="34" charset="0"/>
              <a:cs typeface="Arial" panose="020B0604020202020204" pitchFamily="34" charset="0"/>
            </a:rPr>
            <a:t>KOK</a:t>
          </a:r>
          <a:r>
            <a:rPr lang="de-DE" sz="800" baseline="0">
              <a:latin typeface="Arial" panose="020B0604020202020204" pitchFamily="34" charset="0"/>
              <a:cs typeface="Arial" panose="020B0604020202020204" pitchFamily="34" charset="0"/>
            </a:rPr>
            <a:t>: National Coalition</a:t>
          </a:r>
        </a:p>
        <a:p>
          <a:r>
            <a:rPr lang="de-DE" sz="800" b="1" baseline="0">
              <a:latin typeface="Arial" panose="020B0604020202020204" pitchFamily="34" charset="0"/>
              <a:cs typeface="Arial" panose="020B0604020202020204" pitchFamily="34" charset="0"/>
            </a:rPr>
            <a:t>RKP</a:t>
          </a:r>
          <a:r>
            <a:rPr lang="de-DE" sz="800" baseline="0">
              <a:latin typeface="Arial" panose="020B0604020202020204" pitchFamily="34" charset="0"/>
              <a:cs typeface="Arial" panose="020B0604020202020204" pitchFamily="34" charset="0"/>
            </a:rPr>
            <a:t>: Swedish People's Party</a:t>
          </a:r>
        </a:p>
        <a:p>
          <a:r>
            <a:rPr lang="de-DE" sz="800" b="1" baseline="0">
              <a:latin typeface="Arial" panose="020B0604020202020204" pitchFamily="34" charset="0"/>
              <a:cs typeface="Arial" panose="020B0604020202020204" pitchFamily="34" charset="0"/>
            </a:rPr>
            <a:t>LKP</a:t>
          </a:r>
          <a:r>
            <a:rPr lang="de-DE" sz="800" baseline="0">
              <a:latin typeface="Arial" panose="020B0604020202020204" pitchFamily="34" charset="0"/>
              <a:cs typeface="Arial" panose="020B0604020202020204" pitchFamily="34" charset="0"/>
            </a:rPr>
            <a:t>: Liberal People's Party</a:t>
          </a:r>
        </a:p>
        <a:p>
          <a:r>
            <a:rPr lang="de-DE" sz="800" b="1" baseline="0">
              <a:latin typeface="Arial" panose="020B0604020202020204" pitchFamily="34" charset="0"/>
              <a:cs typeface="Arial" panose="020B0604020202020204" pitchFamily="34" charset="0"/>
            </a:rPr>
            <a:t>SDP</a:t>
          </a:r>
          <a:r>
            <a:rPr lang="de-DE" sz="800" baseline="0">
              <a:latin typeface="Arial" panose="020B0604020202020204" pitchFamily="34" charset="0"/>
              <a:cs typeface="Arial" panose="020B0604020202020204" pitchFamily="34" charset="0"/>
            </a:rPr>
            <a:t>: Social Democrats</a:t>
          </a:r>
        </a:p>
        <a:p>
          <a:r>
            <a:rPr lang="de-DE" sz="800" b="1" baseline="0">
              <a:latin typeface="Arial" panose="020B0604020202020204" pitchFamily="34" charset="0"/>
              <a:cs typeface="Arial" panose="020B0604020202020204" pitchFamily="34" charset="0"/>
            </a:rPr>
            <a:t>SKDL</a:t>
          </a:r>
          <a:r>
            <a:rPr lang="de-DE" sz="800" baseline="0">
              <a:latin typeface="Arial" panose="020B0604020202020204" pitchFamily="34" charset="0"/>
              <a:cs typeface="Arial" panose="020B0604020202020204" pitchFamily="34" charset="0"/>
            </a:rPr>
            <a:t>: Finnish People's Democratic Union</a:t>
          </a:r>
        </a:p>
        <a:p>
          <a:r>
            <a:rPr lang="de-DE" sz="800" b="1" baseline="0">
              <a:latin typeface="Arial" panose="020B0604020202020204" pitchFamily="34" charset="0"/>
              <a:cs typeface="Arial" panose="020B0604020202020204" pitchFamily="34" charset="0"/>
            </a:rPr>
            <a:t>TPSL</a:t>
          </a:r>
          <a:r>
            <a:rPr lang="de-DE" sz="800" baseline="0">
              <a:latin typeface="Arial" panose="020B0604020202020204" pitchFamily="34" charset="0"/>
              <a:cs typeface="Arial" panose="020B0604020202020204" pitchFamily="34" charset="0"/>
            </a:rPr>
            <a:t>: Social Democratic League</a:t>
          </a:r>
        </a:p>
        <a:p>
          <a:r>
            <a:rPr lang="de-DE" sz="800" b="1">
              <a:latin typeface="Arial" panose="020B0604020202020204" pitchFamily="34" charset="0"/>
              <a:cs typeface="Arial" panose="020B0604020202020204" pitchFamily="34" charset="0"/>
            </a:rPr>
            <a:t>SMP</a:t>
          </a:r>
          <a:r>
            <a:rPr lang="de-DE" sz="800">
              <a:latin typeface="Arial" panose="020B0604020202020204" pitchFamily="34" charset="0"/>
              <a:cs typeface="Arial" panose="020B0604020202020204" pitchFamily="34" charset="0"/>
            </a:rPr>
            <a:t>: Finnish Rural Party</a:t>
          </a:r>
        </a:p>
        <a:p>
          <a:r>
            <a:rPr lang="de-DE" sz="800" b="1">
              <a:latin typeface="Arial" panose="020B0604020202020204" pitchFamily="34" charset="0"/>
              <a:cs typeface="Arial" panose="020B0604020202020204" pitchFamily="34" charset="0"/>
            </a:rPr>
            <a:t>SKL</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Christian League</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KD</a:t>
          </a:r>
          <a:r>
            <a:rPr lang="de-DE" sz="800" baseline="0">
              <a:latin typeface="Arial" panose="020B0604020202020204" pitchFamily="34" charset="0"/>
              <a:cs typeface="Arial" panose="020B0604020202020204" pitchFamily="34" charset="0"/>
            </a:rPr>
            <a:t> (since 1999): Christian Democrats</a:t>
          </a:r>
        </a:p>
        <a:p>
          <a:r>
            <a:rPr lang="de-DE" sz="800" b="1" baseline="0">
              <a:latin typeface="Arial" panose="020B0604020202020204" pitchFamily="34" charset="0"/>
              <a:cs typeface="Arial" panose="020B0604020202020204" pitchFamily="34" charset="0"/>
            </a:rPr>
            <a:t>VAS</a:t>
          </a:r>
          <a:r>
            <a:rPr lang="de-DE" sz="800" baseline="0">
              <a:latin typeface="Arial" panose="020B0604020202020204" pitchFamily="34" charset="0"/>
              <a:cs typeface="Arial" panose="020B0604020202020204" pitchFamily="34" charset="0"/>
            </a:rPr>
            <a:t>: Left-Wing Alliance</a:t>
          </a:r>
        </a:p>
        <a:p>
          <a:r>
            <a:rPr lang="de-DE" sz="800" b="1" baseline="0">
              <a:latin typeface="Arial" panose="020B0604020202020204" pitchFamily="34" charset="0"/>
              <a:cs typeface="Arial" panose="020B0604020202020204" pitchFamily="34" charset="0"/>
            </a:rPr>
            <a:t>VIHR</a:t>
          </a:r>
          <a:r>
            <a:rPr lang="de-DE" sz="800" baseline="0">
              <a:latin typeface="Arial" panose="020B0604020202020204" pitchFamily="34" charset="0"/>
              <a:cs typeface="Arial" panose="020B0604020202020204" pitchFamily="34" charset="0"/>
            </a:rPr>
            <a:t>: Green League</a:t>
          </a:r>
        </a:p>
        <a:p>
          <a:r>
            <a:rPr lang="de-DE" sz="800" b="1" baseline="0">
              <a:latin typeface="Arial" panose="020B0604020202020204" pitchFamily="34" charset="0"/>
              <a:cs typeface="Arial" panose="020B0604020202020204" pitchFamily="34" charset="0"/>
            </a:rPr>
            <a:t>PS</a:t>
          </a:r>
          <a:r>
            <a:rPr lang="de-DE" sz="800" baseline="0">
              <a:latin typeface="Arial" panose="020B0604020202020204" pitchFamily="34" charset="0"/>
              <a:cs typeface="Arial" panose="020B0604020202020204" pitchFamily="34" charset="0"/>
            </a:rPr>
            <a:t>: True Finns (in 2017 the parliamentary fraction splid into Blue Reform Parliamentyry Group (SIN)). </a:t>
          </a:r>
        </a:p>
        <a:p>
          <a:r>
            <a:rPr lang="de-DE" sz="800" b="1" baseline="0">
              <a:latin typeface="Arial" panose="020B0604020202020204" pitchFamily="34" charset="0"/>
              <a:cs typeface="Arial" panose="020B0604020202020204" pitchFamily="34" charset="0"/>
            </a:rPr>
            <a:t>SIN</a:t>
          </a:r>
          <a:r>
            <a:rPr lang="de-DE" sz="800" baseline="0">
              <a:latin typeface="Arial" panose="020B0604020202020204" pitchFamily="34" charset="0"/>
              <a:cs typeface="Arial" panose="020B0604020202020204" pitchFamily="34" charset="0"/>
            </a:rPr>
            <a:t>: Blue Reform (splinter of the True Finns, PS)</a:t>
          </a:r>
          <a:endParaRPr lang="de-DE" sz="800">
            <a:latin typeface="Arial" panose="020B0604020202020204" pitchFamily="34" charset="0"/>
            <a:cs typeface="Arial" panose="020B0604020202020204" pitchFamily="34" charset="0"/>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37</xdr:col>
      <xdr:colOff>55574</xdr:colOff>
      <xdr:row>12</xdr:row>
      <xdr:rowOff>71438</xdr:rowOff>
    </xdr:from>
    <xdr:to>
      <xdr:col>45</xdr:col>
      <xdr:colOff>63511</xdr:colOff>
      <xdr:row>42</xdr:row>
      <xdr:rowOff>51027</xdr:rowOff>
    </xdr:to>
    <xdr:sp macro="" textlink="">
      <xdr:nvSpPr>
        <xdr:cNvPr id="4" name="Textfeld 3">
          <a:extLst>
            <a:ext uri="{FF2B5EF4-FFF2-40B4-BE49-F238E27FC236}">
              <a16:creationId xmlns:a16="http://schemas.microsoft.com/office/drawing/2014/main" id="{00000000-0008-0000-0B00-000004000000}"/>
            </a:ext>
          </a:extLst>
        </xdr:cNvPr>
        <xdr:cNvSpPr txBox="1"/>
      </xdr:nvSpPr>
      <xdr:spPr>
        <a:xfrm>
          <a:off x="14819324" y="1636259"/>
          <a:ext cx="3137580" cy="3381375"/>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LR</a:t>
          </a:r>
          <a:r>
            <a:rPr kumimoji="0" lang="de-DE" sz="800" b="0"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 (since 2015): The Republicans</a:t>
          </a:r>
          <a:endPar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-----UMP</a:t>
          </a:r>
          <a:r>
            <a:rPr kumimoji="0" lang="de-DE" sz="800" b="0"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 (since 2002): Union for a Presidential Majority</a:t>
          </a:r>
        </a:p>
        <a:p>
          <a:pPr>
            <a:lnSpc>
              <a:spcPct val="100000"/>
            </a:lnSpc>
            <a:spcBef>
              <a:spcPts val="0"/>
            </a:spcBef>
          </a:pPr>
          <a:r>
            <a:rPr lang="de-DE" sz="800" b="0">
              <a:latin typeface="Arial" panose="020B0604020202020204" pitchFamily="34" charset="0"/>
              <a:cs typeface="Arial" panose="020B0604020202020204" pitchFamily="34" charset="0"/>
            </a:rPr>
            <a:t>-----</a:t>
          </a:r>
          <a:r>
            <a:rPr lang="de-DE" sz="800" b="1">
              <a:latin typeface="Arial" panose="020B0604020202020204" pitchFamily="34" charset="0"/>
              <a:cs typeface="Arial" panose="020B0604020202020204" pitchFamily="34" charset="0"/>
            </a:rPr>
            <a:t>UDR </a:t>
          </a:r>
          <a:r>
            <a:rPr lang="de-DE" sz="800" b="0">
              <a:latin typeface="Arial" panose="020B0604020202020204" pitchFamily="34" charset="0"/>
              <a:cs typeface="Arial" panose="020B0604020202020204" pitchFamily="34" charset="0"/>
            </a:rPr>
            <a:t>(until 1976)</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Gaullists, Union for the New Republic/</a:t>
          </a:r>
        </a:p>
        <a:p>
          <a:pPr>
            <a:lnSpc>
              <a:spcPct val="100000"/>
            </a:lnSpc>
            <a:spcBef>
              <a:spcPts val="0"/>
            </a:spcBef>
          </a:pPr>
          <a:r>
            <a:rPr lang="de-DE" sz="800">
              <a:latin typeface="Arial" panose="020B0604020202020204" pitchFamily="34" charset="0"/>
              <a:cs typeface="Arial" panose="020B0604020202020204" pitchFamily="34" charset="0"/>
            </a:rPr>
            <a:t>Union of Democrats for the Republic</a:t>
          </a:r>
          <a:endParaRPr lang="de-DE" sz="800" baseline="0">
            <a:latin typeface="Arial" panose="020B0604020202020204" pitchFamily="34" charset="0"/>
            <a:cs typeface="Arial" panose="020B0604020202020204" pitchFamily="34" charset="0"/>
          </a:endParaRPr>
        </a:p>
        <a:p>
          <a:pPr>
            <a:lnSpc>
              <a:spcPct val="100000"/>
            </a:lnSpc>
            <a:spcBef>
              <a:spcPts val="0"/>
            </a:spcBef>
          </a:pPr>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RPR</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1976-2002): Rally for the Republic</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IND</a:t>
          </a:r>
          <a:r>
            <a:rPr kumimoji="0" lang="de-DE" sz="800" b="0"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 Independent Republicans/Republican Party (split from CONS in 1962)</a:t>
          </a:r>
        </a:p>
        <a:p>
          <a:pPr>
            <a:lnSpc>
              <a:spcPct val="100000"/>
            </a:lnSpc>
            <a:spcBef>
              <a:spcPts val="0"/>
            </a:spcBef>
          </a:pPr>
          <a:r>
            <a:rPr lang="de-DE" sz="800" b="1">
              <a:latin typeface="Arial" panose="020B0604020202020204" pitchFamily="34" charset="0"/>
              <a:cs typeface="Arial" panose="020B0604020202020204" pitchFamily="34" charset="0"/>
            </a:rPr>
            <a:t>CONS</a:t>
          </a:r>
          <a:r>
            <a:rPr lang="de-DE" sz="800">
              <a:latin typeface="Arial" panose="020B0604020202020204" pitchFamily="34" charset="0"/>
              <a:cs typeface="Arial" panose="020B0604020202020204" pitchFamily="34" charset="0"/>
            </a:rPr>
            <a:t>: National Centre of Independents and Peasants (Conservatives)</a:t>
          </a:r>
        </a:p>
        <a:p>
          <a:pPr>
            <a:lnSpc>
              <a:spcPct val="100000"/>
            </a:lnSpc>
            <a:spcBef>
              <a:spcPts val="0"/>
            </a:spcBef>
          </a:pPr>
          <a:r>
            <a:rPr lang="de-DE" sz="800" b="1">
              <a:latin typeface="Arial" panose="020B0604020202020204" pitchFamily="34" charset="0"/>
              <a:cs typeface="Arial" panose="020B0604020202020204" pitchFamily="34" charset="0"/>
            </a:rPr>
            <a:t>MRP</a:t>
          </a:r>
          <a:r>
            <a:rPr lang="de-DE" sz="800">
              <a:latin typeface="Arial" panose="020B0604020202020204" pitchFamily="34" charset="0"/>
              <a:cs typeface="Arial" panose="020B0604020202020204" pitchFamily="34" charset="0"/>
            </a:rPr>
            <a:t>: Popular Republican Movement</a:t>
          </a:r>
        </a:p>
        <a:p>
          <a:pPr>
            <a:lnSpc>
              <a:spcPct val="100000"/>
            </a:lnSpc>
            <a:spcBef>
              <a:spcPts val="0"/>
            </a:spcBef>
          </a:pPr>
          <a:r>
            <a:rPr lang="de-DE" sz="800" b="1">
              <a:latin typeface="Arial" panose="020B0604020202020204" pitchFamily="34" charset="0"/>
              <a:cs typeface="Arial" panose="020B0604020202020204" pitchFamily="34" charset="0"/>
            </a:rPr>
            <a:t>RSP</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Radical Socialist Party</a:t>
          </a:r>
        </a:p>
        <a:p>
          <a:pPr>
            <a:lnSpc>
              <a:spcPct val="100000"/>
            </a:lnSpc>
            <a:spcBef>
              <a:spcPts val="0"/>
            </a:spcBef>
          </a:pPr>
          <a:r>
            <a:rPr lang="de-DE" sz="800" b="1" i="0" baseline="0">
              <a:latin typeface="Arial" panose="020B0604020202020204" pitchFamily="34" charset="0"/>
              <a:cs typeface="Arial" panose="020B0604020202020204" pitchFamily="34" charset="0"/>
            </a:rPr>
            <a:t>MRG</a:t>
          </a:r>
          <a:r>
            <a:rPr lang="de-DE" sz="800" baseline="0">
              <a:latin typeface="Arial" panose="020B0604020202020204" pitchFamily="34" charset="0"/>
              <a:cs typeface="Arial" panose="020B0604020202020204" pitchFamily="34" charset="0"/>
            </a:rPr>
            <a:t>: Movement of Radicals of the Left</a:t>
          </a:r>
        </a:p>
        <a:p>
          <a:pPr>
            <a:lnSpc>
              <a:spcPct val="100000"/>
            </a:lnSpc>
            <a:spcBef>
              <a:spcPts val="0"/>
            </a:spcBef>
          </a:pPr>
          <a:r>
            <a:rPr lang="de-DE" sz="800" b="1" baseline="0">
              <a:latin typeface="Arial" panose="020B0604020202020204" pitchFamily="34" charset="0"/>
              <a:cs typeface="Arial" panose="020B0604020202020204" pitchFamily="34" charset="0"/>
            </a:rPr>
            <a:t>MoDem </a:t>
          </a:r>
          <a:r>
            <a:rPr lang="de-DE" sz="800" b="0" baseline="0">
              <a:latin typeface="Arial" panose="020B0604020202020204" pitchFamily="34" charset="0"/>
              <a:cs typeface="Arial" panose="020B0604020202020204" pitchFamily="34" charset="0"/>
            </a:rPr>
            <a:t>(since 20017): Democratic Movement</a:t>
          </a:r>
        </a:p>
        <a:p>
          <a:pPr>
            <a:lnSpc>
              <a:spcPct val="100000"/>
            </a:lnSpc>
            <a:spcBef>
              <a:spcPts val="0"/>
            </a:spcBef>
          </a:pPr>
          <a:r>
            <a:rPr lang="de-DE" sz="800" b="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UDF</a:t>
          </a:r>
          <a:r>
            <a:rPr lang="de-DE" sz="800" baseline="0">
              <a:latin typeface="Arial" panose="020B0604020202020204" pitchFamily="34" charset="0"/>
              <a:cs typeface="Arial" panose="020B0604020202020204" pitchFamily="34" charset="0"/>
            </a:rPr>
            <a:t>: Union for French Democracy</a:t>
          </a:r>
        </a:p>
        <a:p>
          <a:pPr>
            <a:lnSpc>
              <a:spcPct val="100000"/>
            </a:lnSpc>
            <a:spcBef>
              <a:spcPts val="0"/>
            </a:spcBef>
          </a:pPr>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PDM</a:t>
          </a:r>
          <a:r>
            <a:rPr lang="de-DE" sz="800" baseline="0">
              <a:latin typeface="Arial" panose="020B0604020202020204" pitchFamily="34" charset="0"/>
              <a:cs typeface="Arial" panose="020B0604020202020204" pitchFamily="34" charset="0"/>
            </a:rPr>
            <a:t> (until 1978): Democratic Centre</a:t>
          </a:r>
        </a:p>
        <a:p>
          <a:pPr>
            <a:lnSpc>
              <a:spcPct val="100000"/>
            </a:lnSpc>
            <a:spcBef>
              <a:spcPts val="0"/>
            </a:spcBef>
          </a:pPr>
          <a:r>
            <a:rPr lang="de-DE" sz="800" b="1" baseline="0">
              <a:latin typeface="Arial" panose="020B0604020202020204" pitchFamily="34" charset="0"/>
              <a:cs typeface="Arial" panose="020B0604020202020204" pitchFamily="34" charset="0"/>
            </a:rPr>
            <a:t>CDP</a:t>
          </a:r>
          <a:r>
            <a:rPr lang="de-DE" sz="800" baseline="0">
              <a:latin typeface="Arial" panose="020B0604020202020204" pitchFamily="34" charset="0"/>
              <a:cs typeface="Arial" panose="020B0604020202020204" pitchFamily="34" charset="0"/>
            </a:rPr>
            <a:t>: Centre Democracy and Progress</a:t>
          </a:r>
        </a:p>
        <a:p>
          <a:pPr>
            <a:lnSpc>
              <a:spcPct val="100000"/>
            </a:lnSpc>
            <a:spcBef>
              <a:spcPts val="0"/>
            </a:spcBef>
          </a:pPr>
          <a:r>
            <a:rPr lang="de-DE" sz="800" b="1" baseline="0">
              <a:latin typeface="Arial" panose="020B0604020202020204" pitchFamily="34" charset="0"/>
              <a:cs typeface="Arial" panose="020B0604020202020204" pitchFamily="34" charset="0"/>
            </a:rPr>
            <a:t>PRG</a:t>
          </a:r>
          <a:r>
            <a:rPr lang="de-DE" sz="800" baseline="0">
              <a:latin typeface="Arial" panose="020B0604020202020204" pitchFamily="34" charset="0"/>
              <a:cs typeface="Arial" panose="020B0604020202020204" pitchFamily="34" charset="0"/>
            </a:rPr>
            <a:t>: Left Radicals</a:t>
          </a:r>
        </a:p>
        <a:p>
          <a:pPr>
            <a:lnSpc>
              <a:spcPct val="100000"/>
            </a:lnSpc>
            <a:spcBef>
              <a:spcPts val="0"/>
            </a:spcBef>
          </a:pPr>
          <a:r>
            <a:rPr lang="de-DE" sz="800" b="1" baseline="0">
              <a:latin typeface="Arial" panose="020B0604020202020204" pitchFamily="34" charset="0"/>
              <a:cs typeface="Arial" panose="020B0604020202020204" pitchFamily="34" charset="0"/>
            </a:rPr>
            <a:t>PS</a:t>
          </a:r>
          <a:r>
            <a:rPr lang="de-DE" sz="800" baseline="0">
              <a:latin typeface="Arial" panose="020B0604020202020204" pitchFamily="34" charset="0"/>
              <a:cs typeface="Arial" panose="020B0604020202020204" pitchFamily="34" charset="0"/>
            </a:rPr>
            <a:t>: Socialist Party</a:t>
          </a:r>
        </a:p>
        <a:p>
          <a:pPr>
            <a:lnSpc>
              <a:spcPct val="100000"/>
            </a:lnSpc>
            <a:spcBef>
              <a:spcPts val="0"/>
            </a:spcBef>
          </a:pPr>
          <a:r>
            <a:rPr lang="de-DE" sz="800" b="1" baseline="0">
              <a:latin typeface="Arial" panose="020B0604020202020204" pitchFamily="34" charset="0"/>
              <a:cs typeface="Arial" panose="020B0604020202020204" pitchFamily="34" charset="0"/>
            </a:rPr>
            <a:t>PCF</a:t>
          </a:r>
          <a:r>
            <a:rPr lang="de-DE" sz="800" baseline="0">
              <a:latin typeface="Arial" panose="020B0604020202020204" pitchFamily="34" charset="0"/>
              <a:cs typeface="Arial" panose="020B0604020202020204" pitchFamily="34" charset="0"/>
            </a:rPr>
            <a:t>: Communist Party</a:t>
          </a:r>
        </a:p>
        <a:p>
          <a:pPr>
            <a:lnSpc>
              <a:spcPct val="100000"/>
            </a:lnSpc>
            <a:spcBef>
              <a:spcPts val="0"/>
            </a:spcBef>
          </a:pPr>
          <a:r>
            <a:rPr lang="de-DE" sz="800" b="1" baseline="0">
              <a:latin typeface="Arial" panose="020B0604020202020204" pitchFamily="34" charset="0"/>
              <a:cs typeface="Arial" panose="020B0604020202020204" pitchFamily="34" charset="0"/>
            </a:rPr>
            <a:t>GE</a:t>
          </a:r>
          <a:r>
            <a:rPr lang="de-DE" sz="800" baseline="0">
              <a:latin typeface="Arial" panose="020B0604020202020204" pitchFamily="34" charset="0"/>
              <a:cs typeface="Arial" panose="020B0604020202020204" pitchFamily="34" charset="0"/>
            </a:rPr>
            <a:t>: Generation Ecology</a:t>
          </a:r>
        </a:p>
        <a:p>
          <a:pPr>
            <a:lnSpc>
              <a:spcPct val="100000"/>
            </a:lnSpc>
            <a:spcBef>
              <a:spcPts val="0"/>
            </a:spcBef>
          </a:pPr>
          <a:r>
            <a:rPr lang="de-DE" sz="800" b="1" baseline="0">
              <a:latin typeface="Arial" panose="020B0604020202020204" pitchFamily="34" charset="0"/>
              <a:cs typeface="Arial" panose="020B0604020202020204" pitchFamily="34" charset="0"/>
            </a:rPr>
            <a:t>V</a:t>
          </a:r>
          <a:r>
            <a:rPr lang="de-DE" sz="800" baseline="0">
              <a:latin typeface="Arial" panose="020B0604020202020204" pitchFamily="34" charset="0"/>
              <a:cs typeface="Arial" panose="020B0604020202020204" pitchFamily="34" charset="0"/>
            </a:rPr>
            <a:t>: Greens</a:t>
          </a:r>
        </a:p>
        <a:p>
          <a:pPr>
            <a:lnSpc>
              <a:spcPct val="100000"/>
            </a:lnSpc>
            <a:spcBef>
              <a:spcPts val="0"/>
            </a:spcBef>
          </a:pPr>
          <a:r>
            <a:rPr lang="de-DE" sz="800" b="1" baseline="0">
              <a:latin typeface="Arial" panose="020B0604020202020204" pitchFamily="34" charset="0"/>
              <a:cs typeface="Arial" panose="020B0604020202020204" pitchFamily="34" charset="0"/>
            </a:rPr>
            <a:t>NC</a:t>
          </a:r>
          <a:r>
            <a:rPr lang="de-DE" sz="800" baseline="0">
              <a:latin typeface="Arial" panose="020B0604020202020204" pitchFamily="34" charset="0"/>
              <a:cs typeface="Arial" panose="020B0604020202020204" pitchFamily="34" charset="0"/>
            </a:rPr>
            <a:t>: New Centre</a:t>
          </a:r>
        </a:p>
        <a:p>
          <a:pPr>
            <a:lnSpc>
              <a:spcPct val="100000"/>
            </a:lnSpc>
            <a:spcBef>
              <a:spcPts val="0"/>
            </a:spcBef>
          </a:pPr>
          <a:r>
            <a:rPr lang="de-DE" sz="800" b="1" baseline="0">
              <a:latin typeface="Arial" panose="020B0604020202020204" pitchFamily="34" charset="0"/>
              <a:cs typeface="Arial" panose="020B0604020202020204" pitchFamily="34" charset="0"/>
            </a:rPr>
            <a:t>LRM </a:t>
          </a:r>
          <a:r>
            <a:rPr lang="de-DE" sz="800" b="0" baseline="0">
              <a:latin typeface="Arial" panose="020B0604020202020204" pitchFamily="34" charset="0"/>
              <a:cs typeface="Arial" panose="020B0604020202020204" pitchFamily="34" charset="0"/>
            </a:rPr>
            <a:t>(until 2022): </a:t>
          </a:r>
          <a:r>
            <a:rPr lang="de-DE" sz="800" baseline="0">
              <a:latin typeface="Arial" panose="020B0604020202020204" pitchFamily="34" charset="0"/>
              <a:cs typeface="Arial" panose="020B0604020202020204" pitchFamily="34" charset="0"/>
            </a:rPr>
            <a:t>Forward</a:t>
          </a:r>
        </a:p>
        <a:p>
          <a:pPr>
            <a:lnSpc>
              <a:spcPct val="100000"/>
            </a:lnSpc>
            <a:spcBef>
              <a:spcPts val="0"/>
            </a:spcBef>
          </a:pPr>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RE</a:t>
          </a:r>
          <a:r>
            <a:rPr lang="de-DE" sz="800" baseline="0">
              <a:latin typeface="Arial" panose="020B0604020202020204" pitchFamily="34" charset="0"/>
              <a:cs typeface="Arial" panose="020B0604020202020204" pitchFamily="34" charset="0"/>
            </a:rPr>
            <a:t> (since 2022): Renaissance</a:t>
          </a:r>
        </a:p>
        <a:p>
          <a:pPr>
            <a:lnSpc>
              <a:spcPct val="100000"/>
            </a:lnSpc>
            <a:spcBef>
              <a:spcPts val="0"/>
            </a:spcBef>
          </a:pPr>
          <a:r>
            <a:rPr lang="de-DE" sz="800" b="1" baseline="0">
              <a:latin typeface="Arial" panose="020B0604020202020204" pitchFamily="34" charset="0"/>
              <a:cs typeface="Arial" panose="020B0604020202020204" pitchFamily="34" charset="0"/>
            </a:rPr>
            <a:t>MDC</a:t>
          </a:r>
          <a:r>
            <a:rPr lang="de-DE" sz="800" baseline="0">
              <a:latin typeface="Arial" panose="020B0604020202020204" pitchFamily="34" charset="0"/>
              <a:cs typeface="Arial" panose="020B0604020202020204" pitchFamily="34" charset="0"/>
            </a:rPr>
            <a:t>: Movement for Citizens</a:t>
          </a:r>
        </a:p>
        <a:p>
          <a:pPr>
            <a:lnSpc>
              <a:spcPct val="100000"/>
            </a:lnSpc>
            <a:spcBef>
              <a:spcPts val="0"/>
            </a:spcBef>
          </a:pPr>
          <a:r>
            <a:rPr lang="de-DE" sz="800" b="1" baseline="0">
              <a:latin typeface="Arial" panose="020B0604020202020204" pitchFamily="34" charset="0"/>
              <a:cs typeface="Arial" panose="020B0604020202020204" pitchFamily="34" charset="0"/>
            </a:rPr>
            <a:t>TDP</a:t>
          </a:r>
          <a:r>
            <a:rPr lang="de-DE" sz="800" baseline="0">
              <a:latin typeface="Arial" panose="020B0604020202020204" pitchFamily="34" charset="0"/>
              <a:cs typeface="Arial" panose="020B0604020202020204" pitchFamily="34" charset="0"/>
            </a:rPr>
            <a:t>: Territories of Progress</a:t>
          </a:r>
        </a:p>
        <a:p>
          <a:pPr>
            <a:lnSpc>
              <a:spcPct val="100000"/>
            </a:lnSpc>
            <a:spcBef>
              <a:spcPts val="0"/>
            </a:spcBef>
          </a:pPr>
          <a:r>
            <a:rPr lang="de-DE" sz="800" b="1" i="0" baseline="0">
              <a:latin typeface="Arial" panose="020B0604020202020204" pitchFamily="34" charset="0"/>
              <a:cs typeface="Arial" panose="020B0604020202020204" pitchFamily="34" charset="0"/>
            </a:rPr>
            <a:t>Agir</a:t>
          </a:r>
          <a:r>
            <a:rPr lang="de-DE" sz="800" baseline="0">
              <a:latin typeface="Arial" panose="020B0604020202020204" pitchFamily="34" charset="0"/>
              <a:cs typeface="Arial" panose="020B0604020202020204" pitchFamily="34" charset="0"/>
            </a:rPr>
            <a:t>: Act</a:t>
          </a:r>
        </a:p>
        <a:p>
          <a:pPr>
            <a:lnSpc>
              <a:spcPct val="100000"/>
            </a:lnSpc>
            <a:spcBef>
              <a:spcPts val="0"/>
            </a:spcBef>
          </a:pPr>
          <a:r>
            <a:rPr lang="de-DE" sz="800" b="1" baseline="0">
              <a:latin typeface="Arial" panose="020B0604020202020204" pitchFamily="34" charset="0"/>
              <a:cs typeface="Arial" panose="020B0604020202020204" pitchFamily="34" charset="0"/>
            </a:rPr>
            <a:t>HOR</a:t>
          </a:r>
          <a:r>
            <a:rPr lang="de-DE" sz="800" baseline="0">
              <a:latin typeface="Arial" panose="020B0604020202020204" pitchFamily="34" charset="0"/>
              <a:cs typeface="Arial" panose="020B0604020202020204" pitchFamily="34" charset="0"/>
            </a:rPr>
            <a:t>: Horizons</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30</xdr:col>
      <xdr:colOff>1</xdr:colOff>
      <xdr:row>36</xdr:row>
      <xdr:rowOff>36</xdr:rowOff>
    </xdr:from>
    <xdr:to>
      <xdr:col>37</xdr:col>
      <xdr:colOff>1</xdr:colOff>
      <xdr:row>43</xdr:row>
      <xdr:rowOff>103223</xdr:rowOff>
    </xdr:to>
    <xdr:sp macro="" textlink="">
      <xdr:nvSpPr>
        <xdr:cNvPr id="2" name="Textfeld 1">
          <a:extLst>
            <a:ext uri="{FF2B5EF4-FFF2-40B4-BE49-F238E27FC236}">
              <a16:creationId xmlns:a16="http://schemas.microsoft.com/office/drawing/2014/main" id="{00000000-0008-0000-0C00-000002000000}"/>
            </a:ext>
          </a:extLst>
        </xdr:cNvPr>
        <xdr:cNvSpPr txBox="1"/>
      </xdr:nvSpPr>
      <xdr:spPr>
        <a:xfrm>
          <a:off x="11628439" y="3984661"/>
          <a:ext cx="2667000" cy="881062"/>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CDU</a:t>
          </a:r>
          <a:r>
            <a:rPr lang="de-DE" sz="800">
              <a:latin typeface="Arial" panose="020B0604020202020204" pitchFamily="34" charset="0"/>
              <a:cs typeface="Arial" panose="020B0604020202020204" pitchFamily="34" charset="0"/>
            </a:rPr>
            <a:t>: Christian Democratic</a:t>
          </a:r>
          <a:r>
            <a:rPr lang="de-DE" sz="800" baseline="0">
              <a:latin typeface="Arial" panose="020B0604020202020204" pitchFamily="34" charset="0"/>
              <a:cs typeface="Arial" panose="020B0604020202020204" pitchFamily="34" charset="0"/>
            </a:rPr>
            <a:t> Union (CDU)</a:t>
          </a:r>
        </a:p>
        <a:p>
          <a:r>
            <a:rPr lang="de-DE" sz="800" b="1" baseline="0">
              <a:latin typeface="Arial" panose="020B0604020202020204" pitchFamily="34" charset="0"/>
              <a:cs typeface="Arial" panose="020B0604020202020204" pitchFamily="34" charset="0"/>
            </a:rPr>
            <a:t>CSU</a:t>
          </a:r>
          <a:r>
            <a:rPr lang="de-DE" sz="800" baseline="0">
              <a:latin typeface="Arial" panose="020B0604020202020204" pitchFamily="34" charset="0"/>
              <a:cs typeface="Arial" panose="020B0604020202020204" pitchFamily="34" charset="0"/>
            </a:rPr>
            <a:t>: Christian Social Union (CSU)</a:t>
          </a:r>
        </a:p>
        <a:p>
          <a:r>
            <a:rPr lang="de-DE" sz="800" b="1" baseline="0">
              <a:latin typeface="Arial" panose="020B0604020202020204" pitchFamily="34" charset="0"/>
              <a:cs typeface="Arial" panose="020B0604020202020204" pitchFamily="34" charset="0"/>
            </a:rPr>
            <a:t>DP</a:t>
          </a:r>
          <a:r>
            <a:rPr lang="de-DE" sz="800" baseline="0">
              <a:latin typeface="Arial" panose="020B0604020202020204" pitchFamily="34" charset="0"/>
              <a:cs typeface="Arial" panose="020B0604020202020204" pitchFamily="34" charset="0"/>
            </a:rPr>
            <a:t>: German Party (DP)</a:t>
          </a:r>
        </a:p>
        <a:p>
          <a:r>
            <a:rPr lang="de-DE" sz="800" b="1" baseline="0">
              <a:latin typeface="Arial" panose="020B0604020202020204" pitchFamily="34" charset="0"/>
              <a:cs typeface="Arial" panose="020B0604020202020204" pitchFamily="34" charset="0"/>
            </a:rPr>
            <a:t>FDP</a:t>
          </a:r>
          <a:r>
            <a:rPr lang="de-DE" sz="800" baseline="0">
              <a:latin typeface="Arial" panose="020B0604020202020204" pitchFamily="34" charset="0"/>
              <a:cs typeface="Arial" panose="020B0604020202020204" pitchFamily="34" charset="0"/>
            </a:rPr>
            <a:t>: Free Democrats (FDP)</a:t>
          </a:r>
        </a:p>
        <a:p>
          <a:r>
            <a:rPr lang="de-DE" sz="800" b="1" baseline="0">
              <a:latin typeface="Arial" panose="020B0604020202020204" pitchFamily="34" charset="0"/>
              <a:cs typeface="Arial" panose="020B0604020202020204" pitchFamily="34" charset="0"/>
            </a:rPr>
            <a:t>SPD</a:t>
          </a:r>
          <a:r>
            <a:rPr lang="de-DE" sz="800" baseline="0">
              <a:latin typeface="Arial" panose="020B0604020202020204" pitchFamily="34" charset="0"/>
              <a:cs typeface="Arial" panose="020B0604020202020204" pitchFamily="34" charset="0"/>
            </a:rPr>
            <a:t>: Social Democrats (SPD)</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G</a:t>
          </a:r>
          <a:r>
            <a:rPr lang="de-DE" sz="800">
              <a:latin typeface="Arial" panose="020B0604020202020204" pitchFamily="34" charset="0"/>
              <a:cs typeface="Arial" panose="020B0604020202020204" pitchFamily="34" charset="0"/>
            </a:rPr>
            <a:t>: Greens/Alliance</a:t>
          </a:r>
          <a:r>
            <a:rPr lang="de-DE" sz="800" baseline="0">
              <a:latin typeface="Arial" panose="020B0604020202020204" pitchFamily="34" charset="0"/>
              <a:cs typeface="Arial" panose="020B0604020202020204" pitchFamily="34" charset="0"/>
            </a:rPr>
            <a:t> 90 (G)</a:t>
          </a:r>
          <a:endParaRPr lang="de-DE" sz="800">
            <a:latin typeface="Arial" panose="020B0604020202020204" pitchFamily="34" charset="0"/>
            <a:cs typeface="Arial" panose="020B0604020202020204" pitchFamily="34" charset="0"/>
          </a:endParaRPr>
        </a:p>
        <a:p>
          <a:endParaRPr lang="de-DE" sz="800">
            <a:latin typeface="Arial" panose="020B0604020202020204" pitchFamily="34" charset="0"/>
            <a:cs typeface="Arial" panose="020B0604020202020204" pitchFamily="34" charset="0"/>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25</xdr:col>
      <xdr:colOff>1</xdr:colOff>
      <xdr:row>29</xdr:row>
      <xdr:rowOff>68036</xdr:rowOff>
    </xdr:from>
    <xdr:to>
      <xdr:col>36</xdr:col>
      <xdr:colOff>1</xdr:colOff>
      <xdr:row>42</xdr:row>
      <xdr:rowOff>51027</xdr:rowOff>
    </xdr:to>
    <xdr:sp macro="" textlink="">
      <xdr:nvSpPr>
        <xdr:cNvPr id="3" name="Textfeld 2">
          <a:extLst>
            <a:ext uri="{FF2B5EF4-FFF2-40B4-BE49-F238E27FC236}">
              <a16:creationId xmlns:a16="http://schemas.microsoft.com/office/drawing/2014/main" id="{00000000-0008-0000-0D00-000003000000}"/>
            </a:ext>
          </a:extLst>
        </xdr:cNvPr>
        <xdr:cNvSpPr txBox="1"/>
      </xdr:nvSpPr>
      <xdr:spPr>
        <a:xfrm>
          <a:off x="10023930" y="3560536"/>
          <a:ext cx="4178526" cy="1457098"/>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ND</a:t>
          </a:r>
          <a:r>
            <a:rPr lang="de-DE" sz="800">
              <a:latin typeface="Arial" panose="020B0604020202020204" pitchFamily="34" charset="0"/>
              <a:cs typeface="Arial" panose="020B0604020202020204" pitchFamily="34" charset="0"/>
            </a:rPr>
            <a:t>: New Democracy</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ERE</a:t>
          </a:r>
          <a:r>
            <a:rPr lang="de-DE" sz="800" baseline="0">
              <a:latin typeface="Arial" panose="020B0604020202020204" pitchFamily="34" charset="0"/>
              <a:cs typeface="Arial" panose="020B0604020202020204" pitchFamily="34" charset="0"/>
            </a:rPr>
            <a:t> (until 1974): </a:t>
          </a:r>
          <a:r>
            <a:rPr lang="de-DE" sz="800">
              <a:latin typeface="Arial" panose="020B0604020202020204" pitchFamily="34" charset="0"/>
              <a:cs typeface="Arial" panose="020B0604020202020204" pitchFamily="34" charset="0"/>
            </a:rPr>
            <a:t>National Radical Union</a:t>
          </a:r>
        </a:p>
        <a:p>
          <a:r>
            <a:rPr lang="de-DE" sz="800" b="1">
              <a:latin typeface="Arial" panose="020B0604020202020204" pitchFamily="34" charset="0"/>
              <a:cs typeface="Arial" panose="020B0604020202020204" pitchFamily="34" charset="0"/>
            </a:rPr>
            <a:t>KP</a:t>
          </a:r>
          <a:r>
            <a:rPr lang="de-DE" sz="800">
              <a:latin typeface="Arial" panose="020B0604020202020204" pitchFamily="34" charset="0"/>
              <a:cs typeface="Arial" panose="020B0604020202020204" pitchFamily="34" charset="0"/>
            </a:rPr>
            <a:t>: Progressives</a:t>
          </a:r>
        </a:p>
        <a:p>
          <a:r>
            <a:rPr lang="de-DE" sz="800" b="1">
              <a:latin typeface="Arial" panose="020B0604020202020204" pitchFamily="34" charset="0"/>
              <a:cs typeface="Arial" panose="020B0604020202020204" pitchFamily="34" charset="0"/>
            </a:rPr>
            <a:t>CU</a:t>
          </a:r>
          <a:r>
            <a:rPr lang="de-DE" sz="800">
              <a:latin typeface="Arial" panose="020B0604020202020204" pitchFamily="34" charset="0"/>
              <a:cs typeface="Arial" panose="020B0604020202020204" pitchFamily="34" charset="0"/>
            </a:rPr>
            <a:t>: Centre Union</a:t>
          </a:r>
        </a:p>
        <a:p>
          <a:r>
            <a:rPr lang="de-DE" sz="800">
              <a:latin typeface="Arial" panose="020B0604020202020204" pitchFamily="34" charset="0"/>
              <a:cs typeface="Arial" panose="020B0604020202020204" pitchFamily="34" charset="0"/>
            </a:rPr>
            <a:t>-----succeeded</a:t>
          </a:r>
          <a:r>
            <a:rPr lang="de-DE" sz="800" baseline="0">
              <a:latin typeface="Arial" panose="020B0604020202020204" pitchFamily="34" charset="0"/>
              <a:cs typeface="Arial" panose="020B0604020202020204" pitchFamily="34" charset="0"/>
            </a:rPr>
            <a:t> by Union of the Democratic Centre in 1976, EDIK</a:t>
          </a:r>
        </a:p>
        <a:p>
          <a:r>
            <a:rPr lang="de-DE" sz="800" baseline="0">
              <a:latin typeface="Arial" panose="020B0604020202020204" pitchFamily="34" charset="0"/>
              <a:cs typeface="Arial" panose="020B0604020202020204" pitchFamily="34" charset="0"/>
            </a:rPr>
            <a:t>-----Diss-CU: dissident (anti-Papandreou) faction of CU</a:t>
          </a:r>
        </a:p>
        <a:p>
          <a:r>
            <a:rPr lang="de-DE" sz="800" b="1" baseline="0">
              <a:latin typeface="Arial" panose="020B0604020202020204" pitchFamily="34" charset="0"/>
              <a:cs typeface="Arial" panose="020B0604020202020204" pitchFamily="34" charset="0"/>
            </a:rPr>
            <a:t>PASOK</a:t>
          </a:r>
          <a:r>
            <a:rPr lang="de-DE" sz="800" baseline="0">
              <a:latin typeface="Arial" panose="020B0604020202020204" pitchFamily="34" charset="0"/>
              <a:cs typeface="Arial" panose="020B0604020202020204" pitchFamily="34" charset="0"/>
            </a:rPr>
            <a:t>: Pan-Hellenic Socialist Movement</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SYRIZA</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Coalition of the Left and Progress (SAP Synaspismós tīs Aristerás)</a:t>
          </a:r>
        </a:p>
        <a:p>
          <a:r>
            <a:rPr lang="de-DE" sz="800" b="1">
              <a:latin typeface="Arial" panose="020B0604020202020204" pitchFamily="34" charset="0"/>
              <a:cs typeface="Arial" panose="020B0604020202020204" pitchFamily="34" charset="0"/>
            </a:rPr>
            <a:t>DIMAR</a:t>
          </a:r>
          <a:r>
            <a:rPr lang="de-DE" sz="800">
              <a:latin typeface="Arial" panose="020B0604020202020204" pitchFamily="34" charset="0"/>
              <a:cs typeface="Arial" panose="020B0604020202020204" pitchFamily="34" charset="0"/>
            </a:rPr>
            <a:t>: Democratic Left</a:t>
          </a:r>
          <a:r>
            <a:rPr lang="de-DE" sz="800" baseline="0">
              <a:latin typeface="Arial" panose="020B0604020202020204" pitchFamily="34" charset="0"/>
              <a:cs typeface="Arial" panose="020B0604020202020204" pitchFamily="34" charset="0"/>
            </a:rPr>
            <a:t> </a:t>
          </a:r>
          <a:br>
            <a:rPr lang="de-DE" sz="800">
              <a:latin typeface="Arial" panose="020B0604020202020204" pitchFamily="34" charset="0"/>
              <a:cs typeface="Arial" panose="020B0604020202020204" pitchFamily="34" charset="0"/>
            </a:rPr>
          </a:br>
          <a:r>
            <a:rPr lang="de-DE" sz="800" b="1">
              <a:latin typeface="Arial" panose="020B0604020202020204" pitchFamily="34" charset="0"/>
              <a:cs typeface="Arial" panose="020B0604020202020204" pitchFamily="34" charset="0"/>
            </a:rPr>
            <a:t>ANEL</a:t>
          </a:r>
          <a:r>
            <a:rPr lang="de-DE" sz="800">
              <a:latin typeface="Arial" panose="020B0604020202020204" pitchFamily="34" charset="0"/>
              <a:cs typeface="Arial" panose="020B0604020202020204" pitchFamily="34" charset="0"/>
            </a:rPr>
            <a:t>: Independent</a:t>
          </a:r>
          <a:r>
            <a:rPr lang="de-DE" sz="800" baseline="0">
              <a:latin typeface="Arial" panose="020B0604020202020204" pitchFamily="34" charset="0"/>
              <a:cs typeface="Arial" panose="020B0604020202020204" pitchFamily="34" charset="0"/>
            </a:rPr>
            <a:t> Hellenes</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LAOS</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Popular Orthodox Rally</a:t>
          </a:r>
          <a:endParaRPr lang="de-DE" sz="800">
            <a:latin typeface="Arial" panose="020B0604020202020204" pitchFamily="34" charset="0"/>
            <a:cs typeface="Arial" panose="020B0604020202020204" pitchFamily="34" charset="0"/>
          </a:endParaRPr>
        </a:p>
        <a:p>
          <a:endParaRPr lang="de-DE" sz="800">
            <a:latin typeface="Arial" panose="020B0604020202020204" pitchFamily="34" charset="0"/>
            <a:cs typeface="Arial" panose="020B0604020202020204" pitchFamily="34" charset="0"/>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33</xdr:col>
      <xdr:colOff>79375</xdr:colOff>
      <xdr:row>15</xdr:row>
      <xdr:rowOff>71437</xdr:rowOff>
    </xdr:from>
    <xdr:to>
      <xdr:col>45</xdr:col>
      <xdr:colOff>373063</xdr:colOff>
      <xdr:row>25</xdr:row>
      <xdr:rowOff>57728</xdr:rowOff>
    </xdr:to>
    <xdr:sp macro="" textlink="">
      <xdr:nvSpPr>
        <xdr:cNvPr id="2" name="Textfeld 1">
          <a:extLst>
            <a:ext uri="{FF2B5EF4-FFF2-40B4-BE49-F238E27FC236}">
              <a16:creationId xmlns:a16="http://schemas.microsoft.com/office/drawing/2014/main" id="{00000000-0008-0000-0E00-000002000000}"/>
            </a:ext>
          </a:extLst>
        </xdr:cNvPr>
        <xdr:cNvSpPr txBox="1"/>
      </xdr:nvSpPr>
      <xdr:spPr>
        <a:xfrm>
          <a:off x="13322011" y="1999528"/>
          <a:ext cx="5004234" cy="1140836"/>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MDF</a:t>
          </a:r>
          <a:r>
            <a:rPr lang="de-DE" sz="800" baseline="0">
              <a:latin typeface="Arial" panose="020B0604020202020204" pitchFamily="34" charset="0"/>
              <a:cs typeface="Arial" panose="020B0604020202020204" pitchFamily="34" charset="0"/>
            </a:rPr>
            <a:t>: Hungarian Democratic Forum</a:t>
          </a:r>
        </a:p>
        <a:p>
          <a:r>
            <a:rPr lang="de-DE" sz="800" b="1" baseline="0">
              <a:latin typeface="Arial" panose="020B0604020202020204" pitchFamily="34" charset="0"/>
              <a:cs typeface="Arial" panose="020B0604020202020204" pitchFamily="34" charset="0"/>
            </a:rPr>
            <a:t>FKGP</a:t>
          </a:r>
          <a:r>
            <a:rPr lang="de-DE" sz="800" baseline="0">
              <a:latin typeface="Arial" panose="020B0604020202020204" pitchFamily="34" charset="0"/>
              <a:cs typeface="Arial" panose="020B0604020202020204" pitchFamily="34" charset="0"/>
            </a:rPr>
            <a:t>: Independent Smallholders Party</a:t>
          </a:r>
        </a:p>
        <a:p>
          <a:r>
            <a:rPr lang="de-DE" sz="800" b="1" baseline="0">
              <a:latin typeface="Arial" panose="020B0604020202020204" pitchFamily="34" charset="0"/>
              <a:cs typeface="Arial" panose="020B0604020202020204" pitchFamily="34" charset="0"/>
            </a:rPr>
            <a:t>KDNP</a:t>
          </a:r>
          <a:r>
            <a:rPr lang="de-DE" sz="800" baseline="0">
              <a:latin typeface="Arial" panose="020B0604020202020204" pitchFamily="34" charset="0"/>
              <a:cs typeface="Arial" panose="020B0604020202020204" pitchFamily="34" charset="0"/>
            </a:rPr>
            <a:t>: Christian Democratic People's Party</a:t>
          </a:r>
        </a:p>
        <a:p>
          <a:r>
            <a:rPr lang="de-DE" sz="800" b="1" baseline="0">
              <a:latin typeface="Arial" panose="020B0604020202020204" pitchFamily="34" charset="0"/>
              <a:cs typeface="Arial" panose="020B0604020202020204" pitchFamily="34" charset="0"/>
            </a:rPr>
            <a:t>MSZP</a:t>
          </a:r>
          <a:r>
            <a:rPr lang="de-DE" sz="800" baseline="0">
              <a:latin typeface="Arial" panose="020B0604020202020204" pitchFamily="34" charset="0"/>
              <a:cs typeface="Arial" panose="020B0604020202020204" pitchFamily="34" charset="0"/>
            </a:rPr>
            <a:t>: Hungarian Socialist Party</a:t>
          </a:r>
        </a:p>
        <a:p>
          <a:r>
            <a:rPr lang="de-DE" sz="800" b="1" baseline="0">
              <a:latin typeface="Arial" panose="020B0604020202020204" pitchFamily="34" charset="0"/>
              <a:cs typeface="Arial" panose="020B0604020202020204" pitchFamily="34" charset="0"/>
            </a:rPr>
            <a:t>SZDSZ</a:t>
          </a:r>
          <a:r>
            <a:rPr lang="de-DE" sz="800" baseline="0">
              <a:latin typeface="Arial" panose="020B0604020202020204" pitchFamily="34" charset="0"/>
              <a:cs typeface="Arial" panose="020B0604020202020204" pitchFamily="34" charset="0"/>
            </a:rPr>
            <a:t>: Alliance of Free Democrats</a:t>
          </a:r>
        </a:p>
        <a:p>
          <a:r>
            <a:rPr lang="de-DE" sz="800" b="1" baseline="0">
              <a:latin typeface="Arial" panose="020B0604020202020204" pitchFamily="34" charset="0"/>
              <a:cs typeface="Arial" panose="020B0604020202020204" pitchFamily="34" charset="0"/>
            </a:rPr>
            <a:t>FIDESZ</a:t>
          </a:r>
          <a:r>
            <a:rPr lang="de-DE" sz="800" baseline="0">
              <a:latin typeface="Arial" panose="020B0604020202020204" pitchFamily="34" charset="0"/>
              <a:cs typeface="Arial" panose="020B0604020202020204" pitchFamily="34" charset="0"/>
            </a:rPr>
            <a:t>: Hungarian Civic Union (FIDESZ) [In 2002 FIDESZ was in an electoral coalition with the Hungarian Democratic Forum (MDF) and in 2006, 2010 as in 2014 with the Christian Democratic People’s Party (KDNP).]</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29</xdr:col>
      <xdr:colOff>119061</xdr:colOff>
      <xdr:row>8</xdr:row>
      <xdr:rowOff>7937</xdr:rowOff>
    </xdr:from>
    <xdr:to>
      <xdr:col>34</xdr:col>
      <xdr:colOff>238124</xdr:colOff>
      <xdr:row>19</xdr:row>
      <xdr:rowOff>55563</xdr:rowOff>
    </xdr:to>
    <xdr:sp macro="" textlink="">
      <xdr:nvSpPr>
        <xdr:cNvPr id="4" name="Textfeld 3">
          <a:extLst>
            <a:ext uri="{FF2B5EF4-FFF2-40B4-BE49-F238E27FC236}">
              <a16:creationId xmlns:a16="http://schemas.microsoft.com/office/drawing/2014/main" id="{00000000-0008-0000-0F00-000004000000}"/>
            </a:ext>
          </a:extLst>
        </xdr:cNvPr>
        <xdr:cNvSpPr txBox="1"/>
      </xdr:nvSpPr>
      <xdr:spPr>
        <a:xfrm>
          <a:off x="11271249" y="1103312"/>
          <a:ext cx="2024063" cy="1270001"/>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IP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Independence Party II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Progressive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Alliance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Citizens’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SDA: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Democratic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LG</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Left-Greens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ULL: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Union of Liberals and Leftists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Reform</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BF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Bright Future</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25</xdr:col>
      <xdr:colOff>47626</xdr:colOff>
      <xdr:row>8</xdr:row>
      <xdr:rowOff>23812</xdr:rowOff>
    </xdr:from>
    <xdr:to>
      <xdr:col>29</xdr:col>
      <xdr:colOff>71438</xdr:colOff>
      <xdr:row>16</xdr:row>
      <xdr:rowOff>47625</xdr:rowOff>
    </xdr:to>
    <xdr:sp macro="" textlink="">
      <xdr:nvSpPr>
        <xdr:cNvPr id="3" name="Textfeld 2">
          <a:extLst>
            <a:ext uri="{FF2B5EF4-FFF2-40B4-BE49-F238E27FC236}">
              <a16:creationId xmlns:a16="http://schemas.microsoft.com/office/drawing/2014/main" id="{00000000-0008-0000-1000-000003000000}"/>
            </a:ext>
          </a:extLst>
        </xdr:cNvPr>
        <xdr:cNvSpPr txBox="1"/>
      </xdr:nvSpPr>
      <xdr:spPr>
        <a:xfrm>
          <a:off x="9675814" y="896937"/>
          <a:ext cx="1547812" cy="91281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Fianna Fail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FG: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Fine Gael</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Irish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Progressive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Left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Green Party </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36</xdr:col>
      <xdr:colOff>373062</xdr:colOff>
      <xdr:row>9</xdr:row>
      <xdr:rowOff>71435</xdr:rowOff>
    </xdr:from>
    <xdr:to>
      <xdr:col>43</xdr:col>
      <xdr:colOff>325437</xdr:colOff>
      <xdr:row>53</xdr:row>
      <xdr:rowOff>41982</xdr:rowOff>
    </xdr:to>
    <xdr:sp macro="" textlink="">
      <xdr:nvSpPr>
        <xdr:cNvPr id="4" name="Textfeld 3">
          <a:extLst>
            <a:ext uri="{FF2B5EF4-FFF2-40B4-BE49-F238E27FC236}">
              <a16:creationId xmlns:a16="http://schemas.microsoft.com/office/drawing/2014/main" id="{00000000-0008-0000-1100-000004000000}"/>
            </a:ext>
          </a:extLst>
        </xdr:cNvPr>
        <xdr:cNvSpPr txBox="1"/>
      </xdr:nvSpPr>
      <xdr:spPr>
        <a:xfrm>
          <a:off x="14762897" y="1299452"/>
          <a:ext cx="2707540" cy="5050547"/>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(since 1994): Italian Popular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(2005-2007): Rose in the Fist</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Republican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PSU: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Socialist Party (only in 1968, as a coalition of PSI and PSDI)</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PLI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Forza Italia</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(2007-2013)</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The People of Freedom (electoral alliance and merger of Forza Italia and National Alliance)</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National Alliance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Northern League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the Democratic Left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Dini List – Italian Renewal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DCpA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Democracy for the Autonomies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NPSI: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New Italian Socialist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Communist Refoundation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Italian Democratic Socialists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the Italian Communists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CCD: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Centre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Union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UDEUR: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Union of  Democrats for Europe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The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Di Pietro List</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ULIVO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(1995-2007): The Olive Tree (centre-left electoral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Greens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Union of the Centre</a:t>
          </a:r>
        </a:p>
        <a:p>
          <a:pPr marL="0" marR="0" lvl="0" indent="0" defTabSz="914400" eaLnBrk="1" fontAlgn="auto" latinLnBrk="0" hangingPunct="1">
            <a:lnSpc>
              <a:spcPct val="100000"/>
            </a:lnSpc>
            <a:spcBef>
              <a:spcPts val="0"/>
            </a:spcBef>
            <a:spcAft>
              <a:spcPts val="0"/>
            </a:spcAft>
            <a:buClrTx/>
            <a:buSzTx/>
            <a:buFontTx/>
            <a:buNone/>
            <a:tabLst/>
            <a:defRPr/>
          </a:pPr>
          <a:r>
            <a:rPr lang="de-DE" sz="800" b="1" i="0" baseline="0">
              <a:effectLst/>
              <a:latin typeface="Arial" panose="020B0604020202020204" pitchFamily="34" charset="0"/>
              <a:ea typeface="+mn-ea"/>
              <a:cs typeface="Arial" panose="020B0604020202020204" pitchFamily="34" charset="0"/>
            </a:rPr>
            <a:t>NCD:</a:t>
          </a:r>
          <a:r>
            <a:rPr lang="de-DE" sz="800" b="0" i="0" baseline="0">
              <a:effectLst/>
              <a:latin typeface="Arial" panose="020B0604020202020204" pitchFamily="34" charset="0"/>
              <a:ea typeface="+mn-ea"/>
              <a:cs typeface="Arial" panose="020B0604020202020204" pitchFamily="34" charset="0"/>
            </a:rPr>
            <a:t> New Centre-Right</a:t>
          </a:r>
          <a:endParaRPr lang="de-DE" sz="800">
            <a:effectLst/>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IR: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Italian Radicals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Civic Choice-Monti for Italy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NCD-UDC: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Popular Area (coalition of New Centre-Right and Union of the Centre, since 2016 NCD)</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League (former Northern League)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M5S: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Five Stars Movement</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LeU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Free and Equal</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IV</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Italy Alive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Brothers of Italy</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25</xdr:col>
      <xdr:colOff>111125</xdr:colOff>
      <xdr:row>8</xdr:row>
      <xdr:rowOff>0</xdr:rowOff>
    </xdr:from>
    <xdr:to>
      <xdr:col>32</xdr:col>
      <xdr:colOff>63500</xdr:colOff>
      <xdr:row>24</xdr:row>
      <xdr:rowOff>7938</xdr:rowOff>
    </xdr:to>
    <xdr:sp macro="" textlink="">
      <xdr:nvSpPr>
        <xdr:cNvPr id="3" name="Textfeld 2">
          <a:extLst>
            <a:ext uri="{FF2B5EF4-FFF2-40B4-BE49-F238E27FC236}">
              <a16:creationId xmlns:a16="http://schemas.microsoft.com/office/drawing/2014/main" id="{00000000-0008-0000-1200-000003000000}"/>
            </a:ext>
          </a:extLst>
        </xdr:cNvPr>
        <xdr:cNvSpPr txBox="1"/>
      </xdr:nvSpPr>
      <xdr:spPr>
        <a:xfrm>
          <a:off x="9739313" y="873125"/>
          <a:ext cx="2619375" cy="17859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NLC: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Liberal Club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JRP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Japan Renewal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CGP: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Komei Party, Komeito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JNP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Japan New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Socialist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UDS: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Democratic Socialists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Conservative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People’s New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NPS: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Sakigake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NCP: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Conservative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DPJ</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 of Japan </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41</xdr:col>
      <xdr:colOff>71435</xdr:colOff>
      <xdr:row>14</xdr:row>
      <xdr:rowOff>87315</xdr:rowOff>
    </xdr:from>
    <xdr:to>
      <xdr:col>47</xdr:col>
      <xdr:colOff>198437</xdr:colOff>
      <xdr:row>46</xdr:row>
      <xdr:rowOff>60740</xdr:rowOff>
    </xdr:to>
    <xdr:sp macro="" textlink="">
      <xdr:nvSpPr>
        <xdr:cNvPr id="2" name="Textfeld 1">
          <a:extLst>
            <a:ext uri="{FF2B5EF4-FFF2-40B4-BE49-F238E27FC236}">
              <a16:creationId xmlns:a16="http://schemas.microsoft.com/office/drawing/2014/main" id="{00000000-0008-0000-1300-000002000000}"/>
            </a:ext>
          </a:extLst>
        </xdr:cNvPr>
        <xdr:cNvSpPr txBox="1"/>
      </xdr:nvSpPr>
      <xdr:spPr>
        <a:xfrm>
          <a:off x="16404739" y="1909489"/>
          <a:ext cx="2479263" cy="3684034"/>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Latvia's Way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LZS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Latvian Farmers’ Union</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TPA</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Political Union of Economists</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DPS: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Centre Party (DPS Saimnieks)</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1995: Democratic Party "Master"</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TB: </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For Homeland (Fatherland) and Freedom</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LNNK:</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Latvian National Independence Movement (in 1995 in alliance with Latvian Green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TB/LNNK: </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Alliance for Homeland and Freedom / Latvian National Independence Movement [the two parties merged in 1997]</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LVP</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Latvia's Unity Party</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LZS: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United list of Latvia's Farmers' Union and Latvian Christian Democratic Union and Latgale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JP: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Party</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LSDA: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Latvian Social-Democratic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Peoples’ Party	 </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JL: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Era</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ZZS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Union of Greens and Farmers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Latvia's First Party</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LPP/LC: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Latvia’s First Party and Latvia’s Way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Civic Union</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Unity [founded before the election 2010 as an alliance of the New Era Party, Civic Union, and the Society for Other Politics]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Zatlers Reform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National Union</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KPV</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KPV LV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JKP: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Conservative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Development/For!</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United List</a:t>
          </a:r>
        </a:p>
        <a:p>
          <a:pPr marL="0" marR="0" lvl="0" indent="0" defTabSz="914400" eaLnBrk="1" fontAlgn="auto" latinLnBrk="0" hangingPunct="1">
            <a:lnSpc>
              <a:spcPts val="8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37</xdr:col>
      <xdr:colOff>111123</xdr:colOff>
      <xdr:row>10</xdr:row>
      <xdr:rowOff>15876</xdr:rowOff>
    </xdr:from>
    <xdr:to>
      <xdr:col>49</xdr:col>
      <xdr:colOff>79374</xdr:colOff>
      <xdr:row>33</xdr:row>
      <xdr:rowOff>63501</xdr:rowOff>
    </xdr:to>
    <xdr:sp macro="" textlink="">
      <xdr:nvSpPr>
        <xdr:cNvPr id="2" name="Textfeld 1">
          <a:extLst>
            <a:ext uri="{FF2B5EF4-FFF2-40B4-BE49-F238E27FC236}">
              <a16:creationId xmlns:a16="http://schemas.microsoft.com/office/drawing/2014/main" id="{00000000-0008-0000-1400-000002000000}"/>
            </a:ext>
          </a:extLst>
        </xdr:cNvPr>
        <xdr:cNvSpPr txBox="1"/>
      </xdr:nvSpPr>
      <xdr:spPr>
        <a:xfrm>
          <a:off x="14406561" y="1333501"/>
          <a:ext cx="4540251" cy="2603500"/>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Lithunian Democratic Labour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TS-LK</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Homeland Union - Lithuanian Conservatives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LKDP: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Christian Democratic Party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Lithuanian Centre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LLS: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Liberal Union</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NS-SL: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Union - Social Liberals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Social-Democratic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 2000 and 2004: Social-Democratic Coalition of Algirdas Brazauskas "Working for Lithuania" [comprised of Lithuanian Democratic Labour Party; Lithuanian Social Democratic Party; Union of Lithuanian Russians; Party of New Democracy]</a:t>
          </a:r>
          <a:b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b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LSDDP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Democratic Labour Party of Lithuania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LPPU:</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Peasant’s People Union</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Union for Farmers and New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and Centre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CDP:</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Civic Democratic Party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Nation’s Resurrection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LMLR: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Movement of Lithuanian Republic</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PTT:</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Order and Justice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LLRA:</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Electoral Action of the Lithuanian Poles</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lt-LT"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LVŽS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Lithuanian Farmers and Greens Union Union [former : Lithuanian Peasant’s People Union, Union for Farmers and New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Freedom Party</a:t>
          </a:r>
          <a:endPar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29</xdr:col>
      <xdr:colOff>79375</xdr:colOff>
      <xdr:row>8</xdr:row>
      <xdr:rowOff>47626</xdr:rowOff>
    </xdr:from>
    <xdr:to>
      <xdr:col>36</xdr:col>
      <xdr:colOff>31750</xdr:colOff>
      <xdr:row>14</xdr:row>
      <xdr:rowOff>7938</xdr:rowOff>
    </xdr:to>
    <xdr:sp macro="" textlink="">
      <xdr:nvSpPr>
        <xdr:cNvPr id="3" name="Textfeld 2">
          <a:extLst>
            <a:ext uri="{FF2B5EF4-FFF2-40B4-BE49-F238E27FC236}">
              <a16:creationId xmlns:a16="http://schemas.microsoft.com/office/drawing/2014/main" id="{00000000-0008-0000-1500-000003000000}"/>
            </a:ext>
          </a:extLst>
        </xdr:cNvPr>
        <xdr:cNvSpPr txBox="1"/>
      </xdr:nvSpPr>
      <xdr:spPr>
        <a:xfrm>
          <a:off x="11231563" y="1143001"/>
          <a:ext cx="2619375" cy="62706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LSAP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Workers’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Social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GLEI-GAP: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The Greens</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25</xdr:col>
      <xdr:colOff>134938</xdr:colOff>
      <xdr:row>8</xdr:row>
      <xdr:rowOff>47625</xdr:rowOff>
    </xdr:from>
    <xdr:to>
      <xdr:col>32</xdr:col>
      <xdr:colOff>87313</xdr:colOff>
      <xdr:row>12</xdr:row>
      <xdr:rowOff>39688</xdr:rowOff>
    </xdr:to>
    <xdr:sp macro="" textlink="">
      <xdr:nvSpPr>
        <xdr:cNvPr id="2" name="Textfeld 1">
          <a:extLst>
            <a:ext uri="{FF2B5EF4-FFF2-40B4-BE49-F238E27FC236}">
              <a16:creationId xmlns:a16="http://schemas.microsoft.com/office/drawing/2014/main" id="{00000000-0008-0000-1600-000002000000}"/>
            </a:ext>
          </a:extLst>
        </xdr:cNvPr>
        <xdr:cNvSpPr txBox="1"/>
      </xdr:nvSpPr>
      <xdr:spPr>
        <a:xfrm>
          <a:off x="9858376" y="1143000"/>
          <a:ext cx="2619375" cy="43656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Nationalist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MLP: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Malta Labour Party</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30</xdr:col>
      <xdr:colOff>7937</xdr:colOff>
      <xdr:row>54</xdr:row>
      <xdr:rowOff>71450</xdr:rowOff>
    </xdr:from>
    <xdr:to>
      <xdr:col>36</xdr:col>
      <xdr:colOff>341312</xdr:colOff>
      <xdr:row>68</xdr:row>
      <xdr:rowOff>95250</xdr:rowOff>
    </xdr:to>
    <xdr:sp macro="" textlink="">
      <xdr:nvSpPr>
        <xdr:cNvPr id="4" name="Textfeld 3">
          <a:extLst>
            <a:ext uri="{FF2B5EF4-FFF2-40B4-BE49-F238E27FC236}">
              <a16:creationId xmlns:a16="http://schemas.microsoft.com/office/drawing/2014/main" id="{00000000-0008-0000-1700-000004000000}"/>
            </a:ext>
          </a:extLst>
        </xdr:cNvPr>
        <xdr:cNvSpPr txBox="1"/>
      </xdr:nvSpPr>
      <xdr:spPr>
        <a:xfrm>
          <a:off x="11541125" y="6056325"/>
          <a:ext cx="2619375" cy="1579550"/>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PvdA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Political Party of the Radicals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KVP: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Catholic People’s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Appeal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DS’70: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Socialists’ 70</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D66</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Democrats’ 66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Union</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VVD: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Party for Freedom and Democracy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CHU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Historical Union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Anti Revolutionary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List Pim Fortuyn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Radical Political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25</xdr:col>
      <xdr:colOff>0</xdr:colOff>
      <xdr:row>20</xdr:row>
      <xdr:rowOff>0</xdr:rowOff>
    </xdr:from>
    <xdr:to>
      <xdr:col>31</xdr:col>
      <xdr:colOff>333375</xdr:colOff>
      <xdr:row>27</xdr:row>
      <xdr:rowOff>31750</xdr:rowOff>
    </xdr:to>
    <xdr:sp macro="" textlink="">
      <xdr:nvSpPr>
        <xdr:cNvPr id="5" name="Textfeld 4">
          <a:extLst>
            <a:ext uri="{FF2B5EF4-FFF2-40B4-BE49-F238E27FC236}">
              <a16:creationId xmlns:a16="http://schemas.microsoft.com/office/drawing/2014/main" id="{00000000-0008-0000-1800-000005000000}"/>
            </a:ext>
          </a:extLst>
        </xdr:cNvPr>
        <xdr:cNvSpPr txBox="1"/>
      </xdr:nvSpPr>
      <xdr:spPr>
        <a:xfrm>
          <a:off x="9628188" y="2206625"/>
          <a:ext cx="2619375"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United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National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NZF: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Zealand First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Progressive Coalition</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25</xdr:col>
      <xdr:colOff>111125</xdr:colOff>
      <xdr:row>36</xdr:row>
      <xdr:rowOff>39687</xdr:rowOff>
    </xdr:from>
    <xdr:to>
      <xdr:col>32</xdr:col>
      <xdr:colOff>63500</xdr:colOff>
      <xdr:row>44</xdr:row>
      <xdr:rowOff>63500</xdr:rowOff>
    </xdr:to>
    <xdr:sp macro="" textlink="">
      <xdr:nvSpPr>
        <xdr:cNvPr id="4" name="Textfeld 3">
          <a:extLst>
            <a:ext uri="{FF2B5EF4-FFF2-40B4-BE49-F238E27FC236}">
              <a16:creationId xmlns:a16="http://schemas.microsoft.com/office/drawing/2014/main" id="{00000000-0008-0000-1900-000004000000}"/>
            </a:ext>
          </a:extLst>
        </xdr:cNvPr>
        <xdr:cNvSpPr txBox="1"/>
      </xdr:nvSpPr>
      <xdr:spPr>
        <a:xfrm>
          <a:off x="9739313" y="4024312"/>
          <a:ext cx="2619375" cy="91281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DNA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Socialist Left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Centre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KRF: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People’s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H</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Conservatives (Hoyre)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Liberals (Venstre)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FrP: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Progress Party (Fremskrittspartiet)</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33</xdr:col>
      <xdr:colOff>47629</xdr:colOff>
      <xdr:row>15</xdr:row>
      <xdr:rowOff>23811</xdr:rowOff>
    </xdr:from>
    <xdr:to>
      <xdr:col>40</xdr:col>
      <xdr:colOff>4</xdr:colOff>
      <xdr:row>36</xdr:row>
      <xdr:rowOff>71438</xdr:rowOff>
    </xdr:to>
    <xdr:sp macro="" textlink="">
      <xdr:nvSpPr>
        <xdr:cNvPr id="5" name="Textfeld 4">
          <a:extLst>
            <a:ext uri="{FF2B5EF4-FFF2-40B4-BE49-F238E27FC236}">
              <a16:creationId xmlns:a16="http://schemas.microsoft.com/office/drawing/2014/main" id="{00000000-0008-0000-1A00-000005000000}"/>
            </a:ext>
          </a:extLst>
        </xdr:cNvPr>
        <xdr:cNvSpPr txBox="1"/>
      </xdr:nvSpPr>
      <xdr:spPr>
        <a:xfrm>
          <a:off x="12819067" y="1897061"/>
          <a:ext cx="2619375" cy="238125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PiS: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Law an Justice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Center Agreement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ZChN:</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Christian National Union</a:t>
          </a:r>
        </a:p>
        <a:p>
          <a:pPr marL="360000" marR="0" lvl="0" indent="-45720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Election 1991: Major part of the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WAK</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Catholic Election Action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Peasant Alliance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Democratic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KLD: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Liberal Democratic Congress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PChD: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Christian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SLCh:</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Peasant Christian Alliance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Polish Peasant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the Democratic Left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AWS: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Solidarity Election Action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UW:</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Freedom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Labour Union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Polish Social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Self-Defence of Polish Republic</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League of Polish Families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Civic Platform</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25</xdr:col>
      <xdr:colOff>95251</xdr:colOff>
      <xdr:row>28</xdr:row>
      <xdr:rowOff>7954</xdr:rowOff>
    </xdr:from>
    <xdr:to>
      <xdr:col>32</xdr:col>
      <xdr:colOff>47626</xdr:colOff>
      <xdr:row>34</xdr:row>
      <xdr:rowOff>68648</xdr:rowOff>
    </xdr:to>
    <xdr:sp macro="" textlink="">
      <xdr:nvSpPr>
        <xdr:cNvPr id="6" name="Textfeld 5">
          <a:extLst>
            <a:ext uri="{FF2B5EF4-FFF2-40B4-BE49-F238E27FC236}">
              <a16:creationId xmlns:a16="http://schemas.microsoft.com/office/drawing/2014/main" id="{00000000-0008-0000-1B00-000006000000}"/>
            </a:ext>
          </a:extLst>
        </xdr:cNvPr>
        <xdr:cNvSpPr txBox="1"/>
      </xdr:nvSpPr>
      <xdr:spPr>
        <a:xfrm>
          <a:off x="10135116" y="3406062"/>
          <a:ext cx="2715483" cy="747181"/>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Democrats, Popular Democrats (former PPD)</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CDS-PP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Centre Social Democrats, Popular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Popular Monarchist Party </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38</xdr:col>
      <xdr:colOff>212147</xdr:colOff>
      <xdr:row>7</xdr:row>
      <xdr:rowOff>17751</xdr:rowOff>
    </xdr:from>
    <xdr:to>
      <xdr:col>45</xdr:col>
      <xdr:colOff>16451</xdr:colOff>
      <xdr:row>32</xdr:row>
      <xdr:rowOff>39687</xdr:rowOff>
    </xdr:to>
    <xdr:sp macro="" textlink="">
      <xdr:nvSpPr>
        <xdr:cNvPr id="4" name="Textfeld 3">
          <a:extLst>
            <a:ext uri="{FF2B5EF4-FFF2-40B4-BE49-F238E27FC236}">
              <a16:creationId xmlns:a16="http://schemas.microsoft.com/office/drawing/2014/main" id="{00000000-0008-0000-1C00-000004000000}"/>
            </a:ext>
          </a:extLst>
        </xdr:cNvPr>
        <xdr:cNvSpPr txBox="1"/>
      </xdr:nvSpPr>
      <xdr:spPr>
        <a:xfrm>
          <a:off x="14888585" y="1002001"/>
          <a:ext cx="2471304" cy="2800061"/>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PDSR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Social Democracy from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NSF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National Salvation Front = Democratic National Salvation Front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 2008: electoral alliance with the Conservatory Party under the name Political  Alliance PSD+PC</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National Liberal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MER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Ecological Movement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Agrarian Party from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PUNR: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Party of National Unity of Romanians </a:t>
          </a: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Convention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National Salvation Front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UDMR: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Union of Hungarians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Humanist  Party of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Democrat-Liberal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UNPR: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National Union for Romania’s Progress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Conservative Party of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PLR: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Reformist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ALDE</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Alliance of Liberals and Democrats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USR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Save Romania Union</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41</xdr:col>
      <xdr:colOff>108070</xdr:colOff>
      <xdr:row>14</xdr:row>
      <xdr:rowOff>103187</xdr:rowOff>
    </xdr:from>
    <xdr:to>
      <xdr:col>48</xdr:col>
      <xdr:colOff>333373</xdr:colOff>
      <xdr:row>47</xdr:row>
      <xdr:rowOff>52916</xdr:rowOff>
    </xdr:to>
    <xdr:sp macro="" textlink="">
      <xdr:nvSpPr>
        <xdr:cNvPr id="6" name="Textfeld 5">
          <a:extLst>
            <a:ext uri="{FF2B5EF4-FFF2-40B4-BE49-F238E27FC236}">
              <a16:creationId xmlns:a16="http://schemas.microsoft.com/office/drawing/2014/main" id="{00000000-0008-0000-1D00-000006000000}"/>
            </a:ext>
          </a:extLst>
        </xdr:cNvPr>
        <xdr:cNvSpPr txBox="1"/>
      </xdr:nvSpPr>
      <xdr:spPr>
        <a:xfrm>
          <a:off x="16454028" y="1923520"/>
          <a:ext cx="2966387" cy="3791479"/>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VPN: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Public Against Violence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1992: Public Against Violence - Civic Democratic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KDH: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Democratic Movement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HZDS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Movement for a Democratic Slovakia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----- 1994: HZDS was in an electoral alliance with the Peasants Party of Slovakia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2006: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LS-HZDS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SNS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Slovak National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Party of the Democratic Left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----- 1996: relabeling form postco1 to leftsoc1</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DUS: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Union of Slovakia (splinter from HZDS)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ADSR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Democrats of the Slovak Republic (splinter from HZDS, merged into DUS in 1994)</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National Democratic Party (splinter from SNS)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ZRS: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Association of Slovak Workers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The Slovak Democratic Coalition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SMK:</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the Hungarian Coalition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Civic Understanding</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Slovak Democratic and Christian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----- 2006: Merged with Democratic Party (DS) to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SDKU-DS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New Citizens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Smer: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Direction/Social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----- 2004: SDL and SDA merged with Smer to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Smer-SD</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SaS: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Freedom and Solidarity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Most-Híd: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The Bridge</a:t>
          </a:r>
          <a:b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b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Sieť</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Network</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OLaNO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Ordinary People and Independent Personalities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SME</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We are Family - Boris Kollar</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Za'ludi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For People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37</xdr:col>
      <xdr:colOff>63499</xdr:colOff>
      <xdr:row>9</xdr:row>
      <xdr:rowOff>23812</xdr:rowOff>
    </xdr:from>
    <xdr:to>
      <xdr:col>44</xdr:col>
      <xdr:colOff>214312</xdr:colOff>
      <xdr:row>32</xdr:row>
      <xdr:rowOff>30976</xdr:rowOff>
    </xdr:to>
    <xdr:sp macro="" textlink="">
      <xdr:nvSpPr>
        <xdr:cNvPr id="4" name="Textfeld 3">
          <a:extLst>
            <a:ext uri="{FF2B5EF4-FFF2-40B4-BE49-F238E27FC236}">
              <a16:creationId xmlns:a16="http://schemas.microsoft.com/office/drawing/2014/main" id="{00000000-0008-0000-1E00-000004000000}"/>
            </a:ext>
          </a:extLst>
        </xdr:cNvPr>
        <xdr:cNvSpPr txBox="1"/>
      </xdr:nvSpPr>
      <xdr:spPr>
        <a:xfrm>
          <a:off x="14844027" y="1247349"/>
          <a:ext cx="2897318" cy="2619440"/>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Democracy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SKD: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Slovenian Christian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Social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ZLSD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(until 2008)</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List of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Social Democratic Party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Greens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Slovenian People's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DeSUS: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Party of Pensioners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SLS-SKD: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Slovenian People's Party and Slovenian Christian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NSi: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Slovenia and People's Christian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ZARES: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for Real/New Politics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Civic List</a:t>
          </a:r>
          <a:b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b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DLGV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(until 2012): Citizens’ Alliance of Gregor Virant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Positive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ZaAB: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Alliance of Alenka Bratusek</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Party of Miro Cerar</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GB" sz="800" b="1" i="0" u="none" strike="noStrike" kern="0" cap="none" spc="0" normalizeH="0" baseline="0">
              <a:ln>
                <a:noFill/>
              </a:ln>
              <a:solidFill>
                <a:sysClr val="windowText" lastClr="000000"/>
              </a:solidFill>
              <a:effectLst/>
              <a:uLnTx/>
              <a:uFillTx/>
              <a:latin typeface="Arial" panose="020B0604020202020204" pitchFamily="34" charset="0"/>
              <a:ea typeface="+mn-ea"/>
              <a:cs typeface="Arial" panose="020B0604020202020204" pitchFamily="34" charset="0"/>
            </a:rPr>
            <a:t>LMŠ: </a:t>
          </a:r>
          <a:r>
            <a:rPr kumimoji="0" lang="en-GB" sz="800" b="0" i="0" u="none" strike="noStrike" kern="0" cap="none" spc="0" normalizeH="0" baseline="0">
              <a:ln>
                <a:noFill/>
              </a:ln>
              <a:solidFill>
                <a:sysClr val="windowText" lastClr="000000"/>
              </a:solidFill>
              <a:effectLst/>
              <a:uLnTx/>
              <a:uFillTx/>
              <a:latin typeface="Arial" panose="020B0604020202020204" pitchFamily="34" charset="0"/>
              <a:ea typeface="+mn-ea"/>
              <a:cs typeface="Arial" panose="020B0604020202020204" pitchFamily="34" charset="0"/>
            </a:rPr>
            <a:t>List of Marjan Šarec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GB"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GS</a:t>
          </a:r>
          <a:r>
            <a:rPr kumimoji="0" lang="en-GB"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Freedom Movement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GB"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Levica</a:t>
          </a:r>
          <a:r>
            <a:rPr kumimoji="0" lang="en-GB"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The Left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25</xdr:col>
      <xdr:colOff>95250</xdr:colOff>
      <xdr:row>6</xdr:row>
      <xdr:rowOff>7938</xdr:rowOff>
    </xdr:from>
    <xdr:to>
      <xdr:col>32</xdr:col>
      <xdr:colOff>47625</xdr:colOff>
      <xdr:row>11</xdr:row>
      <xdr:rowOff>55702</xdr:rowOff>
    </xdr:to>
    <xdr:sp macro="" textlink="">
      <xdr:nvSpPr>
        <xdr:cNvPr id="4" name="Textfeld 3">
          <a:extLst>
            <a:ext uri="{FF2B5EF4-FFF2-40B4-BE49-F238E27FC236}">
              <a16:creationId xmlns:a16="http://schemas.microsoft.com/office/drawing/2014/main" id="{00000000-0008-0000-1F00-000004000000}"/>
            </a:ext>
          </a:extLst>
        </xdr:cNvPr>
        <xdr:cNvSpPr txBox="1"/>
      </xdr:nvSpPr>
      <xdr:spPr>
        <a:xfrm>
          <a:off x="10193978" y="899166"/>
          <a:ext cx="2720752" cy="63263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PSOE</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UCD: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Union of the Democratic Centre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We Can</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25</xdr:col>
      <xdr:colOff>95254</xdr:colOff>
      <xdr:row>8</xdr:row>
      <xdr:rowOff>63510</xdr:rowOff>
    </xdr:from>
    <xdr:to>
      <xdr:col>32</xdr:col>
      <xdr:colOff>47629</xdr:colOff>
      <xdr:row>15</xdr:row>
      <xdr:rowOff>95260</xdr:rowOff>
    </xdr:to>
    <xdr:sp macro="" textlink="">
      <xdr:nvSpPr>
        <xdr:cNvPr id="5" name="Textfeld 4">
          <a:extLst>
            <a:ext uri="{FF2B5EF4-FFF2-40B4-BE49-F238E27FC236}">
              <a16:creationId xmlns:a16="http://schemas.microsoft.com/office/drawing/2014/main" id="{00000000-0008-0000-2000-000005000000}"/>
            </a:ext>
          </a:extLst>
        </xdr:cNvPr>
        <xdr:cNvSpPr txBox="1"/>
      </xdr:nvSpPr>
      <xdr:spPr>
        <a:xfrm>
          <a:off x="9723442" y="936635"/>
          <a:ext cx="2619375"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Agrarian Party, Center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KDS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Union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Conservatives, Moderate Unity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People’s Party (The Liberals)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Green Party</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37</xdr:col>
      <xdr:colOff>31751</xdr:colOff>
      <xdr:row>10</xdr:row>
      <xdr:rowOff>7958</xdr:rowOff>
    </xdr:from>
    <xdr:to>
      <xdr:col>42</xdr:col>
      <xdr:colOff>63501</xdr:colOff>
      <xdr:row>17</xdr:row>
      <xdr:rowOff>39708</xdr:rowOff>
    </xdr:to>
    <xdr:sp macro="" textlink="">
      <xdr:nvSpPr>
        <xdr:cNvPr id="3" name="Textfeld 2">
          <a:extLst>
            <a:ext uri="{FF2B5EF4-FFF2-40B4-BE49-F238E27FC236}">
              <a16:creationId xmlns:a16="http://schemas.microsoft.com/office/drawing/2014/main" id="{00000000-0008-0000-2100-000003000000}"/>
            </a:ext>
          </a:extLst>
        </xdr:cNvPr>
        <xdr:cNvSpPr txBox="1"/>
      </xdr:nvSpPr>
      <xdr:spPr>
        <a:xfrm>
          <a:off x="14231939" y="1103333"/>
          <a:ext cx="1936750"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CVP: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Radical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SVP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Swiss People’s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BDP: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 Democratic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25</xdr:col>
      <xdr:colOff>15875</xdr:colOff>
      <xdr:row>8</xdr:row>
      <xdr:rowOff>7938</xdr:rowOff>
    </xdr:from>
    <xdr:to>
      <xdr:col>29</xdr:col>
      <xdr:colOff>15875</xdr:colOff>
      <xdr:row>12</xdr:row>
      <xdr:rowOff>47626</xdr:rowOff>
    </xdr:to>
    <xdr:sp macro="" textlink="">
      <xdr:nvSpPr>
        <xdr:cNvPr id="3" name="Textfeld 2">
          <a:extLst>
            <a:ext uri="{FF2B5EF4-FFF2-40B4-BE49-F238E27FC236}">
              <a16:creationId xmlns:a16="http://schemas.microsoft.com/office/drawing/2014/main" id="{00000000-0008-0000-2200-000003000000}"/>
            </a:ext>
          </a:extLst>
        </xdr:cNvPr>
        <xdr:cNvSpPr txBox="1"/>
      </xdr:nvSpPr>
      <xdr:spPr>
        <a:xfrm>
          <a:off x="9644063" y="881063"/>
          <a:ext cx="1524000" cy="48418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 Party </a:t>
          </a:r>
          <a:b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b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LIB: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Democrats </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29</xdr:col>
      <xdr:colOff>63499</xdr:colOff>
      <xdr:row>8</xdr:row>
      <xdr:rowOff>103188</xdr:rowOff>
    </xdr:from>
    <xdr:to>
      <xdr:col>33</xdr:col>
      <xdr:colOff>63499</xdr:colOff>
      <xdr:row>11</xdr:row>
      <xdr:rowOff>95251</xdr:rowOff>
    </xdr:to>
    <xdr:sp macro="" textlink="">
      <xdr:nvSpPr>
        <xdr:cNvPr id="7" name="Textfeld 6">
          <a:extLst>
            <a:ext uri="{FF2B5EF4-FFF2-40B4-BE49-F238E27FC236}">
              <a16:creationId xmlns:a16="http://schemas.microsoft.com/office/drawing/2014/main" id="{00000000-0008-0000-2300-000007000000}"/>
            </a:ext>
          </a:extLst>
        </xdr:cNvPr>
        <xdr:cNvSpPr txBox="1"/>
      </xdr:nvSpPr>
      <xdr:spPr>
        <a:xfrm>
          <a:off x="11215687" y="976313"/>
          <a:ext cx="1524000" cy="3254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Republican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 </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7.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comments" Target="../comments8.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9.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0.bin"/><Relationship Id="rId4" Type="http://schemas.openxmlformats.org/officeDocument/2006/relationships/comments" Target="../comments10.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1.bin"/><Relationship Id="rId4" Type="http://schemas.openxmlformats.org/officeDocument/2006/relationships/comments" Target="../comments11.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2.bin"/><Relationship Id="rId4" Type="http://schemas.openxmlformats.org/officeDocument/2006/relationships/comments" Target="../comments12.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3.bin"/><Relationship Id="rId4" Type="http://schemas.openxmlformats.org/officeDocument/2006/relationships/comments" Target="../comments13.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4.xml"/><Relationship Id="rId1" Type="http://schemas.openxmlformats.org/officeDocument/2006/relationships/printerSettings" Target="../printerSettings/printerSettings14.bin"/><Relationship Id="rId4" Type="http://schemas.openxmlformats.org/officeDocument/2006/relationships/comments" Target="../comments14.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5.xml"/><Relationship Id="rId1" Type="http://schemas.openxmlformats.org/officeDocument/2006/relationships/printerSettings" Target="../printerSettings/printerSettings15.bin"/><Relationship Id="rId4" Type="http://schemas.openxmlformats.org/officeDocument/2006/relationships/comments" Target="../comments15.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6.xml"/><Relationship Id="rId1" Type="http://schemas.openxmlformats.org/officeDocument/2006/relationships/printerSettings" Target="../printerSettings/printerSettings16.bin"/><Relationship Id="rId4" Type="http://schemas.openxmlformats.org/officeDocument/2006/relationships/comments" Target="../comments16.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17.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18.xml"/><Relationship Id="rId1" Type="http://schemas.openxmlformats.org/officeDocument/2006/relationships/printerSettings" Target="../printerSettings/printerSettings18.bin"/><Relationship Id="rId4" Type="http://schemas.openxmlformats.org/officeDocument/2006/relationships/comments" Target="../comments18.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9.vml"/><Relationship Id="rId2" Type="http://schemas.openxmlformats.org/officeDocument/2006/relationships/drawing" Target="../drawings/drawing19.xml"/><Relationship Id="rId1" Type="http://schemas.openxmlformats.org/officeDocument/2006/relationships/printerSettings" Target="../printerSettings/printerSettings19.bin"/><Relationship Id="rId4" Type="http://schemas.openxmlformats.org/officeDocument/2006/relationships/comments" Target="../comments19.xml"/></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20.vml"/><Relationship Id="rId2" Type="http://schemas.openxmlformats.org/officeDocument/2006/relationships/drawing" Target="../drawings/drawing20.xml"/><Relationship Id="rId1" Type="http://schemas.openxmlformats.org/officeDocument/2006/relationships/printerSettings" Target="../printerSettings/printerSettings20.bin"/><Relationship Id="rId4" Type="http://schemas.openxmlformats.org/officeDocument/2006/relationships/comments" Target="../comments20.xml"/></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21.vml"/><Relationship Id="rId2" Type="http://schemas.openxmlformats.org/officeDocument/2006/relationships/drawing" Target="../drawings/drawing21.xml"/><Relationship Id="rId1" Type="http://schemas.openxmlformats.org/officeDocument/2006/relationships/printerSettings" Target="../printerSettings/printerSettings21.bin"/><Relationship Id="rId4" Type="http://schemas.openxmlformats.org/officeDocument/2006/relationships/comments" Target="../comments21.xml"/></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22.vml"/><Relationship Id="rId2" Type="http://schemas.openxmlformats.org/officeDocument/2006/relationships/drawing" Target="../drawings/drawing22.xml"/><Relationship Id="rId1" Type="http://schemas.openxmlformats.org/officeDocument/2006/relationships/printerSettings" Target="../printerSettings/printerSettings22.bin"/><Relationship Id="rId4" Type="http://schemas.openxmlformats.org/officeDocument/2006/relationships/comments" Target="../comments22.xml"/></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23.vml"/><Relationship Id="rId2" Type="http://schemas.openxmlformats.org/officeDocument/2006/relationships/drawing" Target="../drawings/drawing23.xml"/><Relationship Id="rId1" Type="http://schemas.openxmlformats.org/officeDocument/2006/relationships/printerSettings" Target="../printerSettings/printerSettings23.bin"/><Relationship Id="rId4" Type="http://schemas.openxmlformats.org/officeDocument/2006/relationships/comments" Target="../comments23.xml"/></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24.vml"/><Relationship Id="rId2" Type="http://schemas.openxmlformats.org/officeDocument/2006/relationships/drawing" Target="../drawings/drawing24.xml"/><Relationship Id="rId1" Type="http://schemas.openxmlformats.org/officeDocument/2006/relationships/printerSettings" Target="../printerSettings/printerSettings24.bin"/><Relationship Id="rId4" Type="http://schemas.openxmlformats.org/officeDocument/2006/relationships/comments" Target="../comments24.xml"/></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25.vml"/><Relationship Id="rId2" Type="http://schemas.openxmlformats.org/officeDocument/2006/relationships/drawing" Target="../drawings/drawing25.xml"/><Relationship Id="rId1" Type="http://schemas.openxmlformats.org/officeDocument/2006/relationships/printerSettings" Target="../printerSettings/printerSettings25.bin"/><Relationship Id="rId4" Type="http://schemas.openxmlformats.org/officeDocument/2006/relationships/comments" Target="../comments25.xml"/></Relationships>
</file>

<file path=xl/worksheets/_rels/sheet26.xml.rels><?xml version="1.0" encoding="UTF-8" standalone="yes"?>
<Relationships xmlns="http://schemas.openxmlformats.org/package/2006/relationships"><Relationship Id="rId3" Type="http://schemas.openxmlformats.org/officeDocument/2006/relationships/vmlDrawing" Target="../drawings/vmlDrawing26.vml"/><Relationship Id="rId2" Type="http://schemas.openxmlformats.org/officeDocument/2006/relationships/drawing" Target="../drawings/drawing26.xml"/><Relationship Id="rId1" Type="http://schemas.openxmlformats.org/officeDocument/2006/relationships/printerSettings" Target="../printerSettings/printerSettings26.bin"/><Relationship Id="rId4" Type="http://schemas.openxmlformats.org/officeDocument/2006/relationships/comments" Target="../comments26.xml"/></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27.vml"/><Relationship Id="rId2" Type="http://schemas.openxmlformats.org/officeDocument/2006/relationships/drawing" Target="../drawings/drawing27.xml"/><Relationship Id="rId1" Type="http://schemas.openxmlformats.org/officeDocument/2006/relationships/printerSettings" Target="../printerSettings/printerSettings27.bin"/><Relationship Id="rId4" Type="http://schemas.openxmlformats.org/officeDocument/2006/relationships/comments" Target="../comments27.xml"/></Relationships>
</file>

<file path=xl/worksheets/_rels/sheet28.xml.rels><?xml version="1.0" encoding="UTF-8" standalone="yes"?>
<Relationships xmlns="http://schemas.openxmlformats.org/package/2006/relationships"><Relationship Id="rId3" Type="http://schemas.openxmlformats.org/officeDocument/2006/relationships/vmlDrawing" Target="../drawings/vmlDrawing28.vml"/><Relationship Id="rId2" Type="http://schemas.openxmlformats.org/officeDocument/2006/relationships/drawing" Target="../drawings/drawing28.xml"/><Relationship Id="rId1" Type="http://schemas.openxmlformats.org/officeDocument/2006/relationships/printerSettings" Target="../printerSettings/printerSettings28.bin"/><Relationship Id="rId4" Type="http://schemas.openxmlformats.org/officeDocument/2006/relationships/comments" Target="../comments28.xml"/></Relationships>
</file>

<file path=xl/worksheets/_rels/sheet29.xml.rels><?xml version="1.0" encoding="UTF-8" standalone="yes"?>
<Relationships xmlns="http://schemas.openxmlformats.org/package/2006/relationships"><Relationship Id="rId3" Type="http://schemas.openxmlformats.org/officeDocument/2006/relationships/vmlDrawing" Target="../drawings/vmlDrawing29.vml"/><Relationship Id="rId2" Type="http://schemas.openxmlformats.org/officeDocument/2006/relationships/drawing" Target="../drawings/drawing29.xml"/><Relationship Id="rId1" Type="http://schemas.openxmlformats.org/officeDocument/2006/relationships/printerSettings" Target="../printerSettings/printerSettings29.bin"/><Relationship Id="rId4" Type="http://schemas.openxmlformats.org/officeDocument/2006/relationships/comments" Target="../comments29.xml"/></Relationships>
</file>

<file path=xl/worksheets/_rels/sheet30.xml.rels><?xml version="1.0" encoding="UTF-8" standalone="yes"?>
<Relationships xmlns="http://schemas.openxmlformats.org/package/2006/relationships"><Relationship Id="rId3" Type="http://schemas.openxmlformats.org/officeDocument/2006/relationships/vmlDrawing" Target="../drawings/vmlDrawing30.vml"/><Relationship Id="rId2" Type="http://schemas.openxmlformats.org/officeDocument/2006/relationships/drawing" Target="../drawings/drawing30.xml"/><Relationship Id="rId1" Type="http://schemas.openxmlformats.org/officeDocument/2006/relationships/printerSettings" Target="../printerSettings/printerSettings30.bin"/><Relationship Id="rId4" Type="http://schemas.openxmlformats.org/officeDocument/2006/relationships/comments" Target="../comments30.xml"/></Relationships>
</file>

<file path=xl/worksheets/_rels/sheet31.xml.rels><?xml version="1.0" encoding="UTF-8" standalone="yes"?>
<Relationships xmlns="http://schemas.openxmlformats.org/package/2006/relationships"><Relationship Id="rId3" Type="http://schemas.openxmlformats.org/officeDocument/2006/relationships/vmlDrawing" Target="../drawings/vmlDrawing31.vml"/><Relationship Id="rId2" Type="http://schemas.openxmlformats.org/officeDocument/2006/relationships/drawing" Target="../drawings/drawing31.xml"/><Relationship Id="rId1" Type="http://schemas.openxmlformats.org/officeDocument/2006/relationships/printerSettings" Target="../printerSettings/printerSettings31.bin"/><Relationship Id="rId4" Type="http://schemas.openxmlformats.org/officeDocument/2006/relationships/comments" Target="../comments31.xml"/></Relationships>
</file>

<file path=xl/worksheets/_rels/sheet32.xml.rels><?xml version="1.0" encoding="UTF-8" standalone="yes"?>
<Relationships xmlns="http://schemas.openxmlformats.org/package/2006/relationships"><Relationship Id="rId3" Type="http://schemas.openxmlformats.org/officeDocument/2006/relationships/vmlDrawing" Target="../drawings/vmlDrawing32.vml"/><Relationship Id="rId2" Type="http://schemas.openxmlformats.org/officeDocument/2006/relationships/drawing" Target="../drawings/drawing32.xml"/><Relationship Id="rId1" Type="http://schemas.openxmlformats.org/officeDocument/2006/relationships/printerSettings" Target="../printerSettings/printerSettings32.bin"/><Relationship Id="rId4" Type="http://schemas.openxmlformats.org/officeDocument/2006/relationships/comments" Target="../comments32.xml"/></Relationships>
</file>

<file path=xl/worksheets/_rels/sheet33.xml.rels><?xml version="1.0" encoding="UTF-8" standalone="yes"?>
<Relationships xmlns="http://schemas.openxmlformats.org/package/2006/relationships"><Relationship Id="rId3" Type="http://schemas.openxmlformats.org/officeDocument/2006/relationships/vmlDrawing" Target="../drawings/vmlDrawing33.vml"/><Relationship Id="rId2" Type="http://schemas.openxmlformats.org/officeDocument/2006/relationships/drawing" Target="../drawings/drawing33.xml"/><Relationship Id="rId1" Type="http://schemas.openxmlformats.org/officeDocument/2006/relationships/printerSettings" Target="../printerSettings/printerSettings33.bin"/><Relationship Id="rId4" Type="http://schemas.openxmlformats.org/officeDocument/2006/relationships/comments" Target="../comments33.xml"/></Relationships>
</file>

<file path=xl/worksheets/_rels/sheet34.xml.rels><?xml version="1.0" encoding="UTF-8" standalone="yes"?>
<Relationships xmlns="http://schemas.openxmlformats.org/package/2006/relationships"><Relationship Id="rId3" Type="http://schemas.openxmlformats.org/officeDocument/2006/relationships/vmlDrawing" Target="../drawings/vmlDrawing34.vml"/><Relationship Id="rId2" Type="http://schemas.openxmlformats.org/officeDocument/2006/relationships/drawing" Target="../drawings/drawing34.xml"/><Relationship Id="rId1" Type="http://schemas.openxmlformats.org/officeDocument/2006/relationships/printerSettings" Target="../printerSettings/printerSettings34.bin"/><Relationship Id="rId4" Type="http://schemas.openxmlformats.org/officeDocument/2006/relationships/comments" Target="../comments34.xml"/></Relationships>
</file>

<file path=xl/worksheets/_rels/sheet35.xml.rels><?xml version="1.0" encoding="UTF-8" standalone="yes"?>
<Relationships xmlns="http://schemas.openxmlformats.org/package/2006/relationships"><Relationship Id="rId3" Type="http://schemas.openxmlformats.org/officeDocument/2006/relationships/vmlDrawing" Target="../drawings/vmlDrawing35.vml"/><Relationship Id="rId2" Type="http://schemas.openxmlformats.org/officeDocument/2006/relationships/drawing" Target="../drawings/drawing35.xml"/><Relationship Id="rId1" Type="http://schemas.openxmlformats.org/officeDocument/2006/relationships/printerSettings" Target="../printerSettings/printerSettings35.bin"/><Relationship Id="rId4" Type="http://schemas.openxmlformats.org/officeDocument/2006/relationships/comments" Target="../comments35.xml"/></Relationships>
</file>

<file path=xl/worksheets/_rels/sheet36.xml.rels><?xml version="1.0" encoding="UTF-8" standalone="yes"?>
<Relationships xmlns="http://schemas.openxmlformats.org/package/2006/relationships"><Relationship Id="rId3" Type="http://schemas.openxmlformats.org/officeDocument/2006/relationships/vmlDrawing" Target="../drawings/vmlDrawing36.vml"/><Relationship Id="rId2" Type="http://schemas.openxmlformats.org/officeDocument/2006/relationships/drawing" Target="../drawings/drawing36.xml"/><Relationship Id="rId1" Type="http://schemas.openxmlformats.org/officeDocument/2006/relationships/printerSettings" Target="../printerSettings/printerSettings36.bin"/><Relationship Id="rId4" Type="http://schemas.openxmlformats.org/officeDocument/2006/relationships/comments" Target="../comments3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210"/>
  <sheetViews>
    <sheetView zoomScale="90" zoomScaleNormal="90" workbookViewId="0">
      <pane xSplit="1" ySplit="5" topLeftCell="B6" activePane="bottomRight" state="frozen"/>
      <selection pane="topRight" activeCell="B1" sqref="B1"/>
      <selection pane="bottomLeft" activeCell="A6" sqref="A6"/>
      <selection pane="bottomRight" activeCell="X1" sqref="X1:X1048576"/>
    </sheetView>
  </sheetViews>
  <sheetFormatPr baseColWidth="10" defaultColWidth="10.6640625" defaultRowHeight="11" x14ac:dyDescent="0.15"/>
  <cols>
    <col min="1" max="1" width="5.83203125" style="4" customWidth="1"/>
    <col min="2" max="6" width="7.83203125" style="4" customWidth="1"/>
    <col min="7" max="18" width="4.5" style="4" customWidth="1"/>
    <col min="19" max="19" width="7.83203125" style="13" customWidth="1"/>
    <col min="20" max="21" width="7.83203125" style="4" customWidth="1"/>
    <col min="22" max="53" width="5.6640625" style="4" customWidth="1"/>
    <col min="54" max="16384" width="10.6640625" style="4"/>
  </cols>
  <sheetData>
    <row r="1" spans="1:53" s="1" customFormat="1" ht="15" customHeight="1" x14ac:dyDescent="0.15">
      <c r="B1" s="15" t="s">
        <v>14</v>
      </c>
      <c r="S1" s="13"/>
    </row>
    <row r="2" spans="1:53" s="1" customFormat="1" ht="15" customHeight="1" x14ac:dyDescent="0.15">
      <c r="B2" s="15" t="s">
        <v>48</v>
      </c>
      <c r="S2" s="13"/>
    </row>
    <row r="3" spans="1:53" s="12" customFormat="1" x14ac:dyDescent="0.15">
      <c r="G3" s="383"/>
      <c r="H3" s="383"/>
      <c r="I3" s="383"/>
      <c r="J3" s="383"/>
      <c r="K3" s="383"/>
      <c r="L3" s="383"/>
      <c r="M3" s="383"/>
      <c r="O3" s="383"/>
      <c r="P3" s="383"/>
      <c r="Q3" s="383"/>
      <c r="S3" s="14"/>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6" t="s">
        <v>23</v>
      </c>
      <c r="AU5" s="185" t="s">
        <v>24</v>
      </c>
      <c r="AV5" s="185" t="s">
        <v>25</v>
      </c>
      <c r="AW5" s="187" t="s">
        <v>1195</v>
      </c>
      <c r="AX5" s="185" t="s">
        <v>23</v>
      </c>
      <c r="AY5" s="185" t="s">
        <v>24</v>
      </c>
      <c r="AZ5" s="185" t="s">
        <v>25</v>
      </c>
      <c r="BA5" s="188" t="s">
        <v>1195</v>
      </c>
    </row>
    <row r="6" spans="1:53" s="139" customFormat="1" x14ac:dyDescent="0.15">
      <c r="A6" s="125">
        <v>1959</v>
      </c>
      <c r="B6" s="126"/>
      <c r="C6" s="382" t="s">
        <v>147</v>
      </c>
      <c r="D6" s="382"/>
      <c r="E6" s="125">
        <v>0</v>
      </c>
      <c r="F6" s="126"/>
      <c r="G6" s="127">
        <v>12</v>
      </c>
      <c r="H6" s="128"/>
      <c r="I6" s="128"/>
      <c r="J6" s="129">
        <v>12</v>
      </c>
      <c r="K6" s="130">
        <f>G6/J6*100</f>
        <v>100</v>
      </c>
      <c r="L6" s="130">
        <f>H6/J6*100</f>
        <v>0</v>
      </c>
      <c r="M6" s="130">
        <f>I6/J6*100</f>
        <v>0</v>
      </c>
      <c r="N6" s="131">
        <f>SUM(K6:M6)</f>
        <v>100</v>
      </c>
      <c r="O6" s="132">
        <v>63.1</v>
      </c>
      <c r="P6" s="133"/>
      <c r="Q6" s="133"/>
      <c r="R6" s="134">
        <f>SUM(O6:Q6)</f>
        <v>63.1</v>
      </c>
      <c r="S6" s="135">
        <v>2</v>
      </c>
      <c r="T6" s="136"/>
      <c r="U6" s="137"/>
      <c r="V6" s="138" t="s">
        <v>72</v>
      </c>
      <c r="W6" s="139" t="s">
        <v>74</v>
      </c>
      <c r="X6" s="139" t="s">
        <v>11</v>
      </c>
      <c r="Y6" s="140">
        <v>47.5</v>
      </c>
      <c r="Z6" s="139" t="s">
        <v>73</v>
      </c>
      <c r="AA6" s="139" t="s">
        <v>869</v>
      </c>
      <c r="AB6" s="139" t="s">
        <v>11</v>
      </c>
      <c r="AC6" s="139">
        <v>15.6</v>
      </c>
      <c r="AD6" s="138"/>
      <c r="AG6" s="140"/>
      <c r="AL6" s="138"/>
      <c r="AO6" s="140"/>
      <c r="AS6" s="140"/>
      <c r="AW6" s="140"/>
      <c r="BA6" s="141"/>
    </row>
    <row r="7" spans="1:53" s="139" customFormat="1" x14ac:dyDescent="0.15">
      <c r="A7" s="125">
        <v>1959</v>
      </c>
      <c r="B7" s="126"/>
      <c r="C7" s="382" t="s">
        <v>147</v>
      </c>
      <c r="D7" s="382"/>
      <c r="E7" s="125">
        <v>365</v>
      </c>
      <c r="F7" s="126"/>
      <c r="G7" s="127">
        <v>12</v>
      </c>
      <c r="H7" s="128"/>
      <c r="I7" s="128"/>
      <c r="J7" s="129">
        <v>12</v>
      </c>
      <c r="K7" s="130">
        <f>G7/J7*100</f>
        <v>100</v>
      </c>
      <c r="L7" s="130">
        <f>H7/J7*100</f>
        <v>0</v>
      </c>
      <c r="M7" s="130">
        <f>I7/J7*100</f>
        <v>0</v>
      </c>
      <c r="N7" s="131">
        <f>SUM(K7:M7)</f>
        <v>100</v>
      </c>
      <c r="O7" s="132">
        <v>63.1</v>
      </c>
      <c r="P7" s="133"/>
      <c r="Q7" s="133"/>
      <c r="R7" s="134">
        <f>SUM(O7:Q7)</f>
        <v>63.1</v>
      </c>
      <c r="S7" s="135">
        <v>2</v>
      </c>
      <c r="T7" s="136"/>
      <c r="U7" s="137"/>
      <c r="V7" s="138" t="s">
        <v>72</v>
      </c>
      <c r="W7" s="139" t="s">
        <v>74</v>
      </c>
      <c r="X7" s="139" t="s">
        <v>11</v>
      </c>
      <c r="Y7" s="140">
        <v>47.5</v>
      </c>
      <c r="Z7" s="139" t="s">
        <v>73</v>
      </c>
      <c r="AA7" s="139" t="s">
        <v>869</v>
      </c>
      <c r="AB7" s="139" t="s">
        <v>11</v>
      </c>
      <c r="AC7" s="139">
        <v>15.6</v>
      </c>
      <c r="AD7" s="138"/>
      <c r="AG7" s="140"/>
      <c r="AL7" s="138"/>
      <c r="AO7" s="140"/>
      <c r="AS7" s="140"/>
      <c r="AW7" s="140"/>
      <c r="BA7" s="141"/>
    </row>
    <row r="8" spans="1:53" s="50" customFormat="1" x14ac:dyDescent="0.15">
      <c r="A8" s="41">
        <v>1960</v>
      </c>
      <c r="B8" s="42"/>
      <c r="C8" s="370" t="s">
        <v>147</v>
      </c>
      <c r="D8" s="370"/>
      <c r="E8" s="41">
        <v>0</v>
      </c>
      <c r="F8" s="41"/>
      <c r="G8" s="43">
        <v>12</v>
      </c>
      <c r="H8" s="41"/>
      <c r="I8" s="41"/>
      <c r="J8" s="44">
        <v>12</v>
      </c>
      <c r="K8" s="32">
        <f>G8/J8*100</f>
        <v>100</v>
      </c>
      <c r="L8" s="32">
        <f>H8/J8*100</f>
        <v>0</v>
      </c>
      <c r="M8" s="32">
        <f>I8/J8*100</f>
        <v>0</v>
      </c>
      <c r="N8" s="33">
        <f>SUM(K8:M8)</f>
        <v>100</v>
      </c>
      <c r="O8" s="45">
        <v>63.1</v>
      </c>
      <c r="P8" s="46"/>
      <c r="Q8" s="46"/>
      <c r="R8" s="47">
        <f>SUM(O8:Q8)</f>
        <v>63.1</v>
      </c>
      <c r="S8" s="48">
        <v>2</v>
      </c>
      <c r="T8" s="49"/>
      <c r="U8" s="40"/>
      <c r="V8" s="37" t="s">
        <v>72</v>
      </c>
      <c r="W8" s="28" t="s">
        <v>74</v>
      </c>
      <c r="X8" s="28" t="s">
        <v>11</v>
      </c>
      <c r="Y8" s="38">
        <v>47.5</v>
      </c>
      <c r="Z8" s="28" t="s">
        <v>73</v>
      </c>
      <c r="AA8" s="28" t="s">
        <v>869</v>
      </c>
      <c r="AB8" s="28" t="s">
        <v>11</v>
      </c>
      <c r="AC8" s="28">
        <v>15.6</v>
      </c>
      <c r="AD8" s="37"/>
      <c r="AE8" s="28"/>
      <c r="AF8" s="28"/>
      <c r="AG8" s="38"/>
      <c r="AH8" s="28"/>
      <c r="AI8" s="28"/>
      <c r="AJ8" s="28"/>
      <c r="AK8" s="28"/>
      <c r="AL8" s="37"/>
      <c r="AM8" s="28"/>
      <c r="AN8" s="28"/>
      <c r="AO8" s="38"/>
      <c r="AP8" s="37"/>
      <c r="AQ8" s="28"/>
      <c r="AR8" s="28"/>
      <c r="AS8" s="38"/>
      <c r="AT8" s="28"/>
      <c r="AW8" s="38"/>
      <c r="BA8" s="167"/>
    </row>
    <row r="9" spans="1:53" s="50" customFormat="1" x14ac:dyDescent="0.15">
      <c r="A9" s="41">
        <v>1960</v>
      </c>
      <c r="B9" s="42"/>
      <c r="C9" s="370" t="s">
        <v>147</v>
      </c>
      <c r="D9" s="370"/>
      <c r="E9" s="41">
        <v>366</v>
      </c>
      <c r="F9" s="41"/>
      <c r="G9" s="43">
        <v>12</v>
      </c>
      <c r="H9" s="41"/>
      <c r="I9" s="41"/>
      <c r="J9" s="44">
        <v>12</v>
      </c>
      <c r="K9" s="32">
        <f t="shared" ref="K9:K15" si="0">G9/J9*100</f>
        <v>100</v>
      </c>
      <c r="L9" s="32">
        <f t="shared" ref="L9:L15" si="1">H9/J9*100</f>
        <v>0</v>
      </c>
      <c r="M9" s="32">
        <f t="shared" ref="M9:M15" si="2">I9/J9*100</f>
        <v>0</v>
      </c>
      <c r="N9" s="33">
        <f t="shared" ref="N9:N72" si="3">SUM(K9:M9)</f>
        <v>100</v>
      </c>
      <c r="O9" s="45">
        <v>63.1</v>
      </c>
      <c r="P9" s="46"/>
      <c r="Q9" s="46"/>
      <c r="R9" s="47">
        <f t="shared" ref="R9:R72" si="4">SUM(O9:Q9)</f>
        <v>63.1</v>
      </c>
      <c r="S9" s="48">
        <v>2</v>
      </c>
      <c r="T9" s="49"/>
      <c r="U9" s="40"/>
      <c r="V9" s="37" t="s">
        <v>72</v>
      </c>
      <c r="W9" s="28" t="s">
        <v>74</v>
      </c>
      <c r="X9" s="28" t="s">
        <v>11</v>
      </c>
      <c r="Y9" s="38">
        <v>47.5</v>
      </c>
      <c r="Z9" s="28" t="s">
        <v>73</v>
      </c>
      <c r="AA9" s="28" t="s">
        <v>869</v>
      </c>
      <c r="AB9" s="28" t="s">
        <v>11</v>
      </c>
      <c r="AC9" s="28">
        <v>15.6</v>
      </c>
      <c r="AD9" s="37"/>
      <c r="AE9" s="28"/>
      <c r="AF9" s="28"/>
      <c r="AG9" s="38"/>
      <c r="AH9" s="28"/>
      <c r="AI9" s="28"/>
      <c r="AJ9" s="28"/>
      <c r="AK9" s="28"/>
      <c r="AL9" s="37"/>
      <c r="AM9" s="28"/>
      <c r="AN9" s="28"/>
      <c r="AO9" s="38"/>
      <c r="AP9" s="37"/>
      <c r="AQ9" s="28"/>
      <c r="AR9" s="28"/>
      <c r="AS9" s="38"/>
      <c r="AT9" s="28"/>
      <c r="AW9" s="38"/>
      <c r="BA9" s="167"/>
    </row>
    <row r="10" spans="1:53" s="50" customFormat="1" x14ac:dyDescent="0.15">
      <c r="A10" s="41">
        <v>1961</v>
      </c>
      <c r="B10" s="42"/>
      <c r="C10" s="370" t="s">
        <v>147</v>
      </c>
      <c r="D10" s="370"/>
      <c r="E10" s="41">
        <v>356</v>
      </c>
      <c r="F10" s="41"/>
      <c r="G10" s="43">
        <v>12</v>
      </c>
      <c r="H10" s="41"/>
      <c r="I10" s="41"/>
      <c r="J10" s="44">
        <v>12</v>
      </c>
      <c r="K10" s="32">
        <f t="shared" si="0"/>
        <v>100</v>
      </c>
      <c r="L10" s="32">
        <f t="shared" si="1"/>
        <v>0</v>
      </c>
      <c r="M10" s="32">
        <f t="shared" si="2"/>
        <v>0</v>
      </c>
      <c r="N10" s="33">
        <f t="shared" si="3"/>
        <v>100</v>
      </c>
      <c r="O10" s="45">
        <v>63.1</v>
      </c>
      <c r="P10" s="46"/>
      <c r="Q10" s="46"/>
      <c r="R10" s="47">
        <f t="shared" si="4"/>
        <v>63.1</v>
      </c>
      <c r="S10" s="51">
        <v>2</v>
      </c>
      <c r="T10" s="49"/>
      <c r="U10" s="40"/>
      <c r="V10" s="37" t="s">
        <v>72</v>
      </c>
      <c r="W10" s="28" t="s">
        <v>74</v>
      </c>
      <c r="X10" s="28" t="s">
        <v>11</v>
      </c>
      <c r="Y10" s="38">
        <v>47.5</v>
      </c>
      <c r="Z10" s="28" t="s">
        <v>73</v>
      </c>
      <c r="AA10" s="28" t="s">
        <v>869</v>
      </c>
      <c r="AB10" s="28" t="s">
        <v>11</v>
      </c>
      <c r="AC10" s="28">
        <v>15.6</v>
      </c>
      <c r="AD10" s="37"/>
      <c r="AE10" s="28"/>
      <c r="AF10" s="28"/>
      <c r="AG10" s="38"/>
      <c r="AH10" s="28"/>
      <c r="AI10" s="28"/>
      <c r="AJ10" s="28"/>
      <c r="AK10" s="28"/>
      <c r="AL10" s="37"/>
      <c r="AM10" s="28"/>
      <c r="AN10" s="28"/>
      <c r="AO10" s="38"/>
      <c r="AP10" s="37"/>
      <c r="AQ10" s="28"/>
      <c r="AR10" s="28"/>
      <c r="AS10" s="38"/>
      <c r="AT10" s="28"/>
      <c r="AW10" s="38"/>
      <c r="BA10" s="167"/>
    </row>
    <row r="11" spans="1:53" s="216" customFormat="1" x14ac:dyDescent="0.15">
      <c r="A11" s="115">
        <v>1961</v>
      </c>
      <c r="B11" s="276">
        <v>22638</v>
      </c>
      <c r="C11" s="369" t="s">
        <v>148</v>
      </c>
      <c r="D11" s="369"/>
      <c r="E11" s="115">
        <f>365-E10</f>
        <v>9</v>
      </c>
      <c r="F11" s="115">
        <v>1</v>
      </c>
      <c r="G11" s="210">
        <v>12</v>
      </c>
      <c r="H11" s="115"/>
      <c r="I11" s="115"/>
      <c r="J11" s="211">
        <v>12</v>
      </c>
      <c r="K11" s="173">
        <f>G11/J11*100</f>
        <v>100</v>
      </c>
      <c r="L11" s="173">
        <f t="shared" si="1"/>
        <v>0</v>
      </c>
      <c r="M11" s="173">
        <f t="shared" si="2"/>
        <v>0</v>
      </c>
      <c r="N11" s="174">
        <f t="shared" si="3"/>
        <v>100</v>
      </c>
      <c r="O11" s="212">
        <v>50.8</v>
      </c>
      <c r="P11" s="213"/>
      <c r="Q11" s="213"/>
      <c r="R11" s="214">
        <f t="shared" si="4"/>
        <v>50.8</v>
      </c>
      <c r="S11" s="215">
        <v>2</v>
      </c>
      <c r="T11" s="283">
        <v>22624</v>
      </c>
      <c r="U11" s="283">
        <v>22638</v>
      </c>
      <c r="V11" s="177" t="s">
        <v>72</v>
      </c>
      <c r="W11" s="170" t="s">
        <v>74</v>
      </c>
      <c r="X11" s="170" t="s">
        <v>11</v>
      </c>
      <c r="Y11" s="178">
        <v>36.9</v>
      </c>
      <c r="Z11" s="170" t="s">
        <v>73</v>
      </c>
      <c r="AA11" s="170" t="s">
        <v>869</v>
      </c>
      <c r="AB11" s="170" t="s">
        <v>11</v>
      </c>
      <c r="AC11" s="170">
        <v>13.9</v>
      </c>
      <c r="AD11" s="177"/>
      <c r="AE11" s="170"/>
      <c r="AF11" s="170"/>
      <c r="AG11" s="178"/>
      <c r="AH11" s="170"/>
      <c r="AI11" s="170"/>
      <c r="AJ11" s="170"/>
      <c r="AK11" s="170"/>
      <c r="AL11" s="177"/>
      <c r="AM11" s="170"/>
      <c r="AN11" s="170"/>
      <c r="AO11" s="178"/>
      <c r="AP11" s="177"/>
      <c r="AQ11" s="170"/>
      <c r="AR11" s="170"/>
      <c r="AS11" s="178"/>
      <c r="AT11" s="170"/>
      <c r="AW11" s="178"/>
      <c r="BA11" s="217"/>
    </row>
    <row r="12" spans="1:53" s="216" customFormat="1" x14ac:dyDescent="0.15">
      <c r="A12" s="115">
        <v>1962</v>
      </c>
      <c r="B12" s="276"/>
      <c r="C12" s="369" t="s">
        <v>148</v>
      </c>
      <c r="D12" s="369"/>
      <c r="E12" s="115">
        <v>0</v>
      </c>
      <c r="F12" s="115"/>
      <c r="G12" s="210">
        <v>12</v>
      </c>
      <c r="H12" s="115"/>
      <c r="I12" s="115"/>
      <c r="J12" s="211">
        <v>12</v>
      </c>
      <c r="K12" s="173">
        <f t="shared" si="0"/>
        <v>100</v>
      </c>
      <c r="L12" s="173">
        <f t="shared" si="1"/>
        <v>0</v>
      </c>
      <c r="M12" s="173">
        <f t="shared" si="2"/>
        <v>0</v>
      </c>
      <c r="N12" s="174">
        <f t="shared" si="3"/>
        <v>100</v>
      </c>
      <c r="O12" s="212">
        <v>50.8</v>
      </c>
      <c r="P12" s="213"/>
      <c r="Q12" s="213"/>
      <c r="R12" s="214">
        <f t="shared" si="4"/>
        <v>50.8</v>
      </c>
      <c r="S12" s="215">
        <v>2</v>
      </c>
      <c r="T12" s="283"/>
      <c r="U12" s="283"/>
      <c r="V12" s="177" t="s">
        <v>72</v>
      </c>
      <c r="W12" s="170" t="s">
        <v>74</v>
      </c>
      <c r="X12" s="170" t="s">
        <v>11</v>
      </c>
      <c r="Y12" s="178">
        <v>36.9</v>
      </c>
      <c r="Z12" s="170" t="s">
        <v>73</v>
      </c>
      <c r="AA12" s="170" t="s">
        <v>869</v>
      </c>
      <c r="AB12" s="170" t="s">
        <v>11</v>
      </c>
      <c r="AC12" s="170">
        <v>13.9</v>
      </c>
      <c r="AD12" s="177"/>
      <c r="AE12" s="170"/>
      <c r="AF12" s="170"/>
      <c r="AG12" s="178"/>
      <c r="AH12" s="170"/>
      <c r="AI12" s="170"/>
      <c r="AJ12" s="170"/>
      <c r="AK12" s="170"/>
      <c r="AL12" s="177"/>
      <c r="AM12" s="170"/>
      <c r="AN12" s="170"/>
      <c r="AO12" s="178"/>
      <c r="AP12" s="177"/>
      <c r="AQ12" s="170"/>
      <c r="AR12" s="170"/>
      <c r="AS12" s="178"/>
      <c r="AT12" s="170"/>
      <c r="AW12" s="178"/>
      <c r="BA12" s="217"/>
    </row>
    <row r="13" spans="1:53" s="216" customFormat="1" x14ac:dyDescent="0.15">
      <c r="A13" s="115">
        <v>1962</v>
      </c>
      <c r="B13" s="276"/>
      <c r="C13" s="369" t="s">
        <v>148</v>
      </c>
      <c r="D13" s="369"/>
      <c r="E13" s="115">
        <f>365-E12</f>
        <v>365</v>
      </c>
      <c r="F13" s="115"/>
      <c r="G13" s="210">
        <v>12</v>
      </c>
      <c r="H13" s="115"/>
      <c r="I13" s="115"/>
      <c r="J13" s="211">
        <v>12</v>
      </c>
      <c r="K13" s="173">
        <f t="shared" si="0"/>
        <v>100</v>
      </c>
      <c r="L13" s="173">
        <f t="shared" si="1"/>
        <v>0</v>
      </c>
      <c r="M13" s="173">
        <f t="shared" si="2"/>
        <v>0</v>
      </c>
      <c r="N13" s="174">
        <f t="shared" si="3"/>
        <v>100</v>
      </c>
      <c r="O13" s="212">
        <v>50.8</v>
      </c>
      <c r="P13" s="213"/>
      <c r="Q13" s="213"/>
      <c r="R13" s="214">
        <f t="shared" si="4"/>
        <v>50.8</v>
      </c>
      <c r="S13" s="215">
        <v>2</v>
      </c>
      <c r="T13" s="283"/>
      <c r="U13" s="283"/>
      <c r="V13" s="177" t="s">
        <v>72</v>
      </c>
      <c r="W13" s="170" t="s">
        <v>74</v>
      </c>
      <c r="X13" s="170" t="s">
        <v>11</v>
      </c>
      <c r="Y13" s="178">
        <v>36.9</v>
      </c>
      <c r="Z13" s="170" t="s">
        <v>73</v>
      </c>
      <c r="AA13" s="170" t="s">
        <v>869</v>
      </c>
      <c r="AB13" s="170" t="s">
        <v>11</v>
      </c>
      <c r="AC13" s="170">
        <v>13.9</v>
      </c>
      <c r="AD13" s="177"/>
      <c r="AE13" s="170"/>
      <c r="AF13" s="170"/>
      <c r="AG13" s="178"/>
      <c r="AH13" s="170"/>
      <c r="AI13" s="170"/>
      <c r="AJ13" s="170"/>
      <c r="AK13" s="170"/>
      <c r="AL13" s="177"/>
      <c r="AM13" s="170"/>
      <c r="AN13" s="170"/>
      <c r="AO13" s="178"/>
      <c r="AP13" s="177"/>
      <c r="AQ13" s="170"/>
      <c r="AR13" s="170"/>
      <c r="AS13" s="178"/>
      <c r="AT13" s="170"/>
      <c r="AW13" s="178"/>
      <c r="BA13" s="217"/>
    </row>
    <row r="14" spans="1:53" s="216" customFormat="1" x14ac:dyDescent="0.15">
      <c r="A14" s="115">
        <v>1963</v>
      </c>
      <c r="B14" s="276"/>
      <c r="C14" s="369" t="s">
        <v>148</v>
      </c>
      <c r="D14" s="369"/>
      <c r="E14" s="115">
        <v>350</v>
      </c>
      <c r="F14" s="115"/>
      <c r="G14" s="210">
        <v>12</v>
      </c>
      <c r="H14" s="115"/>
      <c r="I14" s="115"/>
      <c r="J14" s="211">
        <v>12</v>
      </c>
      <c r="K14" s="173">
        <f t="shared" si="0"/>
        <v>100</v>
      </c>
      <c r="L14" s="173">
        <f t="shared" si="1"/>
        <v>0</v>
      </c>
      <c r="M14" s="173">
        <f t="shared" si="2"/>
        <v>0</v>
      </c>
      <c r="N14" s="174">
        <f t="shared" si="3"/>
        <v>100</v>
      </c>
      <c r="O14" s="212">
        <v>50.8</v>
      </c>
      <c r="P14" s="213"/>
      <c r="Q14" s="213"/>
      <c r="R14" s="214">
        <f t="shared" si="4"/>
        <v>50.8</v>
      </c>
      <c r="S14" s="215">
        <v>2</v>
      </c>
      <c r="T14" s="283"/>
      <c r="U14" s="283"/>
      <c r="V14" s="177" t="s">
        <v>72</v>
      </c>
      <c r="W14" s="170" t="s">
        <v>74</v>
      </c>
      <c r="X14" s="170" t="s">
        <v>11</v>
      </c>
      <c r="Y14" s="178">
        <v>36.9</v>
      </c>
      <c r="Z14" s="170" t="s">
        <v>73</v>
      </c>
      <c r="AA14" s="170" t="s">
        <v>869</v>
      </c>
      <c r="AB14" s="170" t="s">
        <v>11</v>
      </c>
      <c r="AC14" s="170">
        <v>13.9</v>
      </c>
      <c r="AD14" s="177"/>
      <c r="AE14" s="170"/>
      <c r="AF14" s="170"/>
      <c r="AG14" s="178"/>
      <c r="AH14" s="170"/>
      <c r="AI14" s="170"/>
      <c r="AJ14" s="170"/>
      <c r="AK14" s="170"/>
      <c r="AL14" s="177"/>
      <c r="AM14" s="170"/>
      <c r="AN14" s="170"/>
      <c r="AO14" s="178"/>
      <c r="AP14" s="177"/>
      <c r="AQ14" s="170"/>
      <c r="AR14" s="170"/>
      <c r="AS14" s="178"/>
      <c r="AT14" s="170"/>
      <c r="AW14" s="178"/>
      <c r="BA14" s="217"/>
    </row>
    <row r="15" spans="1:53" s="50" customFormat="1" x14ac:dyDescent="0.15">
      <c r="A15" s="41">
        <v>1963</v>
      </c>
      <c r="B15" s="277">
        <v>23362</v>
      </c>
      <c r="C15" s="370" t="s">
        <v>149</v>
      </c>
      <c r="D15" s="370"/>
      <c r="E15" s="41">
        <f>365-E14</f>
        <v>15</v>
      </c>
      <c r="F15" s="41">
        <v>1</v>
      </c>
      <c r="G15" s="43">
        <v>12</v>
      </c>
      <c r="H15" s="41"/>
      <c r="I15" s="41"/>
      <c r="J15" s="44">
        <v>12</v>
      </c>
      <c r="K15" s="32">
        <f t="shared" si="0"/>
        <v>100</v>
      </c>
      <c r="L15" s="32">
        <f t="shared" si="1"/>
        <v>0</v>
      </c>
      <c r="M15" s="32">
        <f t="shared" si="2"/>
        <v>0</v>
      </c>
      <c r="N15" s="33">
        <f t="shared" si="3"/>
        <v>100</v>
      </c>
      <c r="O15" s="45">
        <v>59</v>
      </c>
      <c r="P15" s="46"/>
      <c r="Q15" s="46"/>
      <c r="R15" s="47">
        <f t="shared" si="4"/>
        <v>59</v>
      </c>
      <c r="S15" s="51">
        <v>2</v>
      </c>
      <c r="T15" s="284">
        <v>23345</v>
      </c>
      <c r="U15" s="284">
        <v>23362</v>
      </c>
      <c r="V15" s="37" t="s">
        <v>72</v>
      </c>
      <c r="W15" s="28" t="s">
        <v>74</v>
      </c>
      <c r="X15" s="28" t="s">
        <v>11</v>
      </c>
      <c r="Y15" s="38">
        <v>42.6</v>
      </c>
      <c r="Z15" s="28" t="s">
        <v>73</v>
      </c>
      <c r="AA15" s="28" t="s">
        <v>869</v>
      </c>
      <c r="AB15" s="28" t="s">
        <v>11</v>
      </c>
      <c r="AC15" s="28">
        <v>16.399999999999999</v>
      </c>
      <c r="AD15" s="37"/>
      <c r="AE15" s="28"/>
      <c r="AF15" s="28"/>
      <c r="AG15" s="38"/>
      <c r="AH15" s="28"/>
      <c r="AI15" s="28"/>
      <c r="AJ15" s="28"/>
      <c r="AK15" s="28"/>
      <c r="AL15" s="37"/>
      <c r="AM15" s="28"/>
      <c r="AN15" s="28"/>
      <c r="AO15" s="38"/>
      <c r="AP15" s="37"/>
      <c r="AQ15" s="28"/>
      <c r="AR15" s="28"/>
      <c r="AS15" s="38"/>
      <c r="AT15" s="28"/>
      <c r="AW15" s="38"/>
      <c r="BA15" s="167"/>
    </row>
    <row r="16" spans="1:53" s="50" customFormat="1" x14ac:dyDescent="0.15">
      <c r="A16" s="41">
        <v>1964</v>
      </c>
      <c r="B16" s="277"/>
      <c r="C16" s="370" t="s">
        <v>149</v>
      </c>
      <c r="D16" s="370"/>
      <c r="E16" s="41">
        <v>0</v>
      </c>
      <c r="F16" s="41"/>
      <c r="G16" s="43">
        <v>12</v>
      </c>
      <c r="H16" s="41"/>
      <c r="I16" s="41"/>
      <c r="J16" s="44">
        <v>12</v>
      </c>
      <c r="K16" s="32">
        <f>G16/J16*100</f>
        <v>100</v>
      </c>
      <c r="L16" s="32">
        <f>H16/J16*100</f>
        <v>0</v>
      </c>
      <c r="M16" s="32">
        <f>I16/J16*100</f>
        <v>0</v>
      </c>
      <c r="N16" s="33">
        <f t="shared" si="3"/>
        <v>100</v>
      </c>
      <c r="O16" s="45">
        <v>59</v>
      </c>
      <c r="P16" s="46"/>
      <c r="Q16" s="46"/>
      <c r="R16" s="47">
        <f t="shared" si="4"/>
        <v>59</v>
      </c>
      <c r="S16" s="51">
        <v>2</v>
      </c>
      <c r="T16" s="284"/>
      <c r="U16" s="284"/>
      <c r="V16" s="37" t="s">
        <v>72</v>
      </c>
      <c r="W16" s="28" t="s">
        <v>74</v>
      </c>
      <c r="X16" s="28" t="s">
        <v>11</v>
      </c>
      <c r="Y16" s="38">
        <v>42.6</v>
      </c>
      <c r="Z16" s="28" t="s">
        <v>73</v>
      </c>
      <c r="AA16" s="28" t="s">
        <v>869</v>
      </c>
      <c r="AB16" s="28" t="s">
        <v>11</v>
      </c>
      <c r="AC16" s="28">
        <v>16.399999999999999</v>
      </c>
      <c r="AD16" s="37"/>
      <c r="AE16" s="28"/>
      <c r="AF16" s="28"/>
      <c r="AG16" s="38"/>
      <c r="AH16" s="28"/>
      <c r="AI16" s="28"/>
      <c r="AJ16" s="28"/>
      <c r="AK16" s="28"/>
      <c r="AL16" s="37"/>
      <c r="AM16" s="28"/>
      <c r="AN16" s="28"/>
      <c r="AO16" s="38"/>
      <c r="AP16" s="37"/>
      <c r="AQ16" s="28"/>
      <c r="AR16" s="28"/>
      <c r="AS16" s="38"/>
      <c r="AT16" s="28"/>
      <c r="AW16" s="38"/>
      <c r="BA16" s="167"/>
    </row>
    <row r="17" spans="1:53" s="50" customFormat="1" x14ac:dyDescent="0.15">
      <c r="A17" s="41">
        <v>1964</v>
      </c>
      <c r="B17" s="277"/>
      <c r="C17" s="370" t="s">
        <v>149</v>
      </c>
      <c r="D17" s="370"/>
      <c r="E17" s="41">
        <v>366</v>
      </c>
      <c r="F17" s="41"/>
      <c r="G17" s="43">
        <v>12</v>
      </c>
      <c r="H17" s="41"/>
      <c r="I17" s="41"/>
      <c r="J17" s="44">
        <v>12</v>
      </c>
      <c r="K17" s="32">
        <f t="shared" ref="K17:K24" si="5">G17/J17*100</f>
        <v>100</v>
      </c>
      <c r="L17" s="32">
        <f t="shared" ref="L17:L24" si="6">H17/J17*100</f>
        <v>0</v>
      </c>
      <c r="M17" s="32">
        <f t="shared" ref="M17:M24" si="7">I17/J17*100</f>
        <v>0</v>
      </c>
      <c r="N17" s="33">
        <f t="shared" si="3"/>
        <v>100</v>
      </c>
      <c r="O17" s="45">
        <v>59</v>
      </c>
      <c r="P17" s="46"/>
      <c r="Q17" s="46"/>
      <c r="R17" s="47">
        <f t="shared" si="4"/>
        <v>59</v>
      </c>
      <c r="S17" s="51">
        <v>2</v>
      </c>
      <c r="T17" s="284"/>
      <c r="U17" s="284"/>
      <c r="V17" s="37" t="s">
        <v>72</v>
      </c>
      <c r="W17" s="28" t="s">
        <v>74</v>
      </c>
      <c r="X17" s="28" t="s">
        <v>11</v>
      </c>
      <c r="Y17" s="38">
        <v>42.6</v>
      </c>
      <c r="Z17" s="28" t="s">
        <v>73</v>
      </c>
      <c r="AA17" s="28" t="s">
        <v>869</v>
      </c>
      <c r="AB17" s="28" t="s">
        <v>11</v>
      </c>
      <c r="AC17" s="28">
        <v>16.399999999999999</v>
      </c>
      <c r="AD17" s="37"/>
      <c r="AE17" s="28"/>
      <c r="AF17" s="28"/>
      <c r="AG17" s="38"/>
      <c r="AH17" s="28"/>
      <c r="AI17" s="28"/>
      <c r="AJ17" s="28"/>
      <c r="AK17" s="28"/>
      <c r="AL17" s="37"/>
      <c r="AM17" s="28"/>
      <c r="AN17" s="28"/>
      <c r="AO17" s="38"/>
      <c r="AP17" s="37"/>
      <c r="AQ17" s="28"/>
      <c r="AR17" s="28"/>
      <c r="AS17" s="38"/>
      <c r="AT17" s="28"/>
      <c r="AW17" s="38"/>
      <c r="BA17" s="167"/>
    </row>
    <row r="18" spans="1:53" s="50" customFormat="1" x14ac:dyDescent="0.15">
      <c r="A18" s="41">
        <v>1965</v>
      </c>
      <c r="B18" s="277"/>
      <c r="C18" s="370" t="s">
        <v>149</v>
      </c>
      <c r="D18" s="370"/>
      <c r="E18" s="41">
        <v>0</v>
      </c>
      <c r="F18" s="41"/>
      <c r="G18" s="43">
        <v>12</v>
      </c>
      <c r="H18" s="41"/>
      <c r="I18" s="41"/>
      <c r="J18" s="44">
        <v>12</v>
      </c>
      <c r="K18" s="32">
        <f t="shared" si="5"/>
        <v>100</v>
      </c>
      <c r="L18" s="32">
        <f t="shared" si="6"/>
        <v>0</v>
      </c>
      <c r="M18" s="32">
        <f t="shared" si="7"/>
        <v>0</v>
      </c>
      <c r="N18" s="33">
        <f t="shared" si="3"/>
        <v>100</v>
      </c>
      <c r="O18" s="45">
        <v>59</v>
      </c>
      <c r="P18" s="46"/>
      <c r="Q18" s="46"/>
      <c r="R18" s="47">
        <f t="shared" si="4"/>
        <v>59</v>
      </c>
      <c r="S18" s="51">
        <v>2</v>
      </c>
      <c r="T18" s="284"/>
      <c r="U18" s="284"/>
      <c r="V18" s="37" t="s">
        <v>72</v>
      </c>
      <c r="W18" s="28" t="s">
        <v>74</v>
      </c>
      <c r="X18" s="28" t="s">
        <v>11</v>
      </c>
      <c r="Y18" s="38">
        <v>42.6</v>
      </c>
      <c r="Z18" s="28" t="s">
        <v>73</v>
      </c>
      <c r="AA18" s="28" t="s">
        <v>869</v>
      </c>
      <c r="AB18" s="28" t="s">
        <v>11</v>
      </c>
      <c r="AC18" s="28">
        <v>16.399999999999999</v>
      </c>
      <c r="AD18" s="37"/>
      <c r="AE18" s="28"/>
      <c r="AF18" s="28"/>
      <c r="AG18" s="38"/>
      <c r="AH18" s="28"/>
      <c r="AI18" s="28"/>
      <c r="AJ18" s="28"/>
      <c r="AK18" s="28"/>
      <c r="AL18" s="37"/>
      <c r="AM18" s="28"/>
      <c r="AN18" s="28"/>
      <c r="AO18" s="38"/>
      <c r="AP18" s="37"/>
      <c r="AQ18" s="28"/>
      <c r="AR18" s="28"/>
      <c r="AS18" s="38"/>
      <c r="AT18" s="28"/>
      <c r="AW18" s="38"/>
      <c r="BA18" s="167"/>
    </row>
    <row r="19" spans="1:53" s="50" customFormat="1" x14ac:dyDescent="0.15">
      <c r="A19" s="41">
        <v>1965</v>
      </c>
      <c r="B19" s="277"/>
      <c r="C19" s="370" t="s">
        <v>149</v>
      </c>
      <c r="D19" s="370"/>
      <c r="E19" s="41">
        <f>365-E18</f>
        <v>365</v>
      </c>
      <c r="F19" s="41"/>
      <c r="G19" s="43">
        <v>12</v>
      </c>
      <c r="H19" s="41"/>
      <c r="I19" s="41"/>
      <c r="J19" s="44">
        <v>12</v>
      </c>
      <c r="K19" s="32">
        <f t="shared" si="5"/>
        <v>100</v>
      </c>
      <c r="L19" s="32">
        <f t="shared" si="6"/>
        <v>0</v>
      </c>
      <c r="M19" s="32">
        <f t="shared" si="7"/>
        <v>0</v>
      </c>
      <c r="N19" s="33">
        <f t="shared" si="3"/>
        <v>100</v>
      </c>
      <c r="O19" s="45">
        <v>59</v>
      </c>
      <c r="P19" s="46"/>
      <c r="Q19" s="46"/>
      <c r="R19" s="47">
        <f t="shared" si="4"/>
        <v>59</v>
      </c>
      <c r="S19" s="51">
        <v>2</v>
      </c>
      <c r="T19" s="284"/>
      <c r="U19" s="284"/>
      <c r="V19" s="37" t="s">
        <v>72</v>
      </c>
      <c r="W19" s="28" t="s">
        <v>74</v>
      </c>
      <c r="X19" s="28" t="s">
        <v>11</v>
      </c>
      <c r="Y19" s="38">
        <v>42.6</v>
      </c>
      <c r="Z19" s="28" t="s">
        <v>73</v>
      </c>
      <c r="AA19" s="28" t="s">
        <v>869</v>
      </c>
      <c r="AB19" s="28" t="s">
        <v>11</v>
      </c>
      <c r="AC19" s="28">
        <v>16.399999999999999</v>
      </c>
      <c r="AD19" s="37"/>
      <c r="AE19" s="28"/>
      <c r="AF19" s="28"/>
      <c r="AG19" s="38"/>
      <c r="AH19" s="28"/>
      <c r="AI19" s="28"/>
      <c r="AJ19" s="28"/>
      <c r="AK19" s="28"/>
      <c r="AL19" s="37"/>
      <c r="AM19" s="28"/>
      <c r="AN19" s="28"/>
      <c r="AO19" s="38"/>
      <c r="AP19" s="37"/>
      <c r="AQ19" s="28"/>
      <c r="AR19" s="28"/>
      <c r="AS19" s="38"/>
      <c r="AT19" s="28"/>
      <c r="AW19" s="38"/>
      <c r="BA19" s="167"/>
    </row>
    <row r="20" spans="1:53" s="50" customFormat="1" x14ac:dyDescent="0.15">
      <c r="A20" s="41">
        <v>1966</v>
      </c>
      <c r="B20" s="277"/>
      <c r="C20" s="370" t="s">
        <v>149</v>
      </c>
      <c r="D20" s="370"/>
      <c r="E20" s="41">
        <v>25</v>
      </c>
      <c r="F20" s="41"/>
      <c r="G20" s="43">
        <v>12</v>
      </c>
      <c r="H20" s="41"/>
      <c r="I20" s="41"/>
      <c r="J20" s="44">
        <v>12</v>
      </c>
      <c r="K20" s="32">
        <f t="shared" si="5"/>
        <v>100</v>
      </c>
      <c r="L20" s="32">
        <f t="shared" si="6"/>
        <v>0</v>
      </c>
      <c r="M20" s="32">
        <f t="shared" si="7"/>
        <v>0</v>
      </c>
      <c r="N20" s="33">
        <f t="shared" si="3"/>
        <v>100</v>
      </c>
      <c r="O20" s="45">
        <v>59</v>
      </c>
      <c r="P20" s="46"/>
      <c r="Q20" s="46"/>
      <c r="R20" s="47">
        <f t="shared" si="4"/>
        <v>59</v>
      </c>
      <c r="S20" s="51">
        <v>2</v>
      </c>
      <c r="T20" s="284"/>
      <c r="U20" s="284"/>
      <c r="V20" s="37" t="s">
        <v>72</v>
      </c>
      <c r="W20" s="28" t="s">
        <v>74</v>
      </c>
      <c r="X20" s="28" t="s">
        <v>11</v>
      </c>
      <c r="Y20" s="38">
        <v>42.6</v>
      </c>
      <c r="Z20" s="28" t="s">
        <v>73</v>
      </c>
      <c r="AA20" s="28" t="s">
        <v>869</v>
      </c>
      <c r="AB20" s="28" t="s">
        <v>11</v>
      </c>
      <c r="AC20" s="28">
        <v>16.399999999999999</v>
      </c>
      <c r="AD20" s="37"/>
      <c r="AE20" s="28"/>
      <c r="AF20" s="28"/>
      <c r="AG20" s="38"/>
      <c r="AH20" s="28"/>
      <c r="AI20" s="28"/>
      <c r="AJ20" s="28"/>
      <c r="AK20" s="28"/>
      <c r="AL20" s="37"/>
      <c r="AM20" s="28"/>
      <c r="AN20" s="28"/>
      <c r="AO20" s="38"/>
      <c r="AP20" s="37"/>
      <c r="AQ20" s="28"/>
      <c r="AR20" s="28"/>
      <c r="AS20" s="38"/>
      <c r="AT20" s="28"/>
      <c r="AW20" s="38"/>
      <c r="BA20" s="167"/>
    </row>
    <row r="21" spans="1:53" s="216" customFormat="1" x14ac:dyDescent="0.15">
      <c r="A21" s="115">
        <v>1966</v>
      </c>
      <c r="B21" s="276">
        <v>24133</v>
      </c>
      <c r="C21" s="369" t="s">
        <v>150</v>
      </c>
      <c r="D21" s="369"/>
      <c r="E21" s="115">
        <v>322</v>
      </c>
      <c r="F21" s="115">
        <v>2</v>
      </c>
      <c r="G21" s="210">
        <v>12</v>
      </c>
      <c r="H21" s="115"/>
      <c r="I21" s="115"/>
      <c r="J21" s="211">
        <v>12</v>
      </c>
      <c r="K21" s="173">
        <f>G21/J21*100</f>
        <v>100</v>
      </c>
      <c r="L21" s="173">
        <f>H21/J21*100</f>
        <v>0</v>
      </c>
      <c r="M21" s="173">
        <f>I21/J21*100</f>
        <v>0</v>
      </c>
      <c r="N21" s="174">
        <f t="shared" si="3"/>
        <v>100</v>
      </c>
      <c r="O21" s="212">
        <v>59</v>
      </c>
      <c r="P21" s="213"/>
      <c r="Q21" s="213"/>
      <c r="R21" s="214">
        <f t="shared" si="4"/>
        <v>59</v>
      </c>
      <c r="S21" s="215">
        <v>2</v>
      </c>
      <c r="T21" s="283"/>
      <c r="U21" s="283">
        <v>24130</v>
      </c>
      <c r="V21" s="177" t="s">
        <v>72</v>
      </c>
      <c r="W21" s="170" t="s">
        <v>74</v>
      </c>
      <c r="X21" s="170" t="s">
        <v>11</v>
      </c>
      <c r="Y21" s="178">
        <v>42.6</v>
      </c>
      <c r="Z21" s="170" t="s">
        <v>73</v>
      </c>
      <c r="AA21" s="170" t="s">
        <v>869</v>
      </c>
      <c r="AB21" s="170" t="s">
        <v>11</v>
      </c>
      <c r="AC21" s="170">
        <v>16.399999999999999</v>
      </c>
      <c r="AD21" s="177"/>
      <c r="AE21" s="170"/>
      <c r="AF21" s="170"/>
      <c r="AG21" s="178"/>
      <c r="AH21" s="170"/>
      <c r="AI21" s="170"/>
      <c r="AJ21" s="170"/>
      <c r="AK21" s="170"/>
      <c r="AL21" s="177"/>
      <c r="AM21" s="170"/>
      <c r="AN21" s="170"/>
      <c r="AO21" s="178"/>
      <c r="AP21" s="177"/>
      <c r="AQ21" s="170"/>
      <c r="AR21" s="170"/>
      <c r="AS21" s="178"/>
      <c r="AT21" s="170"/>
      <c r="AW21" s="178"/>
      <c r="BA21" s="217"/>
    </row>
    <row r="22" spans="1:53" s="50" customFormat="1" x14ac:dyDescent="0.15">
      <c r="A22" s="41">
        <v>1966</v>
      </c>
      <c r="B22" s="277">
        <v>24455</v>
      </c>
      <c r="C22" s="370" t="s">
        <v>151</v>
      </c>
      <c r="D22" s="370"/>
      <c r="E22" s="41">
        <v>18</v>
      </c>
      <c r="F22" s="41">
        <v>1</v>
      </c>
      <c r="G22" s="43">
        <v>12</v>
      </c>
      <c r="H22" s="41"/>
      <c r="I22" s="41"/>
      <c r="J22" s="44">
        <v>12</v>
      </c>
      <c r="K22" s="32">
        <f t="shared" si="5"/>
        <v>100</v>
      </c>
      <c r="L22" s="32">
        <f t="shared" si="6"/>
        <v>0</v>
      </c>
      <c r="M22" s="32">
        <f t="shared" si="7"/>
        <v>0</v>
      </c>
      <c r="N22" s="33">
        <f t="shared" si="3"/>
        <v>100</v>
      </c>
      <c r="O22" s="45">
        <v>66.099999999999994</v>
      </c>
      <c r="P22" s="46"/>
      <c r="Q22" s="46"/>
      <c r="R22" s="47">
        <f t="shared" si="4"/>
        <v>66.099999999999994</v>
      </c>
      <c r="S22" s="51">
        <v>2</v>
      </c>
      <c r="T22" s="284">
        <v>24437</v>
      </c>
      <c r="U22" s="284">
        <v>24455</v>
      </c>
      <c r="V22" s="37" t="s">
        <v>72</v>
      </c>
      <c r="W22" s="28" t="s">
        <v>74</v>
      </c>
      <c r="X22" s="28" t="s">
        <v>11</v>
      </c>
      <c r="Y22" s="38">
        <v>49.2</v>
      </c>
      <c r="Z22" s="28" t="s">
        <v>73</v>
      </c>
      <c r="AA22" s="28" t="s">
        <v>869</v>
      </c>
      <c r="AB22" s="28" t="s">
        <v>11</v>
      </c>
      <c r="AC22" s="28">
        <v>16.899999999999999</v>
      </c>
      <c r="AD22" s="37"/>
      <c r="AE22" s="28"/>
      <c r="AF22" s="28"/>
      <c r="AG22" s="38"/>
      <c r="AH22" s="28"/>
      <c r="AI22" s="28"/>
      <c r="AJ22" s="28"/>
      <c r="AK22" s="28"/>
      <c r="AL22" s="37"/>
      <c r="AM22" s="28"/>
      <c r="AN22" s="28"/>
      <c r="AO22" s="38"/>
      <c r="AP22" s="37"/>
      <c r="AQ22" s="28"/>
      <c r="AR22" s="28"/>
      <c r="AS22" s="38"/>
      <c r="AT22" s="28"/>
      <c r="AW22" s="38"/>
      <c r="BA22" s="167"/>
    </row>
    <row r="23" spans="1:53" s="50" customFormat="1" x14ac:dyDescent="0.15">
      <c r="A23" s="41">
        <v>1967</v>
      </c>
      <c r="B23" s="277"/>
      <c r="C23" s="370" t="s">
        <v>151</v>
      </c>
      <c r="D23" s="370"/>
      <c r="E23" s="41">
        <v>351</v>
      </c>
      <c r="F23" s="41"/>
      <c r="G23" s="43">
        <v>12</v>
      </c>
      <c r="H23" s="41"/>
      <c r="I23" s="41"/>
      <c r="J23" s="44">
        <v>12</v>
      </c>
      <c r="K23" s="32">
        <f t="shared" si="5"/>
        <v>100</v>
      </c>
      <c r="L23" s="32">
        <f t="shared" si="6"/>
        <v>0</v>
      </c>
      <c r="M23" s="32">
        <f t="shared" si="7"/>
        <v>0</v>
      </c>
      <c r="N23" s="33">
        <f t="shared" si="3"/>
        <v>100</v>
      </c>
      <c r="O23" s="45">
        <v>66.099999999999994</v>
      </c>
      <c r="P23" s="46"/>
      <c r="Q23" s="46"/>
      <c r="R23" s="47">
        <f t="shared" si="4"/>
        <v>66.099999999999994</v>
      </c>
      <c r="S23" s="51">
        <v>2</v>
      </c>
      <c r="T23" s="284"/>
      <c r="U23" s="284"/>
      <c r="V23" s="37" t="s">
        <v>72</v>
      </c>
      <c r="W23" s="28" t="s">
        <v>74</v>
      </c>
      <c r="X23" s="28" t="s">
        <v>11</v>
      </c>
      <c r="Y23" s="38">
        <v>49.2</v>
      </c>
      <c r="Z23" s="28" t="s">
        <v>73</v>
      </c>
      <c r="AA23" s="28" t="s">
        <v>869</v>
      </c>
      <c r="AB23" s="28" t="s">
        <v>11</v>
      </c>
      <c r="AC23" s="28">
        <v>16.899999999999999</v>
      </c>
      <c r="AD23" s="37"/>
      <c r="AE23" s="28"/>
      <c r="AF23" s="28"/>
      <c r="AG23" s="38"/>
      <c r="AH23" s="28"/>
      <c r="AI23" s="28"/>
      <c r="AJ23" s="28"/>
      <c r="AK23" s="28"/>
      <c r="AL23" s="37"/>
      <c r="AM23" s="28"/>
      <c r="AN23" s="28"/>
      <c r="AO23" s="38"/>
      <c r="AP23" s="37"/>
      <c r="AQ23" s="28"/>
      <c r="AR23" s="28"/>
      <c r="AS23" s="38"/>
      <c r="AT23" s="28"/>
      <c r="AW23" s="38"/>
      <c r="BA23" s="167"/>
    </row>
    <row r="24" spans="1:53" s="216" customFormat="1" x14ac:dyDescent="0.15">
      <c r="A24" s="41">
        <v>1967</v>
      </c>
      <c r="B24" s="276">
        <v>24824</v>
      </c>
      <c r="C24" s="369" t="s">
        <v>152</v>
      </c>
      <c r="D24" s="369"/>
      <c r="E24" s="115">
        <f>365-E23</f>
        <v>14</v>
      </c>
      <c r="F24" s="115">
        <v>3</v>
      </c>
      <c r="G24" s="210">
        <v>11</v>
      </c>
      <c r="H24" s="115"/>
      <c r="I24" s="115"/>
      <c r="J24" s="211">
        <v>11</v>
      </c>
      <c r="K24" s="173">
        <f t="shared" si="5"/>
        <v>100</v>
      </c>
      <c r="L24" s="173">
        <f t="shared" si="6"/>
        <v>0</v>
      </c>
      <c r="M24" s="173">
        <f t="shared" si="7"/>
        <v>0</v>
      </c>
      <c r="N24" s="174">
        <f t="shared" si="3"/>
        <v>100</v>
      </c>
      <c r="O24" s="212">
        <v>66.099999999999994</v>
      </c>
      <c r="P24" s="213"/>
      <c r="Q24" s="213"/>
      <c r="R24" s="214">
        <f t="shared" si="4"/>
        <v>66.099999999999994</v>
      </c>
      <c r="S24" s="215">
        <v>2</v>
      </c>
      <c r="T24" s="283"/>
      <c r="U24" s="283">
        <v>24824</v>
      </c>
      <c r="V24" s="177" t="s">
        <v>72</v>
      </c>
      <c r="W24" s="170" t="s">
        <v>74</v>
      </c>
      <c r="X24" s="170" t="s">
        <v>11</v>
      </c>
      <c r="Y24" s="178">
        <v>49.2</v>
      </c>
      <c r="Z24" s="170" t="s">
        <v>73</v>
      </c>
      <c r="AA24" s="170" t="s">
        <v>869</v>
      </c>
      <c r="AB24" s="170" t="s">
        <v>11</v>
      </c>
      <c r="AC24" s="170">
        <v>16.899999999999999</v>
      </c>
      <c r="AD24" s="177"/>
      <c r="AE24" s="170"/>
      <c r="AF24" s="170"/>
      <c r="AG24" s="178"/>
      <c r="AH24" s="170"/>
      <c r="AI24" s="170"/>
      <c r="AJ24" s="170"/>
      <c r="AK24" s="170"/>
      <c r="AL24" s="177"/>
      <c r="AM24" s="170"/>
      <c r="AN24" s="170"/>
      <c r="AO24" s="178"/>
      <c r="AP24" s="177"/>
      <c r="AQ24" s="170"/>
      <c r="AR24" s="170"/>
      <c r="AS24" s="178"/>
      <c r="AT24" s="170"/>
      <c r="AW24" s="178"/>
      <c r="BA24" s="217"/>
    </row>
    <row r="25" spans="1:53" s="216" customFormat="1" x14ac:dyDescent="0.15">
      <c r="A25" s="115">
        <v>1968</v>
      </c>
      <c r="B25" s="276"/>
      <c r="C25" s="369" t="s">
        <v>152</v>
      </c>
      <c r="D25" s="369"/>
      <c r="E25" s="115">
        <v>9</v>
      </c>
      <c r="F25" s="115"/>
      <c r="G25" s="210">
        <v>11</v>
      </c>
      <c r="H25" s="115"/>
      <c r="I25" s="115"/>
      <c r="J25" s="211">
        <v>11</v>
      </c>
      <c r="K25" s="173">
        <f>G25/J25*100</f>
        <v>100</v>
      </c>
      <c r="L25" s="173">
        <f>H25/J25*100</f>
        <v>0</v>
      </c>
      <c r="M25" s="173">
        <f>I25/J25*100</f>
        <v>0</v>
      </c>
      <c r="N25" s="174">
        <f t="shared" si="3"/>
        <v>100</v>
      </c>
      <c r="O25" s="212">
        <v>66.099999999999994</v>
      </c>
      <c r="P25" s="213"/>
      <c r="Q25" s="213"/>
      <c r="R25" s="214">
        <f t="shared" si="4"/>
        <v>66.099999999999994</v>
      </c>
      <c r="S25" s="215">
        <v>2</v>
      </c>
      <c r="T25" s="283"/>
      <c r="U25" s="283"/>
      <c r="V25" s="177" t="s">
        <v>72</v>
      </c>
      <c r="W25" s="170" t="s">
        <v>74</v>
      </c>
      <c r="X25" s="170" t="s">
        <v>11</v>
      </c>
      <c r="Y25" s="178">
        <v>49.2</v>
      </c>
      <c r="Z25" s="170" t="s">
        <v>73</v>
      </c>
      <c r="AA25" s="170" t="s">
        <v>869</v>
      </c>
      <c r="AB25" s="170" t="s">
        <v>11</v>
      </c>
      <c r="AC25" s="170">
        <v>16.899999999999999</v>
      </c>
      <c r="AD25" s="177"/>
      <c r="AE25" s="170"/>
      <c r="AF25" s="170"/>
      <c r="AG25" s="178"/>
      <c r="AH25" s="170"/>
      <c r="AI25" s="170"/>
      <c r="AJ25" s="170"/>
      <c r="AK25" s="170"/>
      <c r="AL25" s="177"/>
      <c r="AM25" s="170"/>
      <c r="AN25" s="170"/>
      <c r="AO25" s="178"/>
      <c r="AP25" s="177"/>
      <c r="AQ25" s="170"/>
      <c r="AR25" s="170"/>
      <c r="AS25" s="178"/>
      <c r="AT25" s="170"/>
      <c r="AW25" s="178"/>
      <c r="BA25" s="217"/>
    </row>
    <row r="26" spans="1:53" s="50" customFormat="1" x14ac:dyDescent="0.15">
      <c r="A26" s="115">
        <v>1968</v>
      </c>
      <c r="B26" s="277">
        <v>24847</v>
      </c>
      <c r="C26" s="370" t="s">
        <v>153</v>
      </c>
      <c r="D26" s="370"/>
      <c r="E26" s="41">
        <v>49</v>
      </c>
      <c r="F26" s="41">
        <v>2</v>
      </c>
      <c r="G26" s="43">
        <v>12</v>
      </c>
      <c r="H26" s="41"/>
      <c r="I26" s="41"/>
      <c r="J26" s="44">
        <v>12</v>
      </c>
      <c r="K26" s="32">
        <f>G26/J26*100</f>
        <v>100</v>
      </c>
      <c r="L26" s="32">
        <f>H26/J26*100</f>
        <v>0</v>
      </c>
      <c r="M26" s="32">
        <f>I26/J26*100</f>
        <v>0</v>
      </c>
      <c r="N26" s="33">
        <f t="shared" si="3"/>
        <v>100</v>
      </c>
      <c r="O26" s="45">
        <v>66.099999999999994</v>
      </c>
      <c r="P26" s="46"/>
      <c r="Q26" s="46"/>
      <c r="R26" s="47">
        <f t="shared" si="4"/>
        <v>66.099999999999994</v>
      </c>
      <c r="S26" s="51">
        <v>2</v>
      </c>
      <c r="T26" s="284"/>
      <c r="U26" s="284">
        <v>24847</v>
      </c>
      <c r="V26" s="37" t="s">
        <v>72</v>
      </c>
      <c r="W26" s="28" t="s">
        <v>74</v>
      </c>
      <c r="X26" s="28" t="s">
        <v>11</v>
      </c>
      <c r="Y26" s="38">
        <v>49.2</v>
      </c>
      <c r="Z26" s="28" t="s">
        <v>73</v>
      </c>
      <c r="AA26" s="28" t="s">
        <v>869</v>
      </c>
      <c r="AB26" s="28" t="s">
        <v>11</v>
      </c>
      <c r="AC26" s="28">
        <v>16.899999999999999</v>
      </c>
      <c r="AD26" s="37"/>
      <c r="AE26" s="28"/>
      <c r="AF26" s="28"/>
      <c r="AG26" s="38"/>
      <c r="AH26" s="28"/>
      <c r="AI26" s="28"/>
      <c r="AJ26" s="28"/>
      <c r="AK26" s="28"/>
      <c r="AL26" s="37"/>
      <c r="AM26" s="28"/>
      <c r="AN26" s="28"/>
      <c r="AO26" s="38"/>
      <c r="AP26" s="37"/>
      <c r="AQ26" s="28"/>
      <c r="AR26" s="28"/>
      <c r="AS26" s="38"/>
      <c r="AT26" s="28"/>
      <c r="AW26" s="38"/>
      <c r="BA26" s="167"/>
    </row>
    <row r="27" spans="1:53" s="50" customFormat="1" x14ac:dyDescent="0.15">
      <c r="A27" s="115">
        <v>1968</v>
      </c>
      <c r="B27" s="278">
        <v>24896</v>
      </c>
      <c r="C27" s="370" t="s">
        <v>153</v>
      </c>
      <c r="D27" s="370"/>
      <c r="E27" s="41">
        <v>308</v>
      </c>
      <c r="F27" s="57">
        <v>0</v>
      </c>
      <c r="G27" s="43">
        <v>12</v>
      </c>
      <c r="H27" s="41"/>
      <c r="I27" s="41"/>
      <c r="J27" s="44">
        <v>12</v>
      </c>
      <c r="K27" s="32">
        <f t="shared" ref="K27:K33" si="8">G27/J27*100</f>
        <v>100</v>
      </c>
      <c r="L27" s="32">
        <f t="shared" ref="L27:L33" si="9">H27/J27*100</f>
        <v>0</v>
      </c>
      <c r="M27" s="32">
        <f t="shared" ref="M27:M33" si="10">I27/J27*100</f>
        <v>0</v>
      </c>
      <c r="N27" s="33">
        <f t="shared" si="3"/>
        <v>100</v>
      </c>
      <c r="O27" s="45">
        <v>66.099999999999994</v>
      </c>
      <c r="P27" s="46"/>
      <c r="Q27" s="46"/>
      <c r="R27" s="47">
        <f t="shared" si="4"/>
        <v>66.099999999999994</v>
      </c>
      <c r="S27" s="51">
        <v>2</v>
      </c>
      <c r="T27" s="284"/>
      <c r="U27" s="284"/>
      <c r="V27" s="37" t="s">
        <v>72</v>
      </c>
      <c r="W27" s="28" t="s">
        <v>74</v>
      </c>
      <c r="X27" s="28" t="s">
        <v>11</v>
      </c>
      <c r="Y27" s="38">
        <v>49.2</v>
      </c>
      <c r="Z27" s="28" t="s">
        <v>73</v>
      </c>
      <c r="AA27" s="28" t="s">
        <v>869</v>
      </c>
      <c r="AB27" s="28" t="s">
        <v>11</v>
      </c>
      <c r="AC27" s="28">
        <v>16.899999999999999</v>
      </c>
      <c r="AD27" s="37"/>
      <c r="AE27" s="28"/>
      <c r="AF27" s="28"/>
      <c r="AG27" s="38"/>
      <c r="AH27" s="28"/>
      <c r="AI27" s="28"/>
      <c r="AJ27" s="28"/>
      <c r="AK27" s="28"/>
      <c r="AL27" s="37"/>
      <c r="AM27" s="28"/>
      <c r="AN27" s="28"/>
      <c r="AO27" s="38"/>
      <c r="AP27" s="37"/>
      <c r="AQ27" s="28"/>
      <c r="AR27" s="28"/>
      <c r="AS27" s="38"/>
      <c r="AT27" s="28"/>
      <c r="AW27" s="38"/>
      <c r="BA27" s="167"/>
    </row>
    <row r="28" spans="1:53" s="50" customFormat="1" x14ac:dyDescent="0.15">
      <c r="A28" s="41">
        <v>1969</v>
      </c>
      <c r="B28" s="277"/>
      <c r="C28" s="370" t="s">
        <v>153</v>
      </c>
      <c r="D28" s="370"/>
      <c r="E28" s="41">
        <v>314</v>
      </c>
      <c r="F28" s="41"/>
      <c r="G28" s="43">
        <v>12</v>
      </c>
      <c r="H28" s="41"/>
      <c r="I28" s="41"/>
      <c r="J28" s="44">
        <v>12</v>
      </c>
      <c r="K28" s="32">
        <f t="shared" si="8"/>
        <v>100</v>
      </c>
      <c r="L28" s="32">
        <f t="shared" si="9"/>
        <v>0</v>
      </c>
      <c r="M28" s="32">
        <f t="shared" si="10"/>
        <v>0</v>
      </c>
      <c r="N28" s="33">
        <f t="shared" si="3"/>
        <v>100</v>
      </c>
      <c r="O28" s="45">
        <v>66.099999999999994</v>
      </c>
      <c r="P28" s="46"/>
      <c r="Q28" s="46"/>
      <c r="R28" s="47">
        <f t="shared" si="4"/>
        <v>66.099999999999994</v>
      </c>
      <c r="S28" s="51">
        <v>2</v>
      </c>
      <c r="T28" s="284"/>
      <c r="U28" s="284"/>
      <c r="V28" s="37" t="s">
        <v>72</v>
      </c>
      <c r="W28" s="28" t="s">
        <v>74</v>
      </c>
      <c r="X28" s="28" t="s">
        <v>11</v>
      </c>
      <c r="Y28" s="38">
        <v>49.2</v>
      </c>
      <c r="Z28" s="28" t="s">
        <v>73</v>
      </c>
      <c r="AA28" s="28" t="s">
        <v>869</v>
      </c>
      <c r="AB28" s="28" t="s">
        <v>11</v>
      </c>
      <c r="AC28" s="28">
        <v>16.899999999999999</v>
      </c>
      <c r="AD28" s="37"/>
      <c r="AE28" s="28"/>
      <c r="AF28" s="28"/>
      <c r="AG28" s="38"/>
      <c r="AH28" s="28"/>
      <c r="AI28" s="28"/>
      <c r="AJ28" s="28"/>
      <c r="AK28" s="28"/>
      <c r="AL28" s="37"/>
      <c r="AM28" s="28"/>
      <c r="AN28" s="28"/>
      <c r="AO28" s="38"/>
      <c r="AP28" s="37"/>
      <c r="AQ28" s="28"/>
      <c r="AR28" s="28"/>
      <c r="AS28" s="38"/>
      <c r="AT28" s="28"/>
      <c r="AW28" s="38"/>
      <c r="BA28" s="167"/>
    </row>
    <row r="29" spans="1:53" s="216" customFormat="1" x14ac:dyDescent="0.15">
      <c r="A29" s="41">
        <v>1969</v>
      </c>
      <c r="B29" s="276">
        <v>25518</v>
      </c>
      <c r="C29" s="369" t="s">
        <v>154</v>
      </c>
      <c r="D29" s="369"/>
      <c r="E29" s="115">
        <f>365-E28</f>
        <v>51</v>
      </c>
      <c r="F29" s="115">
        <v>1</v>
      </c>
      <c r="G29" s="210">
        <v>13</v>
      </c>
      <c r="H29" s="115"/>
      <c r="I29" s="115"/>
      <c r="J29" s="211">
        <v>13</v>
      </c>
      <c r="K29" s="173">
        <f>G29/J29*100</f>
        <v>100</v>
      </c>
      <c r="L29" s="173">
        <f t="shared" si="9"/>
        <v>0</v>
      </c>
      <c r="M29" s="173">
        <f t="shared" si="10"/>
        <v>0</v>
      </c>
      <c r="N29" s="174">
        <f t="shared" si="3"/>
        <v>100</v>
      </c>
      <c r="O29" s="212">
        <v>52.8</v>
      </c>
      <c r="P29" s="213"/>
      <c r="Q29" s="213"/>
      <c r="R29" s="214">
        <f t="shared" si="4"/>
        <v>52.8</v>
      </c>
      <c r="S29" s="215">
        <v>2</v>
      </c>
      <c r="T29" s="283">
        <v>25501</v>
      </c>
      <c r="U29" s="283">
        <v>25518</v>
      </c>
      <c r="V29" s="177" t="s">
        <v>72</v>
      </c>
      <c r="W29" s="170" t="s">
        <v>74</v>
      </c>
      <c r="X29" s="170" t="s">
        <v>11</v>
      </c>
      <c r="Y29" s="178">
        <v>36.799999999999997</v>
      </c>
      <c r="Z29" s="170" t="s">
        <v>73</v>
      </c>
      <c r="AA29" s="170" t="s">
        <v>869</v>
      </c>
      <c r="AB29" s="170" t="s">
        <v>11</v>
      </c>
      <c r="AC29" s="170">
        <v>16</v>
      </c>
      <c r="AD29" s="177"/>
      <c r="AE29" s="170"/>
      <c r="AF29" s="170"/>
      <c r="AG29" s="178"/>
      <c r="AH29" s="170"/>
      <c r="AI29" s="170"/>
      <c r="AJ29" s="170"/>
      <c r="AK29" s="170"/>
      <c r="AL29" s="177"/>
      <c r="AM29" s="170"/>
      <c r="AN29" s="170"/>
      <c r="AO29" s="178"/>
      <c r="AP29" s="177"/>
      <c r="AQ29" s="170"/>
      <c r="AR29" s="170"/>
      <c r="AS29" s="178"/>
      <c r="AT29" s="170"/>
      <c r="AW29" s="178"/>
      <c r="BA29" s="217"/>
    </row>
    <row r="30" spans="1:53" s="216" customFormat="1" x14ac:dyDescent="0.15">
      <c r="A30" s="115">
        <v>1970</v>
      </c>
      <c r="B30" s="276"/>
      <c r="C30" s="369" t="s">
        <v>154</v>
      </c>
      <c r="D30" s="369"/>
      <c r="E30" s="115">
        <v>0</v>
      </c>
      <c r="F30" s="115"/>
      <c r="G30" s="210">
        <v>13</v>
      </c>
      <c r="H30" s="115"/>
      <c r="I30" s="115"/>
      <c r="J30" s="211">
        <v>13</v>
      </c>
      <c r="K30" s="173">
        <f t="shared" si="8"/>
        <v>100</v>
      </c>
      <c r="L30" s="173">
        <f t="shared" si="9"/>
        <v>0</v>
      </c>
      <c r="M30" s="173">
        <f t="shared" si="10"/>
        <v>0</v>
      </c>
      <c r="N30" s="174">
        <f t="shared" si="3"/>
        <v>100</v>
      </c>
      <c r="O30" s="212">
        <v>52.8</v>
      </c>
      <c r="P30" s="213"/>
      <c r="Q30" s="213"/>
      <c r="R30" s="214">
        <f t="shared" si="4"/>
        <v>52.8</v>
      </c>
      <c r="S30" s="215">
        <v>2</v>
      </c>
      <c r="T30" s="283"/>
      <c r="U30" s="283"/>
      <c r="V30" s="177" t="s">
        <v>72</v>
      </c>
      <c r="W30" s="170" t="s">
        <v>74</v>
      </c>
      <c r="X30" s="170" t="s">
        <v>11</v>
      </c>
      <c r="Y30" s="178">
        <v>36.799999999999997</v>
      </c>
      <c r="Z30" s="170" t="s">
        <v>73</v>
      </c>
      <c r="AA30" s="170" t="s">
        <v>869</v>
      </c>
      <c r="AB30" s="170" t="s">
        <v>11</v>
      </c>
      <c r="AC30" s="170">
        <v>16</v>
      </c>
      <c r="AD30" s="177"/>
      <c r="AE30" s="170"/>
      <c r="AF30" s="170"/>
      <c r="AG30" s="178"/>
      <c r="AH30" s="170"/>
      <c r="AI30" s="170"/>
      <c r="AJ30" s="170"/>
      <c r="AK30" s="170"/>
      <c r="AL30" s="177"/>
      <c r="AM30" s="170"/>
      <c r="AN30" s="170"/>
      <c r="AO30" s="178"/>
      <c r="AP30" s="177"/>
      <c r="AQ30" s="170"/>
      <c r="AR30" s="170"/>
      <c r="AS30" s="178"/>
      <c r="AT30" s="170"/>
      <c r="AW30" s="178"/>
      <c r="BA30" s="217"/>
    </row>
    <row r="31" spans="1:53" s="216" customFormat="1" x14ac:dyDescent="0.15">
      <c r="A31" s="115">
        <v>1970</v>
      </c>
      <c r="B31" s="276"/>
      <c r="C31" s="369" t="s">
        <v>154</v>
      </c>
      <c r="D31" s="369"/>
      <c r="E31" s="115">
        <f>365-E30</f>
        <v>365</v>
      </c>
      <c r="F31" s="115"/>
      <c r="G31" s="210">
        <v>13</v>
      </c>
      <c r="H31" s="115"/>
      <c r="I31" s="115"/>
      <c r="J31" s="211">
        <v>13</v>
      </c>
      <c r="K31" s="173">
        <f t="shared" si="8"/>
        <v>100</v>
      </c>
      <c r="L31" s="173">
        <f t="shared" si="9"/>
        <v>0</v>
      </c>
      <c r="M31" s="173">
        <f t="shared" si="10"/>
        <v>0</v>
      </c>
      <c r="N31" s="174">
        <f t="shared" si="3"/>
        <v>100</v>
      </c>
      <c r="O31" s="212">
        <v>52.8</v>
      </c>
      <c r="P31" s="213"/>
      <c r="Q31" s="213"/>
      <c r="R31" s="214">
        <f t="shared" si="4"/>
        <v>52.8</v>
      </c>
      <c r="S31" s="215">
        <v>2</v>
      </c>
      <c r="T31" s="283"/>
      <c r="U31" s="283"/>
      <c r="V31" s="177" t="s">
        <v>72</v>
      </c>
      <c r="W31" s="170" t="s">
        <v>74</v>
      </c>
      <c r="X31" s="170" t="s">
        <v>11</v>
      </c>
      <c r="Y31" s="178">
        <v>36.799999999999997</v>
      </c>
      <c r="Z31" s="170" t="s">
        <v>73</v>
      </c>
      <c r="AA31" s="170" t="s">
        <v>869</v>
      </c>
      <c r="AB31" s="170" t="s">
        <v>11</v>
      </c>
      <c r="AC31" s="170">
        <v>16</v>
      </c>
      <c r="AD31" s="177"/>
      <c r="AE31" s="170"/>
      <c r="AF31" s="170"/>
      <c r="AG31" s="178"/>
      <c r="AH31" s="170"/>
      <c r="AI31" s="170"/>
      <c r="AJ31" s="170"/>
      <c r="AK31" s="170"/>
      <c r="AL31" s="177"/>
      <c r="AM31" s="170"/>
      <c r="AN31" s="170"/>
      <c r="AO31" s="178"/>
      <c r="AP31" s="177"/>
      <c r="AQ31" s="170"/>
      <c r="AR31" s="170"/>
      <c r="AS31" s="178"/>
      <c r="AT31" s="170"/>
      <c r="AW31" s="178"/>
      <c r="BA31" s="217"/>
    </row>
    <row r="32" spans="1:53" s="216" customFormat="1" x14ac:dyDescent="0.15">
      <c r="A32" s="115">
        <v>1971</v>
      </c>
      <c r="B32" s="276"/>
      <c r="C32" s="369" t="s">
        <v>154</v>
      </c>
      <c r="D32" s="369"/>
      <c r="E32" s="115">
        <v>79</v>
      </c>
      <c r="F32" s="115"/>
      <c r="G32" s="210">
        <v>13</v>
      </c>
      <c r="H32" s="115"/>
      <c r="I32" s="115"/>
      <c r="J32" s="211">
        <v>13</v>
      </c>
      <c r="K32" s="173">
        <f t="shared" si="8"/>
        <v>100</v>
      </c>
      <c r="L32" s="173">
        <f t="shared" si="9"/>
        <v>0</v>
      </c>
      <c r="M32" s="173">
        <f t="shared" si="10"/>
        <v>0</v>
      </c>
      <c r="N32" s="174">
        <f t="shared" si="3"/>
        <v>100</v>
      </c>
      <c r="O32" s="212">
        <v>52.8</v>
      </c>
      <c r="P32" s="213"/>
      <c r="Q32" s="213"/>
      <c r="R32" s="214">
        <f t="shared" si="4"/>
        <v>52.8</v>
      </c>
      <c r="S32" s="215">
        <v>2</v>
      </c>
      <c r="T32" s="283"/>
      <c r="U32" s="283"/>
      <c r="V32" s="177" t="s">
        <v>72</v>
      </c>
      <c r="W32" s="170" t="s">
        <v>74</v>
      </c>
      <c r="X32" s="170" t="s">
        <v>11</v>
      </c>
      <c r="Y32" s="178">
        <v>36.799999999999997</v>
      </c>
      <c r="Z32" s="170" t="s">
        <v>73</v>
      </c>
      <c r="AA32" s="170" t="s">
        <v>869</v>
      </c>
      <c r="AB32" s="170" t="s">
        <v>11</v>
      </c>
      <c r="AC32" s="170">
        <v>16</v>
      </c>
      <c r="AD32" s="177"/>
      <c r="AE32" s="170"/>
      <c r="AF32" s="170"/>
      <c r="AG32" s="178"/>
      <c r="AH32" s="170"/>
      <c r="AI32" s="170"/>
      <c r="AJ32" s="170"/>
      <c r="AK32" s="170"/>
      <c r="AL32" s="177"/>
      <c r="AM32" s="170"/>
      <c r="AN32" s="170"/>
      <c r="AO32" s="178"/>
      <c r="AP32" s="177"/>
      <c r="AQ32" s="170"/>
      <c r="AR32" s="170"/>
      <c r="AS32" s="178"/>
      <c r="AT32" s="170"/>
      <c r="AW32" s="178"/>
      <c r="BA32" s="217"/>
    </row>
    <row r="33" spans="1:53" s="50" customFormat="1" x14ac:dyDescent="0.15">
      <c r="A33" s="41">
        <v>1971</v>
      </c>
      <c r="B33" s="277">
        <v>26013</v>
      </c>
      <c r="C33" s="370" t="s">
        <v>155</v>
      </c>
      <c r="D33" s="370"/>
      <c r="E33" s="41">
        <v>286</v>
      </c>
      <c r="F33" s="41">
        <v>2</v>
      </c>
      <c r="G33" s="43">
        <v>13</v>
      </c>
      <c r="H33" s="41"/>
      <c r="I33" s="41"/>
      <c r="J33" s="44">
        <v>13</v>
      </c>
      <c r="K33" s="32">
        <f t="shared" si="8"/>
        <v>100</v>
      </c>
      <c r="L33" s="32">
        <f t="shared" si="9"/>
        <v>0</v>
      </c>
      <c r="M33" s="32">
        <f t="shared" si="10"/>
        <v>0</v>
      </c>
      <c r="N33" s="33">
        <f t="shared" si="3"/>
        <v>100</v>
      </c>
      <c r="O33" s="45">
        <v>52.8</v>
      </c>
      <c r="P33" s="46"/>
      <c r="Q33" s="46"/>
      <c r="R33" s="47">
        <f t="shared" si="4"/>
        <v>52.8</v>
      </c>
      <c r="S33" s="51">
        <v>2</v>
      </c>
      <c r="T33" s="284"/>
      <c r="U33" s="284">
        <v>26013</v>
      </c>
      <c r="V33" s="37" t="s">
        <v>72</v>
      </c>
      <c r="W33" s="28" t="s">
        <v>74</v>
      </c>
      <c r="X33" s="28" t="s">
        <v>11</v>
      </c>
      <c r="Y33" s="38">
        <v>36.799999999999997</v>
      </c>
      <c r="Z33" s="28" t="s">
        <v>73</v>
      </c>
      <c r="AA33" s="28" t="s">
        <v>869</v>
      </c>
      <c r="AB33" s="28" t="s">
        <v>11</v>
      </c>
      <c r="AC33" s="28">
        <v>16</v>
      </c>
      <c r="AD33" s="37"/>
      <c r="AE33" s="28"/>
      <c r="AF33" s="28"/>
      <c r="AG33" s="38"/>
      <c r="AH33" s="28"/>
      <c r="AI33" s="28"/>
      <c r="AJ33" s="28"/>
      <c r="AK33" s="28"/>
      <c r="AL33" s="37"/>
      <c r="AM33" s="28"/>
      <c r="AN33" s="28"/>
      <c r="AO33" s="38"/>
      <c r="AP33" s="37"/>
      <c r="AQ33" s="28"/>
      <c r="AR33" s="28"/>
      <c r="AS33" s="38"/>
      <c r="AT33" s="28"/>
      <c r="AW33" s="38"/>
      <c r="BA33" s="167"/>
    </row>
    <row r="34" spans="1:53" s="50" customFormat="1" x14ac:dyDescent="0.15">
      <c r="A34" s="41">
        <v>1972</v>
      </c>
      <c r="B34" s="277"/>
      <c r="C34" s="370" t="s">
        <v>155</v>
      </c>
      <c r="D34" s="370"/>
      <c r="E34" s="41">
        <v>353</v>
      </c>
      <c r="F34" s="41"/>
      <c r="G34" s="43">
        <v>13</v>
      </c>
      <c r="H34" s="41"/>
      <c r="I34" s="41"/>
      <c r="J34" s="44">
        <v>13</v>
      </c>
      <c r="K34" s="32">
        <f t="shared" ref="K34:K41" si="11">G34/J34*100</f>
        <v>100</v>
      </c>
      <c r="L34" s="32">
        <f t="shared" ref="L34:L41" si="12">H34/J34*100</f>
        <v>0</v>
      </c>
      <c r="M34" s="32">
        <f t="shared" ref="M34:M41" si="13">I34/J34*100</f>
        <v>0</v>
      </c>
      <c r="N34" s="33">
        <f t="shared" si="3"/>
        <v>100</v>
      </c>
      <c r="O34" s="45">
        <v>52.8</v>
      </c>
      <c r="P34" s="46"/>
      <c r="Q34" s="46"/>
      <c r="R34" s="47">
        <f t="shared" si="4"/>
        <v>52.8</v>
      </c>
      <c r="S34" s="51">
        <v>2</v>
      </c>
      <c r="T34" s="284"/>
      <c r="U34" s="284"/>
      <c r="V34" s="37" t="s">
        <v>72</v>
      </c>
      <c r="W34" s="28" t="s">
        <v>74</v>
      </c>
      <c r="X34" s="28" t="s">
        <v>11</v>
      </c>
      <c r="Y34" s="38">
        <v>36.799999999999997</v>
      </c>
      <c r="Z34" s="28" t="s">
        <v>73</v>
      </c>
      <c r="AA34" s="28" t="s">
        <v>869</v>
      </c>
      <c r="AB34" s="28" t="s">
        <v>11</v>
      </c>
      <c r="AC34" s="28">
        <v>16</v>
      </c>
      <c r="AD34" s="37"/>
      <c r="AE34" s="28"/>
      <c r="AF34" s="28"/>
      <c r="AG34" s="38"/>
      <c r="AH34" s="28"/>
      <c r="AI34" s="28"/>
      <c r="AJ34" s="28"/>
      <c r="AK34" s="28"/>
      <c r="AL34" s="37"/>
      <c r="AM34" s="28"/>
      <c r="AN34" s="28"/>
      <c r="AO34" s="38"/>
      <c r="AP34" s="37"/>
      <c r="AQ34" s="28"/>
      <c r="AR34" s="28"/>
      <c r="AS34" s="38"/>
      <c r="AT34" s="28"/>
      <c r="AW34" s="38"/>
      <c r="BA34" s="167"/>
    </row>
    <row r="35" spans="1:53" s="216" customFormat="1" x14ac:dyDescent="0.15">
      <c r="A35" s="115">
        <v>1972</v>
      </c>
      <c r="B35" s="276">
        <v>26652</v>
      </c>
      <c r="C35" s="369" t="s">
        <v>156</v>
      </c>
      <c r="D35" s="369"/>
      <c r="E35" s="115">
        <v>13</v>
      </c>
      <c r="F35" s="115">
        <v>1</v>
      </c>
      <c r="G35" s="210"/>
      <c r="H35" s="115"/>
      <c r="I35" s="115">
        <v>27</v>
      </c>
      <c r="J35" s="211">
        <v>27</v>
      </c>
      <c r="K35" s="173">
        <f t="shared" si="11"/>
        <v>0</v>
      </c>
      <c r="L35" s="173">
        <f t="shared" si="12"/>
        <v>0</v>
      </c>
      <c r="M35" s="173">
        <f t="shared" si="13"/>
        <v>100</v>
      </c>
      <c r="N35" s="174">
        <f t="shared" si="3"/>
        <v>100</v>
      </c>
      <c r="O35" s="212"/>
      <c r="P35" s="213"/>
      <c r="Q35" s="213">
        <v>53.6</v>
      </c>
      <c r="R35" s="214">
        <f t="shared" si="4"/>
        <v>53.6</v>
      </c>
      <c r="S35" s="215">
        <v>1</v>
      </c>
      <c r="T35" s="283">
        <v>26635</v>
      </c>
      <c r="U35" s="283">
        <v>26652</v>
      </c>
      <c r="V35" s="177" t="s">
        <v>77</v>
      </c>
      <c r="W35" s="170" t="s">
        <v>20</v>
      </c>
      <c r="X35" s="170" t="s">
        <v>12</v>
      </c>
      <c r="Y35" s="178">
        <v>53.6</v>
      </c>
      <c r="Z35" s="170"/>
      <c r="AA35" s="170"/>
      <c r="AB35" s="170"/>
      <c r="AC35" s="170"/>
      <c r="AD35" s="177"/>
      <c r="AE35" s="170"/>
      <c r="AF35" s="170"/>
      <c r="AG35" s="178"/>
      <c r="AH35" s="170"/>
      <c r="AI35" s="170"/>
      <c r="AJ35" s="170"/>
      <c r="AK35" s="170"/>
      <c r="AL35" s="177"/>
      <c r="AM35" s="170"/>
      <c r="AN35" s="170"/>
      <c r="AO35" s="178"/>
      <c r="AP35" s="177"/>
      <c r="AQ35" s="170"/>
      <c r="AR35" s="170"/>
      <c r="AS35" s="178"/>
      <c r="AT35" s="170"/>
      <c r="AW35" s="178"/>
      <c r="BA35" s="217"/>
    </row>
    <row r="36" spans="1:53" s="216" customFormat="1" x14ac:dyDescent="0.15">
      <c r="A36" s="115">
        <v>1973</v>
      </c>
      <c r="B36" s="276"/>
      <c r="C36" s="369" t="s">
        <v>156</v>
      </c>
      <c r="D36" s="369"/>
      <c r="E36" s="115">
        <v>0</v>
      </c>
      <c r="F36" s="115"/>
      <c r="G36" s="210"/>
      <c r="H36" s="115"/>
      <c r="I36" s="115">
        <v>27</v>
      </c>
      <c r="J36" s="211">
        <v>27</v>
      </c>
      <c r="K36" s="173">
        <f t="shared" si="11"/>
        <v>0</v>
      </c>
      <c r="L36" s="173">
        <f t="shared" si="12"/>
        <v>0</v>
      </c>
      <c r="M36" s="173">
        <f t="shared" si="13"/>
        <v>100</v>
      </c>
      <c r="N36" s="174">
        <f t="shared" si="3"/>
        <v>100</v>
      </c>
      <c r="O36" s="212"/>
      <c r="P36" s="213"/>
      <c r="Q36" s="213">
        <v>53.6</v>
      </c>
      <c r="R36" s="214">
        <f t="shared" si="4"/>
        <v>53.6</v>
      </c>
      <c r="S36" s="215">
        <v>1</v>
      </c>
      <c r="T36" s="283"/>
      <c r="U36" s="283"/>
      <c r="V36" s="177" t="s">
        <v>77</v>
      </c>
      <c r="W36" s="170" t="s">
        <v>20</v>
      </c>
      <c r="X36" s="170" t="s">
        <v>12</v>
      </c>
      <c r="Y36" s="178">
        <v>53.6</v>
      </c>
      <c r="Z36" s="170"/>
      <c r="AA36" s="170"/>
      <c r="AB36" s="170"/>
      <c r="AC36" s="170"/>
      <c r="AD36" s="177"/>
      <c r="AE36" s="170"/>
      <c r="AF36" s="170"/>
      <c r="AG36" s="178"/>
      <c r="AH36" s="170"/>
      <c r="AI36" s="170"/>
      <c r="AJ36" s="170"/>
      <c r="AK36" s="170"/>
      <c r="AL36" s="177"/>
      <c r="AM36" s="170"/>
      <c r="AN36" s="170"/>
      <c r="AO36" s="178"/>
      <c r="AP36" s="177"/>
      <c r="AQ36" s="170"/>
      <c r="AR36" s="170"/>
      <c r="AS36" s="178"/>
      <c r="AT36" s="170"/>
      <c r="AW36" s="178"/>
      <c r="BA36" s="217"/>
    </row>
    <row r="37" spans="1:53" s="216" customFormat="1" x14ac:dyDescent="0.15">
      <c r="A37" s="115">
        <v>1973</v>
      </c>
      <c r="B37" s="276"/>
      <c r="C37" s="369" t="s">
        <v>156</v>
      </c>
      <c r="D37" s="369"/>
      <c r="E37" s="115">
        <f>365-E36</f>
        <v>365</v>
      </c>
      <c r="F37" s="115"/>
      <c r="G37" s="210"/>
      <c r="H37" s="115"/>
      <c r="I37" s="115">
        <v>27</v>
      </c>
      <c r="J37" s="211">
        <v>27</v>
      </c>
      <c r="K37" s="173">
        <f t="shared" si="11"/>
        <v>0</v>
      </c>
      <c r="L37" s="173">
        <f t="shared" si="12"/>
        <v>0</v>
      </c>
      <c r="M37" s="173">
        <f t="shared" si="13"/>
        <v>100</v>
      </c>
      <c r="N37" s="174">
        <f t="shared" si="3"/>
        <v>100</v>
      </c>
      <c r="O37" s="212"/>
      <c r="P37" s="213"/>
      <c r="Q37" s="213">
        <v>53.6</v>
      </c>
      <c r="R37" s="214">
        <f t="shared" si="4"/>
        <v>53.6</v>
      </c>
      <c r="S37" s="215">
        <v>1</v>
      </c>
      <c r="T37" s="283"/>
      <c r="U37" s="283"/>
      <c r="V37" s="177" t="s">
        <v>77</v>
      </c>
      <c r="W37" s="170" t="s">
        <v>20</v>
      </c>
      <c r="X37" s="170" t="s">
        <v>12</v>
      </c>
      <c r="Y37" s="178">
        <v>53.6</v>
      </c>
      <c r="Z37" s="170"/>
      <c r="AA37" s="170"/>
      <c r="AB37" s="170"/>
      <c r="AC37" s="170"/>
      <c r="AD37" s="177"/>
      <c r="AE37" s="170"/>
      <c r="AF37" s="170"/>
      <c r="AG37" s="178"/>
      <c r="AH37" s="170"/>
      <c r="AI37" s="170"/>
      <c r="AJ37" s="170"/>
      <c r="AK37" s="170"/>
      <c r="AL37" s="177"/>
      <c r="AM37" s="170"/>
      <c r="AN37" s="170"/>
      <c r="AO37" s="178"/>
      <c r="AP37" s="177"/>
      <c r="AQ37" s="170"/>
      <c r="AR37" s="170"/>
      <c r="AS37" s="178"/>
      <c r="AT37" s="170"/>
      <c r="AW37" s="178"/>
      <c r="BA37" s="217"/>
    </row>
    <row r="38" spans="1:53" s="216" customFormat="1" x14ac:dyDescent="0.15">
      <c r="A38" s="115">
        <v>1974</v>
      </c>
      <c r="B38" s="276"/>
      <c r="C38" s="369" t="s">
        <v>156</v>
      </c>
      <c r="D38" s="369"/>
      <c r="E38" s="115">
        <v>162</v>
      </c>
      <c r="F38" s="115"/>
      <c r="G38" s="210"/>
      <c r="H38" s="115"/>
      <c r="I38" s="115">
        <v>27</v>
      </c>
      <c r="J38" s="211">
        <v>27</v>
      </c>
      <c r="K38" s="173">
        <f t="shared" si="11"/>
        <v>0</v>
      </c>
      <c r="L38" s="173">
        <f t="shared" si="12"/>
        <v>0</v>
      </c>
      <c r="M38" s="173">
        <f t="shared" si="13"/>
        <v>100</v>
      </c>
      <c r="N38" s="174">
        <f t="shared" si="3"/>
        <v>100</v>
      </c>
      <c r="O38" s="212"/>
      <c r="P38" s="213"/>
      <c r="Q38" s="213">
        <v>53.6</v>
      </c>
      <c r="R38" s="214">
        <f t="shared" si="4"/>
        <v>53.6</v>
      </c>
      <c r="S38" s="215">
        <v>1</v>
      </c>
      <c r="T38" s="283"/>
      <c r="U38" s="283"/>
      <c r="V38" s="177" t="s">
        <v>77</v>
      </c>
      <c r="W38" s="170" t="s">
        <v>20</v>
      </c>
      <c r="X38" s="170" t="s">
        <v>12</v>
      </c>
      <c r="Y38" s="178">
        <v>53.6</v>
      </c>
      <c r="Z38" s="170"/>
      <c r="AA38" s="170"/>
      <c r="AB38" s="170"/>
      <c r="AC38" s="170"/>
      <c r="AD38" s="177"/>
      <c r="AE38" s="170"/>
      <c r="AF38" s="170"/>
      <c r="AG38" s="178"/>
      <c r="AH38" s="170"/>
      <c r="AI38" s="170"/>
      <c r="AJ38" s="170"/>
      <c r="AK38" s="170"/>
      <c r="AL38" s="177"/>
      <c r="AM38" s="170"/>
      <c r="AN38" s="170"/>
      <c r="AO38" s="178"/>
      <c r="AP38" s="177"/>
      <c r="AQ38" s="170"/>
      <c r="AR38" s="170"/>
      <c r="AS38" s="178"/>
      <c r="AT38" s="170"/>
      <c r="AW38" s="178"/>
      <c r="BA38" s="217"/>
    </row>
    <row r="39" spans="1:53" s="50" customFormat="1" x14ac:dyDescent="0.15">
      <c r="A39" s="41">
        <v>1974</v>
      </c>
      <c r="B39" s="277">
        <v>27192</v>
      </c>
      <c r="C39" s="370" t="s">
        <v>157</v>
      </c>
      <c r="D39" s="370"/>
      <c r="E39" s="41">
        <f>365-E38</f>
        <v>203</v>
      </c>
      <c r="F39" s="41">
        <v>1</v>
      </c>
      <c r="G39" s="43"/>
      <c r="H39" s="41"/>
      <c r="I39" s="41">
        <v>27</v>
      </c>
      <c r="J39" s="44">
        <v>27</v>
      </c>
      <c r="K39" s="32">
        <f t="shared" si="11"/>
        <v>0</v>
      </c>
      <c r="L39" s="32">
        <f t="shared" si="12"/>
        <v>0</v>
      </c>
      <c r="M39" s="32">
        <f t="shared" si="13"/>
        <v>100</v>
      </c>
      <c r="N39" s="33">
        <f t="shared" si="3"/>
        <v>100</v>
      </c>
      <c r="O39" s="45"/>
      <c r="P39" s="46"/>
      <c r="Q39" s="46">
        <v>52</v>
      </c>
      <c r="R39" s="47">
        <f t="shared" si="4"/>
        <v>52</v>
      </c>
      <c r="S39" s="51">
        <v>1</v>
      </c>
      <c r="T39" s="284">
        <v>27167</v>
      </c>
      <c r="U39" s="284">
        <v>27192</v>
      </c>
      <c r="V39" s="37" t="s">
        <v>77</v>
      </c>
      <c r="W39" s="28" t="s">
        <v>20</v>
      </c>
      <c r="X39" s="28" t="s">
        <v>12</v>
      </c>
      <c r="Y39" s="38">
        <v>52</v>
      </c>
      <c r="Z39" s="28"/>
      <c r="AA39" s="28"/>
      <c r="AB39" s="28"/>
      <c r="AC39" s="28"/>
      <c r="AD39" s="37"/>
      <c r="AE39" s="28"/>
      <c r="AF39" s="28"/>
      <c r="AG39" s="38"/>
      <c r="AH39" s="28"/>
      <c r="AI39" s="28"/>
      <c r="AJ39" s="28"/>
      <c r="AK39" s="28"/>
      <c r="AL39" s="37"/>
      <c r="AM39" s="28"/>
      <c r="AN39" s="28"/>
      <c r="AO39" s="38"/>
      <c r="AP39" s="37"/>
      <c r="AQ39" s="28"/>
      <c r="AR39" s="28"/>
      <c r="AS39" s="38"/>
      <c r="AT39" s="28"/>
      <c r="AW39" s="38"/>
      <c r="BA39" s="167"/>
    </row>
    <row r="40" spans="1:53" s="50" customFormat="1" x14ac:dyDescent="0.15">
      <c r="A40" s="41">
        <v>1975</v>
      </c>
      <c r="B40" s="277"/>
      <c r="C40" s="370" t="s">
        <v>157</v>
      </c>
      <c r="D40" s="370"/>
      <c r="E40" s="41">
        <v>315</v>
      </c>
      <c r="F40" s="41"/>
      <c r="G40" s="43"/>
      <c r="H40" s="41"/>
      <c r="I40" s="41">
        <v>27</v>
      </c>
      <c r="J40" s="44">
        <v>27</v>
      </c>
      <c r="K40" s="32">
        <f t="shared" si="11"/>
        <v>0</v>
      </c>
      <c r="L40" s="32">
        <f t="shared" si="12"/>
        <v>0</v>
      </c>
      <c r="M40" s="32">
        <f t="shared" si="13"/>
        <v>100</v>
      </c>
      <c r="N40" s="33">
        <f t="shared" si="3"/>
        <v>100</v>
      </c>
      <c r="O40" s="45"/>
      <c r="P40" s="46"/>
      <c r="Q40" s="46">
        <v>52</v>
      </c>
      <c r="R40" s="47">
        <f t="shared" si="4"/>
        <v>52</v>
      </c>
      <c r="S40" s="51">
        <v>1</v>
      </c>
      <c r="T40" s="284"/>
      <c r="U40" s="284"/>
      <c r="V40" s="37" t="s">
        <v>77</v>
      </c>
      <c r="W40" s="28" t="s">
        <v>20</v>
      </c>
      <c r="X40" s="28" t="s">
        <v>12</v>
      </c>
      <c r="Y40" s="38">
        <v>52</v>
      </c>
      <c r="Z40" s="28"/>
      <c r="AA40" s="28"/>
      <c r="AB40" s="28"/>
      <c r="AC40" s="28"/>
      <c r="AD40" s="37"/>
      <c r="AE40" s="28"/>
      <c r="AF40" s="28"/>
      <c r="AG40" s="38"/>
      <c r="AH40" s="28"/>
      <c r="AI40" s="28"/>
      <c r="AJ40" s="28"/>
      <c r="AK40" s="28"/>
      <c r="AL40" s="37"/>
      <c r="AM40" s="28"/>
      <c r="AN40" s="28"/>
      <c r="AO40" s="38"/>
      <c r="AP40" s="37"/>
      <c r="AQ40" s="28"/>
      <c r="AR40" s="28"/>
      <c r="AS40" s="38"/>
      <c r="AT40" s="28"/>
      <c r="AW40" s="38"/>
      <c r="BA40" s="167"/>
    </row>
    <row r="41" spans="1:53" s="216" customFormat="1" x14ac:dyDescent="0.15">
      <c r="A41" s="115">
        <v>1975</v>
      </c>
      <c r="B41" s="276">
        <v>27710</v>
      </c>
      <c r="C41" s="369" t="s">
        <v>158</v>
      </c>
      <c r="D41" s="369"/>
      <c r="E41" s="115">
        <v>36</v>
      </c>
      <c r="F41" s="115">
        <v>6</v>
      </c>
      <c r="G41" s="210">
        <v>15</v>
      </c>
      <c r="H41" s="115"/>
      <c r="I41" s="115"/>
      <c r="J41" s="211">
        <v>15</v>
      </c>
      <c r="K41" s="173">
        <f t="shared" si="11"/>
        <v>100</v>
      </c>
      <c r="L41" s="173">
        <f t="shared" si="12"/>
        <v>0</v>
      </c>
      <c r="M41" s="173">
        <f t="shared" si="13"/>
        <v>0</v>
      </c>
      <c r="N41" s="174">
        <f t="shared" si="3"/>
        <v>100</v>
      </c>
      <c r="O41" s="212">
        <v>48</v>
      </c>
      <c r="P41" s="213"/>
      <c r="Q41" s="213"/>
      <c r="R41" s="214">
        <f>SUM(O41:Q41)</f>
        <v>48</v>
      </c>
      <c r="S41" s="215">
        <v>5</v>
      </c>
      <c r="T41" s="283"/>
      <c r="U41" s="283">
        <v>27710</v>
      </c>
      <c r="V41" s="177" t="s">
        <v>72</v>
      </c>
      <c r="W41" s="170" t="s">
        <v>74</v>
      </c>
      <c r="X41" s="170" t="s">
        <v>11</v>
      </c>
      <c r="Y41" s="178">
        <v>31.5</v>
      </c>
      <c r="Z41" s="170" t="s">
        <v>73</v>
      </c>
      <c r="AA41" s="170" t="s">
        <v>869</v>
      </c>
      <c r="AB41" s="170" t="s">
        <v>11</v>
      </c>
      <c r="AC41" s="170">
        <v>16.5</v>
      </c>
      <c r="AD41" s="177"/>
      <c r="AE41" s="170"/>
      <c r="AF41" s="170"/>
      <c r="AG41" s="178"/>
      <c r="AH41" s="170"/>
      <c r="AI41" s="170"/>
      <c r="AJ41" s="170"/>
      <c r="AK41" s="170"/>
      <c r="AL41" s="177"/>
      <c r="AM41" s="170"/>
      <c r="AN41" s="170"/>
      <c r="AO41" s="178"/>
      <c r="AP41" s="177"/>
      <c r="AQ41" s="170"/>
      <c r="AR41" s="170"/>
      <c r="AS41" s="178"/>
      <c r="AT41" s="170"/>
      <c r="AW41" s="178"/>
      <c r="BA41" s="217"/>
    </row>
    <row r="42" spans="1:53" s="50" customFormat="1" x14ac:dyDescent="0.15">
      <c r="A42" s="41">
        <v>1975</v>
      </c>
      <c r="B42" s="277">
        <v>27746</v>
      </c>
      <c r="C42" s="370" t="s">
        <v>159</v>
      </c>
      <c r="D42" s="370"/>
      <c r="E42" s="41">
        <v>14</v>
      </c>
      <c r="F42" s="41">
        <v>1</v>
      </c>
      <c r="G42" s="43">
        <v>12</v>
      </c>
      <c r="H42" s="41"/>
      <c r="I42" s="41"/>
      <c r="J42" s="44">
        <v>12</v>
      </c>
      <c r="K42" s="32">
        <f t="shared" ref="K42:K48" si="14">G42/J42*100</f>
        <v>100</v>
      </c>
      <c r="L42" s="32">
        <f t="shared" ref="L42:L48" si="15">H42/J42*100</f>
        <v>0</v>
      </c>
      <c r="M42" s="32">
        <f t="shared" ref="M42:M48" si="16">I42/J42*100</f>
        <v>0</v>
      </c>
      <c r="N42" s="33">
        <f t="shared" si="3"/>
        <v>100</v>
      </c>
      <c r="O42" s="45">
        <v>71.599999999999994</v>
      </c>
      <c r="P42" s="46"/>
      <c r="Q42" s="46"/>
      <c r="R42" s="47">
        <f t="shared" si="4"/>
        <v>71.599999999999994</v>
      </c>
      <c r="S42" s="51">
        <v>2</v>
      </c>
      <c r="T42" s="284">
        <v>27741</v>
      </c>
      <c r="U42" s="284">
        <v>27746</v>
      </c>
      <c r="V42" s="37" t="s">
        <v>72</v>
      </c>
      <c r="W42" s="28" t="s">
        <v>74</v>
      </c>
      <c r="X42" s="28" t="s">
        <v>11</v>
      </c>
      <c r="Y42" s="38">
        <v>53.5</v>
      </c>
      <c r="Z42" s="28" t="s">
        <v>73</v>
      </c>
      <c r="AA42" s="28" t="s">
        <v>869</v>
      </c>
      <c r="AB42" s="28" t="s">
        <v>11</v>
      </c>
      <c r="AC42" s="28">
        <v>18.100000000000001</v>
      </c>
      <c r="AD42" s="37"/>
      <c r="AE42" s="28"/>
      <c r="AF42" s="28"/>
      <c r="AG42" s="38"/>
      <c r="AH42" s="28"/>
      <c r="AI42" s="28"/>
      <c r="AJ42" s="28"/>
      <c r="AK42" s="28"/>
      <c r="AL42" s="37"/>
      <c r="AM42" s="28"/>
      <c r="AN42" s="28"/>
      <c r="AO42" s="38"/>
      <c r="AP42" s="37"/>
      <c r="AQ42" s="28"/>
      <c r="AR42" s="28"/>
      <c r="AS42" s="38"/>
      <c r="AT42" s="28"/>
      <c r="AW42" s="38"/>
      <c r="BA42" s="167"/>
    </row>
    <row r="43" spans="1:53" s="50" customFormat="1" x14ac:dyDescent="0.15">
      <c r="A43" s="41">
        <v>1976</v>
      </c>
      <c r="B43" s="277"/>
      <c r="C43" s="370" t="s">
        <v>159</v>
      </c>
      <c r="D43" s="370"/>
      <c r="E43" s="41">
        <v>0</v>
      </c>
      <c r="F43" s="41"/>
      <c r="G43" s="43">
        <v>12</v>
      </c>
      <c r="H43" s="41"/>
      <c r="I43" s="41"/>
      <c r="J43" s="44">
        <v>12</v>
      </c>
      <c r="K43" s="32">
        <f t="shared" si="14"/>
        <v>100</v>
      </c>
      <c r="L43" s="32">
        <f t="shared" si="15"/>
        <v>0</v>
      </c>
      <c r="M43" s="32">
        <f t="shared" si="16"/>
        <v>0</v>
      </c>
      <c r="N43" s="33">
        <f t="shared" si="3"/>
        <v>100</v>
      </c>
      <c r="O43" s="45">
        <v>71.599999999999994</v>
      </c>
      <c r="P43" s="46"/>
      <c r="Q43" s="46"/>
      <c r="R43" s="47">
        <f t="shared" si="4"/>
        <v>71.599999999999994</v>
      </c>
      <c r="S43" s="51">
        <v>2</v>
      </c>
      <c r="T43" s="284"/>
      <c r="U43" s="284"/>
      <c r="V43" s="37" t="s">
        <v>72</v>
      </c>
      <c r="W43" s="28" t="s">
        <v>74</v>
      </c>
      <c r="X43" s="28" t="s">
        <v>11</v>
      </c>
      <c r="Y43" s="38">
        <v>53.5</v>
      </c>
      <c r="Z43" s="28" t="s">
        <v>73</v>
      </c>
      <c r="AA43" s="28" t="s">
        <v>869</v>
      </c>
      <c r="AB43" s="28" t="s">
        <v>11</v>
      </c>
      <c r="AC43" s="28">
        <v>18.100000000000001</v>
      </c>
      <c r="AD43" s="37"/>
      <c r="AE43" s="28"/>
      <c r="AF43" s="28"/>
      <c r="AG43" s="38"/>
      <c r="AH43" s="28"/>
      <c r="AI43" s="28"/>
      <c r="AJ43" s="28"/>
      <c r="AK43" s="28"/>
      <c r="AL43" s="37"/>
      <c r="AM43" s="28"/>
      <c r="AN43" s="28"/>
      <c r="AO43" s="38"/>
      <c r="AP43" s="37"/>
      <c r="AQ43" s="28"/>
      <c r="AR43" s="28"/>
      <c r="AS43" s="38"/>
      <c r="AT43" s="28"/>
      <c r="AW43" s="38"/>
      <c r="BA43" s="167"/>
    </row>
    <row r="44" spans="1:53" s="50" customFormat="1" x14ac:dyDescent="0.15">
      <c r="A44" s="41">
        <v>1976</v>
      </c>
      <c r="B44" s="277"/>
      <c r="C44" s="370" t="s">
        <v>159</v>
      </c>
      <c r="D44" s="370"/>
      <c r="E44" s="41">
        <v>366</v>
      </c>
      <c r="F44" s="41"/>
      <c r="G44" s="43">
        <v>12</v>
      </c>
      <c r="H44" s="41"/>
      <c r="I44" s="41"/>
      <c r="J44" s="44">
        <v>12</v>
      </c>
      <c r="K44" s="32">
        <f t="shared" si="14"/>
        <v>100</v>
      </c>
      <c r="L44" s="32">
        <f t="shared" si="15"/>
        <v>0</v>
      </c>
      <c r="M44" s="32">
        <f t="shared" si="16"/>
        <v>0</v>
      </c>
      <c r="N44" s="33">
        <f t="shared" si="3"/>
        <v>100</v>
      </c>
      <c r="O44" s="45">
        <v>71.599999999999994</v>
      </c>
      <c r="P44" s="46"/>
      <c r="Q44" s="46"/>
      <c r="R44" s="47">
        <f t="shared" si="4"/>
        <v>71.599999999999994</v>
      </c>
      <c r="S44" s="51">
        <v>2</v>
      </c>
      <c r="T44" s="284"/>
      <c r="U44" s="284"/>
      <c r="V44" s="37" t="s">
        <v>72</v>
      </c>
      <c r="W44" s="28" t="s">
        <v>74</v>
      </c>
      <c r="X44" s="28" t="s">
        <v>11</v>
      </c>
      <c r="Y44" s="38">
        <v>53.5</v>
      </c>
      <c r="Z44" s="28" t="s">
        <v>73</v>
      </c>
      <c r="AA44" s="28" t="s">
        <v>869</v>
      </c>
      <c r="AB44" s="28" t="s">
        <v>11</v>
      </c>
      <c r="AC44" s="28">
        <v>18.100000000000001</v>
      </c>
      <c r="AD44" s="37"/>
      <c r="AE44" s="28"/>
      <c r="AF44" s="28"/>
      <c r="AG44" s="38"/>
      <c r="AH44" s="28"/>
      <c r="AI44" s="28"/>
      <c r="AJ44" s="28"/>
      <c r="AK44" s="28"/>
      <c r="AL44" s="37"/>
      <c r="AM44" s="28"/>
      <c r="AN44" s="28"/>
      <c r="AO44" s="38"/>
      <c r="AP44" s="37"/>
      <c r="AQ44" s="28"/>
      <c r="AR44" s="28"/>
      <c r="AS44" s="38"/>
      <c r="AT44" s="28"/>
      <c r="AW44" s="38"/>
      <c r="BA44" s="167"/>
    </row>
    <row r="45" spans="1:53" s="50" customFormat="1" x14ac:dyDescent="0.15">
      <c r="A45" s="41">
        <v>1977</v>
      </c>
      <c r="B45" s="277"/>
      <c r="C45" s="370" t="s">
        <v>159</v>
      </c>
      <c r="D45" s="370"/>
      <c r="E45" s="41">
        <v>353</v>
      </c>
      <c r="F45" s="41"/>
      <c r="G45" s="43">
        <v>12</v>
      </c>
      <c r="H45" s="41"/>
      <c r="I45" s="41"/>
      <c r="J45" s="44">
        <v>12</v>
      </c>
      <c r="K45" s="32">
        <f t="shared" si="14"/>
        <v>100</v>
      </c>
      <c r="L45" s="32">
        <f t="shared" si="15"/>
        <v>0</v>
      </c>
      <c r="M45" s="32">
        <f t="shared" si="16"/>
        <v>0</v>
      </c>
      <c r="N45" s="33">
        <f t="shared" si="3"/>
        <v>100</v>
      </c>
      <c r="O45" s="45">
        <v>71.599999999999994</v>
      </c>
      <c r="P45" s="46"/>
      <c r="Q45" s="46"/>
      <c r="R45" s="47">
        <f t="shared" si="4"/>
        <v>71.599999999999994</v>
      </c>
      <c r="S45" s="51">
        <v>2</v>
      </c>
      <c r="T45" s="284"/>
      <c r="U45" s="284"/>
      <c r="V45" s="37" t="s">
        <v>72</v>
      </c>
      <c r="W45" s="28" t="s">
        <v>74</v>
      </c>
      <c r="X45" s="28" t="s">
        <v>11</v>
      </c>
      <c r="Y45" s="38">
        <v>53.5</v>
      </c>
      <c r="Z45" s="28" t="s">
        <v>73</v>
      </c>
      <c r="AA45" s="28" t="s">
        <v>869</v>
      </c>
      <c r="AB45" s="28" t="s">
        <v>11</v>
      </c>
      <c r="AC45" s="28">
        <v>18.100000000000001</v>
      </c>
      <c r="AD45" s="37"/>
      <c r="AE45" s="28"/>
      <c r="AF45" s="28"/>
      <c r="AG45" s="38"/>
      <c r="AH45" s="28"/>
      <c r="AI45" s="28"/>
      <c r="AJ45" s="28"/>
      <c r="AK45" s="28"/>
      <c r="AL45" s="37"/>
      <c r="AM45" s="28"/>
      <c r="AN45" s="28"/>
      <c r="AO45" s="38"/>
      <c r="AP45" s="37"/>
      <c r="AQ45" s="28"/>
      <c r="AR45" s="28"/>
      <c r="AS45" s="38"/>
      <c r="AT45" s="28"/>
      <c r="AW45" s="38"/>
      <c r="BA45" s="167"/>
    </row>
    <row r="46" spans="1:53" s="216" customFormat="1" x14ac:dyDescent="0.15">
      <c r="A46" s="115">
        <v>1977</v>
      </c>
      <c r="B46" s="276">
        <v>28479</v>
      </c>
      <c r="C46" s="369" t="s">
        <v>160</v>
      </c>
      <c r="D46" s="369"/>
      <c r="E46" s="115">
        <v>12</v>
      </c>
      <c r="F46" s="115">
        <v>1</v>
      </c>
      <c r="G46" s="210">
        <v>14</v>
      </c>
      <c r="H46" s="115"/>
      <c r="I46" s="115"/>
      <c r="J46" s="211">
        <v>14</v>
      </c>
      <c r="K46" s="173">
        <f t="shared" si="14"/>
        <v>100</v>
      </c>
      <c r="L46" s="173">
        <f t="shared" si="15"/>
        <v>0</v>
      </c>
      <c r="M46" s="173">
        <f t="shared" si="16"/>
        <v>0</v>
      </c>
      <c r="N46" s="174">
        <f t="shared" si="3"/>
        <v>100</v>
      </c>
      <c r="O46" s="212">
        <v>69.3</v>
      </c>
      <c r="P46" s="213"/>
      <c r="Q46" s="213"/>
      <c r="R46" s="214">
        <f t="shared" si="4"/>
        <v>69.3</v>
      </c>
      <c r="S46" s="215">
        <v>3</v>
      </c>
      <c r="T46" s="283">
        <v>28469</v>
      </c>
      <c r="U46" s="283">
        <v>28479</v>
      </c>
      <c r="V46" s="177" t="s">
        <v>72</v>
      </c>
      <c r="W46" s="170" t="s">
        <v>74</v>
      </c>
      <c r="X46" s="170" t="s">
        <v>11</v>
      </c>
      <c r="Y46" s="178">
        <v>54</v>
      </c>
      <c r="Z46" s="170" t="s">
        <v>73</v>
      </c>
      <c r="AA46" s="170" t="s">
        <v>869</v>
      </c>
      <c r="AB46" s="170" t="s">
        <v>11</v>
      </c>
      <c r="AC46" s="170">
        <v>15.3</v>
      </c>
      <c r="AD46" s="177"/>
      <c r="AE46" s="170"/>
      <c r="AF46" s="170"/>
      <c r="AG46" s="178"/>
      <c r="AH46" s="170"/>
      <c r="AI46" s="170"/>
      <c r="AJ46" s="170"/>
      <c r="AK46" s="170"/>
      <c r="AL46" s="177"/>
      <c r="AM46" s="170"/>
      <c r="AN46" s="170"/>
      <c r="AO46" s="178"/>
      <c r="AP46" s="177"/>
      <c r="AQ46" s="170"/>
      <c r="AR46" s="170"/>
      <c r="AS46" s="178"/>
      <c r="AT46" s="170"/>
      <c r="AW46" s="178"/>
      <c r="BA46" s="217"/>
    </row>
    <row r="47" spans="1:53" s="216" customFormat="1" x14ac:dyDescent="0.15">
      <c r="A47" s="115">
        <v>1978</v>
      </c>
      <c r="B47" s="276"/>
      <c r="C47" s="369" t="s">
        <v>160</v>
      </c>
      <c r="D47" s="369"/>
      <c r="E47" s="115">
        <v>0</v>
      </c>
      <c r="F47" s="115"/>
      <c r="G47" s="210">
        <v>14</v>
      </c>
      <c r="H47" s="115"/>
      <c r="I47" s="115"/>
      <c r="J47" s="211">
        <v>14</v>
      </c>
      <c r="K47" s="173">
        <f t="shared" si="14"/>
        <v>100</v>
      </c>
      <c r="L47" s="173">
        <f t="shared" si="15"/>
        <v>0</v>
      </c>
      <c r="M47" s="173">
        <f t="shared" si="16"/>
        <v>0</v>
      </c>
      <c r="N47" s="174">
        <f t="shared" si="3"/>
        <v>100</v>
      </c>
      <c r="O47" s="212">
        <v>69.3</v>
      </c>
      <c r="P47" s="213"/>
      <c r="Q47" s="213"/>
      <c r="R47" s="214">
        <f t="shared" si="4"/>
        <v>69.3</v>
      </c>
      <c r="S47" s="215">
        <v>3</v>
      </c>
      <c r="T47" s="283"/>
      <c r="U47" s="283"/>
      <c r="V47" s="177" t="s">
        <v>72</v>
      </c>
      <c r="W47" s="170" t="s">
        <v>74</v>
      </c>
      <c r="X47" s="170" t="s">
        <v>11</v>
      </c>
      <c r="Y47" s="178">
        <v>54</v>
      </c>
      <c r="Z47" s="170" t="s">
        <v>73</v>
      </c>
      <c r="AA47" s="170" t="s">
        <v>869</v>
      </c>
      <c r="AB47" s="170" t="s">
        <v>11</v>
      </c>
      <c r="AC47" s="170">
        <v>15.3</v>
      </c>
      <c r="AD47" s="177"/>
      <c r="AE47" s="170"/>
      <c r="AF47" s="170"/>
      <c r="AG47" s="178"/>
      <c r="AH47" s="170"/>
      <c r="AI47" s="170"/>
      <c r="AJ47" s="170"/>
      <c r="AK47" s="170"/>
      <c r="AL47" s="177"/>
      <c r="AM47" s="170"/>
      <c r="AN47" s="170"/>
      <c r="AO47" s="178"/>
      <c r="AP47" s="177"/>
      <c r="AQ47" s="170"/>
      <c r="AR47" s="170"/>
      <c r="AS47" s="178"/>
      <c r="AT47" s="170"/>
      <c r="AW47" s="178"/>
      <c r="BA47" s="217"/>
    </row>
    <row r="48" spans="1:53" s="216" customFormat="1" x14ac:dyDescent="0.15">
      <c r="A48" s="115">
        <v>1978</v>
      </c>
      <c r="B48" s="276"/>
      <c r="C48" s="369" t="s">
        <v>160</v>
      </c>
      <c r="D48" s="369"/>
      <c r="E48" s="115">
        <f>365-E47</f>
        <v>365</v>
      </c>
      <c r="F48" s="115"/>
      <c r="G48" s="210">
        <v>14</v>
      </c>
      <c r="H48" s="115"/>
      <c r="I48" s="115"/>
      <c r="J48" s="211">
        <v>14</v>
      </c>
      <c r="K48" s="173">
        <f t="shared" si="14"/>
        <v>100</v>
      </c>
      <c r="L48" s="173">
        <f t="shared" si="15"/>
        <v>0</v>
      </c>
      <c r="M48" s="173">
        <f t="shared" si="16"/>
        <v>0</v>
      </c>
      <c r="N48" s="174">
        <f t="shared" si="3"/>
        <v>100</v>
      </c>
      <c r="O48" s="212">
        <v>69.3</v>
      </c>
      <c r="P48" s="213"/>
      <c r="Q48" s="213"/>
      <c r="R48" s="214">
        <f t="shared" si="4"/>
        <v>69.3</v>
      </c>
      <c r="S48" s="215">
        <v>3</v>
      </c>
      <c r="T48" s="283"/>
      <c r="U48" s="283"/>
      <c r="V48" s="177" t="s">
        <v>72</v>
      </c>
      <c r="W48" s="170" t="s">
        <v>74</v>
      </c>
      <c r="X48" s="170" t="s">
        <v>11</v>
      </c>
      <c r="Y48" s="178">
        <v>54</v>
      </c>
      <c r="Z48" s="170" t="s">
        <v>73</v>
      </c>
      <c r="AA48" s="170" t="s">
        <v>869</v>
      </c>
      <c r="AB48" s="170" t="s">
        <v>11</v>
      </c>
      <c r="AC48" s="170">
        <v>15.3</v>
      </c>
      <c r="AD48" s="177"/>
      <c r="AE48" s="170"/>
      <c r="AF48" s="170"/>
      <c r="AG48" s="178"/>
      <c r="AH48" s="170"/>
      <c r="AI48" s="170"/>
      <c r="AJ48" s="170"/>
      <c r="AK48" s="170"/>
      <c r="AL48" s="177"/>
      <c r="AM48" s="170"/>
      <c r="AN48" s="170"/>
      <c r="AO48" s="178"/>
      <c r="AP48" s="177"/>
      <c r="AQ48" s="170"/>
      <c r="AR48" s="170"/>
      <c r="AS48" s="178"/>
      <c r="AT48" s="170"/>
      <c r="AW48" s="178"/>
      <c r="BA48" s="217"/>
    </row>
    <row r="49" spans="1:53" s="216" customFormat="1" x14ac:dyDescent="0.15">
      <c r="A49" s="115">
        <v>1979</v>
      </c>
      <c r="B49" s="276"/>
      <c r="C49" s="369" t="s">
        <v>160</v>
      </c>
      <c r="D49" s="369"/>
      <c r="E49" s="115">
        <v>0</v>
      </c>
      <c r="F49" s="115"/>
      <c r="G49" s="210">
        <v>14</v>
      </c>
      <c r="H49" s="115"/>
      <c r="I49" s="115"/>
      <c r="J49" s="211">
        <v>14</v>
      </c>
      <c r="K49" s="173">
        <f>G49/J49*100</f>
        <v>100</v>
      </c>
      <c r="L49" s="173">
        <f>H49/J49*100</f>
        <v>0</v>
      </c>
      <c r="M49" s="173">
        <f>I49/J49*100</f>
        <v>0</v>
      </c>
      <c r="N49" s="174">
        <f t="shared" si="3"/>
        <v>100</v>
      </c>
      <c r="O49" s="212">
        <v>69.3</v>
      </c>
      <c r="P49" s="213"/>
      <c r="Q49" s="213"/>
      <c r="R49" s="214">
        <f t="shared" si="4"/>
        <v>69.3</v>
      </c>
      <c r="S49" s="215">
        <v>3</v>
      </c>
      <c r="T49" s="283"/>
      <c r="U49" s="283"/>
      <c r="V49" s="177" t="s">
        <v>72</v>
      </c>
      <c r="W49" s="170" t="s">
        <v>74</v>
      </c>
      <c r="X49" s="170" t="s">
        <v>11</v>
      </c>
      <c r="Y49" s="178">
        <v>54</v>
      </c>
      <c r="Z49" s="170" t="s">
        <v>73</v>
      </c>
      <c r="AA49" s="170" t="s">
        <v>869</v>
      </c>
      <c r="AB49" s="170" t="s">
        <v>11</v>
      </c>
      <c r="AC49" s="170">
        <v>15.3</v>
      </c>
      <c r="AD49" s="177"/>
      <c r="AE49" s="170"/>
      <c r="AF49" s="170"/>
      <c r="AG49" s="178"/>
      <c r="AH49" s="170"/>
      <c r="AI49" s="170"/>
      <c r="AJ49" s="170"/>
      <c r="AK49" s="170"/>
      <c r="AL49" s="177"/>
      <c r="AM49" s="170"/>
      <c r="AN49" s="170"/>
      <c r="AO49" s="178"/>
      <c r="AP49" s="177"/>
      <c r="AQ49" s="170"/>
      <c r="AR49" s="170"/>
      <c r="AS49" s="178"/>
      <c r="AT49" s="170"/>
      <c r="AW49" s="178"/>
      <c r="BA49" s="217"/>
    </row>
    <row r="50" spans="1:53" s="216" customFormat="1" x14ac:dyDescent="0.15">
      <c r="A50" s="115">
        <v>1979</v>
      </c>
      <c r="B50" s="276"/>
      <c r="C50" s="369" t="s">
        <v>160</v>
      </c>
      <c r="D50" s="369"/>
      <c r="E50" s="115">
        <f>365-E49</f>
        <v>365</v>
      </c>
      <c r="F50" s="115"/>
      <c r="G50" s="210">
        <v>14</v>
      </c>
      <c r="H50" s="115"/>
      <c r="I50" s="115"/>
      <c r="J50" s="211">
        <v>14</v>
      </c>
      <c r="K50" s="173">
        <f t="shared" ref="K50:K56" si="17">G50/J50*100</f>
        <v>100</v>
      </c>
      <c r="L50" s="173">
        <f t="shared" ref="L50:L56" si="18">H50/J50*100</f>
        <v>0</v>
      </c>
      <c r="M50" s="173">
        <f t="shared" ref="M50:M56" si="19">I50/J50*100</f>
        <v>0</v>
      </c>
      <c r="N50" s="174">
        <f t="shared" si="3"/>
        <v>100</v>
      </c>
      <c r="O50" s="212">
        <v>69.3</v>
      </c>
      <c r="P50" s="213"/>
      <c r="Q50" s="213"/>
      <c r="R50" s="214">
        <f t="shared" si="4"/>
        <v>69.3</v>
      </c>
      <c r="S50" s="215">
        <v>3</v>
      </c>
      <c r="T50" s="283"/>
      <c r="U50" s="283"/>
      <c r="V50" s="177" t="s">
        <v>72</v>
      </c>
      <c r="W50" s="170" t="s">
        <v>74</v>
      </c>
      <c r="X50" s="170" t="s">
        <v>11</v>
      </c>
      <c r="Y50" s="178">
        <v>54</v>
      </c>
      <c r="Z50" s="170" t="s">
        <v>73</v>
      </c>
      <c r="AA50" s="170" t="s">
        <v>869</v>
      </c>
      <c r="AB50" s="170" t="s">
        <v>11</v>
      </c>
      <c r="AC50" s="170">
        <v>15.3</v>
      </c>
      <c r="AD50" s="177"/>
      <c r="AE50" s="170"/>
      <c r="AF50" s="170"/>
      <c r="AG50" s="178"/>
      <c r="AH50" s="170"/>
      <c r="AI50" s="170"/>
      <c r="AJ50" s="170"/>
      <c r="AK50" s="170"/>
      <c r="AL50" s="177"/>
      <c r="AM50" s="170"/>
      <c r="AN50" s="170"/>
      <c r="AO50" s="178"/>
      <c r="AP50" s="177"/>
      <c r="AQ50" s="170"/>
      <c r="AR50" s="170"/>
      <c r="AS50" s="178"/>
      <c r="AT50" s="170"/>
      <c r="AW50" s="178"/>
      <c r="BA50" s="217"/>
    </row>
    <row r="51" spans="1:53" s="216" customFormat="1" x14ac:dyDescent="0.15">
      <c r="A51" s="115">
        <v>1980</v>
      </c>
      <c r="B51" s="276"/>
      <c r="C51" s="369" t="s">
        <v>160</v>
      </c>
      <c r="D51" s="369"/>
      <c r="E51" s="115">
        <v>306</v>
      </c>
      <c r="F51" s="115"/>
      <c r="G51" s="210">
        <v>14</v>
      </c>
      <c r="H51" s="115"/>
      <c r="I51" s="115"/>
      <c r="J51" s="211">
        <v>14</v>
      </c>
      <c r="K51" s="173">
        <f t="shared" si="17"/>
        <v>100</v>
      </c>
      <c r="L51" s="173">
        <f t="shared" si="18"/>
        <v>0</v>
      </c>
      <c r="M51" s="173">
        <f t="shared" si="19"/>
        <v>0</v>
      </c>
      <c r="N51" s="174">
        <f t="shared" si="3"/>
        <v>100</v>
      </c>
      <c r="O51" s="212">
        <v>69.3</v>
      </c>
      <c r="P51" s="213"/>
      <c r="Q51" s="213"/>
      <c r="R51" s="214">
        <f t="shared" si="4"/>
        <v>69.3</v>
      </c>
      <c r="S51" s="215">
        <v>3</v>
      </c>
      <c r="T51" s="283"/>
      <c r="U51" s="283"/>
      <c r="V51" s="177" t="s">
        <v>72</v>
      </c>
      <c r="W51" s="170" t="s">
        <v>74</v>
      </c>
      <c r="X51" s="170" t="s">
        <v>11</v>
      </c>
      <c r="Y51" s="178">
        <v>54</v>
      </c>
      <c r="Z51" s="170" t="s">
        <v>73</v>
      </c>
      <c r="AA51" s="170" t="s">
        <v>869</v>
      </c>
      <c r="AB51" s="170" t="s">
        <v>11</v>
      </c>
      <c r="AC51" s="170">
        <v>15.3</v>
      </c>
      <c r="AD51" s="177"/>
      <c r="AE51" s="170"/>
      <c r="AF51" s="170"/>
      <c r="AG51" s="178"/>
      <c r="AH51" s="170"/>
      <c r="AI51" s="170"/>
      <c r="AJ51" s="170"/>
      <c r="AK51" s="170"/>
      <c r="AL51" s="177"/>
      <c r="AM51" s="170"/>
      <c r="AN51" s="170"/>
      <c r="AO51" s="178"/>
      <c r="AP51" s="177"/>
      <c r="AQ51" s="170"/>
      <c r="AR51" s="170"/>
      <c r="AS51" s="178"/>
      <c r="AT51" s="170"/>
      <c r="AW51" s="178"/>
      <c r="BA51" s="217"/>
    </row>
    <row r="52" spans="1:53" s="50" customFormat="1" x14ac:dyDescent="0.15">
      <c r="A52" s="41">
        <v>1980</v>
      </c>
      <c r="B52" s="277">
        <v>29527</v>
      </c>
      <c r="C52" s="370" t="s">
        <v>161</v>
      </c>
      <c r="D52" s="370"/>
      <c r="E52" s="41">
        <v>60</v>
      </c>
      <c r="F52" s="41">
        <v>1</v>
      </c>
      <c r="G52" s="43">
        <v>14</v>
      </c>
      <c r="H52" s="41"/>
      <c r="I52" s="41"/>
      <c r="J52" s="44">
        <v>14</v>
      </c>
      <c r="K52" s="32">
        <f t="shared" si="17"/>
        <v>100</v>
      </c>
      <c r="L52" s="32">
        <f t="shared" si="18"/>
        <v>0</v>
      </c>
      <c r="M52" s="32">
        <f t="shared" si="19"/>
        <v>0</v>
      </c>
      <c r="N52" s="33">
        <f t="shared" si="3"/>
        <v>100</v>
      </c>
      <c r="O52" s="45">
        <v>59.2</v>
      </c>
      <c r="P52" s="46"/>
      <c r="Q52" s="46"/>
      <c r="R52" s="47">
        <f t="shared" si="4"/>
        <v>59.2</v>
      </c>
      <c r="S52" s="51">
        <v>2</v>
      </c>
      <c r="T52" s="284">
        <v>29512</v>
      </c>
      <c r="U52" s="284">
        <v>29527</v>
      </c>
      <c r="V52" s="37" t="s">
        <v>72</v>
      </c>
      <c r="W52" s="28" t="s">
        <v>74</v>
      </c>
      <c r="X52" s="28" t="s">
        <v>11</v>
      </c>
      <c r="Y52" s="38">
        <v>43.2</v>
      </c>
      <c r="Z52" s="28" t="s">
        <v>73</v>
      </c>
      <c r="AA52" s="28" t="s">
        <v>869</v>
      </c>
      <c r="AB52" s="28" t="s">
        <v>11</v>
      </c>
      <c r="AC52" s="28">
        <v>16</v>
      </c>
      <c r="AD52" s="37"/>
      <c r="AE52" s="28"/>
      <c r="AF52" s="28"/>
      <c r="AG52" s="38"/>
      <c r="AH52" s="28"/>
      <c r="AI52" s="28"/>
      <c r="AJ52" s="28"/>
      <c r="AK52" s="28"/>
      <c r="AL52" s="37"/>
      <c r="AM52" s="28"/>
      <c r="AN52" s="28"/>
      <c r="AO52" s="38"/>
      <c r="AP52" s="37"/>
      <c r="AQ52" s="28"/>
      <c r="AR52" s="28"/>
      <c r="AS52" s="38"/>
      <c r="AT52" s="28"/>
      <c r="AW52" s="38"/>
      <c r="BA52" s="167"/>
    </row>
    <row r="53" spans="1:53" s="50" customFormat="1" x14ac:dyDescent="0.15">
      <c r="A53" s="41">
        <v>1981</v>
      </c>
      <c r="B53" s="277"/>
      <c r="C53" s="370" t="s">
        <v>161</v>
      </c>
      <c r="D53" s="370"/>
      <c r="E53" s="41">
        <v>0</v>
      </c>
      <c r="F53" s="41"/>
      <c r="G53" s="43">
        <v>14</v>
      </c>
      <c r="H53" s="41"/>
      <c r="I53" s="41"/>
      <c r="J53" s="44">
        <v>14</v>
      </c>
      <c r="K53" s="32">
        <f t="shared" si="17"/>
        <v>100</v>
      </c>
      <c r="L53" s="32">
        <f t="shared" si="18"/>
        <v>0</v>
      </c>
      <c r="M53" s="32">
        <f t="shared" si="19"/>
        <v>0</v>
      </c>
      <c r="N53" s="33">
        <f t="shared" si="3"/>
        <v>100</v>
      </c>
      <c r="O53" s="45">
        <v>59.2</v>
      </c>
      <c r="P53" s="46"/>
      <c r="Q53" s="46"/>
      <c r="R53" s="47">
        <f t="shared" si="4"/>
        <v>59.2</v>
      </c>
      <c r="S53" s="51">
        <v>2</v>
      </c>
      <c r="T53" s="284"/>
      <c r="U53" s="284"/>
      <c r="V53" s="37" t="s">
        <v>72</v>
      </c>
      <c r="W53" s="28" t="s">
        <v>74</v>
      </c>
      <c r="X53" s="28" t="s">
        <v>11</v>
      </c>
      <c r="Y53" s="38">
        <v>43.2</v>
      </c>
      <c r="Z53" s="28" t="s">
        <v>73</v>
      </c>
      <c r="AA53" s="28" t="s">
        <v>869</v>
      </c>
      <c r="AB53" s="28" t="s">
        <v>11</v>
      </c>
      <c r="AC53" s="28">
        <v>16</v>
      </c>
      <c r="AD53" s="37"/>
      <c r="AE53" s="28"/>
      <c r="AF53" s="28"/>
      <c r="AG53" s="38"/>
      <c r="AH53" s="28"/>
      <c r="AI53" s="28"/>
      <c r="AJ53" s="28"/>
      <c r="AK53" s="28"/>
      <c r="AL53" s="37"/>
      <c r="AM53" s="28"/>
      <c r="AN53" s="28"/>
      <c r="AO53" s="38"/>
      <c r="AP53" s="37"/>
      <c r="AQ53" s="28"/>
      <c r="AR53" s="28"/>
      <c r="AS53" s="38"/>
      <c r="AT53" s="28"/>
      <c r="AW53" s="38"/>
      <c r="BA53" s="167"/>
    </row>
    <row r="54" spans="1:53" s="50" customFormat="1" x14ac:dyDescent="0.15">
      <c r="A54" s="41">
        <v>1981</v>
      </c>
      <c r="B54" s="277"/>
      <c r="C54" s="370" t="s">
        <v>161</v>
      </c>
      <c r="D54" s="370"/>
      <c r="E54" s="41">
        <f>365-E53</f>
        <v>365</v>
      </c>
      <c r="F54" s="41"/>
      <c r="G54" s="43">
        <v>14</v>
      </c>
      <c r="H54" s="41"/>
      <c r="I54" s="41"/>
      <c r="J54" s="44">
        <v>14</v>
      </c>
      <c r="K54" s="32">
        <f t="shared" si="17"/>
        <v>100</v>
      </c>
      <c r="L54" s="32">
        <f t="shared" si="18"/>
        <v>0</v>
      </c>
      <c r="M54" s="32">
        <f t="shared" si="19"/>
        <v>0</v>
      </c>
      <c r="N54" s="33">
        <f t="shared" si="3"/>
        <v>100</v>
      </c>
      <c r="O54" s="45">
        <v>59.2</v>
      </c>
      <c r="P54" s="46"/>
      <c r="Q54" s="46"/>
      <c r="R54" s="47">
        <f t="shared" si="4"/>
        <v>59.2</v>
      </c>
      <c r="S54" s="51">
        <v>2</v>
      </c>
      <c r="T54" s="284"/>
      <c r="U54" s="284"/>
      <c r="V54" s="37" t="s">
        <v>72</v>
      </c>
      <c r="W54" s="28" t="s">
        <v>74</v>
      </c>
      <c r="X54" s="28" t="s">
        <v>11</v>
      </c>
      <c r="Y54" s="38">
        <v>43.2</v>
      </c>
      <c r="Z54" s="28" t="s">
        <v>73</v>
      </c>
      <c r="AA54" s="28" t="s">
        <v>869</v>
      </c>
      <c r="AB54" s="28" t="s">
        <v>11</v>
      </c>
      <c r="AC54" s="28">
        <v>16</v>
      </c>
      <c r="AD54" s="37"/>
      <c r="AE54" s="28"/>
      <c r="AF54" s="28"/>
      <c r="AG54" s="38"/>
      <c r="AH54" s="28"/>
      <c r="AI54" s="28"/>
      <c r="AJ54" s="28"/>
      <c r="AK54" s="28"/>
      <c r="AL54" s="37"/>
      <c r="AM54" s="28"/>
      <c r="AN54" s="28"/>
      <c r="AO54" s="38"/>
      <c r="AP54" s="37"/>
      <c r="AQ54" s="28"/>
      <c r="AR54" s="28"/>
      <c r="AS54" s="38"/>
      <c r="AT54" s="28"/>
      <c r="AW54" s="38"/>
      <c r="BA54" s="167"/>
    </row>
    <row r="55" spans="1:53" s="50" customFormat="1" x14ac:dyDescent="0.15">
      <c r="A55" s="41">
        <v>1982</v>
      </c>
      <c r="B55" s="277"/>
      <c r="C55" s="370" t="s">
        <v>161</v>
      </c>
      <c r="D55" s="370"/>
      <c r="E55" s="41">
        <v>0</v>
      </c>
      <c r="F55" s="41"/>
      <c r="G55" s="43">
        <v>14</v>
      </c>
      <c r="H55" s="41"/>
      <c r="I55" s="41"/>
      <c r="J55" s="44">
        <v>14</v>
      </c>
      <c r="K55" s="32">
        <f t="shared" si="17"/>
        <v>100</v>
      </c>
      <c r="L55" s="32">
        <f t="shared" si="18"/>
        <v>0</v>
      </c>
      <c r="M55" s="32">
        <f t="shared" si="19"/>
        <v>0</v>
      </c>
      <c r="N55" s="33">
        <f t="shared" si="3"/>
        <v>100</v>
      </c>
      <c r="O55" s="45">
        <v>59.2</v>
      </c>
      <c r="P55" s="46"/>
      <c r="Q55" s="46"/>
      <c r="R55" s="47">
        <f t="shared" si="4"/>
        <v>59.2</v>
      </c>
      <c r="S55" s="51">
        <v>2</v>
      </c>
      <c r="T55" s="284"/>
      <c r="U55" s="284"/>
      <c r="V55" s="37" t="s">
        <v>72</v>
      </c>
      <c r="W55" s="28" t="s">
        <v>74</v>
      </c>
      <c r="X55" s="28" t="s">
        <v>11</v>
      </c>
      <c r="Y55" s="38">
        <v>43.2</v>
      </c>
      <c r="Z55" s="28" t="s">
        <v>73</v>
      </c>
      <c r="AA55" s="28" t="s">
        <v>869</v>
      </c>
      <c r="AB55" s="28" t="s">
        <v>11</v>
      </c>
      <c r="AC55" s="28">
        <v>16</v>
      </c>
      <c r="AD55" s="37"/>
      <c r="AE55" s="28"/>
      <c r="AF55" s="28"/>
      <c r="AG55" s="38"/>
      <c r="AH55" s="28"/>
      <c r="AI55" s="28"/>
      <c r="AJ55" s="28"/>
      <c r="AK55" s="28"/>
      <c r="AL55" s="37"/>
      <c r="AM55" s="28"/>
      <c r="AN55" s="28"/>
      <c r="AO55" s="38"/>
      <c r="AP55" s="37"/>
      <c r="AQ55" s="28"/>
      <c r="AR55" s="28"/>
      <c r="AS55" s="38"/>
      <c r="AT55" s="28"/>
      <c r="AW55" s="38"/>
      <c r="BA55" s="167"/>
    </row>
    <row r="56" spans="1:53" s="50" customFormat="1" x14ac:dyDescent="0.15">
      <c r="A56" s="41">
        <v>1982</v>
      </c>
      <c r="B56" s="277"/>
      <c r="C56" s="370" t="s">
        <v>161</v>
      </c>
      <c r="D56" s="370"/>
      <c r="E56" s="41">
        <f>365-E55</f>
        <v>365</v>
      </c>
      <c r="F56" s="41"/>
      <c r="G56" s="43">
        <v>14</v>
      </c>
      <c r="H56" s="41"/>
      <c r="I56" s="41"/>
      <c r="J56" s="44">
        <v>14</v>
      </c>
      <c r="K56" s="32">
        <f t="shared" si="17"/>
        <v>100</v>
      </c>
      <c r="L56" s="32">
        <f t="shared" si="18"/>
        <v>0</v>
      </c>
      <c r="M56" s="32">
        <f t="shared" si="19"/>
        <v>0</v>
      </c>
      <c r="N56" s="33">
        <f t="shared" si="3"/>
        <v>100</v>
      </c>
      <c r="O56" s="45">
        <v>59.2</v>
      </c>
      <c r="P56" s="46"/>
      <c r="Q56" s="46"/>
      <c r="R56" s="47">
        <f t="shared" si="4"/>
        <v>59.2</v>
      </c>
      <c r="S56" s="51">
        <v>2</v>
      </c>
      <c r="T56" s="284"/>
      <c r="U56" s="284"/>
      <c r="V56" s="37" t="s">
        <v>72</v>
      </c>
      <c r="W56" s="28" t="s">
        <v>74</v>
      </c>
      <c r="X56" s="28" t="s">
        <v>11</v>
      </c>
      <c r="Y56" s="38">
        <v>43.2</v>
      </c>
      <c r="Z56" s="28" t="s">
        <v>73</v>
      </c>
      <c r="AA56" s="28" t="s">
        <v>869</v>
      </c>
      <c r="AB56" s="28" t="s">
        <v>11</v>
      </c>
      <c r="AC56" s="28">
        <v>16</v>
      </c>
      <c r="AD56" s="37"/>
      <c r="AE56" s="28"/>
      <c r="AF56" s="28"/>
      <c r="AG56" s="38"/>
      <c r="AH56" s="28"/>
      <c r="AI56" s="28"/>
      <c r="AJ56" s="28"/>
      <c r="AK56" s="28"/>
      <c r="AL56" s="37"/>
      <c r="AM56" s="28"/>
      <c r="AN56" s="28"/>
      <c r="AO56" s="38"/>
      <c r="AP56" s="37"/>
      <c r="AQ56" s="28"/>
      <c r="AR56" s="28"/>
      <c r="AS56" s="38"/>
      <c r="AT56" s="28"/>
      <c r="AW56" s="38"/>
      <c r="BA56" s="167"/>
    </row>
    <row r="57" spans="1:53" s="50" customFormat="1" x14ac:dyDescent="0.15">
      <c r="A57" s="41">
        <v>1983</v>
      </c>
      <c r="B57" s="277"/>
      <c r="C57" s="370" t="s">
        <v>161</v>
      </c>
      <c r="D57" s="370"/>
      <c r="E57" s="41">
        <v>69</v>
      </c>
      <c r="F57" s="41"/>
      <c r="G57" s="43">
        <v>14</v>
      </c>
      <c r="H57" s="41"/>
      <c r="I57" s="41"/>
      <c r="J57" s="44">
        <v>14</v>
      </c>
      <c r="K57" s="32">
        <f>G57/J57*100</f>
        <v>100</v>
      </c>
      <c r="L57" s="32">
        <f>H57/J57*100</f>
        <v>0</v>
      </c>
      <c r="M57" s="32">
        <f>I57/J57*100</f>
        <v>0</v>
      </c>
      <c r="N57" s="33">
        <f>SUM(K57:M57)</f>
        <v>100</v>
      </c>
      <c r="O57" s="45">
        <v>59.2</v>
      </c>
      <c r="P57" s="46"/>
      <c r="Q57" s="46"/>
      <c r="R57" s="47">
        <f t="shared" si="4"/>
        <v>59.2</v>
      </c>
      <c r="S57" s="51">
        <v>2</v>
      </c>
      <c r="T57" s="284"/>
      <c r="U57" s="284"/>
      <c r="V57" s="37" t="s">
        <v>72</v>
      </c>
      <c r="W57" s="28" t="s">
        <v>74</v>
      </c>
      <c r="X57" s="28" t="s">
        <v>11</v>
      </c>
      <c r="Y57" s="38">
        <v>43.2</v>
      </c>
      <c r="Z57" s="28" t="s">
        <v>73</v>
      </c>
      <c r="AA57" s="28" t="s">
        <v>869</v>
      </c>
      <c r="AB57" s="28" t="s">
        <v>11</v>
      </c>
      <c r="AC57" s="28">
        <v>16</v>
      </c>
      <c r="AD57" s="37"/>
      <c r="AE57" s="28"/>
      <c r="AF57" s="28"/>
      <c r="AG57" s="38"/>
      <c r="AH57" s="28"/>
      <c r="AI57" s="28"/>
      <c r="AJ57" s="28"/>
      <c r="AK57" s="28"/>
      <c r="AL57" s="37"/>
      <c r="AM57" s="28"/>
      <c r="AN57" s="28"/>
      <c r="AO57" s="38"/>
      <c r="AP57" s="37"/>
      <c r="AQ57" s="28"/>
      <c r="AR57" s="28"/>
      <c r="AS57" s="38"/>
      <c r="AT57" s="28"/>
      <c r="AW57" s="38"/>
      <c r="BA57" s="167"/>
    </row>
    <row r="58" spans="1:53" s="216" customFormat="1" x14ac:dyDescent="0.15">
      <c r="A58" s="115">
        <v>1983</v>
      </c>
      <c r="B58" s="276">
        <v>30386</v>
      </c>
      <c r="C58" s="369" t="s">
        <v>162</v>
      </c>
      <c r="D58" s="369"/>
      <c r="E58" s="115">
        <f>365-E57</f>
        <v>296</v>
      </c>
      <c r="F58" s="115">
        <v>1</v>
      </c>
      <c r="G58" s="210"/>
      <c r="H58" s="115"/>
      <c r="I58" s="115">
        <v>13</v>
      </c>
      <c r="J58" s="211">
        <v>13</v>
      </c>
      <c r="K58" s="173">
        <f t="shared" ref="K58:K64" si="20">G58/J58*100</f>
        <v>0</v>
      </c>
      <c r="L58" s="173">
        <f t="shared" ref="L58:L64" si="21">H58/J58*100</f>
        <v>0</v>
      </c>
      <c r="M58" s="173">
        <f t="shared" ref="M58:M64" si="22">I58/J58*100</f>
        <v>100</v>
      </c>
      <c r="N58" s="174">
        <f t="shared" si="3"/>
        <v>100</v>
      </c>
      <c r="O58" s="212"/>
      <c r="P58" s="213"/>
      <c r="Q58" s="213">
        <v>60</v>
      </c>
      <c r="R58" s="214">
        <f t="shared" si="4"/>
        <v>60</v>
      </c>
      <c r="S58" s="215">
        <v>1</v>
      </c>
      <c r="T58" s="283">
        <v>30380</v>
      </c>
      <c r="U58" s="283">
        <v>30386</v>
      </c>
      <c r="V58" s="177" t="s">
        <v>77</v>
      </c>
      <c r="W58" s="170" t="s">
        <v>20</v>
      </c>
      <c r="X58" s="170" t="s">
        <v>12</v>
      </c>
      <c r="Y58" s="178">
        <v>60</v>
      </c>
      <c r="Z58" s="170"/>
      <c r="AA58" s="170"/>
      <c r="AB58" s="170"/>
      <c r="AC58" s="170"/>
      <c r="AD58" s="177"/>
      <c r="AE58" s="170"/>
      <c r="AF58" s="170"/>
      <c r="AG58" s="178"/>
      <c r="AH58" s="170"/>
      <c r="AI58" s="170"/>
      <c r="AJ58" s="170"/>
      <c r="AK58" s="170"/>
      <c r="AL58" s="177"/>
      <c r="AM58" s="170"/>
      <c r="AN58" s="170"/>
      <c r="AO58" s="178"/>
      <c r="AP58" s="177"/>
      <c r="AQ58" s="170"/>
      <c r="AR58" s="170"/>
      <c r="AS58" s="178"/>
      <c r="AT58" s="170"/>
      <c r="AW58" s="178"/>
      <c r="BA58" s="217"/>
    </row>
    <row r="59" spans="1:53" s="216" customFormat="1" x14ac:dyDescent="0.15">
      <c r="A59" s="115">
        <v>1984</v>
      </c>
      <c r="B59" s="276"/>
      <c r="C59" s="369" t="s">
        <v>162</v>
      </c>
      <c r="D59" s="369"/>
      <c r="E59" s="115">
        <v>347</v>
      </c>
      <c r="F59" s="115"/>
      <c r="G59" s="210"/>
      <c r="H59" s="115"/>
      <c r="I59" s="115">
        <v>13</v>
      </c>
      <c r="J59" s="211">
        <v>13</v>
      </c>
      <c r="K59" s="173">
        <f t="shared" si="20"/>
        <v>0</v>
      </c>
      <c r="L59" s="173">
        <f t="shared" si="21"/>
        <v>0</v>
      </c>
      <c r="M59" s="173">
        <f t="shared" si="22"/>
        <v>100</v>
      </c>
      <c r="N59" s="174">
        <f t="shared" si="3"/>
        <v>100</v>
      </c>
      <c r="O59" s="212"/>
      <c r="P59" s="213"/>
      <c r="Q59" s="213">
        <v>60</v>
      </c>
      <c r="R59" s="214">
        <f t="shared" si="4"/>
        <v>60</v>
      </c>
      <c r="S59" s="215">
        <v>1</v>
      </c>
      <c r="T59" s="283"/>
      <c r="U59" s="283"/>
      <c r="V59" s="177" t="s">
        <v>77</v>
      </c>
      <c r="W59" s="170" t="s">
        <v>20</v>
      </c>
      <c r="X59" s="170" t="s">
        <v>12</v>
      </c>
      <c r="Y59" s="178">
        <v>60</v>
      </c>
      <c r="Z59" s="170"/>
      <c r="AA59" s="170"/>
      <c r="AB59" s="170"/>
      <c r="AC59" s="170"/>
      <c r="AD59" s="177"/>
      <c r="AE59" s="170"/>
      <c r="AF59" s="170"/>
      <c r="AG59" s="178"/>
      <c r="AH59" s="170"/>
      <c r="AI59" s="170"/>
      <c r="AJ59" s="170"/>
      <c r="AK59" s="170"/>
      <c r="AL59" s="177"/>
      <c r="AM59" s="170"/>
      <c r="AN59" s="170"/>
      <c r="AO59" s="178"/>
      <c r="AP59" s="177"/>
      <c r="AQ59" s="170"/>
      <c r="AR59" s="170"/>
      <c r="AS59" s="178"/>
      <c r="AT59" s="170"/>
      <c r="AW59" s="178"/>
      <c r="BA59" s="217"/>
    </row>
    <row r="60" spans="1:53" s="50" customFormat="1" x14ac:dyDescent="0.15">
      <c r="A60" s="41">
        <v>1984</v>
      </c>
      <c r="B60" s="277">
        <v>31029</v>
      </c>
      <c r="C60" s="370" t="s">
        <v>163</v>
      </c>
      <c r="D60" s="370"/>
      <c r="E60" s="41">
        <v>19</v>
      </c>
      <c r="F60" s="41">
        <v>1</v>
      </c>
      <c r="G60" s="43"/>
      <c r="H60" s="41"/>
      <c r="I60" s="41">
        <v>17</v>
      </c>
      <c r="J60" s="44">
        <v>17</v>
      </c>
      <c r="K60" s="32">
        <f t="shared" si="20"/>
        <v>0</v>
      </c>
      <c r="L60" s="32">
        <f t="shared" si="21"/>
        <v>0</v>
      </c>
      <c r="M60" s="32">
        <f t="shared" si="22"/>
        <v>100</v>
      </c>
      <c r="N60" s="33">
        <f t="shared" si="3"/>
        <v>100</v>
      </c>
      <c r="O60" s="45"/>
      <c r="P60" s="46"/>
      <c r="Q60" s="46">
        <v>55.4</v>
      </c>
      <c r="R60" s="47">
        <f t="shared" si="4"/>
        <v>55.4</v>
      </c>
      <c r="S60" s="51">
        <v>1</v>
      </c>
      <c r="T60" s="284">
        <v>31017</v>
      </c>
      <c r="U60" s="284">
        <v>31029</v>
      </c>
      <c r="V60" s="37" t="s">
        <v>77</v>
      </c>
      <c r="W60" s="28" t="s">
        <v>20</v>
      </c>
      <c r="X60" s="28" t="s">
        <v>12</v>
      </c>
      <c r="Y60" s="38">
        <v>55.4</v>
      </c>
      <c r="Z60" s="28"/>
      <c r="AA60" s="28"/>
      <c r="AB60" s="28"/>
      <c r="AC60" s="28"/>
      <c r="AD60" s="37"/>
      <c r="AE60" s="28"/>
      <c r="AF60" s="28"/>
      <c r="AG60" s="38"/>
      <c r="AH60" s="28"/>
      <c r="AI60" s="28"/>
      <c r="AJ60" s="28"/>
      <c r="AK60" s="28"/>
      <c r="AL60" s="37"/>
      <c r="AM60" s="28"/>
      <c r="AN60" s="28"/>
      <c r="AO60" s="38"/>
      <c r="AP60" s="37"/>
      <c r="AQ60" s="28"/>
      <c r="AR60" s="28"/>
      <c r="AS60" s="38"/>
      <c r="AT60" s="28"/>
      <c r="AW60" s="38"/>
      <c r="BA60" s="167"/>
    </row>
    <row r="61" spans="1:53" s="50" customFormat="1" x14ac:dyDescent="0.15">
      <c r="A61" s="41">
        <v>1985</v>
      </c>
      <c r="B61" s="277"/>
      <c r="C61" s="370" t="s">
        <v>163</v>
      </c>
      <c r="D61" s="370"/>
      <c r="E61" s="41">
        <v>0</v>
      </c>
      <c r="F61" s="41"/>
      <c r="G61" s="43"/>
      <c r="H61" s="41"/>
      <c r="I61" s="41">
        <v>17</v>
      </c>
      <c r="J61" s="44">
        <v>17</v>
      </c>
      <c r="K61" s="32">
        <f t="shared" si="20"/>
        <v>0</v>
      </c>
      <c r="L61" s="32">
        <f t="shared" si="21"/>
        <v>0</v>
      </c>
      <c r="M61" s="32">
        <f t="shared" si="22"/>
        <v>100</v>
      </c>
      <c r="N61" s="33">
        <f t="shared" si="3"/>
        <v>100</v>
      </c>
      <c r="O61" s="45"/>
      <c r="P61" s="46"/>
      <c r="Q61" s="46">
        <v>55.4</v>
      </c>
      <c r="R61" s="47">
        <f t="shared" si="4"/>
        <v>55.4</v>
      </c>
      <c r="S61" s="51">
        <v>1</v>
      </c>
      <c r="T61" s="284"/>
      <c r="U61" s="284"/>
      <c r="V61" s="37" t="s">
        <v>77</v>
      </c>
      <c r="W61" s="28" t="s">
        <v>20</v>
      </c>
      <c r="X61" s="28" t="s">
        <v>12</v>
      </c>
      <c r="Y61" s="38">
        <v>55.4</v>
      </c>
      <c r="Z61" s="28"/>
      <c r="AA61" s="28"/>
      <c r="AB61" s="28"/>
      <c r="AC61" s="28"/>
      <c r="AD61" s="37"/>
      <c r="AE61" s="28"/>
      <c r="AF61" s="28"/>
      <c r="AG61" s="38"/>
      <c r="AH61" s="28"/>
      <c r="AI61" s="28"/>
      <c r="AJ61" s="28"/>
      <c r="AK61" s="28"/>
      <c r="AL61" s="37"/>
      <c r="AM61" s="28"/>
      <c r="AN61" s="28"/>
      <c r="AO61" s="38"/>
      <c r="AP61" s="37"/>
      <c r="AQ61" s="28"/>
      <c r="AR61" s="28"/>
      <c r="AS61" s="38"/>
      <c r="AT61" s="28"/>
      <c r="AW61" s="38"/>
      <c r="BA61" s="167"/>
    </row>
    <row r="62" spans="1:53" s="50" customFormat="1" x14ac:dyDescent="0.15">
      <c r="A62" s="41">
        <v>1985</v>
      </c>
      <c r="B62" s="277"/>
      <c r="C62" s="370" t="s">
        <v>163</v>
      </c>
      <c r="D62" s="370"/>
      <c r="E62" s="41">
        <f>365-E61</f>
        <v>365</v>
      </c>
      <c r="F62" s="41"/>
      <c r="G62" s="43"/>
      <c r="H62" s="41"/>
      <c r="I62" s="41">
        <v>17</v>
      </c>
      <c r="J62" s="44">
        <v>17</v>
      </c>
      <c r="K62" s="32">
        <f t="shared" si="20"/>
        <v>0</v>
      </c>
      <c r="L62" s="32">
        <f t="shared" si="21"/>
        <v>0</v>
      </c>
      <c r="M62" s="32">
        <f t="shared" si="22"/>
        <v>100</v>
      </c>
      <c r="N62" s="33">
        <f t="shared" si="3"/>
        <v>100</v>
      </c>
      <c r="O62" s="45"/>
      <c r="P62" s="46"/>
      <c r="Q62" s="46">
        <v>55.4</v>
      </c>
      <c r="R62" s="47">
        <f t="shared" si="4"/>
        <v>55.4</v>
      </c>
      <c r="S62" s="51">
        <v>1</v>
      </c>
      <c r="T62" s="284"/>
      <c r="U62" s="284"/>
      <c r="V62" s="37" t="s">
        <v>77</v>
      </c>
      <c r="W62" s="28" t="s">
        <v>20</v>
      </c>
      <c r="X62" s="28" t="s">
        <v>12</v>
      </c>
      <c r="Y62" s="38">
        <v>55.4</v>
      </c>
      <c r="Z62" s="28"/>
      <c r="AA62" s="28"/>
      <c r="AB62" s="28"/>
      <c r="AC62" s="28"/>
      <c r="AD62" s="37"/>
      <c r="AE62" s="28"/>
      <c r="AF62" s="28"/>
      <c r="AG62" s="38"/>
      <c r="AH62" s="28"/>
      <c r="AI62" s="28"/>
      <c r="AJ62" s="28"/>
      <c r="AK62" s="28"/>
      <c r="AL62" s="37"/>
      <c r="AM62" s="28"/>
      <c r="AN62" s="28"/>
      <c r="AO62" s="38"/>
      <c r="AP62" s="37"/>
      <c r="AQ62" s="28"/>
      <c r="AR62" s="28"/>
      <c r="AS62" s="38"/>
      <c r="AT62" s="28"/>
      <c r="AW62" s="38"/>
      <c r="BA62" s="167"/>
    </row>
    <row r="63" spans="1:53" s="50" customFormat="1" x14ac:dyDescent="0.15">
      <c r="A63" s="41">
        <v>1986</v>
      </c>
      <c r="B63" s="277"/>
      <c r="C63" s="370" t="s">
        <v>163</v>
      </c>
      <c r="D63" s="370"/>
      <c r="E63" s="41">
        <v>0</v>
      </c>
      <c r="F63" s="41"/>
      <c r="G63" s="43"/>
      <c r="H63" s="41"/>
      <c r="I63" s="41">
        <v>17</v>
      </c>
      <c r="J63" s="44">
        <v>17</v>
      </c>
      <c r="K63" s="32">
        <f t="shared" si="20"/>
        <v>0</v>
      </c>
      <c r="L63" s="32">
        <f t="shared" si="21"/>
        <v>0</v>
      </c>
      <c r="M63" s="32">
        <f t="shared" si="22"/>
        <v>100</v>
      </c>
      <c r="N63" s="33">
        <f t="shared" si="3"/>
        <v>100</v>
      </c>
      <c r="O63" s="45"/>
      <c r="P63" s="46"/>
      <c r="Q63" s="46">
        <v>55.4</v>
      </c>
      <c r="R63" s="47">
        <f t="shared" si="4"/>
        <v>55.4</v>
      </c>
      <c r="S63" s="51">
        <v>1</v>
      </c>
      <c r="T63" s="284"/>
      <c r="U63" s="284"/>
      <c r="V63" s="37" t="s">
        <v>77</v>
      </c>
      <c r="W63" s="28" t="s">
        <v>20</v>
      </c>
      <c r="X63" s="28" t="s">
        <v>12</v>
      </c>
      <c r="Y63" s="38">
        <v>55.4</v>
      </c>
      <c r="Z63" s="28"/>
      <c r="AA63" s="28"/>
      <c r="AB63" s="28"/>
      <c r="AC63" s="28"/>
      <c r="AD63" s="37"/>
      <c r="AE63" s="28"/>
      <c r="AF63" s="28"/>
      <c r="AG63" s="38"/>
      <c r="AH63" s="28"/>
      <c r="AI63" s="28"/>
      <c r="AJ63" s="28"/>
      <c r="AK63" s="28"/>
      <c r="AL63" s="37"/>
      <c r="AM63" s="28"/>
      <c r="AN63" s="28"/>
      <c r="AO63" s="38"/>
      <c r="AP63" s="37"/>
      <c r="AQ63" s="28"/>
      <c r="AR63" s="28"/>
      <c r="AS63" s="38"/>
      <c r="AT63" s="28"/>
      <c r="AW63" s="38"/>
      <c r="BA63" s="167"/>
    </row>
    <row r="64" spans="1:53" s="50" customFormat="1" x14ac:dyDescent="0.15">
      <c r="A64" s="41">
        <v>1986</v>
      </c>
      <c r="B64" s="277"/>
      <c r="C64" s="370" t="s">
        <v>163</v>
      </c>
      <c r="D64" s="370"/>
      <c r="E64" s="41">
        <f>365-E63</f>
        <v>365</v>
      </c>
      <c r="F64" s="41"/>
      <c r="G64" s="43"/>
      <c r="H64" s="41"/>
      <c r="I64" s="41">
        <v>17</v>
      </c>
      <c r="J64" s="44">
        <v>17</v>
      </c>
      <c r="K64" s="32">
        <f t="shared" si="20"/>
        <v>0</v>
      </c>
      <c r="L64" s="32">
        <f t="shared" si="21"/>
        <v>0</v>
      </c>
      <c r="M64" s="32">
        <f t="shared" si="22"/>
        <v>100</v>
      </c>
      <c r="N64" s="33">
        <f t="shared" si="3"/>
        <v>100</v>
      </c>
      <c r="O64" s="45"/>
      <c r="P64" s="46"/>
      <c r="Q64" s="46">
        <v>55.4</v>
      </c>
      <c r="R64" s="47">
        <f t="shared" si="4"/>
        <v>55.4</v>
      </c>
      <c r="S64" s="51">
        <v>1</v>
      </c>
      <c r="T64" s="284"/>
      <c r="U64" s="284"/>
      <c r="V64" s="37" t="s">
        <v>77</v>
      </c>
      <c r="W64" s="28" t="s">
        <v>20</v>
      </c>
      <c r="X64" s="28" t="s">
        <v>12</v>
      </c>
      <c r="Y64" s="38">
        <v>55.4</v>
      </c>
      <c r="Z64" s="28"/>
      <c r="AA64" s="28"/>
      <c r="AB64" s="28"/>
      <c r="AC64" s="28"/>
      <c r="AD64" s="37"/>
      <c r="AE64" s="28"/>
      <c r="AF64" s="28"/>
      <c r="AG64" s="38"/>
      <c r="AH64" s="28"/>
      <c r="AI64" s="28"/>
      <c r="AJ64" s="28"/>
      <c r="AK64" s="28"/>
      <c r="AL64" s="37"/>
      <c r="AM64" s="28"/>
      <c r="AN64" s="28"/>
      <c r="AO64" s="38"/>
      <c r="AP64" s="37"/>
      <c r="AQ64" s="28"/>
      <c r="AR64" s="28"/>
      <c r="AS64" s="38"/>
      <c r="AT64" s="28"/>
      <c r="AW64" s="38"/>
      <c r="BA64" s="167"/>
    </row>
    <row r="65" spans="1:53" s="50" customFormat="1" x14ac:dyDescent="0.15">
      <c r="A65" s="41">
        <v>1987</v>
      </c>
      <c r="B65" s="277"/>
      <c r="C65" s="370" t="s">
        <v>163</v>
      </c>
      <c r="D65" s="370"/>
      <c r="E65" s="41">
        <v>202</v>
      </c>
      <c r="F65" s="41"/>
      <c r="G65" s="43"/>
      <c r="H65" s="41"/>
      <c r="I65" s="41">
        <v>17</v>
      </c>
      <c r="J65" s="44">
        <v>17</v>
      </c>
      <c r="K65" s="32">
        <f t="shared" ref="K65:K76" si="23">G65/J65*100</f>
        <v>0</v>
      </c>
      <c r="L65" s="32">
        <f t="shared" ref="L65:L76" si="24">H65/J65*100</f>
        <v>0</v>
      </c>
      <c r="M65" s="32">
        <f t="shared" ref="M65:M76" si="25">I65/J65*100</f>
        <v>100</v>
      </c>
      <c r="N65" s="33">
        <f t="shared" si="3"/>
        <v>100</v>
      </c>
      <c r="O65" s="45"/>
      <c r="P65" s="46"/>
      <c r="Q65" s="46">
        <v>55.4</v>
      </c>
      <c r="R65" s="47">
        <f t="shared" si="4"/>
        <v>55.4</v>
      </c>
      <c r="S65" s="51">
        <v>1</v>
      </c>
      <c r="T65" s="284"/>
      <c r="U65" s="284"/>
      <c r="V65" s="37" t="s">
        <v>77</v>
      </c>
      <c r="W65" s="28" t="s">
        <v>20</v>
      </c>
      <c r="X65" s="28" t="s">
        <v>12</v>
      </c>
      <c r="Y65" s="38">
        <v>55.4</v>
      </c>
      <c r="Z65" s="28"/>
      <c r="AA65" s="28"/>
      <c r="AB65" s="28"/>
      <c r="AC65" s="28"/>
      <c r="AD65" s="37"/>
      <c r="AE65" s="28"/>
      <c r="AF65" s="28"/>
      <c r="AG65" s="38"/>
      <c r="AH65" s="28"/>
      <c r="AI65" s="28"/>
      <c r="AJ65" s="28"/>
      <c r="AK65" s="28"/>
      <c r="AL65" s="37"/>
      <c r="AM65" s="28"/>
      <c r="AN65" s="28"/>
      <c r="AO65" s="38"/>
      <c r="AP65" s="37"/>
      <c r="AQ65" s="28"/>
      <c r="AR65" s="28"/>
      <c r="AS65" s="38"/>
      <c r="AT65" s="28"/>
      <c r="AW65" s="38"/>
      <c r="BA65" s="167"/>
    </row>
    <row r="66" spans="1:53" s="216" customFormat="1" x14ac:dyDescent="0.15">
      <c r="A66" s="115">
        <v>1987</v>
      </c>
      <c r="B66" s="276">
        <v>31980</v>
      </c>
      <c r="C66" s="369" t="s">
        <v>164</v>
      </c>
      <c r="D66" s="369"/>
      <c r="E66" s="115">
        <f>365-E65</f>
        <v>163</v>
      </c>
      <c r="F66" s="115">
        <v>1</v>
      </c>
      <c r="G66" s="210"/>
      <c r="H66" s="115"/>
      <c r="I66" s="115">
        <v>16</v>
      </c>
      <c r="J66" s="211">
        <v>16</v>
      </c>
      <c r="K66" s="173">
        <f t="shared" si="23"/>
        <v>0</v>
      </c>
      <c r="L66" s="173">
        <f t="shared" si="24"/>
        <v>0</v>
      </c>
      <c r="M66" s="173">
        <f t="shared" si="25"/>
        <v>100</v>
      </c>
      <c r="N66" s="174">
        <f t="shared" si="3"/>
        <v>100</v>
      </c>
      <c r="O66" s="212"/>
      <c r="P66" s="213"/>
      <c r="Q66" s="213">
        <v>58.1</v>
      </c>
      <c r="R66" s="214">
        <f t="shared" si="4"/>
        <v>58.1</v>
      </c>
      <c r="S66" s="215">
        <v>1</v>
      </c>
      <c r="T66" s="283">
        <v>31969</v>
      </c>
      <c r="U66" s="283">
        <v>31980</v>
      </c>
      <c r="V66" s="177" t="s">
        <v>77</v>
      </c>
      <c r="W66" s="170" t="s">
        <v>20</v>
      </c>
      <c r="X66" s="170" t="s">
        <v>12</v>
      </c>
      <c r="Y66" s="178">
        <v>58.1</v>
      </c>
      <c r="Z66" s="170"/>
      <c r="AA66" s="170"/>
      <c r="AB66" s="170"/>
      <c r="AC66" s="170"/>
      <c r="AD66" s="177"/>
      <c r="AE66" s="170"/>
      <c r="AF66" s="170"/>
      <c r="AG66" s="178"/>
      <c r="AH66" s="170"/>
      <c r="AI66" s="170"/>
      <c r="AJ66" s="170"/>
      <c r="AK66" s="170"/>
      <c r="AL66" s="177"/>
      <c r="AM66" s="170"/>
      <c r="AN66" s="170"/>
      <c r="AO66" s="178"/>
      <c r="AP66" s="177"/>
      <c r="AQ66" s="170"/>
      <c r="AR66" s="170"/>
      <c r="AS66" s="178"/>
      <c r="AT66" s="170"/>
      <c r="AW66" s="178"/>
      <c r="BA66" s="217"/>
    </row>
    <row r="67" spans="1:53" s="216" customFormat="1" x14ac:dyDescent="0.15">
      <c r="A67" s="115">
        <v>1988</v>
      </c>
      <c r="B67" s="276"/>
      <c r="C67" s="369" t="s">
        <v>164</v>
      </c>
      <c r="D67" s="369"/>
      <c r="E67" s="115">
        <v>0</v>
      </c>
      <c r="F67" s="115"/>
      <c r="G67" s="210"/>
      <c r="H67" s="115"/>
      <c r="I67" s="115">
        <v>16</v>
      </c>
      <c r="J67" s="211">
        <v>16</v>
      </c>
      <c r="K67" s="173">
        <f t="shared" si="23"/>
        <v>0</v>
      </c>
      <c r="L67" s="173">
        <f t="shared" si="24"/>
        <v>0</v>
      </c>
      <c r="M67" s="173">
        <f t="shared" si="25"/>
        <v>100</v>
      </c>
      <c r="N67" s="174">
        <f t="shared" si="3"/>
        <v>100</v>
      </c>
      <c r="O67" s="212"/>
      <c r="P67" s="213"/>
      <c r="Q67" s="213">
        <v>58.1</v>
      </c>
      <c r="R67" s="214">
        <f t="shared" si="4"/>
        <v>58.1</v>
      </c>
      <c r="S67" s="215">
        <v>1</v>
      </c>
      <c r="T67" s="283"/>
      <c r="U67" s="283"/>
      <c r="V67" s="177" t="s">
        <v>77</v>
      </c>
      <c r="W67" s="170" t="s">
        <v>20</v>
      </c>
      <c r="X67" s="170" t="s">
        <v>12</v>
      </c>
      <c r="Y67" s="178">
        <v>58.1</v>
      </c>
      <c r="Z67" s="170"/>
      <c r="AA67" s="170"/>
      <c r="AB67" s="170"/>
      <c r="AC67" s="170"/>
      <c r="AD67" s="177"/>
      <c r="AE67" s="170"/>
      <c r="AF67" s="170"/>
      <c r="AG67" s="178"/>
      <c r="AH67" s="170"/>
      <c r="AI67" s="170"/>
      <c r="AJ67" s="170"/>
      <c r="AK67" s="170"/>
      <c r="AL67" s="177"/>
      <c r="AM67" s="170"/>
      <c r="AN67" s="170"/>
      <c r="AO67" s="178"/>
      <c r="AP67" s="177"/>
      <c r="AQ67" s="170"/>
      <c r="AR67" s="170"/>
      <c r="AS67" s="178"/>
      <c r="AT67" s="170"/>
      <c r="AW67" s="178"/>
      <c r="BA67" s="217"/>
    </row>
    <row r="68" spans="1:53" s="216" customFormat="1" x14ac:dyDescent="0.15">
      <c r="A68" s="115">
        <v>1988</v>
      </c>
      <c r="B68" s="276"/>
      <c r="C68" s="369" t="s">
        <v>164</v>
      </c>
      <c r="D68" s="369"/>
      <c r="E68" s="115">
        <v>366</v>
      </c>
      <c r="F68" s="115"/>
      <c r="G68" s="210"/>
      <c r="H68" s="115"/>
      <c r="I68" s="115">
        <v>16</v>
      </c>
      <c r="J68" s="211">
        <v>16</v>
      </c>
      <c r="K68" s="173">
        <f t="shared" si="23"/>
        <v>0</v>
      </c>
      <c r="L68" s="173">
        <f t="shared" si="24"/>
        <v>0</v>
      </c>
      <c r="M68" s="173">
        <f t="shared" si="25"/>
        <v>100</v>
      </c>
      <c r="N68" s="174">
        <f t="shared" si="3"/>
        <v>100</v>
      </c>
      <c r="O68" s="212"/>
      <c r="P68" s="213"/>
      <c r="Q68" s="213">
        <v>58.1</v>
      </c>
      <c r="R68" s="214">
        <f t="shared" si="4"/>
        <v>58.1</v>
      </c>
      <c r="S68" s="215">
        <v>1</v>
      </c>
      <c r="T68" s="283"/>
      <c r="U68" s="283"/>
      <c r="V68" s="177" t="s">
        <v>77</v>
      </c>
      <c r="W68" s="170" t="s">
        <v>20</v>
      </c>
      <c r="X68" s="170" t="s">
        <v>12</v>
      </c>
      <c r="Y68" s="178">
        <v>58.1</v>
      </c>
      <c r="Z68" s="170"/>
      <c r="AA68" s="170"/>
      <c r="AB68" s="170"/>
      <c r="AC68" s="170"/>
      <c r="AD68" s="177"/>
      <c r="AE68" s="170"/>
      <c r="AF68" s="170"/>
      <c r="AG68" s="178"/>
      <c r="AH68" s="170"/>
      <c r="AI68" s="170"/>
      <c r="AJ68" s="170"/>
      <c r="AK68" s="170"/>
      <c r="AL68" s="177"/>
      <c r="AM68" s="170"/>
      <c r="AN68" s="170"/>
      <c r="AO68" s="178"/>
      <c r="AP68" s="177"/>
      <c r="AQ68" s="170"/>
      <c r="AR68" s="170"/>
      <c r="AS68" s="178"/>
      <c r="AT68" s="170"/>
      <c r="AW68" s="178"/>
      <c r="BA68" s="217"/>
    </row>
    <row r="69" spans="1:53" s="216" customFormat="1" x14ac:dyDescent="0.15">
      <c r="A69" s="115">
        <v>1989</v>
      </c>
      <c r="B69" s="276"/>
      <c r="C69" s="369" t="s">
        <v>164</v>
      </c>
      <c r="D69" s="369"/>
      <c r="E69" s="115">
        <v>0</v>
      </c>
      <c r="F69" s="115"/>
      <c r="G69" s="210"/>
      <c r="H69" s="115"/>
      <c r="I69" s="115">
        <v>16</v>
      </c>
      <c r="J69" s="211">
        <v>16</v>
      </c>
      <c r="K69" s="173">
        <f t="shared" si="23"/>
        <v>0</v>
      </c>
      <c r="L69" s="173">
        <f t="shared" si="24"/>
        <v>0</v>
      </c>
      <c r="M69" s="173">
        <f t="shared" si="25"/>
        <v>100</v>
      </c>
      <c r="N69" s="174">
        <f t="shared" si="3"/>
        <v>100</v>
      </c>
      <c r="O69" s="212"/>
      <c r="P69" s="213"/>
      <c r="Q69" s="213">
        <v>58.1</v>
      </c>
      <c r="R69" s="214">
        <f t="shared" si="4"/>
        <v>58.1</v>
      </c>
      <c r="S69" s="215">
        <v>1</v>
      </c>
      <c r="T69" s="283"/>
      <c r="U69" s="283"/>
      <c r="V69" s="177" t="s">
        <v>77</v>
      </c>
      <c r="W69" s="170" t="s">
        <v>20</v>
      </c>
      <c r="X69" s="170" t="s">
        <v>12</v>
      </c>
      <c r="Y69" s="178">
        <v>58.1</v>
      </c>
      <c r="Z69" s="170"/>
      <c r="AA69" s="170"/>
      <c r="AB69" s="170"/>
      <c r="AC69" s="170"/>
      <c r="AD69" s="177"/>
      <c r="AE69" s="170"/>
      <c r="AF69" s="170"/>
      <c r="AG69" s="178"/>
      <c r="AH69" s="170"/>
      <c r="AI69" s="170"/>
      <c r="AJ69" s="170"/>
      <c r="AK69" s="170"/>
      <c r="AL69" s="177"/>
      <c r="AM69" s="170"/>
      <c r="AN69" s="170"/>
      <c r="AO69" s="178"/>
      <c r="AP69" s="177"/>
      <c r="AQ69" s="170"/>
      <c r="AR69" s="170"/>
      <c r="AS69" s="178"/>
      <c r="AT69" s="170"/>
      <c r="AW69" s="178"/>
      <c r="BA69" s="217"/>
    </row>
    <row r="70" spans="1:53" s="118" customFormat="1" x14ac:dyDescent="0.15">
      <c r="A70" s="119">
        <v>1989</v>
      </c>
      <c r="B70" s="279"/>
      <c r="C70" s="368" t="s">
        <v>164</v>
      </c>
      <c r="D70" s="368"/>
      <c r="E70" s="119">
        <f>365-E69</f>
        <v>365</v>
      </c>
      <c r="F70" s="119"/>
      <c r="G70" s="220"/>
      <c r="H70" s="119"/>
      <c r="I70" s="119">
        <v>16</v>
      </c>
      <c r="J70" s="221">
        <v>16</v>
      </c>
      <c r="K70" s="222">
        <f t="shared" si="23"/>
        <v>0</v>
      </c>
      <c r="L70" s="222">
        <f t="shared" si="24"/>
        <v>0</v>
      </c>
      <c r="M70" s="222">
        <f t="shared" si="25"/>
        <v>100</v>
      </c>
      <c r="N70" s="223">
        <f t="shared" si="3"/>
        <v>100</v>
      </c>
      <c r="O70" s="224"/>
      <c r="P70" s="225"/>
      <c r="Q70" s="225">
        <v>58.1</v>
      </c>
      <c r="R70" s="226">
        <f t="shared" si="4"/>
        <v>58.1</v>
      </c>
      <c r="S70" s="117">
        <v>1</v>
      </c>
      <c r="T70" s="285"/>
      <c r="U70" s="285"/>
      <c r="V70" s="54" t="s">
        <v>77</v>
      </c>
      <c r="W70" s="53" t="s">
        <v>20</v>
      </c>
      <c r="X70" s="53" t="s">
        <v>12</v>
      </c>
      <c r="Y70" s="55">
        <v>58.1</v>
      </c>
      <c r="Z70" s="53"/>
      <c r="AA70" s="53"/>
      <c r="AB70" s="53"/>
      <c r="AC70" s="53"/>
      <c r="AD70" s="54"/>
      <c r="AE70" s="53"/>
      <c r="AF70" s="53"/>
      <c r="AG70" s="55"/>
      <c r="AH70" s="53"/>
      <c r="AI70" s="53"/>
      <c r="AJ70" s="53"/>
      <c r="AK70" s="53"/>
      <c r="AL70" s="54"/>
      <c r="AM70" s="53"/>
      <c r="AN70" s="53"/>
      <c r="AO70" s="55"/>
      <c r="AP70" s="54"/>
      <c r="AQ70" s="53"/>
      <c r="AR70" s="53"/>
      <c r="AS70" s="55"/>
      <c r="AT70" s="53"/>
      <c r="AW70" s="55"/>
      <c r="BA70" s="227"/>
    </row>
    <row r="71" spans="1:53" s="216" customFormat="1" x14ac:dyDescent="0.15">
      <c r="A71" s="115">
        <v>1990</v>
      </c>
      <c r="B71" s="276"/>
      <c r="C71" s="369" t="s">
        <v>164</v>
      </c>
      <c r="D71" s="369"/>
      <c r="E71" s="115">
        <v>93</v>
      </c>
      <c r="F71" s="115"/>
      <c r="G71" s="210"/>
      <c r="H71" s="115"/>
      <c r="I71" s="115">
        <v>16</v>
      </c>
      <c r="J71" s="211">
        <v>16</v>
      </c>
      <c r="K71" s="173">
        <f t="shared" si="23"/>
        <v>0</v>
      </c>
      <c r="L71" s="173">
        <f t="shared" si="24"/>
        <v>0</v>
      </c>
      <c r="M71" s="173">
        <f t="shared" si="25"/>
        <v>100</v>
      </c>
      <c r="N71" s="174">
        <f t="shared" si="3"/>
        <v>100</v>
      </c>
      <c r="O71" s="212"/>
      <c r="P71" s="213"/>
      <c r="Q71" s="213">
        <v>58.1</v>
      </c>
      <c r="R71" s="214">
        <f>SUM(O71:Q71)</f>
        <v>58.1</v>
      </c>
      <c r="S71" s="215">
        <v>1</v>
      </c>
      <c r="T71" s="283"/>
      <c r="U71" s="283"/>
      <c r="V71" s="177" t="s">
        <v>77</v>
      </c>
      <c r="W71" s="170" t="s">
        <v>20</v>
      </c>
      <c r="X71" s="170" t="s">
        <v>12</v>
      </c>
      <c r="Y71" s="178">
        <v>58.1</v>
      </c>
      <c r="Z71" s="170"/>
      <c r="AA71" s="170"/>
      <c r="AB71" s="170"/>
      <c r="AC71" s="170"/>
      <c r="AD71" s="177"/>
      <c r="AE71" s="170"/>
      <c r="AF71" s="170"/>
      <c r="AG71" s="178"/>
      <c r="AH71" s="170"/>
      <c r="AI71" s="170"/>
      <c r="AJ71" s="170"/>
      <c r="AK71" s="170"/>
      <c r="AL71" s="177"/>
      <c r="AM71" s="170"/>
      <c r="AN71" s="170"/>
      <c r="AO71" s="178"/>
      <c r="AP71" s="177"/>
      <c r="AQ71" s="170"/>
      <c r="AR71" s="170"/>
      <c r="AS71" s="178"/>
      <c r="AT71" s="170"/>
      <c r="AW71" s="178"/>
      <c r="BA71" s="217"/>
    </row>
    <row r="72" spans="1:53" s="50" customFormat="1" x14ac:dyDescent="0.15">
      <c r="A72" s="41">
        <v>1990</v>
      </c>
      <c r="B72" s="277">
        <v>32967</v>
      </c>
      <c r="C72" s="370" t="s">
        <v>165</v>
      </c>
      <c r="D72" s="370"/>
      <c r="E72" s="41">
        <f>365-E71</f>
        <v>272</v>
      </c>
      <c r="F72" s="41">
        <v>1</v>
      </c>
      <c r="G72" s="43"/>
      <c r="H72" s="41"/>
      <c r="I72" s="41">
        <v>17</v>
      </c>
      <c r="J72" s="44">
        <v>17</v>
      </c>
      <c r="K72" s="32">
        <f t="shared" si="23"/>
        <v>0</v>
      </c>
      <c r="L72" s="32">
        <f t="shared" si="24"/>
        <v>0</v>
      </c>
      <c r="M72" s="32">
        <f t="shared" si="25"/>
        <v>100</v>
      </c>
      <c r="N72" s="33">
        <f t="shared" si="3"/>
        <v>100</v>
      </c>
      <c r="O72" s="45"/>
      <c r="P72" s="46"/>
      <c r="Q72" s="46">
        <v>52.7</v>
      </c>
      <c r="R72" s="47">
        <f t="shared" si="4"/>
        <v>52.7</v>
      </c>
      <c r="S72" s="51">
        <v>1</v>
      </c>
      <c r="T72" s="284">
        <v>32956</v>
      </c>
      <c r="U72" s="284">
        <v>32967</v>
      </c>
      <c r="V72" s="37" t="s">
        <v>77</v>
      </c>
      <c r="W72" s="28" t="s">
        <v>20</v>
      </c>
      <c r="X72" s="28" t="s">
        <v>12</v>
      </c>
      <c r="Y72" s="38">
        <v>52.7</v>
      </c>
      <c r="Z72" s="28"/>
      <c r="AA72" s="28"/>
      <c r="AB72" s="28"/>
      <c r="AC72" s="28"/>
      <c r="AD72" s="37"/>
      <c r="AE72" s="28"/>
      <c r="AF72" s="28"/>
      <c r="AG72" s="38"/>
      <c r="AH72" s="28"/>
      <c r="AI72" s="28"/>
      <c r="AJ72" s="28"/>
      <c r="AK72" s="28"/>
      <c r="AL72" s="37"/>
      <c r="AM72" s="28"/>
      <c r="AN72" s="28"/>
      <c r="AO72" s="38"/>
      <c r="AP72" s="37"/>
      <c r="AQ72" s="28"/>
      <c r="AR72" s="28"/>
      <c r="AS72" s="38"/>
      <c r="AT72" s="28"/>
      <c r="AW72" s="38"/>
      <c r="BA72" s="167"/>
    </row>
    <row r="73" spans="1:53" s="50" customFormat="1" x14ac:dyDescent="0.15">
      <c r="A73" s="41">
        <v>1991</v>
      </c>
      <c r="B73" s="277"/>
      <c r="C73" s="370" t="s">
        <v>165</v>
      </c>
      <c r="D73" s="370"/>
      <c r="E73" s="41">
        <v>360</v>
      </c>
      <c r="F73" s="41"/>
      <c r="G73" s="43"/>
      <c r="H73" s="41"/>
      <c r="I73" s="41">
        <v>17</v>
      </c>
      <c r="J73" s="44">
        <v>17</v>
      </c>
      <c r="K73" s="32">
        <f t="shared" si="23"/>
        <v>0</v>
      </c>
      <c r="L73" s="32">
        <f t="shared" si="24"/>
        <v>0</v>
      </c>
      <c r="M73" s="32">
        <f t="shared" si="25"/>
        <v>100</v>
      </c>
      <c r="N73" s="33">
        <f t="shared" ref="N73:N126" si="26">SUM(K73:M73)</f>
        <v>100</v>
      </c>
      <c r="O73" s="45"/>
      <c r="P73" s="46"/>
      <c r="Q73" s="46">
        <v>52.7</v>
      </c>
      <c r="R73" s="47">
        <f t="shared" ref="R73:R123" si="27">SUM(O73:Q73)</f>
        <v>52.7</v>
      </c>
      <c r="S73" s="51">
        <v>1</v>
      </c>
      <c r="T73" s="284"/>
      <c r="U73" s="284"/>
      <c r="V73" s="37" t="s">
        <v>77</v>
      </c>
      <c r="W73" s="28" t="s">
        <v>20</v>
      </c>
      <c r="X73" s="28" t="s">
        <v>12</v>
      </c>
      <c r="Y73" s="38">
        <v>52.7</v>
      </c>
      <c r="Z73" s="28"/>
      <c r="AA73" s="28"/>
      <c r="AB73" s="28"/>
      <c r="AC73" s="28"/>
      <c r="AD73" s="37"/>
      <c r="AE73" s="28"/>
      <c r="AF73" s="28"/>
      <c r="AG73" s="38"/>
      <c r="AH73" s="28"/>
      <c r="AI73" s="28"/>
      <c r="AJ73" s="28"/>
      <c r="AK73" s="28"/>
      <c r="AL73" s="37"/>
      <c r="AM73" s="28"/>
      <c r="AN73" s="28"/>
      <c r="AO73" s="38"/>
      <c r="AP73" s="37"/>
      <c r="AQ73" s="28"/>
      <c r="AR73" s="28"/>
      <c r="AS73" s="38"/>
      <c r="AT73" s="28"/>
      <c r="AW73" s="38"/>
      <c r="BA73" s="167"/>
    </row>
    <row r="74" spans="1:53" s="216" customFormat="1" x14ac:dyDescent="0.15">
      <c r="A74" s="115">
        <v>1991</v>
      </c>
      <c r="B74" s="276">
        <v>33599</v>
      </c>
      <c r="C74" s="366" t="s">
        <v>167</v>
      </c>
      <c r="D74" s="366"/>
      <c r="E74" s="115">
        <f>365-E73</f>
        <v>5</v>
      </c>
      <c r="F74" s="115">
        <v>2</v>
      </c>
      <c r="G74" s="210"/>
      <c r="H74" s="115"/>
      <c r="I74" s="115">
        <v>18</v>
      </c>
      <c r="J74" s="211">
        <v>18</v>
      </c>
      <c r="K74" s="173">
        <f t="shared" si="23"/>
        <v>0</v>
      </c>
      <c r="L74" s="173">
        <f t="shared" si="24"/>
        <v>0</v>
      </c>
      <c r="M74" s="173">
        <f t="shared" si="25"/>
        <v>100</v>
      </c>
      <c r="N74" s="174">
        <f t="shared" si="26"/>
        <v>100</v>
      </c>
      <c r="O74" s="212"/>
      <c r="P74" s="213"/>
      <c r="Q74" s="213">
        <v>52.7</v>
      </c>
      <c r="R74" s="214">
        <f t="shared" si="27"/>
        <v>52.7</v>
      </c>
      <c r="S74" s="215">
        <v>1</v>
      </c>
      <c r="T74" s="283"/>
      <c r="U74" s="283">
        <v>33599</v>
      </c>
      <c r="V74" s="177" t="s">
        <v>77</v>
      </c>
      <c r="W74" s="170" t="s">
        <v>20</v>
      </c>
      <c r="X74" s="170" t="s">
        <v>12</v>
      </c>
      <c r="Y74" s="178">
        <v>52.7</v>
      </c>
      <c r="Z74" s="170"/>
      <c r="AA74" s="170"/>
      <c r="AB74" s="170"/>
      <c r="AC74" s="170"/>
      <c r="AD74" s="177"/>
      <c r="AE74" s="170"/>
      <c r="AF74" s="170"/>
      <c r="AG74" s="178"/>
      <c r="AH74" s="170"/>
      <c r="AI74" s="170"/>
      <c r="AJ74" s="170"/>
      <c r="AK74" s="170"/>
      <c r="AL74" s="177"/>
      <c r="AM74" s="170"/>
      <c r="AN74" s="170"/>
      <c r="AO74" s="178"/>
      <c r="AP74" s="177"/>
      <c r="AQ74" s="170"/>
      <c r="AR74" s="170"/>
      <c r="AS74" s="178"/>
      <c r="AT74" s="170"/>
      <c r="AW74" s="178"/>
      <c r="BA74" s="217"/>
    </row>
    <row r="75" spans="1:53" s="216" customFormat="1" x14ac:dyDescent="0.15">
      <c r="A75" s="115">
        <v>1992</v>
      </c>
      <c r="B75" s="276"/>
      <c r="C75" s="366" t="s">
        <v>167</v>
      </c>
      <c r="D75" s="366"/>
      <c r="E75" s="115">
        <v>0</v>
      </c>
      <c r="F75" s="115"/>
      <c r="G75" s="210"/>
      <c r="H75" s="115"/>
      <c r="I75" s="115">
        <v>19</v>
      </c>
      <c r="J75" s="211">
        <v>19</v>
      </c>
      <c r="K75" s="173">
        <f t="shared" si="23"/>
        <v>0</v>
      </c>
      <c r="L75" s="173">
        <f t="shared" si="24"/>
        <v>0</v>
      </c>
      <c r="M75" s="173">
        <f t="shared" si="25"/>
        <v>100</v>
      </c>
      <c r="N75" s="174">
        <f t="shared" si="26"/>
        <v>100</v>
      </c>
      <c r="O75" s="212"/>
      <c r="P75" s="213"/>
      <c r="Q75" s="213">
        <v>52.7</v>
      </c>
      <c r="R75" s="214">
        <f t="shared" si="27"/>
        <v>52.7</v>
      </c>
      <c r="S75" s="215">
        <v>1</v>
      </c>
      <c r="T75" s="283"/>
      <c r="U75" s="283"/>
      <c r="V75" s="177" t="s">
        <v>77</v>
      </c>
      <c r="W75" s="170" t="s">
        <v>20</v>
      </c>
      <c r="X75" s="170" t="s">
        <v>12</v>
      </c>
      <c r="Y75" s="178">
        <v>52.7</v>
      </c>
      <c r="Z75" s="170"/>
      <c r="AA75" s="170"/>
      <c r="AB75" s="170"/>
      <c r="AC75" s="170"/>
      <c r="AD75" s="177"/>
      <c r="AE75" s="170"/>
      <c r="AF75" s="170"/>
      <c r="AG75" s="178"/>
      <c r="AH75" s="170"/>
      <c r="AI75" s="170"/>
      <c r="AJ75" s="170"/>
      <c r="AK75" s="170"/>
      <c r="AL75" s="177"/>
      <c r="AM75" s="170"/>
      <c r="AN75" s="170"/>
      <c r="AO75" s="178"/>
      <c r="AP75" s="177"/>
      <c r="AQ75" s="170"/>
      <c r="AR75" s="170"/>
      <c r="AS75" s="178"/>
      <c r="AT75" s="170"/>
      <c r="AW75" s="178"/>
      <c r="BA75" s="217"/>
    </row>
    <row r="76" spans="1:53" s="216" customFormat="1" x14ac:dyDescent="0.15">
      <c r="A76" s="115">
        <v>1992</v>
      </c>
      <c r="B76" s="276"/>
      <c r="C76" s="366" t="s">
        <v>167</v>
      </c>
      <c r="D76" s="366"/>
      <c r="E76" s="115">
        <v>366</v>
      </c>
      <c r="F76" s="115"/>
      <c r="G76" s="210"/>
      <c r="H76" s="115"/>
      <c r="I76" s="115">
        <v>19</v>
      </c>
      <c r="J76" s="211">
        <v>19</v>
      </c>
      <c r="K76" s="173">
        <f t="shared" si="23"/>
        <v>0</v>
      </c>
      <c r="L76" s="173">
        <f t="shared" si="24"/>
        <v>0</v>
      </c>
      <c r="M76" s="173">
        <f t="shared" si="25"/>
        <v>100</v>
      </c>
      <c r="N76" s="174">
        <f t="shared" si="26"/>
        <v>100</v>
      </c>
      <c r="O76" s="212"/>
      <c r="P76" s="213"/>
      <c r="Q76" s="213">
        <v>52.7</v>
      </c>
      <c r="R76" s="214">
        <f t="shared" si="27"/>
        <v>52.7</v>
      </c>
      <c r="S76" s="215">
        <v>1</v>
      </c>
      <c r="T76" s="283"/>
      <c r="U76" s="283"/>
      <c r="V76" s="177" t="s">
        <v>77</v>
      </c>
      <c r="W76" s="170" t="s">
        <v>20</v>
      </c>
      <c r="X76" s="170" t="s">
        <v>12</v>
      </c>
      <c r="Y76" s="178">
        <v>52.7</v>
      </c>
      <c r="Z76" s="170"/>
      <c r="AA76" s="170"/>
      <c r="AB76" s="170"/>
      <c r="AC76" s="170"/>
      <c r="AD76" s="177"/>
      <c r="AE76" s="170"/>
      <c r="AF76" s="170"/>
      <c r="AG76" s="178"/>
      <c r="AH76" s="170"/>
      <c r="AI76" s="170"/>
      <c r="AJ76" s="170"/>
      <c r="AK76" s="170"/>
      <c r="AL76" s="177"/>
      <c r="AM76" s="170"/>
      <c r="AN76" s="170"/>
      <c r="AO76" s="178"/>
      <c r="AP76" s="177"/>
      <c r="AQ76" s="170"/>
      <c r="AR76" s="170"/>
      <c r="AS76" s="178"/>
      <c r="AT76" s="170"/>
      <c r="AW76" s="178"/>
      <c r="BA76" s="217"/>
    </row>
    <row r="77" spans="1:53" s="216" customFormat="1" x14ac:dyDescent="0.15">
      <c r="A77" s="115">
        <v>1993</v>
      </c>
      <c r="B77" s="276"/>
      <c r="C77" s="366" t="s">
        <v>167</v>
      </c>
      <c r="D77" s="366"/>
      <c r="E77" s="115">
        <v>357</v>
      </c>
      <c r="F77" s="115"/>
      <c r="G77" s="210"/>
      <c r="H77" s="115"/>
      <c r="I77" s="115">
        <v>19</v>
      </c>
      <c r="J77" s="211">
        <v>19</v>
      </c>
      <c r="K77" s="173">
        <f t="shared" ref="K77:K98" si="28">G77/J77*100</f>
        <v>0</v>
      </c>
      <c r="L77" s="173">
        <f t="shared" ref="L77:L98" si="29">H77/J77*100</f>
        <v>0</v>
      </c>
      <c r="M77" s="173">
        <f t="shared" ref="M77:M98" si="30">I77/J77*100</f>
        <v>100</v>
      </c>
      <c r="N77" s="174">
        <f t="shared" si="26"/>
        <v>100</v>
      </c>
      <c r="O77" s="212"/>
      <c r="P77" s="213"/>
      <c r="Q77" s="213">
        <v>52.7</v>
      </c>
      <c r="R77" s="214">
        <f t="shared" si="27"/>
        <v>52.7</v>
      </c>
      <c r="S77" s="215">
        <v>1</v>
      </c>
      <c r="T77" s="283"/>
      <c r="U77" s="283"/>
      <c r="V77" s="177" t="s">
        <v>77</v>
      </c>
      <c r="W77" s="170" t="s">
        <v>20</v>
      </c>
      <c r="X77" s="170" t="s">
        <v>12</v>
      </c>
      <c r="Y77" s="178">
        <v>52.7</v>
      </c>
      <c r="Z77" s="170"/>
      <c r="AA77" s="170"/>
      <c r="AB77" s="170"/>
      <c r="AC77" s="170"/>
      <c r="AD77" s="177"/>
      <c r="AE77" s="170"/>
      <c r="AF77" s="170"/>
      <c r="AG77" s="178"/>
      <c r="AH77" s="170"/>
      <c r="AI77" s="170"/>
      <c r="AJ77" s="170"/>
      <c r="AK77" s="170"/>
      <c r="AL77" s="177"/>
      <c r="AM77" s="170"/>
      <c r="AN77" s="170"/>
      <c r="AO77" s="178"/>
      <c r="AP77" s="177"/>
      <c r="AQ77" s="170"/>
      <c r="AR77" s="170"/>
      <c r="AS77" s="178"/>
      <c r="AT77" s="170"/>
      <c r="AW77" s="178"/>
      <c r="BA77" s="217"/>
    </row>
    <row r="78" spans="1:53" s="50" customFormat="1" x14ac:dyDescent="0.15">
      <c r="A78" s="41">
        <v>1993</v>
      </c>
      <c r="B78" s="277">
        <v>34327</v>
      </c>
      <c r="C78" s="367" t="s">
        <v>166</v>
      </c>
      <c r="D78" s="367"/>
      <c r="E78" s="41">
        <f>365-E77</f>
        <v>8</v>
      </c>
      <c r="F78" s="41">
        <v>1</v>
      </c>
      <c r="G78" s="43"/>
      <c r="H78" s="41"/>
      <c r="I78" s="41">
        <v>18</v>
      </c>
      <c r="J78" s="44">
        <v>18</v>
      </c>
      <c r="K78" s="32">
        <f t="shared" si="28"/>
        <v>0</v>
      </c>
      <c r="L78" s="32">
        <f t="shared" si="29"/>
        <v>0</v>
      </c>
      <c r="M78" s="32">
        <f t="shared" si="30"/>
        <v>100</v>
      </c>
      <c r="N78" s="33">
        <f t="shared" si="26"/>
        <v>100</v>
      </c>
      <c r="O78" s="45"/>
      <c r="P78" s="46"/>
      <c r="Q78" s="46">
        <v>54.4</v>
      </c>
      <c r="R78" s="47">
        <f t="shared" si="27"/>
        <v>54.4</v>
      </c>
      <c r="S78" s="51">
        <v>1</v>
      </c>
      <c r="T78" s="284">
        <v>34041</v>
      </c>
      <c r="U78" s="284">
        <v>34327</v>
      </c>
      <c r="V78" s="37" t="s">
        <v>77</v>
      </c>
      <c r="W78" s="28" t="s">
        <v>20</v>
      </c>
      <c r="X78" s="28" t="s">
        <v>12</v>
      </c>
      <c r="Y78" s="38">
        <v>54.4</v>
      </c>
      <c r="Z78" s="28"/>
      <c r="AA78" s="28"/>
      <c r="AB78" s="28"/>
      <c r="AC78" s="28"/>
      <c r="AD78" s="37"/>
      <c r="AE78" s="28"/>
      <c r="AF78" s="28"/>
      <c r="AG78" s="38"/>
      <c r="AH78" s="28"/>
      <c r="AI78" s="28"/>
      <c r="AJ78" s="28"/>
      <c r="AK78" s="28"/>
      <c r="AL78" s="37"/>
      <c r="AM78" s="28"/>
      <c r="AN78" s="28"/>
      <c r="AO78" s="38"/>
      <c r="AP78" s="37"/>
      <c r="AQ78" s="28"/>
      <c r="AR78" s="28"/>
      <c r="AS78" s="38"/>
      <c r="AT78" s="28"/>
      <c r="AW78" s="38"/>
      <c r="BA78" s="167"/>
    </row>
    <row r="79" spans="1:53" s="50" customFormat="1" x14ac:dyDescent="0.15">
      <c r="A79" s="41">
        <v>1994</v>
      </c>
      <c r="B79" s="277"/>
      <c r="C79" s="367" t="s">
        <v>166</v>
      </c>
      <c r="D79" s="367"/>
      <c r="E79" s="41">
        <v>0</v>
      </c>
      <c r="F79" s="41"/>
      <c r="G79" s="43"/>
      <c r="H79" s="41"/>
      <c r="I79" s="41">
        <v>17</v>
      </c>
      <c r="J79" s="44">
        <v>17</v>
      </c>
      <c r="K79" s="32">
        <f t="shared" si="28"/>
        <v>0</v>
      </c>
      <c r="L79" s="32">
        <f t="shared" si="29"/>
        <v>0</v>
      </c>
      <c r="M79" s="32">
        <f t="shared" si="30"/>
        <v>100</v>
      </c>
      <c r="N79" s="33">
        <f t="shared" si="26"/>
        <v>100</v>
      </c>
      <c r="O79" s="45"/>
      <c r="P79" s="46"/>
      <c r="Q79" s="46">
        <v>54.4</v>
      </c>
      <c r="R79" s="47">
        <f t="shared" si="27"/>
        <v>54.4</v>
      </c>
      <c r="S79" s="51">
        <v>1</v>
      </c>
      <c r="T79" s="284"/>
      <c r="U79" s="284"/>
      <c r="V79" s="37" t="s">
        <v>77</v>
      </c>
      <c r="W79" s="28" t="s">
        <v>20</v>
      </c>
      <c r="X79" s="28" t="s">
        <v>12</v>
      </c>
      <c r="Y79" s="38">
        <v>54.4</v>
      </c>
      <c r="Z79" s="28"/>
      <c r="AA79" s="28"/>
      <c r="AB79" s="28"/>
      <c r="AC79" s="28"/>
      <c r="AD79" s="37"/>
      <c r="AE79" s="28"/>
      <c r="AF79" s="28"/>
      <c r="AG79" s="38"/>
      <c r="AH79" s="28"/>
      <c r="AI79" s="28"/>
      <c r="AJ79" s="28"/>
      <c r="AK79" s="28"/>
      <c r="AL79" s="37"/>
      <c r="AM79" s="28"/>
      <c r="AN79" s="28"/>
      <c r="AO79" s="38"/>
      <c r="AP79" s="37"/>
      <c r="AQ79" s="28"/>
      <c r="AR79" s="28"/>
      <c r="AS79" s="38"/>
      <c r="AT79" s="28"/>
      <c r="AW79" s="38"/>
      <c r="BA79" s="167"/>
    </row>
    <row r="80" spans="1:53" s="50" customFormat="1" x14ac:dyDescent="0.15">
      <c r="A80" s="41">
        <v>1994</v>
      </c>
      <c r="B80" s="277"/>
      <c r="C80" s="367" t="s">
        <v>166</v>
      </c>
      <c r="D80" s="367"/>
      <c r="E80" s="41">
        <f>365-E79</f>
        <v>365</v>
      </c>
      <c r="F80" s="41"/>
      <c r="G80" s="43"/>
      <c r="H80" s="41"/>
      <c r="I80" s="41">
        <v>17</v>
      </c>
      <c r="J80" s="44">
        <v>17</v>
      </c>
      <c r="K80" s="32">
        <f t="shared" si="28"/>
        <v>0</v>
      </c>
      <c r="L80" s="32">
        <f t="shared" si="29"/>
        <v>0</v>
      </c>
      <c r="M80" s="32">
        <f t="shared" si="30"/>
        <v>100</v>
      </c>
      <c r="N80" s="33">
        <f t="shared" si="26"/>
        <v>100</v>
      </c>
      <c r="O80" s="45"/>
      <c r="P80" s="46"/>
      <c r="Q80" s="46">
        <v>54.4</v>
      </c>
      <c r="R80" s="47">
        <f t="shared" si="27"/>
        <v>54.4</v>
      </c>
      <c r="S80" s="51">
        <v>1</v>
      </c>
      <c r="T80" s="284"/>
      <c r="U80" s="284"/>
      <c r="V80" s="37" t="s">
        <v>77</v>
      </c>
      <c r="W80" s="28" t="s">
        <v>20</v>
      </c>
      <c r="X80" s="28" t="s">
        <v>12</v>
      </c>
      <c r="Y80" s="38">
        <v>54.4</v>
      </c>
      <c r="Z80" s="28"/>
      <c r="AA80" s="28"/>
      <c r="AB80" s="28"/>
      <c r="AC80" s="28"/>
      <c r="AD80" s="37"/>
      <c r="AE80" s="28"/>
      <c r="AF80" s="28"/>
      <c r="AG80" s="38"/>
      <c r="AH80" s="28"/>
      <c r="AI80" s="28"/>
      <c r="AJ80" s="28"/>
      <c r="AK80" s="28"/>
      <c r="AL80" s="37"/>
      <c r="AM80" s="28"/>
      <c r="AN80" s="28"/>
      <c r="AO80" s="38"/>
      <c r="AP80" s="37"/>
      <c r="AQ80" s="28"/>
      <c r="AR80" s="28"/>
      <c r="AS80" s="38"/>
      <c r="AT80" s="28"/>
      <c r="AW80" s="38"/>
      <c r="BA80" s="167"/>
    </row>
    <row r="81" spans="1:53" s="50" customFormat="1" x14ac:dyDescent="0.15">
      <c r="A81" s="41">
        <v>1995</v>
      </c>
      <c r="B81" s="277"/>
      <c r="C81" s="367" t="s">
        <v>166</v>
      </c>
      <c r="D81" s="367"/>
      <c r="E81" s="41">
        <v>0</v>
      </c>
      <c r="F81" s="41"/>
      <c r="G81" s="43"/>
      <c r="H81" s="41"/>
      <c r="I81" s="41">
        <v>17</v>
      </c>
      <c r="J81" s="44">
        <v>17</v>
      </c>
      <c r="K81" s="32">
        <f t="shared" si="28"/>
        <v>0</v>
      </c>
      <c r="L81" s="32">
        <f t="shared" si="29"/>
        <v>0</v>
      </c>
      <c r="M81" s="32">
        <f t="shared" si="30"/>
        <v>100</v>
      </c>
      <c r="N81" s="33">
        <f t="shared" si="26"/>
        <v>100</v>
      </c>
      <c r="O81" s="45"/>
      <c r="P81" s="46"/>
      <c r="Q81" s="46">
        <v>54.4</v>
      </c>
      <c r="R81" s="47">
        <f t="shared" si="27"/>
        <v>54.4</v>
      </c>
      <c r="S81" s="51">
        <v>1</v>
      </c>
      <c r="T81" s="284"/>
      <c r="U81" s="284"/>
      <c r="V81" s="37" t="s">
        <v>77</v>
      </c>
      <c r="W81" s="28" t="s">
        <v>20</v>
      </c>
      <c r="X81" s="28" t="s">
        <v>12</v>
      </c>
      <c r="Y81" s="38">
        <v>54.4</v>
      </c>
      <c r="Z81" s="28"/>
      <c r="AA81" s="28"/>
      <c r="AB81" s="28"/>
      <c r="AC81" s="28"/>
      <c r="AD81" s="37"/>
      <c r="AE81" s="28"/>
      <c r="AF81" s="28"/>
      <c r="AG81" s="38"/>
      <c r="AH81" s="28"/>
      <c r="AI81" s="28"/>
      <c r="AJ81" s="28"/>
      <c r="AK81" s="28"/>
      <c r="AL81" s="37"/>
      <c r="AM81" s="28"/>
      <c r="AN81" s="28"/>
      <c r="AO81" s="38"/>
      <c r="AP81" s="37"/>
      <c r="AQ81" s="28"/>
      <c r="AR81" s="28"/>
      <c r="AS81" s="38"/>
      <c r="AT81" s="28"/>
      <c r="AW81" s="38"/>
      <c r="BA81" s="167"/>
    </row>
    <row r="82" spans="1:53" s="50" customFormat="1" x14ac:dyDescent="0.15">
      <c r="A82" s="41">
        <v>1995</v>
      </c>
      <c r="B82" s="277"/>
      <c r="C82" s="367" t="s">
        <v>166</v>
      </c>
      <c r="D82" s="367"/>
      <c r="E82" s="41">
        <f>365-E81</f>
        <v>365</v>
      </c>
      <c r="F82" s="41"/>
      <c r="G82" s="43"/>
      <c r="H82" s="41"/>
      <c r="I82" s="41">
        <v>17</v>
      </c>
      <c r="J82" s="44">
        <v>17</v>
      </c>
      <c r="K82" s="32">
        <f t="shared" si="28"/>
        <v>0</v>
      </c>
      <c r="L82" s="32">
        <f t="shared" si="29"/>
        <v>0</v>
      </c>
      <c r="M82" s="32">
        <f t="shared" si="30"/>
        <v>100</v>
      </c>
      <c r="N82" s="33">
        <f t="shared" si="26"/>
        <v>100</v>
      </c>
      <c r="O82" s="45"/>
      <c r="P82" s="46"/>
      <c r="Q82" s="46">
        <v>54.4</v>
      </c>
      <c r="R82" s="47">
        <f t="shared" si="27"/>
        <v>54.4</v>
      </c>
      <c r="S82" s="51">
        <v>1</v>
      </c>
      <c r="T82" s="284"/>
      <c r="U82" s="284"/>
      <c r="V82" s="37" t="s">
        <v>77</v>
      </c>
      <c r="W82" s="28" t="s">
        <v>20</v>
      </c>
      <c r="X82" s="28" t="s">
        <v>12</v>
      </c>
      <c r="Y82" s="38">
        <v>54.4</v>
      </c>
      <c r="Z82" s="28"/>
      <c r="AA82" s="28"/>
      <c r="AB82" s="28"/>
      <c r="AC82" s="28"/>
      <c r="AD82" s="37"/>
      <c r="AE82" s="28"/>
      <c r="AF82" s="28"/>
      <c r="AG82" s="38"/>
      <c r="AH82" s="28"/>
      <c r="AI82" s="28"/>
      <c r="AJ82" s="28"/>
      <c r="AK82" s="28"/>
      <c r="AL82" s="37"/>
      <c r="AM82" s="28"/>
      <c r="AN82" s="28"/>
      <c r="AO82" s="38"/>
      <c r="AP82" s="37"/>
      <c r="AQ82" s="28"/>
      <c r="AR82" s="28"/>
      <c r="AS82" s="38"/>
      <c r="AT82" s="28"/>
      <c r="AW82" s="38"/>
      <c r="BA82" s="167"/>
    </row>
    <row r="83" spans="1:53" s="50" customFormat="1" x14ac:dyDescent="0.15">
      <c r="A83" s="41">
        <v>1996</v>
      </c>
      <c r="B83" s="277"/>
      <c r="C83" s="367" t="s">
        <v>166</v>
      </c>
      <c r="D83" s="367"/>
      <c r="E83" s="41">
        <v>70</v>
      </c>
      <c r="F83" s="41"/>
      <c r="G83" s="43"/>
      <c r="H83" s="41"/>
      <c r="I83" s="41">
        <v>17</v>
      </c>
      <c r="J83" s="44">
        <v>17</v>
      </c>
      <c r="K83" s="32">
        <f t="shared" si="28"/>
        <v>0</v>
      </c>
      <c r="L83" s="32">
        <f t="shared" si="29"/>
        <v>0</v>
      </c>
      <c r="M83" s="32">
        <f t="shared" si="30"/>
        <v>100</v>
      </c>
      <c r="N83" s="33">
        <f t="shared" si="26"/>
        <v>100</v>
      </c>
      <c r="O83" s="45"/>
      <c r="P83" s="46"/>
      <c r="Q83" s="46">
        <v>54.4</v>
      </c>
      <c r="R83" s="47">
        <f t="shared" si="27"/>
        <v>54.4</v>
      </c>
      <c r="S83" s="51">
        <v>1</v>
      </c>
      <c r="T83" s="284"/>
      <c r="U83" s="284"/>
      <c r="V83" s="37" t="s">
        <v>77</v>
      </c>
      <c r="W83" s="28" t="s">
        <v>20</v>
      </c>
      <c r="X83" s="28" t="s">
        <v>12</v>
      </c>
      <c r="Y83" s="38">
        <v>54.4</v>
      </c>
      <c r="Z83" s="28"/>
      <c r="AA83" s="28"/>
      <c r="AB83" s="28"/>
      <c r="AC83" s="28"/>
      <c r="AD83" s="37"/>
      <c r="AE83" s="28"/>
      <c r="AF83" s="28"/>
      <c r="AG83" s="38"/>
      <c r="AH83" s="28"/>
      <c r="AI83" s="28"/>
      <c r="AJ83" s="28"/>
      <c r="AK83" s="28"/>
      <c r="AL83" s="37"/>
      <c r="AM83" s="28"/>
      <c r="AN83" s="28"/>
      <c r="AO83" s="38"/>
      <c r="AP83" s="37"/>
      <c r="AQ83" s="28"/>
      <c r="AR83" s="28"/>
      <c r="AS83" s="38"/>
      <c r="AT83" s="28"/>
      <c r="AW83" s="38"/>
      <c r="BA83" s="167"/>
    </row>
    <row r="84" spans="1:53" s="216" customFormat="1" x14ac:dyDescent="0.15">
      <c r="A84" s="115">
        <v>1996</v>
      </c>
      <c r="B84" s="276">
        <v>35135</v>
      </c>
      <c r="C84" s="366" t="s">
        <v>168</v>
      </c>
      <c r="D84" s="366"/>
      <c r="E84" s="115">
        <v>296</v>
      </c>
      <c r="F84" s="115">
        <v>1</v>
      </c>
      <c r="G84" s="210">
        <v>15</v>
      </c>
      <c r="H84" s="115"/>
      <c r="I84" s="115"/>
      <c r="J84" s="211">
        <v>15</v>
      </c>
      <c r="K84" s="173">
        <f t="shared" si="28"/>
        <v>100</v>
      </c>
      <c r="L84" s="173">
        <f t="shared" si="29"/>
        <v>0</v>
      </c>
      <c r="M84" s="173">
        <f t="shared" si="30"/>
        <v>0</v>
      </c>
      <c r="N84" s="174">
        <f t="shared" si="26"/>
        <v>100</v>
      </c>
      <c r="O84" s="212">
        <v>63.5</v>
      </c>
      <c r="P84" s="213"/>
      <c r="Q84" s="213"/>
      <c r="R84" s="214">
        <f t="shared" si="27"/>
        <v>63.5</v>
      </c>
      <c r="S84" s="215">
        <v>3</v>
      </c>
      <c r="T84" s="283">
        <v>35126</v>
      </c>
      <c r="U84" s="283">
        <v>35135</v>
      </c>
      <c r="V84" s="177" t="s">
        <v>72</v>
      </c>
      <c r="W84" s="170" t="s">
        <v>74</v>
      </c>
      <c r="X84" s="170" t="s">
        <v>11</v>
      </c>
      <c r="Y84" s="178">
        <v>51.3</v>
      </c>
      <c r="Z84" s="170" t="s">
        <v>73</v>
      </c>
      <c r="AA84" s="170" t="s">
        <v>869</v>
      </c>
      <c r="AB84" s="170" t="s">
        <v>11</v>
      </c>
      <c r="AC84" s="170">
        <v>12.2</v>
      </c>
      <c r="AD84" s="177"/>
      <c r="AE84" s="170"/>
      <c r="AF84" s="170"/>
      <c r="AG84" s="178"/>
      <c r="AH84" s="170"/>
      <c r="AI84" s="170"/>
      <c r="AJ84" s="170"/>
      <c r="AK84" s="170"/>
      <c r="AL84" s="177"/>
      <c r="AM84" s="170"/>
      <c r="AN84" s="170"/>
      <c r="AO84" s="178"/>
      <c r="AP84" s="177"/>
      <c r="AQ84" s="170"/>
      <c r="AR84" s="170"/>
      <c r="AS84" s="178"/>
      <c r="AT84" s="170"/>
      <c r="AW84" s="178"/>
      <c r="BA84" s="217"/>
    </row>
    <row r="85" spans="1:53" s="216" customFormat="1" x14ac:dyDescent="0.15">
      <c r="A85" s="115">
        <v>1997</v>
      </c>
      <c r="B85" s="276"/>
      <c r="C85" s="366" t="s">
        <v>168</v>
      </c>
      <c r="D85" s="366"/>
      <c r="E85" s="115">
        <v>0</v>
      </c>
      <c r="F85" s="115"/>
      <c r="G85" s="210">
        <v>16</v>
      </c>
      <c r="H85" s="115"/>
      <c r="I85" s="115"/>
      <c r="J85" s="211">
        <v>16</v>
      </c>
      <c r="K85" s="173">
        <f t="shared" si="28"/>
        <v>100</v>
      </c>
      <c r="L85" s="173">
        <f t="shared" si="29"/>
        <v>0</v>
      </c>
      <c r="M85" s="173">
        <f t="shared" si="30"/>
        <v>0</v>
      </c>
      <c r="N85" s="174">
        <f t="shared" si="26"/>
        <v>100</v>
      </c>
      <c r="O85" s="212">
        <v>63.5</v>
      </c>
      <c r="P85" s="213"/>
      <c r="Q85" s="213"/>
      <c r="R85" s="214">
        <f t="shared" si="27"/>
        <v>63.5</v>
      </c>
      <c r="S85" s="215">
        <v>3</v>
      </c>
      <c r="T85" s="283"/>
      <c r="U85" s="283"/>
      <c r="V85" s="177" t="s">
        <v>72</v>
      </c>
      <c r="W85" s="170" t="s">
        <v>74</v>
      </c>
      <c r="X85" s="170" t="s">
        <v>11</v>
      </c>
      <c r="Y85" s="178">
        <v>51.3</v>
      </c>
      <c r="Z85" s="170" t="s">
        <v>73</v>
      </c>
      <c r="AA85" s="170" t="s">
        <v>869</v>
      </c>
      <c r="AB85" s="170" t="s">
        <v>11</v>
      </c>
      <c r="AC85" s="170">
        <v>12.2</v>
      </c>
      <c r="AD85" s="177"/>
      <c r="AE85" s="170"/>
      <c r="AF85" s="170"/>
      <c r="AG85" s="178"/>
      <c r="AH85" s="170"/>
      <c r="AI85" s="170"/>
      <c r="AJ85" s="170"/>
      <c r="AK85" s="170"/>
      <c r="AL85" s="177"/>
      <c r="AM85" s="170"/>
      <c r="AN85" s="170"/>
      <c r="AO85" s="178"/>
      <c r="AP85" s="177"/>
      <c r="AQ85" s="170"/>
      <c r="AR85" s="170"/>
      <c r="AS85" s="178"/>
      <c r="AT85" s="170"/>
      <c r="AW85" s="178"/>
      <c r="BA85" s="217"/>
    </row>
    <row r="86" spans="1:53" s="216" customFormat="1" x14ac:dyDescent="0.15">
      <c r="A86" s="115">
        <v>1997</v>
      </c>
      <c r="B86" s="276"/>
      <c r="C86" s="366" t="s">
        <v>168</v>
      </c>
      <c r="D86" s="366"/>
      <c r="E86" s="115">
        <f>365-E85</f>
        <v>365</v>
      </c>
      <c r="F86" s="115"/>
      <c r="G86" s="210">
        <v>16</v>
      </c>
      <c r="H86" s="115"/>
      <c r="I86" s="115"/>
      <c r="J86" s="211">
        <v>16</v>
      </c>
      <c r="K86" s="173">
        <f t="shared" si="28"/>
        <v>100</v>
      </c>
      <c r="L86" s="173">
        <f t="shared" si="29"/>
        <v>0</v>
      </c>
      <c r="M86" s="173">
        <f t="shared" si="30"/>
        <v>0</v>
      </c>
      <c r="N86" s="174">
        <f t="shared" si="26"/>
        <v>100</v>
      </c>
      <c r="O86" s="212">
        <v>63.5</v>
      </c>
      <c r="P86" s="213"/>
      <c r="Q86" s="213"/>
      <c r="R86" s="214">
        <f t="shared" si="27"/>
        <v>63.5</v>
      </c>
      <c r="S86" s="215">
        <v>3</v>
      </c>
      <c r="T86" s="283"/>
      <c r="U86" s="283"/>
      <c r="V86" s="177" t="s">
        <v>72</v>
      </c>
      <c r="W86" s="170" t="s">
        <v>74</v>
      </c>
      <c r="X86" s="170" t="s">
        <v>11</v>
      </c>
      <c r="Y86" s="178">
        <v>51.3</v>
      </c>
      <c r="Z86" s="170" t="s">
        <v>73</v>
      </c>
      <c r="AA86" s="170" t="s">
        <v>869</v>
      </c>
      <c r="AB86" s="170" t="s">
        <v>11</v>
      </c>
      <c r="AC86" s="170">
        <v>12.2</v>
      </c>
      <c r="AD86" s="177"/>
      <c r="AE86" s="170"/>
      <c r="AF86" s="170"/>
      <c r="AG86" s="178"/>
      <c r="AH86" s="170"/>
      <c r="AI86" s="170"/>
      <c r="AJ86" s="170"/>
      <c r="AK86" s="170"/>
      <c r="AL86" s="177"/>
      <c r="AM86" s="170"/>
      <c r="AN86" s="170"/>
      <c r="AO86" s="178"/>
      <c r="AP86" s="177"/>
      <c r="AQ86" s="170"/>
      <c r="AR86" s="170"/>
      <c r="AS86" s="178"/>
      <c r="AT86" s="170"/>
      <c r="AW86" s="178"/>
      <c r="BA86" s="217"/>
    </row>
    <row r="87" spans="1:53" s="216" customFormat="1" x14ac:dyDescent="0.15">
      <c r="A87" s="115">
        <v>1998</v>
      </c>
      <c r="B87" s="276"/>
      <c r="C87" s="366" t="s">
        <v>168</v>
      </c>
      <c r="D87" s="366"/>
      <c r="E87" s="115">
        <v>293</v>
      </c>
      <c r="F87" s="115"/>
      <c r="G87" s="210">
        <v>16</v>
      </c>
      <c r="H87" s="115"/>
      <c r="I87" s="115"/>
      <c r="J87" s="211">
        <v>16</v>
      </c>
      <c r="K87" s="173">
        <f t="shared" si="28"/>
        <v>100</v>
      </c>
      <c r="L87" s="173">
        <f t="shared" si="29"/>
        <v>0</v>
      </c>
      <c r="M87" s="173">
        <f t="shared" si="30"/>
        <v>0</v>
      </c>
      <c r="N87" s="174">
        <f t="shared" si="26"/>
        <v>100</v>
      </c>
      <c r="O87" s="212">
        <v>63.5</v>
      </c>
      <c r="P87" s="213"/>
      <c r="Q87" s="213"/>
      <c r="R87" s="214">
        <f t="shared" si="27"/>
        <v>63.5</v>
      </c>
      <c r="S87" s="215">
        <v>3</v>
      </c>
      <c r="T87" s="283"/>
      <c r="U87" s="283"/>
      <c r="V87" s="177" t="s">
        <v>72</v>
      </c>
      <c r="W87" s="170" t="s">
        <v>74</v>
      </c>
      <c r="X87" s="170" t="s">
        <v>11</v>
      </c>
      <c r="Y87" s="178">
        <v>51.3</v>
      </c>
      <c r="Z87" s="170" t="s">
        <v>73</v>
      </c>
      <c r="AA87" s="170" t="s">
        <v>869</v>
      </c>
      <c r="AB87" s="170" t="s">
        <v>11</v>
      </c>
      <c r="AC87" s="170">
        <v>12.2</v>
      </c>
      <c r="AD87" s="177"/>
      <c r="AE87" s="170"/>
      <c r="AF87" s="170"/>
      <c r="AG87" s="178"/>
      <c r="AH87" s="170"/>
      <c r="AI87" s="170"/>
      <c r="AJ87" s="170"/>
      <c r="AK87" s="170"/>
      <c r="AL87" s="177"/>
      <c r="AM87" s="170"/>
      <c r="AN87" s="170"/>
      <c r="AO87" s="178"/>
      <c r="AP87" s="177"/>
      <c r="AQ87" s="170"/>
      <c r="AR87" s="170"/>
      <c r="AS87" s="178"/>
      <c r="AT87" s="170"/>
      <c r="AW87" s="178"/>
      <c r="BA87" s="217"/>
    </row>
    <row r="88" spans="1:53" s="50" customFormat="1" x14ac:dyDescent="0.15">
      <c r="A88" s="41">
        <v>1998</v>
      </c>
      <c r="B88" s="277">
        <v>36089</v>
      </c>
      <c r="C88" s="367" t="s">
        <v>169</v>
      </c>
      <c r="D88" s="367"/>
      <c r="E88" s="41">
        <f>365-E87</f>
        <v>72</v>
      </c>
      <c r="F88" s="41">
        <v>1</v>
      </c>
      <c r="G88" s="43">
        <v>16</v>
      </c>
      <c r="H88" s="41"/>
      <c r="I88" s="41"/>
      <c r="J88" s="44">
        <v>16</v>
      </c>
      <c r="K88" s="32">
        <f t="shared" si="28"/>
        <v>100</v>
      </c>
      <c r="L88" s="32">
        <f t="shared" si="29"/>
        <v>0</v>
      </c>
      <c r="M88" s="32">
        <f t="shared" si="30"/>
        <v>0</v>
      </c>
      <c r="N88" s="33">
        <f t="shared" si="26"/>
        <v>100</v>
      </c>
      <c r="O88" s="45">
        <v>54</v>
      </c>
      <c r="P88" s="46"/>
      <c r="Q88" s="46"/>
      <c r="R88" s="47">
        <f t="shared" si="27"/>
        <v>54</v>
      </c>
      <c r="S88" s="51">
        <v>2</v>
      </c>
      <c r="T88" s="284">
        <v>36071</v>
      </c>
      <c r="U88" s="284">
        <v>36089</v>
      </c>
      <c r="V88" s="37" t="s">
        <v>72</v>
      </c>
      <c r="W88" s="28" t="s">
        <v>74</v>
      </c>
      <c r="X88" s="28" t="s">
        <v>11</v>
      </c>
      <c r="Y88" s="38">
        <v>43.2</v>
      </c>
      <c r="Z88" s="28" t="s">
        <v>73</v>
      </c>
      <c r="AA88" s="28" t="s">
        <v>869</v>
      </c>
      <c r="AB88" s="28" t="s">
        <v>11</v>
      </c>
      <c r="AC88" s="28">
        <v>10.8</v>
      </c>
      <c r="AD88" s="37"/>
      <c r="AE88" s="28"/>
      <c r="AF88" s="28"/>
      <c r="AG88" s="38"/>
      <c r="AH88" s="28"/>
      <c r="AI88" s="28"/>
      <c r="AJ88" s="28"/>
      <c r="AK88" s="28"/>
      <c r="AL88" s="37"/>
      <c r="AM88" s="28"/>
      <c r="AN88" s="28"/>
      <c r="AO88" s="38"/>
      <c r="AP88" s="37"/>
      <c r="AQ88" s="28"/>
      <c r="AR88" s="28"/>
      <c r="AS88" s="38"/>
      <c r="AT88" s="28"/>
      <c r="AW88" s="38"/>
      <c r="BA88" s="167"/>
    </row>
    <row r="89" spans="1:53" s="50" customFormat="1" x14ac:dyDescent="0.15">
      <c r="A89" s="41">
        <v>1999</v>
      </c>
      <c r="B89" s="277"/>
      <c r="C89" s="367" t="s">
        <v>169</v>
      </c>
      <c r="D89" s="367"/>
      <c r="E89" s="41">
        <v>0</v>
      </c>
      <c r="F89" s="41"/>
      <c r="G89" s="43">
        <v>16</v>
      </c>
      <c r="H89" s="41"/>
      <c r="I89" s="41"/>
      <c r="J89" s="44">
        <v>16</v>
      </c>
      <c r="K89" s="32">
        <f t="shared" si="28"/>
        <v>100</v>
      </c>
      <c r="L89" s="32">
        <f t="shared" si="29"/>
        <v>0</v>
      </c>
      <c r="M89" s="32">
        <f t="shared" si="30"/>
        <v>0</v>
      </c>
      <c r="N89" s="33">
        <f t="shared" si="26"/>
        <v>100</v>
      </c>
      <c r="O89" s="45">
        <v>54</v>
      </c>
      <c r="P89" s="46"/>
      <c r="Q89" s="46"/>
      <c r="R89" s="47">
        <f t="shared" si="27"/>
        <v>54</v>
      </c>
      <c r="S89" s="51">
        <v>2</v>
      </c>
      <c r="T89" s="284"/>
      <c r="U89" s="284"/>
      <c r="V89" s="37" t="s">
        <v>72</v>
      </c>
      <c r="W89" s="28" t="s">
        <v>74</v>
      </c>
      <c r="X89" s="28" t="s">
        <v>11</v>
      </c>
      <c r="Y89" s="38">
        <v>43.2</v>
      </c>
      <c r="Z89" s="28" t="s">
        <v>73</v>
      </c>
      <c r="AA89" s="28" t="s">
        <v>869</v>
      </c>
      <c r="AB89" s="28" t="s">
        <v>11</v>
      </c>
      <c r="AC89" s="28">
        <v>10.8</v>
      </c>
      <c r="AD89" s="37"/>
      <c r="AE89" s="28"/>
      <c r="AF89" s="28"/>
      <c r="AG89" s="38"/>
      <c r="AH89" s="28"/>
      <c r="AI89" s="28"/>
      <c r="AJ89" s="28"/>
      <c r="AK89" s="28"/>
      <c r="AL89" s="37"/>
      <c r="AM89" s="28"/>
      <c r="AN89" s="28"/>
      <c r="AO89" s="38"/>
      <c r="AP89" s="37"/>
      <c r="AQ89" s="28"/>
      <c r="AR89" s="28"/>
      <c r="AS89" s="38"/>
      <c r="AT89" s="28"/>
      <c r="AW89" s="38"/>
      <c r="BA89" s="167"/>
    </row>
    <row r="90" spans="1:53" s="50" customFormat="1" x14ac:dyDescent="0.15">
      <c r="A90" s="41">
        <v>1999</v>
      </c>
      <c r="B90" s="277"/>
      <c r="C90" s="367" t="s">
        <v>169</v>
      </c>
      <c r="D90" s="367"/>
      <c r="E90" s="41">
        <f>365-E89</f>
        <v>365</v>
      </c>
      <c r="F90" s="41"/>
      <c r="G90" s="43">
        <v>16</v>
      </c>
      <c r="H90" s="41"/>
      <c r="I90" s="41"/>
      <c r="J90" s="44">
        <v>16</v>
      </c>
      <c r="K90" s="32">
        <f t="shared" si="28"/>
        <v>100</v>
      </c>
      <c r="L90" s="32">
        <f t="shared" si="29"/>
        <v>0</v>
      </c>
      <c r="M90" s="32">
        <f t="shared" si="30"/>
        <v>0</v>
      </c>
      <c r="N90" s="33">
        <f t="shared" si="26"/>
        <v>100</v>
      </c>
      <c r="O90" s="45">
        <v>54</v>
      </c>
      <c r="P90" s="46"/>
      <c r="Q90" s="46"/>
      <c r="R90" s="47">
        <f t="shared" si="27"/>
        <v>54</v>
      </c>
      <c r="S90" s="51">
        <v>2</v>
      </c>
      <c r="T90" s="284"/>
      <c r="U90" s="284"/>
      <c r="V90" s="37" t="s">
        <v>72</v>
      </c>
      <c r="W90" s="28" t="s">
        <v>74</v>
      </c>
      <c r="X90" s="28" t="s">
        <v>11</v>
      </c>
      <c r="Y90" s="38">
        <v>43.2</v>
      </c>
      <c r="Z90" s="28" t="s">
        <v>73</v>
      </c>
      <c r="AA90" s="28" t="s">
        <v>869</v>
      </c>
      <c r="AB90" s="28" t="s">
        <v>11</v>
      </c>
      <c r="AC90" s="28">
        <v>10.8</v>
      </c>
      <c r="AD90" s="37"/>
      <c r="AE90" s="28"/>
      <c r="AF90" s="28"/>
      <c r="AG90" s="38"/>
      <c r="AH90" s="28"/>
      <c r="AI90" s="28"/>
      <c r="AJ90" s="28"/>
      <c r="AK90" s="28"/>
      <c r="AL90" s="37"/>
      <c r="AM90" s="28"/>
      <c r="AN90" s="28"/>
      <c r="AO90" s="38"/>
      <c r="AP90" s="37"/>
      <c r="AQ90" s="28"/>
      <c r="AR90" s="28"/>
      <c r="AS90" s="38"/>
      <c r="AT90" s="28"/>
      <c r="AW90" s="38"/>
      <c r="BA90" s="167"/>
    </row>
    <row r="91" spans="1:53" s="50" customFormat="1" x14ac:dyDescent="0.15">
      <c r="A91" s="41">
        <v>2000</v>
      </c>
      <c r="B91" s="277"/>
      <c r="C91" s="367" t="s">
        <v>169</v>
      </c>
      <c r="D91" s="367"/>
      <c r="E91" s="41">
        <v>0</v>
      </c>
      <c r="F91" s="41"/>
      <c r="G91" s="43">
        <v>16</v>
      </c>
      <c r="H91" s="41"/>
      <c r="I91" s="41"/>
      <c r="J91" s="44">
        <v>16</v>
      </c>
      <c r="K91" s="32">
        <f t="shared" si="28"/>
        <v>100</v>
      </c>
      <c r="L91" s="32">
        <f t="shared" si="29"/>
        <v>0</v>
      </c>
      <c r="M91" s="32">
        <f t="shared" si="30"/>
        <v>0</v>
      </c>
      <c r="N91" s="33">
        <f t="shared" si="26"/>
        <v>100</v>
      </c>
      <c r="O91" s="45">
        <v>54</v>
      </c>
      <c r="P91" s="46"/>
      <c r="Q91" s="46"/>
      <c r="R91" s="47">
        <f t="shared" si="27"/>
        <v>54</v>
      </c>
      <c r="S91" s="51">
        <v>2</v>
      </c>
      <c r="T91" s="284"/>
      <c r="U91" s="284"/>
      <c r="V91" s="37" t="s">
        <v>72</v>
      </c>
      <c r="W91" s="28" t="s">
        <v>74</v>
      </c>
      <c r="X91" s="28" t="s">
        <v>11</v>
      </c>
      <c r="Y91" s="38">
        <v>43.2</v>
      </c>
      <c r="Z91" s="28" t="s">
        <v>73</v>
      </c>
      <c r="AA91" s="28" t="s">
        <v>869</v>
      </c>
      <c r="AB91" s="28" t="s">
        <v>11</v>
      </c>
      <c r="AC91" s="28">
        <v>10.8</v>
      </c>
      <c r="AD91" s="37"/>
      <c r="AE91" s="28"/>
      <c r="AF91" s="28"/>
      <c r="AG91" s="38"/>
      <c r="AH91" s="28"/>
      <c r="AI91" s="28"/>
      <c r="AJ91" s="28"/>
      <c r="AK91" s="28"/>
      <c r="AL91" s="37"/>
      <c r="AM91" s="28"/>
      <c r="AN91" s="28"/>
      <c r="AO91" s="38"/>
      <c r="AP91" s="37"/>
      <c r="AQ91" s="28"/>
      <c r="AR91" s="28"/>
      <c r="AS91" s="38"/>
      <c r="AT91" s="28"/>
      <c r="AW91" s="38"/>
      <c r="BA91" s="167"/>
    </row>
    <row r="92" spans="1:53" s="50" customFormat="1" x14ac:dyDescent="0.15">
      <c r="A92" s="41">
        <v>2000</v>
      </c>
      <c r="B92" s="277"/>
      <c r="C92" s="367" t="s">
        <v>169</v>
      </c>
      <c r="D92" s="367"/>
      <c r="E92" s="41">
        <v>366</v>
      </c>
      <c r="F92" s="41"/>
      <c r="G92" s="43">
        <v>16</v>
      </c>
      <c r="H92" s="41"/>
      <c r="I92" s="41"/>
      <c r="J92" s="44">
        <v>16</v>
      </c>
      <c r="K92" s="32">
        <f t="shared" si="28"/>
        <v>100</v>
      </c>
      <c r="L92" s="32">
        <f t="shared" si="29"/>
        <v>0</v>
      </c>
      <c r="M92" s="32">
        <f t="shared" si="30"/>
        <v>0</v>
      </c>
      <c r="N92" s="33">
        <f t="shared" si="26"/>
        <v>100</v>
      </c>
      <c r="O92" s="45">
        <v>54</v>
      </c>
      <c r="P92" s="46"/>
      <c r="Q92" s="46"/>
      <c r="R92" s="47">
        <f t="shared" si="27"/>
        <v>54</v>
      </c>
      <c r="S92" s="51">
        <v>2</v>
      </c>
      <c r="T92" s="284"/>
      <c r="U92" s="284"/>
      <c r="V92" s="37" t="s">
        <v>72</v>
      </c>
      <c r="W92" s="28" t="s">
        <v>74</v>
      </c>
      <c r="X92" s="28" t="s">
        <v>11</v>
      </c>
      <c r="Y92" s="38">
        <v>43.2</v>
      </c>
      <c r="Z92" s="28" t="s">
        <v>73</v>
      </c>
      <c r="AA92" s="28" t="s">
        <v>869</v>
      </c>
      <c r="AB92" s="28" t="s">
        <v>11</v>
      </c>
      <c r="AC92" s="28">
        <v>10.8</v>
      </c>
      <c r="AD92" s="37"/>
      <c r="AE92" s="28"/>
      <c r="AF92" s="28"/>
      <c r="AG92" s="38"/>
      <c r="AH92" s="28"/>
      <c r="AI92" s="28"/>
      <c r="AJ92" s="28"/>
      <c r="AK92" s="28"/>
      <c r="AL92" s="37"/>
      <c r="AM92" s="28"/>
      <c r="AN92" s="28"/>
      <c r="AO92" s="38"/>
      <c r="AP92" s="37"/>
      <c r="AQ92" s="28"/>
      <c r="AR92" s="28"/>
      <c r="AS92" s="38"/>
      <c r="AT92" s="28"/>
      <c r="AW92" s="38"/>
      <c r="BA92" s="167"/>
    </row>
    <row r="93" spans="1:53" s="50" customFormat="1" x14ac:dyDescent="0.15">
      <c r="A93" s="41">
        <v>2001</v>
      </c>
      <c r="B93" s="277"/>
      <c r="C93" s="367" t="s">
        <v>169</v>
      </c>
      <c r="D93" s="367"/>
      <c r="E93" s="41">
        <v>329</v>
      </c>
      <c r="F93" s="41"/>
      <c r="G93" s="43">
        <v>16</v>
      </c>
      <c r="H93" s="41"/>
      <c r="I93" s="41"/>
      <c r="J93" s="44">
        <v>16</v>
      </c>
      <c r="K93" s="32">
        <f t="shared" si="28"/>
        <v>100</v>
      </c>
      <c r="L93" s="32">
        <f t="shared" si="29"/>
        <v>0</v>
      </c>
      <c r="M93" s="32">
        <f t="shared" si="30"/>
        <v>0</v>
      </c>
      <c r="N93" s="33">
        <f t="shared" si="26"/>
        <v>100</v>
      </c>
      <c r="O93" s="45">
        <v>54</v>
      </c>
      <c r="P93" s="46"/>
      <c r="Q93" s="46"/>
      <c r="R93" s="47">
        <f t="shared" si="27"/>
        <v>54</v>
      </c>
      <c r="S93" s="51">
        <v>2</v>
      </c>
      <c r="T93" s="284"/>
      <c r="U93" s="284"/>
      <c r="V93" s="37" t="s">
        <v>72</v>
      </c>
      <c r="W93" s="28" t="s">
        <v>74</v>
      </c>
      <c r="X93" s="28" t="s">
        <v>11</v>
      </c>
      <c r="Y93" s="38">
        <v>43.2</v>
      </c>
      <c r="Z93" s="28" t="s">
        <v>73</v>
      </c>
      <c r="AA93" s="28" t="s">
        <v>869</v>
      </c>
      <c r="AB93" s="28" t="s">
        <v>11</v>
      </c>
      <c r="AC93" s="28">
        <v>10.8</v>
      </c>
      <c r="AD93" s="37"/>
      <c r="AE93" s="28"/>
      <c r="AF93" s="28"/>
      <c r="AG93" s="38"/>
      <c r="AH93" s="28"/>
      <c r="AI93" s="28"/>
      <c r="AJ93" s="28"/>
      <c r="AK93" s="28"/>
      <c r="AL93" s="37"/>
      <c r="AM93" s="28"/>
      <c r="AN93" s="28"/>
      <c r="AO93" s="38"/>
      <c r="AP93" s="37"/>
      <c r="AQ93" s="28"/>
      <c r="AR93" s="28"/>
      <c r="AS93" s="38"/>
      <c r="AT93" s="28"/>
      <c r="AW93" s="38"/>
      <c r="BA93" s="167"/>
    </row>
    <row r="94" spans="1:53" s="216" customFormat="1" x14ac:dyDescent="0.15">
      <c r="A94" s="115">
        <v>2001</v>
      </c>
      <c r="B94" s="276">
        <v>37221</v>
      </c>
      <c r="C94" s="366" t="s">
        <v>170</v>
      </c>
      <c r="D94" s="366"/>
      <c r="E94" s="115">
        <f>365-E93</f>
        <v>36</v>
      </c>
      <c r="F94" s="115">
        <v>1</v>
      </c>
      <c r="G94" s="210">
        <v>16</v>
      </c>
      <c r="H94" s="115"/>
      <c r="I94" s="115"/>
      <c r="J94" s="211">
        <v>16</v>
      </c>
      <c r="K94" s="173">
        <f t="shared" si="28"/>
        <v>100</v>
      </c>
      <c r="L94" s="173">
        <f t="shared" si="29"/>
        <v>0</v>
      </c>
      <c r="M94" s="173">
        <f t="shared" si="30"/>
        <v>0</v>
      </c>
      <c r="N94" s="174">
        <f t="shared" si="26"/>
        <v>100</v>
      </c>
      <c r="O94" s="212">
        <v>54.7</v>
      </c>
      <c r="P94" s="213"/>
      <c r="Q94" s="213"/>
      <c r="R94" s="214">
        <f t="shared" si="27"/>
        <v>54.7</v>
      </c>
      <c r="S94" s="215">
        <v>2</v>
      </c>
      <c r="T94" s="283">
        <v>37205</v>
      </c>
      <c r="U94" s="283">
        <v>37221</v>
      </c>
      <c r="V94" s="177" t="s">
        <v>72</v>
      </c>
      <c r="W94" s="170" t="s">
        <v>74</v>
      </c>
      <c r="X94" s="170" t="s">
        <v>11</v>
      </c>
      <c r="Y94" s="178">
        <v>46</v>
      </c>
      <c r="Z94" s="170" t="s">
        <v>73</v>
      </c>
      <c r="AA94" s="170" t="s">
        <v>869</v>
      </c>
      <c r="AB94" s="170" t="s">
        <v>11</v>
      </c>
      <c r="AC94" s="170">
        <v>8.6999999999999993</v>
      </c>
      <c r="AD94" s="177"/>
      <c r="AE94" s="170"/>
      <c r="AF94" s="170"/>
      <c r="AG94" s="178"/>
      <c r="AH94" s="170"/>
      <c r="AI94" s="170"/>
      <c r="AJ94" s="170"/>
      <c r="AK94" s="170"/>
      <c r="AL94" s="177"/>
      <c r="AM94" s="170"/>
      <c r="AN94" s="170"/>
      <c r="AO94" s="178"/>
      <c r="AP94" s="177"/>
      <c r="AQ94" s="170"/>
      <c r="AR94" s="170"/>
      <c r="AS94" s="178"/>
      <c r="AT94" s="170"/>
      <c r="AW94" s="178"/>
      <c r="BA94" s="217"/>
    </row>
    <row r="95" spans="1:53" s="216" customFormat="1" x14ac:dyDescent="0.15">
      <c r="A95" s="115">
        <v>2002</v>
      </c>
      <c r="B95" s="276"/>
      <c r="C95" s="366" t="s">
        <v>170</v>
      </c>
      <c r="D95" s="366"/>
      <c r="E95" s="115">
        <v>0</v>
      </c>
      <c r="F95" s="115"/>
      <c r="G95" s="210">
        <v>16</v>
      </c>
      <c r="H95" s="115"/>
      <c r="I95" s="115"/>
      <c r="J95" s="211">
        <v>16</v>
      </c>
      <c r="K95" s="173">
        <f t="shared" si="28"/>
        <v>100</v>
      </c>
      <c r="L95" s="173">
        <f t="shared" si="29"/>
        <v>0</v>
      </c>
      <c r="M95" s="173">
        <f t="shared" si="30"/>
        <v>0</v>
      </c>
      <c r="N95" s="174">
        <f t="shared" si="26"/>
        <v>100</v>
      </c>
      <c r="O95" s="212">
        <v>54.7</v>
      </c>
      <c r="P95" s="213"/>
      <c r="Q95" s="213"/>
      <c r="R95" s="214">
        <f t="shared" si="27"/>
        <v>54.7</v>
      </c>
      <c r="S95" s="215">
        <v>2</v>
      </c>
      <c r="T95" s="283"/>
      <c r="U95" s="283"/>
      <c r="V95" s="177" t="s">
        <v>72</v>
      </c>
      <c r="W95" s="170" t="s">
        <v>74</v>
      </c>
      <c r="X95" s="170" t="s">
        <v>11</v>
      </c>
      <c r="Y95" s="178">
        <v>46</v>
      </c>
      <c r="Z95" s="170" t="s">
        <v>73</v>
      </c>
      <c r="AA95" s="170" t="s">
        <v>869</v>
      </c>
      <c r="AB95" s="170" t="s">
        <v>11</v>
      </c>
      <c r="AC95" s="170">
        <v>8.6999999999999993</v>
      </c>
      <c r="AD95" s="177"/>
      <c r="AE95" s="170"/>
      <c r="AF95" s="170"/>
      <c r="AG95" s="178"/>
      <c r="AH95" s="170"/>
      <c r="AI95" s="170"/>
      <c r="AJ95" s="170"/>
      <c r="AK95" s="170"/>
      <c r="AL95" s="177"/>
      <c r="AM95" s="170"/>
      <c r="AN95" s="170"/>
      <c r="AO95" s="178"/>
      <c r="AP95" s="177"/>
      <c r="AQ95" s="170"/>
      <c r="AR95" s="170"/>
      <c r="AS95" s="178"/>
      <c r="AT95" s="170"/>
      <c r="AW95" s="178"/>
      <c r="BA95" s="217"/>
    </row>
    <row r="96" spans="1:53" s="216" customFormat="1" x14ac:dyDescent="0.15">
      <c r="A96" s="115">
        <v>2002</v>
      </c>
      <c r="B96" s="276"/>
      <c r="C96" s="366" t="s">
        <v>170</v>
      </c>
      <c r="D96" s="366"/>
      <c r="E96" s="115">
        <f>365-E95</f>
        <v>365</v>
      </c>
      <c r="F96" s="115"/>
      <c r="G96" s="210">
        <v>16</v>
      </c>
      <c r="H96" s="115"/>
      <c r="I96" s="115"/>
      <c r="J96" s="211">
        <v>16</v>
      </c>
      <c r="K96" s="173">
        <f t="shared" si="28"/>
        <v>100</v>
      </c>
      <c r="L96" s="173">
        <f t="shared" si="29"/>
        <v>0</v>
      </c>
      <c r="M96" s="173">
        <f t="shared" si="30"/>
        <v>0</v>
      </c>
      <c r="N96" s="174">
        <f t="shared" si="26"/>
        <v>100</v>
      </c>
      <c r="O96" s="212">
        <v>54.7</v>
      </c>
      <c r="P96" s="213"/>
      <c r="Q96" s="213"/>
      <c r="R96" s="214">
        <f t="shared" si="27"/>
        <v>54.7</v>
      </c>
      <c r="S96" s="215">
        <v>2</v>
      </c>
      <c r="T96" s="283"/>
      <c r="U96" s="283"/>
      <c r="V96" s="177" t="s">
        <v>72</v>
      </c>
      <c r="W96" s="170" t="s">
        <v>74</v>
      </c>
      <c r="X96" s="170" t="s">
        <v>11</v>
      </c>
      <c r="Y96" s="178">
        <v>46</v>
      </c>
      <c r="Z96" s="170" t="s">
        <v>73</v>
      </c>
      <c r="AA96" s="170" t="s">
        <v>869</v>
      </c>
      <c r="AB96" s="170" t="s">
        <v>11</v>
      </c>
      <c r="AC96" s="170">
        <v>8.6999999999999993</v>
      </c>
      <c r="AD96" s="177"/>
      <c r="AE96" s="170"/>
      <c r="AF96" s="170"/>
      <c r="AG96" s="178"/>
      <c r="AH96" s="170"/>
      <c r="AI96" s="170"/>
      <c r="AJ96" s="170"/>
      <c r="AK96" s="170"/>
      <c r="AL96" s="177"/>
      <c r="AM96" s="170"/>
      <c r="AN96" s="170"/>
      <c r="AO96" s="178"/>
      <c r="AP96" s="177"/>
      <c r="AQ96" s="170"/>
      <c r="AR96" s="170"/>
      <c r="AS96" s="178"/>
      <c r="AT96" s="170"/>
      <c r="AW96" s="178"/>
      <c r="BA96" s="217"/>
    </row>
    <row r="97" spans="1:53" s="216" customFormat="1" x14ac:dyDescent="0.15">
      <c r="A97" s="115">
        <v>2003</v>
      </c>
      <c r="B97" s="276"/>
      <c r="C97" s="366" t="s">
        <v>170</v>
      </c>
      <c r="D97" s="366"/>
      <c r="E97" s="115">
        <v>0</v>
      </c>
      <c r="F97" s="115"/>
      <c r="G97" s="210">
        <v>16</v>
      </c>
      <c r="H97" s="115"/>
      <c r="I97" s="115"/>
      <c r="J97" s="211">
        <v>16</v>
      </c>
      <c r="K97" s="173">
        <f t="shared" si="28"/>
        <v>100</v>
      </c>
      <c r="L97" s="173">
        <f t="shared" si="29"/>
        <v>0</v>
      </c>
      <c r="M97" s="173">
        <f t="shared" si="30"/>
        <v>0</v>
      </c>
      <c r="N97" s="174">
        <f t="shared" si="26"/>
        <v>100</v>
      </c>
      <c r="O97" s="212">
        <v>54.7</v>
      </c>
      <c r="P97" s="213"/>
      <c r="Q97" s="213"/>
      <c r="R97" s="214">
        <f t="shared" si="27"/>
        <v>54.7</v>
      </c>
      <c r="S97" s="215">
        <v>2</v>
      </c>
      <c r="T97" s="283"/>
      <c r="U97" s="283"/>
      <c r="V97" s="177" t="s">
        <v>72</v>
      </c>
      <c r="W97" s="170" t="s">
        <v>74</v>
      </c>
      <c r="X97" s="170" t="s">
        <v>11</v>
      </c>
      <c r="Y97" s="178">
        <v>46</v>
      </c>
      <c r="Z97" s="170" t="s">
        <v>73</v>
      </c>
      <c r="AA97" s="170" t="s">
        <v>869</v>
      </c>
      <c r="AB97" s="170" t="s">
        <v>11</v>
      </c>
      <c r="AC97" s="170">
        <v>8.6999999999999993</v>
      </c>
      <c r="AD97" s="177"/>
      <c r="AE97" s="170"/>
      <c r="AF97" s="170"/>
      <c r="AG97" s="178"/>
      <c r="AH97" s="170"/>
      <c r="AI97" s="170"/>
      <c r="AJ97" s="170"/>
      <c r="AK97" s="170"/>
      <c r="AL97" s="177"/>
      <c r="AM97" s="170"/>
      <c r="AN97" s="170"/>
      <c r="AO97" s="178"/>
      <c r="AP97" s="177"/>
      <c r="AQ97" s="170"/>
      <c r="AR97" s="170"/>
      <c r="AS97" s="178"/>
      <c r="AT97" s="170"/>
      <c r="AW97" s="178"/>
      <c r="BA97" s="217"/>
    </row>
    <row r="98" spans="1:53" s="216" customFormat="1" x14ac:dyDescent="0.15">
      <c r="A98" s="115">
        <v>2003</v>
      </c>
      <c r="B98" s="276"/>
      <c r="C98" s="366" t="s">
        <v>170</v>
      </c>
      <c r="D98" s="366"/>
      <c r="E98" s="115">
        <f>365-E97</f>
        <v>365</v>
      </c>
      <c r="F98" s="115"/>
      <c r="G98" s="210">
        <v>16</v>
      </c>
      <c r="H98" s="115"/>
      <c r="I98" s="115"/>
      <c r="J98" s="211">
        <v>16</v>
      </c>
      <c r="K98" s="173">
        <f t="shared" si="28"/>
        <v>100</v>
      </c>
      <c r="L98" s="173">
        <f t="shared" si="29"/>
        <v>0</v>
      </c>
      <c r="M98" s="173">
        <f t="shared" si="30"/>
        <v>0</v>
      </c>
      <c r="N98" s="174">
        <f t="shared" si="26"/>
        <v>100</v>
      </c>
      <c r="O98" s="212">
        <v>54.7</v>
      </c>
      <c r="P98" s="213"/>
      <c r="Q98" s="213"/>
      <c r="R98" s="214">
        <f t="shared" si="27"/>
        <v>54.7</v>
      </c>
      <c r="S98" s="215">
        <v>2</v>
      </c>
      <c r="T98" s="283"/>
      <c r="U98" s="283"/>
      <c r="V98" s="177" t="s">
        <v>72</v>
      </c>
      <c r="W98" s="170" t="s">
        <v>74</v>
      </c>
      <c r="X98" s="170" t="s">
        <v>11</v>
      </c>
      <c r="Y98" s="178">
        <v>46</v>
      </c>
      <c r="Z98" s="170" t="s">
        <v>73</v>
      </c>
      <c r="AA98" s="170" t="s">
        <v>869</v>
      </c>
      <c r="AB98" s="170" t="s">
        <v>11</v>
      </c>
      <c r="AC98" s="170">
        <v>8.6999999999999993</v>
      </c>
      <c r="AD98" s="177"/>
      <c r="AE98" s="170"/>
      <c r="AF98" s="170"/>
      <c r="AG98" s="178"/>
      <c r="AH98" s="170"/>
      <c r="AI98" s="170"/>
      <c r="AJ98" s="170"/>
      <c r="AK98" s="170"/>
      <c r="AL98" s="177"/>
      <c r="AM98" s="170"/>
      <c r="AN98" s="170"/>
      <c r="AO98" s="178"/>
      <c r="AP98" s="177"/>
      <c r="AQ98" s="170"/>
      <c r="AR98" s="170"/>
      <c r="AS98" s="178"/>
      <c r="AT98" s="170"/>
      <c r="AW98" s="178"/>
      <c r="BA98" s="217"/>
    </row>
    <row r="99" spans="1:53" s="216" customFormat="1" x14ac:dyDescent="0.15">
      <c r="A99" s="115">
        <v>2004</v>
      </c>
      <c r="B99" s="276"/>
      <c r="C99" s="366" t="s">
        <v>170</v>
      </c>
      <c r="D99" s="366"/>
      <c r="E99" s="115">
        <v>299</v>
      </c>
      <c r="F99" s="115"/>
      <c r="G99" s="210">
        <v>17</v>
      </c>
      <c r="H99" s="115"/>
      <c r="I99" s="115"/>
      <c r="J99" s="211">
        <v>17</v>
      </c>
      <c r="K99" s="173">
        <f t="shared" ref="K99:K104" si="31">G99/J99*100</f>
        <v>100</v>
      </c>
      <c r="L99" s="173">
        <f t="shared" ref="L99:L104" si="32">H99/J99*100</f>
        <v>0</v>
      </c>
      <c r="M99" s="173">
        <f t="shared" ref="M99:M104" si="33">I99/J99*100</f>
        <v>0</v>
      </c>
      <c r="N99" s="174">
        <f t="shared" si="26"/>
        <v>100</v>
      </c>
      <c r="O99" s="212">
        <v>54.7</v>
      </c>
      <c r="P99" s="213"/>
      <c r="Q99" s="213"/>
      <c r="R99" s="214">
        <f t="shared" si="27"/>
        <v>54.7</v>
      </c>
      <c r="S99" s="215">
        <v>2</v>
      </c>
      <c r="T99" s="283"/>
      <c r="U99" s="283"/>
      <c r="V99" s="177" t="s">
        <v>72</v>
      </c>
      <c r="W99" s="170" t="s">
        <v>74</v>
      </c>
      <c r="X99" s="170" t="s">
        <v>11</v>
      </c>
      <c r="Y99" s="178">
        <v>46</v>
      </c>
      <c r="Z99" s="170" t="s">
        <v>73</v>
      </c>
      <c r="AA99" s="170" t="s">
        <v>869</v>
      </c>
      <c r="AB99" s="170" t="s">
        <v>11</v>
      </c>
      <c r="AC99" s="170">
        <v>8.6999999999999993</v>
      </c>
      <c r="AD99" s="177"/>
      <c r="AE99" s="170"/>
      <c r="AF99" s="170"/>
      <c r="AG99" s="178"/>
      <c r="AH99" s="170"/>
      <c r="AI99" s="170"/>
      <c r="AJ99" s="170"/>
      <c r="AK99" s="170"/>
      <c r="AL99" s="177"/>
      <c r="AM99" s="170"/>
      <c r="AN99" s="170"/>
      <c r="AO99" s="178"/>
      <c r="AP99" s="177"/>
      <c r="AQ99" s="170"/>
      <c r="AR99" s="170"/>
      <c r="AS99" s="178"/>
      <c r="AT99" s="170"/>
      <c r="AW99" s="178"/>
      <c r="BA99" s="217"/>
    </row>
    <row r="100" spans="1:53" s="50" customFormat="1" x14ac:dyDescent="0.15">
      <c r="A100" s="41">
        <v>2004</v>
      </c>
      <c r="B100" s="277">
        <v>38286</v>
      </c>
      <c r="C100" s="367" t="s">
        <v>171</v>
      </c>
      <c r="D100" s="367"/>
      <c r="E100" s="41">
        <v>67</v>
      </c>
      <c r="F100" s="41">
        <v>1</v>
      </c>
      <c r="G100" s="43">
        <v>17</v>
      </c>
      <c r="H100" s="41"/>
      <c r="I100" s="41"/>
      <c r="J100" s="44">
        <v>17</v>
      </c>
      <c r="K100" s="32">
        <f t="shared" si="31"/>
        <v>100</v>
      </c>
      <c r="L100" s="32">
        <f t="shared" si="32"/>
        <v>0</v>
      </c>
      <c r="M100" s="32">
        <f t="shared" si="33"/>
        <v>0</v>
      </c>
      <c r="N100" s="33">
        <f t="shared" si="26"/>
        <v>100</v>
      </c>
      <c r="O100" s="45">
        <v>58</v>
      </c>
      <c r="P100" s="46"/>
      <c r="Q100" s="46"/>
      <c r="R100" s="47">
        <f t="shared" si="27"/>
        <v>58</v>
      </c>
      <c r="S100" s="51">
        <v>2</v>
      </c>
      <c r="T100" s="284">
        <v>38269</v>
      </c>
      <c r="U100" s="284">
        <v>38286</v>
      </c>
      <c r="V100" s="37" t="s">
        <v>72</v>
      </c>
      <c r="W100" s="28" t="s">
        <v>74</v>
      </c>
      <c r="X100" s="28" t="s">
        <v>11</v>
      </c>
      <c r="Y100" s="38">
        <v>50</v>
      </c>
      <c r="Z100" s="28" t="s">
        <v>73</v>
      </c>
      <c r="AA100" s="28" t="s">
        <v>869</v>
      </c>
      <c r="AB100" s="28" t="s">
        <v>11</v>
      </c>
      <c r="AC100" s="28">
        <v>8</v>
      </c>
      <c r="AD100" s="37"/>
      <c r="AE100" s="28"/>
      <c r="AF100" s="28"/>
      <c r="AG100" s="38"/>
      <c r="AH100" s="28"/>
      <c r="AI100" s="28"/>
      <c r="AJ100" s="28"/>
      <c r="AK100" s="28"/>
      <c r="AL100" s="37"/>
      <c r="AM100" s="28"/>
      <c r="AN100" s="28"/>
      <c r="AO100" s="38"/>
      <c r="AP100" s="37"/>
      <c r="AQ100" s="28"/>
      <c r="AR100" s="28"/>
      <c r="AS100" s="38"/>
      <c r="AT100" s="28"/>
      <c r="AW100" s="38"/>
      <c r="BA100" s="167"/>
    </row>
    <row r="101" spans="1:53" s="64" customFormat="1" x14ac:dyDescent="0.15">
      <c r="A101" s="58">
        <v>2005</v>
      </c>
      <c r="B101" s="280"/>
      <c r="C101" s="367" t="s">
        <v>171</v>
      </c>
      <c r="D101" s="367"/>
      <c r="E101" s="58">
        <v>0</v>
      </c>
      <c r="F101" s="58"/>
      <c r="G101" s="59">
        <v>17</v>
      </c>
      <c r="H101" s="58"/>
      <c r="I101" s="58"/>
      <c r="J101" s="60">
        <v>17</v>
      </c>
      <c r="K101" s="32">
        <f t="shared" si="31"/>
        <v>100</v>
      </c>
      <c r="L101" s="32">
        <f t="shared" si="32"/>
        <v>0</v>
      </c>
      <c r="M101" s="32">
        <f t="shared" si="33"/>
        <v>0</v>
      </c>
      <c r="N101" s="33">
        <f t="shared" si="26"/>
        <v>100</v>
      </c>
      <c r="O101" s="45">
        <v>58</v>
      </c>
      <c r="P101" s="46"/>
      <c r="Q101" s="46"/>
      <c r="R101" s="47">
        <f t="shared" si="27"/>
        <v>58</v>
      </c>
      <c r="S101" s="51">
        <v>2</v>
      </c>
      <c r="T101" s="284"/>
      <c r="U101" s="284"/>
      <c r="V101" s="37" t="s">
        <v>72</v>
      </c>
      <c r="W101" s="28" t="s">
        <v>74</v>
      </c>
      <c r="X101" s="28" t="s">
        <v>11</v>
      </c>
      <c r="Y101" s="38">
        <v>50</v>
      </c>
      <c r="Z101" s="28" t="s">
        <v>73</v>
      </c>
      <c r="AA101" s="28" t="s">
        <v>869</v>
      </c>
      <c r="AB101" s="28" t="s">
        <v>11</v>
      </c>
      <c r="AC101" s="28">
        <v>8</v>
      </c>
      <c r="AD101" s="61"/>
      <c r="AE101" s="62"/>
      <c r="AF101" s="62"/>
      <c r="AG101" s="63"/>
      <c r="AH101" s="62"/>
      <c r="AI101" s="62"/>
      <c r="AJ101" s="62"/>
      <c r="AK101" s="62"/>
      <c r="AL101" s="61"/>
      <c r="AM101" s="62"/>
      <c r="AN101" s="62"/>
      <c r="AO101" s="63"/>
      <c r="AP101" s="61"/>
      <c r="AQ101" s="62"/>
      <c r="AR101" s="62"/>
      <c r="AS101" s="63"/>
      <c r="AT101" s="62"/>
      <c r="AW101" s="63"/>
      <c r="BA101" s="168"/>
    </row>
    <row r="102" spans="1:53" s="64" customFormat="1" x14ac:dyDescent="0.15">
      <c r="A102" s="58">
        <v>2005</v>
      </c>
      <c r="B102" s="280"/>
      <c r="C102" s="367" t="s">
        <v>171</v>
      </c>
      <c r="D102" s="367"/>
      <c r="E102" s="58">
        <v>365</v>
      </c>
      <c r="F102" s="58"/>
      <c r="G102" s="59">
        <v>17</v>
      </c>
      <c r="H102" s="58"/>
      <c r="I102" s="58"/>
      <c r="J102" s="60">
        <v>17</v>
      </c>
      <c r="K102" s="32">
        <f t="shared" si="31"/>
        <v>100</v>
      </c>
      <c r="L102" s="32">
        <f t="shared" si="32"/>
        <v>0</v>
      </c>
      <c r="M102" s="32">
        <f t="shared" si="33"/>
        <v>0</v>
      </c>
      <c r="N102" s="33">
        <f t="shared" si="26"/>
        <v>100</v>
      </c>
      <c r="O102" s="45">
        <v>58</v>
      </c>
      <c r="P102" s="46"/>
      <c r="Q102" s="46"/>
      <c r="R102" s="47">
        <f t="shared" si="27"/>
        <v>58</v>
      </c>
      <c r="S102" s="51">
        <v>2</v>
      </c>
      <c r="T102" s="284"/>
      <c r="U102" s="284"/>
      <c r="V102" s="37" t="s">
        <v>72</v>
      </c>
      <c r="W102" s="28" t="s">
        <v>74</v>
      </c>
      <c r="X102" s="28" t="s">
        <v>11</v>
      </c>
      <c r="Y102" s="38">
        <v>50</v>
      </c>
      <c r="Z102" s="28" t="s">
        <v>73</v>
      </c>
      <c r="AA102" s="28" t="s">
        <v>869</v>
      </c>
      <c r="AB102" s="28" t="s">
        <v>11</v>
      </c>
      <c r="AC102" s="28">
        <v>8</v>
      </c>
      <c r="AD102" s="61"/>
      <c r="AE102" s="62"/>
      <c r="AF102" s="62"/>
      <c r="AG102" s="63"/>
      <c r="AH102" s="62"/>
      <c r="AI102" s="62"/>
      <c r="AJ102" s="62"/>
      <c r="AK102" s="62"/>
      <c r="AL102" s="61"/>
      <c r="AM102" s="62"/>
      <c r="AN102" s="62"/>
      <c r="AO102" s="63"/>
      <c r="AP102" s="61"/>
      <c r="AQ102" s="62"/>
      <c r="AR102" s="62"/>
      <c r="AS102" s="63"/>
      <c r="AT102" s="62"/>
      <c r="AW102" s="63"/>
      <c r="BA102" s="168"/>
    </row>
    <row r="103" spans="1:53" s="62" customFormat="1" x14ac:dyDescent="0.15">
      <c r="A103" s="62">
        <v>2006</v>
      </c>
      <c r="B103" s="280"/>
      <c r="C103" s="367" t="s">
        <v>171</v>
      </c>
      <c r="D103" s="367"/>
      <c r="E103" s="58">
        <v>0</v>
      </c>
      <c r="F103" s="58"/>
      <c r="G103" s="59">
        <v>17</v>
      </c>
      <c r="H103" s="58"/>
      <c r="I103" s="58"/>
      <c r="J103" s="60">
        <v>17</v>
      </c>
      <c r="K103" s="32">
        <f t="shared" si="31"/>
        <v>100</v>
      </c>
      <c r="L103" s="32">
        <f t="shared" si="32"/>
        <v>0</v>
      </c>
      <c r="M103" s="32">
        <f t="shared" si="33"/>
        <v>0</v>
      </c>
      <c r="N103" s="33">
        <f t="shared" si="26"/>
        <v>100</v>
      </c>
      <c r="O103" s="45">
        <v>58</v>
      </c>
      <c r="P103" s="46"/>
      <c r="Q103" s="46"/>
      <c r="R103" s="47">
        <f t="shared" si="27"/>
        <v>58</v>
      </c>
      <c r="S103" s="51">
        <v>2</v>
      </c>
      <c r="T103" s="284"/>
      <c r="U103" s="284"/>
      <c r="V103" s="37" t="s">
        <v>72</v>
      </c>
      <c r="W103" s="28" t="s">
        <v>74</v>
      </c>
      <c r="X103" s="28" t="s">
        <v>11</v>
      </c>
      <c r="Y103" s="38">
        <v>50</v>
      </c>
      <c r="Z103" s="28" t="s">
        <v>73</v>
      </c>
      <c r="AA103" s="28" t="s">
        <v>869</v>
      </c>
      <c r="AB103" s="28" t="s">
        <v>11</v>
      </c>
      <c r="AC103" s="28">
        <v>8</v>
      </c>
      <c r="AD103" s="61"/>
      <c r="AG103" s="63"/>
      <c r="AL103" s="61"/>
      <c r="AO103" s="63"/>
      <c r="AP103" s="61"/>
      <c r="AS103" s="63"/>
      <c r="AW103" s="63"/>
      <c r="BA103" s="169"/>
    </row>
    <row r="104" spans="1:53" s="62" customFormat="1" x14ac:dyDescent="0.15">
      <c r="A104" s="62">
        <v>2006</v>
      </c>
      <c r="B104" s="280"/>
      <c r="C104" s="367" t="s">
        <v>171</v>
      </c>
      <c r="D104" s="367"/>
      <c r="E104" s="58">
        <v>365</v>
      </c>
      <c r="F104" s="58"/>
      <c r="G104" s="59">
        <v>17</v>
      </c>
      <c r="H104" s="58"/>
      <c r="I104" s="58"/>
      <c r="J104" s="60">
        <v>17</v>
      </c>
      <c r="K104" s="32">
        <f t="shared" si="31"/>
        <v>100</v>
      </c>
      <c r="L104" s="32">
        <f t="shared" si="32"/>
        <v>0</v>
      </c>
      <c r="M104" s="32">
        <f t="shared" si="33"/>
        <v>0</v>
      </c>
      <c r="N104" s="33">
        <f t="shared" si="26"/>
        <v>100</v>
      </c>
      <c r="O104" s="45">
        <v>58</v>
      </c>
      <c r="P104" s="46"/>
      <c r="Q104" s="46"/>
      <c r="R104" s="47">
        <f>SUM(O104:Q104)</f>
        <v>58</v>
      </c>
      <c r="S104" s="51">
        <v>2</v>
      </c>
      <c r="T104" s="284"/>
      <c r="U104" s="284"/>
      <c r="V104" s="37" t="s">
        <v>72</v>
      </c>
      <c r="W104" s="28" t="s">
        <v>74</v>
      </c>
      <c r="X104" s="28" t="s">
        <v>11</v>
      </c>
      <c r="Y104" s="38">
        <v>50</v>
      </c>
      <c r="Z104" s="28" t="s">
        <v>73</v>
      </c>
      <c r="AA104" s="28" t="s">
        <v>869</v>
      </c>
      <c r="AB104" s="28" t="s">
        <v>11</v>
      </c>
      <c r="AC104" s="28">
        <v>8</v>
      </c>
      <c r="AD104" s="61"/>
      <c r="AG104" s="63"/>
      <c r="AL104" s="61"/>
      <c r="AO104" s="63"/>
      <c r="AP104" s="61"/>
      <c r="AS104" s="63"/>
      <c r="AW104" s="63"/>
      <c r="BA104" s="169"/>
    </row>
    <row r="105" spans="1:53" s="62" customFormat="1" x14ac:dyDescent="0.15">
      <c r="A105" s="41">
        <v>2007</v>
      </c>
      <c r="B105" s="277"/>
      <c r="C105" s="367" t="s">
        <v>171</v>
      </c>
      <c r="D105" s="367"/>
      <c r="E105" s="41">
        <v>336</v>
      </c>
      <c r="F105" s="41"/>
      <c r="G105" s="43">
        <v>17</v>
      </c>
      <c r="H105" s="41"/>
      <c r="I105" s="41"/>
      <c r="J105" s="44">
        <v>17</v>
      </c>
      <c r="K105" s="32">
        <f t="shared" ref="K105:K128" si="34">G105/J105*100</f>
        <v>100</v>
      </c>
      <c r="L105" s="32">
        <f t="shared" ref="L105:L126" si="35">H105/J105*100</f>
        <v>0</v>
      </c>
      <c r="M105" s="32">
        <f t="shared" ref="M105:M126" si="36">I105/J105*100</f>
        <v>0</v>
      </c>
      <c r="N105" s="33">
        <f t="shared" si="26"/>
        <v>100</v>
      </c>
      <c r="O105" s="45">
        <v>58</v>
      </c>
      <c r="P105" s="46"/>
      <c r="Q105" s="46"/>
      <c r="R105" s="47">
        <f t="shared" si="27"/>
        <v>58</v>
      </c>
      <c r="S105" s="51">
        <v>2</v>
      </c>
      <c r="T105" s="284"/>
      <c r="U105" s="284"/>
      <c r="V105" s="37" t="s">
        <v>72</v>
      </c>
      <c r="W105" s="28" t="s">
        <v>74</v>
      </c>
      <c r="X105" s="28" t="s">
        <v>11</v>
      </c>
      <c r="Y105" s="38">
        <v>50</v>
      </c>
      <c r="Z105" s="28" t="s">
        <v>73</v>
      </c>
      <c r="AA105" s="28" t="s">
        <v>869</v>
      </c>
      <c r="AB105" s="28" t="s">
        <v>11</v>
      </c>
      <c r="AC105" s="28">
        <v>8</v>
      </c>
      <c r="AD105" s="61"/>
      <c r="AG105" s="63"/>
      <c r="AL105" s="61"/>
      <c r="AO105" s="63"/>
      <c r="AP105" s="61"/>
      <c r="AS105" s="63"/>
      <c r="AW105" s="63"/>
      <c r="BA105" s="169"/>
    </row>
    <row r="106" spans="1:53" s="228" customFormat="1" x14ac:dyDescent="0.15">
      <c r="A106" s="115">
        <v>2007</v>
      </c>
      <c r="B106" s="276">
        <v>39419</v>
      </c>
      <c r="C106" s="366" t="s">
        <v>172</v>
      </c>
      <c r="D106" s="366"/>
      <c r="E106" s="115">
        <f>365-E105</f>
        <v>29</v>
      </c>
      <c r="F106" s="115">
        <v>1</v>
      </c>
      <c r="G106" s="210"/>
      <c r="H106" s="115"/>
      <c r="I106" s="115">
        <v>20</v>
      </c>
      <c r="J106" s="211">
        <v>20</v>
      </c>
      <c r="K106" s="173">
        <f t="shared" si="34"/>
        <v>0</v>
      </c>
      <c r="L106" s="173">
        <f t="shared" si="35"/>
        <v>0</v>
      </c>
      <c r="M106" s="173">
        <f t="shared" si="36"/>
        <v>100</v>
      </c>
      <c r="N106" s="174">
        <f t="shared" si="26"/>
        <v>100</v>
      </c>
      <c r="O106" s="212"/>
      <c r="P106" s="213"/>
      <c r="Q106" s="213">
        <v>55.3</v>
      </c>
      <c r="R106" s="214">
        <f t="shared" si="27"/>
        <v>55.3</v>
      </c>
      <c r="S106" s="215">
        <v>1</v>
      </c>
      <c r="T106" s="283">
        <v>39410</v>
      </c>
      <c r="U106" s="283">
        <v>39419</v>
      </c>
      <c r="V106" s="177" t="s">
        <v>77</v>
      </c>
      <c r="W106" s="170" t="s">
        <v>20</v>
      </c>
      <c r="X106" s="170" t="s">
        <v>12</v>
      </c>
      <c r="Y106" s="178">
        <v>55.3</v>
      </c>
      <c r="AD106" s="229"/>
      <c r="AG106" s="230"/>
      <c r="AL106" s="229"/>
      <c r="AO106" s="230"/>
      <c r="AP106" s="229"/>
      <c r="AS106" s="230"/>
      <c r="AW106" s="230"/>
      <c r="BA106" s="231"/>
    </row>
    <row r="107" spans="1:53" s="216" customFormat="1" x14ac:dyDescent="0.15">
      <c r="A107" s="115">
        <v>2008</v>
      </c>
      <c r="B107" s="276"/>
      <c r="C107" s="366" t="s">
        <v>172</v>
      </c>
      <c r="D107" s="366"/>
      <c r="E107" s="115">
        <v>0</v>
      </c>
      <c r="F107" s="115"/>
      <c r="G107" s="210"/>
      <c r="H107" s="115"/>
      <c r="I107" s="115">
        <v>20</v>
      </c>
      <c r="J107" s="211">
        <v>20</v>
      </c>
      <c r="K107" s="173">
        <f t="shared" si="34"/>
        <v>0</v>
      </c>
      <c r="L107" s="173">
        <f t="shared" si="35"/>
        <v>0</v>
      </c>
      <c r="M107" s="173">
        <f t="shared" si="36"/>
        <v>100</v>
      </c>
      <c r="N107" s="174">
        <f t="shared" si="26"/>
        <v>100</v>
      </c>
      <c r="O107" s="212"/>
      <c r="P107" s="213"/>
      <c r="Q107" s="213">
        <v>55.3</v>
      </c>
      <c r="R107" s="214">
        <f t="shared" si="27"/>
        <v>55.3</v>
      </c>
      <c r="S107" s="215">
        <v>1</v>
      </c>
      <c r="T107" s="283"/>
      <c r="U107" s="283"/>
      <c r="V107" s="177" t="s">
        <v>77</v>
      </c>
      <c r="W107" s="170" t="s">
        <v>20</v>
      </c>
      <c r="X107" s="170" t="s">
        <v>12</v>
      </c>
      <c r="Y107" s="178">
        <v>55.3</v>
      </c>
      <c r="Z107" s="170"/>
      <c r="AA107" s="170"/>
      <c r="AB107" s="170"/>
      <c r="AC107" s="170"/>
      <c r="AD107" s="177"/>
      <c r="AE107" s="170"/>
      <c r="AF107" s="170"/>
      <c r="AG107" s="178"/>
      <c r="AH107" s="170"/>
      <c r="AI107" s="170"/>
      <c r="AJ107" s="170"/>
      <c r="AK107" s="170"/>
      <c r="AL107" s="177"/>
      <c r="AM107" s="170"/>
      <c r="AN107" s="170"/>
      <c r="AO107" s="178"/>
      <c r="AP107" s="177"/>
      <c r="AQ107" s="170"/>
      <c r="AR107" s="170"/>
      <c r="AS107" s="178"/>
      <c r="AT107" s="170"/>
      <c r="AW107" s="178"/>
      <c r="BA107" s="217"/>
    </row>
    <row r="108" spans="1:53" s="216" customFormat="1" x14ac:dyDescent="0.15">
      <c r="A108" s="115">
        <v>2008</v>
      </c>
      <c r="B108" s="276"/>
      <c r="C108" s="366" t="s">
        <v>172</v>
      </c>
      <c r="D108" s="366"/>
      <c r="E108" s="115">
        <v>366</v>
      </c>
      <c r="F108" s="115"/>
      <c r="G108" s="210"/>
      <c r="H108" s="115"/>
      <c r="I108" s="115">
        <v>20</v>
      </c>
      <c r="J108" s="211">
        <v>20</v>
      </c>
      <c r="K108" s="173">
        <f t="shared" si="34"/>
        <v>0</v>
      </c>
      <c r="L108" s="173">
        <f t="shared" si="35"/>
        <v>0</v>
      </c>
      <c r="M108" s="173">
        <f t="shared" si="36"/>
        <v>100</v>
      </c>
      <c r="N108" s="174">
        <f t="shared" si="26"/>
        <v>100</v>
      </c>
      <c r="O108" s="212"/>
      <c r="P108" s="213"/>
      <c r="Q108" s="213">
        <v>55.3</v>
      </c>
      <c r="R108" s="214">
        <f t="shared" si="27"/>
        <v>55.3</v>
      </c>
      <c r="S108" s="215">
        <v>1</v>
      </c>
      <c r="T108" s="283"/>
      <c r="U108" s="283"/>
      <c r="V108" s="177" t="s">
        <v>77</v>
      </c>
      <c r="W108" s="170" t="s">
        <v>20</v>
      </c>
      <c r="X108" s="170" t="s">
        <v>12</v>
      </c>
      <c r="Y108" s="178">
        <v>55.3</v>
      </c>
      <c r="Z108" s="170"/>
      <c r="AA108" s="170"/>
      <c r="AB108" s="170"/>
      <c r="AC108" s="170"/>
      <c r="AD108" s="177"/>
      <c r="AE108" s="170"/>
      <c r="AF108" s="170"/>
      <c r="AG108" s="178"/>
      <c r="AH108" s="170"/>
      <c r="AI108" s="170"/>
      <c r="AJ108" s="170"/>
      <c r="AK108" s="170"/>
      <c r="AL108" s="177"/>
      <c r="AM108" s="170"/>
      <c r="AN108" s="170"/>
      <c r="AO108" s="178"/>
      <c r="AP108" s="177"/>
      <c r="AQ108" s="170"/>
      <c r="AR108" s="170"/>
      <c r="AS108" s="178"/>
      <c r="AT108" s="170"/>
      <c r="AW108" s="178"/>
      <c r="BA108" s="217"/>
    </row>
    <row r="109" spans="1:53" s="216" customFormat="1" x14ac:dyDescent="0.15">
      <c r="A109" s="115">
        <v>2009</v>
      </c>
      <c r="B109" s="276"/>
      <c r="C109" s="366" t="s">
        <v>172</v>
      </c>
      <c r="D109" s="366"/>
      <c r="E109" s="115">
        <v>0</v>
      </c>
      <c r="F109" s="115"/>
      <c r="G109" s="210"/>
      <c r="H109" s="115"/>
      <c r="I109" s="115">
        <v>20</v>
      </c>
      <c r="J109" s="211">
        <v>20</v>
      </c>
      <c r="K109" s="173">
        <f t="shared" si="34"/>
        <v>0</v>
      </c>
      <c r="L109" s="173">
        <f t="shared" si="35"/>
        <v>0</v>
      </c>
      <c r="M109" s="173">
        <f t="shared" si="36"/>
        <v>100</v>
      </c>
      <c r="N109" s="174">
        <f t="shared" si="26"/>
        <v>100</v>
      </c>
      <c r="O109" s="212"/>
      <c r="P109" s="213"/>
      <c r="Q109" s="213">
        <v>55.3</v>
      </c>
      <c r="R109" s="214">
        <f t="shared" si="27"/>
        <v>55.3</v>
      </c>
      <c r="S109" s="215">
        <v>1</v>
      </c>
      <c r="T109" s="283"/>
      <c r="U109" s="283"/>
      <c r="V109" s="177" t="s">
        <v>77</v>
      </c>
      <c r="W109" s="170" t="s">
        <v>20</v>
      </c>
      <c r="X109" s="170" t="s">
        <v>12</v>
      </c>
      <c r="Y109" s="178">
        <v>55.3</v>
      </c>
      <c r="Z109" s="170"/>
      <c r="AA109" s="170"/>
      <c r="AB109" s="170"/>
      <c r="AC109" s="170"/>
      <c r="AD109" s="177"/>
      <c r="AE109" s="170"/>
      <c r="AF109" s="170"/>
      <c r="AG109" s="178"/>
      <c r="AH109" s="170"/>
      <c r="AI109" s="170"/>
      <c r="AJ109" s="170"/>
      <c r="AK109" s="170"/>
      <c r="AL109" s="177"/>
      <c r="AM109" s="170"/>
      <c r="AN109" s="170"/>
      <c r="AO109" s="178"/>
      <c r="AP109" s="177"/>
      <c r="AQ109" s="170"/>
      <c r="AR109" s="170"/>
      <c r="AS109" s="178"/>
      <c r="AT109" s="170"/>
      <c r="AW109" s="178"/>
      <c r="BA109" s="217"/>
    </row>
    <row r="110" spans="1:53" s="216" customFormat="1" x14ac:dyDescent="0.15">
      <c r="A110" s="115">
        <v>2009</v>
      </c>
      <c r="B110" s="281"/>
      <c r="C110" s="366" t="s">
        <v>172</v>
      </c>
      <c r="D110" s="366"/>
      <c r="E110" s="115">
        <v>365</v>
      </c>
      <c r="F110" s="115"/>
      <c r="G110" s="210"/>
      <c r="H110" s="115"/>
      <c r="I110" s="115">
        <v>20</v>
      </c>
      <c r="J110" s="211">
        <v>20</v>
      </c>
      <c r="K110" s="173">
        <f t="shared" si="34"/>
        <v>0</v>
      </c>
      <c r="L110" s="173">
        <f t="shared" si="35"/>
        <v>0</v>
      </c>
      <c r="M110" s="173">
        <f t="shared" si="36"/>
        <v>100</v>
      </c>
      <c r="N110" s="174">
        <f t="shared" si="26"/>
        <v>100</v>
      </c>
      <c r="O110" s="212"/>
      <c r="P110" s="213"/>
      <c r="Q110" s="213">
        <v>55.3</v>
      </c>
      <c r="R110" s="214">
        <f t="shared" si="27"/>
        <v>55.3</v>
      </c>
      <c r="S110" s="215">
        <v>1</v>
      </c>
      <c r="T110" s="283"/>
      <c r="U110" s="283"/>
      <c r="V110" s="177" t="s">
        <v>77</v>
      </c>
      <c r="W110" s="170" t="s">
        <v>20</v>
      </c>
      <c r="X110" s="170" t="s">
        <v>12</v>
      </c>
      <c r="Y110" s="178">
        <v>55.3</v>
      </c>
      <c r="Z110" s="170"/>
      <c r="AA110" s="170"/>
      <c r="AB110" s="170"/>
      <c r="AC110" s="170"/>
      <c r="AD110" s="177"/>
      <c r="AE110" s="170"/>
      <c r="AF110" s="170"/>
      <c r="AG110" s="178"/>
      <c r="AH110" s="170"/>
      <c r="AI110" s="170"/>
      <c r="AJ110" s="170"/>
      <c r="AK110" s="170"/>
      <c r="AL110" s="177"/>
      <c r="AM110" s="170"/>
      <c r="AN110" s="170"/>
      <c r="AO110" s="178"/>
      <c r="AP110" s="177"/>
      <c r="AQ110" s="170"/>
      <c r="AR110" s="170"/>
      <c r="AS110" s="178"/>
      <c r="AT110" s="170"/>
      <c r="AW110" s="178"/>
      <c r="BA110" s="217"/>
    </row>
    <row r="111" spans="1:53" s="216" customFormat="1" x14ac:dyDescent="0.15">
      <c r="A111" s="115">
        <v>2010</v>
      </c>
      <c r="B111" s="281"/>
      <c r="C111" s="366" t="s">
        <v>172</v>
      </c>
      <c r="D111" s="366"/>
      <c r="E111" s="115">
        <v>174</v>
      </c>
      <c r="F111" s="115"/>
      <c r="G111" s="210"/>
      <c r="H111" s="115"/>
      <c r="I111" s="115">
        <v>20</v>
      </c>
      <c r="J111" s="211">
        <v>20</v>
      </c>
      <c r="K111" s="173">
        <f t="shared" si="34"/>
        <v>0</v>
      </c>
      <c r="L111" s="173">
        <f t="shared" si="35"/>
        <v>0</v>
      </c>
      <c r="M111" s="173">
        <f t="shared" si="36"/>
        <v>100</v>
      </c>
      <c r="N111" s="174">
        <f t="shared" si="26"/>
        <v>100</v>
      </c>
      <c r="O111" s="212"/>
      <c r="P111" s="213"/>
      <c r="Q111" s="213">
        <v>55.3</v>
      </c>
      <c r="R111" s="214">
        <f t="shared" si="27"/>
        <v>55.3</v>
      </c>
      <c r="S111" s="215">
        <v>1</v>
      </c>
      <c r="T111" s="283"/>
      <c r="U111" s="283"/>
      <c r="V111" s="177" t="s">
        <v>77</v>
      </c>
      <c r="W111" s="170" t="s">
        <v>20</v>
      </c>
      <c r="X111" s="170" t="s">
        <v>12</v>
      </c>
      <c r="Y111" s="178">
        <v>55.3</v>
      </c>
      <c r="Z111" s="170"/>
      <c r="AA111" s="170"/>
      <c r="AB111" s="170"/>
      <c r="AC111" s="170"/>
      <c r="AD111" s="177"/>
      <c r="AE111" s="170"/>
      <c r="AF111" s="170"/>
      <c r="AG111" s="178"/>
      <c r="AH111" s="170"/>
      <c r="AI111" s="170"/>
      <c r="AJ111" s="170"/>
      <c r="AK111" s="170"/>
      <c r="AL111" s="177"/>
      <c r="AM111" s="170"/>
      <c r="AN111" s="170"/>
      <c r="AO111" s="178"/>
      <c r="AP111" s="177"/>
      <c r="AQ111" s="170"/>
      <c r="AR111" s="170"/>
      <c r="AS111" s="178"/>
      <c r="AT111" s="170"/>
      <c r="AW111" s="178"/>
      <c r="BA111" s="217"/>
    </row>
    <row r="112" spans="1:53" s="50" customFormat="1" x14ac:dyDescent="0.15">
      <c r="A112" s="41">
        <v>2010</v>
      </c>
      <c r="B112" s="277">
        <v>40353</v>
      </c>
      <c r="C112" s="367" t="s">
        <v>173</v>
      </c>
      <c r="D112" s="367"/>
      <c r="E112" s="41">
        <f>365-E111-E113</f>
        <v>82</v>
      </c>
      <c r="F112" s="41">
        <v>2</v>
      </c>
      <c r="G112" s="43"/>
      <c r="H112" s="41"/>
      <c r="I112" s="41">
        <v>20</v>
      </c>
      <c r="J112" s="44">
        <v>20</v>
      </c>
      <c r="K112" s="32">
        <f t="shared" si="34"/>
        <v>0</v>
      </c>
      <c r="L112" s="32">
        <f t="shared" si="35"/>
        <v>0</v>
      </c>
      <c r="M112" s="32">
        <f t="shared" si="36"/>
        <v>100</v>
      </c>
      <c r="N112" s="33">
        <f t="shared" si="26"/>
        <v>100</v>
      </c>
      <c r="O112" s="45"/>
      <c r="P112" s="46"/>
      <c r="Q112" s="46">
        <v>55.3</v>
      </c>
      <c r="R112" s="47">
        <f t="shared" si="27"/>
        <v>55.3</v>
      </c>
      <c r="S112" s="51">
        <v>1</v>
      </c>
      <c r="T112" s="284"/>
      <c r="U112" s="284">
        <v>40353</v>
      </c>
      <c r="V112" s="37" t="s">
        <v>77</v>
      </c>
      <c r="W112" s="28" t="s">
        <v>20</v>
      </c>
      <c r="X112" s="28" t="s">
        <v>12</v>
      </c>
      <c r="Y112" s="38">
        <v>55.3</v>
      </c>
      <c r="Z112" s="28"/>
      <c r="AA112" s="28"/>
      <c r="AB112" s="28"/>
      <c r="AC112" s="28"/>
      <c r="AD112" s="37"/>
      <c r="AE112" s="28"/>
      <c r="AF112" s="28"/>
      <c r="AG112" s="38"/>
      <c r="AH112" s="28"/>
      <c r="AI112" s="28"/>
      <c r="AJ112" s="28"/>
      <c r="AK112" s="28"/>
      <c r="AL112" s="37"/>
      <c r="AM112" s="28"/>
      <c r="AN112" s="28"/>
      <c r="AO112" s="38"/>
      <c r="AP112" s="37"/>
      <c r="AQ112" s="28"/>
      <c r="AR112" s="28"/>
      <c r="AS112" s="38"/>
      <c r="AT112" s="28"/>
      <c r="AW112" s="38"/>
      <c r="BA112" s="167"/>
    </row>
    <row r="113" spans="1:53" s="216" customFormat="1" x14ac:dyDescent="0.15">
      <c r="A113" s="115">
        <v>2010</v>
      </c>
      <c r="B113" s="276">
        <v>40435</v>
      </c>
      <c r="C113" s="366" t="s">
        <v>174</v>
      </c>
      <c r="D113" s="366"/>
      <c r="E113" s="115">
        <v>109</v>
      </c>
      <c r="F113" s="115">
        <v>1</v>
      </c>
      <c r="G113" s="210"/>
      <c r="H113" s="115"/>
      <c r="I113" s="115">
        <v>20</v>
      </c>
      <c r="J113" s="211">
        <v>20</v>
      </c>
      <c r="K113" s="173">
        <f t="shared" si="34"/>
        <v>0</v>
      </c>
      <c r="L113" s="173">
        <f t="shared" si="35"/>
        <v>0</v>
      </c>
      <c r="M113" s="173">
        <f t="shared" si="36"/>
        <v>100</v>
      </c>
      <c r="N113" s="174">
        <f t="shared" si="26"/>
        <v>100</v>
      </c>
      <c r="O113" s="212"/>
      <c r="P113" s="213"/>
      <c r="Q113" s="213">
        <v>48</v>
      </c>
      <c r="R113" s="214">
        <f t="shared" si="27"/>
        <v>48</v>
      </c>
      <c r="S113" s="215">
        <v>4</v>
      </c>
      <c r="T113" s="283">
        <v>40411</v>
      </c>
      <c r="U113" s="283">
        <v>40435</v>
      </c>
      <c r="V113" s="177" t="s">
        <v>77</v>
      </c>
      <c r="W113" s="170" t="s">
        <v>20</v>
      </c>
      <c r="X113" s="170" t="s">
        <v>12</v>
      </c>
      <c r="Y113" s="178">
        <v>48</v>
      </c>
      <c r="Z113" s="170"/>
      <c r="AA113" s="170"/>
      <c r="AB113" s="170"/>
      <c r="AC113" s="170"/>
      <c r="AD113" s="177"/>
      <c r="AE113" s="170"/>
      <c r="AF113" s="170"/>
      <c r="AG113" s="178"/>
      <c r="AH113" s="170"/>
      <c r="AI113" s="170"/>
      <c r="AJ113" s="170"/>
      <c r="AK113" s="170"/>
      <c r="AL113" s="177"/>
      <c r="AM113" s="170"/>
      <c r="AN113" s="170"/>
      <c r="AO113" s="178"/>
      <c r="AP113" s="177"/>
      <c r="AQ113" s="170"/>
      <c r="AR113" s="170"/>
      <c r="AS113" s="178"/>
      <c r="AT113" s="170"/>
      <c r="AW113" s="178"/>
      <c r="BA113" s="217"/>
    </row>
    <row r="114" spans="1:53" s="216" customFormat="1" x14ac:dyDescent="0.15">
      <c r="A114" s="115">
        <v>2011</v>
      </c>
      <c r="B114" s="281"/>
      <c r="C114" s="366" t="s">
        <v>174</v>
      </c>
      <c r="D114" s="366"/>
      <c r="E114" s="115">
        <v>347</v>
      </c>
      <c r="F114" s="115"/>
      <c r="G114" s="210"/>
      <c r="H114" s="115"/>
      <c r="I114" s="115">
        <v>20</v>
      </c>
      <c r="J114" s="211">
        <v>20</v>
      </c>
      <c r="K114" s="173">
        <f t="shared" si="34"/>
        <v>0</v>
      </c>
      <c r="L114" s="173">
        <f t="shared" si="35"/>
        <v>0</v>
      </c>
      <c r="M114" s="173">
        <f t="shared" si="36"/>
        <v>100</v>
      </c>
      <c r="N114" s="174">
        <f t="shared" si="26"/>
        <v>100</v>
      </c>
      <c r="O114" s="212"/>
      <c r="P114" s="213"/>
      <c r="Q114" s="213">
        <v>48</v>
      </c>
      <c r="R114" s="214">
        <f t="shared" si="27"/>
        <v>48</v>
      </c>
      <c r="S114" s="215">
        <v>4</v>
      </c>
      <c r="T114" s="283"/>
      <c r="U114" s="283"/>
      <c r="V114" s="177" t="s">
        <v>77</v>
      </c>
      <c r="W114" s="170" t="s">
        <v>20</v>
      </c>
      <c r="X114" s="170" t="s">
        <v>12</v>
      </c>
      <c r="Y114" s="178">
        <v>48</v>
      </c>
      <c r="Z114" s="170"/>
      <c r="AA114" s="170"/>
      <c r="AB114" s="170"/>
      <c r="AC114" s="170"/>
      <c r="AD114" s="177"/>
      <c r="AE114" s="170"/>
      <c r="AF114" s="170"/>
      <c r="AG114" s="178"/>
      <c r="AH114" s="170"/>
      <c r="AI114" s="170"/>
      <c r="AJ114" s="170"/>
      <c r="AK114" s="170"/>
      <c r="AL114" s="177"/>
      <c r="AM114" s="170"/>
      <c r="AN114" s="170"/>
      <c r="AO114" s="178"/>
      <c r="AP114" s="177"/>
      <c r="AQ114" s="170"/>
      <c r="AR114" s="170"/>
      <c r="AS114" s="178"/>
      <c r="AT114" s="170"/>
      <c r="AW114" s="178"/>
      <c r="BA114" s="217"/>
    </row>
    <row r="115" spans="1:53" s="216" customFormat="1" x14ac:dyDescent="0.15">
      <c r="A115" s="115">
        <v>2011</v>
      </c>
      <c r="B115" s="282">
        <v>40891</v>
      </c>
      <c r="C115" s="366" t="s">
        <v>174</v>
      </c>
      <c r="D115" s="366"/>
      <c r="E115" s="115">
        <f>365-E114</f>
        <v>18</v>
      </c>
      <c r="F115" s="218">
        <v>0</v>
      </c>
      <c r="G115" s="210"/>
      <c r="H115" s="115"/>
      <c r="I115" s="115">
        <v>22</v>
      </c>
      <c r="J115" s="211">
        <v>22</v>
      </c>
      <c r="K115" s="173">
        <f t="shared" si="34"/>
        <v>0</v>
      </c>
      <c r="L115" s="173">
        <f t="shared" si="35"/>
        <v>0</v>
      </c>
      <c r="M115" s="173">
        <f t="shared" si="36"/>
        <v>100</v>
      </c>
      <c r="N115" s="176">
        <f t="shared" si="26"/>
        <v>100</v>
      </c>
      <c r="O115" s="213"/>
      <c r="P115" s="213"/>
      <c r="Q115" s="213">
        <v>48</v>
      </c>
      <c r="R115" s="214">
        <f t="shared" si="27"/>
        <v>48</v>
      </c>
      <c r="S115" s="219">
        <v>4</v>
      </c>
      <c r="T115" s="283"/>
      <c r="U115" s="283"/>
      <c r="V115" s="177" t="s">
        <v>77</v>
      </c>
      <c r="W115" s="170" t="s">
        <v>20</v>
      </c>
      <c r="X115" s="170" t="s">
        <v>12</v>
      </c>
      <c r="Y115" s="178">
        <v>48</v>
      </c>
      <c r="Z115" s="170"/>
      <c r="AA115" s="170"/>
      <c r="AB115" s="170"/>
      <c r="AC115" s="170"/>
      <c r="AD115" s="177"/>
      <c r="AE115" s="170"/>
      <c r="AF115" s="170"/>
      <c r="AG115" s="178"/>
      <c r="AH115" s="170"/>
      <c r="AI115" s="170"/>
      <c r="AJ115" s="170"/>
      <c r="AK115" s="170"/>
      <c r="AL115" s="177"/>
      <c r="AM115" s="170"/>
      <c r="AN115" s="170"/>
      <c r="AO115" s="178"/>
      <c r="AP115" s="177"/>
      <c r="AQ115" s="170"/>
      <c r="AR115" s="170"/>
      <c r="AS115" s="178"/>
      <c r="AT115" s="170"/>
      <c r="AW115" s="178"/>
      <c r="BA115" s="217"/>
    </row>
    <row r="116" spans="1:53" s="216" customFormat="1" x14ac:dyDescent="0.15">
      <c r="A116" s="115">
        <v>2012</v>
      </c>
      <c r="B116" s="281"/>
      <c r="C116" s="366" t="s">
        <v>174</v>
      </c>
      <c r="D116" s="366"/>
      <c r="E116" s="115">
        <v>0</v>
      </c>
      <c r="F116" s="115"/>
      <c r="G116" s="210"/>
      <c r="H116" s="115"/>
      <c r="I116" s="115">
        <v>22</v>
      </c>
      <c r="J116" s="211">
        <v>22</v>
      </c>
      <c r="K116" s="173">
        <f t="shared" si="34"/>
        <v>0</v>
      </c>
      <c r="L116" s="173">
        <f t="shared" si="35"/>
        <v>0</v>
      </c>
      <c r="M116" s="173">
        <f t="shared" si="36"/>
        <v>100</v>
      </c>
      <c r="N116" s="174">
        <f t="shared" si="26"/>
        <v>100</v>
      </c>
      <c r="O116" s="212"/>
      <c r="P116" s="213"/>
      <c r="Q116" s="213">
        <v>48</v>
      </c>
      <c r="R116" s="214">
        <f t="shared" si="27"/>
        <v>48</v>
      </c>
      <c r="S116" s="215">
        <v>4</v>
      </c>
      <c r="T116" s="283"/>
      <c r="U116" s="283"/>
      <c r="V116" s="177" t="s">
        <v>77</v>
      </c>
      <c r="W116" s="170" t="s">
        <v>20</v>
      </c>
      <c r="X116" s="170" t="s">
        <v>12</v>
      </c>
      <c r="Y116" s="178">
        <v>48</v>
      </c>
      <c r="Z116" s="170"/>
      <c r="AA116" s="170"/>
      <c r="AB116" s="170"/>
      <c r="AC116" s="170"/>
      <c r="AD116" s="177"/>
      <c r="AE116" s="170"/>
      <c r="AF116" s="170"/>
      <c r="AG116" s="178"/>
      <c r="AH116" s="170"/>
      <c r="AI116" s="170"/>
      <c r="AJ116" s="170"/>
      <c r="AK116" s="170"/>
      <c r="AL116" s="177"/>
      <c r="AM116" s="170"/>
      <c r="AN116" s="170"/>
      <c r="AO116" s="178"/>
      <c r="AP116" s="177"/>
      <c r="AQ116" s="170"/>
      <c r="AR116" s="170"/>
      <c r="AS116" s="178"/>
      <c r="AT116" s="170"/>
      <c r="AW116" s="178"/>
      <c r="BA116" s="217"/>
    </row>
    <row r="117" spans="1:53" s="216" customFormat="1" x14ac:dyDescent="0.15">
      <c r="A117" s="115">
        <v>2012</v>
      </c>
      <c r="B117" s="282"/>
      <c r="C117" s="366" t="s">
        <v>174</v>
      </c>
      <c r="D117" s="366"/>
      <c r="E117" s="115">
        <v>366</v>
      </c>
      <c r="F117" s="218"/>
      <c r="G117" s="210"/>
      <c r="H117" s="115"/>
      <c r="I117" s="115">
        <v>22</v>
      </c>
      <c r="J117" s="211">
        <v>22</v>
      </c>
      <c r="K117" s="173">
        <f>G117/J117*100</f>
        <v>0</v>
      </c>
      <c r="L117" s="173">
        <f t="shared" si="35"/>
        <v>0</v>
      </c>
      <c r="M117" s="173">
        <f t="shared" si="36"/>
        <v>100</v>
      </c>
      <c r="N117" s="176">
        <f t="shared" si="26"/>
        <v>100</v>
      </c>
      <c r="O117" s="213"/>
      <c r="P117" s="213"/>
      <c r="Q117" s="213">
        <v>48</v>
      </c>
      <c r="R117" s="214">
        <f t="shared" si="27"/>
        <v>48</v>
      </c>
      <c r="S117" s="219">
        <v>4</v>
      </c>
      <c r="T117" s="283"/>
      <c r="U117" s="283"/>
      <c r="V117" s="177" t="s">
        <v>77</v>
      </c>
      <c r="W117" s="170" t="s">
        <v>20</v>
      </c>
      <c r="X117" s="170" t="s">
        <v>12</v>
      </c>
      <c r="Y117" s="178">
        <v>48</v>
      </c>
      <c r="Z117" s="170"/>
      <c r="AA117" s="170"/>
      <c r="AB117" s="170"/>
      <c r="AC117" s="170"/>
      <c r="AD117" s="177"/>
      <c r="AE117" s="170"/>
      <c r="AF117" s="170"/>
      <c r="AG117" s="178"/>
      <c r="AH117" s="170"/>
      <c r="AI117" s="170"/>
      <c r="AJ117" s="170"/>
      <c r="AK117" s="170"/>
      <c r="AL117" s="177"/>
      <c r="AM117" s="170"/>
      <c r="AN117" s="170"/>
      <c r="AO117" s="178"/>
      <c r="AP117" s="177"/>
      <c r="AQ117" s="170"/>
      <c r="AR117" s="170"/>
      <c r="AS117" s="178"/>
      <c r="AT117" s="170"/>
      <c r="AW117" s="178"/>
      <c r="BA117" s="217"/>
    </row>
    <row r="118" spans="1:53" s="216" customFormat="1" x14ac:dyDescent="0.15">
      <c r="A118" s="115">
        <v>2013</v>
      </c>
      <c r="B118" s="282"/>
      <c r="C118" s="366" t="s">
        <v>174</v>
      </c>
      <c r="D118" s="366"/>
      <c r="E118" s="115">
        <v>83</v>
      </c>
      <c r="F118" s="218"/>
      <c r="G118" s="210"/>
      <c r="H118" s="115"/>
      <c r="I118" s="115">
        <v>22</v>
      </c>
      <c r="J118" s="211">
        <v>22</v>
      </c>
      <c r="K118" s="173">
        <f t="shared" si="34"/>
        <v>0</v>
      </c>
      <c r="L118" s="173">
        <f t="shared" si="35"/>
        <v>0</v>
      </c>
      <c r="M118" s="173">
        <f t="shared" si="36"/>
        <v>100</v>
      </c>
      <c r="N118" s="176">
        <f t="shared" si="26"/>
        <v>100</v>
      </c>
      <c r="O118" s="213"/>
      <c r="P118" s="213"/>
      <c r="Q118" s="213">
        <v>48</v>
      </c>
      <c r="R118" s="214">
        <f t="shared" si="27"/>
        <v>48</v>
      </c>
      <c r="S118" s="219">
        <v>4</v>
      </c>
      <c r="T118" s="283"/>
      <c r="U118" s="283"/>
      <c r="V118" s="177" t="s">
        <v>77</v>
      </c>
      <c r="W118" s="170" t="s">
        <v>20</v>
      </c>
      <c r="X118" s="170" t="s">
        <v>12</v>
      </c>
      <c r="Y118" s="178">
        <v>48</v>
      </c>
      <c r="Z118" s="170"/>
      <c r="AA118" s="170"/>
      <c r="AB118" s="170"/>
      <c r="AC118" s="170"/>
      <c r="AD118" s="177"/>
      <c r="AE118" s="170"/>
      <c r="AF118" s="170"/>
      <c r="AG118" s="178"/>
      <c r="AH118" s="170"/>
      <c r="AI118" s="170"/>
      <c r="AJ118" s="170"/>
      <c r="AK118" s="170"/>
      <c r="AL118" s="177"/>
      <c r="AM118" s="170"/>
      <c r="AN118" s="170"/>
      <c r="AO118" s="178"/>
      <c r="AP118" s="177"/>
      <c r="AQ118" s="170"/>
      <c r="AR118" s="170"/>
      <c r="AS118" s="178"/>
      <c r="AT118" s="170"/>
      <c r="AW118" s="178"/>
      <c r="BA118" s="217"/>
    </row>
    <row r="119" spans="1:53" s="216" customFormat="1" x14ac:dyDescent="0.15">
      <c r="A119" s="115">
        <v>2013</v>
      </c>
      <c r="B119" s="282">
        <v>41358</v>
      </c>
      <c r="C119" s="366" t="s">
        <v>174</v>
      </c>
      <c r="D119" s="366"/>
      <c r="E119" s="115">
        <v>94</v>
      </c>
      <c r="F119" s="218">
        <v>0</v>
      </c>
      <c r="G119" s="210"/>
      <c r="H119" s="115"/>
      <c r="I119" s="115">
        <v>20</v>
      </c>
      <c r="J119" s="211">
        <v>20</v>
      </c>
      <c r="K119" s="173">
        <f t="shared" si="34"/>
        <v>0</v>
      </c>
      <c r="L119" s="173">
        <f t="shared" si="35"/>
        <v>0</v>
      </c>
      <c r="M119" s="173">
        <f t="shared" si="36"/>
        <v>100</v>
      </c>
      <c r="N119" s="176">
        <f t="shared" si="26"/>
        <v>100</v>
      </c>
      <c r="O119" s="213"/>
      <c r="P119" s="213"/>
      <c r="Q119" s="213">
        <v>48</v>
      </c>
      <c r="R119" s="214">
        <f t="shared" si="27"/>
        <v>48</v>
      </c>
      <c r="S119" s="219">
        <v>4</v>
      </c>
      <c r="T119" s="283"/>
      <c r="U119" s="283"/>
      <c r="V119" s="177" t="s">
        <v>77</v>
      </c>
      <c r="W119" s="170" t="s">
        <v>20</v>
      </c>
      <c r="X119" s="170" t="s">
        <v>12</v>
      </c>
      <c r="Y119" s="178">
        <v>48</v>
      </c>
      <c r="Z119" s="170"/>
      <c r="AA119" s="170"/>
      <c r="AB119" s="170"/>
      <c r="AC119" s="170"/>
      <c r="AD119" s="177"/>
      <c r="AE119" s="170"/>
      <c r="AF119" s="170"/>
      <c r="AG119" s="178"/>
      <c r="AH119" s="170"/>
      <c r="AI119" s="170"/>
      <c r="AJ119" s="170"/>
      <c r="AK119" s="170"/>
      <c r="AL119" s="177"/>
      <c r="AM119" s="170"/>
      <c r="AN119" s="170"/>
      <c r="AO119" s="178"/>
      <c r="AP119" s="177"/>
      <c r="AQ119" s="170"/>
      <c r="AR119" s="170"/>
      <c r="AS119" s="178"/>
      <c r="AT119" s="170"/>
      <c r="AW119" s="178"/>
      <c r="BA119" s="217"/>
    </row>
    <row r="120" spans="1:53" s="62" customFormat="1" x14ac:dyDescent="0.15">
      <c r="A120" s="62">
        <v>2013</v>
      </c>
      <c r="B120" s="280">
        <v>41452</v>
      </c>
      <c r="C120" s="367" t="s">
        <v>1234</v>
      </c>
      <c r="D120" s="367"/>
      <c r="E120" s="58">
        <v>83</v>
      </c>
      <c r="F120" s="58">
        <v>2</v>
      </c>
      <c r="G120" s="59"/>
      <c r="H120" s="58"/>
      <c r="I120" s="58">
        <v>20</v>
      </c>
      <c r="J120" s="60">
        <v>20</v>
      </c>
      <c r="K120" s="32">
        <f t="shared" si="34"/>
        <v>0</v>
      </c>
      <c r="L120" s="32">
        <f t="shared" si="35"/>
        <v>0</v>
      </c>
      <c r="M120" s="32">
        <f t="shared" si="36"/>
        <v>100</v>
      </c>
      <c r="N120" s="35">
        <f t="shared" si="26"/>
        <v>100</v>
      </c>
      <c r="O120" s="46"/>
      <c r="P120" s="46"/>
      <c r="Q120" s="46">
        <v>47.3</v>
      </c>
      <c r="R120" s="47">
        <f>SUM(O120:Q120)</f>
        <v>47.3</v>
      </c>
      <c r="S120" s="51">
        <v>4</v>
      </c>
      <c r="T120" s="284"/>
      <c r="U120" s="284">
        <v>41452</v>
      </c>
      <c r="V120" s="37" t="s">
        <v>77</v>
      </c>
      <c r="W120" s="28" t="s">
        <v>20</v>
      </c>
      <c r="X120" s="28" t="s">
        <v>12</v>
      </c>
      <c r="Y120" s="38">
        <v>47.3</v>
      </c>
      <c r="Z120" s="28"/>
      <c r="AA120" s="28"/>
      <c r="AB120" s="28"/>
      <c r="AC120" s="28"/>
      <c r="AD120" s="61"/>
      <c r="AG120" s="63"/>
      <c r="AL120" s="61"/>
      <c r="AO120" s="63"/>
      <c r="AP120" s="61"/>
      <c r="AS120" s="63"/>
      <c r="AW120" s="63"/>
      <c r="BA120" s="169"/>
    </row>
    <row r="121" spans="1:53" s="216" customFormat="1" x14ac:dyDescent="0.15">
      <c r="A121" s="115">
        <v>2013</v>
      </c>
      <c r="B121" s="276">
        <v>41535</v>
      </c>
      <c r="C121" s="366" t="s">
        <v>1235</v>
      </c>
      <c r="D121" s="366"/>
      <c r="E121" s="115">
        <f>365-E120-E119-E118</f>
        <v>105</v>
      </c>
      <c r="F121" s="115">
        <v>1</v>
      </c>
      <c r="G121" s="210">
        <v>19</v>
      </c>
      <c r="H121" s="115"/>
      <c r="I121" s="115"/>
      <c r="J121" s="211">
        <v>19</v>
      </c>
      <c r="K121" s="173">
        <f t="shared" si="34"/>
        <v>100</v>
      </c>
      <c r="L121" s="173">
        <f t="shared" si="35"/>
        <v>0</v>
      </c>
      <c r="M121" s="173">
        <f t="shared" si="36"/>
        <v>0</v>
      </c>
      <c r="N121" s="174">
        <f t="shared" si="26"/>
        <v>100</v>
      </c>
      <c r="O121" s="212">
        <v>60</v>
      </c>
      <c r="P121" s="213"/>
      <c r="Q121" s="213"/>
      <c r="R121" s="214">
        <f t="shared" si="27"/>
        <v>60</v>
      </c>
      <c r="S121" s="215">
        <v>2</v>
      </c>
      <c r="T121" s="283">
        <v>41524</v>
      </c>
      <c r="U121" s="283">
        <v>41535</v>
      </c>
      <c r="V121" s="177" t="s">
        <v>72</v>
      </c>
      <c r="W121" s="170" t="s">
        <v>74</v>
      </c>
      <c r="X121" s="170" t="s">
        <v>11</v>
      </c>
      <c r="Y121" s="178">
        <v>50</v>
      </c>
      <c r="Z121" s="170" t="s">
        <v>73</v>
      </c>
      <c r="AA121" s="170" t="s">
        <v>869</v>
      </c>
      <c r="AB121" s="170" t="s">
        <v>11</v>
      </c>
      <c r="AC121" s="170">
        <v>10</v>
      </c>
      <c r="AD121" s="177"/>
      <c r="AE121" s="170"/>
      <c r="AF121" s="170"/>
      <c r="AG121" s="178"/>
      <c r="AH121" s="170"/>
      <c r="AI121" s="170"/>
      <c r="AJ121" s="170"/>
      <c r="AK121" s="170"/>
      <c r="AL121" s="177"/>
      <c r="AM121" s="170"/>
      <c r="AN121" s="170"/>
      <c r="AO121" s="178"/>
      <c r="AP121" s="177"/>
      <c r="AQ121" s="170"/>
      <c r="AR121" s="170"/>
      <c r="AS121" s="178"/>
      <c r="AT121" s="170"/>
      <c r="AW121" s="178"/>
      <c r="BA121" s="217"/>
    </row>
    <row r="122" spans="1:53" s="216" customFormat="1" x14ac:dyDescent="0.15">
      <c r="A122" s="115">
        <v>2014</v>
      </c>
      <c r="B122" s="276"/>
      <c r="C122" s="366" t="s">
        <v>1235</v>
      </c>
      <c r="D122" s="366"/>
      <c r="E122" s="115">
        <v>0</v>
      </c>
      <c r="F122" s="115"/>
      <c r="G122" s="210">
        <v>19</v>
      </c>
      <c r="H122" s="115"/>
      <c r="I122" s="115"/>
      <c r="J122" s="211">
        <v>19</v>
      </c>
      <c r="K122" s="173">
        <f t="shared" si="34"/>
        <v>100</v>
      </c>
      <c r="L122" s="173">
        <f t="shared" si="35"/>
        <v>0</v>
      </c>
      <c r="M122" s="173">
        <f t="shared" si="36"/>
        <v>0</v>
      </c>
      <c r="N122" s="174">
        <f t="shared" si="26"/>
        <v>100</v>
      </c>
      <c r="O122" s="212">
        <v>60</v>
      </c>
      <c r="P122" s="213"/>
      <c r="Q122" s="213"/>
      <c r="R122" s="214">
        <f t="shared" si="27"/>
        <v>60</v>
      </c>
      <c r="S122" s="215">
        <v>2</v>
      </c>
      <c r="T122" s="283"/>
      <c r="U122" s="283"/>
      <c r="V122" s="177" t="s">
        <v>72</v>
      </c>
      <c r="W122" s="170" t="s">
        <v>74</v>
      </c>
      <c r="X122" s="170" t="s">
        <v>11</v>
      </c>
      <c r="Y122" s="178">
        <v>50</v>
      </c>
      <c r="Z122" s="170" t="s">
        <v>73</v>
      </c>
      <c r="AA122" s="170" t="s">
        <v>869</v>
      </c>
      <c r="AB122" s="170" t="s">
        <v>11</v>
      </c>
      <c r="AC122" s="170">
        <v>10</v>
      </c>
      <c r="AD122" s="177"/>
      <c r="AE122" s="170"/>
      <c r="AF122" s="170"/>
      <c r="AG122" s="178"/>
      <c r="AH122" s="170"/>
      <c r="AI122" s="170"/>
      <c r="AJ122" s="170"/>
      <c r="AK122" s="170"/>
      <c r="AL122" s="177"/>
      <c r="AM122" s="170"/>
      <c r="AN122" s="170"/>
      <c r="AO122" s="178"/>
      <c r="AP122" s="177"/>
      <c r="AQ122" s="170"/>
      <c r="AR122" s="170"/>
      <c r="AS122" s="178"/>
      <c r="AT122" s="170"/>
      <c r="AW122" s="178"/>
      <c r="BA122" s="217"/>
    </row>
    <row r="123" spans="1:53" s="216" customFormat="1" x14ac:dyDescent="0.15">
      <c r="A123" s="115">
        <v>2014</v>
      </c>
      <c r="B123" s="276"/>
      <c r="C123" s="366" t="s">
        <v>1235</v>
      </c>
      <c r="D123" s="366"/>
      <c r="E123" s="115">
        <v>365</v>
      </c>
      <c r="F123" s="115"/>
      <c r="G123" s="210">
        <v>19</v>
      </c>
      <c r="H123" s="115"/>
      <c r="I123" s="115"/>
      <c r="J123" s="211">
        <v>19</v>
      </c>
      <c r="K123" s="173">
        <f t="shared" si="34"/>
        <v>100</v>
      </c>
      <c r="L123" s="173">
        <f t="shared" si="35"/>
        <v>0</v>
      </c>
      <c r="M123" s="173">
        <f t="shared" si="36"/>
        <v>0</v>
      </c>
      <c r="N123" s="174">
        <f t="shared" si="26"/>
        <v>100</v>
      </c>
      <c r="O123" s="212">
        <v>60</v>
      </c>
      <c r="P123" s="213"/>
      <c r="Q123" s="213"/>
      <c r="R123" s="214">
        <f t="shared" si="27"/>
        <v>60</v>
      </c>
      <c r="S123" s="215">
        <v>2</v>
      </c>
      <c r="T123" s="283"/>
      <c r="U123" s="283"/>
      <c r="V123" s="177" t="s">
        <v>72</v>
      </c>
      <c r="W123" s="170" t="s">
        <v>74</v>
      </c>
      <c r="X123" s="170" t="s">
        <v>11</v>
      </c>
      <c r="Y123" s="178">
        <v>50</v>
      </c>
      <c r="Z123" s="170" t="s">
        <v>73</v>
      </c>
      <c r="AA123" s="170" t="s">
        <v>869</v>
      </c>
      <c r="AB123" s="170" t="s">
        <v>11</v>
      </c>
      <c r="AC123" s="170">
        <v>10</v>
      </c>
      <c r="AD123" s="177"/>
      <c r="AE123" s="170"/>
      <c r="AF123" s="170"/>
      <c r="AG123" s="178"/>
      <c r="AH123" s="170"/>
      <c r="AI123" s="170"/>
      <c r="AJ123" s="170"/>
      <c r="AK123" s="170"/>
      <c r="AL123" s="177"/>
      <c r="AM123" s="170"/>
      <c r="AN123" s="170"/>
      <c r="AO123" s="178"/>
      <c r="AP123" s="177"/>
      <c r="AQ123" s="170"/>
      <c r="AR123" s="170"/>
      <c r="AS123" s="178"/>
      <c r="AT123" s="170"/>
      <c r="AW123" s="178"/>
      <c r="BA123" s="217"/>
    </row>
    <row r="124" spans="1:53" s="216" customFormat="1" x14ac:dyDescent="0.15">
      <c r="A124" s="115">
        <v>2015</v>
      </c>
      <c r="B124" s="276"/>
      <c r="C124" s="366" t="s">
        <v>1235</v>
      </c>
      <c r="D124" s="366"/>
      <c r="E124" s="115">
        <v>257</v>
      </c>
      <c r="F124" s="115"/>
      <c r="G124" s="210">
        <v>19</v>
      </c>
      <c r="H124" s="115"/>
      <c r="I124" s="115"/>
      <c r="J124" s="211">
        <v>19</v>
      </c>
      <c r="K124" s="173">
        <f t="shared" si="34"/>
        <v>100</v>
      </c>
      <c r="L124" s="173">
        <f t="shared" si="35"/>
        <v>0</v>
      </c>
      <c r="M124" s="173">
        <f t="shared" si="36"/>
        <v>0</v>
      </c>
      <c r="N124" s="174">
        <f t="shared" si="26"/>
        <v>100</v>
      </c>
      <c r="O124" s="212">
        <v>60</v>
      </c>
      <c r="P124" s="213"/>
      <c r="Q124" s="213"/>
      <c r="R124" s="214">
        <f t="shared" ref="R124:R126" si="37">SUM(O124:Q124)</f>
        <v>60</v>
      </c>
      <c r="S124" s="215">
        <v>2</v>
      </c>
      <c r="T124" s="283"/>
      <c r="U124" s="283"/>
      <c r="V124" s="177" t="s">
        <v>72</v>
      </c>
      <c r="W124" s="170" t="s">
        <v>74</v>
      </c>
      <c r="X124" s="170" t="s">
        <v>11</v>
      </c>
      <c r="Y124" s="178">
        <v>50</v>
      </c>
      <c r="Z124" s="170" t="s">
        <v>73</v>
      </c>
      <c r="AA124" s="170" t="s">
        <v>869</v>
      </c>
      <c r="AB124" s="170" t="s">
        <v>11</v>
      </c>
      <c r="AC124" s="170">
        <v>10</v>
      </c>
      <c r="AD124" s="177"/>
      <c r="AE124" s="170"/>
      <c r="AF124" s="170"/>
      <c r="AG124" s="178"/>
      <c r="AH124" s="170"/>
      <c r="AI124" s="170"/>
      <c r="AJ124" s="170"/>
      <c r="AK124" s="170"/>
      <c r="AL124" s="177"/>
      <c r="AM124" s="170"/>
      <c r="AN124" s="170"/>
      <c r="AO124" s="178"/>
      <c r="AP124" s="177"/>
      <c r="AQ124" s="170"/>
      <c r="AR124" s="170"/>
      <c r="AS124" s="178"/>
      <c r="AT124" s="170"/>
      <c r="AW124" s="178"/>
      <c r="BA124" s="217"/>
    </row>
    <row r="125" spans="1:53" s="62" customFormat="1" x14ac:dyDescent="0.15">
      <c r="A125" s="62">
        <v>2015</v>
      </c>
      <c r="B125" s="280">
        <v>42262</v>
      </c>
      <c r="C125" s="367" t="s">
        <v>1311</v>
      </c>
      <c r="D125" s="367"/>
      <c r="E125" s="58">
        <v>108</v>
      </c>
      <c r="F125" s="58">
        <v>5</v>
      </c>
      <c r="G125" s="59">
        <v>21</v>
      </c>
      <c r="H125" s="58"/>
      <c r="I125" s="58"/>
      <c r="J125" s="60">
        <v>21</v>
      </c>
      <c r="K125" s="32">
        <f t="shared" si="34"/>
        <v>100</v>
      </c>
      <c r="L125" s="32">
        <f t="shared" si="35"/>
        <v>0</v>
      </c>
      <c r="M125" s="32">
        <f t="shared" si="36"/>
        <v>0</v>
      </c>
      <c r="N125" s="35">
        <f t="shared" si="26"/>
        <v>100</v>
      </c>
      <c r="O125" s="46">
        <v>60</v>
      </c>
      <c r="P125" s="46"/>
      <c r="Q125" s="46"/>
      <c r="R125" s="47">
        <f t="shared" si="37"/>
        <v>60</v>
      </c>
      <c r="S125" s="51">
        <v>2</v>
      </c>
      <c r="T125" s="284"/>
      <c r="U125" s="284">
        <v>42262</v>
      </c>
      <c r="V125" s="37" t="s">
        <v>72</v>
      </c>
      <c r="W125" s="28" t="s">
        <v>74</v>
      </c>
      <c r="X125" s="28" t="s">
        <v>11</v>
      </c>
      <c r="Y125" s="38">
        <v>50</v>
      </c>
      <c r="Z125" s="28" t="s">
        <v>73</v>
      </c>
      <c r="AA125" s="28" t="s">
        <v>869</v>
      </c>
      <c r="AB125" s="28" t="s">
        <v>11</v>
      </c>
      <c r="AC125" s="28">
        <v>10</v>
      </c>
      <c r="AD125" s="61"/>
      <c r="AG125" s="63"/>
      <c r="AL125" s="61"/>
      <c r="AO125" s="63"/>
      <c r="AP125" s="61"/>
      <c r="AS125" s="63"/>
      <c r="AW125" s="63"/>
      <c r="BA125" s="169"/>
    </row>
    <row r="126" spans="1:53" s="62" customFormat="1" x14ac:dyDescent="0.15">
      <c r="A126" s="62">
        <v>2016</v>
      </c>
      <c r="B126" s="280"/>
      <c r="C126" s="367" t="s">
        <v>1311</v>
      </c>
      <c r="D126" s="367"/>
      <c r="E126" s="58">
        <v>42</v>
      </c>
      <c r="F126" s="58">
        <v>0</v>
      </c>
      <c r="G126" s="59">
        <v>22</v>
      </c>
      <c r="H126" s="58"/>
      <c r="I126" s="58"/>
      <c r="J126" s="60">
        <v>22</v>
      </c>
      <c r="K126" s="32">
        <f t="shared" si="34"/>
        <v>100</v>
      </c>
      <c r="L126" s="32">
        <f t="shared" si="35"/>
        <v>0</v>
      </c>
      <c r="M126" s="32">
        <f t="shared" si="36"/>
        <v>0</v>
      </c>
      <c r="N126" s="35">
        <f t="shared" si="26"/>
        <v>100</v>
      </c>
      <c r="O126" s="46">
        <v>60</v>
      </c>
      <c r="P126" s="46"/>
      <c r="Q126" s="46"/>
      <c r="R126" s="47">
        <f t="shared" si="37"/>
        <v>60</v>
      </c>
      <c r="S126" s="51">
        <v>2</v>
      </c>
      <c r="T126" s="284"/>
      <c r="U126" s="284"/>
      <c r="V126" s="37" t="s">
        <v>72</v>
      </c>
      <c r="W126" s="28" t="s">
        <v>74</v>
      </c>
      <c r="X126" s="28" t="s">
        <v>11</v>
      </c>
      <c r="Y126" s="38">
        <v>50</v>
      </c>
      <c r="Z126" s="28" t="s">
        <v>73</v>
      </c>
      <c r="AA126" s="28" t="s">
        <v>869</v>
      </c>
      <c r="AB126" s="28" t="s">
        <v>11</v>
      </c>
      <c r="AC126" s="28">
        <v>10</v>
      </c>
      <c r="AD126" s="61"/>
      <c r="AG126" s="63"/>
      <c r="AL126" s="61"/>
      <c r="AO126" s="63"/>
      <c r="AP126" s="61"/>
      <c r="AS126" s="63"/>
      <c r="AW126" s="63"/>
      <c r="BA126" s="169"/>
    </row>
    <row r="127" spans="1:53" s="62" customFormat="1" x14ac:dyDescent="0.15">
      <c r="A127" s="62">
        <v>2016</v>
      </c>
      <c r="B127" s="278">
        <v>42412</v>
      </c>
      <c r="C127" s="367" t="s">
        <v>1311</v>
      </c>
      <c r="D127" s="367"/>
      <c r="E127" s="58">
        <v>158</v>
      </c>
      <c r="F127" s="271"/>
      <c r="G127" s="59">
        <v>23</v>
      </c>
      <c r="H127" s="58"/>
      <c r="I127" s="58"/>
      <c r="J127" s="60">
        <v>23</v>
      </c>
      <c r="K127" s="32">
        <f t="shared" ref="K127" si="38">G127/J127*100</f>
        <v>100</v>
      </c>
      <c r="L127" s="32">
        <f t="shared" ref="L127:L128" si="39">H127/J127*100</f>
        <v>0</v>
      </c>
      <c r="M127" s="32">
        <f t="shared" ref="M127:M128" si="40">I127/J127*100</f>
        <v>0</v>
      </c>
      <c r="N127" s="35">
        <f t="shared" ref="N127" si="41">SUM(K127:M127)</f>
        <v>100</v>
      </c>
      <c r="O127" s="46">
        <v>60</v>
      </c>
      <c r="P127" s="46"/>
      <c r="Q127" s="46"/>
      <c r="R127" s="47">
        <f t="shared" ref="R127" si="42">SUM(O127:Q127)</f>
        <v>60</v>
      </c>
      <c r="S127" s="51">
        <v>2</v>
      </c>
      <c r="T127" s="284"/>
      <c r="U127" s="284"/>
      <c r="V127" s="37" t="s">
        <v>72</v>
      </c>
      <c r="W127" s="28" t="s">
        <v>74</v>
      </c>
      <c r="X127" s="28" t="s">
        <v>11</v>
      </c>
      <c r="Y127" s="38">
        <v>50</v>
      </c>
      <c r="Z127" s="28" t="s">
        <v>73</v>
      </c>
      <c r="AA127" s="28" t="s">
        <v>869</v>
      </c>
      <c r="AB127" s="28" t="s">
        <v>11</v>
      </c>
      <c r="AC127" s="28">
        <v>10</v>
      </c>
      <c r="AD127" s="61"/>
      <c r="AG127" s="63"/>
      <c r="AL127" s="61"/>
      <c r="AO127" s="63"/>
      <c r="AP127" s="61"/>
      <c r="AS127" s="63"/>
      <c r="AW127" s="63"/>
      <c r="BA127" s="169"/>
    </row>
    <row r="128" spans="1:53" s="216" customFormat="1" x14ac:dyDescent="0.15">
      <c r="A128" s="115">
        <v>2016</v>
      </c>
      <c r="B128" s="276">
        <v>42570</v>
      </c>
      <c r="C128" s="366" t="s">
        <v>1360</v>
      </c>
      <c r="D128" s="366"/>
      <c r="E128" s="115">
        <v>166</v>
      </c>
      <c r="F128" s="115">
        <v>1</v>
      </c>
      <c r="G128" s="210">
        <v>23</v>
      </c>
      <c r="H128" s="115"/>
      <c r="I128" s="115"/>
      <c r="J128" s="211">
        <v>23</v>
      </c>
      <c r="K128" s="173">
        <f t="shared" si="34"/>
        <v>100</v>
      </c>
      <c r="L128" s="173">
        <f t="shared" si="39"/>
        <v>0</v>
      </c>
      <c r="M128" s="173">
        <f t="shared" si="40"/>
        <v>0</v>
      </c>
      <c r="N128" s="174">
        <f t="shared" ref="N128" si="43">SUM(K128:M128)</f>
        <v>100</v>
      </c>
      <c r="O128" s="212">
        <v>50.7</v>
      </c>
      <c r="P128" s="213"/>
      <c r="Q128" s="213"/>
      <c r="R128" s="214">
        <f t="shared" ref="R128" si="44">SUM(O128:Q128)</f>
        <v>50.7</v>
      </c>
      <c r="S128" s="215">
        <v>2</v>
      </c>
      <c r="T128" s="286">
        <v>42553</v>
      </c>
      <c r="U128" s="283">
        <v>42570</v>
      </c>
      <c r="V128" s="170" t="s">
        <v>72</v>
      </c>
      <c r="W128" s="170" t="s">
        <v>74</v>
      </c>
      <c r="X128" s="170" t="s">
        <v>11</v>
      </c>
      <c r="Y128" s="178">
        <v>44</v>
      </c>
      <c r="Z128" s="170" t="s">
        <v>73</v>
      </c>
      <c r="AA128" s="170" t="s">
        <v>869</v>
      </c>
      <c r="AB128" s="170" t="s">
        <v>11</v>
      </c>
      <c r="AC128" s="170">
        <v>6.7</v>
      </c>
      <c r="AD128" s="177"/>
      <c r="AE128" s="170"/>
      <c r="AF128" s="170"/>
      <c r="AG128" s="178"/>
      <c r="AH128" s="170"/>
      <c r="AI128" s="170"/>
      <c r="AJ128" s="170"/>
      <c r="AK128" s="170"/>
      <c r="AL128" s="177"/>
      <c r="AM128" s="170"/>
      <c r="AN128" s="170"/>
      <c r="AO128" s="178"/>
      <c r="AP128" s="177"/>
      <c r="AQ128" s="170"/>
      <c r="AR128" s="170"/>
      <c r="AS128" s="178"/>
      <c r="AT128" s="170"/>
      <c r="AW128" s="178"/>
      <c r="BA128" s="217"/>
    </row>
    <row r="129" spans="1:54" s="216" customFormat="1" x14ac:dyDescent="0.15">
      <c r="A129" s="115">
        <v>2017</v>
      </c>
      <c r="B129" s="276"/>
      <c r="C129" s="366" t="s">
        <v>1360</v>
      </c>
      <c r="D129" s="366"/>
      <c r="E129" s="115">
        <v>0</v>
      </c>
      <c r="F129" s="115"/>
      <c r="G129" s="210">
        <v>23</v>
      </c>
      <c r="H129" s="115"/>
      <c r="I129" s="115"/>
      <c r="J129" s="211">
        <v>23</v>
      </c>
      <c r="K129" s="173">
        <f t="shared" ref="K129:K132" si="45">G129/J129*100</f>
        <v>100</v>
      </c>
      <c r="L129" s="173">
        <f t="shared" ref="L129:L132" si="46">H129/J129*100</f>
        <v>0</v>
      </c>
      <c r="M129" s="173">
        <f t="shared" ref="M129:M132" si="47">I129/J129*100</f>
        <v>0</v>
      </c>
      <c r="N129" s="174">
        <f t="shared" ref="N129:N132" si="48">SUM(K129:M129)</f>
        <v>100</v>
      </c>
      <c r="O129" s="212">
        <v>50.7</v>
      </c>
      <c r="P129" s="213"/>
      <c r="Q129" s="213"/>
      <c r="R129" s="214">
        <f t="shared" ref="R129:R136" si="49">SUM(O129:Q129)</f>
        <v>50.7</v>
      </c>
      <c r="S129" s="215">
        <v>2</v>
      </c>
      <c r="T129" s="283"/>
      <c r="U129" s="283"/>
      <c r="V129" s="177" t="s">
        <v>72</v>
      </c>
      <c r="W129" s="170" t="s">
        <v>74</v>
      </c>
      <c r="X129" s="170" t="s">
        <v>11</v>
      </c>
      <c r="Y129" s="178">
        <v>44</v>
      </c>
      <c r="Z129" s="170" t="s">
        <v>73</v>
      </c>
      <c r="AA129" s="170" t="s">
        <v>869</v>
      </c>
      <c r="AB129" s="170" t="s">
        <v>11</v>
      </c>
      <c r="AC129" s="170">
        <v>6.7</v>
      </c>
      <c r="AD129" s="177"/>
      <c r="AE129" s="170"/>
      <c r="AF129" s="170"/>
      <c r="AG129" s="178"/>
      <c r="AH129" s="170"/>
      <c r="AI129" s="170"/>
      <c r="AJ129" s="170"/>
      <c r="AK129" s="170"/>
      <c r="AL129" s="177"/>
      <c r="AM129" s="170"/>
      <c r="AN129" s="170"/>
      <c r="AO129" s="178"/>
      <c r="AP129" s="177"/>
      <c r="AQ129" s="170"/>
      <c r="AR129" s="170"/>
      <c r="AS129" s="178"/>
      <c r="AT129" s="170"/>
      <c r="AW129" s="178"/>
      <c r="BA129" s="217"/>
    </row>
    <row r="130" spans="1:54" s="216" customFormat="1" x14ac:dyDescent="0.15">
      <c r="A130" s="115">
        <v>2017</v>
      </c>
      <c r="B130" s="276"/>
      <c r="C130" s="366" t="s">
        <v>1360</v>
      </c>
      <c r="D130" s="366"/>
      <c r="E130" s="115">
        <v>365</v>
      </c>
      <c r="F130" s="115"/>
      <c r="G130" s="210">
        <v>23</v>
      </c>
      <c r="H130" s="115"/>
      <c r="I130" s="115"/>
      <c r="J130" s="211">
        <v>23</v>
      </c>
      <c r="K130" s="173">
        <f t="shared" si="45"/>
        <v>100</v>
      </c>
      <c r="L130" s="173">
        <f t="shared" si="46"/>
        <v>0</v>
      </c>
      <c r="M130" s="173">
        <f t="shared" si="47"/>
        <v>0</v>
      </c>
      <c r="N130" s="174">
        <f t="shared" si="48"/>
        <v>100</v>
      </c>
      <c r="O130" s="212">
        <v>50.7</v>
      </c>
      <c r="P130" s="213"/>
      <c r="Q130" s="213"/>
      <c r="R130" s="214">
        <f t="shared" si="49"/>
        <v>50.7</v>
      </c>
      <c r="S130" s="215">
        <v>2</v>
      </c>
      <c r="T130" s="283"/>
      <c r="U130" s="283"/>
      <c r="V130" s="177" t="s">
        <v>72</v>
      </c>
      <c r="W130" s="170" t="s">
        <v>74</v>
      </c>
      <c r="X130" s="170" t="s">
        <v>11</v>
      </c>
      <c r="Y130" s="178">
        <v>44</v>
      </c>
      <c r="Z130" s="170" t="s">
        <v>73</v>
      </c>
      <c r="AA130" s="170" t="s">
        <v>869</v>
      </c>
      <c r="AB130" s="170" t="s">
        <v>11</v>
      </c>
      <c r="AC130" s="170">
        <v>6.7</v>
      </c>
      <c r="AD130" s="177"/>
      <c r="AE130" s="170"/>
      <c r="AF130" s="170"/>
      <c r="AG130" s="178"/>
      <c r="AH130" s="170"/>
      <c r="AI130" s="170"/>
      <c r="AJ130" s="170"/>
      <c r="AK130" s="170"/>
      <c r="AL130" s="177"/>
      <c r="AM130" s="170"/>
      <c r="AN130" s="170"/>
      <c r="AO130" s="178"/>
      <c r="AP130" s="177"/>
      <c r="AQ130" s="170"/>
      <c r="AR130" s="170"/>
      <c r="AS130" s="178"/>
      <c r="AT130" s="170"/>
      <c r="AW130" s="178"/>
      <c r="BA130" s="217"/>
    </row>
    <row r="131" spans="1:54" s="216" customFormat="1" x14ac:dyDescent="0.15">
      <c r="A131" s="115">
        <v>2018</v>
      </c>
      <c r="B131" s="276"/>
      <c r="C131" s="366" t="s">
        <v>1360</v>
      </c>
      <c r="D131" s="366"/>
      <c r="E131" s="115">
        <v>239</v>
      </c>
      <c r="F131" s="115"/>
      <c r="G131" s="210">
        <v>23</v>
      </c>
      <c r="H131" s="115"/>
      <c r="I131" s="115"/>
      <c r="J131" s="211">
        <v>23</v>
      </c>
      <c r="K131" s="173">
        <f t="shared" si="45"/>
        <v>100</v>
      </c>
      <c r="L131" s="173">
        <f t="shared" si="46"/>
        <v>0</v>
      </c>
      <c r="M131" s="173">
        <f t="shared" si="47"/>
        <v>0</v>
      </c>
      <c r="N131" s="174">
        <f t="shared" si="48"/>
        <v>100</v>
      </c>
      <c r="O131" s="212">
        <v>50.7</v>
      </c>
      <c r="P131" s="213"/>
      <c r="Q131" s="213"/>
      <c r="R131" s="214">
        <f t="shared" si="49"/>
        <v>50.7</v>
      </c>
      <c r="S131" s="215">
        <v>2</v>
      </c>
      <c r="T131" s="283"/>
      <c r="U131" s="283"/>
      <c r="V131" s="232" t="s">
        <v>72</v>
      </c>
      <c r="W131" s="170" t="s">
        <v>74</v>
      </c>
      <c r="X131" s="170" t="s">
        <v>11</v>
      </c>
      <c r="Y131" s="178">
        <v>44</v>
      </c>
      <c r="Z131" s="170" t="s">
        <v>73</v>
      </c>
      <c r="AA131" s="170" t="s">
        <v>869</v>
      </c>
      <c r="AB131" s="170" t="s">
        <v>11</v>
      </c>
      <c r="AC131" s="170">
        <v>6.7</v>
      </c>
      <c r="AD131" s="177"/>
      <c r="AE131" s="170"/>
      <c r="AF131" s="170"/>
      <c r="AG131" s="178"/>
      <c r="AH131" s="170"/>
      <c r="AI131" s="170"/>
      <c r="AJ131" s="170"/>
      <c r="AK131" s="170"/>
      <c r="AL131" s="177"/>
      <c r="AM131" s="170"/>
      <c r="AN131" s="170"/>
      <c r="AO131" s="178"/>
      <c r="AP131" s="177"/>
      <c r="AQ131" s="170"/>
      <c r="AR131" s="170"/>
      <c r="AS131" s="178"/>
      <c r="AT131" s="170"/>
      <c r="AW131" s="178"/>
      <c r="BA131" s="217"/>
    </row>
    <row r="132" spans="1:54" s="62" customFormat="1" x14ac:dyDescent="0.15">
      <c r="A132" s="62">
        <v>2018</v>
      </c>
      <c r="B132" s="280">
        <v>43340</v>
      </c>
      <c r="C132" s="367" t="s">
        <v>1386</v>
      </c>
      <c r="D132" s="367"/>
      <c r="E132" s="58">
        <v>126</v>
      </c>
      <c r="F132" s="58">
        <v>2</v>
      </c>
      <c r="G132" s="59">
        <v>23</v>
      </c>
      <c r="H132" s="58"/>
      <c r="I132" s="58"/>
      <c r="J132" s="60">
        <v>23</v>
      </c>
      <c r="K132" s="32">
        <f t="shared" si="45"/>
        <v>100</v>
      </c>
      <c r="L132" s="32">
        <f t="shared" si="46"/>
        <v>0</v>
      </c>
      <c r="M132" s="32">
        <f t="shared" si="47"/>
        <v>0</v>
      </c>
      <c r="N132" s="35">
        <f t="shared" si="48"/>
        <v>100</v>
      </c>
      <c r="O132" s="46">
        <v>50.7</v>
      </c>
      <c r="P132" s="46"/>
      <c r="Q132" s="46"/>
      <c r="R132" s="47">
        <f t="shared" si="49"/>
        <v>50.7</v>
      </c>
      <c r="S132" s="51">
        <v>2</v>
      </c>
      <c r="T132" s="284"/>
      <c r="U132" s="284">
        <v>43340</v>
      </c>
      <c r="V132" s="37" t="s">
        <v>72</v>
      </c>
      <c r="W132" s="28" t="s">
        <v>74</v>
      </c>
      <c r="X132" s="28" t="s">
        <v>11</v>
      </c>
      <c r="Y132" s="38">
        <v>40</v>
      </c>
      <c r="Z132" s="28" t="s">
        <v>73</v>
      </c>
      <c r="AA132" s="28" t="s">
        <v>869</v>
      </c>
      <c r="AB132" s="28" t="s">
        <v>11</v>
      </c>
      <c r="AC132" s="28">
        <v>10.7</v>
      </c>
      <c r="AD132" s="61"/>
      <c r="AG132" s="63"/>
      <c r="AL132" s="61"/>
      <c r="AO132" s="63"/>
      <c r="AP132" s="61"/>
      <c r="AS132" s="63"/>
      <c r="AW132" s="63"/>
      <c r="BA132" s="169"/>
    </row>
    <row r="133" spans="1:54" s="62" customFormat="1" x14ac:dyDescent="0.15">
      <c r="A133" s="62">
        <v>2019</v>
      </c>
      <c r="B133" s="280"/>
      <c r="C133" s="367" t="s">
        <v>1386</v>
      </c>
      <c r="D133" s="367"/>
      <c r="E133" s="58">
        <v>148</v>
      </c>
      <c r="F133" s="317"/>
      <c r="G133" s="58">
        <v>23</v>
      </c>
      <c r="H133" s="58"/>
      <c r="I133" s="58"/>
      <c r="J133" s="60">
        <v>23</v>
      </c>
      <c r="K133" s="32">
        <f t="shared" ref="K133:K136" si="50">G133/J133*100</f>
        <v>100</v>
      </c>
      <c r="L133" s="32">
        <f t="shared" ref="L133:L136" si="51">H133/J133*100</f>
        <v>0</v>
      </c>
      <c r="M133" s="32">
        <f t="shared" ref="M133:M136" si="52">I133/J133*100</f>
        <v>0</v>
      </c>
      <c r="N133" s="35">
        <f t="shared" ref="N133:N136" si="53">SUM(K133:M133)</f>
        <v>100</v>
      </c>
      <c r="O133" s="46">
        <v>50.7</v>
      </c>
      <c r="P133" s="46"/>
      <c r="Q133" s="46"/>
      <c r="R133" s="67">
        <f t="shared" si="49"/>
        <v>50.7</v>
      </c>
      <c r="S133" s="68">
        <v>2</v>
      </c>
      <c r="T133" s="319"/>
      <c r="U133" s="284"/>
      <c r="V133" s="37" t="s">
        <v>72</v>
      </c>
      <c r="W133" s="28" t="s">
        <v>74</v>
      </c>
      <c r="X133" s="28" t="s">
        <v>11</v>
      </c>
      <c r="Y133" s="38">
        <v>40</v>
      </c>
      <c r="Z133" s="28" t="s">
        <v>73</v>
      </c>
      <c r="AA133" s="28" t="s">
        <v>869</v>
      </c>
      <c r="AB133" s="28" t="s">
        <v>11</v>
      </c>
      <c r="AC133" s="28">
        <v>10.7</v>
      </c>
      <c r="AD133" s="61"/>
      <c r="AG133" s="63"/>
      <c r="AL133" s="61"/>
      <c r="AO133" s="63"/>
      <c r="AP133" s="61"/>
      <c r="AS133" s="63"/>
      <c r="AW133" s="63"/>
      <c r="BA133" s="169"/>
    </row>
    <row r="134" spans="1:54" s="216" customFormat="1" x14ac:dyDescent="0.15">
      <c r="A134" s="115">
        <v>2019</v>
      </c>
      <c r="B134" s="276">
        <v>43614</v>
      </c>
      <c r="C134" s="366" t="s">
        <v>1405</v>
      </c>
      <c r="D134" s="366"/>
      <c r="E134" s="115">
        <v>217</v>
      </c>
      <c r="F134" s="318">
        <v>1</v>
      </c>
      <c r="G134" s="115">
        <v>23</v>
      </c>
      <c r="H134" s="115"/>
      <c r="I134" s="115"/>
      <c r="J134" s="211">
        <v>23</v>
      </c>
      <c r="K134" s="173">
        <f t="shared" si="50"/>
        <v>100</v>
      </c>
      <c r="L134" s="173">
        <f t="shared" si="51"/>
        <v>0</v>
      </c>
      <c r="M134" s="173">
        <f t="shared" si="52"/>
        <v>0</v>
      </c>
      <c r="N134" s="174">
        <f t="shared" si="53"/>
        <v>100</v>
      </c>
      <c r="O134" s="212">
        <v>49.4</v>
      </c>
      <c r="P134" s="213"/>
      <c r="Q134" s="213"/>
      <c r="R134" s="234">
        <f t="shared" si="49"/>
        <v>49.4</v>
      </c>
      <c r="S134" s="219">
        <v>5</v>
      </c>
      <c r="T134" s="283">
        <v>43603</v>
      </c>
      <c r="U134" s="283">
        <v>43614</v>
      </c>
      <c r="V134" s="170" t="s">
        <v>72</v>
      </c>
      <c r="W134" s="170" t="s">
        <v>74</v>
      </c>
      <c r="X134" s="170" t="s">
        <v>11</v>
      </c>
      <c r="Y134" s="178">
        <v>38.700000000000003</v>
      </c>
      <c r="Z134" s="170" t="s">
        <v>73</v>
      </c>
      <c r="AA134" s="170" t="s">
        <v>869</v>
      </c>
      <c r="AB134" s="170" t="s">
        <v>11</v>
      </c>
      <c r="AC134" s="170">
        <v>10.7</v>
      </c>
      <c r="AD134" s="177"/>
      <c r="AE134" s="170"/>
      <c r="AF134" s="170"/>
      <c r="AG134" s="178"/>
      <c r="AH134" s="170"/>
      <c r="AI134" s="170"/>
      <c r="AJ134" s="170"/>
      <c r="AK134" s="170"/>
      <c r="AL134" s="177"/>
      <c r="AM134" s="170"/>
      <c r="AN134" s="170"/>
      <c r="AO134" s="178"/>
      <c r="AP134" s="177"/>
      <c r="AQ134" s="170"/>
      <c r="AR134" s="170"/>
      <c r="AS134" s="178"/>
      <c r="AT134" s="170"/>
      <c r="AW134" s="178"/>
      <c r="BA134" s="217"/>
    </row>
    <row r="135" spans="1:54" s="216" customFormat="1" x14ac:dyDescent="0.15">
      <c r="A135" s="115">
        <v>2020</v>
      </c>
      <c r="B135" s="276"/>
      <c r="C135" s="366" t="s">
        <v>1405</v>
      </c>
      <c r="D135" s="366"/>
      <c r="E135" s="115">
        <v>355</v>
      </c>
      <c r="F135" s="318"/>
      <c r="G135" s="115">
        <v>23</v>
      </c>
      <c r="H135" s="115"/>
      <c r="I135" s="115"/>
      <c r="J135" s="211">
        <v>23</v>
      </c>
      <c r="K135" s="173">
        <f>G135/J135*100</f>
        <v>100</v>
      </c>
      <c r="L135" s="173">
        <f t="shared" si="51"/>
        <v>0</v>
      </c>
      <c r="M135" s="173">
        <f t="shared" si="52"/>
        <v>0</v>
      </c>
      <c r="N135" s="176">
        <f t="shared" si="53"/>
        <v>100</v>
      </c>
      <c r="O135" s="213">
        <v>49.4</v>
      </c>
      <c r="P135" s="213"/>
      <c r="Q135" s="213"/>
      <c r="R135" s="234">
        <f t="shared" si="49"/>
        <v>49.4</v>
      </c>
      <c r="S135" s="219">
        <v>5</v>
      </c>
      <c r="T135" s="283"/>
      <c r="U135" s="283"/>
      <c r="V135" s="170" t="s">
        <v>72</v>
      </c>
      <c r="W135" s="170" t="s">
        <v>75</v>
      </c>
      <c r="X135" s="170" t="s">
        <v>11</v>
      </c>
      <c r="Y135" s="178">
        <v>38.700000000000003</v>
      </c>
      <c r="Z135" s="170" t="s">
        <v>73</v>
      </c>
      <c r="AA135" s="170" t="s">
        <v>869</v>
      </c>
      <c r="AB135" s="170" t="s">
        <v>11</v>
      </c>
      <c r="AC135" s="178">
        <v>10.7</v>
      </c>
      <c r="AD135" s="170"/>
      <c r="AE135" s="170"/>
      <c r="AF135" s="170"/>
      <c r="AG135" s="178"/>
      <c r="AH135" s="170"/>
      <c r="AI135" s="170"/>
      <c r="AJ135" s="170"/>
      <c r="AK135" s="178"/>
      <c r="AL135" s="170"/>
      <c r="AM135" s="170"/>
      <c r="AN135" s="170"/>
      <c r="AO135" s="170"/>
      <c r="AP135" s="177"/>
      <c r="AQ135" s="170"/>
      <c r="AR135" s="170"/>
      <c r="AS135" s="178"/>
      <c r="AT135" s="170"/>
      <c r="AW135" s="178"/>
      <c r="BB135" s="321"/>
    </row>
    <row r="136" spans="1:54" s="216" customFormat="1" x14ac:dyDescent="0.15">
      <c r="A136" s="115">
        <v>2020</v>
      </c>
      <c r="B136" s="282">
        <v>44187</v>
      </c>
      <c r="C136" s="366" t="s">
        <v>1405</v>
      </c>
      <c r="D136" s="366"/>
      <c r="E136" s="115">
        <v>11</v>
      </c>
      <c r="F136" s="350">
        <v>0</v>
      </c>
      <c r="G136" s="115">
        <v>22</v>
      </c>
      <c r="H136" s="115"/>
      <c r="I136" s="115"/>
      <c r="J136" s="211">
        <v>22</v>
      </c>
      <c r="K136" s="173">
        <f t="shared" si="50"/>
        <v>100</v>
      </c>
      <c r="L136" s="173">
        <f t="shared" si="51"/>
        <v>0</v>
      </c>
      <c r="M136" s="173">
        <f t="shared" si="52"/>
        <v>0</v>
      </c>
      <c r="N136" s="176">
        <f t="shared" si="53"/>
        <v>100</v>
      </c>
      <c r="O136" s="213">
        <v>49.4</v>
      </c>
      <c r="P136" s="213"/>
      <c r="Q136" s="213"/>
      <c r="R136" s="234">
        <f t="shared" si="49"/>
        <v>49.4</v>
      </c>
      <c r="S136" s="219">
        <v>5</v>
      </c>
      <c r="T136" s="283"/>
      <c r="U136" s="283"/>
      <c r="V136" s="170" t="s">
        <v>72</v>
      </c>
      <c r="W136" s="170" t="s">
        <v>76</v>
      </c>
      <c r="X136" s="170" t="s">
        <v>11</v>
      </c>
      <c r="Y136" s="178">
        <v>38.700000000000003</v>
      </c>
      <c r="Z136" s="170" t="s">
        <v>73</v>
      </c>
      <c r="AA136" s="170" t="s">
        <v>869</v>
      </c>
      <c r="AB136" s="170" t="s">
        <v>11</v>
      </c>
      <c r="AC136" s="178">
        <v>10.7</v>
      </c>
      <c r="AD136" s="170"/>
      <c r="AE136" s="170"/>
      <c r="AF136" s="170"/>
      <c r="AG136" s="178"/>
      <c r="AH136" s="170"/>
      <c r="AI136" s="170"/>
      <c r="AJ136" s="170"/>
      <c r="AK136" s="170"/>
      <c r="AL136" s="177"/>
      <c r="AM136" s="170"/>
      <c r="AN136" s="170"/>
      <c r="AO136" s="170"/>
      <c r="AP136" s="177"/>
      <c r="AQ136" s="170"/>
      <c r="AR136" s="170"/>
      <c r="AS136" s="178"/>
      <c r="AT136" s="170"/>
      <c r="AW136" s="170"/>
      <c r="AX136" s="320"/>
      <c r="BB136" s="321"/>
    </row>
    <row r="137" spans="1:54" s="216" customFormat="1" x14ac:dyDescent="0.15">
      <c r="A137" s="115">
        <v>2021</v>
      </c>
      <c r="B137" s="282"/>
      <c r="C137" s="366" t="s">
        <v>1405</v>
      </c>
      <c r="D137" s="366"/>
      <c r="E137" s="115">
        <v>182</v>
      </c>
      <c r="F137" s="350"/>
      <c r="G137" s="115">
        <v>22</v>
      </c>
      <c r="H137" s="115"/>
      <c r="I137" s="115"/>
      <c r="J137" s="211">
        <v>22</v>
      </c>
      <c r="K137" s="173">
        <f t="shared" ref="K137:K138" si="54">G137/J137*100</f>
        <v>100</v>
      </c>
      <c r="L137" s="173">
        <f t="shared" ref="L137:L141" si="55">H137/J137*100</f>
        <v>0</v>
      </c>
      <c r="M137" s="173">
        <f t="shared" ref="M137:M140" si="56">I137/J137*100</f>
        <v>0</v>
      </c>
      <c r="N137" s="176">
        <f t="shared" ref="N137:N140" si="57">SUM(K137:M137)</f>
        <v>100</v>
      </c>
      <c r="O137" s="213">
        <v>49.4</v>
      </c>
      <c r="P137" s="213"/>
      <c r="Q137" s="213"/>
      <c r="R137" s="234">
        <f t="shared" ref="R137:R141" si="58">SUM(O137:Q137)</f>
        <v>49.4</v>
      </c>
      <c r="S137" s="219">
        <v>5</v>
      </c>
      <c r="T137" s="283"/>
      <c r="U137" s="283"/>
      <c r="V137" s="170" t="s">
        <v>72</v>
      </c>
      <c r="W137" s="170" t="s">
        <v>76</v>
      </c>
      <c r="X137" s="170" t="s">
        <v>11</v>
      </c>
      <c r="Y137" s="178">
        <v>38.700000000000003</v>
      </c>
      <c r="Z137" s="170" t="s">
        <v>73</v>
      </c>
      <c r="AA137" s="170" t="s">
        <v>869</v>
      </c>
      <c r="AB137" s="170" t="s">
        <v>11</v>
      </c>
      <c r="AC137" s="178">
        <v>10.7</v>
      </c>
      <c r="AD137" s="170"/>
      <c r="AE137" s="170"/>
      <c r="AF137" s="170"/>
      <c r="AG137" s="178"/>
      <c r="AH137" s="170"/>
      <c r="AI137" s="170"/>
      <c r="AJ137" s="170"/>
      <c r="AK137" s="170"/>
      <c r="AL137" s="177"/>
      <c r="AM137" s="170"/>
      <c r="AN137" s="170"/>
      <c r="AO137" s="170"/>
      <c r="AP137" s="177"/>
      <c r="AQ137" s="170"/>
      <c r="AR137" s="170"/>
      <c r="AS137" s="178"/>
      <c r="AT137" s="170"/>
      <c r="AW137" s="170"/>
      <c r="AX137" s="320"/>
      <c r="BB137" s="321"/>
    </row>
    <row r="138" spans="1:54" s="216" customFormat="1" x14ac:dyDescent="0.15">
      <c r="A138" s="115">
        <v>2021</v>
      </c>
      <c r="B138" s="282">
        <v>44379</v>
      </c>
      <c r="C138" s="366" t="s">
        <v>1405</v>
      </c>
      <c r="D138" s="366"/>
      <c r="E138" s="115">
        <v>98</v>
      </c>
      <c r="F138" s="350">
        <v>0</v>
      </c>
      <c r="G138" s="115">
        <v>23</v>
      </c>
      <c r="H138" s="115"/>
      <c r="I138" s="115"/>
      <c r="J138" s="211">
        <v>23</v>
      </c>
      <c r="K138" s="173">
        <f t="shared" si="54"/>
        <v>100</v>
      </c>
      <c r="L138" s="173">
        <f t="shared" si="55"/>
        <v>0</v>
      </c>
      <c r="M138" s="173">
        <f t="shared" si="56"/>
        <v>0</v>
      </c>
      <c r="N138" s="176">
        <f t="shared" si="57"/>
        <v>100</v>
      </c>
      <c r="O138" s="213">
        <v>49.4</v>
      </c>
      <c r="P138" s="213"/>
      <c r="Q138" s="213"/>
      <c r="R138" s="234">
        <f t="shared" si="58"/>
        <v>49.4</v>
      </c>
      <c r="S138" s="219">
        <v>5</v>
      </c>
      <c r="T138" s="283"/>
      <c r="U138" s="283"/>
      <c r="V138" s="170" t="s">
        <v>72</v>
      </c>
      <c r="W138" s="170" t="s">
        <v>76</v>
      </c>
      <c r="X138" s="170" t="s">
        <v>11</v>
      </c>
      <c r="Y138" s="178">
        <v>38.700000000000003</v>
      </c>
      <c r="Z138" s="170" t="s">
        <v>73</v>
      </c>
      <c r="AA138" s="170" t="s">
        <v>869</v>
      </c>
      <c r="AB138" s="170" t="s">
        <v>11</v>
      </c>
      <c r="AC138" s="178">
        <v>10.7</v>
      </c>
      <c r="AD138" s="170"/>
      <c r="AE138" s="170"/>
      <c r="AF138" s="170"/>
      <c r="AG138" s="178"/>
      <c r="AH138" s="170"/>
      <c r="AI138" s="170"/>
      <c r="AJ138" s="170"/>
      <c r="AK138" s="170"/>
      <c r="AL138" s="177"/>
      <c r="AM138" s="170"/>
      <c r="AN138" s="170"/>
      <c r="AO138" s="170"/>
      <c r="AP138" s="177"/>
      <c r="AQ138" s="170"/>
      <c r="AR138" s="170"/>
      <c r="AS138" s="178"/>
      <c r="AT138" s="170"/>
      <c r="AW138" s="170"/>
      <c r="AX138" s="320"/>
      <c r="BB138" s="321"/>
    </row>
    <row r="139" spans="1:54" s="216" customFormat="1" x14ac:dyDescent="0.15">
      <c r="A139" s="115">
        <v>2021</v>
      </c>
      <c r="B139" s="282">
        <v>44477</v>
      </c>
      <c r="C139" s="366" t="s">
        <v>1405</v>
      </c>
      <c r="D139" s="366"/>
      <c r="E139" s="115">
        <v>85</v>
      </c>
      <c r="F139" s="350">
        <v>0</v>
      </c>
      <c r="G139" s="115">
        <v>24</v>
      </c>
      <c r="H139" s="115"/>
      <c r="I139" s="115"/>
      <c r="J139" s="211">
        <v>24</v>
      </c>
      <c r="K139" s="173">
        <f>G139/J139*100</f>
        <v>100</v>
      </c>
      <c r="L139" s="173">
        <f t="shared" si="55"/>
        <v>0</v>
      </c>
      <c r="M139" s="173">
        <f t="shared" si="56"/>
        <v>0</v>
      </c>
      <c r="N139" s="176">
        <f t="shared" si="57"/>
        <v>100</v>
      </c>
      <c r="O139" s="213">
        <v>49.4</v>
      </c>
      <c r="P139" s="213"/>
      <c r="Q139" s="213"/>
      <c r="R139" s="234">
        <f t="shared" si="58"/>
        <v>49.4</v>
      </c>
      <c r="S139" s="219">
        <v>5</v>
      </c>
      <c r="T139" s="283"/>
      <c r="U139" s="283"/>
      <c r="V139" s="170" t="s">
        <v>72</v>
      </c>
      <c r="W139" s="170" t="s">
        <v>76</v>
      </c>
      <c r="X139" s="170" t="s">
        <v>11</v>
      </c>
      <c r="Y139" s="178">
        <v>38.700000000000003</v>
      </c>
      <c r="Z139" s="170" t="s">
        <v>73</v>
      </c>
      <c r="AA139" s="170" t="s">
        <v>869</v>
      </c>
      <c r="AB139" s="170" t="s">
        <v>11</v>
      </c>
      <c r="AC139" s="178">
        <v>10.7</v>
      </c>
      <c r="AD139" s="170"/>
      <c r="AE139" s="170"/>
      <c r="AF139" s="170"/>
      <c r="AG139" s="178"/>
      <c r="AH139" s="170"/>
      <c r="AI139" s="170"/>
      <c r="AJ139" s="170"/>
      <c r="AK139" s="170"/>
      <c r="AL139" s="177"/>
      <c r="AM139" s="170"/>
      <c r="AN139" s="170"/>
      <c r="AO139" s="170"/>
      <c r="AP139" s="177"/>
      <c r="AQ139" s="170"/>
      <c r="AR139" s="170"/>
      <c r="AS139" s="178"/>
      <c r="AT139" s="170"/>
      <c r="AW139" s="170"/>
      <c r="AX139" s="320"/>
      <c r="BB139" s="321"/>
    </row>
    <row r="140" spans="1:54" s="216" customFormat="1" x14ac:dyDescent="0.15">
      <c r="A140" s="115">
        <v>2022</v>
      </c>
      <c r="B140" s="282"/>
      <c r="C140" s="366" t="s">
        <v>1405</v>
      </c>
      <c r="D140" s="366"/>
      <c r="E140" s="115">
        <v>151</v>
      </c>
      <c r="F140" s="350"/>
      <c r="G140" s="115">
        <v>24</v>
      </c>
      <c r="H140" s="115"/>
      <c r="I140" s="115"/>
      <c r="J140" s="211">
        <v>24</v>
      </c>
      <c r="K140" s="173">
        <f>G140/J140*100</f>
        <v>100</v>
      </c>
      <c r="L140" s="173">
        <f t="shared" si="55"/>
        <v>0</v>
      </c>
      <c r="M140" s="173">
        <f t="shared" si="56"/>
        <v>0</v>
      </c>
      <c r="N140" s="176">
        <f t="shared" si="57"/>
        <v>100</v>
      </c>
      <c r="O140" s="213">
        <v>49.4</v>
      </c>
      <c r="P140" s="213"/>
      <c r="Q140" s="213"/>
      <c r="R140" s="234">
        <f t="shared" si="58"/>
        <v>49.4</v>
      </c>
      <c r="S140" s="219">
        <v>5</v>
      </c>
      <c r="T140" s="283"/>
      <c r="U140" s="283"/>
      <c r="V140" s="170" t="s">
        <v>72</v>
      </c>
      <c r="W140" s="170" t="s">
        <v>76</v>
      </c>
      <c r="X140" s="170" t="s">
        <v>11</v>
      </c>
      <c r="Y140" s="178">
        <v>38.700000000000003</v>
      </c>
      <c r="Z140" s="170" t="s">
        <v>73</v>
      </c>
      <c r="AA140" s="170" t="s">
        <v>869</v>
      </c>
      <c r="AB140" s="170" t="s">
        <v>11</v>
      </c>
      <c r="AC140" s="178">
        <v>10.7</v>
      </c>
      <c r="AD140" s="170"/>
      <c r="AE140" s="170"/>
      <c r="AF140" s="170"/>
      <c r="AG140" s="178"/>
      <c r="AH140" s="170"/>
      <c r="AI140" s="170"/>
      <c r="AJ140" s="170"/>
      <c r="AK140" s="170"/>
      <c r="AL140" s="177"/>
      <c r="AM140" s="170"/>
      <c r="AN140" s="170"/>
      <c r="AO140" s="170"/>
      <c r="AP140" s="177"/>
      <c r="AQ140" s="170"/>
      <c r="AR140" s="170"/>
      <c r="AS140" s="178"/>
      <c r="AT140" s="170"/>
      <c r="AW140" s="170"/>
      <c r="AX140" s="320"/>
      <c r="BB140" s="321"/>
    </row>
    <row r="141" spans="1:54" s="62" customFormat="1" x14ac:dyDescent="0.15">
      <c r="A141" s="62">
        <v>2022</v>
      </c>
      <c r="B141" s="277">
        <v>44713</v>
      </c>
      <c r="C141" s="367" t="s">
        <v>1518</v>
      </c>
      <c r="D141" s="367"/>
      <c r="E141" s="58">
        <v>214</v>
      </c>
      <c r="F141" s="58">
        <v>1</v>
      </c>
      <c r="G141" s="59"/>
      <c r="H141" s="58"/>
      <c r="I141" s="58">
        <v>23</v>
      </c>
      <c r="J141" s="60">
        <v>23</v>
      </c>
      <c r="K141" s="32">
        <v>0</v>
      </c>
      <c r="L141" s="32">
        <f t="shared" si="55"/>
        <v>0</v>
      </c>
      <c r="M141" s="32">
        <v>100</v>
      </c>
      <c r="N141" s="35">
        <v>100</v>
      </c>
      <c r="O141" s="46"/>
      <c r="P141" s="46"/>
      <c r="Q141" s="46">
        <v>51</v>
      </c>
      <c r="R141" s="47">
        <f t="shared" si="58"/>
        <v>51</v>
      </c>
      <c r="S141" s="51">
        <v>1</v>
      </c>
      <c r="T141" s="284">
        <v>44702</v>
      </c>
      <c r="U141" s="284">
        <v>44713</v>
      </c>
      <c r="V141" s="37" t="s">
        <v>77</v>
      </c>
      <c r="W141" s="28" t="s">
        <v>20</v>
      </c>
      <c r="X141" s="28" t="s">
        <v>12</v>
      </c>
      <c r="Y141" s="38">
        <v>51</v>
      </c>
      <c r="Z141" s="28"/>
      <c r="AA141" s="28"/>
      <c r="AB141" s="28"/>
      <c r="AC141" s="28"/>
      <c r="AD141" s="61"/>
      <c r="AG141" s="63"/>
      <c r="AL141" s="61"/>
      <c r="AO141" s="63"/>
      <c r="AP141" s="61"/>
      <c r="AS141" s="63"/>
      <c r="AW141" s="63"/>
      <c r="BA141" s="169"/>
    </row>
    <row r="142" spans="1:54" s="1" customFormat="1" ht="18" customHeight="1" x14ac:dyDescent="0.15">
      <c r="B142" s="15" t="s">
        <v>1262</v>
      </c>
      <c r="S142" s="13"/>
    </row>
    <row r="143" spans="1:54" s="1" customFormat="1" ht="9" customHeight="1" x14ac:dyDescent="0.15">
      <c r="S143" s="13"/>
    </row>
    <row r="144" spans="1:54" s="194" customFormat="1" ht="9" customHeight="1" x14ac:dyDescent="0.15">
      <c r="A144" s="192"/>
      <c r="B144" s="193" t="s">
        <v>1213</v>
      </c>
      <c r="C144" s="193"/>
      <c r="D144" s="193"/>
      <c r="E144" s="193"/>
      <c r="F144" s="193"/>
      <c r="G144" s="193" t="s">
        <v>1214</v>
      </c>
      <c r="H144" s="193"/>
      <c r="I144" s="193"/>
      <c r="J144" s="193"/>
      <c r="K144" s="193"/>
      <c r="L144" s="193"/>
      <c r="M144" s="193"/>
      <c r="N144" s="193"/>
      <c r="R144" s="386" t="s">
        <v>1215</v>
      </c>
      <c r="S144" s="386"/>
      <c r="T144" s="386"/>
      <c r="U144" s="386"/>
      <c r="V144" s="386"/>
      <c r="W144" s="386"/>
      <c r="X144" s="195"/>
      <c r="Y144" s="195"/>
      <c r="AA144" s="195"/>
      <c r="AB144" s="195"/>
      <c r="AC144" s="195"/>
      <c r="AD144" s="195"/>
    </row>
    <row r="145" spans="1:30" s="199" customFormat="1" ht="9" customHeight="1" x14ac:dyDescent="0.15">
      <c r="A145" s="196"/>
      <c r="B145" s="197" t="s">
        <v>1217</v>
      </c>
      <c r="C145" s="198"/>
      <c r="D145" s="198"/>
      <c r="E145" s="198"/>
      <c r="F145" s="198"/>
      <c r="G145" s="197" t="s">
        <v>1216</v>
      </c>
      <c r="H145" s="198"/>
      <c r="I145" s="198"/>
      <c r="J145" s="198"/>
      <c r="K145" s="198"/>
      <c r="L145" s="198"/>
      <c r="M145" s="198"/>
      <c r="N145" s="198"/>
      <c r="R145" s="200" t="s">
        <v>1218</v>
      </c>
      <c r="S145" s="201"/>
      <c r="T145" s="202"/>
      <c r="U145" s="202"/>
      <c r="V145" s="202"/>
      <c r="W145" s="200" t="s">
        <v>1219</v>
      </c>
      <c r="X145" s="202"/>
      <c r="Y145" s="202"/>
      <c r="AA145" s="202"/>
      <c r="AB145" s="202"/>
      <c r="AC145" s="202"/>
      <c r="AD145" s="202"/>
    </row>
    <row r="146" spans="1:30" s="185" customFormat="1" ht="12" customHeight="1" x14ac:dyDescent="0.15">
      <c r="A146" s="203" t="s">
        <v>3</v>
      </c>
      <c r="B146" s="204" t="s">
        <v>8</v>
      </c>
      <c r="C146" s="204" t="s">
        <v>9</v>
      </c>
      <c r="D146" s="204" t="s">
        <v>10</v>
      </c>
      <c r="E146" s="205" t="s">
        <v>1193</v>
      </c>
      <c r="F146" s="204"/>
      <c r="G146" s="185" t="s">
        <v>3</v>
      </c>
      <c r="H146" s="387" t="s">
        <v>0</v>
      </c>
      <c r="I146" s="387"/>
      <c r="J146" s="387" t="s">
        <v>1</v>
      </c>
      <c r="K146" s="387"/>
      <c r="L146" s="387" t="s">
        <v>2</v>
      </c>
      <c r="M146" s="387"/>
      <c r="N146" s="388" t="s">
        <v>1193</v>
      </c>
      <c r="O146" s="388"/>
      <c r="P146" s="206"/>
      <c r="Q146" s="206"/>
      <c r="R146" s="207" t="s">
        <v>3</v>
      </c>
      <c r="S146" s="208" t="s">
        <v>135</v>
      </c>
      <c r="T146" s="206" t="s">
        <v>133</v>
      </c>
      <c r="U146" s="204" t="s">
        <v>134</v>
      </c>
      <c r="V146" s="206"/>
      <c r="W146" s="209" t="s">
        <v>26</v>
      </c>
    </row>
    <row r="147" spans="1:30" s="144" customFormat="1" x14ac:dyDescent="0.15">
      <c r="A147" s="125">
        <v>1959</v>
      </c>
      <c r="B147" s="142">
        <f>(K6*($E6/365)) + (K7*($E7/365))</f>
        <v>100</v>
      </c>
      <c r="C147" s="142">
        <f>(L6*($E6/365)) + (L7*($E7/365))</f>
        <v>0</v>
      </c>
      <c r="D147" s="142">
        <f>(M6*($E6/365)) + (M7*($E7/365))</f>
        <v>0</v>
      </c>
      <c r="E147" s="143">
        <f>B147+C147+C148</f>
        <v>100</v>
      </c>
      <c r="G147" s="125">
        <v>1959</v>
      </c>
      <c r="H147" s="389">
        <f>(O6/$R6*100*($E6/365))+(O7/$R7*100*($E7/365))</f>
        <v>100</v>
      </c>
      <c r="I147" s="389"/>
      <c r="J147" s="389">
        <f>(P6/$R6*100*($E6/365))+(P7/$R7*100*($E7/365))</f>
        <v>0</v>
      </c>
      <c r="K147" s="389"/>
      <c r="L147" s="389">
        <f>(Q6/$R6*100*($E6/365))+(Q7/$R7*100*($E7/365))</f>
        <v>0</v>
      </c>
      <c r="M147" s="389"/>
      <c r="N147" s="390">
        <f>H147+J147+K147</f>
        <v>100</v>
      </c>
      <c r="O147" s="390"/>
      <c r="R147" s="125">
        <v>1959</v>
      </c>
      <c r="S147" s="142">
        <f>(O6*($E6/365)) + (O7*($E7/365))</f>
        <v>63.1</v>
      </c>
      <c r="T147" s="142">
        <f>(P6*($E6/365)) + (P7*($E7/365))</f>
        <v>0</v>
      </c>
      <c r="U147" s="142">
        <f>(Q6*($E6/365)) + (Q7*($E7/365))</f>
        <v>0</v>
      </c>
      <c r="W147" s="142">
        <f>S147+T147+U147</f>
        <v>63.1</v>
      </c>
    </row>
    <row r="148" spans="1:30" x14ac:dyDescent="0.15">
      <c r="A148" s="6">
        <v>1960</v>
      </c>
      <c r="B148" s="5">
        <f>(K8*($E8/366)) + (K9*($E9/366))</f>
        <v>100</v>
      </c>
      <c r="C148" s="5">
        <f>(L8*($E8/366)) + (L9*($E9/366))</f>
        <v>0</v>
      </c>
      <c r="D148" s="5">
        <f>(M8*($E8/366)) + (M9*($E9/366))</f>
        <v>0</v>
      </c>
      <c r="E148" s="17">
        <f t="shared" ref="E148:E177" si="59">SUM(B148:D148)</f>
        <v>100</v>
      </c>
      <c r="G148" s="6">
        <v>1960</v>
      </c>
      <c r="H148" s="362">
        <f>(O8/$R8*100*($E8/366))+(O9/$R9*100*($E9/366))</f>
        <v>100</v>
      </c>
      <c r="I148" s="362"/>
      <c r="J148" s="362">
        <f>(P8/$R8*100*($E8/366))+(P9/$R9*100*($E9/366))</f>
        <v>0</v>
      </c>
      <c r="K148" s="362"/>
      <c r="L148" s="362">
        <f>(Q8/$R8*100*($E8/366))+(Q9/$R9*100*($E9/366))</f>
        <v>0</v>
      </c>
      <c r="M148" s="362"/>
      <c r="N148" s="363">
        <f t="shared" ref="N148:N177" si="60">SUM(H148:M148)</f>
        <v>100</v>
      </c>
      <c r="O148" s="363"/>
      <c r="R148" s="6">
        <v>1960</v>
      </c>
      <c r="S148" s="5">
        <f>(O8*($E8/366)) + (O9*($E9/366))</f>
        <v>63.1</v>
      </c>
      <c r="T148" s="5">
        <f>(P8*($E8/366)) + (P9*($E9/366))</f>
        <v>0</v>
      </c>
      <c r="U148" s="5">
        <f>(Q8*($E8/366)) + (Q9*($E9/366))</f>
        <v>0</v>
      </c>
      <c r="W148" s="5">
        <f>R8*(E8/366) + R9*(E9/366)</f>
        <v>63.1</v>
      </c>
    </row>
    <row r="149" spans="1:30" x14ac:dyDescent="0.15">
      <c r="A149" s="6">
        <v>1961</v>
      </c>
      <c r="B149" s="5">
        <f>(K10*($E10/365)) + (K11*($E11/365))</f>
        <v>100</v>
      </c>
      <c r="C149" s="5">
        <f>(L10*($E10/365)) + (L11*($E11/365))</f>
        <v>0</v>
      </c>
      <c r="D149" s="5">
        <f>(M10*($E10/365)) + (M11*($E11/365))</f>
        <v>0</v>
      </c>
      <c r="E149" s="17">
        <f t="shared" si="59"/>
        <v>100</v>
      </c>
      <c r="G149" s="6">
        <v>1961</v>
      </c>
      <c r="H149" s="362">
        <f>(O10/$R10*100*($E10/365))+(O11/$R11*100*($E11/365))</f>
        <v>100</v>
      </c>
      <c r="I149" s="362"/>
      <c r="J149" s="362">
        <f>(P10/$R10*100*($E10/365))+(P11/$R11*100*($E11/365))</f>
        <v>0</v>
      </c>
      <c r="K149" s="362"/>
      <c r="L149" s="362">
        <f>(Q10/$R10*100*($E10/365))+(Q11/$R11*100*($E11/365))</f>
        <v>0</v>
      </c>
      <c r="M149" s="362"/>
      <c r="N149" s="363">
        <f t="shared" si="60"/>
        <v>100</v>
      </c>
      <c r="O149" s="363"/>
      <c r="R149" s="6">
        <v>1961</v>
      </c>
      <c r="S149" s="5">
        <f>(O10*($E10/365)) + (O11*($E11/365))</f>
        <v>62.796712328767128</v>
      </c>
      <c r="T149" s="5">
        <f>(P10*($E10/365)) + (P11*($E11/365))</f>
        <v>0</v>
      </c>
      <c r="U149" s="5">
        <f>(Q10*($E10/365)) + (Q11*($E11/365))</f>
        <v>0</v>
      </c>
      <c r="W149" s="5">
        <f>R10*(E10/365) + R11*(E11/365)</f>
        <v>62.796712328767128</v>
      </c>
    </row>
    <row r="150" spans="1:30" x14ac:dyDescent="0.15">
      <c r="A150" s="6">
        <v>1962</v>
      </c>
      <c r="B150" s="5">
        <f>(K12*($E12/365)) + (K13*($E13/365))</f>
        <v>100</v>
      </c>
      <c r="C150" s="5">
        <f>(L12*($E12/365)) + (L13*($E13/365))</f>
        <v>0</v>
      </c>
      <c r="D150" s="5">
        <f>(M12*($E12/365)) + (M13*($E13/365))</f>
        <v>0</v>
      </c>
      <c r="E150" s="17">
        <f t="shared" si="59"/>
        <v>100</v>
      </c>
      <c r="G150" s="6">
        <v>1962</v>
      </c>
      <c r="H150" s="362">
        <f>(O12/$R12*100*($E12/365))+(O13/$R13*100*($E13/365))</f>
        <v>100</v>
      </c>
      <c r="I150" s="362"/>
      <c r="J150" s="362">
        <f>(P12/$R12*100*($E12/365))+(P13/$R13*100*($E13/365))</f>
        <v>0</v>
      </c>
      <c r="K150" s="362"/>
      <c r="L150" s="362">
        <f>(Q12/$R12*100*($E12/365))+(Q13/$R13*100*($E13/365))</f>
        <v>0</v>
      </c>
      <c r="M150" s="362"/>
      <c r="N150" s="363">
        <f t="shared" si="60"/>
        <v>100</v>
      </c>
      <c r="O150" s="363"/>
      <c r="R150" s="6">
        <v>1962</v>
      </c>
      <c r="S150" s="5">
        <f>(O12*($E12/365)) + (O13*($E13/365))</f>
        <v>50.8</v>
      </c>
      <c r="T150" s="5">
        <f>(P12*($E12/365)) + (P13*($E13/365))</f>
        <v>0</v>
      </c>
      <c r="U150" s="5">
        <f>(Q12*($E12/365)) + (Q13*($E13/365))</f>
        <v>0</v>
      </c>
      <c r="W150" s="5">
        <f>R12*(E12/365) + R13*(E13/365)</f>
        <v>50.8</v>
      </c>
    </row>
    <row r="151" spans="1:30" x14ac:dyDescent="0.15">
      <c r="A151" s="6">
        <v>1963</v>
      </c>
      <c r="B151" s="5">
        <f>(K14*($E14/365)) + (K15*($E15/365))</f>
        <v>99.999999999999986</v>
      </c>
      <c r="C151" s="5">
        <f>(L14*($E14/365)) + (L15*($E15/365))</f>
        <v>0</v>
      </c>
      <c r="D151" s="5">
        <f>(M14*($E14/365)) + (M15*($E15/365))</f>
        <v>0</v>
      </c>
      <c r="E151" s="17">
        <f t="shared" si="59"/>
        <v>99.999999999999986</v>
      </c>
      <c r="G151" s="6">
        <v>1963</v>
      </c>
      <c r="H151" s="362">
        <f>(O14/$R14*100*($E14/365))+(O15/$R15*100*($E15/365))</f>
        <v>99.999999999999986</v>
      </c>
      <c r="I151" s="362"/>
      <c r="J151" s="362">
        <f>(P14/$R14*100*($E14/365))+(P15/$R15*100*($E15/365))</f>
        <v>0</v>
      </c>
      <c r="K151" s="362"/>
      <c r="L151" s="362">
        <f>(Q14/$R14*100*($E14/365))+(Q15/$R15*100*($E15/365))</f>
        <v>0</v>
      </c>
      <c r="M151" s="362"/>
      <c r="N151" s="363">
        <f t="shared" si="60"/>
        <v>99.999999999999986</v>
      </c>
      <c r="O151" s="363"/>
      <c r="R151" s="6">
        <v>1963</v>
      </c>
      <c r="S151" s="5">
        <f>(O14*($E14/365)) + (O15*($E15/365))</f>
        <v>51.136986301369859</v>
      </c>
      <c r="T151" s="5">
        <f>(P14*($E14/365)) + (P15*($E15/365))</f>
        <v>0</v>
      </c>
      <c r="U151" s="5">
        <f>(Q14*($E14/365)) + (Q15*($E15/365))</f>
        <v>0</v>
      </c>
      <c r="W151" s="5">
        <f xml:space="preserve"> R14*(E14/365) + R15*(E15/365)</f>
        <v>51.136986301369859</v>
      </c>
    </row>
    <row r="152" spans="1:30" x14ac:dyDescent="0.15">
      <c r="A152" s="6">
        <v>1964</v>
      </c>
      <c r="B152" s="5">
        <f>(K16*($E16/366)) + (K17*($E17/366))</f>
        <v>100</v>
      </c>
      <c r="C152" s="5">
        <f>(L16*($E16/366)) + (L17*($E17/366))</f>
        <v>0</v>
      </c>
      <c r="D152" s="5">
        <f>(M16*($E16/366)) + (M17*($E17/366))</f>
        <v>0</v>
      </c>
      <c r="E152" s="17">
        <f t="shared" si="59"/>
        <v>100</v>
      </c>
      <c r="G152" s="6">
        <v>1964</v>
      </c>
      <c r="H152" s="362">
        <f>(O16/$R16*100*($E16/366))+(O17/$R17*100*($E17/366))</f>
        <v>100</v>
      </c>
      <c r="I152" s="362"/>
      <c r="J152" s="362">
        <f>(P16/$R16*100*($E16/366))+(P17/$R17*100*($E17/366))</f>
        <v>0</v>
      </c>
      <c r="K152" s="362"/>
      <c r="L152" s="362">
        <f>(Q16/$R16*100*($E16/366))+(Q17/$R17*100*($E17/366))</f>
        <v>0</v>
      </c>
      <c r="M152" s="362"/>
      <c r="N152" s="363">
        <f t="shared" si="60"/>
        <v>100</v>
      </c>
      <c r="O152" s="363"/>
      <c r="R152" s="6">
        <v>1964</v>
      </c>
      <c r="S152" s="5">
        <f>(O16*($E16/366)) + (O17*($E17/366))</f>
        <v>59</v>
      </c>
      <c r="T152" s="5">
        <f>(P16*($E16/366)) + (P17*($E17/366))</f>
        <v>0</v>
      </c>
      <c r="U152" s="5">
        <f>(Q16*($E16/366)) + (Q17*($E17/366))</f>
        <v>0</v>
      </c>
      <c r="W152" s="5">
        <f xml:space="preserve"> R16*(E16/366) + R17*(E17/366)</f>
        <v>59</v>
      </c>
    </row>
    <row r="153" spans="1:30" x14ac:dyDescent="0.15">
      <c r="A153" s="6">
        <v>1965</v>
      </c>
      <c r="B153" s="5">
        <f>(K18*($E18/365)) + (K19*($E19/365))</f>
        <v>100</v>
      </c>
      <c r="C153" s="5">
        <f>(L18*($E18/365)) + (L19*($E19/365))</f>
        <v>0</v>
      </c>
      <c r="D153" s="5">
        <f>(M18*($E18/365)) + (M19*($E19/365))</f>
        <v>0</v>
      </c>
      <c r="E153" s="17">
        <f t="shared" si="59"/>
        <v>100</v>
      </c>
      <c r="G153" s="6">
        <v>1965</v>
      </c>
      <c r="H153" s="362">
        <f>(O18/$R18*100*($E18/365))+(O19/$R19*100*($E19/365))</f>
        <v>100</v>
      </c>
      <c r="I153" s="362"/>
      <c r="J153" s="362">
        <f>(P18/$R18*100*($E18/365))+(P19/$R19*100*($E19/365))</f>
        <v>0</v>
      </c>
      <c r="K153" s="362"/>
      <c r="L153" s="362">
        <f>(Q18/$R18*100*($E18/365))+(Q19/$R19*100*($E19/365))</f>
        <v>0</v>
      </c>
      <c r="M153" s="362"/>
      <c r="N153" s="363">
        <f t="shared" si="60"/>
        <v>100</v>
      </c>
      <c r="O153" s="363"/>
      <c r="R153" s="6">
        <v>1965</v>
      </c>
      <c r="S153" s="5">
        <f>(O18*($E18/365)) + (O19*($E19/365))</f>
        <v>59</v>
      </c>
      <c r="T153" s="5">
        <f>(P18*($E18/365)) + (P19*($E19/365))</f>
        <v>0</v>
      </c>
      <c r="U153" s="5">
        <f>(Q18*($E18/365)) + (Q19*($E19/365))</f>
        <v>0</v>
      </c>
      <c r="W153" s="5">
        <f xml:space="preserve"> R18*(E18/365) + R19*(E19/365)</f>
        <v>59</v>
      </c>
    </row>
    <row r="154" spans="1:30" x14ac:dyDescent="0.15">
      <c r="A154" s="6">
        <v>1966</v>
      </c>
      <c r="B154" s="5">
        <f>(K20*($E20/365)) + (K21*($E21/365)) + (K22*($E22/365))</f>
        <v>100.00000000000001</v>
      </c>
      <c r="C154" s="5">
        <f>(L20*($E20/365)) + (L21*($E21/365)) + (L22*($E22/365))</f>
        <v>0</v>
      </c>
      <c r="D154" s="5">
        <f>(M20*($E20/365)) + (M21*($E21/365)) + (M22*($E22/365))</f>
        <v>0</v>
      </c>
      <c r="E154" s="17">
        <f t="shared" si="59"/>
        <v>100.00000000000001</v>
      </c>
      <c r="G154" s="6">
        <v>1966</v>
      </c>
      <c r="H154" s="362">
        <f>(O20/$R20*100*($E20/365))+(O21/$R21*100*($E21/365))+(O22/$R22*100*($E22/365))</f>
        <v>100.00000000000001</v>
      </c>
      <c r="I154" s="362"/>
      <c r="J154" s="362">
        <f>(P20/$R20*100*($E20/365))+(P21/$R21*100*($E21/365))+(P22/$R22*100*($E22/365))</f>
        <v>0</v>
      </c>
      <c r="K154" s="362"/>
      <c r="L154" s="362">
        <f>(Q20/$R20*100*($E20/365))+(Q21/$R21*100*($E21/365))+(Q22/$R22*100*($E22/365))</f>
        <v>0</v>
      </c>
      <c r="M154" s="362"/>
      <c r="N154" s="363">
        <f t="shared" si="60"/>
        <v>100.00000000000001</v>
      </c>
      <c r="O154" s="363"/>
      <c r="R154" s="6">
        <v>1966</v>
      </c>
      <c r="S154" s="5">
        <f>(O20*($E20/365)) + (O21*($E21/365)) + (O22*($E22/365))</f>
        <v>59.350136986301365</v>
      </c>
      <c r="T154" s="5">
        <f>(P20*($E20/365)) + (P21*($E21/365)) + (P22*($E22/365))</f>
        <v>0</v>
      </c>
      <c r="U154" s="5">
        <f>(Q20*($E20/365)) + (Q21*($E21/365)) + (Q22*($E22/365))</f>
        <v>0</v>
      </c>
      <c r="W154" s="5">
        <f xml:space="preserve"> R20*(E20/365) + R21*(E21/365) + R22*(E22/365)</f>
        <v>59.350136986301365</v>
      </c>
    </row>
    <row r="155" spans="1:30" x14ac:dyDescent="0.15">
      <c r="A155" s="6">
        <v>1967</v>
      </c>
      <c r="B155" s="5">
        <f>(K23*($E23/365)) + (K24*($E24/365))</f>
        <v>100.00000000000001</v>
      </c>
      <c r="C155" s="5">
        <f>(L23*($E23/365)) + (L24*($E24/365))</f>
        <v>0</v>
      </c>
      <c r="D155" s="5">
        <f>(M23*($E23/365)) + (M24*($E24/365))</f>
        <v>0</v>
      </c>
      <c r="E155" s="17">
        <f t="shared" si="59"/>
        <v>100.00000000000001</v>
      </c>
      <c r="G155" s="6">
        <v>1967</v>
      </c>
      <c r="H155" s="362">
        <f>(O23/$R23*100*($E23/365))+(O24/$R24*100*($E24/365))</f>
        <v>100.00000000000001</v>
      </c>
      <c r="I155" s="362"/>
      <c r="J155" s="362">
        <f>(P23/$R23*100*($E23/365))+(P24/$R24*100*($E24/365))</f>
        <v>0</v>
      </c>
      <c r="K155" s="362"/>
      <c r="L155" s="362">
        <f>(Q23/$R23*100*($E23/365))+(Q24/$R24*100*($E24/365))</f>
        <v>0</v>
      </c>
      <c r="M155" s="362"/>
      <c r="N155" s="363">
        <f t="shared" si="60"/>
        <v>100.00000000000001</v>
      </c>
      <c r="O155" s="363"/>
      <c r="R155" s="6">
        <v>1967</v>
      </c>
      <c r="S155" s="5">
        <f>(O23*($E23/365)) + (O24*($E24/365))</f>
        <v>66.099999999999994</v>
      </c>
      <c r="T155" s="5">
        <f>(P23*($E23/365)) + (P24*($E24/365))</f>
        <v>0</v>
      </c>
      <c r="U155" s="5">
        <f>(Q23*($E23/365)) + (Q24*($E24/365))</f>
        <v>0</v>
      </c>
      <c r="W155" s="5">
        <f xml:space="preserve"> R23*(E23/365) + R24*(E24/365)</f>
        <v>66.099999999999994</v>
      </c>
    </row>
    <row r="156" spans="1:30" x14ac:dyDescent="0.15">
      <c r="A156" s="6">
        <v>1968</v>
      </c>
      <c r="B156" s="5">
        <f>(K25*($E25/366)) + (K26*($E26/366)) + (K27*($E27/366))</f>
        <v>100.00000000000001</v>
      </c>
      <c r="C156" s="5">
        <f>(L25*($E25/366)) + (L26*($E26/366)) + (L27*($E27/366))</f>
        <v>0</v>
      </c>
      <c r="D156" s="5">
        <f>(M25*($E25/366)) + (M26*($E26/366)) + (M27*($E27/366))</f>
        <v>0</v>
      </c>
      <c r="E156" s="17">
        <f t="shared" si="59"/>
        <v>100.00000000000001</v>
      </c>
      <c r="G156" s="6">
        <v>1968</v>
      </c>
      <c r="H156" s="362">
        <f>(O25/$R25*100*($E25/366))+(O26/$R26*100*($E26/366))+(O27/$R27*100*($E27/366))</f>
        <v>100.00000000000001</v>
      </c>
      <c r="I156" s="362"/>
      <c r="J156" s="362">
        <f>(P25/$R25*100*($E25/366))+(P26/$R26*100*($E26/366))+(P27/$R27*100*($E27/366))</f>
        <v>0</v>
      </c>
      <c r="K156" s="362"/>
      <c r="L156" s="362">
        <f>(Q25/$R25*100*($E25/366))+(Q26/$R26*100*($E26/366))+(Q27/$R27*100*($E27/366))</f>
        <v>0</v>
      </c>
      <c r="M156" s="362"/>
      <c r="N156" s="363">
        <f t="shared" si="60"/>
        <v>100.00000000000001</v>
      </c>
      <c r="O156" s="363"/>
      <c r="R156" s="6">
        <v>1968</v>
      </c>
      <c r="S156" s="5">
        <f>(O25*($E25/366)) + (O26*($E26/366)) + (O27*($E27/366))</f>
        <v>66.099999999999994</v>
      </c>
      <c r="T156" s="5">
        <f>(P25*($E25/366)) + (P26*($E26/366)) + (P27*($E27/366))</f>
        <v>0</v>
      </c>
      <c r="U156" s="5">
        <f>(Q25*($E25/366)) + (Q26*($E26/366)) + (Q27*($E27/366))</f>
        <v>0</v>
      </c>
      <c r="W156" s="5">
        <f xml:space="preserve"> R25*(E25/366) + R26*(E26/366) + R27*(E27/366)</f>
        <v>66.099999999999994</v>
      </c>
    </row>
    <row r="157" spans="1:30" x14ac:dyDescent="0.15">
      <c r="A157" s="6">
        <v>1969</v>
      </c>
      <c r="B157" s="5">
        <f>(K28*($E28/365)) + (K29*($E29/365))</f>
        <v>100</v>
      </c>
      <c r="C157" s="5">
        <f>(L28*($E28/365)) + (L29*($E29/365))</f>
        <v>0</v>
      </c>
      <c r="D157" s="5">
        <f>(M28*($E28/365)) + (M29*($E29/365))</f>
        <v>0</v>
      </c>
      <c r="E157" s="17">
        <f t="shared" si="59"/>
        <v>100</v>
      </c>
      <c r="G157" s="6">
        <v>1969</v>
      </c>
      <c r="H157" s="362">
        <f>(O28/$R28*100*($E28/365))+(O29/$R29*100*($E29/365))</f>
        <v>100</v>
      </c>
      <c r="I157" s="362"/>
      <c r="J157" s="362">
        <f>(P28/$R28*100*($E28/365))+(P29/$R29*100*($E29/365))</f>
        <v>0</v>
      </c>
      <c r="K157" s="362"/>
      <c r="L157" s="362">
        <f>(Q28/$R28*100*($E28/365))+(Q29/$R29*100*($E29/365))</f>
        <v>0</v>
      </c>
      <c r="M157" s="362"/>
      <c r="N157" s="363">
        <f t="shared" si="60"/>
        <v>100</v>
      </c>
      <c r="O157" s="363"/>
      <c r="R157" s="6">
        <v>1969</v>
      </c>
      <c r="S157" s="5">
        <f>(O28*($E28/365)) + (O29*($E29/365))</f>
        <v>64.241643835616429</v>
      </c>
      <c r="T157" s="5">
        <f>(P28*($E28/365)) + (P29*($E29/365))</f>
        <v>0</v>
      </c>
      <c r="U157" s="5">
        <f>(Q28*($E28/365)) + (Q29*($E29/365))</f>
        <v>0</v>
      </c>
      <c r="W157" s="5">
        <f xml:space="preserve"> R28*(E28/365) + R29*(E29/365)</f>
        <v>64.241643835616429</v>
      </c>
    </row>
    <row r="158" spans="1:30" x14ac:dyDescent="0.15">
      <c r="A158" s="6">
        <v>1970</v>
      </c>
      <c r="B158" s="5">
        <f>(K30*($E30/365)) + (K31*($E31/365))</f>
        <v>100</v>
      </c>
      <c r="C158" s="5">
        <f>(L30*($E30/365)) + (L31*($E31/365))</f>
        <v>0</v>
      </c>
      <c r="D158" s="5">
        <f>(M30*($E30/365)) + (M31*($E31/365))</f>
        <v>0</v>
      </c>
      <c r="E158" s="17">
        <f t="shared" si="59"/>
        <v>100</v>
      </c>
      <c r="G158" s="6">
        <v>1970</v>
      </c>
      <c r="H158" s="362">
        <f>(O30/$R30*100*($E30/365))+(O31/$R31*100*($E31/365))</f>
        <v>100</v>
      </c>
      <c r="I158" s="362"/>
      <c r="J158" s="362">
        <f>(P30/$R30*100*($E30/365))+(P31/$R31*100*($E31/365))</f>
        <v>0</v>
      </c>
      <c r="K158" s="362"/>
      <c r="L158" s="362">
        <f>(Q30/$R30*100*($E30/365))+(Q31/$R31*100*($E31/365))</f>
        <v>0</v>
      </c>
      <c r="M158" s="362"/>
      <c r="N158" s="363">
        <f t="shared" si="60"/>
        <v>100</v>
      </c>
      <c r="O158" s="363"/>
      <c r="R158" s="6">
        <v>1970</v>
      </c>
      <c r="S158" s="5">
        <f>(O30*($E30/365)) + (O31*($E31/365))</f>
        <v>52.8</v>
      </c>
      <c r="T158" s="5">
        <f>(P30*($E30/365)) + (P31*($E31/365))</f>
        <v>0</v>
      </c>
      <c r="U158" s="5">
        <f>(Q30*($E30/365)) + (Q31*($E31/365))</f>
        <v>0</v>
      </c>
      <c r="W158" s="5">
        <f xml:space="preserve"> R30*(E30/365) + R31*(E31/365)</f>
        <v>52.8</v>
      </c>
    </row>
    <row r="159" spans="1:30" x14ac:dyDescent="0.15">
      <c r="A159" s="6">
        <v>1971</v>
      </c>
      <c r="B159" s="5">
        <f>(K32*($E32/365)) + (K33*($E33/365))</f>
        <v>100</v>
      </c>
      <c r="C159" s="5">
        <f>(L32*($E32/365)) + (L33*($E33/365))</f>
        <v>0</v>
      </c>
      <c r="D159" s="5">
        <f>(M32*($E32/365)) + (M33*($E33/365))</f>
        <v>0</v>
      </c>
      <c r="E159" s="17">
        <f t="shared" si="59"/>
        <v>100</v>
      </c>
      <c r="G159" s="6">
        <v>1971</v>
      </c>
      <c r="H159" s="362">
        <f>(O32/$R32*100*($E32/365))+(O33/$R33*100*($E33/365))</f>
        <v>100</v>
      </c>
      <c r="I159" s="362"/>
      <c r="J159" s="362">
        <f>(P32/$R32*100*($E32/365))+(P33/$R33*100*($E33/365))</f>
        <v>0</v>
      </c>
      <c r="K159" s="362"/>
      <c r="L159" s="362">
        <f>(Q32/$R32*100*($E32/365))+(Q33/$R33*100*($E33/365))</f>
        <v>0</v>
      </c>
      <c r="M159" s="362"/>
      <c r="N159" s="363">
        <f t="shared" si="60"/>
        <v>100</v>
      </c>
      <c r="O159" s="363"/>
      <c r="R159" s="6">
        <v>1971</v>
      </c>
      <c r="S159" s="5">
        <f>(O32*($E32/365)) + (O33*($E33/365))</f>
        <v>52.8</v>
      </c>
      <c r="T159" s="5">
        <f>(P32*($E32/365)) + (P33*($E33/365))</f>
        <v>0</v>
      </c>
      <c r="U159" s="5">
        <f>(Q32*($E32/365)) + (Q33*($E33/365))</f>
        <v>0</v>
      </c>
      <c r="W159" s="5">
        <f xml:space="preserve"> R32*(E32/365) + R33*(E33/365)</f>
        <v>52.8</v>
      </c>
    </row>
    <row r="160" spans="1:30" x14ac:dyDescent="0.15">
      <c r="A160" s="6">
        <v>1972</v>
      </c>
      <c r="B160" s="5">
        <f>(K34*($E34/366)) + (K35*($E35/366))</f>
        <v>96.448087431693992</v>
      </c>
      <c r="C160" s="5">
        <f>(L34*($E34/366)) + (L35*($E35/366))</f>
        <v>0</v>
      </c>
      <c r="D160" s="5">
        <f>(M34*($E34/366)) + (M35*($E35/366))</f>
        <v>3.5519125683060109</v>
      </c>
      <c r="E160" s="17">
        <f t="shared" si="59"/>
        <v>100</v>
      </c>
      <c r="G160" s="6">
        <v>1972</v>
      </c>
      <c r="H160" s="362">
        <f>(O34/$R34*100*($E34/366))+(O35/$R35*100*($E35/366))</f>
        <v>96.448087431693992</v>
      </c>
      <c r="I160" s="362"/>
      <c r="J160" s="362">
        <f>(P34/$R34*100*($E34/366))+(P35/$R35*100*($E35/366))</f>
        <v>0</v>
      </c>
      <c r="K160" s="362"/>
      <c r="L160" s="362">
        <f>(Q34/$R34*100*($E34/366))+(Q35/$R35*100*($E35/366))</f>
        <v>3.5519125683060109</v>
      </c>
      <c r="M160" s="362"/>
      <c r="N160" s="363">
        <f t="shared" si="60"/>
        <v>100</v>
      </c>
      <c r="O160" s="363"/>
      <c r="R160" s="6">
        <v>1972</v>
      </c>
      <c r="S160" s="5">
        <f>(O34*($E34/366)) + (O35*($E35/366))</f>
        <v>50.924590163934418</v>
      </c>
      <c r="T160" s="5">
        <f>(P34*($E34/366)) + (P35*($E35/366))</f>
        <v>0</v>
      </c>
      <c r="U160" s="5">
        <f>(Q34*($E34/366)) + (Q35*($E35/366))</f>
        <v>1.9038251366120218</v>
      </c>
      <c r="W160" s="5">
        <f xml:space="preserve"> R34*(E34/366) + R35*(E35/366)</f>
        <v>52.828415300546439</v>
      </c>
    </row>
    <row r="161" spans="1:29" x14ac:dyDescent="0.15">
      <c r="A161" s="6">
        <v>1973</v>
      </c>
      <c r="B161" s="5">
        <f>(K36*($E36/365)) + (K37*($E37/365))</f>
        <v>0</v>
      </c>
      <c r="C161" s="5">
        <f>(L36*($E36/365)) + (L37*($E37/365))</f>
        <v>0</v>
      </c>
      <c r="D161" s="5">
        <f>(M36*($E36/365)) + (M37*($E37/365))</f>
        <v>100</v>
      </c>
      <c r="E161" s="17">
        <f t="shared" si="59"/>
        <v>100</v>
      </c>
      <c r="G161" s="6">
        <v>1973</v>
      </c>
      <c r="H161" s="362">
        <f>(O36/$R36*100*($E36/365))+(O37/$R37*100*($E37/365))</f>
        <v>0</v>
      </c>
      <c r="I161" s="362"/>
      <c r="J161" s="362">
        <f>(P36/$R36*100*($E36/365))+(P37/$R37*100*($E37/365))</f>
        <v>0</v>
      </c>
      <c r="K161" s="362"/>
      <c r="L161" s="362">
        <f>(Q36/$R36*100*($E36/365))+(Q37/$R37*100*($E37/365))</f>
        <v>100</v>
      </c>
      <c r="M161" s="362"/>
      <c r="N161" s="363">
        <f t="shared" si="60"/>
        <v>100</v>
      </c>
      <c r="O161" s="363"/>
      <c r="R161" s="6">
        <v>1973</v>
      </c>
      <c r="S161" s="5">
        <f>(O36*($E36/365)) + (O37*($E37/365))</f>
        <v>0</v>
      </c>
      <c r="T161" s="5">
        <f>(P36*($E36/365)) + (P37*($E37/365))</f>
        <v>0</v>
      </c>
      <c r="U161" s="5">
        <f>(Q36*($E36/365)) + (Q37*($E37/365))</f>
        <v>53.6</v>
      </c>
      <c r="W161" s="5">
        <f xml:space="preserve"> R36*(E36/365) + R37*(E37/365)</f>
        <v>53.6</v>
      </c>
    </row>
    <row r="162" spans="1:29" x14ac:dyDescent="0.15">
      <c r="A162" s="6">
        <v>1974</v>
      </c>
      <c r="B162" s="5">
        <f>(K38*($E38/365)) + (K39*($E39/365))</f>
        <v>0</v>
      </c>
      <c r="C162" s="5">
        <f>(L38*($E38/365)) + (L39*($E39/365))</f>
        <v>0</v>
      </c>
      <c r="D162" s="5">
        <f>(M38*($E38/365)) + (M39*($E39/365))</f>
        <v>100</v>
      </c>
      <c r="E162" s="17">
        <f t="shared" si="59"/>
        <v>100</v>
      </c>
      <c r="G162" s="6">
        <v>1974</v>
      </c>
      <c r="H162" s="362">
        <f>(O38/$R38*100*($E38/365))+(O39/$R39*100*($E39/365))</f>
        <v>0</v>
      </c>
      <c r="I162" s="362"/>
      <c r="J162" s="362">
        <f>(P38/$R38*100*($E38/365))+(P39/$R39*100*($E39/365))</f>
        <v>0</v>
      </c>
      <c r="K162" s="362"/>
      <c r="L162" s="362">
        <f>(Q38/$R38*100*($E38/365))+(Q39/$R39*100*($E39/365))</f>
        <v>100</v>
      </c>
      <c r="M162" s="362"/>
      <c r="N162" s="363">
        <f t="shared" si="60"/>
        <v>100</v>
      </c>
      <c r="O162" s="363"/>
      <c r="R162" s="6">
        <v>1974</v>
      </c>
      <c r="S162" s="5">
        <f>(O38*($E38/365)) + (O39*($E39/365))</f>
        <v>0</v>
      </c>
      <c r="T162" s="5">
        <f>(P38*($E38/365)) + (P39*($E39/365))</f>
        <v>0</v>
      </c>
      <c r="U162" s="5">
        <f>(Q38*($E38/365)) + (Q39*($E39/365))</f>
        <v>52.710136986301372</v>
      </c>
      <c r="W162" s="5">
        <f xml:space="preserve"> R38*(E38/365) + R39*(E39/365)</f>
        <v>52.710136986301372</v>
      </c>
    </row>
    <row r="163" spans="1:29" x14ac:dyDescent="0.15">
      <c r="A163" s="6">
        <v>1975</v>
      </c>
      <c r="B163" s="5">
        <f>(K40*($E40/365)) + (K41*($E41/365)) + (K42*($E42/365))</f>
        <v>13.698630136986303</v>
      </c>
      <c r="C163" s="5">
        <f>(L40*($E40/365)) + (L41*($E41/365)) + (L42*($E42/365))</f>
        <v>0</v>
      </c>
      <c r="D163" s="5">
        <f>(M40*($E40/365)) + (M41*($E41/365)) + (M42*($E42/365))</f>
        <v>86.301369863013704</v>
      </c>
      <c r="E163" s="17">
        <f t="shared" si="59"/>
        <v>100</v>
      </c>
      <c r="G163" s="6">
        <v>1975</v>
      </c>
      <c r="H163" s="362">
        <f>(O40/$R40*100*($E40/365))+(O41/$R41*100*($E41/365))+(O42/$R42*100*($E42/365))</f>
        <v>13.698630136986303</v>
      </c>
      <c r="I163" s="362"/>
      <c r="J163" s="362">
        <f>(P40/$R40*100*($E40/365))+(P41/$R41*100*($E41/365))+(P42/$R42*100*($E42/365))</f>
        <v>0</v>
      </c>
      <c r="K163" s="362"/>
      <c r="L163" s="362">
        <f>(Q40/$R40*100*($E40/365))+(Q41/$R41*100*($E41/365))+(Q42/$R42*100*($E42/365))</f>
        <v>86.301369863013704</v>
      </c>
      <c r="M163" s="362"/>
      <c r="N163" s="363">
        <f t="shared" si="60"/>
        <v>100</v>
      </c>
      <c r="O163" s="363"/>
      <c r="R163" s="6">
        <v>1975</v>
      </c>
      <c r="S163" s="5">
        <f>(O40*($E40/365)) + (O41*($E41/365)) + (O42*($E42/365))</f>
        <v>7.4805479452054797</v>
      </c>
      <c r="T163" s="5">
        <f>(P40*($E40/365)) + (P41*($E41/365)) + (P42*($E42/365))</f>
        <v>0</v>
      </c>
      <c r="U163" s="5">
        <f>(Q40*($E40/365)) + (Q41*($E41/365)) + (Q42*($E42/365))</f>
        <v>44.876712328767127</v>
      </c>
      <c r="W163" s="5">
        <f xml:space="preserve"> R40*(E40/365) + R41*(E41/365) + R42*(E42/365)</f>
        <v>52.357260273972607</v>
      </c>
    </row>
    <row r="164" spans="1:29" x14ac:dyDescent="0.15">
      <c r="A164" s="6">
        <v>1976</v>
      </c>
      <c r="B164" s="5">
        <f>(K43*($E43/366)) + (K44*($E44/366))</f>
        <v>100</v>
      </c>
      <c r="C164" s="5">
        <f>(L43*($E43/366)) + (L44*($E44/366))</f>
        <v>0</v>
      </c>
      <c r="D164" s="5">
        <f>(M43*($E43/366)) + (M44*($E44/366))</f>
        <v>0</v>
      </c>
      <c r="E164" s="17">
        <f t="shared" si="59"/>
        <v>100</v>
      </c>
      <c r="G164" s="6">
        <v>1976</v>
      </c>
      <c r="H164" s="362">
        <f>(O43/$R43*100*($E43/366))+(O44/$R44*100*($E44/366))</f>
        <v>100</v>
      </c>
      <c r="I164" s="362"/>
      <c r="J164" s="362">
        <f>(P43/$R43*100*($E43/366))+(P44/$R44*100*($E44/366))</f>
        <v>0</v>
      </c>
      <c r="K164" s="362"/>
      <c r="L164" s="362">
        <f>(Q43/$R43*100*($E43/366))+(Q44/$R44*100*($E44/366))</f>
        <v>0</v>
      </c>
      <c r="M164" s="362"/>
      <c r="N164" s="363">
        <f t="shared" si="60"/>
        <v>100</v>
      </c>
      <c r="O164" s="363"/>
      <c r="R164" s="6">
        <v>1976</v>
      </c>
      <c r="S164" s="5">
        <f>(O43*($E43/366)) + (O44*($E44/366))</f>
        <v>71.599999999999994</v>
      </c>
      <c r="T164" s="5">
        <f>(P43*($E43/366)) + (P44*($E44/366))</f>
        <v>0</v>
      </c>
      <c r="U164" s="5">
        <f>(Q43*($E43/366)) + (Q44*($E44/366))</f>
        <v>0</v>
      </c>
      <c r="W164" s="5">
        <f xml:space="preserve"> R43*(E43/366) + R44*(E44/366)</f>
        <v>71.599999999999994</v>
      </c>
    </row>
    <row r="165" spans="1:29" s="5" customFormat="1" x14ac:dyDescent="0.15">
      <c r="A165" s="6">
        <v>1977</v>
      </c>
      <c r="B165" s="5">
        <f>(K45*($E45/365)) + (K46*($E46/365))</f>
        <v>100.00000000000001</v>
      </c>
      <c r="C165" s="5">
        <f>(L45*($E45/365)) + (L46*($E46/365))</f>
        <v>0</v>
      </c>
      <c r="D165" s="5">
        <f>(M45*($E45/365)) + (M46*($E46/365))</f>
        <v>0</v>
      </c>
      <c r="E165" s="17">
        <f t="shared" si="59"/>
        <v>100.00000000000001</v>
      </c>
      <c r="G165" s="6">
        <v>1977</v>
      </c>
      <c r="H165" s="362">
        <f>(O45/$R45*100*($E45/365))+(O46/$R46*100*($E46/365))</f>
        <v>100.00000000000001</v>
      </c>
      <c r="I165" s="362"/>
      <c r="J165" s="362">
        <f>(P45/$R45*100*($E45/365))+(P46/$R46*100*($E46/365))</f>
        <v>0</v>
      </c>
      <c r="K165" s="362"/>
      <c r="L165" s="362">
        <f>(Q45/$R45*100*($E45/365))+(Q46/$R46*100*($E46/365))</f>
        <v>0</v>
      </c>
      <c r="M165" s="362"/>
      <c r="N165" s="363">
        <f t="shared" si="60"/>
        <v>100.00000000000001</v>
      </c>
      <c r="O165" s="363"/>
      <c r="R165" s="6">
        <v>1977</v>
      </c>
      <c r="S165" s="5">
        <f>(O45*($E45/365)) + (O46*($E46/365))</f>
        <v>71.52438356164383</v>
      </c>
      <c r="T165" s="5">
        <f>(P45*($E45/365)) + (P46*($E46/365))</f>
        <v>0</v>
      </c>
      <c r="U165" s="5">
        <f>(Q45*($E45/365)) + (Q46*($E46/365))</f>
        <v>0</v>
      </c>
      <c r="W165" s="5">
        <f xml:space="preserve"> R45*(E45/365) + R46*(E46/365)</f>
        <v>71.52438356164383</v>
      </c>
    </row>
    <row r="166" spans="1:29" x14ac:dyDescent="0.15">
      <c r="A166" s="6">
        <v>1978</v>
      </c>
      <c r="B166" s="5">
        <f>(K47*($E47/365)) + (K48*($E48/365))</f>
        <v>100</v>
      </c>
      <c r="C166" s="5">
        <f>(L47*($E47/365)) + (L48*($E48/365))</f>
        <v>0</v>
      </c>
      <c r="D166" s="5">
        <f>(M47*($E47/365)) + (M48*($E48/365))</f>
        <v>0</v>
      </c>
      <c r="E166" s="17">
        <f t="shared" si="59"/>
        <v>100</v>
      </c>
      <c r="G166" s="6">
        <v>1978</v>
      </c>
      <c r="H166" s="362">
        <f>(O47/$R47*100*($E47/365))+(O48/$R48*100*($E48/365))</f>
        <v>100</v>
      </c>
      <c r="I166" s="362"/>
      <c r="J166" s="362">
        <f>(P47/$R47*100*($E47/365))+(P48/$R48*100*($E48/365))</f>
        <v>0</v>
      </c>
      <c r="K166" s="362"/>
      <c r="L166" s="362">
        <f>(Q47/$R47*100*($E47/365))+(Q48/$R48*100*($E48/365))</f>
        <v>0</v>
      </c>
      <c r="M166" s="362"/>
      <c r="N166" s="363">
        <f t="shared" si="60"/>
        <v>100</v>
      </c>
      <c r="O166" s="363"/>
      <c r="R166" s="6">
        <v>1978</v>
      </c>
      <c r="S166" s="5">
        <f>(O47*($E47/365)) + (O48*($E48/365))</f>
        <v>69.3</v>
      </c>
      <c r="T166" s="5">
        <f>(P47*($E47/365)) + (P48*($E48/365))</f>
        <v>0</v>
      </c>
      <c r="U166" s="5">
        <f>(Q47*($E47/365)) + (Q48*($E48/365))</f>
        <v>0</v>
      </c>
      <c r="W166" s="5">
        <f xml:space="preserve"> R47*(E47/365) + R48*(E48/365)</f>
        <v>69.3</v>
      </c>
    </row>
    <row r="167" spans="1:29" x14ac:dyDescent="0.15">
      <c r="A167" s="6">
        <v>1979</v>
      </c>
      <c r="B167" s="5">
        <f>(K49*($E49/365)) + (K50*($E50/365))</f>
        <v>100</v>
      </c>
      <c r="C167" s="5">
        <f>(L49*($E49/365)) + (L50*($E50/365))</f>
        <v>0</v>
      </c>
      <c r="D167" s="5">
        <f>(M49*($E49/365)) + (M50*($E50/365))</f>
        <v>0</v>
      </c>
      <c r="E167" s="17">
        <f t="shared" si="59"/>
        <v>100</v>
      </c>
      <c r="G167" s="6">
        <v>1979</v>
      </c>
      <c r="H167" s="362">
        <f>(O49/$R49*100*($E49/365))+(O50/$R50*100*($E50/365))</f>
        <v>100</v>
      </c>
      <c r="I167" s="362"/>
      <c r="J167" s="362">
        <f>(P49/$R49*100*($E49/365))+(P50/$R50*100*($E50/365))</f>
        <v>0</v>
      </c>
      <c r="K167" s="362"/>
      <c r="L167" s="362">
        <f>(Q49/$R49*100*($E49/365))+(Q50/$R50*100*($E50/365))</f>
        <v>0</v>
      </c>
      <c r="M167" s="362"/>
      <c r="N167" s="363">
        <f t="shared" si="60"/>
        <v>100</v>
      </c>
      <c r="O167" s="363"/>
      <c r="R167" s="6">
        <v>1979</v>
      </c>
      <c r="S167" s="5">
        <f>(O49*($E49/365)) + (O50*($E50/365))</f>
        <v>69.3</v>
      </c>
      <c r="T167" s="5">
        <f>(P49*($E49/365)) + (P50*($E50/365))</f>
        <v>0</v>
      </c>
      <c r="U167" s="5">
        <f>(Q49*($E49/365)) + (Q50*($E50/365))</f>
        <v>0</v>
      </c>
      <c r="W167" s="5">
        <f xml:space="preserve"> R49*(E49/365) + R50*(E50/365)</f>
        <v>69.3</v>
      </c>
    </row>
    <row r="168" spans="1:29" x14ac:dyDescent="0.15">
      <c r="A168" s="6">
        <v>1980</v>
      </c>
      <c r="B168" s="5">
        <f>(K51*($E51/366)) + (K52*($E52/366))</f>
        <v>100</v>
      </c>
      <c r="C168" s="5">
        <f>(L51*($E51/366)) + (L52*($E52/366))</f>
        <v>0</v>
      </c>
      <c r="D168" s="5">
        <f>(M51*($E51/366)) + (M52*($E52/366))</f>
        <v>0</v>
      </c>
      <c r="E168" s="17">
        <f t="shared" si="59"/>
        <v>100</v>
      </c>
      <c r="G168" s="6">
        <v>1980</v>
      </c>
      <c r="H168" s="362">
        <f>(O51/$R51*100*($E51/366))+(O52/$R52*100*($E52/366))</f>
        <v>100</v>
      </c>
      <c r="I168" s="362"/>
      <c r="J168" s="362">
        <f>(P51/$R51*100*($E51/366))+(P52/$R52*100*($E52/366))</f>
        <v>0</v>
      </c>
      <c r="K168" s="362"/>
      <c r="L168" s="362">
        <f>(Q51/$R51*100*($E51/366))+(Q52/$R52*100*($E52/366))</f>
        <v>0</v>
      </c>
      <c r="M168" s="362"/>
      <c r="N168" s="363">
        <f t="shared" si="60"/>
        <v>100</v>
      </c>
      <c r="O168" s="363"/>
      <c r="R168" s="6">
        <v>1980</v>
      </c>
      <c r="S168" s="5">
        <f>(O51*($E51/366)) + (O52*($E52/366))</f>
        <v>67.644262295081973</v>
      </c>
      <c r="T168" s="5">
        <f>(P51*($E51/366)) + (P52*($E52/366))</f>
        <v>0</v>
      </c>
      <c r="U168" s="5">
        <f>(Q51*($E51/366)) + (Q52*($E52/366))</f>
        <v>0</v>
      </c>
      <c r="W168" s="5">
        <f xml:space="preserve"> R51*(E51/366) + R52*(E52/366)</f>
        <v>67.644262295081973</v>
      </c>
    </row>
    <row r="169" spans="1:29" x14ac:dyDescent="0.15">
      <c r="A169" s="6">
        <v>1981</v>
      </c>
      <c r="B169" s="5">
        <f>(K53*($E53/365)) + (K54*($E54/365))</f>
        <v>100</v>
      </c>
      <c r="C169" s="5">
        <f>(L53*($E53/365)) + (L54*($E54/365))</f>
        <v>0</v>
      </c>
      <c r="D169" s="5">
        <f>(M53*($E53/365)) + (M54*($E54/365))</f>
        <v>0</v>
      </c>
      <c r="E169" s="17">
        <f t="shared" si="59"/>
        <v>100</v>
      </c>
      <c r="G169" s="6">
        <v>1981</v>
      </c>
      <c r="H169" s="362">
        <f>(O53/$R53*100*($E53/365))+(O54/$R54*100*($E54/365))</f>
        <v>100</v>
      </c>
      <c r="I169" s="362"/>
      <c r="J169" s="362">
        <f>(P53/$R53*100*($E53/365))+(P54/$R54*100*($E54/365))</f>
        <v>0</v>
      </c>
      <c r="K169" s="362"/>
      <c r="L169" s="362">
        <f>(Q53/$R53*100*($E53/365))+(Q54/$R54*100*($E54/365))</f>
        <v>0</v>
      </c>
      <c r="M169" s="362"/>
      <c r="N169" s="363">
        <f t="shared" si="60"/>
        <v>100</v>
      </c>
      <c r="O169" s="363"/>
      <c r="R169" s="6">
        <v>1981</v>
      </c>
      <c r="S169" s="5">
        <f>(O53*($E53/365)) + (O54*($E54/365))</f>
        <v>59.2</v>
      </c>
      <c r="T169" s="5">
        <f>(P53*($E53/365)) + (P54*($E54/365))</f>
        <v>0</v>
      </c>
      <c r="U169" s="5">
        <f>(Q53*($E53/365)) + (Q54*($E54/365))</f>
        <v>0</v>
      </c>
      <c r="W169" s="5">
        <f xml:space="preserve"> R53*(E53/365) + R54*(E54/365)</f>
        <v>59.2</v>
      </c>
    </row>
    <row r="170" spans="1:29" x14ac:dyDescent="0.15">
      <c r="A170" s="6">
        <v>1982</v>
      </c>
      <c r="B170" s="5">
        <f>(K55*($E55/365)) + (K56*($E56/365))</f>
        <v>100</v>
      </c>
      <c r="C170" s="5">
        <f>(L55*($E55/365)) + (L56*($E56/365))</f>
        <v>0</v>
      </c>
      <c r="D170" s="5">
        <f>(M55*($E55/365)) + (M56*($E56/365))</f>
        <v>0</v>
      </c>
      <c r="E170" s="17">
        <f t="shared" si="59"/>
        <v>100</v>
      </c>
      <c r="G170" s="6">
        <v>1982</v>
      </c>
      <c r="H170" s="362">
        <f>(O55/$R55*100*($E55/365))+(O56/$R56*100*($E56/365))</f>
        <v>100</v>
      </c>
      <c r="I170" s="362"/>
      <c r="J170" s="362">
        <f>(P55/$R55*100*($E55/365))+(P56/$R56*100*($E56/365))</f>
        <v>0</v>
      </c>
      <c r="K170" s="362"/>
      <c r="L170" s="362">
        <f>(Q55/$R55*100*($E55/365))+(Q56/$R56*100*($E56/365))</f>
        <v>0</v>
      </c>
      <c r="M170" s="362"/>
      <c r="N170" s="363">
        <f t="shared" si="60"/>
        <v>100</v>
      </c>
      <c r="O170" s="363"/>
      <c r="R170" s="6">
        <v>1982</v>
      </c>
      <c r="S170" s="5">
        <f>(O55*($E55/365)) + (O56*($E56/365))</f>
        <v>59.2</v>
      </c>
      <c r="T170" s="5">
        <f>(P55*($E55/365)) + (P56*($E56/365))</f>
        <v>0</v>
      </c>
      <c r="U170" s="5">
        <f>(Q55*($E55/365)) + (Q56*($E56/365))</f>
        <v>0</v>
      </c>
      <c r="W170" s="5">
        <f xml:space="preserve"> R55*(E55/365) + R56*(E56/365)</f>
        <v>59.2</v>
      </c>
      <c r="AA170" s="5"/>
      <c r="AB170" s="5"/>
      <c r="AC170" s="5"/>
    </row>
    <row r="171" spans="1:29" x14ac:dyDescent="0.15">
      <c r="A171" s="6">
        <v>1983</v>
      </c>
      <c r="B171" s="5">
        <f>(K57*($E57/365)) + (K58*($E58/365))</f>
        <v>18.904109589041095</v>
      </c>
      <c r="C171" s="5">
        <f>(L57*($E57/365)) + (L58*($E58/365))</f>
        <v>0</v>
      </c>
      <c r="D171" s="5">
        <f>(M57*($E57/365)) + (M58*($E58/365))</f>
        <v>81.095890410958901</v>
      </c>
      <c r="E171" s="17">
        <f t="shared" si="59"/>
        <v>100</v>
      </c>
      <c r="G171" s="6">
        <v>1983</v>
      </c>
      <c r="H171" s="362">
        <f>(O57/$R57*100*($E57/365))+(O58/$R58*100*($E58/365))</f>
        <v>18.904109589041095</v>
      </c>
      <c r="I171" s="362"/>
      <c r="J171" s="362">
        <f>(P57/$R57*100*($E57/365))+(P58/$R58*100*($E58/365))</f>
        <v>0</v>
      </c>
      <c r="K171" s="362"/>
      <c r="L171" s="362">
        <f>(Q57/$R57*100*($E57/365))+(Q58/$R58*100*($E58/365))</f>
        <v>81.095890410958901</v>
      </c>
      <c r="M171" s="362"/>
      <c r="N171" s="363">
        <f t="shared" si="60"/>
        <v>100</v>
      </c>
      <c r="O171" s="363"/>
      <c r="R171" s="6">
        <v>1983</v>
      </c>
      <c r="S171" s="5">
        <f>(O57*($E57/365)) + (O58*($E58/365))</f>
        <v>11.191232876712329</v>
      </c>
      <c r="T171" s="5">
        <f>(P57*($E57/365)) + (P58*($E58/365))</f>
        <v>0</v>
      </c>
      <c r="U171" s="5">
        <f>(Q57*($E57/365)) + (Q58*($E58/365))</f>
        <v>48.657534246575345</v>
      </c>
      <c r="W171" s="5">
        <f xml:space="preserve"> R57*(E57/365) + R58*(E58/365)</f>
        <v>59.848767123287672</v>
      </c>
    </row>
    <row r="172" spans="1:29" x14ac:dyDescent="0.15">
      <c r="A172" s="13">
        <v>1984</v>
      </c>
      <c r="B172" s="5">
        <f>(K59*($E59/366)) + (K60*($E60/366))</f>
        <v>0</v>
      </c>
      <c r="C172" s="5">
        <f>(L59*($E59/366)) + (L60*($E60/366))</f>
        <v>0</v>
      </c>
      <c r="D172" s="5">
        <f>(M59*($E59/366)) + (M60*($E60/366))</f>
        <v>100</v>
      </c>
      <c r="E172" s="17">
        <f t="shared" si="59"/>
        <v>100</v>
      </c>
      <c r="G172" s="6">
        <v>1984</v>
      </c>
      <c r="H172" s="362">
        <f>(O59/$R59*100*($E59/366))+(O60/$R60*100*($E60/366))</f>
        <v>0</v>
      </c>
      <c r="I172" s="362"/>
      <c r="J172" s="362">
        <f>(P59/$R59*100*($E59/366))+(P60/$R60*100*($E60/366))</f>
        <v>0</v>
      </c>
      <c r="K172" s="362"/>
      <c r="L172" s="362">
        <f>(Q59/$R59*100*($E59/366))+(Q60/$R60*100*($E60/366))</f>
        <v>100</v>
      </c>
      <c r="M172" s="362"/>
      <c r="N172" s="363">
        <f t="shared" si="60"/>
        <v>100</v>
      </c>
      <c r="O172" s="363"/>
      <c r="R172" s="6">
        <v>1984</v>
      </c>
      <c r="S172" s="5">
        <f>(O59*($E59/366)) + (O60*($E60/366))</f>
        <v>0</v>
      </c>
      <c r="T172" s="5">
        <f>(P59*($E59/366)) + (P60*($E60/366))</f>
        <v>0</v>
      </c>
      <c r="U172" s="5">
        <f>(Q59*($E59/366)) + (Q60*($E60/366))</f>
        <v>59.761202185792357</v>
      </c>
      <c r="W172" s="5">
        <f xml:space="preserve"> R59*(E59/366) + R60*(E60/366)</f>
        <v>59.761202185792357</v>
      </c>
    </row>
    <row r="173" spans="1:29" x14ac:dyDescent="0.15">
      <c r="A173" s="13">
        <v>1985</v>
      </c>
      <c r="B173" s="5">
        <f>(K61*($E61/365)) + (K62*($E62/365))</f>
        <v>0</v>
      </c>
      <c r="C173" s="5">
        <f>(L61*($E61/365)) + (L62*($E62/365))</f>
        <v>0</v>
      </c>
      <c r="D173" s="5">
        <f>(M61*($E61/365)) + (M62*($E62/365))</f>
        <v>100</v>
      </c>
      <c r="E173" s="17">
        <f t="shared" si="59"/>
        <v>100</v>
      </c>
      <c r="G173" s="6">
        <v>1985</v>
      </c>
      <c r="H173" s="362">
        <f>(O61/$R61*100*($E61/365))+(O62/$R62*100*($E62/365))</f>
        <v>0</v>
      </c>
      <c r="I173" s="362"/>
      <c r="J173" s="362">
        <f>(P61/$R61*100*($E61/365))+(P62/$R62*100*($E62/365))</f>
        <v>0</v>
      </c>
      <c r="K173" s="362"/>
      <c r="L173" s="362">
        <f>(Q61/$R61*100*($E61/365))+(Q62/$R62*100*($E62/365))</f>
        <v>100</v>
      </c>
      <c r="M173" s="362"/>
      <c r="N173" s="363">
        <f t="shared" si="60"/>
        <v>100</v>
      </c>
      <c r="O173" s="363"/>
      <c r="R173" s="6">
        <v>1985</v>
      </c>
      <c r="S173" s="5">
        <f>(O61*($E61/365)) + (O62*($E62/365))</f>
        <v>0</v>
      </c>
      <c r="T173" s="5">
        <f>(P61*($E61/365)) + (P62*($E62/365))</f>
        <v>0</v>
      </c>
      <c r="U173" s="5">
        <f>(Q61*($E61/365)) + (Q62*($E62/365))</f>
        <v>55.4</v>
      </c>
      <c r="W173" s="5">
        <f xml:space="preserve"> R61*(E61/365) + R62*(E62/365)</f>
        <v>55.4</v>
      </c>
    </row>
    <row r="174" spans="1:29" x14ac:dyDescent="0.15">
      <c r="A174" s="13">
        <v>1986</v>
      </c>
      <c r="B174" s="5">
        <f>(K63*($E63/365)) + (K64*($E64/365))</f>
        <v>0</v>
      </c>
      <c r="C174" s="5">
        <f>(L63*($E63/365)) + (L64*($E64/365))</f>
        <v>0</v>
      </c>
      <c r="D174" s="5">
        <f>(M63*($E63/365)) + (M64*($E64/365))</f>
        <v>100</v>
      </c>
      <c r="E174" s="17">
        <f t="shared" si="59"/>
        <v>100</v>
      </c>
      <c r="G174" s="6">
        <v>1986</v>
      </c>
      <c r="H174" s="362">
        <f>(O63/$R63*100*($E63/365))+(O64/$R64*100*($E64/365))</f>
        <v>0</v>
      </c>
      <c r="I174" s="362"/>
      <c r="J174" s="362">
        <f>(P63/$R63*100*($E63/365))+(P64/$R64*100*($E64/365))</f>
        <v>0</v>
      </c>
      <c r="K174" s="362"/>
      <c r="L174" s="362">
        <f>(Q63/$R63*100*($E63/365))+(Q64/$R64*100*($E64/365))</f>
        <v>100</v>
      </c>
      <c r="M174" s="362"/>
      <c r="N174" s="363">
        <f t="shared" si="60"/>
        <v>100</v>
      </c>
      <c r="O174" s="363"/>
      <c r="R174" s="6">
        <v>1986</v>
      </c>
      <c r="S174" s="5">
        <f>(O63*($E63/365)) + (O64*($E64/365))</f>
        <v>0</v>
      </c>
      <c r="T174" s="5">
        <f>(P63*($E63/365)) + (P64*($E64/365))</f>
        <v>0</v>
      </c>
      <c r="U174" s="5">
        <f>(Q63*($E63/365)) + (Q64*($E64/365))</f>
        <v>55.4</v>
      </c>
      <c r="W174" s="5">
        <f xml:space="preserve"> R63*(E63/365) + R64*(E64/365)</f>
        <v>55.4</v>
      </c>
    </row>
    <row r="175" spans="1:29" x14ac:dyDescent="0.15">
      <c r="A175" s="13">
        <v>1987</v>
      </c>
      <c r="B175" s="5">
        <f>(K65*($E65/365)) + (K66*($E66/365))</f>
        <v>0</v>
      </c>
      <c r="C175" s="5">
        <f>(L65*($E65/365)) + (L66*($E66/365))</f>
        <v>0</v>
      </c>
      <c r="D175" s="5">
        <f>(M65*($E65/365)) + (M66*($E66/365))</f>
        <v>100</v>
      </c>
      <c r="E175" s="17">
        <f t="shared" si="59"/>
        <v>100</v>
      </c>
      <c r="G175" s="6">
        <v>1987</v>
      </c>
      <c r="H175" s="362">
        <f>(O65/$R65*100*($E65/365))+(O66/$R66*100*($E66/365))</f>
        <v>0</v>
      </c>
      <c r="I175" s="362"/>
      <c r="J175" s="362">
        <f>(P65/$R65*100*($E65/365))+(P66/$R66*100*($E66/365))</f>
        <v>0</v>
      </c>
      <c r="K175" s="362"/>
      <c r="L175" s="362">
        <f>(Q65/$R65*100*($E65/365))+(Q66/$R66*100*($E66/365))</f>
        <v>100</v>
      </c>
      <c r="M175" s="362"/>
      <c r="N175" s="363">
        <f t="shared" si="60"/>
        <v>100</v>
      </c>
      <c r="O175" s="363"/>
      <c r="R175" s="6">
        <v>1987</v>
      </c>
      <c r="S175" s="5">
        <f>(O65*($E65/365)) + (O66*($E66/365))</f>
        <v>0</v>
      </c>
      <c r="T175" s="5">
        <f>(P65*($E65/365)) + (P66*($E66/365))</f>
        <v>0</v>
      </c>
      <c r="U175" s="5">
        <f>(Q65*($E65/365)) + (Q66*($E66/365))</f>
        <v>56.605753424657529</v>
      </c>
      <c r="W175" s="5">
        <f xml:space="preserve"> R65*(E65/365) + R66*(E66/365)</f>
        <v>56.605753424657529</v>
      </c>
    </row>
    <row r="176" spans="1:29" x14ac:dyDescent="0.15">
      <c r="A176" s="13">
        <v>1988</v>
      </c>
      <c r="B176" s="5">
        <f>(K67*($E67/366)) + (K68*($E68/366))</f>
        <v>0</v>
      </c>
      <c r="C176" s="5">
        <f>(L67*($E67/366)) + (L68*($E68/366))</f>
        <v>0</v>
      </c>
      <c r="D176" s="5">
        <f>(M67*($E67/366)) + (M68*($E68/366))</f>
        <v>100</v>
      </c>
      <c r="E176" s="17">
        <f t="shared" si="59"/>
        <v>100</v>
      </c>
      <c r="G176" s="6">
        <v>1988</v>
      </c>
      <c r="H176" s="362">
        <f>(O67/$R67*100*($E67/366))+(O68/$R68*100*($E68/366))</f>
        <v>0</v>
      </c>
      <c r="I176" s="362"/>
      <c r="J176" s="362">
        <f>(P67/$R67*100*($E67/366))+(P68/$R68*100*($E68/366))</f>
        <v>0</v>
      </c>
      <c r="K176" s="362"/>
      <c r="L176" s="362">
        <f>(Q67/$R67*100*($E67/366))+(Q68/$R68*100*($E68/366))</f>
        <v>100</v>
      </c>
      <c r="M176" s="362"/>
      <c r="N176" s="363">
        <f t="shared" si="60"/>
        <v>100</v>
      </c>
      <c r="O176" s="363"/>
      <c r="R176" s="6">
        <v>1988</v>
      </c>
      <c r="S176" s="5">
        <f>(O67*($E67/366)) + (O68*($E68/366))</f>
        <v>0</v>
      </c>
      <c r="T176" s="5">
        <f>(P67*($E67/366)) + (P68*($E68/366))</f>
        <v>0</v>
      </c>
      <c r="U176" s="5">
        <f>(Q67*($E67/366)) + (Q68*($E68/366))</f>
        <v>58.1</v>
      </c>
      <c r="W176" s="5">
        <f xml:space="preserve"> R67*(E67/366) + R68*(E68/366)</f>
        <v>58.1</v>
      </c>
    </row>
    <row r="177" spans="1:23" s="12" customFormat="1" x14ac:dyDescent="0.15">
      <c r="A177" s="14">
        <v>1989</v>
      </c>
      <c r="B177" s="8">
        <f>(K69*($E69/365)) + (K70*($E70/365))</f>
        <v>0</v>
      </c>
      <c r="C177" s="8">
        <f>(L69*($E69/365)) + (L70*($E70/365))</f>
        <v>0</v>
      </c>
      <c r="D177" s="8">
        <f>(M69*($E69/365)) + (M70*($E70/365))</f>
        <v>100</v>
      </c>
      <c r="E177" s="18">
        <f t="shared" si="59"/>
        <v>100</v>
      </c>
      <c r="G177" s="7">
        <v>1989</v>
      </c>
      <c r="H177" s="364">
        <f>(O69/$R69*100*($E69/365))+(O70/$R70*100*($E70/365))</f>
        <v>0</v>
      </c>
      <c r="I177" s="364"/>
      <c r="J177" s="364">
        <f>(P69/$R69*100*($E69/365))+(P70/$R70*100*($E70/365))</f>
        <v>0</v>
      </c>
      <c r="K177" s="364"/>
      <c r="L177" s="364">
        <f>(Q69/$R69*100*($E69/365))+(Q70/$R70*100*($E70/365))</f>
        <v>100</v>
      </c>
      <c r="M177" s="364"/>
      <c r="N177" s="391">
        <f t="shared" si="60"/>
        <v>100</v>
      </c>
      <c r="O177" s="391"/>
      <c r="R177" s="7">
        <v>1989</v>
      </c>
      <c r="S177" s="8">
        <f>(O69*($E69/365)) + (O70*($E70/365))</f>
        <v>0</v>
      </c>
      <c r="T177" s="8">
        <f>(P69*($E69/365)) + (P70*($E70/365))</f>
        <v>0</v>
      </c>
      <c r="U177" s="8">
        <f>(Q69*($E69/365)) + (Q70*($E70/365))</f>
        <v>58.1</v>
      </c>
      <c r="W177" s="8">
        <f xml:space="preserve"> R69*(E69/365) + R70*(E70/365)</f>
        <v>58.1</v>
      </c>
    </row>
    <row r="178" spans="1:23" x14ac:dyDescent="0.15">
      <c r="A178" s="13">
        <v>1990</v>
      </c>
      <c r="B178" s="5">
        <f>(K71*($E71/365))+(K72*($E72/365))</f>
        <v>0</v>
      </c>
      <c r="C178" s="5">
        <f>(L71*($E71/365))+(L72*($E72/365))</f>
        <v>0</v>
      </c>
      <c r="D178" s="5">
        <f>(M71*($E71/365))+(M72*($E72/365))</f>
        <v>100</v>
      </c>
      <c r="E178" s="17">
        <f>SUM(B178:D178)</f>
        <v>100</v>
      </c>
      <c r="G178" s="6">
        <v>1990</v>
      </c>
      <c r="H178" s="365">
        <f>(O71/$R71*100*($E71/365))+(O72/$R72*100*($E72/365))</f>
        <v>0</v>
      </c>
      <c r="I178" s="365"/>
      <c r="J178" s="365">
        <f>(P71/$R71*100*($E71/365))+(P72/$R72*100*($E72/365))</f>
        <v>0</v>
      </c>
      <c r="K178" s="365"/>
      <c r="L178" s="365">
        <f>(Q71/$R71*100*($E71/365))+(Q72/$R72*100*($E72/365))</f>
        <v>100</v>
      </c>
      <c r="M178" s="365"/>
      <c r="N178" s="363">
        <f t="shared" ref="N178:N200" si="61">SUM(H178:M178)</f>
        <v>100</v>
      </c>
      <c r="O178" s="363"/>
      <c r="R178" s="6">
        <v>1990</v>
      </c>
      <c r="S178" s="5">
        <f>(O71*($E71/365))+(O72*($E72/365))</f>
        <v>0</v>
      </c>
      <c r="T178" s="5">
        <f>(P71*($E71/365))+(P72*($E72/365))</f>
        <v>0</v>
      </c>
      <c r="U178" s="5">
        <f>(Q71*($E71/365))+(Q72*($E72/365))</f>
        <v>54.075890410958905</v>
      </c>
      <c r="W178" s="5">
        <f xml:space="preserve"> R71*(E71/365) + R72*(E72/365)</f>
        <v>54.075890410958905</v>
      </c>
    </row>
    <row r="179" spans="1:23" x14ac:dyDescent="0.15">
      <c r="A179" s="13">
        <v>1991</v>
      </c>
      <c r="B179" s="5">
        <f>(K73*($E73/365))+(K74*($E74/365))</f>
        <v>0</v>
      </c>
      <c r="C179" s="5">
        <f>(L73*($E73/365))+(L74*($E74/365))</f>
        <v>0</v>
      </c>
      <c r="D179" s="5">
        <f>(M73*($E73/365))+(M74*($E74/365))</f>
        <v>100</v>
      </c>
      <c r="E179" s="17">
        <f t="shared" ref="E179:E200" si="62">SUM(B179:D179)</f>
        <v>100</v>
      </c>
      <c r="G179" s="6">
        <v>1991</v>
      </c>
      <c r="H179" s="362">
        <f>(O73/$R73*100*($E73/365))+(O74/$R74*100*($E74/365))</f>
        <v>0</v>
      </c>
      <c r="I179" s="362"/>
      <c r="J179" s="362">
        <f>(P73/$R73*100*($E73/365))+(P74/$R74*100*($E74/365))</f>
        <v>0</v>
      </c>
      <c r="K179" s="362"/>
      <c r="L179" s="362">
        <f>(Q73/$R73*100*($E73/365))+(Q74/$R74*100*($E74/365))</f>
        <v>100</v>
      </c>
      <c r="M179" s="362"/>
      <c r="N179" s="363">
        <f t="shared" si="61"/>
        <v>100</v>
      </c>
      <c r="O179" s="363"/>
      <c r="R179" s="6">
        <v>1991</v>
      </c>
      <c r="S179" s="5">
        <f>(O73*($E73/365))+(O74*($E74/365))</f>
        <v>0</v>
      </c>
      <c r="T179" s="5">
        <f>(P73*($E73/365))+(P74*($E74/365))</f>
        <v>0</v>
      </c>
      <c r="U179" s="5">
        <f>(Q73*($E73/365))+(Q74*($E74/365))</f>
        <v>52.699999999999996</v>
      </c>
      <c r="W179" s="5">
        <f xml:space="preserve"> R73*(E73/365) + R74*(E74/365)</f>
        <v>52.699999999999996</v>
      </c>
    </row>
    <row r="180" spans="1:23" x14ac:dyDescent="0.15">
      <c r="A180" s="13">
        <v>1992</v>
      </c>
      <c r="B180" s="5">
        <f>(K75*($E75/366))+(K76*($E76/366))</f>
        <v>0</v>
      </c>
      <c r="C180" s="5">
        <f>(L75*($E75/366))+(L76*($E76/366))</f>
        <v>0</v>
      </c>
      <c r="D180" s="5">
        <f>(M75*($E75/366))+(M76*($E76/366))</f>
        <v>100</v>
      </c>
      <c r="E180" s="17">
        <f t="shared" si="62"/>
        <v>100</v>
      </c>
      <c r="G180" s="6">
        <v>1992</v>
      </c>
      <c r="H180" s="362">
        <f>(O75/$R75*100*($E75/366))+(O76/$R76*100*($E76/366))</f>
        <v>0</v>
      </c>
      <c r="I180" s="362"/>
      <c r="J180" s="362">
        <f>(P75/$R75*100*($E75/366))+(P76/$R76*100*($E76/366))</f>
        <v>0</v>
      </c>
      <c r="K180" s="362"/>
      <c r="L180" s="362">
        <f>(Q75/$R75*100*($E75/366))+(Q76/$R76*100*($E76/366))</f>
        <v>100</v>
      </c>
      <c r="M180" s="362"/>
      <c r="N180" s="363">
        <f t="shared" si="61"/>
        <v>100</v>
      </c>
      <c r="O180" s="363"/>
      <c r="R180" s="6">
        <v>1992</v>
      </c>
      <c r="S180" s="5">
        <f>(O75*($E75/366))+(O76*($E76/366))</f>
        <v>0</v>
      </c>
      <c r="T180" s="5">
        <f>(P75*($E75/366))+(P76*($E76/366))</f>
        <v>0</v>
      </c>
      <c r="U180" s="5">
        <f>(Q75*($E75/366))+(Q76*($E76/366))</f>
        <v>52.7</v>
      </c>
      <c r="W180" s="5">
        <f xml:space="preserve"> R75*(E75/366) + R76*(E76/366)</f>
        <v>52.7</v>
      </c>
    </row>
    <row r="181" spans="1:23" x14ac:dyDescent="0.15">
      <c r="A181" s="13">
        <v>1993</v>
      </c>
      <c r="B181" s="5">
        <f>(K77*($E77/365))+(K78*($E78/365))</f>
        <v>0</v>
      </c>
      <c r="C181" s="5">
        <f>(L77*($E77/365))+(L78*($E78/365))</f>
        <v>0</v>
      </c>
      <c r="D181" s="5">
        <f>(M77*($E77/365))+(M78*($E78/365))</f>
        <v>99.999999999999986</v>
      </c>
      <c r="E181" s="17">
        <f t="shared" si="62"/>
        <v>99.999999999999986</v>
      </c>
      <c r="G181" s="6">
        <v>1993</v>
      </c>
      <c r="H181" s="362">
        <f>(O77/$R77*100*($E77/365))+(O78/$R78*100*($E78/365))</f>
        <v>0</v>
      </c>
      <c r="I181" s="362"/>
      <c r="J181" s="362">
        <f>(P77/$R77*100*($E77/365))+(P78/$R78*100*($E78/365))</f>
        <v>0</v>
      </c>
      <c r="K181" s="362"/>
      <c r="L181" s="362">
        <f>(Q77/$R77*100*($E77/365))+(Q78/$R78*100*($E78/365))</f>
        <v>99.999999999999986</v>
      </c>
      <c r="M181" s="362"/>
      <c r="N181" s="363">
        <f t="shared" si="61"/>
        <v>99.999999999999986</v>
      </c>
      <c r="O181" s="363"/>
      <c r="R181" s="6">
        <v>1993</v>
      </c>
      <c r="S181" s="5">
        <f>(O77*($E77/365))+(O78*($E78/365))</f>
        <v>0</v>
      </c>
      <c r="T181" s="5">
        <f>(P77*($E77/365))+(P78*($E78/365))</f>
        <v>0</v>
      </c>
      <c r="U181" s="5">
        <f>(Q77*($E77/365))+(Q78*($E78/365))</f>
        <v>52.737260273972602</v>
      </c>
      <c r="W181" s="5">
        <f xml:space="preserve"> R77*(E77/365) + R78*(E78/365)</f>
        <v>52.737260273972602</v>
      </c>
    </row>
    <row r="182" spans="1:23" x14ac:dyDescent="0.15">
      <c r="A182" s="13">
        <v>1994</v>
      </c>
      <c r="B182" s="5">
        <f>(K79*($E79/365))+(K80*($E80/365))</f>
        <v>0</v>
      </c>
      <c r="C182" s="5">
        <f>(L79*($E79/365))+(L80*($E80/365))</f>
        <v>0</v>
      </c>
      <c r="D182" s="5">
        <f>(M79*($E79/365))+(M80*($E80/365))</f>
        <v>100</v>
      </c>
      <c r="E182" s="17">
        <f t="shared" si="62"/>
        <v>100</v>
      </c>
      <c r="G182" s="6">
        <v>1994</v>
      </c>
      <c r="H182" s="362">
        <f>(O79/$R79*100*($E79/365))+(O80/$R80*100*($E80/365))</f>
        <v>0</v>
      </c>
      <c r="I182" s="362"/>
      <c r="J182" s="362">
        <f>(P79/$R79*100*($E79/365))+(P80/$R80*100*($E80/365))</f>
        <v>0</v>
      </c>
      <c r="K182" s="362"/>
      <c r="L182" s="362">
        <f>(Q79/$R79*100*($E79/365))+(Q80/$R80*100*($E80/365))</f>
        <v>100</v>
      </c>
      <c r="M182" s="362"/>
      <c r="N182" s="363">
        <f t="shared" si="61"/>
        <v>100</v>
      </c>
      <c r="O182" s="363"/>
      <c r="R182" s="6">
        <v>1994</v>
      </c>
      <c r="S182" s="5">
        <f>(O79*($E79/365))+(O80*($E80/365))</f>
        <v>0</v>
      </c>
      <c r="T182" s="5">
        <f>(P79*($E79/365))+(P80*($E80/365))</f>
        <v>0</v>
      </c>
      <c r="U182" s="5">
        <f>(Q79*($E79/365))+(Q80*($E80/365))</f>
        <v>54.4</v>
      </c>
      <c r="W182" s="5">
        <f xml:space="preserve"> R79*(E79/365) + R80*(E80/365)</f>
        <v>54.4</v>
      </c>
    </row>
    <row r="183" spans="1:23" x14ac:dyDescent="0.15">
      <c r="A183" s="13">
        <v>1995</v>
      </c>
      <c r="B183" s="5">
        <f>(K81*($E81/365))+(K82*($E82/365))</f>
        <v>0</v>
      </c>
      <c r="C183" s="5">
        <f>(L81*($E81/365))+(L82*($E82/365))</f>
        <v>0</v>
      </c>
      <c r="D183" s="5">
        <f>(M81*($E81/365))+(M82*($E82/365))</f>
        <v>100</v>
      </c>
      <c r="E183" s="17">
        <f t="shared" si="62"/>
        <v>100</v>
      </c>
      <c r="G183" s="6">
        <v>1995</v>
      </c>
      <c r="H183" s="362">
        <f>(O81/$R81*100*($E81/365))+(O82/$R82*100*($E82/365))</f>
        <v>0</v>
      </c>
      <c r="I183" s="362"/>
      <c r="J183" s="362">
        <f>(P81/$R81*100*($E81/365))+(P82/$R82*100*($E82/365))</f>
        <v>0</v>
      </c>
      <c r="K183" s="362"/>
      <c r="L183" s="362">
        <f>(Q81/$R81*100*($E81/365))+(Q82/$R82*100*($E82/365))</f>
        <v>100</v>
      </c>
      <c r="M183" s="362"/>
      <c r="N183" s="363">
        <f t="shared" si="61"/>
        <v>100</v>
      </c>
      <c r="O183" s="363"/>
      <c r="R183" s="6">
        <v>1995</v>
      </c>
      <c r="S183" s="5">
        <f>(O81*($E81/365))+(O82*($E82/365))</f>
        <v>0</v>
      </c>
      <c r="T183" s="5">
        <f>(P81*($E81/365))+(P82*($E82/365))</f>
        <v>0</v>
      </c>
      <c r="U183" s="5">
        <f>(Q81*($E81/365))+(Q82*($E82/365))</f>
        <v>54.4</v>
      </c>
      <c r="W183" s="5">
        <f xml:space="preserve"> R81*(E81/365) + R82*(E82/365)</f>
        <v>54.4</v>
      </c>
    </row>
    <row r="184" spans="1:23" x14ac:dyDescent="0.15">
      <c r="A184" s="13">
        <v>1996</v>
      </c>
      <c r="B184" s="5">
        <f>(K83*($E83/366))+(K84*($E84/366))</f>
        <v>80.874316939890718</v>
      </c>
      <c r="C184" s="5">
        <f>(L83*($E83/366))+(L84*($E84/366))</f>
        <v>0</v>
      </c>
      <c r="D184" s="5">
        <f>(M83*($E83/366))+(M84*($E84/366))</f>
        <v>19.125683060109289</v>
      </c>
      <c r="E184" s="17">
        <f t="shared" si="62"/>
        <v>100</v>
      </c>
      <c r="G184" s="6">
        <v>1996</v>
      </c>
      <c r="H184" s="362">
        <f>(O83/$R83*100*($E83/366))+(O84/$R84*100*($E84/366))</f>
        <v>80.874316939890718</v>
      </c>
      <c r="I184" s="362"/>
      <c r="J184" s="362">
        <f>(P83/$R83*100*($E83/366))+(P84/$R84*100*($E84/366))</f>
        <v>0</v>
      </c>
      <c r="K184" s="362"/>
      <c r="L184" s="362">
        <f>(Q83/$R83*100*($E83/366))+(Q84/$R84*100*($E84/366))</f>
        <v>19.125683060109289</v>
      </c>
      <c r="M184" s="362"/>
      <c r="N184" s="363">
        <f t="shared" si="61"/>
        <v>100</v>
      </c>
      <c r="O184" s="363"/>
      <c r="R184" s="6">
        <v>1996</v>
      </c>
      <c r="S184" s="5">
        <f>(O83*($E83/366))+(O84*($E84/366))</f>
        <v>51.355191256830601</v>
      </c>
      <c r="T184" s="5">
        <f>(P83*($E83/366))+(P84*($E84/366))</f>
        <v>0</v>
      </c>
      <c r="U184" s="5">
        <f>(Q83*($E83/366))+(Q84*($E84/366))</f>
        <v>10.404371584699453</v>
      </c>
      <c r="W184" s="5">
        <f xml:space="preserve"> R83*(E83/366) + R84*(E84/366)</f>
        <v>61.759562841530055</v>
      </c>
    </row>
    <row r="185" spans="1:23" x14ac:dyDescent="0.15">
      <c r="A185" s="13">
        <v>1997</v>
      </c>
      <c r="B185" s="5">
        <f>(K85*($E85/365))+(K86*($E86/365))</f>
        <v>100</v>
      </c>
      <c r="C185" s="5">
        <f>(L85*($E85/365))+(L86*($E86/365))</f>
        <v>0</v>
      </c>
      <c r="D185" s="5">
        <f>(M85*($E85/365))+(M86*($E86/365))</f>
        <v>0</v>
      </c>
      <c r="E185" s="17">
        <f t="shared" si="62"/>
        <v>100</v>
      </c>
      <c r="G185" s="6">
        <v>1997</v>
      </c>
      <c r="H185" s="362">
        <f>(O85/$R85*100*($E85/365))+(O86/$R86*100*($E86/365))</f>
        <v>100</v>
      </c>
      <c r="I185" s="362"/>
      <c r="J185" s="362">
        <f>(P85/$R85*100*($E85/365))+(P86/$R86*100*($E86/365))</f>
        <v>0</v>
      </c>
      <c r="K185" s="362"/>
      <c r="L185" s="362">
        <f>(Q85/$R85*100*($E85/365))+(Q86/$R86*100*($E86/365))</f>
        <v>0</v>
      </c>
      <c r="M185" s="362"/>
      <c r="N185" s="363">
        <f t="shared" si="61"/>
        <v>100</v>
      </c>
      <c r="O185" s="363"/>
      <c r="R185" s="6">
        <v>1997</v>
      </c>
      <c r="S185" s="5">
        <f>(O85*($E85/365))+(O86*($E86/365))</f>
        <v>63.5</v>
      </c>
      <c r="T185" s="5">
        <f>(P85*($E85/365))+(P86*($E86/365))</f>
        <v>0</v>
      </c>
      <c r="U185" s="5">
        <f>(Q85*($E85/365))+(Q86*($E86/365))</f>
        <v>0</v>
      </c>
      <c r="W185" s="5">
        <f xml:space="preserve"> R85*(E85/365) + R86*(E86/365)</f>
        <v>63.5</v>
      </c>
    </row>
    <row r="186" spans="1:23" x14ac:dyDescent="0.15">
      <c r="A186" s="13">
        <v>1998</v>
      </c>
      <c r="B186" s="5">
        <f>(K87*($E87/365))+(K88*($E88/365))</f>
        <v>100</v>
      </c>
      <c r="C186" s="5">
        <f>(L87*($E87/365))+(L88*($E88/365))</f>
        <v>0</v>
      </c>
      <c r="D186" s="5">
        <f>(M87*($E87/365))+(M88*($E88/365))</f>
        <v>0</v>
      </c>
      <c r="E186" s="17">
        <f t="shared" si="62"/>
        <v>100</v>
      </c>
      <c r="G186" s="6">
        <v>1998</v>
      </c>
      <c r="H186" s="362">
        <f>(O87/$R87*100*($E87/365))+(O88/$R88*100*($E88/365))</f>
        <v>100</v>
      </c>
      <c r="I186" s="362"/>
      <c r="J186" s="362">
        <f>(P87/$R87*100*($E87/365))+(P88/$R88*100*($E88/365))</f>
        <v>0</v>
      </c>
      <c r="K186" s="362"/>
      <c r="L186" s="362">
        <f>(Q87/$R87*100*($E87/365))+(Q88/$R88*100*($E88/365))</f>
        <v>0</v>
      </c>
      <c r="M186" s="362"/>
      <c r="N186" s="363">
        <f t="shared" si="61"/>
        <v>100</v>
      </c>
      <c r="O186" s="363"/>
      <c r="R186" s="6">
        <v>1998</v>
      </c>
      <c r="S186" s="5">
        <f>(O87*($E87/365))+(O88*($E88/365))</f>
        <v>61.626027397260273</v>
      </c>
      <c r="T186" s="5">
        <f>(P87*($E87/365))+(P88*($E88/365))</f>
        <v>0</v>
      </c>
      <c r="U186" s="5">
        <f>(Q87*($E87/365))+(Q88*($E88/365))</f>
        <v>0</v>
      </c>
      <c r="W186" s="5">
        <f xml:space="preserve"> R87*(E87/365) + R88*(E88/365)</f>
        <v>61.626027397260273</v>
      </c>
    </row>
    <row r="187" spans="1:23" x14ac:dyDescent="0.15">
      <c r="A187" s="13">
        <v>1999</v>
      </c>
      <c r="B187" s="5">
        <f>(K89*($E89/365))+(K90*($E90/365))</f>
        <v>100</v>
      </c>
      <c r="C187" s="5">
        <f>(L89*($E89/365))+(L90*($E90/365))</f>
        <v>0</v>
      </c>
      <c r="D187" s="5">
        <f>(M89*($E89/365))+(M90*($E90/365))</f>
        <v>0</v>
      </c>
      <c r="E187" s="17">
        <f t="shared" si="62"/>
        <v>100</v>
      </c>
      <c r="G187" s="6">
        <v>1999</v>
      </c>
      <c r="H187" s="362">
        <f>(O89/$R89*100*($E89/365))+(O90/$R90*100*($E90/365))</f>
        <v>100</v>
      </c>
      <c r="I187" s="362"/>
      <c r="J187" s="362">
        <f>(P89/$R89*100*($E89/365))+(P90/$R90*100*($E90/365))</f>
        <v>0</v>
      </c>
      <c r="K187" s="362"/>
      <c r="L187" s="362">
        <f>(Q89/$R89*100*($E89/365))+(Q90/$R90*100*($E90/365))</f>
        <v>0</v>
      </c>
      <c r="M187" s="362"/>
      <c r="N187" s="363">
        <f t="shared" si="61"/>
        <v>100</v>
      </c>
      <c r="O187" s="363"/>
      <c r="R187" s="6">
        <v>1999</v>
      </c>
      <c r="S187" s="5">
        <f>(O89*($E89/365))+(O90*($E90/365))</f>
        <v>54</v>
      </c>
      <c r="T187" s="5">
        <f>(P89*($E89/365))+(P90*($E90/365))</f>
        <v>0</v>
      </c>
      <c r="U187" s="5">
        <f>(Q89*($E89/365))+(Q90*($E90/365))</f>
        <v>0</v>
      </c>
      <c r="W187" s="5">
        <f xml:space="preserve"> R89*(E89/365) + R90*(E90/365)</f>
        <v>54</v>
      </c>
    </row>
    <row r="188" spans="1:23" x14ac:dyDescent="0.15">
      <c r="A188" s="13">
        <v>2000</v>
      </c>
      <c r="B188" s="5">
        <f>(K91*($E91/366))+(K92*($E92/366))</f>
        <v>100</v>
      </c>
      <c r="C188" s="5">
        <f>(L91*($E91/366))+(L92*($E92/366))</f>
        <v>0</v>
      </c>
      <c r="D188" s="5">
        <f>(M91*($E91/366))+(M92*($E92/366))</f>
        <v>0</v>
      </c>
      <c r="E188" s="17">
        <f t="shared" si="62"/>
        <v>100</v>
      </c>
      <c r="G188" s="6">
        <v>2000</v>
      </c>
      <c r="H188" s="362">
        <f>(O91/$R91*100*($E91/366))+(O92/$R92*100*($E92/366))</f>
        <v>100</v>
      </c>
      <c r="I188" s="362"/>
      <c r="J188" s="362">
        <f>(P91/$R91*100*($E91/366))+(P92/$R92*100*($E92/366))</f>
        <v>0</v>
      </c>
      <c r="K188" s="362"/>
      <c r="L188" s="362">
        <f>(Q91/$R91*100*($E91/366))+(Q92/$R92*100*($E92/366))</f>
        <v>0</v>
      </c>
      <c r="M188" s="362"/>
      <c r="N188" s="363">
        <f t="shared" si="61"/>
        <v>100</v>
      </c>
      <c r="O188" s="363"/>
      <c r="R188" s="6">
        <v>2000</v>
      </c>
      <c r="S188" s="5">
        <f>(O91*($E91/366))+(O92*($E92/366))</f>
        <v>54</v>
      </c>
      <c r="T188" s="5">
        <f>(P91*($E91/366))+(P92*($E92/366))</f>
        <v>0</v>
      </c>
      <c r="U188" s="5">
        <f>(Q91*($E91/366))+(Q92*($E92/366))</f>
        <v>0</v>
      </c>
      <c r="W188" s="5">
        <f xml:space="preserve"> R91*(E91/366) + R92*(E92/366)</f>
        <v>54</v>
      </c>
    </row>
    <row r="189" spans="1:23" x14ac:dyDescent="0.15">
      <c r="A189" s="13">
        <v>2001</v>
      </c>
      <c r="B189" s="5">
        <f>(K93*($E93/365))+(K94*($E94/365))</f>
        <v>100</v>
      </c>
      <c r="C189" s="5">
        <f>(L93*($E93/365))+(L94*($E94/365))</f>
        <v>0</v>
      </c>
      <c r="D189" s="5">
        <f>(M93*($E93/365))+(M94*($E94/365))</f>
        <v>0</v>
      </c>
      <c r="E189" s="17">
        <f t="shared" si="62"/>
        <v>100</v>
      </c>
      <c r="G189" s="6">
        <v>2001</v>
      </c>
      <c r="H189" s="362">
        <f>(O93/$R93*100*($E93/365))+(O94/$R94*100*($E94/365))</f>
        <v>100</v>
      </c>
      <c r="I189" s="362"/>
      <c r="J189" s="362">
        <f>(P93/$R93*100*($E93/365))+(P94/$R94*100*($E94/365))</f>
        <v>0</v>
      </c>
      <c r="K189" s="362"/>
      <c r="L189" s="362">
        <f>(Q93/$R93*100*($E93/365))+(Q94/$R94*100*($E94/365))</f>
        <v>0</v>
      </c>
      <c r="M189" s="362"/>
      <c r="N189" s="363">
        <f t="shared" si="61"/>
        <v>100</v>
      </c>
      <c r="O189" s="363"/>
      <c r="R189" s="6">
        <v>2001</v>
      </c>
      <c r="S189" s="5">
        <f>(O93*($E93/365))+(O94*($E94/365))</f>
        <v>54.069041095890412</v>
      </c>
      <c r="T189" s="5">
        <f>(P93*($E93/365))+(P94*($E94/365))</f>
        <v>0</v>
      </c>
      <c r="U189" s="5">
        <f>(Q93*($E93/365))+(Q94*($E94/365))</f>
        <v>0</v>
      </c>
      <c r="W189" s="5">
        <f xml:space="preserve"> R93*(E93/365) + R94*(E94/365)</f>
        <v>54.069041095890412</v>
      </c>
    </row>
    <row r="190" spans="1:23" x14ac:dyDescent="0.15">
      <c r="A190" s="13">
        <v>2002</v>
      </c>
      <c r="B190" s="5">
        <f>(K95*($E95/365))+(K96*($E96/365))</f>
        <v>100</v>
      </c>
      <c r="C190" s="5">
        <f>(L95*($E95/365))+(L96*($E96/365))</f>
        <v>0</v>
      </c>
      <c r="D190" s="5">
        <f>(M95*($E95/365))+(M96*($E96/365))</f>
        <v>0</v>
      </c>
      <c r="E190" s="17">
        <f t="shared" si="62"/>
        <v>100</v>
      </c>
      <c r="G190" s="6">
        <v>2002</v>
      </c>
      <c r="H190" s="362">
        <f>(O95/$R95*100*($E95/365))+(O96/$R96*100*($E96/365))</f>
        <v>100</v>
      </c>
      <c r="I190" s="362"/>
      <c r="J190" s="362">
        <f>(P95/$R95*100*($E95/365))+(P96/$R96*100*($E96/365))</f>
        <v>0</v>
      </c>
      <c r="K190" s="362"/>
      <c r="L190" s="362">
        <f>(Q95/$R95*100*($E95/365))+(Q96/$R96*100*($E96/365))</f>
        <v>0</v>
      </c>
      <c r="M190" s="362"/>
      <c r="N190" s="363">
        <f t="shared" si="61"/>
        <v>100</v>
      </c>
      <c r="O190" s="363"/>
      <c r="R190" s="6">
        <v>2002</v>
      </c>
      <c r="S190" s="5">
        <f>(O95*($E95/365))+(O96*($E96/365))</f>
        <v>54.7</v>
      </c>
      <c r="T190" s="5">
        <f>(P95*($E95/365))+(P96*($E96/365))</f>
        <v>0</v>
      </c>
      <c r="U190" s="5">
        <f>(Q95*($E95/365))+(Q96*($E96/365))</f>
        <v>0</v>
      </c>
      <c r="W190" s="5">
        <f xml:space="preserve"> R95*(E95/365) + R96*(E96/365)</f>
        <v>54.7</v>
      </c>
    </row>
    <row r="191" spans="1:23" x14ac:dyDescent="0.15">
      <c r="A191" s="13">
        <v>2003</v>
      </c>
      <c r="B191" s="5">
        <f>(K97*($E97/365))+(K98*($E98/365))</f>
        <v>100</v>
      </c>
      <c r="C191" s="5">
        <f>(L97*($E97/365))+(L98*($E98/365))</f>
        <v>0</v>
      </c>
      <c r="D191" s="5">
        <f>(M97*($E97/365))+(M98*($E98/365))</f>
        <v>0</v>
      </c>
      <c r="E191" s="17">
        <f t="shared" si="62"/>
        <v>100</v>
      </c>
      <c r="G191" s="6">
        <v>2003</v>
      </c>
      <c r="H191" s="362">
        <f>(O97/$R97*100*($E97/365))+(O98/$R98*100*($E98/365))</f>
        <v>100</v>
      </c>
      <c r="I191" s="362"/>
      <c r="J191" s="362">
        <f>(P97/$R97*100*($E97/365))+(P98/$R98*100*($E98/365))</f>
        <v>0</v>
      </c>
      <c r="K191" s="362"/>
      <c r="L191" s="362">
        <f>(Q97/$R97*100*($E97/365))+(Q98/$R98*100*($E98/365))</f>
        <v>0</v>
      </c>
      <c r="M191" s="362"/>
      <c r="N191" s="363">
        <f t="shared" si="61"/>
        <v>100</v>
      </c>
      <c r="O191" s="363"/>
      <c r="R191" s="6">
        <v>2003</v>
      </c>
      <c r="S191" s="5">
        <f>(O97*($E97/365))+(O98*($E98/365))</f>
        <v>54.7</v>
      </c>
      <c r="T191" s="5">
        <f>(P97*($E97/365))+(P98*($E98/365))</f>
        <v>0</v>
      </c>
      <c r="U191" s="5">
        <f>(Q97*($E97/365))+(Q98*($E98/365))</f>
        <v>0</v>
      </c>
      <c r="W191" s="5">
        <f xml:space="preserve"> R97*(E97/365) + R98*(E98/365)</f>
        <v>54.7</v>
      </c>
    </row>
    <row r="192" spans="1:23" x14ac:dyDescent="0.15">
      <c r="A192" s="13">
        <v>2004</v>
      </c>
      <c r="B192" s="5">
        <f>(K99*($E99/366))+(K100*($E100/366))</f>
        <v>100.00000000000001</v>
      </c>
      <c r="C192" s="5">
        <f>(L99*($E99/366))+(L100*($E100/366))</f>
        <v>0</v>
      </c>
      <c r="D192" s="5">
        <f>(M99*($E99/366))+(M100*($E100/366))</f>
        <v>0</v>
      </c>
      <c r="E192" s="17">
        <f t="shared" si="62"/>
        <v>100.00000000000001</v>
      </c>
      <c r="G192" s="6">
        <v>2004</v>
      </c>
      <c r="H192" s="362">
        <f>(O99/$R99*100*($E99/366))+(O100/$R100*100*($E100/366))</f>
        <v>100.00000000000001</v>
      </c>
      <c r="I192" s="362"/>
      <c r="J192" s="362">
        <f>(P99/$R99*100*($E99/366))+(P100/$R100*100*($E100/366))</f>
        <v>0</v>
      </c>
      <c r="K192" s="362"/>
      <c r="L192" s="362">
        <f>(Q99/$R99*100*($E99/366))+(Q100/$R100*100*($E100/366))</f>
        <v>0</v>
      </c>
      <c r="M192" s="362"/>
      <c r="N192" s="363">
        <f t="shared" si="61"/>
        <v>100.00000000000001</v>
      </c>
      <c r="O192" s="363"/>
      <c r="R192" s="6">
        <v>2004</v>
      </c>
      <c r="S192" s="5">
        <f>(O99*($E99/366))+(O100*($E100/366))</f>
        <v>55.304098360655743</v>
      </c>
      <c r="T192" s="5">
        <f>(P99*($E99/366))+(P100*($E100/366))</f>
        <v>0</v>
      </c>
      <c r="U192" s="5">
        <f>(Q99*($E99/366))+(Q100*($E100/366))</f>
        <v>0</v>
      </c>
      <c r="W192" s="5">
        <f xml:space="preserve"> R99*(E99/366) + R100*(E100/366)</f>
        <v>55.304098360655743</v>
      </c>
    </row>
    <row r="193" spans="1:23" x14ac:dyDescent="0.15">
      <c r="A193" s="13">
        <v>2005</v>
      </c>
      <c r="B193" s="5">
        <f>(K101*($E101/365))+(K102*($E102/365))</f>
        <v>100</v>
      </c>
      <c r="C193" s="5">
        <f>(L101*($E101/365))+(L102*($E102/365))</f>
        <v>0</v>
      </c>
      <c r="D193" s="5">
        <f>(M101*($E101/365))+(M102*($E102/365))</f>
        <v>0</v>
      </c>
      <c r="E193" s="17">
        <f t="shared" si="62"/>
        <v>100</v>
      </c>
      <c r="G193" s="6">
        <v>2005</v>
      </c>
      <c r="H193" s="362">
        <f>(O101/$R101*100*($E101/365))+(O102/$R102*100*($E102/365))</f>
        <v>100</v>
      </c>
      <c r="I193" s="362"/>
      <c r="J193" s="362">
        <f>(P101/$R101*100*($E101/365))+(P102/$R102*100*($E102/365))</f>
        <v>0</v>
      </c>
      <c r="K193" s="362"/>
      <c r="L193" s="362">
        <f>(Q101/$R101*100*($E101/365))+(Q102/$R102*100*($E102/365))</f>
        <v>0</v>
      </c>
      <c r="M193" s="362"/>
      <c r="N193" s="363">
        <f t="shared" si="61"/>
        <v>100</v>
      </c>
      <c r="O193" s="363"/>
      <c r="R193" s="6">
        <v>2005</v>
      </c>
      <c r="S193" s="5">
        <f>(O101*($E101/365))+(O102*($E102/365))</f>
        <v>58</v>
      </c>
      <c r="T193" s="5">
        <f>(P101*($E101/365))+(P102*($E102/365))</f>
        <v>0</v>
      </c>
      <c r="U193" s="5">
        <f>(Q101*($E101/365))+(Q102*($E102/365))</f>
        <v>0</v>
      </c>
      <c r="W193" s="5">
        <f xml:space="preserve"> R101*(E101/365) + R102*(E102/365)</f>
        <v>58</v>
      </c>
    </row>
    <row r="194" spans="1:23" x14ac:dyDescent="0.15">
      <c r="A194" s="1">
        <v>2006</v>
      </c>
      <c r="B194" s="5">
        <f>(K103*($E103/365))+(K104*($E104/365))</f>
        <v>100</v>
      </c>
      <c r="C194" s="5">
        <f>(L103*($E103/365))+(L104*($E104/365))</f>
        <v>0</v>
      </c>
      <c r="D194" s="5">
        <f>(M103*($E103/365))+(M104*($E104/365))</f>
        <v>0</v>
      </c>
      <c r="E194" s="17">
        <f t="shared" si="62"/>
        <v>100</v>
      </c>
      <c r="G194" s="6">
        <v>2006</v>
      </c>
      <c r="H194" s="362">
        <f>(O103/$R103*100*($E103/365))+(O104/$R104*100*($E104/365))</f>
        <v>100</v>
      </c>
      <c r="I194" s="362"/>
      <c r="J194" s="362">
        <f>(P103/$R103*100*($E103/365))+(P104/$R104*100*($E104/365))</f>
        <v>0</v>
      </c>
      <c r="K194" s="362"/>
      <c r="L194" s="362">
        <f>(Q103/$R103*100*($E103/365))+(Q104/$R104*100*($E104/365))</f>
        <v>0</v>
      </c>
      <c r="M194" s="362"/>
      <c r="N194" s="363">
        <f t="shared" si="61"/>
        <v>100</v>
      </c>
      <c r="O194" s="363"/>
      <c r="R194" s="6">
        <v>2006</v>
      </c>
      <c r="S194" s="5">
        <f>(O103*($E103/365))+(O104*($E104/365))</f>
        <v>58</v>
      </c>
      <c r="T194" s="5">
        <f>(P103*($E103/365))+(P104*($E104/365))</f>
        <v>0</v>
      </c>
      <c r="U194" s="5">
        <f>(Q103*($E103/365))+(Q104*($E104/365))</f>
        <v>0</v>
      </c>
      <c r="W194" s="5">
        <f xml:space="preserve"> R103*(E103/365) + R104*(E104/365)</f>
        <v>58</v>
      </c>
    </row>
    <row r="195" spans="1:23" x14ac:dyDescent="0.15">
      <c r="A195" s="1">
        <v>2007</v>
      </c>
      <c r="B195" s="5">
        <f>(K105*($E105/365))+(K106*($E106/365))</f>
        <v>92.054794520547944</v>
      </c>
      <c r="C195" s="5">
        <f>(L105*($E105/365))+(L106*($E106/365))</f>
        <v>0</v>
      </c>
      <c r="D195" s="5">
        <f>(M105*($E105/365))+(M106*($E106/365))</f>
        <v>7.9452054794520555</v>
      </c>
      <c r="E195" s="17">
        <f t="shared" si="62"/>
        <v>100</v>
      </c>
      <c r="G195" s="6">
        <v>2007</v>
      </c>
      <c r="H195" s="362">
        <f>(O105/$R105*100*($E105/365))+(O106/$R106*100*($E106/365))</f>
        <v>92.054794520547944</v>
      </c>
      <c r="I195" s="362"/>
      <c r="J195" s="362">
        <f>(P105/$R105*100*($E105/365))+(P106/$R106*100*($E106/365))</f>
        <v>0</v>
      </c>
      <c r="K195" s="362"/>
      <c r="L195" s="362">
        <f>(Q105/$R105*100*($E105/365))+(Q106/$R106*100*($E106/365))</f>
        <v>7.9452054794520555</v>
      </c>
      <c r="M195" s="362"/>
      <c r="N195" s="363">
        <f t="shared" si="61"/>
        <v>100</v>
      </c>
      <c r="O195" s="363"/>
      <c r="R195" s="6">
        <v>2007</v>
      </c>
      <c r="S195" s="5">
        <f>(O105*($E105/365))+(O106*($E106/365))</f>
        <v>53.391780821917806</v>
      </c>
      <c r="T195" s="5">
        <f>(P105*($E105/365))+(P106*($E106/365))</f>
        <v>0</v>
      </c>
      <c r="U195" s="5">
        <f>(Q105*($E105/365))+(Q106*($E106/365))</f>
        <v>4.3936986301369867</v>
      </c>
      <c r="W195" s="5">
        <f xml:space="preserve"> R105*(E105/365) + R106*(E106/365)</f>
        <v>57.785479452054794</v>
      </c>
    </row>
    <row r="196" spans="1:23" x14ac:dyDescent="0.15">
      <c r="A196" s="13">
        <v>2008</v>
      </c>
      <c r="B196" s="5">
        <f>(K107*($E107/366))+(K108*($E108/366))</f>
        <v>0</v>
      </c>
      <c r="C196" s="5">
        <f>(L107*($E107/366))+(L108*($E108/366))</f>
        <v>0</v>
      </c>
      <c r="D196" s="5">
        <f>(M107*($E107/366))+(M108*($E108/366))</f>
        <v>100</v>
      </c>
      <c r="E196" s="17">
        <f t="shared" si="62"/>
        <v>100</v>
      </c>
      <c r="G196" s="6">
        <v>2008</v>
      </c>
      <c r="H196" s="362">
        <f>(O107/$R107*100*($E107/366))+(O108/$R108*100*($E108/366))</f>
        <v>0</v>
      </c>
      <c r="I196" s="362"/>
      <c r="J196" s="362">
        <f>(P107/$R107*100*($E107/366))+(P108/$R108*100*($E108/366))</f>
        <v>0</v>
      </c>
      <c r="K196" s="362"/>
      <c r="L196" s="362">
        <f>(Q107/$R107*100*($E107/366))+(Q108/$R108*100*($E108/366))</f>
        <v>100</v>
      </c>
      <c r="M196" s="362"/>
      <c r="N196" s="363">
        <f t="shared" si="61"/>
        <v>100</v>
      </c>
      <c r="O196" s="363"/>
      <c r="R196" s="6">
        <v>2008</v>
      </c>
      <c r="S196" s="5">
        <f>(O107*($E107/366))+(O108*($E108/366))</f>
        <v>0</v>
      </c>
      <c r="T196" s="5">
        <f>(P107*($E107/366))+(P108*($E108/366))</f>
        <v>0</v>
      </c>
      <c r="U196" s="5">
        <f>(Q107*($E107/366))+(Q108*($E108/366))</f>
        <v>55.3</v>
      </c>
      <c r="W196" s="5">
        <f xml:space="preserve"> R107*(E107/366) + R108*(E108/366)</f>
        <v>55.3</v>
      </c>
    </row>
    <row r="197" spans="1:23" x14ac:dyDescent="0.15">
      <c r="A197" s="13">
        <v>2009</v>
      </c>
      <c r="B197" s="5">
        <f>(K109*($E109/365))+(K110*($E110/365))</f>
        <v>0</v>
      </c>
      <c r="C197" s="5">
        <f>(L109*($E109/365))+(L110*($E110/365))</f>
        <v>0</v>
      </c>
      <c r="D197" s="5">
        <f>(M109*($E109/365))+(M110*($E110/365))</f>
        <v>100</v>
      </c>
      <c r="E197" s="17">
        <f t="shared" si="62"/>
        <v>100</v>
      </c>
      <c r="G197" s="6">
        <v>2009</v>
      </c>
      <c r="H197" s="362">
        <f>(O109/$R109*100*($E109/365))+(O110/$R110*100*($E110/365))</f>
        <v>0</v>
      </c>
      <c r="I197" s="362"/>
      <c r="J197" s="362">
        <f>(P109/$R109*100*($E109/365))+(P110/$R110*100*($E110/365))</f>
        <v>0</v>
      </c>
      <c r="K197" s="362"/>
      <c r="L197" s="362">
        <f>(Q109/$R109*100*($E109/365))+(Q110/$R110*100*($E110/365))</f>
        <v>100</v>
      </c>
      <c r="M197" s="362"/>
      <c r="N197" s="363">
        <f t="shared" si="61"/>
        <v>100</v>
      </c>
      <c r="O197" s="363"/>
      <c r="R197" s="6">
        <v>2009</v>
      </c>
      <c r="S197" s="5">
        <f>(O109*($E109/365))+(O110*($E110/365))</f>
        <v>0</v>
      </c>
      <c r="T197" s="5">
        <f>(P109*($E109/365))+(P110*($E110/365))</f>
        <v>0</v>
      </c>
      <c r="U197" s="5">
        <f>(Q109*($E109/365))+(Q110*($E110/365))</f>
        <v>55.3</v>
      </c>
      <c r="W197" s="5">
        <f xml:space="preserve"> R109*(E109/365) + R110*(E110/365)</f>
        <v>55.3</v>
      </c>
    </row>
    <row r="198" spans="1:23" x14ac:dyDescent="0.15">
      <c r="A198" s="13">
        <v>2010</v>
      </c>
      <c r="B198" s="5">
        <f>(K111*($E111/365))+(K112*($E112/365))+(K113*($E113/365))</f>
        <v>0</v>
      </c>
      <c r="C198" s="5">
        <f>(L111*($E111/365))+(L112*($E112/365))+(L113*($E113/365))</f>
        <v>0</v>
      </c>
      <c r="D198" s="5">
        <f>(M111*($E111/365))+(M112*($E112/365))+(M113*($E113/365))</f>
        <v>100</v>
      </c>
      <c r="E198" s="17">
        <f t="shared" si="62"/>
        <v>100</v>
      </c>
      <c r="G198" s="6">
        <v>2010</v>
      </c>
      <c r="H198" s="362">
        <f>(O111/$R111*100*($E111/365))+(O112/$R112*100*($E112/365))+(O113/$R113*100*($E113/365))</f>
        <v>0</v>
      </c>
      <c r="I198" s="362"/>
      <c r="J198" s="362">
        <f>(P111/$R111*100*($E111/365))+(P112/$R112*100*($E112/365))+(P113/$R113*100*($E113/365))</f>
        <v>0</v>
      </c>
      <c r="K198" s="362"/>
      <c r="L198" s="362">
        <f>(Q111/$R111*100*($E111/365))+(Q112/$R112*100*($E112/365))+(Q113/$R113*100*($E113/365))</f>
        <v>100</v>
      </c>
      <c r="M198" s="362"/>
      <c r="N198" s="363">
        <f t="shared" si="61"/>
        <v>100</v>
      </c>
      <c r="O198" s="363"/>
      <c r="R198" s="6">
        <v>2010</v>
      </c>
      <c r="S198" s="5">
        <f>(O111*($E111/365))+(O112*($E112/365))+(O113*($E113/365))</f>
        <v>0</v>
      </c>
      <c r="T198" s="5">
        <f>(P111*($E111/365))+(P112*($E112/365))+(P113*($E113/365))</f>
        <v>0</v>
      </c>
      <c r="U198" s="5">
        <f>(Q111*($E111/365))+(Q112*($E112/365))+(Q113*($E113/365))</f>
        <v>53.11999999999999</v>
      </c>
      <c r="W198" s="5">
        <f xml:space="preserve"> R111*(E111/365) + R112*(E112/365) + R113*(E113/365)</f>
        <v>53.11999999999999</v>
      </c>
    </row>
    <row r="199" spans="1:23" x14ac:dyDescent="0.15">
      <c r="A199" s="13">
        <v>2011</v>
      </c>
      <c r="B199" s="5">
        <f>(K114*($E114/365))+(K115*($E115/365))</f>
        <v>0</v>
      </c>
      <c r="C199" s="5">
        <f>(L114*($E114/365))+(L115*($E115/365))</f>
        <v>0</v>
      </c>
      <c r="D199" s="5">
        <f>(M114*($E114/365))+(M115*($E115/365))</f>
        <v>100</v>
      </c>
      <c r="E199" s="17">
        <f t="shared" si="62"/>
        <v>100</v>
      </c>
      <c r="G199" s="6">
        <v>2011</v>
      </c>
      <c r="H199" s="362">
        <f>(O114/$R114*100*($E114/365))+(O115/$R115*100*($E115/365))</f>
        <v>0</v>
      </c>
      <c r="I199" s="362"/>
      <c r="J199" s="362">
        <f>(P114/$R114*100*($E114/365))+(P115/$R115*100*($E115/365))</f>
        <v>0</v>
      </c>
      <c r="K199" s="362"/>
      <c r="L199" s="362">
        <f>(Q114/$R114*100*($E114/365))+(Q115/$R115*100*($E115/365))</f>
        <v>100</v>
      </c>
      <c r="M199" s="362"/>
      <c r="N199" s="363">
        <f t="shared" si="61"/>
        <v>100</v>
      </c>
      <c r="O199" s="363"/>
      <c r="R199" s="6">
        <v>2011</v>
      </c>
      <c r="S199" s="5">
        <f>(O114*($E114/365))+(O115*($E115/365))</f>
        <v>0</v>
      </c>
      <c r="T199" s="5">
        <f>(P114*($E114/365))+(P115*($E115/365))</f>
        <v>0</v>
      </c>
      <c r="U199" s="5">
        <f>(Q114*($E114/365))+(Q115*($E115/365))</f>
        <v>48</v>
      </c>
      <c r="W199" s="5">
        <f xml:space="preserve"> R114*(E114/365) + R115*(E115/365)</f>
        <v>48</v>
      </c>
    </row>
    <row r="200" spans="1:23" x14ac:dyDescent="0.15">
      <c r="A200" s="13">
        <v>2012</v>
      </c>
      <c r="B200" s="5">
        <f>(K116*($E116/366))+(K117*($E117/366))</f>
        <v>0</v>
      </c>
      <c r="C200" s="5">
        <f>(L116*($E116/366))+(L117*($E117/366))</f>
        <v>0</v>
      </c>
      <c r="D200" s="5">
        <f>(M116*($E116/366))+(M117*($E117/366))</f>
        <v>100</v>
      </c>
      <c r="E200" s="17">
        <f t="shared" si="62"/>
        <v>100</v>
      </c>
      <c r="G200" s="6">
        <v>2012</v>
      </c>
      <c r="H200" s="362">
        <f>(O116/$R116*100*($E116/366))+(O117/$R117*100*($E117/366))</f>
        <v>0</v>
      </c>
      <c r="I200" s="362"/>
      <c r="J200" s="362">
        <f>(P116/$R116*100*($E116/366))+(P117/$R117*100*($E117/366))</f>
        <v>0</v>
      </c>
      <c r="K200" s="362"/>
      <c r="L200" s="362">
        <f>(Q116/$R116*100*($E116/366))+(Q117/$R117*100*($E117/366))</f>
        <v>100</v>
      </c>
      <c r="M200" s="362"/>
      <c r="N200" s="363">
        <f t="shared" si="61"/>
        <v>100</v>
      </c>
      <c r="O200" s="363"/>
      <c r="R200" s="6">
        <v>2012</v>
      </c>
      <c r="S200" s="5">
        <f>(O116*($E116/366))+(O117*($E117/366))</f>
        <v>0</v>
      </c>
      <c r="T200" s="5">
        <f>(P116*($E116/366))+(P117*($E117/366))</f>
        <v>0</v>
      </c>
      <c r="U200" s="5">
        <f>(Q116*($E116/366))+(Q117*($E117/366))</f>
        <v>48</v>
      </c>
      <c r="W200" s="5">
        <f xml:space="preserve"> R116*(E116/366) + R117*(E117/366)</f>
        <v>48</v>
      </c>
    </row>
    <row r="201" spans="1:23" x14ac:dyDescent="0.15">
      <c r="A201" s="13">
        <v>2013</v>
      </c>
      <c r="B201" s="5">
        <f>(K118*($E118/365))+(K119*($E119/365))+(K120*($E120/365))+(K121*($E121/365))</f>
        <v>28.767123287671232</v>
      </c>
      <c r="C201" s="5">
        <f>(L118*($E118/365))+(L119*($E119/365))+(L120*($E120/365))+(L121*($E121/365))</f>
        <v>0</v>
      </c>
      <c r="D201" s="5">
        <f>(M118*($E118/365))+(M119*($E119/365))+(M120*($E120/365))+(M121*($E121/365))</f>
        <v>71.232876712328761</v>
      </c>
      <c r="E201" s="17">
        <f>SUM(B201:D201)</f>
        <v>100</v>
      </c>
      <c r="G201" s="6">
        <v>2013</v>
      </c>
      <c r="H201" s="362">
        <f>(O118/$R118*100*($E118/365))+(O119/$R119*100*($E119/365))+(O120/$R120*100*($E120/365))+(O121/$R121*100*($E121/365))</f>
        <v>28.767123287671232</v>
      </c>
      <c r="I201" s="362"/>
      <c r="J201" s="362">
        <f>(P118/$R118*100*($E118/365))+(P119/$R119*100*($E119/365))+(P120/$R120*100*($E120/365))+(P121/$R121*100*($E121/365))</f>
        <v>0</v>
      </c>
      <c r="K201" s="362"/>
      <c r="L201" s="362">
        <f>(Q118/$R118*100*($E118/365))+(Q119/$R119*100*($E119/365))+(Q120/$R120*100*($E120/365))+(Q121/$R121*100*($E121/365))</f>
        <v>71.232876712328761</v>
      </c>
      <c r="M201" s="362"/>
      <c r="N201" s="363">
        <f t="shared" ref="N201:N205" si="63">SUM(H201:M201)</f>
        <v>100</v>
      </c>
      <c r="O201" s="363"/>
      <c r="R201" s="6">
        <v>2013</v>
      </c>
      <c r="S201" s="5">
        <f>(O118*($E118/365))+(O119*($E119/365))+(O120*($E120/365))+(O121*($E121/365))</f>
        <v>17.260273972602739</v>
      </c>
      <c r="T201" s="5">
        <f>(P118*($E118/365))+(P119*($E119/365))+(P120*($E120/365))+(P121*($E121/365))</f>
        <v>0</v>
      </c>
      <c r="U201" s="5">
        <f>(Q118*($E118/365))+(Q119*($E119/365))+(Q120*($E120/365))+(Q121*($E121/365))</f>
        <v>34.032602739726023</v>
      </c>
      <c r="W201" s="5">
        <f xml:space="preserve"> R118*(E118/365) + R119*(E119/365) + R120*(E120/365) + R121*(E121/365)</f>
        <v>51.292876712328763</v>
      </c>
    </row>
    <row r="202" spans="1:23" x14ac:dyDescent="0.15">
      <c r="A202" s="13">
        <v>2014</v>
      </c>
      <c r="B202" s="5">
        <f>(K122*($E122/365))+(K123*($E123/365))</f>
        <v>100</v>
      </c>
      <c r="C202" s="5">
        <f>(L122*($E122/365))+(L123*($E123/365))</f>
        <v>0</v>
      </c>
      <c r="D202" s="5">
        <f>(M122*($E122/365))+(M123*($E123/365))</f>
        <v>0</v>
      </c>
      <c r="E202" s="17">
        <f>SUM(B202:D202)</f>
        <v>100</v>
      </c>
      <c r="G202" s="6">
        <v>2014</v>
      </c>
      <c r="H202" s="362">
        <f>(O122/$R122*100*($E122/365))+(O123/$R123*100*($E123/365))</f>
        <v>100</v>
      </c>
      <c r="I202" s="362"/>
      <c r="J202" s="362">
        <f>(P122/$R122*100*($E122/365))+(P123/$R123*100*($E123/365))</f>
        <v>0</v>
      </c>
      <c r="K202" s="362"/>
      <c r="L202" s="362">
        <f>(Q122/$R122*100*($E122/365))+(Q123/$R123*100*($E123/365))</f>
        <v>0</v>
      </c>
      <c r="M202" s="362"/>
      <c r="N202" s="363">
        <f t="shared" si="63"/>
        <v>100</v>
      </c>
      <c r="O202" s="363"/>
      <c r="R202" s="6">
        <v>2014</v>
      </c>
      <c r="S202" s="5">
        <f>(O122*($E122/365))+(O123*($E123/365))</f>
        <v>60</v>
      </c>
      <c r="T202" s="5">
        <f>(P122*($E122/365))+(P123*($E123/365))</f>
        <v>0</v>
      </c>
      <c r="U202" s="5">
        <f>(Q122*($E122/365))+(Q123*($E123/365))</f>
        <v>0</v>
      </c>
      <c r="W202" s="5">
        <f xml:space="preserve"> R122*(E122/365) + R123*(E123/365)</f>
        <v>60</v>
      </c>
    </row>
    <row r="203" spans="1:23" x14ac:dyDescent="0.15">
      <c r="A203" s="13">
        <v>2015</v>
      </c>
      <c r="B203" s="5">
        <f>(K124*($E124/365))+(K125*($E125/365))</f>
        <v>100</v>
      </c>
      <c r="C203" s="5">
        <f>(L124*($E124/365))+(L125*($E125/365))</f>
        <v>0</v>
      </c>
      <c r="D203" s="5">
        <f>(M124*($E124/365))+(M125*($E125/365))</f>
        <v>0</v>
      </c>
      <c r="E203" s="17">
        <f>SUM(B203:D203)</f>
        <v>100</v>
      </c>
      <c r="G203" s="6">
        <v>2015</v>
      </c>
      <c r="H203" s="362">
        <f>(O124/$R124*100*($E124/365))+(O125/$R125*100*($E125/365))</f>
        <v>100</v>
      </c>
      <c r="I203" s="362"/>
      <c r="J203" s="362">
        <f>(P124/$R124*100*($E124/365))+(P125/$R125*100*($E125/365))</f>
        <v>0</v>
      </c>
      <c r="K203" s="362"/>
      <c r="L203" s="362">
        <f>(Q124/$R124*100*($E124/365))+(Q125/$R125*100*($E125/365))</f>
        <v>0</v>
      </c>
      <c r="M203" s="362"/>
      <c r="N203" s="363">
        <f t="shared" si="63"/>
        <v>100</v>
      </c>
      <c r="O203" s="363"/>
      <c r="R203" s="6">
        <v>2015</v>
      </c>
      <c r="S203" s="5">
        <f>(O124*($E124/365))+(O125*($E125/365))</f>
        <v>60</v>
      </c>
      <c r="T203" s="5">
        <f>(P124*($E124/365))+(P125*($E125/365))</f>
        <v>0</v>
      </c>
      <c r="U203" s="5">
        <f>(Q124*($E124/365))+(Q125*($E125/365))</f>
        <v>0</v>
      </c>
      <c r="W203" s="5">
        <f xml:space="preserve"> R124*(E124/365) + R125*(E125/365)</f>
        <v>60</v>
      </c>
    </row>
    <row r="204" spans="1:23" x14ac:dyDescent="0.15">
      <c r="A204" s="13">
        <v>2016</v>
      </c>
      <c r="B204" s="5">
        <f>(K126*($E126/366))+(K127*($E127/366))+(K128*($E128/366))</f>
        <v>100</v>
      </c>
      <c r="C204" s="5">
        <f>(L126*($E126/366))+(L127*($E127/366))+(L128*($E128/366))</f>
        <v>0</v>
      </c>
      <c r="D204" s="5">
        <f>(M126*($E126/366))+(M127*($E127/366))+(M128*($E128/366))</f>
        <v>0</v>
      </c>
      <c r="E204" s="17">
        <f>SUM(B204:D204)</f>
        <v>100</v>
      </c>
      <c r="G204" s="6">
        <v>2016</v>
      </c>
      <c r="H204" s="362">
        <f>(O126/$R126*100*($E126/366))+(O127/$R127*100*($E127/366))+(O128/$R128*100*($E128/366))</f>
        <v>100</v>
      </c>
      <c r="I204" s="362"/>
      <c r="J204" s="362">
        <f>(P126/$R126*100*($E126/366))+(P127/$R127*100*($E127/366))+(P128/$R128*100*($E128/366))</f>
        <v>0</v>
      </c>
      <c r="K204" s="362"/>
      <c r="L204" s="362">
        <f>(Q126/$R126*100*($E126/366))+(Q127/$R127*100*($E127/366))+(Q128/$R128*100*($E128/366))</f>
        <v>0</v>
      </c>
      <c r="M204" s="362"/>
      <c r="N204" s="363">
        <f t="shared" si="63"/>
        <v>100</v>
      </c>
      <c r="O204" s="363"/>
      <c r="R204" s="6">
        <v>2016</v>
      </c>
      <c r="S204" s="5">
        <f>(O126*($E126/366))+(O127*($E127/366))+(O128*($E128/366))</f>
        <v>55.781967213114754</v>
      </c>
      <c r="T204" s="5">
        <f>(P126*($E126/366))+(P127*($E127/366))+(P128*($E128/366))</f>
        <v>0</v>
      </c>
      <c r="U204" s="5">
        <f>(Q126*($E126/366))+(Q127*($E127/366))+(Q128*($E128/366))</f>
        <v>0</v>
      </c>
      <c r="W204" s="5">
        <f xml:space="preserve"> R126*(E126/366) + R127*(E127/366)+R128*(E128/366)</f>
        <v>55.781967213114754</v>
      </c>
    </row>
    <row r="205" spans="1:23" x14ac:dyDescent="0.15">
      <c r="A205" s="13">
        <v>2017</v>
      </c>
      <c r="B205" s="5">
        <f>(K129*($E129/365))+(K130*($E130/365))</f>
        <v>100</v>
      </c>
      <c r="C205" s="5">
        <f>(L129*($E129/365))+(L130*($E130/365))</f>
        <v>0</v>
      </c>
      <c r="D205" s="5">
        <f>(M129*($E129/365))+(M130*($E130/365))</f>
        <v>0</v>
      </c>
      <c r="E205" s="17">
        <f>(N129*($E129/365))+(N130*($E130/365))</f>
        <v>100</v>
      </c>
      <c r="G205" s="6">
        <v>2017</v>
      </c>
      <c r="H205" s="362">
        <f>(O129/$R129*100*($E129/365))+(O130/$R130*100*($E130/365))</f>
        <v>100</v>
      </c>
      <c r="I205" s="362"/>
      <c r="J205" s="362">
        <f>(P129/$R129*100*($E129/365))+(P130/$R130*100*($E130/365))</f>
        <v>0</v>
      </c>
      <c r="K205" s="362"/>
      <c r="L205" s="362">
        <f>(Q129/$R129*100*($E129/365))+(Q130/$R130*100*($E130/365))</f>
        <v>0</v>
      </c>
      <c r="M205" s="362"/>
      <c r="N205" s="363">
        <f t="shared" si="63"/>
        <v>100</v>
      </c>
      <c r="O205" s="363"/>
      <c r="R205" s="6">
        <v>2017</v>
      </c>
      <c r="S205" s="5">
        <f>(O129*($E129/365))+(O130*($E130/365))</f>
        <v>50.7</v>
      </c>
      <c r="T205" s="5">
        <f t="shared" ref="T205:U205" si="64">(P129*($E129/365))+(P130*($E130/365))</f>
        <v>0</v>
      </c>
      <c r="U205" s="5">
        <f t="shared" si="64"/>
        <v>0</v>
      </c>
      <c r="W205" s="5">
        <f xml:space="preserve"> R129*(E129/365) + R130*(E130/365)</f>
        <v>50.7</v>
      </c>
    </row>
    <row r="206" spans="1:23" x14ac:dyDescent="0.15">
      <c r="A206" s="13">
        <v>2018</v>
      </c>
      <c r="B206" s="5">
        <f>(K131*($E131/365))+(K132*($E132/365))</f>
        <v>100</v>
      </c>
      <c r="C206" s="5">
        <f>(L131*($E131/365))+(L132*($E132/365))</f>
        <v>0</v>
      </c>
      <c r="D206" s="5">
        <f>(M131*($E131/365))+(M132*($E132/365))</f>
        <v>0</v>
      </c>
      <c r="E206" s="17">
        <f>(N131*($E131/365))+(N132*($E132/365))</f>
        <v>100</v>
      </c>
      <c r="G206" s="6">
        <v>2018</v>
      </c>
      <c r="H206" s="362">
        <f>(O131/$R131*100*($E131/365))+(O132/$R132*100*($E132/365))</f>
        <v>100</v>
      </c>
      <c r="I206" s="362"/>
      <c r="J206" s="362">
        <f>(P131/$R131*100*($E131/365))+(P132/$R132*100*($E132/365))</f>
        <v>0</v>
      </c>
      <c r="K206" s="362"/>
      <c r="L206" s="362">
        <f>(Q131/$R131*100*($E131/365))+(Q132/$R132*100*($E132/365))</f>
        <v>0</v>
      </c>
      <c r="M206" s="362"/>
      <c r="N206" s="363">
        <f>SUM(H206:M206)</f>
        <v>100</v>
      </c>
      <c r="O206" s="363"/>
      <c r="R206" s="6">
        <v>2018</v>
      </c>
      <c r="S206" s="5">
        <f>(O131*($E131/365))+(O132*($E132/365))</f>
        <v>50.7</v>
      </c>
      <c r="T206" s="5">
        <f>(P131*($E131/365))+(P132*($E132/365))</f>
        <v>0</v>
      </c>
      <c r="U206" s="5">
        <f>(Q131*($E131/365))+(Q132*($E132/365))</f>
        <v>0</v>
      </c>
      <c r="W206" s="5">
        <f xml:space="preserve"> R131*(E131/365) + R132*(E132/365)</f>
        <v>50.7</v>
      </c>
    </row>
    <row r="207" spans="1:23" x14ac:dyDescent="0.15">
      <c r="A207" s="13">
        <v>2019</v>
      </c>
      <c r="B207" s="5">
        <f>(K133*($E133/365))+(K134*($E134/365))</f>
        <v>100</v>
      </c>
      <c r="C207" s="5">
        <f>(L133*($E133/365))+(L134*($E134/365))</f>
        <v>0</v>
      </c>
      <c r="D207" s="5">
        <f>(M133*($E133/365))+(M134*($E134/365))</f>
        <v>0</v>
      </c>
      <c r="E207" s="17">
        <f>(N133*($E133/365))+(N134*($E134/365))</f>
        <v>100</v>
      </c>
      <c r="G207" s="6">
        <v>2019</v>
      </c>
      <c r="H207" s="362">
        <f>(O133/$R133*100*($E133/365))+(O134/$R134*100*($E134/365))</f>
        <v>100</v>
      </c>
      <c r="I207" s="362"/>
      <c r="J207" s="362">
        <f>(P133/$R133*100*($E133/365))+(P134/$R134*100*($E134/365))</f>
        <v>0</v>
      </c>
      <c r="K207" s="362"/>
      <c r="L207" s="362">
        <f>(Q133/$R133*100*($E133/365))+(Q134/$R134*100*($E134/365))</f>
        <v>0</v>
      </c>
      <c r="M207" s="362"/>
      <c r="N207" s="363">
        <f>SUM(H207:M207)</f>
        <v>100</v>
      </c>
      <c r="O207" s="363"/>
      <c r="R207" s="6">
        <v>2019</v>
      </c>
      <c r="S207" s="5">
        <f>(O133*($E133/365))+(O134*($E134/365))</f>
        <v>49.927123287671236</v>
      </c>
      <c r="T207" s="5">
        <f>(P133*($E133/365))+(P134*($E134/365))</f>
        <v>0</v>
      </c>
      <c r="U207" s="5">
        <f>(Q133*($E133/365))+(Q134*($E134/365))</f>
        <v>0</v>
      </c>
      <c r="W207" s="5">
        <f xml:space="preserve"> R133*(E133/365) + R134*(E134/365)</f>
        <v>49.927123287671236</v>
      </c>
    </row>
    <row r="208" spans="1:23" x14ac:dyDescent="0.15">
      <c r="A208" s="1">
        <v>2020</v>
      </c>
      <c r="B208" s="5">
        <f t="shared" ref="B208:E208" si="65">(K135*($E135/366))+(K136*($E136/366))</f>
        <v>100</v>
      </c>
      <c r="C208" s="5">
        <f t="shared" si="65"/>
        <v>0</v>
      </c>
      <c r="D208" s="5">
        <f t="shared" si="65"/>
        <v>0</v>
      </c>
      <c r="E208" s="17">
        <f t="shared" si="65"/>
        <v>100</v>
      </c>
      <c r="G208" s="9">
        <v>2020</v>
      </c>
      <c r="H208" s="362">
        <f>(O135/$R135*100*($E135/366))+(O136/$R136*100*($E136/366))</f>
        <v>100</v>
      </c>
      <c r="I208" s="362"/>
      <c r="J208" s="362">
        <f>(P135/$R135*100*($E135/366))+(P136/$R136*100*($E136/366))</f>
        <v>0</v>
      </c>
      <c r="K208" s="362"/>
      <c r="L208" s="362">
        <f>(Q135/$R135*100*($E135/366))+(Q136/$R136*100*($E136/366))</f>
        <v>0</v>
      </c>
      <c r="M208" s="362"/>
      <c r="N208" s="363">
        <f>SUM(H208:M208)</f>
        <v>100</v>
      </c>
      <c r="O208" s="363"/>
      <c r="R208" s="9">
        <v>2020</v>
      </c>
      <c r="S208" s="5">
        <f t="shared" ref="S208:U208" si="66">(O135*($E135/366))+(O136*($E136/366))</f>
        <v>49.4</v>
      </c>
      <c r="T208" s="5">
        <f t="shared" si="66"/>
        <v>0</v>
      </c>
      <c r="U208" s="5">
        <f t="shared" si="66"/>
        <v>0</v>
      </c>
      <c r="W208" s="5">
        <f xml:space="preserve"> R135*(E135/366) + R136*(E136/366)</f>
        <v>49.4</v>
      </c>
    </row>
    <row r="209" spans="1:23" x14ac:dyDescent="0.15">
      <c r="A209" s="1">
        <v>2021</v>
      </c>
      <c r="B209" s="5">
        <f>(K137*($E137/365))+(K138*($E138/365))+(K139*($E139/365))</f>
        <v>100</v>
      </c>
      <c r="C209" s="5">
        <f>(L137*($E137/365))+(L138*($E138/365))+(L139*($E139/365))</f>
        <v>0</v>
      </c>
      <c r="D209" s="5">
        <f>(M137*($E137/365))+(M138*($E138/365))+(M139*($E139/365))</f>
        <v>0</v>
      </c>
      <c r="E209" s="17">
        <f>(N137*($E137/365))+(N138*($E138/365))+(N139*($E139/365))</f>
        <v>100</v>
      </c>
      <c r="G209" s="9">
        <v>2021</v>
      </c>
      <c r="H209" s="362">
        <f>(O137/$R137*100*($E137/365))+(O138/$R138*100*($E138/365))+(O139/$R139*100*($E139/365))</f>
        <v>100</v>
      </c>
      <c r="I209" s="362"/>
      <c r="J209" s="362">
        <f>(P137/$R137*100*($E137/365))+(P138/$R138*100*($E138/365))+(P139/$R139*100*($E139/365))</f>
        <v>0</v>
      </c>
      <c r="K209" s="362"/>
      <c r="L209" s="362">
        <f>(Q137/$R137*100*($E137/365))+(Q138/$R138*100*($E138/365))+(Q139/$R139*100*($E139/365))</f>
        <v>0</v>
      </c>
      <c r="M209" s="362"/>
      <c r="N209" s="363">
        <f>SUM(H209:M209)</f>
        <v>100</v>
      </c>
      <c r="O209" s="363"/>
      <c r="R209" s="9">
        <v>2021</v>
      </c>
      <c r="S209" s="5">
        <f>(O137*($E137/365))+(O138*($E138/365))+(O139*($E139/365))</f>
        <v>49.4</v>
      </c>
      <c r="T209" s="5">
        <f>(P137*($E137/365))+(P138*($E138/365))+(P139*($E139/365))</f>
        <v>0</v>
      </c>
      <c r="U209" s="5">
        <f>(Q137*($E137/365))+(Q138*($E138/365))+(Q139*($E139/365))</f>
        <v>0</v>
      </c>
      <c r="W209" s="5">
        <f xml:space="preserve"> R137*(E137/365) + R138*(E138/365)+ R139*(E139/365)</f>
        <v>49.4</v>
      </c>
    </row>
    <row r="210" spans="1:23" x14ac:dyDescent="0.15">
      <c r="A210" s="1">
        <v>2022</v>
      </c>
      <c r="B210" s="5">
        <f>(K140*($E140/365))+(K141*($E141/365))</f>
        <v>41.369863013698634</v>
      </c>
      <c r="C210" s="5">
        <f>(L140*($E140/365))+(L141*($E141/365))</f>
        <v>0</v>
      </c>
      <c r="D210" s="5">
        <f>(M140*($E140/365))+(M141*($E141/365))</f>
        <v>58.630136986301373</v>
      </c>
      <c r="E210" s="17">
        <f>(N140*($E140/365))+(N141*($E141/365))</f>
        <v>100</v>
      </c>
      <c r="G210" s="9">
        <v>2022</v>
      </c>
      <c r="H210" s="362">
        <f>(O140/$R140*100*($E140/365))+(O141/$R141*100*($E141/365))</f>
        <v>41.369863013698634</v>
      </c>
      <c r="I210" s="362"/>
      <c r="J210" s="362">
        <f>(P140/$R140*100*($E140/365))+(P141/$R141*100*($E141/365))</f>
        <v>0</v>
      </c>
      <c r="K210" s="362"/>
      <c r="L210" s="362">
        <f>(Q140/$R140*100*($E140/365))+(Q141/$R141*100*($E141/365))</f>
        <v>58.630136986301373</v>
      </c>
      <c r="M210" s="362"/>
      <c r="N210" s="363">
        <f>SUM(H210:M210)</f>
        <v>100</v>
      </c>
      <c r="O210" s="363"/>
      <c r="R210" s="9">
        <v>2022</v>
      </c>
      <c r="S210" s="5">
        <f>(O140*($E140/365))+(O141*($E141/365))</f>
        <v>20.436712328767126</v>
      </c>
      <c r="T210" s="5">
        <f>(P140*($E140/365))+(P141*($E141/365))</f>
        <v>0</v>
      </c>
      <c r="U210" s="5">
        <f>(Q140*($E140/365))+(Q141*($E141/365))</f>
        <v>29.901369863013699</v>
      </c>
      <c r="W210" s="5">
        <f xml:space="preserve">  R140*(E140/365)+R141*(E141/365)</f>
        <v>50.338082191780828</v>
      </c>
    </row>
  </sheetData>
  <mergeCells count="418">
    <mergeCell ref="H201:I201"/>
    <mergeCell ref="J201:K201"/>
    <mergeCell ref="L201:M201"/>
    <mergeCell ref="H202:I202"/>
    <mergeCell ref="J202:K202"/>
    <mergeCell ref="L202:M202"/>
    <mergeCell ref="H200:I200"/>
    <mergeCell ref="J200:K200"/>
    <mergeCell ref="H205:I205"/>
    <mergeCell ref="J205:K205"/>
    <mergeCell ref="L205:M205"/>
    <mergeCell ref="N205:O205"/>
    <mergeCell ref="H203:I203"/>
    <mergeCell ref="H204:I204"/>
    <mergeCell ref="J204:K204"/>
    <mergeCell ref="L204:M204"/>
    <mergeCell ref="N204:O204"/>
    <mergeCell ref="J203:K203"/>
    <mergeCell ref="L203:M203"/>
    <mergeCell ref="N203:O203"/>
    <mergeCell ref="AT4:AW4"/>
    <mergeCell ref="AX4:BA4"/>
    <mergeCell ref="N188:O188"/>
    <mergeCell ref="N197:O197"/>
    <mergeCell ref="L162:M162"/>
    <mergeCell ref="L163:M163"/>
    <mergeCell ref="L164:M164"/>
    <mergeCell ref="L165:M165"/>
    <mergeCell ref="L166:M166"/>
    <mergeCell ref="N155:O155"/>
    <mergeCell ref="L174:M174"/>
    <mergeCell ref="L175:M175"/>
    <mergeCell ref="L176:M176"/>
    <mergeCell ref="L177:M177"/>
    <mergeCell ref="L193:M193"/>
    <mergeCell ref="N161:O161"/>
    <mergeCell ref="N187:O187"/>
    <mergeCell ref="N176:O176"/>
    <mergeCell ref="N177:O177"/>
    <mergeCell ref="N157:O157"/>
    <mergeCell ref="N158:O158"/>
    <mergeCell ref="N196:O196"/>
    <mergeCell ref="N149:O149"/>
    <mergeCell ref="N179:O179"/>
    <mergeCell ref="N150:O150"/>
    <mergeCell ref="N151:O151"/>
    <mergeCell ref="N152:O152"/>
    <mergeCell ref="L169:M169"/>
    <mergeCell ref="J181:K181"/>
    <mergeCell ref="J169:K169"/>
    <mergeCell ref="J170:K170"/>
    <mergeCell ref="N163:O163"/>
    <mergeCell ref="N164:O164"/>
    <mergeCell ref="N165:O165"/>
    <mergeCell ref="N166:O166"/>
    <mergeCell ref="J161:K161"/>
    <mergeCell ref="J162:K162"/>
    <mergeCell ref="J160:K160"/>
    <mergeCell ref="L156:M156"/>
    <mergeCell ref="L157:M157"/>
    <mergeCell ref="L158:M158"/>
    <mergeCell ref="L159:M159"/>
    <mergeCell ref="L160:M160"/>
    <mergeCell ref="N154:O154"/>
    <mergeCell ref="N180:O180"/>
    <mergeCell ref="L173:M173"/>
    <mergeCell ref="J179:K179"/>
    <mergeCell ref="L181:M181"/>
    <mergeCell ref="L184:M184"/>
    <mergeCell ref="N153:O153"/>
    <mergeCell ref="N168:O168"/>
    <mergeCell ref="N181:O181"/>
    <mergeCell ref="N169:O169"/>
    <mergeCell ref="L178:M178"/>
    <mergeCell ref="L179:M179"/>
    <mergeCell ref="L180:M180"/>
    <mergeCell ref="L161:M161"/>
    <mergeCell ref="L170:M170"/>
    <mergeCell ref="L171:M171"/>
    <mergeCell ref="L172:M172"/>
    <mergeCell ref="N162:O162"/>
    <mergeCell ref="N171:O171"/>
    <mergeCell ref="N172:O172"/>
    <mergeCell ref="N173:O173"/>
    <mergeCell ref="N174:O174"/>
    <mergeCell ref="N175:O175"/>
    <mergeCell ref="N178:O178"/>
    <mergeCell ref="N170:O170"/>
    <mergeCell ref="L168:M168"/>
    <mergeCell ref="N156:O156"/>
    <mergeCell ref="J184:K184"/>
    <mergeCell ref="J185:K185"/>
    <mergeCell ref="J186:K186"/>
    <mergeCell ref="J193:K193"/>
    <mergeCell ref="J187:K187"/>
    <mergeCell ref="J188:K188"/>
    <mergeCell ref="J189:K189"/>
    <mergeCell ref="J190:K190"/>
    <mergeCell ref="J191:K191"/>
    <mergeCell ref="J159:K159"/>
    <mergeCell ref="J165:K165"/>
    <mergeCell ref="J166:K166"/>
    <mergeCell ref="J167:K167"/>
    <mergeCell ref="J168:K168"/>
    <mergeCell ref="J163:K163"/>
    <mergeCell ref="J164:K164"/>
    <mergeCell ref="N198:O198"/>
    <mergeCell ref="N189:O189"/>
    <mergeCell ref="N190:O190"/>
    <mergeCell ref="N185:O185"/>
    <mergeCell ref="N183:O183"/>
    <mergeCell ref="J176:K176"/>
    <mergeCell ref="N159:O159"/>
    <mergeCell ref="N160:O160"/>
    <mergeCell ref="N167:O167"/>
    <mergeCell ref="N182:O182"/>
    <mergeCell ref="L196:M196"/>
    <mergeCell ref="J192:K192"/>
    <mergeCell ref="L183:M183"/>
    <mergeCell ref="L185:M185"/>
    <mergeCell ref="L186:M186"/>
    <mergeCell ref="L187:M187"/>
    <mergeCell ref="J183:K183"/>
    <mergeCell ref="J149:K149"/>
    <mergeCell ref="J150:K150"/>
    <mergeCell ref="J151:K151"/>
    <mergeCell ref="J152:K152"/>
    <mergeCell ref="J153:K153"/>
    <mergeCell ref="J154:K154"/>
    <mergeCell ref="L149:M149"/>
    <mergeCell ref="L150:M150"/>
    <mergeCell ref="L151:M151"/>
    <mergeCell ref="L152:M152"/>
    <mergeCell ref="L153:M153"/>
    <mergeCell ref="J155:K155"/>
    <mergeCell ref="J156:K156"/>
    <mergeCell ref="J157:K157"/>
    <mergeCell ref="J158:K158"/>
    <mergeCell ref="L154:M154"/>
    <mergeCell ref="L155:M155"/>
    <mergeCell ref="L167:M167"/>
    <mergeCell ref="R144:W144"/>
    <mergeCell ref="H146:I146"/>
    <mergeCell ref="J146:K146"/>
    <mergeCell ref="L146:M146"/>
    <mergeCell ref="N146:O146"/>
    <mergeCell ref="H148:I148"/>
    <mergeCell ref="J148:K148"/>
    <mergeCell ref="L148:M148"/>
    <mergeCell ref="H147:I147"/>
    <mergeCell ref="J147:K147"/>
    <mergeCell ref="N147:O147"/>
    <mergeCell ref="L147:M147"/>
    <mergeCell ref="N148:O148"/>
    <mergeCell ref="H158:I158"/>
    <mergeCell ref="H159:I159"/>
    <mergeCell ref="H160:I160"/>
    <mergeCell ref="H162:I162"/>
    <mergeCell ref="O3:Q3"/>
    <mergeCell ref="G3:M3"/>
    <mergeCell ref="C9:D9"/>
    <mergeCell ref="C10:D10"/>
    <mergeCell ref="A4:A5"/>
    <mergeCell ref="B4:B5"/>
    <mergeCell ref="C4:D5"/>
    <mergeCell ref="E4:E5"/>
    <mergeCell ref="F4:F5"/>
    <mergeCell ref="G4:J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105:D105"/>
    <mergeCell ref="C106:D106"/>
    <mergeCell ref="C107:D107"/>
    <mergeCell ref="C108:D108"/>
    <mergeCell ref="C109:D109"/>
    <mergeCell ref="C110:D110"/>
    <mergeCell ref="C79:D79"/>
    <mergeCell ref="C80:D80"/>
    <mergeCell ref="C81:D81"/>
    <mergeCell ref="C82:D82"/>
    <mergeCell ref="C83:D83"/>
    <mergeCell ref="C84:D84"/>
    <mergeCell ref="C85:D85"/>
    <mergeCell ref="C86:D86"/>
    <mergeCell ref="C87:D87"/>
    <mergeCell ref="H178:I178"/>
    <mergeCell ref="H154:I154"/>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15:D115"/>
    <mergeCell ref="C116:D116"/>
    <mergeCell ref="C103:D103"/>
    <mergeCell ref="C104:D104"/>
    <mergeCell ref="C117:D117"/>
    <mergeCell ref="C111:D111"/>
    <mergeCell ref="C112:D112"/>
    <mergeCell ref="C113:D113"/>
    <mergeCell ref="C114:D114"/>
    <mergeCell ref="C127:D127"/>
    <mergeCell ref="H180:I180"/>
    <mergeCell ref="C130:D130"/>
    <mergeCell ref="C131:D131"/>
    <mergeCell ref="C132:D132"/>
    <mergeCell ref="C133:D133"/>
    <mergeCell ref="C134:D134"/>
    <mergeCell ref="H156:I156"/>
    <mergeCell ref="H157:I157"/>
    <mergeCell ref="H169:I169"/>
    <mergeCell ref="H170:I170"/>
    <mergeCell ref="H171:I171"/>
    <mergeCell ref="H172:I172"/>
    <mergeCell ref="H173:I173"/>
    <mergeCell ref="H174:I174"/>
    <mergeCell ref="H166:I166"/>
    <mergeCell ref="H161:I161"/>
    <mergeCell ref="H179:I179"/>
    <mergeCell ref="H167:I167"/>
    <mergeCell ref="H155:I155"/>
    <mergeCell ref="H152:I152"/>
    <mergeCell ref="H153:I153"/>
    <mergeCell ref="C118:D118"/>
    <mergeCell ref="C119:D119"/>
    <mergeCell ref="C122:D122"/>
    <mergeCell ref="C123:D123"/>
    <mergeCell ref="C120:D120"/>
    <mergeCell ref="C121:D121"/>
    <mergeCell ref="H149:I149"/>
    <mergeCell ref="H150:I150"/>
    <mergeCell ref="H151:I151"/>
    <mergeCell ref="C129:D129"/>
    <mergeCell ref="C126:D126"/>
    <mergeCell ref="C124:D124"/>
    <mergeCell ref="C125:D125"/>
    <mergeCell ref="C128:D128"/>
    <mergeCell ref="C135:D135"/>
    <mergeCell ref="C136:D136"/>
    <mergeCell ref="C137:D137"/>
    <mergeCell ref="C138:D138"/>
    <mergeCell ref="C139:D139"/>
    <mergeCell ref="C141:D141"/>
    <mergeCell ref="C140:D140"/>
    <mergeCell ref="H163:I163"/>
    <mergeCell ref="H164:I164"/>
    <mergeCell ref="J172:K172"/>
    <mergeCell ref="J195:K195"/>
    <mergeCell ref="J171:K171"/>
    <mergeCell ref="J173:K173"/>
    <mergeCell ref="J174:K174"/>
    <mergeCell ref="J175:K175"/>
    <mergeCell ref="H189:I189"/>
    <mergeCell ref="H190:I190"/>
    <mergeCell ref="J180:K180"/>
    <mergeCell ref="J177:K177"/>
    <mergeCell ref="J178:K178"/>
    <mergeCell ref="J182:K182"/>
    <mergeCell ref="H165:I165"/>
    <mergeCell ref="H186:I186"/>
    <mergeCell ref="H187:I187"/>
    <mergeCell ref="H175:I175"/>
    <mergeCell ref="H176:I176"/>
    <mergeCell ref="H177:I177"/>
    <mergeCell ref="H183:I183"/>
    <mergeCell ref="H188:I188"/>
    <mergeCell ref="H168:I168"/>
    <mergeCell ref="H181:I181"/>
    <mergeCell ref="H182:I182"/>
    <mergeCell ref="H206:I206"/>
    <mergeCell ref="J206:K206"/>
    <mergeCell ref="L206:M206"/>
    <mergeCell ref="N206:O206"/>
    <mergeCell ref="J198:K198"/>
    <mergeCell ref="L190:M190"/>
    <mergeCell ref="L191:M191"/>
    <mergeCell ref="H195:I195"/>
    <mergeCell ref="H196:I196"/>
    <mergeCell ref="H197:I197"/>
    <mergeCell ref="H198:I198"/>
    <mergeCell ref="H199:I199"/>
    <mergeCell ref="H191:I191"/>
    <mergeCell ref="H192:I192"/>
    <mergeCell ref="H193:I193"/>
    <mergeCell ref="H194:I194"/>
    <mergeCell ref="J196:K196"/>
    <mergeCell ref="L195:M195"/>
    <mergeCell ref="J199:K199"/>
    <mergeCell ref="L192:M192"/>
    <mergeCell ref="L188:M188"/>
    <mergeCell ref="L182:M182"/>
    <mergeCell ref="L199:M199"/>
    <mergeCell ref="H207:I207"/>
    <mergeCell ref="J207:K207"/>
    <mergeCell ref="L207:M207"/>
    <mergeCell ref="N207:O207"/>
    <mergeCell ref="H184:I184"/>
    <mergeCell ref="J194:K194"/>
    <mergeCell ref="L197:M197"/>
    <mergeCell ref="L198:M198"/>
    <mergeCell ref="L194:M194"/>
    <mergeCell ref="N184:O184"/>
    <mergeCell ref="N186:O186"/>
    <mergeCell ref="N191:O191"/>
    <mergeCell ref="N192:O192"/>
    <mergeCell ref="N193:O193"/>
    <mergeCell ref="N195:O195"/>
    <mergeCell ref="N194:O194"/>
    <mergeCell ref="J197:K197"/>
    <mergeCell ref="H185:I185"/>
    <mergeCell ref="N200:O200"/>
    <mergeCell ref="L200:M200"/>
    <mergeCell ref="N202:O202"/>
    <mergeCell ref="N201:O201"/>
    <mergeCell ref="L189:M189"/>
    <mergeCell ref="N199:O199"/>
    <mergeCell ref="H210:I210"/>
    <mergeCell ref="J210:K210"/>
    <mergeCell ref="L210:M210"/>
    <mergeCell ref="N210:O210"/>
    <mergeCell ref="H209:I209"/>
    <mergeCell ref="J209:K209"/>
    <mergeCell ref="L209:M209"/>
    <mergeCell ref="N209:O209"/>
    <mergeCell ref="H208:I208"/>
    <mergeCell ref="J208:K208"/>
    <mergeCell ref="L208:M208"/>
    <mergeCell ref="N208:O208"/>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R141" formulaRange="1"/>
  </ignoredError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A207"/>
  <sheetViews>
    <sheetView zoomScale="110" zoomScaleNormal="140" workbookViewId="0">
      <pane xSplit="1" ySplit="5" topLeftCell="B6" activePane="bottomRight" state="frozen"/>
      <selection pane="topRight" activeCell="B1" sqref="B1"/>
      <selection pane="bottomLeft" activeCell="A5" sqref="A5"/>
      <selection pane="bottomRight" activeCell="X9"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15</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6" t="s">
        <v>23</v>
      </c>
      <c r="AU5" s="185" t="s">
        <v>24</v>
      </c>
      <c r="AV5" s="185" t="s">
        <v>25</v>
      </c>
      <c r="AW5" s="187" t="s">
        <v>1195</v>
      </c>
      <c r="AX5" s="185" t="s">
        <v>23</v>
      </c>
      <c r="AY5" s="185" t="s">
        <v>24</v>
      </c>
      <c r="AZ5" s="185" t="s">
        <v>25</v>
      </c>
      <c r="BA5" s="188" t="s">
        <v>1195</v>
      </c>
    </row>
    <row r="6" spans="1:53" s="139" customFormat="1" x14ac:dyDescent="0.15">
      <c r="A6" s="145">
        <v>1959</v>
      </c>
      <c r="B6" s="146"/>
      <c r="C6" s="398" t="s">
        <v>1224</v>
      </c>
      <c r="D6" s="398"/>
      <c r="E6" s="139">
        <v>196</v>
      </c>
      <c r="G6" s="147"/>
      <c r="H6" s="139">
        <v>7</v>
      </c>
      <c r="I6" s="139">
        <v>5</v>
      </c>
      <c r="J6" s="148">
        <v>12</v>
      </c>
      <c r="K6" s="132">
        <f>G6/J6*100</f>
        <v>0</v>
      </c>
      <c r="L6" s="133">
        <f>H6/J6*100</f>
        <v>58.333333333333336</v>
      </c>
      <c r="M6" s="133">
        <f>I6/J6*100</f>
        <v>41.666666666666671</v>
      </c>
      <c r="N6" s="134">
        <f>K6+L6+M6</f>
        <v>100</v>
      </c>
      <c r="O6" s="133"/>
      <c r="P6" s="133">
        <v>49.7</v>
      </c>
      <c r="Q6" s="133">
        <v>44.8</v>
      </c>
      <c r="R6" s="149">
        <f>P6+Q6</f>
        <v>94.5</v>
      </c>
      <c r="S6" s="150">
        <v>2</v>
      </c>
      <c r="T6" s="137"/>
      <c r="U6" s="151"/>
      <c r="V6" s="139" t="s">
        <v>16</v>
      </c>
      <c r="W6" s="139" t="s">
        <v>17</v>
      </c>
      <c r="X6" s="139" t="s">
        <v>18</v>
      </c>
      <c r="Y6" s="139">
        <v>49.7</v>
      </c>
      <c r="Z6" s="138" t="s">
        <v>19</v>
      </c>
      <c r="AA6" s="139" t="s">
        <v>20</v>
      </c>
      <c r="AB6" s="139" t="s">
        <v>12</v>
      </c>
      <c r="AC6" s="140">
        <v>44.8</v>
      </c>
      <c r="AD6" s="138"/>
      <c r="AG6" s="140"/>
      <c r="AL6" s="138"/>
      <c r="AO6" s="140"/>
      <c r="AS6" s="165"/>
      <c r="AW6" s="165"/>
      <c r="BA6" s="141"/>
    </row>
    <row r="7" spans="1:53" s="139" customFormat="1" x14ac:dyDescent="0.15">
      <c r="A7" s="145">
        <v>1959</v>
      </c>
      <c r="B7" s="287">
        <v>21747</v>
      </c>
      <c r="C7" s="398" t="s">
        <v>28</v>
      </c>
      <c r="D7" s="398"/>
      <c r="E7" s="139">
        <f xml:space="preserve"> 365-E6</f>
        <v>169</v>
      </c>
      <c r="F7" s="139">
        <v>1</v>
      </c>
      <c r="G7" s="147"/>
      <c r="H7" s="139">
        <v>6</v>
      </c>
      <c r="I7" s="139">
        <v>6</v>
      </c>
      <c r="J7" s="148">
        <v>12</v>
      </c>
      <c r="K7" s="132">
        <f>G7/J7*100</f>
        <v>0</v>
      </c>
      <c r="L7" s="133">
        <f>H7/J7*100</f>
        <v>50</v>
      </c>
      <c r="M7" s="133">
        <f>I7/J7*100</f>
        <v>50</v>
      </c>
      <c r="N7" s="134">
        <f>SUM(K7:M7)</f>
        <v>100</v>
      </c>
      <c r="O7" s="133"/>
      <c r="P7" s="133">
        <v>47.9</v>
      </c>
      <c r="Q7" s="133">
        <v>47.3</v>
      </c>
      <c r="R7" s="149">
        <f>SUM(O7:Q7)</f>
        <v>95.199999999999989</v>
      </c>
      <c r="S7" s="150">
        <v>2</v>
      </c>
      <c r="T7" s="294">
        <v>21680</v>
      </c>
      <c r="U7" s="295">
        <v>21747</v>
      </c>
      <c r="V7" s="139" t="s">
        <v>16</v>
      </c>
      <c r="W7" s="139" t="s">
        <v>17</v>
      </c>
      <c r="X7" s="139" t="s">
        <v>18</v>
      </c>
      <c r="Y7" s="139">
        <v>47.9</v>
      </c>
      <c r="Z7" s="138" t="s">
        <v>19</v>
      </c>
      <c r="AA7" s="139" t="s">
        <v>20</v>
      </c>
      <c r="AB7" s="139" t="s">
        <v>12</v>
      </c>
      <c r="AC7" s="140">
        <v>47.3</v>
      </c>
      <c r="AD7" s="138"/>
      <c r="AG7" s="140"/>
      <c r="AL7" s="138"/>
      <c r="AO7" s="140"/>
      <c r="AS7" s="140"/>
      <c r="AW7" s="140"/>
      <c r="BA7" s="141"/>
    </row>
    <row r="8" spans="1:53" s="28" customFormat="1" x14ac:dyDescent="0.15">
      <c r="A8" s="51">
        <v>1960</v>
      </c>
      <c r="B8" s="277"/>
      <c r="C8" s="394" t="s">
        <v>28</v>
      </c>
      <c r="D8" s="394"/>
      <c r="E8" s="28">
        <v>308</v>
      </c>
      <c r="G8" s="65"/>
      <c r="H8" s="28">
        <v>6</v>
      </c>
      <c r="I8" s="28">
        <v>6</v>
      </c>
      <c r="J8" s="66">
        <v>12</v>
      </c>
      <c r="K8" s="45">
        <f>G8/J8*100</f>
        <v>0</v>
      </c>
      <c r="L8" s="46">
        <f>H8/J8*100</f>
        <v>50</v>
      </c>
      <c r="M8" s="46">
        <f>I8/J8*100</f>
        <v>50</v>
      </c>
      <c r="N8" s="47">
        <f>SUM(K8:M8)</f>
        <v>100</v>
      </c>
      <c r="O8" s="46"/>
      <c r="P8" s="46">
        <v>47.9</v>
      </c>
      <c r="Q8" s="46">
        <v>47.3</v>
      </c>
      <c r="R8" s="67">
        <f>SUM(O8:Q8)</f>
        <v>95.199999999999989</v>
      </c>
      <c r="S8" s="68">
        <v>2</v>
      </c>
      <c r="T8" s="293"/>
      <c r="U8" s="290"/>
      <c r="V8" s="28" t="s">
        <v>16</v>
      </c>
      <c r="W8" s="28" t="s">
        <v>17</v>
      </c>
      <c r="X8" s="28" t="s">
        <v>18</v>
      </c>
      <c r="Y8" s="28">
        <v>47.9</v>
      </c>
      <c r="Z8" s="37" t="s">
        <v>19</v>
      </c>
      <c r="AA8" s="28" t="s">
        <v>20</v>
      </c>
      <c r="AB8" s="28" t="s">
        <v>12</v>
      </c>
      <c r="AC8" s="38">
        <v>47.3</v>
      </c>
      <c r="AD8" s="37"/>
      <c r="AG8" s="38"/>
      <c r="AL8" s="37"/>
      <c r="AO8" s="38"/>
      <c r="AS8" s="38"/>
      <c r="AW8" s="38"/>
      <c r="BA8" s="39"/>
    </row>
    <row r="9" spans="1:53" s="28" customFormat="1" x14ac:dyDescent="0.15">
      <c r="A9" s="51">
        <v>1960</v>
      </c>
      <c r="B9" s="288">
        <v>22224</v>
      </c>
      <c r="C9" s="394" t="s">
        <v>28</v>
      </c>
      <c r="D9" s="394"/>
      <c r="E9" s="28">
        <v>58</v>
      </c>
      <c r="F9" s="69">
        <v>0</v>
      </c>
      <c r="G9" s="65"/>
      <c r="H9" s="28">
        <v>6</v>
      </c>
      <c r="I9" s="28">
        <v>6</v>
      </c>
      <c r="J9" s="66">
        <v>12</v>
      </c>
      <c r="K9" s="45">
        <f t="shared" ref="K9:K15" si="0">G9/J9*100</f>
        <v>0</v>
      </c>
      <c r="L9" s="46">
        <f t="shared" ref="L9:L15" si="1">H9/J9*100</f>
        <v>50</v>
      </c>
      <c r="M9" s="46">
        <f t="shared" ref="M9:M15" si="2">I9/J9*100</f>
        <v>50</v>
      </c>
      <c r="N9" s="47">
        <f t="shared" ref="N9:N72" si="3">SUM(K9:M9)</f>
        <v>100</v>
      </c>
      <c r="O9" s="46"/>
      <c r="P9" s="46">
        <v>47.9</v>
      </c>
      <c r="Q9" s="46">
        <v>47.3</v>
      </c>
      <c r="R9" s="67">
        <f t="shared" ref="R9:R72" si="4">SUM(O9:Q9)</f>
        <v>95.199999999999989</v>
      </c>
      <c r="S9" s="68">
        <v>2</v>
      </c>
      <c r="T9" s="293"/>
      <c r="U9" s="290"/>
      <c r="V9" s="28" t="s">
        <v>16</v>
      </c>
      <c r="W9" s="28" t="s">
        <v>17</v>
      </c>
      <c r="X9" s="28" t="s">
        <v>18</v>
      </c>
      <c r="Y9" s="28">
        <v>47.9</v>
      </c>
      <c r="Z9" s="37" t="s">
        <v>19</v>
      </c>
      <c r="AA9" s="28" t="s">
        <v>20</v>
      </c>
      <c r="AB9" s="28" t="s">
        <v>12</v>
      </c>
      <c r="AC9" s="38">
        <v>47.3</v>
      </c>
      <c r="AD9" s="37"/>
      <c r="AG9" s="38"/>
      <c r="AL9" s="37"/>
      <c r="AO9" s="38"/>
      <c r="AS9" s="38"/>
      <c r="AW9" s="38"/>
      <c r="BA9" s="39"/>
    </row>
    <row r="10" spans="1:53" s="28" customFormat="1" x14ac:dyDescent="0.15">
      <c r="A10" s="51">
        <v>1961</v>
      </c>
      <c r="B10" s="277"/>
      <c r="C10" s="394" t="s">
        <v>28</v>
      </c>
      <c r="D10" s="394"/>
      <c r="E10" s="28">
        <v>101</v>
      </c>
      <c r="F10" s="39"/>
      <c r="G10" s="65"/>
      <c r="H10" s="28">
        <v>6</v>
      </c>
      <c r="I10" s="28">
        <v>6</v>
      </c>
      <c r="J10" s="70">
        <v>12</v>
      </c>
      <c r="K10" s="45">
        <f t="shared" si="0"/>
        <v>0</v>
      </c>
      <c r="L10" s="46">
        <f t="shared" si="1"/>
        <v>50</v>
      </c>
      <c r="M10" s="46">
        <f t="shared" si="2"/>
        <v>50</v>
      </c>
      <c r="N10" s="47">
        <f t="shared" si="3"/>
        <v>100</v>
      </c>
      <c r="O10" s="46"/>
      <c r="P10" s="46">
        <v>47.9</v>
      </c>
      <c r="Q10" s="46">
        <v>47.3</v>
      </c>
      <c r="R10" s="67">
        <f t="shared" si="4"/>
        <v>95.199999999999989</v>
      </c>
      <c r="S10" s="68">
        <v>2</v>
      </c>
      <c r="T10" s="293"/>
      <c r="U10" s="290"/>
      <c r="V10" s="28" t="s">
        <v>16</v>
      </c>
      <c r="W10" s="28" t="s">
        <v>17</v>
      </c>
      <c r="X10" s="28" t="s">
        <v>18</v>
      </c>
      <c r="Y10" s="28">
        <v>47.9</v>
      </c>
      <c r="Z10" s="37" t="s">
        <v>19</v>
      </c>
      <c r="AA10" s="28" t="s">
        <v>20</v>
      </c>
      <c r="AB10" s="28" t="s">
        <v>12</v>
      </c>
      <c r="AC10" s="38">
        <v>47.3</v>
      </c>
      <c r="AD10" s="37"/>
      <c r="AG10" s="38"/>
      <c r="AL10" s="37"/>
      <c r="AO10" s="38"/>
      <c r="AS10" s="38"/>
      <c r="AW10" s="38"/>
      <c r="BA10" s="39"/>
    </row>
    <row r="11" spans="1:53" s="170" customFormat="1" x14ac:dyDescent="0.15">
      <c r="A11" s="215">
        <v>1961</v>
      </c>
      <c r="B11" s="276">
        <v>22383</v>
      </c>
      <c r="C11" s="395" t="s">
        <v>29</v>
      </c>
      <c r="D11" s="395"/>
      <c r="E11" s="170">
        <v>264</v>
      </c>
      <c r="F11" s="179">
        <v>3</v>
      </c>
      <c r="G11" s="232"/>
      <c r="H11" s="170">
        <v>6</v>
      </c>
      <c r="I11" s="170">
        <v>6</v>
      </c>
      <c r="J11" s="233">
        <v>12</v>
      </c>
      <c r="K11" s="212">
        <f t="shared" si="0"/>
        <v>0</v>
      </c>
      <c r="L11" s="213">
        <f t="shared" si="1"/>
        <v>50</v>
      </c>
      <c r="M11" s="213">
        <f t="shared" si="2"/>
        <v>50</v>
      </c>
      <c r="N11" s="214">
        <f t="shared" si="3"/>
        <v>100</v>
      </c>
      <c r="O11" s="213"/>
      <c r="P11" s="213">
        <v>47.9</v>
      </c>
      <c r="Q11" s="213">
        <v>47.3</v>
      </c>
      <c r="R11" s="234">
        <f t="shared" si="4"/>
        <v>95.199999999999989</v>
      </c>
      <c r="S11" s="219">
        <v>2</v>
      </c>
      <c r="T11" s="281"/>
      <c r="U11" s="296">
        <v>22383</v>
      </c>
      <c r="V11" s="170" t="s">
        <v>16</v>
      </c>
      <c r="W11" s="170" t="s">
        <v>17</v>
      </c>
      <c r="X11" s="170" t="s">
        <v>18</v>
      </c>
      <c r="Y11" s="170">
        <v>47.9</v>
      </c>
      <c r="Z11" s="177" t="s">
        <v>19</v>
      </c>
      <c r="AA11" s="170" t="s">
        <v>20</v>
      </c>
      <c r="AB11" s="170" t="s">
        <v>12</v>
      </c>
      <c r="AC11" s="178">
        <v>47.3</v>
      </c>
      <c r="AD11" s="177"/>
      <c r="AG11" s="178"/>
      <c r="AL11" s="177"/>
      <c r="AO11" s="178"/>
      <c r="AS11" s="178"/>
      <c r="AW11" s="178"/>
      <c r="BA11" s="179"/>
    </row>
    <row r="12" spans="1:53" s="170" customFormat="1" x14ac:dyDescent="0.15">
      <c r="A12" s="215">
        <v>1962</v>
      </c>
      <c r="B12" s="276"/>
      <c r="C12" s="395" t="s">
        <v>29</v>
      </c>
      <c r="D12" s="395"/>
      <c r="E12" s="170">
        <v>0</v>
      </c>
      <c r="F12" s="179"/>
      <c r="G12" s="232"/>
      <c r="H12" s="170">
        <v>6</v>
      </c>
      <c r="I12" s="170">
        <v>6</v>
      </c>
      <c r="J12" s="233">
        <v>12</v>
      </c>
      <c r="K12" s="212">
        <f t="shared" si="0"/>
        <v>0</v>
      </c>
      <c r="L12" s="213">
        <f t="shared" si="1"/>
        <v>50</v>
      </c>
      <c r="M12" s="213">
        <f t="shared" si="2"/>
        <v>50</v>
      </c>
      <c r="N12" s="214">
        <f t="shared" si="3"/>
        <v>100</v>
      </c>
      <c r="O12" s="213"/>
      <c r="P12" s="213">
        <v>47.9</v>
      </c>
      <c r="Q12" s="213">
        <v>47.3</v>
      </c>
      <c r="R12" s="234">
        <f t="shared" si="4"/>
        <v>95.199999999999989</v>
      </c>
      <c r="S12" s="219">
        <v>2</v>
      </c>
      <c r="T12" s="281"/>
      <c r="U12" s="296"/>
      <c r="V12" s="170" t="s">
        <v>16</v>
      </c>
      <c r="W12" s="170" t="s">
        <v>17</v>
      </c>
      <c r="X12" s="170" t="s">
        <v>18</v>
      </c>
      <c r="Y12" s="170">
        <v>47.9</v>
      </c>
      <c r="Z12" s="177" t="s">
        <v>19</v>
      </c>
      <c r="AA12" s="170" t="s">
        <v>20</v>
      </c>
      <c r="AB12" s="170" t="s">
        <v>12</v>
      </c>
      <c r="AC12" s="178">
        <v>47.3</v>
      </c>
      <c r="AD12" s="177"/>
      <c r="AG12" s="178"/>
      <c r="AL12" s="177"/>
      <c r="AO12" s="178"/>
      <c r="AS12" s="178"/>
      <c r="AW12" s="178"/>
      <c r="BA12" s="179"/>
    </row>
    <row r="13" spans="1:53" s="170" customFormat="1" x14ac:dyDescent="0.15">
      <c r="A13" s="215">
        <v>1962</v>
      </c>
      <c r="B13" s="276"/>
      <c r="C13" s="395" t="s">
        <v>29</v>
      </c>
      <c r="D13" s="395"/>
      <c r="E13" s="170">
        <v>365</v>
      </c>
      <c r="F13" s="179"/>
      <c r="G13" s="232"/>
      <c r="H13" s="170">
        <v>6</v>
      </c>
      <c r="I13" s="170">
        <v>6</v>
      </c>
      <c r="J13" s="233">
        <v>12</v>
      </c>
      <c r="K13" s="212">
        <f t="shared" si="0"/>
        <v>0</v>
      </c>
      <c r="L13" s="213">
        <f t="shared" si="1"/>
        <v>50</v>
      </c>
      <c r="M13" s="213">
        <f t="shared" si="2"/>
        <v>50</v>
      </c>
      <c r="N13" s="214">
        <f t="shared" si="3"/>
        <v>100</v>
      </c>
      <c r="O13" s="213"/>
      <c r="P13" s="213">
        <v>47.9</v>
      </c>
      <c r="Q13" s="213">
        <v>47.3</v>
      </c>
      <c r="R13" s="234">
        <f t="shared" si="4"/>
        <v>95.199999999999989</v>
      </c>
      <c r="S13" s="219">
        <v>2</v>
      </c>
      <c r="T13" s="281">
        <v>22968</v>
      </c>
      <c r="U13" s="296"/>
      <c r="V13" s="170" t="s">
        <v>16</v>
      </c>
      <c r="W13" s="170" t="s">
        <v>17</v>
      </c>
      <c r="X13" s="170" t="s">
        <v>18</v>
      </c>
      <c r="Y13" s="170">
        <v>47.9</v>
      </c>
      <c r="Z13" s="177" t="s">
        <v>19</v>
      </c>
      <c r="AA13" s="170" t="s">
        <v>20</v>
      </c>
      <c r="AB13" s="170" t="s">
        <v>12</v>
      </c>
      <c r="AC13" s="178">
        <v>47.3</v>
      </c>
      <c r="AD13" s="177"/>
      <c r="AG13" s="178"/>
      <c r="AL13" s="177"/>
      <c r="AO13" s="178"/>
      <c r="AS13" s="178"/>
      <c r="AW13" s="178"/>
      <c r="BA13" s="179"/>
    </row>
    <row r="14" spans="1:53" s="170" customFormat="1" x14ac:dyDescent="0.15">
      <c r="A14" s="215">
        <v>1963</v>
      </c>
      <c r="B14" s="276"/>
      <c r="C14" s="395" t="s">
        <v>29</v>
      </c>
      <c r="D14" s="395"/>
      <c r="E14" s="170">
        <v>82</v>
      </c>
      <c r="F14" s="179"/>
      <c r="G14" s="232"/>
      <c r="H14" s="170">
        <v>6</v>
      </c>
      <c r="I14" s="170">
        <v>6</v>
      </c>
      <c r="J14" s="233">
        <v>12</v>
      </c>
      <c r="K14" s="212">
        <f t="shared" si="0"/>
        <v>0</v>
      </c>
      <c r="L14" s="213">
        <f t="shared" si="1"/>
        <v>50</v>
      </c>
      <c r="M14" s="213">
        <f t="shared" si="2"/>
        <v>50</v>
      </c>
      <c r="N14" s="214">
        <f t="shared" si="3"/>
        <v>100</v>
      </c>
      <c r="O14" s="213"/>
      <c r="P14" s="213">
        <v>47.9</v>
      </c>
      <c r="Q14" s="213">
        <v>47.3</v>
      </c>
      <c r="R14" s="234">
        <f t="shared" si="4"/>
        <v>95.199999999999989</v>
      </c>
      <c r="S14" s="219">
        <v>2</v>
      </c>
      <c r="T14" s="281"/>
      <c r="U14" s="296"/>
      <c r="V14" s="170" t="s">
        <v>16</v>
      </c>
      <c r="W14" s="170" t="s">
        <v>17</v>
      </c>
      <c r="X14" s="170" t="s">
        <v>18</v>
      </c>
      <c r="Y14" s="170">
        <v>47.9</v>
      </c>
      <c r="Z14" s="177" t="s">
        <v>19</v>
      </c>
      <c r="AA14" s="170" t="s">
        <v>20</v>
      </c>
      <c r="AB14" s="170" t="s">
        <v>12</v>
      </c>
      <c r="AC14" s="178">
        <v>47.3</v>
      </c>
      <c r="AD14" s="177"/>
      <c r="AG14" s="178"/>
      <c r="AL14" s="177"/>
      <c r="AO14" s="178"/>
      <c r="AS14" s="178"/>
      <c r="AW14" s="178"/>
      <c r="BA14" s="179"/>
    </row>
    <row r="15" spans="1:53" s="28" customFormat="1" x14ac:dyDescent="0.15">
      <c r="A15" s="51">
        <v>1963</v>
      </c>
      <c r="B15" s="277">
        <v>23094</v>
      </c>
      <c r="C15" s="394" t="s">
        <v>30</v>
      </c>
      <c r="D15" s="394"/>
      <c r="E15" s="28">
        <v>283</v>
      </c>
      <c r="F15" s="39">
        <v>1</v>
      </c>
      <c r="G15" s="65"/>
      <c r="H15" s="28">
        <v>6</v>
      </c>
      <c r="I15" s="28">
        <v>6</v>
      </c>
      <c r="J15" s="70">
        <v>12</v>
      </c>
      <c r="K15" s="45">
        <f t="shared" si="0"/>
        <v>0</v>
      </c>
      <c r="L15" s="46">
        <f t="shared" si="1"/>
        <v>50</v>
      </c>
      <c r="M15" s="46">
        <f t="shared" si="2"/>
        <v>50</v>
      </c>
      <c r="N15" s="47">
        <f t="shared" si="3"/>
        <v>100</v>
      </c>
      <c r="O15" s="46"/>
      <c r="P15" s="46">
        <v>49.1</v>
      </c>
      <c r="Q15" s="46">
        <v>46.1</v>
      </c>
      <c r="R15" s="67">
        <f t="shared" si="4"/>
        <v>95.2</v>
      </c>
      <c r="S15" s="68">
        <v>2</v>
      </c>
      <c r="T15" s="293"/>
      <c r="U15" s="290">
        <v>23094</v>
      </c>
      <c r="V15" s="28" t="s">
        <v>16</v>
      </c>
      <c r="W15" s="28" t="s">
        <v>17</v>
      </c>
      <c r="X15" s="28" t="s">
        <v>18</v>
      </c>
      <c r="Y15" s="28">
        <v>49.1</v>
      </c>
      <c r="Z15" s="37" t="s">
        <v>19</v>
      </c>
      <c r="AA15" s="28" t="s">
        <v>20</v>
      </c>
      <c r="AB15" s="28" t="s">
        <v>12</v>
      </c>
      <c r="AC15" s="38">
        <v>46.1</v>
      </c>
      <c r="AD15" s="37"/>
      <c r="AG15" s="38"/>
      <c r="AL15" s="37"/>
      <c r="AO15" s="38"/>
      <c r="AS15" s="38"/>
      <c r="AW15" s="38"/>
      <c r="BA15" s="39"/>
    </row>
    <row r="16" spans="1:53" s="28" customFormat="1" x14ac:dyDescent="0.15">
      <c r="A16" s="51">
        <v>1964</v>
      </c>
      <c r="B16" s="277"/>
      <c r="C16" s="394" t="s">
        <v>30</v>
      </c>
      <c r="D16" s="394"/>
      <c r="E16" s="28">
        <v>93</v>
      </c>
      <c r="F16" s="39"/>
      <c r="G16" s="65"/>
      <c r="H16" s="28">
        <v>6</v>
      </c>
      <c r="I16" s="28">
        <v>6</v>
      </c>
      <c r="J16" s="70">
        <v>12</v>
      </c>
      <c r="K16" s="45">
        <f>G16/J16*100</f>
        <v>0</v>
      </c>
      <c r="L16" s="46">
        <f>H16/J16*100</f>
        <v>50</v>
      </c>
      <c r="M16" s="46">
        <f>I16/J16*100</f>
        <v>50</v>
      </c>
      <c r="N16" s="47">
        <f t="shared" si="3"/>
        <v>100</v>
      </c>
      <c r="O16" s="46"/>
      <c r="P16" s="46">
        <v>49.1</v>
      </c>
      <c r="Q16" s="46">
        <v>46.1</v>
      </c>
      <c r="R16" s="67">
        <f t="shared" si="4"/>
        <v>95.2</v>
      </c>
      <c r="S16" s="68">
        <v>2</v>
      </c>
      <c r="T16" s="293"/>
      <c r="U16" s="290"/>
      <c r="V16" s="28" t="s">
        <v>16</v>
      </c>
      <c r="W16" s="28" t="s">
        <v>17</v>
      </c>
      <c r="X16" s="28" t="s">
        <v>18</v>
      </c>
      <c r="Y16" s="28">
        <v>49.1</v>
      </c>
      <c r="Z16" s="37" t="s">
        <v>19</v>
      </c>
      <c r="AA16" s="28" t="s">
        <v>20</v>
      </c>
      <c r="AB16" s="28" t="s">
        <v>12</v>
      </c>
      <c r="AC16" s="38">
        <v>46.1</v>
      </c>
      <c r="AD16" s="37"/>
      <c r="AG16" s="38"/>
      <c r="AL16" s="37"/>
      <c r="AO16" s="38"/>
      <c r="AS16" s="38"/>
      <c r="AW16" s="38"/>
      <c r="BA16" s="39"/>
    </row>
    <row r="17" spans="1:53" s="170" customFormat="1" x14ac:dyDescent="0.15">
      <c r="A17" s="215">
        <v>1964</v>
      </c>
      <c r="B17" s="276">
        <v>23470</v>
      </c>
      <c r="C17" s="369" t="s">
        <v>31</v>
      </c>
      <c r="D17" s="369"/>
      <c r="E17" s="170">
        <v>273</v>
      </c>
      <c r="F17" s="179">
        <v>2</v>
      </c>
      <c r="G17" s="232"/>
      <c r="H17" s="170">
        <v>6</v>
      </c>
      <c r="I17" s="170">
        <v>6</v>
      </c>
      <c r="J17" s="233">
        <v>12</v>
      </c>
      <c r="K17" s="212">
        <f t="shared" ref="K17:K23" si="5">G17/J17*100</f>
        <v>0</v>
      </c>
      <c r="L17" s="213">
        <f t="shared" ref="L17:L23" si="6">H17/J17*100</f>
        <v>50</v>
      </c>
      <c r="M17" s="213">
        <f t="shared" ref="M17:M23" si="7">I17/J17*100</f>
        <v>50</v>
      </c>
      <c r="N17" s="214">
        <f t="shared" si="3"/>
        <v>100</v>
      </c>
      <c r="O17" s="213"/>
      <c r="P17" s="213">
        <v>49.1</v>
      </c>
      <c r="Q17" s="213">
        <v>46.1</v>
      </c>
      <c r="R17" s="234">
        <f t="shared" si="4"/>
        <v>95.2</v>
      </c>
      <c r="S17" s="219">
        <v>2</v>
      </c>
      <c r="T17" s="281"/>
      <c r="U17" s="296">
        <v>23470</v>
      </c>
      <c r="V17" s="170" t="s">
        <v>16</v>
      </c>
      <c r="W17" s="170" t="s">
        <v>17</v>
      </c>
      <c r="X17" s="170" t="s">
        <v>18</v>
      </c>
      <c r="Y17" s="170">
        <v>49.1</v>
      </c>
      <c r="Z17" s="177" t="s">
        <v>19</v>
      </c>
      <c r="AA17" s="170" t="s">
        <v>20</v>
      </c>
      <c r="AB17" s="170" t="s">
        <v>12</v>
      </c>
      <c r="AC17" s="178">
        <v>46.1</v>
      </c>
      <c r="AD17" s="177"/>
      <c r="AG17" s="178"/>
      <c r="AL17" s="177"/>
      <c r="AO17" s="178"/>
      <c r="AS17" s="178"/>
      <c r="AW17" s="178"/>
      <c r="BA17" s="179"/>
    </row>
    <row r="18" spans="1:53" s="170" customFormat="1" x14ac:dyDescent="0.15">
      <c r="A18" s="215">
        <v>1965</v>
      </c>
      <c r="B18" s="276"/>
      <c r="C18" s="369" t="s">
        <v>31</v>
      </c>
      <c r="D18" s="369"/>
      <c r="E18" s="170">
        <v>295</v>
      </c>
      <c r="F18" s="179"/>
      <c r="G18" s="232"/>
      <c r="H18" s="170">
        <v>6</v>
      </c>
      <c r="I18" s="170">
        <v>6</v>
      </c>
      <c r="J18" s="233">
        <v>12</v>
      </c>
      <c r="K18" s="212">
        <f t="shared" si="5"/>
        <v>0</v>
      </c>
      <c r="L18" s="213">
        <f t="shared" si="6"/>
        <v>50</v>
      </c>
      <c r="M18" s="213">
        <f t="shared" si="7"/>
        <v>50</v>
      </c>
      <c r="N18" s="214">
        <f t="shared" si="3"/>
        <v>100</v>
      </c>
      <c r="O18" s="213"/>
      <c r="P18" s="213">
        <v>49.1</v>
      </c>
      <c r="Q18" s="213">
        <v>46.1</v>
      </c>
      <c r="R18" s="234">
        <f t="shared" si="4"/>
        <v>95.2</v>
      </c>
      <c r="S18" s="219">
        <v>2</v>
      </c>
      <c r="T18" s="281"/>
      <c r="U18" s="296"/>
      <c r="V18" s="170" t="s">
        <v>16</v>
      </c>
      <c r="W18" s="170" t="s">
        <v>17</v>
      </c>
      <c r="X18" s="170" t="s">
        <v>18</v>
      </c>
      <c r="Y18" s="170">
        <v>49.1</v>
      </c>
      <c r="Z18" s="177" t="s">
        <v>19</v>
      </c>
      <c r="AA18" s="170" t="s">
        <v>20</v>
      </c>
      <c r="AB18" s="170" t="s">
        <v>12</v>
      </c>
      <c r="AC18" s="178">
        <v>46.1</v>
      </c>
      <c r="AD18" s="177"/>
      <c r="AG18" s="178"/>
      <c r="AL18" s="177"/>
      <c r="AO18" s="178"/>
      <c r="AS18" s="178"/>
      <c r="AW18" s="178"/>
      <c r="BA18" s="179"/>
    </row>
    <row r="19" spans="1:53" s="170" customFormat="1" x14ac:dyDescent="0.15">
      <c r="A19" s="215">
        <v>1965</v>
      </c>
      <c r="B19" s="289">
        <v>24038</v>
      </c>
      <c r="C19" s="369" t="s">
        <v>31</v>
      </c>
      <c r="D19" s="369"/>
      <c r="E19" s="170">
        <v>70</v>
      </c>
      <c r="F19" s="235">
        <v>0</v>
      </c>
      <c r="G19" s="232"/>
      <c r="H19" s="170">
        <v>6</v>
      </c>
      <c r="I19" s="170">
        <v>6</v>
      </c>
      <c r="J19" s="233">
        <v>12</v>
      </c>
      <c r="K19" s="212">
        <f t="shared" si="5"/>
        <v>0</v>
      </c>
      <c r="L19" s="213">
        <f t="shared" si="6"/>
        <v>50</v>
      </c>
      <c r="M19" s="213">
        <f t="shared" si="7"/>
        <v>50</v>
      </c>
      <c r="N19" s="214">
        <f t="shared" si="3"/>
        <v>100</v>
      </c>
      <c r="O19" s="213"/>
      <c r="P19" s="213">
        <v>49.1</v>
      </c>
      <c r="Q19" s="213">
        <v>46.1</v>
      </c>
      <c r="R19" s="234">
        <f t="shared" si="4"/>
        <v>95.2</v>
      </c>
      <c r="S19" s="219">
        <v>2</v>
      </c>
      <c r="T19" s="281"/>
      <c r="U19" s="296"/>
      <c r="V19" s="170" t="s">
        <v>16</v>
      </c>
      <c r="W19" s="170" t="s">
        <v>17</v>
      </c>
      <c r="X19" s="170" t="s">
        <v>18</v>
      </c>
      <c r="Y19" s="170">
        <v>49.1</v>
      </c>
      <c r="Z19" s="177" t="s">
        <v>19</v>
      </c>
      <c r="AA19" s="170" t="s">
        <v>20</v>
      </c>
      <c r="AB19" s="170" t="s">
        <v>12</v>
      </c>
      <c r="AC19" s="178">
        <v>46.1</v>
      </c>
      <c r="AD19" s="177"/>
      <c r="AG19" s="178"/>
      <c r="AL19" s="177"/>
      <c r="AO19" s="178"/>
      <c r="AS19" s="178"/>
      <c r="AW19" s="178"/>
      <c r="BA19" s="179"/>
    </row>
    <row r="20" spans="1:53" s="170" customFormat="1" x14ac:dyDescent="0.15">
      <c r="A20" s="215">
        <v>1966</v>
      </c>
      <c r="B20" s="276"/>
      <c r="C20" s="369" t="s">
        <v>31</v>
      </c>
      <c r="D20" s="369"/>
      <c r="E20" s="170">
        <v>108</v>
      </c>
      <c r="F20" s="179"/>
      <c r="G20" s="232"/>
      <c r="H20" s="170">
        <v>6</v>
      </c>
      <c r="I20" s="170">
        <v>6</v>
      </c>
      <c r="J20" s="233">
        <v>12</v>
      </c>
      <c r="K20" s="212">
        <f t="shared" si="5"/>
        <v>0</v>
      </c>
      <c r="L20" s="213">
        <f t="shared" si="6"/>
        <v>50</v>
      </c>
      <c r="M20" s="213">
        <f t="shared" si="7"/>
        <v>50</v>
      </c>
      <c r="N20" s="214">
        <f t="shared" si="3"/>
        <v>100</v>
      </c>
      <c r="O20" s="213"/>
      <c r="P20" s="213">
        <v>49.1</v>
      </c>
      <c r="Q20" s="213">
        <v>46.1</v>
      </c>
      <c r="R20" s="234">
        <f t="shared" si="4"/>
        <v>95.2</v>
      </c>
      <c r="S20" s="219">
        <v>2</v>
      </c>
      <c r="T20" s="281"/>
      <c r="U20" s="296"/>
      <c r="V20" s="170" t="s">
        <v>16</v>
      </c>
      <c r="W20" s="170" t="s">
        <v>17</v>
      </c>
      <c r="X20" s="170" t="s">
        <v>18</v>
      </c>
      <c r="Y20" s="170">
        <v>49.1</v>
      </c>
      <c r="Z20" s="177" t="s">
        <v>19</v>
      </c>
      <c r="AA20" s="170" t="s">
        <v>20</v>
      </c>
      <c r="AB20" s="170" t="s">
        <v>12</v>
      </c>
      <c r="AC20" s="178">
        <v>46.1</v>
      </c>
      <c r="AD20" s="177"/>
      <c r="AG20" s="178"/>
      <c r="AL20" s="177"/>
      <c r="AO20" s="178"/>
      <c r="AS20" s="178"/>
      <c r="AW20" s="178"/>
      <c r="BA20" s="179"/>
    </row>
    <row r="21" spans="1:53" s="28" customFormat="1" x14ac:dyDescent="0.15">
      <c r="A21" s="51">
        <v>1966</v>
      </c>
      <c r="B21" s="277">
        <v>24216</v>
      </c>
      <c r="C21" s="370" t="s">
        <v>32</v>
      </c>
      <c r="D21" s="370"/>
      <c r="E21" s="28">
        <v>257</v>
      </c>
      <c r="F21" s="39">
        <v>1</v>
      </c>
      <c r="G21" s="65"/>
      <c r="H21" s="28">
        <v>13</v>
      </c>
      <c r="J21" s="70">
        <v>13</v>
      </c>
      <c r="K21" s="45">
        <f t="shared" si="5"/>
        <v>0</v>
      </c>
      <c r="L21" s="46">
        <f t="shared" si="6"/>
        <v>100</v>
      </c>
      <c r="M21" s="46">
        <f t="shared" si="7"/>
        <v>0</v>
      </c>
      <c r="N21" s="47">
        <f t="shared" si="3"/>
        <v>100</v>
      </c>
      <c r="O21" s="46"/>
      <c r="P21" s="46">
        <v>51.5</v>
      </c>
      <c r="Q21" s="46"/>
      <c r="R21" s="67">
        <f t="shared" si="4"/>
        <v>51.5</v>
      </c>
      <c r="S21" s="68">
        <v>1</v>
      </c>
      <c r="T21" s="293">
        <v>24172</v>
      </c>
      <c r="U21" s="290">
        <v>24216</v>
      </c>
      <c r="V21" s="28" t="s">
        <v>16</v>
      </c>
      <c r="W21" s="28" t="s">
        <v>17</v>
      </c>
      <c r="X21" s="28" t="s">
        <v>18</v>
      </c>
      <c r="Y21" s="28">
        <v>51.5</v>
      </c>
      <c r="Z21" s="37"/>
      <c r="AC21" s="38"/>
      <c r="AD21" s="37"/>
      <c r="AG21" s="38"/>
      <c r="AL21" s="37"/>
      <c r="AO21" s="38"/>
      <c r="AS21" s="38"/>
      <c r="AW21" s="38"/>
      <c r="BA21" s="39"/>
    </row>
    <row r="22" spans="1:53" s="28" customFormat="1" x14ac:dyDescent="0.15">
      <c r="A22" s="51">
        <v>1967</v>
      </c>
      <c r="B22" s="277"/>
      <c r="C22" s="370" t="s">
        <v>32</v>
      </c>
      <c r="D22" s="370"/>
      <c r="E22" s="28">
        <v>0</v>
      </c>
      <c r="F22" s="39"/>
      <c r="G22" s="65"/>
      <c r="H22" s="28">
        <v>13</v>
      </c>
      <c r="J22" s="70">
        <v>13</v>
      </c>
      <c r="K22" s="45">
        <f t="shared" si="5"/>
        <v>0</v>
      </c>
      <c r="L22" s="46">
        <f t="shared" si="6"/>
        <v>100</v>
      </c>
      <c r="M22" s="46">
        <f t="shared" si="7"/>
        <v>0</v>
      </c>
      <c r="N22" s="47">
        <f t="shared" si="3"/>
        <v>100</v>
      </c>
      <c r="O22" s="46"/>
      <c r="P22" s="46">
        <v>51.5</v>
      </c>
      <c r="Q22" s="46"/>
      <c r="R22" s="67">
        <f t="shared" si="4"/>
        <v>51.5</v>
      </c>
      <c r="S22" s="68">
        <v>1</v>
      </c>
      <c r="T22" s="293"/>
      <c r="U22" s="290"/>
      <c r="V22" s="28" t="s">
        <v>16</v>
      </c>
      <c r="W22" s="28" t="s">
        <v>17</v>
      </c>
      <c r="X22" s="28" t="s">
        <v>18</v>
      </c>
      <c r="Y22" s="28">
        <v>51.5</v>
      </c>
      <c r="Z22" s="37"/>
      <c r="AC22" s="38"/>
      <c r="AD22" s="37"/>
      <c r="AG22" s="38"/>
      <c r="AL22" s="37"/>
      <c r="AO22" s="38"/>
      <c r="AS22" s="38"/>
      <c r="AW22" s="38"/>
      <c r="BA22" s="39"/>
    </row>
    <row r="23" spans="1:53" s="28" customFormat="1" x14ac:dyDescent="0.15">
      <c r="A23" s="51">
        <v>1967</v>
      </c>
      <c r="B23" s="277"/>
      <c r="C23" s="370" t="s">
        <v>32</v>
      </c>
      <c r="D23" s="370"/>
      <c r="E23" s="28">
        <v>365</v>
      </c>
      <c r="F23" s="39"/>
      <c r="G23" s="65"/>
      <c r="H23" s="28">
        <v>13</v>
      </c>
      <c r="J23" s="70">
        <v>13</v>
      </c>
      <c r="K23" s="45">
        <f t="shared" si="5"/>
        <v>0</v>
      </c>
      <c r="L23" s="46">
        <f t="shared" si="6"/>
        <v>100</v>
      </c>
      <c r="M23" s="46">
        <f t="shared" si="7"/>
        <v>0</v>
      </c>
      <c r="N23" s="47">
        <f t="shared" si="3"/>
        <v>100</v>
      </c>
      <c r="O23" s="46"/>
      <c r="P23" s="46">
        <v>51.5</v>
      </c>
      <c r="Q23" s="46"/>
      <c r="R23" s="67">
        <f t="shared" si="4"/>
        <v>51.5</v>
      </c>
      <c r="S23" s="68">
        <v>1</v>
      </c>
      <c r="T23" s="293"/>
      <c r="U23" s="290"/>
      <c r="V23" s="28" t="s">
        <v>16</v>
      </c>
      <c r="W23" s="28" t="s">
        <v>17</v>
      </c>
      <c r="X23" s="28" t="s">
        <v>18</v>
      </c>
      <c r="Y23" s="28">
        <v>51.5</v>
      </c>
      <c r="Z23" s="37"/>
      <c r="AC23" s="38"/>
      <c r="AD23" s="37"/>
      <c r="AG23" s="38"/>
      <c r="AL23" s="37"/>
      <c r="AO23" s="38"/>
      <c r="AS23" s="38"/>
      <c r="AW23" s="38"/>
      <c r="BA23" s="39"/>
    </row>
    <row r="24" spans="1:53" s="28" customFormat="1" x14ac:dyDescent="0.15">
      <c r="A24" s="51">
        <v>1968</v>
      </c>
      <c r="B24" s="277"/>
      <c r="C24" s="370" t="s">
        <v>32</v>
      </c>
      <c r="D24" s="370"/>
      <c r="E24" s="28">
        <v>0</v>
      </c>
      <c r="F24" s="39"/>
      <c r="G24" s="65"/>
      <c r="H24" s="28">
        <v>13</v>
      </c>
      <c r="J24" s="70">
        <v>13</v>
      </c>
      <c r="K24" s="45">
        <f>G24/J24*100</f>
        <v>0</v>
      </c>
      <c r="L24" s="46">
        <f>H24/J24*100</f>
        <v>100</v>
      </c>
      <c r="M24" s="46">
        <f>I24/J24*100</f>
        <v>0</v>
      </c>
      <c r="N24" s="47">
        <f t="shared" si="3"/>
        <v>100</v>
      </c>
      <c r="O24" s="46"/>
      <c r="P24" s="46">
        <v>51.5</v>
      </c>
      <c r="Q24" s="46"/>
      <c r="R24" s="67">
        <f t="shared" si="4"/>
        <v>51.5</v>
      </c>
      <c r="S24" s="68">
        <v>1</v>
      </c>
      <c r="T24" s="293"/>
      <c r="U24" s="290"/>
      <c r="V24" s="28" t="s">
        <v>16</v>
      </c>
      <c r="W24" s="28" t="s">
        <v>17</v>
      </c>
      <c r="X24" s="28" t="s">
        <v>18</v>
      </c>
      <c r="Y24" s="28">
        <v>51.5</v>
      </c>
      <c r="Z24" s="37"/>
      <c r="AC24" s="38"/>
      <c r="AD24" s="37"/>
      <c r="AG24" s="38"/>
      <c r="AL24" s="37"/>
      <c r="AO24" s="38"/>
      <c r="AS24" s="38"/>
      <c r="AW24" s="38"/>
      <c r="BA24" s="39"/>
    </row>
    <row r="25" spans="1:53" s="28" customFormat="1" x14ac:dyDescent="0.15">
      <c r="A25" s="51">
        <v>1968</v>
      </c>
      <c r="B25" s="277"/>
      <c r="C25" s="370" t="s">
        <v>32</v>
      </c>
      <c r="D25" s="370"/>
      <c r="E25" s="28">
        <v>366</v>
      </c>
      <c r="F25" s="39"/>
      <c r="G25" s="65"/>
      <c r="H25" s="28">
        <v>13</v>
      </c>
      <c r="J25" s="70">
        <v>13</v>
      </c>
      <c r="K25" s="45">
        <f t="shared" ref="K25:K31" si="8">G25/J25*100</f>
        <v>0</v>
      </c>
      <c r="L25" s="46">
        <f t="shared" ref="L25:L31" si="9">H25/J25*100</f>
        <v>100</v>
      </c>
      <c r="M25" s="46">
        <f t="shared" ref="M25:M31" si="10">I25/J25*100</f>
        <v>0</v>
      </c>
      <c r="N25" s="47">
        <f t="shared" si="3"/>
        <v>100</v>
      </c>
      <c r="O25" s="46"/>
      <c r="P25" s="46">
        <v>51.5</v>
      </c>
      <c r="Q25" s="46"/>
      <c r="R25" s="67">
        <f t="shared" si="4"/>
        <v>51.5</v>
      </c>
      <c r="S25" s="68">
        <v>1</v>
      </c>
      <c r="T25" s="293"/>
      <c r="U25" s="290"/>
      <c r="V25" s="28" t="s">
        <v>16</v>
      </c>
      <c r="W25" s="28" t="s">
        <v>17</v>
      </c>
      <c r="X25" s="28" t="s">
        <v>18</v>
      </c>
      <c r="Y25" s="28">
        <v>51.5</v>
      </c>
      <c r="Z25" s="37"/>
      <c r="AC25" s="38"/>
      <c r="AD25" s="37"/>
      <c r="AG25" s="38"/>
      <c r="AL25" s="37"/>
      <c r="AO25" s="38"/>
      <c r="AS25" s="38"/>
      <c r="AW25" s="38"/>
      <c r="BA25" s="39"/>
    </row>
    <row r="26" spans="1:53" s="28" customFormat="1" x14ac:dyDescent="0.15">
      <c r="A26" s="51">
        <v>1969</v>
      </c>
      <c r="B26" s="277"/>
      <c r="C26" s="370" t="s">
        <v>32</v>
      </c>
      <c r="D26" s="370"/>
      <c r="E26" s="28">
        <v>0</v>
      </c>
      <c r="F26" s="39"/>
      <c r="G26" s="65"/>
      <c r="H26" s="28">
        <v>13</v>
      </c>
      <c r="J26" s="70">
        <v>13</v>
      </c>
      <c r="K26" s="45">
        <f t="shared" si="8"/>
        <v>0</v>
      </c>
      <c r="L26" s="46">
        <f t="shared" si="9"/>
        <v>100</v>
      </c>
      <c r="M26" s="46">
        <f t="shared" si="10"/>
        <v>0</v>
      </c>
      <c r="N26" s="47">
        <f t="shared" si="3"/>
        <v>100</v>
      </c>
      <c r="O26" s="46"/>
      <c r="P26" s="46">
        <v>51.5</v>
      </c>
      <c r="Q26" s="46"/>
      <c r="R26" s="67">
        <f t="shared" si="4"/>
        <v>51.5</v>
      </c>
      <c r="S26" s="68">
        <v>1</v>
      </c>
      <c r="T26" s="293"/>
      <c r="U26" s="290"/>
      <c r="V26" s="28" t="s">
        <v>16</v>
      </c>
      <c r="W26" s="28" t="s">
        <v>17</v>
      </c>
      <c r="X26" s="28" t="s">
        <v>18</v>
      </c>
      <c r="Y26" s="28">
        <v>51.5</v>
      </c>
      <c r="Z26" s="37"/>
      <c r="AC26" s="38"/>
      <c r="AD26" s="37"/>
      <c r="AG26" s="38"/>
      <c r="AL26" s="37"/>
      <c r="AO26" s="38"/>
      <c r="AS26" s="38"/>
      <c r="AW26" s="38"/>
      <c r="BA26" s="39"/>
    </row>
    <row r="27" spans="1:53" s="28" customFormat="1" x14ac:dyDescent="0.15">
      <c r="A27" s="51">
        <v>1969</v>
      </c>
      <c r="B27" s="277"/>
      <c r="C27" s="370" t="s">
        <v>32</v>
      </c>
      <c r="D27" s="370"/>
      <c r="E27" s="28">
        <v>365</v>
      </c>
      <c r="F27" s="39"/>
      <c r="G27" s="65"/>
      <c r="H27" s="28">
        <v>13</v>
      </c>
      <c r="J27" s="70">
        <v>13</v>
      </c>
      <c r="K27" s="45">
        <f t="shared" si="8"/>
        <v>0</v>
      </c>
      <c r="L27" s="46">
        <f t="shared" si="9"/>
        <v>100</v>
      </c>
      <c r="M27" s="46">
        <f t="shared" si="10"/>
        <v>0</v>
      </c>
      <c r="N27" s="47">
        <f t="shared" si="3"/>
        <v>100</v>
      </c>
      <c r="O27" s="46"/>
      <c r="P27" s="46">
        <v>51.5</v>
      </c>
      <c r="Q27" s="46"/>
      <c r="R27" s="67">
        <f t="shared" si="4"/>
        <v>51.5</v>
      </c>
      <c r="S27" s="68">
        <v>1</v>
      </c>
      <c r="T27" s="293"/>
      <c r="U27" s="290"/>
      <c r="V27" s="28" t="s">
        <v>16</v>
      </c>
      <c r="W27" s="28" t="s">
        <v>17</v>
      </c>
      <c r="X27" s="28" t="s">
        <v>18</v>
      </c>
      <c r="Y27" s="28">
        <v>51.5</v>
      </c>
      <c r="Z27" s="37"/>
      <c r="AC27" s="38"/>
      <c r="AD27" s="37"/>
      <c r="AG27" s="38"/>
      <c r="AL27" s="37"/>
      <c r="AO27" s="38"/>
      <c r="AS27" s="38"/>
      <c r="AW27" s="38"/>
      <c r="BA27" s="39"/>
    </row>
    <row r="28" spans="1:53" s="28" customFormat="1" x14ac:dyDescent="0.15">
      <c r="A28" s="51">
        <v>1970</v>
      </c>
      <c r="B28" s="277"/>
      <c r="C28" s="370" t="s">
        <v>32</v>
      </c>
      <c r="D28" s="370"/>
      <c r="E28" s="28">
        <v>111</v>
      </c>
      <c r="F28" s="39"/>
      <c r="G28" s="65"/>
      <c r="H28" s="28">
        <v>13</v>
      </c>
      <c r="J28" s="70">
        <v>13</v>
      </c>
      <c r="K28" s="45">
        <f t="shared" si="8"/>
        <v>0</v>
      </c>
      <c r="L28" s="46">
        <f t="shared" si="9"/>
        <v>100</v>
      </c>
      <c r="M28" s="46">
        <f t="shared" si="10"/>
        <v>0</v>
      </c>
      <c r="N28" s="47">
        <f t="shared" si="3"/>
        <v>100</v>
      </c>
      <c r="O28" s="46"/>
      <c r="P28" s="46">
        <v>51.5</v>
      </c>
      <c r="Q28" s="46"/>
      <c r="R28" s="67">
        <f t="shared" si="4"/>
        <v>51.5</v>
      </c>
      <c r="S28" s="68">
        <v>1</v>
      </c>
      <c r="T28" s="293"/>
      <c r="U28" s="290"/>
      <c r="V28" s="28" t="s">
        <v>16</v>
      </c>
      <c r="W28" s="28" t="s">
        <v>17</v>
      </c>
      <c r="X28" s="28" t="s">
        <v>18</v>
      </c>
      <c r="Y28" s="28">
        <v>51.5</v>
      </c>
      <c r="Z28" s="37"/>
      <c r="AC28" s="38"/>
      <c r="AD28" s="37"/>
      <c r="AG28" s="38"/>
      <c r="AL28" s="37"/>
      <c r="AO28" s="38"/>
      <c r="AS28" s="38"/>
      <c r="AW28" s="38"/>
      <c r="BA28" s="39"/>
    </row>
    <row r="29" spans="1:53" s="170" customFormat="1" x14ac:dyDescent="0.15">
      <c r="A29" s="215">
        <v>1970</v>
      </c>
      <c r="B29" s="276">
        <v>25680</v>
      </c>
      <c r="C29" s="369" t="s">
        <v>33</v>
      </c>
      <c r="D29" s="369"/>
      <c r="E29" s="170">
        <v>254</v>
      </c>
      <c r="F29" s="179">
        <v>1</v>
      </c>
      <c r="G29" s="232"/>
      <c r="I29" s="170">
        <v>12</v>
      </c>
      <c r="J29" s="233">
        <v>13</v>
      </c>
      <c r="K29" s="212">
        <f t="shared" si="8"/>
        <v>0</v>
      </c>
      <c r="L29" s="213">
        <f t="shared" si="9"/>
        <v>0</v>
      </c>
      <c r="M29" s="213">
        <f t="shared" si="10"/>
        <v>92.307692307692307</v>
      </c>
      <c r="N29" s="214">
        <f t="shared" si="3"/>
        <v>92.307692307692307</v>
      </c>
      <c r="O29" s="213"/>
      <c r="P29" s="213"/>
      <c r="Q29" s="213">
        <v>49.1</v>
      </c>
      <c r="R29" s="234">
        <f t="shared" si="4"/>
        <v>49.1</v>
      </c>
      <c r="S29" s="219">
        <v>4</v>
      </c>
      <c r="T29" s="281">
        <v>25628</v>
      </c>
      <c r="U29" s="296">
        <v>25680</v>
      </c>
      <c r="V29" s="170" t="s">
        <v>19</v>
      </c>
      <c r="W29" s="170" t="s">
        <v>20</v>
      </c>
      <c r="X29" s="170" t="s">
        <v>12</v>
      </c>
      <c r="Y29" s="170">
        <v>49.1</v>
      </c>
      <c r="Z29" s="177"/>
      <c r="AC29" s="178"/>
      <c r="AD29" s="177"/>
      <c r="AG29" s="178"/>
      <c r="AL29" s="177"/>
      <c r="AO29" s="178"/>
      <c r="AS29" s="178"/>
      <c r="AW29" s="178"/>
      <c r="BA29" s="179"/>
    </row>
    <row r="30" spans="1:53" s="170" customFormat="1" x14ac:dyDescent="0.15">
      <c r="A30" s="215">
        <v>1971</v>
      </c>
      <c r="B30" s="276"/>
      <c r="C30" s="369" t="s">
        <v>33</v>
      </c>
      <c r="D30" s="369"/>
      <c r="E30" s="170">
        <v>294</v>
      </c>
      <c r="F30" s="179"/>
      <c r="G30" s="215"/>
      <c r="H30" s="215"/>
      <c r="I30" s="215">
        <v>12</v>
      </c>
      <c r="J30" s="233">
        <v>13</v>
      </c>
      <c r="K30" s="212">
        <f t="shared" si="8"/>
        <v>0</v>
      </c>
      <c r="L30" s="213">
        <f t="shared" si="9"/>
        <v>0</v>
      </c>
      <c r="M30" s="213">
        <f t="shared" si="10"/>
        <v>92.307692307692307</v>
      </c>
      <c r="N30" s="214">
        <f t="shared" si="3"/>
        <v>92.307692307692307</v>
      </c>
      <c r="O30" s="213"/>
      <c r="P30" s="213"/>
      <c r="Q30" s="213">
        <v>49.1</v>
      </c>
      <c r="R30" s="234">
        <f t="shared" si="4"/>
        <v>49.1</v>
      </c>
      <c r="S30" s="219">
        <v>4</v>
      </c>
      <c r="T30" s="281"/>
      <c r="U30" s="296"/>
      <c r="V30" s="170" t="s">
        <v>19</v>
      </c>
      <c r="W30" s="170" t="s">
        <v>20</v>
      </c>
      <c r="X30" s="170" t="s">
        <v>12</v>
      </c>
      <c r="Y30" s="170">
        <v>49.1</v>
      </c>
      <c r="Z30" s="177"/>
      <c r="AC30" s="178"/>
      <c r="AD30" s="177"/>
      <c r="AG30" s="178"/>
      <c r="AL30" s="177"/>
      <c r="AO30" s="178"/>
      <c r="AS30" s="178"/>
      <c r="AW30" s="178"/>
      <c r="BA30" s="179"/>
    </row>
    <row r="31" spans="1:53" s="28" customFormat="1" x14ac:dyDescent="0.15">
      <c r="A31" s="51">
        <v>1971</v>
      </c>
      <c r="B31" s="277">
        <v>26228</v>
      </c>
      <c r="C31" s="370" t="s">
        <v>34</v>
      </c>
      <c r="D31" s="370"/>
      <c r="E31" s="28">
        <v>71</v>
      </c>
      <c r="F31" s="39">
        <v>1</v>
      </c>
      <c r="G31" s="65"/>
      <c r="H31" s="51"/>
      <c r="I31" s="51">
        <v>12</v>
      </c>
      <c r="J31" s="70">
        <v>14</v>
      </c>
      <c r="K31" s="45">
        <f t="shared" si="8"/>
        <v>0</v>
      </c>
      <c r="L31" s="46">
        <f t="shared" si="9"/>
        <v>0</v>
      </c>
      <c r="M31" s="46">
        <f t="shared" si="10"/>
        <v>85.714285714285708</v>
      </c>
      <c r="N31" s="47">
        <f t="shared" si="3"/>
        <v>85.714285714285708</v>
      </c>
      <c r="O31" s="46"/>
      <c r="P31" s="46"/>
      <c r="Q31" s="46">
        <v>50.8</v>
      </c>
      <c r="R31" s="67">
        <f t="shared" si="4"/>
        <v>50.8</v>
      </c>
      <c r="S31" s="68">
        <v>1</v>
      </c>
      <c r="T31" s="293">
        <v>26216</v>
      </c>
      <c r="U31" s="290">
        <v>26228</v>
      </c>
      <c r="V31" s="28" t="s">
        <v>19</v>
      </c>
      <c r="W31" s="28" t="s">
        <v>20</v>
      </c>
      <c r="X31" s="28" t="s">
        <v>12</v>
      </c>
      <c r="Y31" s="28">
        <v>50.8</v>
      </c>
      <c r="Z31" s="37"/>
      <c r="AC31" s="38"/>
      <c r="AD31" s="37"/>
      <c r="AG31" s="38"/>
      <c r="AL31" s="37"/>
      <c r="AO31" s="38"/>
      <c r="AS31" s="38"/>
      <c r="AW31" s="38"/>
      <c r="BA31" s="39"/>
    </row>
    <row r="32" spans="1:53" s="28" customFormat="1" x14ac:dyDescent="0.15">
      <c r="A32" s="51">
        <v>1972</v>
      </c>
      <c r="B32" s="277"/>
      <c r="C32" s="370" t="s">
        <v>34</v>
      </c>
      <c r="D32" s="370"/>
      <c r="E32" s="28">
        <v>0</v>
      </c>
      <c r="F32" s="39"/>
      <c r="G32" s="65"/>
      <c r="I32" s="51">
        <v>12</v>
      </c>
      <c r="J32" s="70">
        <v>14</v>
      </c>
      <c r="K32" s="45">
        <f>G32/J32*100</f>
        <v>0</v>
      </c>
      <c r="L32" s="46">
        <f>H32/J32*100</f>
        <v>0</v>
      </c>
      <c r="M32" s="46">
        <f>I32/J32*100</f>
        <v>85.714285714285708</v>
      </c>
      <c r="N32" s="47">
        <f t="shared" si="3"/>
        <v>85.714285714285708</v>
      </c>
      <c r="O32" s="46"/>
      <c r="P32" s="46"/>
      <c r="Q32" s="46">
        <v>50.8</v>
      </c>
      <c r="R32" s="67">
        <f t="shared" si="4"/>
        <v>50.8</v>
      </c>
      <c r="S32" s="68">
        <v>1</v>
      </c>
      <c r="T32" s="293"/>
      <c r="U32" s="290"/>
      <c r="V32" s="28" t="s">
        <v>19</v>
      </c>
      <c r="W32" s="28" t="s">
        <v>20</v>
      </c>
      <c r="X32" s="28" t="s">
        <v>12</v>
      </c>
      <c r="Y32" s="28">
        <v>50.8</v>
      </c>
      <c r="Z32" s="37"/>
      <c r="AC32" s="38"/>
      <c r="AD32" s="37"/>
      <c r="AG32" s="38"/>
      <c r="AL32" s="37"/>
      <c r="AO32" s="38"/>
      <c r="AS32" s="38"/>
      <c r="AW32" s="38"/>
      <c r="BA32" s="39"/>
    </row>
    <row r="33" spans="1:53" s="28" customFormat="1" x14ac:dyDescent="0.15">
      <c r="A33" s="51">
        <v>1972</v>
      </c>
      <c r="B33" s="277"/>
      <c r="C33" s="370" t="s">
        <v>34</v>
      </c>
      <c r="D33" s="370"/>
      <c r="E33" s="28">
        <v>366</v>
      </c>
      <c r="F33" s="39"/>
      <c r="G33" s="51"/>
      <c r="H33" s="51"/>
      <c r="I33" s="51">
        <v>12</v>
      </c>
      <c r="J33" s="70">
        <v>14</v>
      </c>
      <c r="K33" s="45">
        <f t="shared" ref="K33:K39" si="11">G33/J33*100</f>
        <v>0</v>
      </c>
      <c r="L33" s="46">
        <f t="shared" ref="L33:L39" si="12">H33/J33*100</f>
        <v>0</v>
      </c>
      <c r="M33" s="46">
        <f t="shared" ref="M33:M39" si="13">I33/J33*100</f>
        <v>85.714285714285708</v>
      </c>
      <c r="N33" s="47">
        <f t="shared" si="3"/>
        <v>85.714285714285708</v>
      </c>
      <c r="O33" s="46"/>
      <c r="P33" s="46"/>
      <c r="Q33" s="46">
        <v>50.8</v>
      </c>
      <c r="R33" s="67">
        <f t="shared" si="4"/>
        <v>50.8</v>
      </c>
      <c r="S33" s="68">
        <v>1</v>
      </c>
      <c r="T33" s="293"/>
      <c r="U33" s="290"/>
      <c r="V33" s="28" t="s">
        <v>19</v>
      </c>
      <c r="W33" s="28" t="s">
        <v>20</v>
      </c>
      <c r="X33" s="28" t="s">
        <v>12</v>
      </c>
      <c r="Y33" s="28">
        <v>50.8</v>
      </c>
      <c r="Z33" s="37"/>
      <c r="AC33" s="38"/>
      <c r="AD33" s="37"/>
      <c r="AG33" s="38"/>
      <c r="AL33" s="37"/>
      <c r="AO33" s="38"/>
      <c r="AS33" s="38"/>
      <c r="AW33" s="38"/>
      <c r="BA33" s="39"/>
    </row>
    <row r="34" spans="1:53" s="28" customFormat="1" x14ac:dyDescent="0.15">
      <c r="A34" s="51">
        <v>1973</v>
      </c>
      <c r="B34" s="277"/>
      <c r="C34" s="370" t="s">
        <v>34</v>
      </c>
      <c r="D34" s="370"/>
      <c r="E34" s="28">
        <v>0</v>
      </c>
      <c r="F34" s="39"/>
      <c r="G34" s="65"/>
      <c r="H34" s="51"/>
      <c r="I34" s="51">
        <v>12</v>
      </c>
      <c r="J34" s="70">
        <v>14</v>
      </c>
      <c r="K34" s="45">
        <f t="shared" si="11"/>
        <v>0</v>
      </c>
      <c r="L34" s="46">
        <f t="shared" si="12"/>
        <v>0</v>
      </c>
      <c r="M34" s="46">
        <f t="shared" si="13"/>
        <v>85.714285714285708</v>
      </c>
      <c r="N34" s="47">
        <f t="shared" si="3"/>
        <v>85.714285714285708</v>
      </c>
      <c r="O34" s="46"/>
      <c r="P34" s="46"/>
      <c r="Q34" s="46">
        <v>50.8</v>
      </c>
      <c r="R34" s="67">
        <f t="shared" si="4"/>
        <v>50.8</v>
      </c>
      <c r="S34" s="68">
        <v>1</v>
      </c>
      <c r="T34" s="293"/>
      <c r="U34" s="290"/>
      <c r="V34" s="28" t="s">
        <v>19</v>
      </c>
      <c r="W34" s="28" t="s">
        <v>20</v>
      </c>
      <c r="X34" s="28" t="s">
        <v>12</v>
      </c>
      <c r="Y34" s="28">
        <v>50.8</v>
      </c>
      <c r="Z34" s="37"/>
      <c r="AC34" s="38"/>
      <c r="AD34" s="37"/>
      <c r="AG34" s="38"/>
      <c r="AL34" s="37"/>
      <c r="AO34" s="38"/>
      <c r="AS34" s="38"/>
      <c r="AW34" s="38"/>
      <c r="BA34" s="39"/>
    </row>
    <row r="35" spans="1:53" s="28" customFormat="1" x14ac:dyDescent="0.15">
      <c r="A35" s="51">
        <v>1973</v>
      </c>
      <c r="B35" s="277"/>
      <c r="C35" s="370" t="s">
        <v>34</v>
      </c>
      <c r="D35" s="370"/>
      <c r="E35" s="28">
        <v>365</v>
      </c>
      <c r="F35" s="39"/>
      <c r="G35" s="65"/>
      <c r="I35" s="51">
        <v>12</v>
      </c>
      <c r="J35" s="70">
        <v>14</v>
      </c>
      <c r="K35" s="45">
        <f t="shared" si="11"/>
        <v>0</v>
      </c>
      <c r="L35" s="46">
        <f t="shared" si="12"/>
        <v>0</v>
      </c>
      <c r="M35" s="46">
        <f t="shared" si="13"/>
        <v>85.714285714285708</v>
      </c>
      <c r="N35" s="47">
        <f t="shared" si="3"/>
        <v>85.714285714285708</v>
      </c>
      <c r="O35" s="46"/>
      <c r="P35" s="46"/>
      <c r="Q35" s="46">
        <v>50.8</v>
      </c>
      <c r="R35" s="67">
        <f t="shared" si="4"/>
        <v>50.8</v>
      </c>
      <c r="S35" s="68">
        <v>1</v>
      </c>
      <c r="T35" s="293"/>
      <c r="U35" s="290"/>
      <c r="V35" s="28" t="s">
        <v>19</v>
      </c>
      <c r="W35" s="28" t="s">
        <v>20</v>
      </c>
      <c r="X35" s="28" t="s">
        <v>12</v>
      </c>
      <c r="Y35" s="28">
        <v>50.8</v>
      </c>
      <c r="Z35" s="37"/>
      <c r="AC35" s="38"/>
      <c r="AD35" s="37"/>
      <c r="AG35" s="38"/>
      <c r="AL35" s="37"/>
      <c r="AO35" s="38"/>
      <c r="AS35" s="38"/>
      <c r="AW35" s="38"/>
      <c r="BA35" s="39"/>
    </row>
    <row r="36" spans="1:53" s="28" customFormat="1" x14ac:dyDescent="0.15">
      <c r="A36" s="51">
        <v>1974</v>
      </c>
      <c r="B36" s="277"/>
      <c r="C36" s="370" t="s">
        <v>34</v>
      </c>
      <c r="D36" s="370"/>
      <c r="E36" s="28">
        <v>0</v>
      </c>
      <c r="F36" s="39"/>
      <c r="G36" s="51"/>
      <c r="H36" s="51"/>
      <c r="I36" s="51">
        <v>12</v>
      </c>
      <c r="J36" s="70">
        <v>14</v>
      </c>
      <c r="K36" s="45">
        <f t="shared" si="11"/>
        <v>0</v>
      </c>
      <c r="L36" s="46">
        <f t="shared" si="12"/>
        <v>0</v>
      </c>
      <c r="M36" s="46">
        <f t="shared" si="13"/>
        <v>85.714285714285708</v>
      </c>
      <c r="N36" s="47">
        <f t="shared" si="3"/>
        <v>85.714285714285708</v>
      </c>
      <c r="O36" s="46"/>
      <c r="P36" s="46"/>
      <c r="Q36" s="46">
        <v>50.8</v>
      </c>
      <c r="R36" s="67">
        <f t="shared" si="4"/>
        <v>50.8</v>
      </c>
      <c r="S36" s="68">
        <v>1</v>
      </c>
      <c r="T36" s="293"/>
      <c r="U36" s="290"/>
      <c r="V36" s="28" t="s">
        <v>19</v>
      </c>
      <c r="W36" s="28" t="s">
        <v>20</v>
      </c>
      <c r="X36" s="28" t="s">
        <v>12</v>
      </c>
      <c r="Y36" s="28">
        <v>50.8</v>
      </c>
      <c r="Z36" s="37"/>
      <c r="AC36" s="38"/>
      <c r="AD36" s="37"/>
      <c r="AG36" s="38"/>
      <c r="AL36" s="37"/>
      <c r="AO36" s="38"/>
      <c r="AS36" s="38"/>
      <c r="AW36" s="38"/>
      <c r="BA36" s="39"/>
    </row>
    <row r="37" spans="1:53" s="28" customFormat="1" x14ac:dyDescent="0.15">
      <c r="A37" s="51">
        <v>1974</v>
      </c>
      <c r="B37" s="277"/>
      <c r="C37" s="370" t="s">
        <v>34</v>
      </c>
      <c r="D37" s="370"/>
      <c r="E37" s="28">
        <v>365</v>
      </c>
      <c r="F37" s="39"/>
      <c r="G37" s="65"/>
      <c r="H37" s="51"/>
      <c r="I37" s="51">
        <v>12</v>
      </c>
      <c r="J37" s="70">
        <v>14</v>
      </c>
      <c r="K37" s="45">
        <f t="shared" si="11"/>
        <v>0</v>
      </c>
      <c r="L37" s="46">
        <f t="shared" si="12"/>
        <v>0</v>
      </c>
      <c r="M37" s="46">
        <f t="shared" si="13"/>
        <v>85.714285714285708</v>
      </c>
      <c r="N37" s="47">
        <f t="shared" si="3"/>
        <v>85.714285714285708</v>
      </c>
      <c r="O37" s="46"/>
      <c r="P37" s="46"/>
      <c r="Q37" s="46">
        <v>50.8</v>
      </c>
      <c r="R37" s="67">
        <f t="shared" si="4"/>
        <v>50.8</v>
      </c>
      <c r="S37" s="68">
        <v>1</v>
      </c>
      <c r="T37" s="293"/>
      <c r="U37" s="290"/>
      <c r="V37" s="28" t="s">
        <v>19</v>
      </c>
      <c r="W37" s="28" t="s">
        <v>20</v>
      </c>
      <c r="X37" s="28" t="s">
        <v>12</v>
      </c>
      <c r="Y37" s="28">
        <v>50.8</v>
      </c>
      <c r="Z37" s="37"/>
      <c r="AC37" s="38"/>
      <c r="AD37" s="37"/>
      <c r="AG37" s="38"/>
      <c r="AL37" s="37"/>
      <c r="AO37" s="38"/>
      <c r="AS37" s="38"/>
      <c r="AW37" s="38"/>
      <c r="BA37" s="39"/>
    </row>
    <row r="38" spans="1:53" s="28" customFormat="1" x14ac:dyDescent="0.15">
      <c r="A38" s="51">
        <v>1975</v>
      </c>
      <c r="B38" s="277"/>
      <c r="C38" s="370" t="s">
        <v>34</v>
      </c>
      <c r="D38" s="370"/>
      <c r="E38" s="28">
        <v>301</v>
      </c>
      <c r="F38" s="39"/>
      <c r="G38" s="65"/>
      <c r="I38" s="51">
        <v>12</v>
      </c>
      <c r="J38" s="70">
        <v>14</v>
      </c>
      <c r="K38" s="45">
        <f t="shared" si="11"/>
        <v>0</v>
      </c>
      <c r="L38" s="46">
        <f t="shared" si="12"/>
        <v>0</v>
      </c>
      <c r="M38" s="46">
        <f t="shared" si="13"/>
        <v>85.714285714285708</v>
      </c>
      <c r="N38" s="47">
        <f t="shared" si="3"/>
        <v>85.714285714285708</v>
      </c>
      <c r="O38" s="46"/>
      <c r="P38" s="46"/>
      <c r="Q38" s="46">
        <v>50.8</v>
      </c>
      <c r="R38" s="67">
        <f t="shared" si="4"/>
        <v>50.8</v>
      </c>
      <c r="S38" s="68">
        <v>1</v>
      </c>
      <c r="T38" s="293"/>
      <c r="U38" s="290"/>
      <c r="V38" s="28" t="s">
        <v>19</v>
      </c>
      <c r="W38" s="28" t="s">
        <v>20</v>
      </c>
      <c r="X38" s="28" t="s">
        <v>12</v>
      </c>
      <c r="Y38" s="28">
        <v>50.8</v>
      </c>
      <c r="Z38" s="37"/>
      <c r="AC38" s="38"/>
      <c r="AD38" s="37"/>
      <c r="AG38" s="38"/>
      <c r="AL38" s="37"/>
      <c r="AO38" s="38"/>
      <c r="AS38" s="38"/>
      <c r="AW38" s="38"/>
      <c r="BA38" s="39"/>
    </row>
    <row r="39" spans="1:53" s="170" customFormat="1" x14ac:dyDescent="0.15">
      <c r="A39" s="215">
        <v>1975</v>
      </c>
      <c r="B39" s="276">
        <v>27696</v>
      </c>
      <c r="C39" s="369" t="s">
        <v>35</v>
      </c>
      <c r="D39" s="369"/>
      <c r="E39" s="170">
        <v>64</v>
      </c>
      <c r="F39" s="179">
        <v>1</v>
      </c>
      <c r="G39" s="215"/>
      <c r="H39" s="215"/>
      <c r="I39" s="215">
        <v>12</v>
      </c>
      <c r="J39" s="233">
        <v>14</v>
      </c>
      <c r="K39" s="212">
        <f t="shared" si="11"/>
        <v>0</v>
      </c>
      <c r="L39" s="213">
        <f t="shared" si="12"/>
        <v>0</v>
      </c>
      <c r="M39" s="213">
        <f t="shared" si="13"/>
        <v>85.714285714285708</v>
      </c>
      <c r="N39" s="214">
        <f t="shared" si="3"/>
        <v>85.714285714285708</v>
      </c>
      <c r="O39" s="213"/>
      <c r="P39" s="213"/>
      <c r="Q39" s="213">
        <v>50.8</v>
      </c>
      <c r="R39" s="234">
        <f t="shared" si="4"/>
        <v>50.8</v>
      </c>
      <c r="S39" s="219">
        <v>1</v>
      </c>
      <c r="T39" s="281">
        <v>27672</v>
      </c>
      <c r="U39" s="296">
        <v>27696</v>
      </c>
      <c r="V39" s="170" t="s">
        <v>19</v>
      </c>
      <c r="W39" s="170" t="s">
        <v>20</v>
      </c>
      <c r="X39" s="170" t="s">
        <v>12</v>
      </c>
      <c r="Y39" s="170">
        <v>50.8</v>
      </c>
      <c r="Z39" s="177"/>
      <c r="AC39" s="178"/>
      <c r="AD39" s="177"/>
      <c r="AG39" s="178"/>
      <c r="AL39" s="177"/>
      <c r="AO39" s="178"/>
      <c r="AS39" s="178"/>
      <c r="AW39" s="178"/>
      <c r="BA39" s="179"/>
    </row>
    <row r="40" spans="1:53" s="170" customFormat="1" x14ac:dyDescent="0.15">
      <c r="A40" s="215">
        <v>1976</v>
      </c>
      <c r="B40" s="276"/>
      <c r="C40" s="369" t="s">
        <v>35</v>
      </c>
      <c r="D40" s="369"/>
      <c r="E40" s="170">
        <v>0</v>
      </c>
      <c r="F40" s="179"/>
      <c r="G40" s="232"/>
      <c r="H40" s="215"/>
      <c r="I40" s="215">
        <v>12</v>
      </c>
      <c r="J40" s="233">
        <v>14</v>
      </c>
      <c r="K40" s="212">
        <f>G40/J40*100</f>
        <v>0</v>
      </c>
      <c r="L40" s="213">
        <f>H40/J40*100</f>
        <v>0</v>
      </c>
      <c r="M40" s="213">
        <f>I40/J40*100</f>
        <v>85.714285714285708</v>
      </c>
      <c r="N40" s="214">
        <f t="shared" si="3"/>
        <v>85.714285714285708</v>
      </c>
      <c r="O40" s="213"/>
      <c r="P40" s="213"/>
      <c r="Q40" s="213">
        <v>50.8</v>
      </c>
      <c r="R40" s="234">
        <f t="shared" si="4"/>
        <v>50.8</v>
      </c>
      <c r="S40" s="219">
        <v>1</v>
      </c>
      <c r="T40" s="281"/>
      <c r="U40" s="296"/>
      <c r="V40" s="170" t="s">
        <v>19</v>
      </c>
      <c r="W40" s="170" t="s">
        <v>20</v>
      </c>
      <c r="X40" s="170" t="s">
        <v>12</v>
      </c>
      <c r="Y40" s="170">
        <v>50.8</v>
      </c>
      <c r="Z40" s="177"/>
      <c r="AC40" s="178"/>
      <c r="AD40" s="177"/>
      <c r="AG40" s="178"/>
      <c r="AL40" s="177"/>
      <c r="AO40" s="178"/>
      <c r="AS40" s="178"/>
      <c r="AW40" s="178"/>
      <c r="BA40" s="179"/>
    </row>
    <row r="41" spans="1:53" s="170" customFormat="1" x14ac:dyDescent="0.15">
      <c r="A41" s="215">
        <v>1976</v>
      </c>
      <c r="B41" s="276"/>
      <c r="C41" s="369" t="s">
        <v>35</v>
      </c>
      <c r="D41" s="369"/>
      <c r="E41" s="170">
        <v>366</v>
      </c>
      <c r="F41" s="179"/>
      <c r="G41" s="232"/>
      <c r="I41" s="215">
        <v>12</v>
      </c>
      <c r="J41" s="233">
        <v>14</v>
      </c>
      <c r="K41" s="212">
        <f t="shared" ref="K41:K47" si="14">G41/J41*100</f>
        <v>0</v>
      </c>
      <c r="L41" s="213">
        <f t="shared" ref="L41:L47" si="15">H41/J41*100</f>
        <v>0</v>
      </c>
      <c r="M41" s="213">
        <f t="shared" ref="M41:M47" si="16">I41/J41*100</f>
        <v>85.714285714285708</v>
      </c>
      <c r="N41" s="214">
        <f t="shared" si="3"/>
        <v>85.714285714285708</v>
      </c>
      <c r="O41" s="213"/>
      <c r="P41" s="213"/>
      <c r="Q41" s="213">
        <v>50.8</v>
      </c>
      <c r="R41" s="234">
        <f t="shared" si="4"/>
        <v>50.8</v>
      </c>
      <c r="S41" s="219">
        <v>1</v>
      </c>
      <c r="T41" s="281"/>
      <c r="U41" s="296"/>
      <c r="V41" s="170" t="s">
        <v>19</v>
      </c>
      <c r="W41" s="170" t="s">
        <v>20</v>
      </c>
      <c r="X41" s="170" t="s">
        <v>12</v>
      </c>
      <c r="Y41" s="170">
        <v>50.8</v>
      </c>
      <c r="Z41" s="177"/>
      <c r="AC41" s="178"/>
      <c r="AD41" s="177"/>
      <c r="AG41" s="178"/>
      <c r="AL41" s="177"/>
      <c r="AO41" s="178"/>
      <c r="AS41" s="178"/>
      <c r="AW41" s="178"/>
      <c r="BA41" s="179"/>
    </row>
    <row r="42" spans="1:53" s="170" customFormat="1" x14ac:dyDescent="0.15">
      <c r="A42" s="215">
        <v>1977</v>
      </c>
      <c r="B42" s="276"/>
      <c r="C42" s="369" t="s">
        <v>35</v>
      </c>
      <c r="D42" s="369"/>
      <c r="E42" s="170">
        <v>0</v>
      </c>
      <c r="F42" s="179"/>
      <c r="G42" s="215"/>
      <c r="H42" s="215"/>
      <c r="I42" s="215">
        <v>12</v>
      </c>
      <c r="J42" s="233">
        <v>14</v>
      </c>
      <c r="K42" s="212">
        <f t="shared" si="14"/>
        <v>0</v>
      </c>
      <c r="L42" s="213">
        <f t="shared" si="15"/>
        <v>0</v>
      </c>
      <c r="M42" s="213">
        <f t="shared" si="16"/>
        <v>85.714285714285708</v>
      </c>
      <c r="N42" s="214">
        <f t="shared" si="3"/>
        <v>85.714285714285708</v>
      </c>
      <c r="O42" s="213"/>
      <c r="P42" s="213"/>
      <c r="Q42" s="213">
        <v>50.8</v>
      </c>
      <c r="R42" s="234">
        <f t="shared" si="4"/>
        <v>50.8</v>
      </c>
      <c r="S42" s="219">
        <v>1</v>
      </c>
      <c r="T42" s="281"/>
      <c r="U42" s="296"/>
      <c r="V42" s="170" t="s">
        <v>19</v>
      </c>
      <c r="W42" s="170" t="s">
        <v>20</v>
      </c>
      <c r="X42" s="170" t="s">
        <v>12</v>
      </c>
      <c r="Y42" s="170">
        <v>50.8</v>
      </c>
      <c r="Z42" s="177"/>
      <c r="AC42" s="178"/>
      <c r="AD42" s="177"/>
      <c r="AG42" s="178"/>
      <c r="AL42" s="177"/>
      <c r="AO42" s="178"/>
      <c r="AS42" s="178"/>
      <c r="AW42" s="178"/>
      <c r="BA42" s="179"/>
    </row>
    <row r="43" spans="1:53" s="170" customFormat="1" x14ac:dyDescent="0.15">
      <c r="A43" s="215">
        <v>1977</v>
      </c>
      <c r="B43" s="276"/>
      <c r="C43" s="369" t="s">
        <v>35</v>
      </c>
      <c r="D43" s="369"/>
      <c r="E43" s="170">
        <v>365</v>
      </c>
      <c r="F43" s="179"/>
      <c r="G43" s="232"/>
      <c r="H43" s="215"/>
      <c r="I43" s="215">
        <v>12</v>
      </c>
      <c r="J43" s="233">
        <v>14</v>
      </c>
      <c r="K43" s="212">
        <f t="shared" si="14"/>
        <v>0</v>
      </c>
      <c r="L43" s="213">
        <f t="shared" si="15"/>
        <v>0</v>
      </c>
      <c r="M43" s="213">
        <f t="shared" si="16"/>
        <v>85.714285714285708</v>
      </c>
      <c r="N43" s="214">
        <f t="shared" si="3"/>
        <v>85.714285714285708</v>
      </c>
      <c r="O43" s="213"/>
      <c r="P43" s="213"/>
      <c r="Q43" s="213">
        <v>50.8</v>
      </c>
      <c r="R43" s="234">
        <f t="shared" si="4"/>
        <v>50.8</v>
      </c>
      <c r="S43" s="219">
        <v>1</v>
      </c>
      <c r="T43" s="281"/>
      <c r="U43" s="296"/>
      <c r="V43" s="170" t="s">
        <v>19</v>
      </c>
      <c r="W43" s="170" t="s">
        <v>20</v>
      </c>
      <c r="X43" s="170" t="s">
        <v>12</v>
      </c>
      <c r="Y43" s="170">
        <v>50.8</v>
      </c>
      <c r="Z43" s="177"/>
      <c r="AC43" s="178"/>
      <c r="AD43" s="177"/>
      <c r="AG43" s="178"/>
      <c r="AL43" s="177"/>
      <c r="AO43" s="178"/>
      <c r="AS43" s="178"/>
      <c r="AW43" s="178"/>
      <c r="BA43" s="179"/>
    </row>
    <row r="44" spans="1:53" s="170" customFormat="1" x14ac:dyDescent="0.15">
      <c r="A44" s="215">
        <v>1978</v>
      </c>
      <c r="B44" s="276"/>
      <c r="C44" s="369" t="s">
        <v>35</v>
      </c>
      <c r="D44" s="369"/>
      <c r="E44" s="170">
        <v>0</v>
      </c>
      <c r="F44" s="179"/>
      <c r="G44" s="232"/>
      <c r="I44" s="215">
        <v>12</v>
      </c>
      <c r="J44" s="233">
        <v>14</v>
      </c>
      <c r="K44" s="212">
        <f t="shared" si="14"/>
        <v>0</v>
      </c>
      <c r="L44" s="213">
        <f t="shared" si="15"/>
        <v>0</v>
      </c>
      <c r="M44" s="213">
        <f t="shared" si="16"/>
        <v>85.714285714285708</v>
      </c>
      <c r="N44" s="214">
        <f t="shared" si="3"/>
        <v>85.714285714285708</v>
      </c>
      <c r="O44" s="213"/>
      <c r="P44" s="213"/>
      <c r="Q44" s="213">
        <v>50.8</v>
      </c>
      <c r="R44" s="234">
        <f t="shared" si="4"/>
        <v>50.8</v>
      </c>
      <c r="S44" s="219">
        <v>1</v>
      </c>
      <c r="T44" s="281"/>
      <c r="U44" s="296"/>
      <c r="V44" s="170" t="s">
        <v>19</v>
      </c>
      <c r="W44" s="170" t="s">
        <v>20</v>
      </c>
      <c r="X44" s="170" t="s">
        <v>12</v>
      </c>
      <c r="Y44" s="170">
        <v>50.8</v>
      </c>
      <c r="Z44" s="177"/>
      <c r="AC44" s="178"/>
      <c r="AD44" s="177"/>
      <c r="AG44" s="178"/>
      <c r="AL44" s="177"/>
      <c r="AO44" s="178"/>
      <c r="AS44" s="178"/>
      <c r="AW44" s="178"/>
      <c r="BA44" s="179"/>
    </row>
    <row r="45" spans="1:53" s="170" customFormat="1" x14ac:dyDescent="0.15">
      <c r="A45" s="215">
        <v>1978</v>
      </c>
      <c r="B45" s="276"/>
      <c r="C45" s="369" t="s">
        <v>35</v>
      </c>
      <c r="D45" s="369"/>
      <c r="E45" s="170">
        <v>365</v>
      </c>
      <c r="F45" s="179"/>
      <c r="G45" s="215"/>
      <c r="H45" s="215"/>
      <c r="I45" s="215">
        <v>12</v>
      </c>
      <c r="J45" s="233">
        <v>14</v>
      </c>
      <c r="K45" s="212">
        <f t="shared" si="14"/>
        <v>0</v>
      </c>
      <c r="L45" s="213">
        <f t="shared" si="15"/>
        <v>0</v>
      </c>
      <c r="M45" s="213">
        <f t="shared" si="16"/>
        <v>85.714285714285708</v>
      </c>
      <c r="N45" s="214">
        <f t="shared" si="3"/>
        <v>85.714285714285708</v>
      </c>
      <c r="O45" s="213"/>
      <c r="P45" s="213"/>
      <c r="Q45" s="213">
        <v>50.8</v>
      </c>
      <c r="R45" s="234">
        <f t="shared" si="4"/>
        <v>50.8</v>
      </c>
      <c r="S45" s="219">
        <v>1</v>
      </c>
      <c r="T45" s="281"/>
      <c r="U45" s="296"/>
      <c r="V45" s="170" t="s">
        <v>19</v>
      </c>
      <c r="W45" s="170" t="s">
        <v>20</v>
      </c>
      <c r="X45" s="170" t="s">
        <v>12</v>
      </c>
      <c r="Y45" s="170">
        <v>50.8</v>
      </c>
      <c r="Z45" s="177"/>
      <c r="AC45" s="178"/>
      <c r="AD45" s="177"/>
      <c r="AG45" s="178"/>
      <c r="AL45" s="177"/>
      <c r="AO45" s="178"/>
      <c r="AS45" s="178"/>
      <c r="AW45" s="178"/>
      <c r="BA45" s="179"/>
    </row>
    <row r="46" spans="1:53" s="170" customFormat="1" x14ac:dyDescent="0.15">
      <c r="A46" s="215">
        <v>1979</v>
      </c>
      <c r="B46" s="276"/>
      <c r="C46" s="369" t="s">
        <v>35</v>
      </c>
      <c r="D46" s="369"/>
      <c r="E46" s="170">
        <v>129</v>
      </c>
      <c r="F46" s="179"/>
      <c r="G46" s="232"/>
      <c r="H46" s="215"/>
      <c r="I46" s="215">
        <v>12</v>
      </c>
      <c r="J46" s="233">
        <v>14</v>
      </c>
      <c r="K46" s="212">
        <f t="shared" si="14"/>
        <v>0</v>
      </c>
      <c r="L46" s="213">
        <f t="shared" si="15"/>
        <v>0</v>
      </c>
      <c r="M46" s="213">
        <f t="shared" si="16"/>
        <v>85.714285714285708</v>
      </c>
      <c r="N46" s="214">
        <f t="shared" si="3"/>
        <v>85.714285714285708</v>
      </c>
      <c r="O46" s="213"/>
      <c r="P46" s="213"/>
      <c r="Q46" s="213">
        <v>50.8</v>
      </c>
      <c r="R46" s="234">
        <f t="shared" si="4"/>
        <v>50.8</v>
      </c>
      <c r="S46" s="219">
        <v>1</v>
      </c>
      <c r="T46" s="281"/>
      <c r="U46" s="296"/>
      <c r="V46" s="170" t="s">
        <v>19</v>
      </c>
      <c r="W46" s="170" t="s">
        <v>20</v>
      </c>
      <c r="X46" s="170" t="s">
        <v>12</v>
      </c>
      <c r="Y46" s="170">
        <v>50.8</v>
      </c>
      <c r="Z46" s="177"/>
      <c r="AC46" s="178"/>
      <c r="AD46" s="177"/>
      <c r="AG46" s="178"/>
      <c r="AL46" s="177"/>
      <c r="AO46" s="178"/>
      <c r="AS46" s="178"/>
      <c r="AW46" s="178"/>
      <c r="BA46" s="179"/>
    </row>
    <row r="47" spans="1:53" s="28" customFormat="1" x14ac:dyDescent="0.15">
      <c r="A47" s="51">
        <v>1979</v>
      </c>
      <c r="B47" s="290">
        <v>29011</v>
      </c>
      <c r="C47" s="370" t="s">
        <v>36</v>
      </c>
      <c r="D47" s="370"/>
      <c r="E47" s="28">
        <v>236</v>
      </c>
      <c r="F47" s="39">
        <v>1</v>
      </c>
      <c r="G47" s="65"/>
      <c r="I47" s="51">
        <v>15</v>
      </c>
      <c r="J47" s="70">
        <v>15</v>
      </c>
      <c r="K47" s="45">
        <f t="shared" si="14"/>
        <v>0</v>
      </c>
      <c r="L47" s="46">
        <f t="shared" si="15"/>
        <v>0</v>
      </c>
      <c r="M47" s="46">
        <f t="shared" si="16"/>
        <v>100</v>
      </c>
      <c r="N47" s="47">
        <f t="shared" si="3"/>
        <v>100</v>
      </c>
      <c r="O47" s="46"/>
      <c r="P47" s="46"/>
      <c r="Q47" s="46">
        <v>51.9</v>
      </c>
      <c r="R47" s="67">
        <f t="shared" si="4"/>
        <v>51.9</v>
      </c>
      <c r="S47" s="68">
        <v>1</v>
      </c>
      <c r="T47" s="293">
        <v>28981</v>
      </c>
      <c r="U47" s="290">
        <v>29011</v>
      </c>
      <c r="V47" s="28" t="s">
        <v>19</v>
      </c>
      <c r="W47" s="28" t="s">
        <v>20</v>
      </c>
      <c r="X47" s="28" t="s">
        <v>12</v>
      </c>
      <c r="Y47" s="28">
        <v>51.9</v>
      </c>
      <c r="Z47" s="37"/>
      <c r="AC47" s="38"/>
      <c r="AD47" s="37"/>
      <c r="AG47" s="38"/>
      <c r="AL47" s="37"/>
      <c r="AO47" s="38"/>
      <c r="AS47" s="38"/>
      <c r="AW47" s="38"/>
      <c r="BA47" s="39"/>
    </row>
    <row r="48" spans="1:53" s="28" customFormat="1" x14ac:dyDescent="0.15">
      <c r="A48" s="51">
        <v>1980</v>
      </c>
      <c r="B48" s="277"/>
      <c r="C48" s="370" t="s">
        <v>36</v>
      </c>
      <c r="D48" s="370"/>
      <c r="E48" s="28">
        <v>0</v>
      </c>
      <c r="F48" s="39"/>
      <c r="G48" s="51"/>
      <c r="H48" s="51"/>
      <c r="I48" s="51">
        <v>15</v>
      </c>
      <c r="J48" s="70">
        <v>15</v>
      </c>
      <c r="K48" s="45">
        <f>G48/J48*100</f>
        <v>0</v>
      </c>
      <c r="L48" s="46">
        <f>H48/J48*100</f>
        <v>0</v>
      </c>
      <c r="M48" s="46">
        <f>I48/J48*100</f>
        <v>100</v>
      </c>
      <c r="N48" s="47">
        <f t="shared" si="3"/>
        <v>100</v>
      </c>
      <c r="O48" s="46"/>
      <c r="P48" s="46"/>
      <c r="Q48" s="46">
        <v>51.9</v>
      </c>
      <c r="R48" s="67">
        <f t="shared" si="4"/>
        <v>51.9</v>
      </c>
      <c r="S48" s="68">
        <v>1</v>
      </c>
      <c r="T48" s="293"/>
      <c r="U48" s="290"/>
      <c r="V48" s="28" t="s">
        <v>19</v>
      </c>
      <c r="W48" s="28" t="s">
        <v>20</v>
      </c>
      <c r="X48" s="28" t="s">
        <v>12</v>
      </c>
      <c r="Y48" s="28">
        <v>51.9</v>
      </c>
      <c r="Z48" s="37"/>
      <c r="AC48" s="38"/>
      <c r="AD48" s="37"/>
      <c r="AG48" s="38"/>
      <c r="AL48" s="37"/>
      <c r="AO48" s="38"/>
      <c r="AS48" s="38"/>
      <c r="AW48" s="38"/>
      <c r="BA48" s="39"/>
    </row>
    <row r="49" spans="1:53" s="28" customFormat="1" x14ac:dyDescent="0.15">
      <c r="A49" s="51">
        <v>1980</v>
      </c>
      <c r="B49" s="277"/>
      <c r="C49" s="370" t="s">
        <v>36</v>
      </c>
      <c r="D49" s="370"/>
      <c r="E49" s="28">
        <v>366</v>
      </c>
      <c r="F49" s="39"/>
      <c r="G49" s="65"/>
      <c r="H49" s="51"/>
      <c r="I49" s="51">
        <v>15</v>
      </c>
      <c r="J49" s="70">
        <v>15</v>
      </c>
      <c r="K49" s="45">
        <f t="shared" ref="K49:K55" si="17">G49/J49*100</f>
        <v>0</v>
      </c>
      <c r="L49" s="46">
        <f t="shared" ref="L49:L55" si="18">H49/J49*100</f>
        <v>0</v>
      </c>
      <c r="M49" s="46">
        <f t="shared" ref="M49:M55" si="19">I49/J49*100</f>
        <v>100</v>
      </c>
      <c r="N49" s="47">
        <f t="shared" si="3"/>
        <v>100</v>
      </c>
      <c r="O49" s="46"/>
      <c r="P49" s="46"/>
      <c r="Q49" s="46">
        <v>51.9</v>
      </c>
      <c r="R49" s="67">
        <f t="shared" si="4"/>
        <v>51.9</v>
      </c>
      <c r="S49" s="68">
        <v>1</v>
      </c>
      <c r="T49" s="293"/>
      <c r="U49" s="290"/>
      <c r="V49" s="28" t="s">
        <v>19</v>
      </c>
      <c r="W49" s="28" t="s">
        <v>20</v>
      </c>
      <c r="X49" s="28" t="s">
        <v>12</v>
      </c>
      <c r="Y49" s="28">
        <v>51.9</v>
      </c>
      <c r="Z49" s="37"/>
      <c r="AC49" s="38"/>
      <c r="AD49" s="37"/>
      <c r="AG49" s="38"/>
      <c r="AL49" s="37"/>
      <c r="AO49" s="38"/>
      <c r="AS49" s="38"/>
      <c r="AW49" s="38"/>
      <c r="BA49" s="39"/>
    </row>
    <row r="50" spans="1:53" s="28" customFormat="1" x14ac:dyDescent="0.15">
      <c r="A50" s="51">
        <v>1981</v>
      </c>
      <c r="B50" s="277"/>
      <c r="C50" s="370" t="s">
        <v>36</v>
      </c>
      <c r="D50" s="370"/>
      <c r="E50" s="28">
        <v>0</v>
      </c>
      <c r="F50" s="39"/>
      <c r="G50" s="65"/>
      <c r="I50" s="51">
        <v>15</v>
      </c>
      <c r="J50" s="70">
        <v>15</v>
      </c>
      <c r="K50" s="45">
        <f t="shared" si="17"/>
        <v>0</v>
      </c>
      <c r="L50" s="46">
        <f t="shared" si="18"/>
        <v>0</v>
      </c>
      <c r="M50" s="46">
        <f t="shared" si="19"/>
        <v>100</v>
      </c>
      <c r="N50" s="47">
        <f t="shared" si="3"/>
        <v>100</v>
      </c>
      <c r="O50" s="46"/>
      <c r="P50" s="46"/>
      <c r="Q50" s="46">
        <v>51.9</v>
      </c>
      <c r="R50" s="67">
        <f t="shared" si="4"/>
        <v>51.9</v>
      </c>
      <c r="S50" s="68">
        <v>1</v>
      </c>
      <c r="T50" s="293"/>
      <c r="U50" s="290"/>
      <c r="V50" s="28" t="s">
        <v>19</v>
      </c>
      <c r="W50" s="28" t="s">
        <v>20</v>
      </c>
      <c r="X50" s="28" t="s">
        <v>12</v>
      </c>
      <c r="Y50" s="28">
        <v>51.9</v>
      </c>
      <c r="Z50" s="37"/>
      <c r="AC50" s="38"/>
      <c r="AD50" s="37"/>
      <c r="AG50" s="38"/>
      <c r="AL50" s="37"/>
      <c r="AO50" s="38"/>
      <c r="AS50" s="38"/>
      <c r="AW50" s="38"/>
      <c r="BA50" s="39"/>
    </row>
    <row r="51" spans="1:53" s="28" customFormat="1" x14ac:dyDescent="0.15">
      <c r="A51" s="51">
        <v>1981</v>
      </c>
      <c r="B51" s="277"/>
      <c r="C51" s="370" t="s">
        <v>36</v>
      </c>
      <c r="D51" s="370"/>
      <c r="E51" s="28">
        <v>365</v>
      </c>
      <c r="F51" s="39"/>
      <c r="G51" s="51"/>
      <c r="H51" s="51"/>
      <c r="I51" s="51">
        <v>15</v>
      </c>
      <c r="J51" s="70">
        <v>15</v>
      </c>
      <c r="K51" s="45">
        <f t="shared" si="17"/>
        <v>0</v>
      </c>
      <c r="L51" s="46">
        <f t="shared" si="18"/>
        <v>0</v>
      </c>
      <c r="M51" s="46">
        <f t="shared" si="19"/>
        <v>100</v>
      </c>
      <c r="N51" s="47">
        <f t="shared" si="3"/>
        <v>100</v>
      </c>
      <c r="O51" s="46"/>
      <c r="P51" s="46"/>
      <c r="Q51" s="46">
        <v>51.9</v>
      </c>
      <c r="R51" s="67">
        <f t="shared" si="4"/>
        <v>51.9</v>
      </c>
      <c r="S51" s="68">
        <v>1</v>
      </c>
      <c r="T51" s="293"/>
      <c r="U51" s="290"/>
      <c r="V51" s="28" t="s">
        <v>19</v>
      </c>
      <c r="W51" s="28" t="s">
        <v>20</v>
      </c>
      <c r="X51" s="28" t="s">
        <v>12</v>
      </c>
      <c r="Y51" s="28">
        <v>51.9</v>
      </c>
      <c r="Z51" s="37"/>
      <c r="AC51" s="38"/>
      <c r="AD51" s="37"/>
      <c r="AG51" s="38"/>
      <c r="AL51" s="37"/>
      <c r="AO51" s="38"/>
      <c r="AS51" s="38"/>
      <c r="AW51" s="38"/>
      <c r="BA51" s="39"/>
    </row>
    <row r="52" spans="1:53" s="28" customFormat="1" x14ac:dyDescent="0.15">
      <c r="A52" s="51">
        <v>1982</v>
      </c>
      <c r="B52" s="277"/>
      <c r="C52" s="370" t="s">
        <v>36</v>
      </c>
      <c r="D52" s="370"/>
      <c r="E52" s="28">
        <v>0</v>
      </c>
      <c r="F52" s="39"/>
      <c r="G52" s="65"/>
      <c r="H52" s="51"/>
      <c r="I52" s="51">
        <v>15</v>
      </c>
      <c r="J52" s="70">
        <v>15</v>
      </c>
      <c r="K52" s="45">
        <f t="shared" si="17"/>
        <v>0</v>
      </c>
      <c r="L52" s="46">
        <f t="shared" si="18"/>
        <v>0</v>
      </c>
      <c r="M52" s="46">
        <f t="shared" si="19"/>
        <v>100</v>
      </c>
      <c r="N52" s="47">
        <f t="shared" si="3"/>
        <v>100</v>
      </c>
      <c r="O52" s="46"/>
      <c r="P52" s="46"/>
      <c r="Q52" s="46">
        <v>51.9</v>
      </c>
      <c r="R52" s="67">
        <f t="shared" si="4"/>
        <v>51.9</v>
      </c>
      <c r="S52" s="68">
        <v>1</v>
      </c>
      <c r="T52" s="293"/>
      <c r="U52" s="290"/>
      <c r="V52" s="28" t="s">
        <v>19</v>
      </c>
      <c r="W52" s="28" t="s">
        <v>20</v>
      </c>
      <c r="X52" s="28" t="s">
        <v>12</v>
      </c>
      <c r="Y52" s="28">
        <v>51.9</v>
      </c>
      <c r="Z52" s="37"/>
      <c r="AC52" s="38"/>
      <c r="AD52" s="37"/>
      <c r="AG52" s="38"/>
      <c r="AL52" s="37"/>
      <c r="AO52" s="38"/>
      <c r="AS52" s="38"/>
      <c r="AW52" s="38"/>
      <c r="BA52" s="39"/>
    </row>
    <row r="53" spans="1:53" s="28" customFormat="1" x14ac:dyDescent="0.15">
      <c r="A53" s="51">
        <v>1982</v>
      </c>
      <c r="B53" s="277"/>
      <c r="C53" s="370" t="s">
        <v>36</v>
      </c>
      <c r="D53" s="370"/>
      <c r="E53" s="28">
        <v>365</v>
      </c>
      <c r="F53" s="39"/>
      <c r="G53" s="65"/>
      <c r="I53" s="51">
        <v>15</v>
      </c>
      <c r="J53" s="70">
        <v>15</v>
      </c>
      <c r="K53" s="45">
        <f t="shared" si="17"/>
        <v>0</v>
      </c>
      <c r="L53" s="46">
        <f t="shared" si="18"/>
        <v>0</v>
      </c>
      <c r="M53" s="46">
        <f t="shared" si="19"/>
        <v>100</v>
      </c>
      <c r="N53" s="47">
        <f t="shared" si="3"/>
        <v>100</v>
      </c>
      <c r="O53" s="46"/>
      <c r="P53" s="46"/>
      <c r="Q53" s="46">
        <v>51.9</v>
      </c>
      <c r="R53" s="67">
        <f t="shared" si="4"/>
        <v>51.9</v>
      </c>
      <c r="S53" s="68">
        <v>1</v>
      </c>
      <c r="T53" s="293"/>
      <c r="U53" s="290"/>
      <c r="V53" s="28" t="s">
        <v>19</v>
      </c>
      <c r="W53" s="28" t="s">
        <v>20</v>
      </c>
      <c r="X53" s="28" t="s">
        <v>12</v>
      </c>
      <c r="Y53" s="28">
        <v>51.9</v>
      </c>
      <c r="Z53" s="37"/>
      <c r="AC53" s="38"/>
      <c r="AD53" s="37"/>
      <c r="AG53" s="38"/>
      <c r="AL53" s="37"/>
      <c r="AO53" s="38"/>
      <c r="AS53" s="38"/>
      <c r="AW53" s="38"/>
      <c r="BA53" s="39"/>
    </row>
    <row r="54" spans="1:53" s="28" customFormat="1" x14ac:dyDescent="0.15">
      <c r="A54" s="51">
        <v>1983</v>
      </c>
      <c r="B54" s="277"/>
      <c r="C54" s="370" t="s">
        <v>36</v>
      </c>
      <c r="D54" s="370"/>
      <c r="E54" s="28">
        <v>143</v>
      </c>
      <c r="F54" s="39"/>
      <c r="G54" s="51"/>
      <c r="H54" s="51"/>
      <c r="I54" s="51">
        <v>15</v>
      </c>
      <c r="J54" s="70">
        <v>15</v>
      </c>
      <c r="K54" s="45">
        <f t="shared" si="17"/>
        <v>0</v>
      </c>
      <c r="L54" s="46">
        <f t="shared" si="18"/>
        <v>0</v>
      </c>
      <c r="M54" s="46">
        <f t="shared" si="19"/>
        <v>100</v>
      </c>
      <c r="N54" s="47">
        <f t="shared" si="3"/>
        <v>100</v>
      </c>
      <c r="O54" s="46"/>
      <c r="P54" s="46"/>
      <c r="Q54" s="46">
        <v>51.9</v>
      </c>
      <c r="R54" s="67">
        <f t="shared" si="4"/>
        <v>51.9</v>
      </c>
      <c r="S54" s="68">
        <v>1</v>
      </c>
      <c r="T54" s="293"/>
      <c r="U54" s="290"/>
      <c r="V54" s="28" t="s">
        <v>19</v>
      </c>
      <c r="W54" s="28" t="s">
        <v>20</v>
      </c>
      <c r="X54" s="28" t="s">
        <v>12</v>
      </c>
      <c r="Y54" s="28">
        <v>51.9</v>
      </c>
      <c r="Z54" s="37"/>
      <c r="AC54" s="38"/>
      <c r="AD54" s="37"/>
      <c r="AG54" s="38"/>
      <c r="AL54" s="37"/>
      <c r="AO54" s="38"/>
      <c r="AS54" s="38"/>
      <c r="AW54" s="38"/>
      <c r="BA54" s="39"/>
    </row>
    <row r="55" spans="1:53" s="170" customFormat="1" x14ac:dyDescent="0.15">
      <c r="A55" s="215">
        <v>1983</v>
      </c>
      <c r="B55" s="276">
        <v>30460</v>
      </c>
      <c r="C55" s="395" t="s">
        <v>38</v>
      </c>
      <c r="D55" s="395"/>
      <c r="E55" s="170">
        <v>222</v>
      </c>
      <c r="F55" s="179">
        <v>1</v>
      </c>
      <c r="G55" s="215">
        <v>3</v>
      </c>
      <c r="H55" s="215"/>
      <c r="I55" s="215">
        <v>12</v>
      </c>
      <c r="J55" s="233">
        <v>15</v>
      </c>
      <c r="K55" s="212">
        <f t="shared" si="17"/>
        <v>20</v>
      </c>
      <c r="L55" s="213">
        <f t="shared" si="18"/>
        <v>0</v>
      </c>
      <c r="M55" s="213">
        <f t="shared" si="19"/>
        <v>80</v>
      </c>
      <c r="N55" s="214">
        <f t="shared" si="3"/>
        <v>100</v>
      </c>
      <c r="O55" s="213">
        <v>6.6</v>
      </c>
      <c r="P55" s="213"/>
      <c r="Q55" s="213">
        <v>49.2</v>
      </c>
      <c r="R55" s="234">
        <f t="shared" si="4"/>
        <v>55.800000000000004</v>
      </c>
      <c r="S55" s="219">
        <v>2</v>
      </c>
      <c r="T55" s="281">
        <v>30430</v>
      </c>
      <c r="U55" s="296">
        <v>30460</v>
      </c>
      <c r="V55" s="170" t="s">
        <v>19</v>
      </c>
      <c r="W55" s="170" t="s">
        <v>20</v>
      </c>
      <c r="X55" s="170" t="s">
        <v>12</v>
      </c>
      <c r="Y55" s="170">
        <v>49.2</v>
      </c>
      <c r="Z55" s="177" t="s">
        <v>21</v>
      </c>
      <c r="AA55" s="170" t="s">
        <v>22</v>
      </c>
      <c r="AB55" s="170" t="s">
        <v>11</v>
      </c>
      <c r="AC55" s="178">
        <v>6.6</v>
      </c>
      <c r="AD55" s="177"/>
      <c r="AG55" s="178"/>
      <c r="AL55" s="177"/>
      <c r="AO55" s="178"/>
      <c r="AS55" s="178"/>
      <c r="AW55" s="178"/>
      <c r="BA55" s="179"/>
    </row>
    <row r="56" spans="1:53" s="170" customFormat="1" x14ac:dyDescent="0.15">
      <c r="A56" s="215">
        <v>1984</v>
      </c>
      <c r="B56" s="276"/>
      <c r="C56" s="395" t="s">
        <v>38</v>
      </c>
      <c r="D56" s="395"/>
      <c r="E56" s="170">
        <v>0</v>
      </c>
      <c r="F56" s="179"/>
      <c r="G56" s="215">
        <v>3</v>
      </c>
      <c r="I56" s="215">
        <v>12</v>
      </c>
      <c r="J56" s="233">
        <v>15</v>
      </c>
      <c r="K56" s="212">
        <f>G56/J56*100</f>
        <v>20</v>
      </c>
      <c r="L56" s="213">
        <f>H56/J56*100</f>
        <v>0</v>
      </c>
      <c r="M56" s="213">
        <f>I56/J56*100</f>
        <v>80</v>
      </c>
      <c r="N56" s="214">
        <f t="shared" si="3"/>
        <v>100</v>
      </c>
      <c r="O56" s="213">
        <v>6.6</v>
      </c>
      <c r="P56" s="213"/>
      <c r="Q56" s="213">
        <v>49.2</v>
      </c>
      <c r="R56" s="234">
        <f t="shared" si="4"/>
        <v>55.800000000000004</v>
      </c>
      <c r="S56" s="219">
        <v>2</v>
      </c>
      <c r="T56" s="281"/>
      <c r="U56" s="296"/>
      <c r="V56" s="170" t="s">
        <v>19</v>
      </c>
      <c r="W56" s="170" t="s">
        <v>20</v>
      </c>
      <c r="X56" s="170" t="s">
        <v>12</v>
      </c>
      <c r="Y56" s="170">
        <v>49.2</v>
      </c>
      <c r="Z56" s="177" t="s">
        <v>21</v>
      </c>
      <c r="AA56" s="170" t="s">
        <v>22</v>
      </c>
      <c r="AB56" s="170" t="s">
        <v>11</v>
      </c>
      <c r="AC56" s="178">
        <v>6.6</v>
      </c>
      <c r="AD56" s="177"/>
      <c r="AG56" s="178"/>
      <c r="AL56" s="177"/>
      <c r="AO56" s="178"/>
      <c r="AS56" s="178"/>
      <c r="AW56" s="178"/>
      <c r="BA56" s="179"/>
    </row>
    <row r="57" spans="1:53" s="170" customFormat="1" x14ac:dyDescent="0.15">
      <c r="A57" s="215">
        <v>1984</v>
      </c>
      <c r="B57" s="276"/>
      <c r="C57" s="395" t="s">
        <v>38</v>
      </c>
      <c r="D57" s="395"/>
      <c r="E57" s="170">
        <v>366</v>
      </c>
      <c r="F57" s="179"/>
      <c r="G57" s="215">
        <v>3</v>
      </c>
      <c r="H57" s="215"/>
      <c r="I57" s="215">
        <v>12</v>
      </c>
      <c r="J57" s="233">
        <v>15</v>
      </c>
      <c r="K57" s="212">
        <f t="shared" ref="K57:K63" si="20">G57/J57*100</f>
        <v>20</v>
      </c>
      <c r="L57" s="213">
        <f t="shared" ref="L57:L63" si="21">H57/J57*100</f>
        <v>0</v>
      </c>
      <c r="M57" s="213">
        <f t="shared" ref="M57:M63" si="22">I57/J57*100</f>
        <v>80</v>
      </c>
      <c r="N57" s="214">
        <f t="shared" si="3"/>
        <v>100</v>
      </c>
      <c r="O57" s="213">
        <v>6.6</v>
      </c>
      <c r="P57" s="213"/>
      <c r="Q57" s="213">
        <v>49.2</v>
      </c>
      <c r="R57" s="234">
        <f t="shared" si="4"/>
        <v>55.800000000000004</v>
      </c>
      <c r="S57" s="219">
        <v>2</v>
      </c>
      <c r="T57" s="281"/>
      <c r="U57" s="296"/>
      <c r="V57" s="170" t="s">
        <v>19</v>
      </c>
      <c r="W57" s="170" t="s">
        <v>20</v>
      </c>
      <c r="X57" s="170" t="s">
        <v>12</v>
      </c>
      <c r="Y57" s="170">
        <v>49.2</v>
      </c>
      <c r="Z57" s="177" t="s">
        <v>21</v>
      </c>
      <c r="AA57" s="170" t="s">
        <v>22</v>
      </c>
      <c r="AB57" s="170" t="s">
        <v>11</v>
      </c>
      <c r="AC57" s="178">
        <v>6.6</v>
      </c>
      <c r="AD57" s="177"/>
      <c r="AG57" s="178"/>
      <c r="AL57" s="177"/>
      <c r="AO57" s="178"/>
      <c r="AS57" s="178"/>
      <c r="AW57" s="178"/>
      <c r="BA57" s="179"/>
    </row>
    <row r="58" spans="1:53" s="170" customFormat="1" x14ac:dyDescent="0.15">
      <c r="A58" s="215">
        <v>1985</v>
      </c>
      <c r="B58" s="276"/>
      <c r="C58" s="395" t="s">
        <v>38</v>
      </c>
      <c r="D58" s="395"/>
      <c r="E58" s="170">
        <v>0</v>
      </c>
      <c r="F58" s="179"/>
      <c r="G58" s="215">
        <v>3</v>
      </c>
      <c r="H58" s="215"/>
      <c r="I58" s="215">
        <v>12</v>
      </c>
      <c r="J58" s="233">
        <v>15</v>
      </c>
      <c r="K58" s="212">
        <f t="shared" si="20"/>
        <v>20</v>
      </c>
      <c r="L58" s="213">
        <f t="shared" si="21"/>
        <v>0</v>
      </c>
      <c r="M58" s="213">
        <f t="shared" si="22"/>
        <v>80</v>
      </c>
      <c r="N58" s="214">
        <f t="shared" si="3"/>
        <v>100</v>
      </c>
      <c r="O58" s="213">
        <v>6.6</v>
      </c>
      <c r="P58" s="213"/>
      <c r="Q58" s="213">
        <v>49.2</v>
      </c>
      <c r="R58" s="234">
        <f t="shared" si="4"/>
        <v>55.800000000000004</v>
      </c>
      <c r="S58" s="219">
        <v>2</v>
      </c>
      <c r="T58" s="281"/>
      <c r="U58" s="296"/>
      <c r="V58" s="170" t="s">
        <v>19</v>
      </c>
      <c r="W58" s="170" t="s">
        <v>20</v>
      </c>
      <c r="X58" s="170" t="s">
        <v>12</v>
      </c>
      <c r="Y58" s="170">
        <v>49.2</v>
      </c>
      <c r="Z58" s="177" t="s">
        <v>21</v>
      </c>
      <c r="AA58" s="170" t="s">
        <v>22</v>
      </c>
      <c r="AB58" s="170" t="s">
        <v>11</v>
      </c>
      <c r="AC58" s="178">
        <v>6.6</v>
      </c>
      <c r="AD58" s="177"/>
      <c r="AG58" s="178"/>
      <c r="AL58" s="177"/>
      <c r="AO58" s="178"/>
      <c r="AS58" s="178"/>
      <c r="AW58" s="178"/>
      <c r="BA58" s="179"/>
    </row>
    <row r="59" spans="1:53" s="170" customFormat="1" x14ac:dyDescent="0.15">
      <c r="A59" s="215">
        <v>1985</v>
      </c>
      <c r="B59" s="276"/>
      <c r="C59" s="395" t="s">
        <v>38</v>
      </c>
      <c r="D59" s="395"/>
      <c r="E59" s="170">
        <v>365</v>
      </c>
      <c r="F59" s="179"/>
      <c r="G59" s="215">
        <v>3</v>
      </c>
      <c r="I59" s="215">
        <v>12</v>
      </c>
      <c r="J59" s="233">
        <v>15</v>
      </c>
      <c r="K59" s="212">
        <f t="shared" si="20"/>
        <v>20</v>
      </c>
      <c r="L59" s="213">
        <f t="shared" si="21"/>
        <v>0</v>
      </c>
      <c r="M59" s="213">
        <f t="shared" si="22"/>
        <v>80</v>
      </c>
      <c r="N59" s="214">
        <f t="shared" si="3"/>
        <v>100</v>
      </c>
      <c r="O59" s="213">
        <v>6.6</v>
      </c>
      <c r="P59" s="213"/>
      <c r="Q59" s="213">
        <v>49.2</v>
      </c>
      <c r="R59" s="234">
        <f t="shared" si="4"/>
        <v>55.800000000000004</v>
      </c>
      <c r="S59" s="219">
        <v>2</v>
      </c>
      <c r="T59" s="281"/>
      <c r="U59" s="296"/>
      <c r="V59" s="170" t="s">
        <v>19</v>
      </c>
      <c r="W59" s="170" t="s">
        <v>20</v>
      </c>
      <c r="X59" s="170" t="s">
        <v>12</v>
      </c>
      <c r="Y59" s="170">
        <v>49.2</v>
      </c>
      <c r="Z59" s="177" t="s">
        <v>21</v>
      </c>
      <c r="AA59" s="170" t="s">
        <v>22</v>
      </c>
      <c r="AB59" s="170" t="s">
        <v>11</v>
      </c>
      <c r="AC59" s="178">
        <v>6.6</v>
      </c>
      <c r="AD59" s="177"/>
      <c r="AG59" s="178"/>
      <c r="AL59" s="177"/>
      <c r="AO59" s="178"/>
      <c r="AS59" s="178"/>
      <c r="AW59" s="178"/>
      <c r="BA59" s="179"/>
    </row>
    <row r="60" spans="1:53" s="170" customFormat="1" x14ac:dyDescent="0.15">
      <c r="A60" s="215">
        <v>1986</v>
      </c>
      <c r="B60" s="276"/>
      <c r="C60" s="395" t="s">
        <v>38</v>
      </c>
      <c r="D60" s="395"/>
      <c r="E60" s="170">
        <v>166</v>
      </c>
      <c r="F60" s="179"/>
      <c r="G60" s="215">
        <v>3</v>
      </c>
      <c r="H60" s="215"/>
      <c r="I60" s="215">
        <v>12</v>
      </c>
      <c r="J60" s="233">
        <v>15</v>
      </c>
      <c r="K60" s="212">
        <f t="shared" si="20"/>
        <v>20</v>
      </c>
      <c r="L60" s="213">
        <f t="shared" si="21"/>
        <v>0</v>
      </c>
      <c r="M60" s="213">
        <f t="shared" si="22"/>
        <v>80</v>
      </c>
      <c r="N60" s="214">
        <f t="shared" si="3"/>
        <v>100</v>
      </c>
      <c r="O60" s="213">
        <v>6.6</v>
      </c>
      <c r="P60" s="213"/>
      <c r="Q60" s="213">
        <v>49.2</v>
      </c>
      <c r="R60" s="234">
        <f t="shared" si="4"/>
        <v>55.800000000000004</v>
      </c>
      <c r="S60" s="219">
        <v>2</v>
      </c>
      <c r="T60" s="281"/>
      <c r="U60" s="296"/>
      <c r="V60" s="170" t="s">
        <v>19</v>
      </c>
      <c r="W60" s="170" t="s">
        <v>20</v>
      </c>
      <c r="X60" s="170" t="s">
        <v>12</v>
      </c>
      <c r="Y60" s="170">
        <v>49.2</v>
      </c>
      <c r="Z60" s="177" t="s">
        <v>21</v>
      </c>
      <c r="AA60" s="170" t="s">
        <v>27</v>
      </c>
      <c r="AB60" s="170" t="s">
        <v>11</v>
      </c>
      <c r="AC60" s="178">
        <v>6.6</v>
      </c>
      <c r="AD60" s="177"/>
      <c r="AG60" s="178"/>
      <c r="AL60" s="177"/>
      <c r="AO60" s="178"/>
      <c r="AS60" s="178"/>
      <c r="AW60" s="178"/>
      <c r="BA60" s="179"/>
    </row>
    <row r="61" spans="1:53" s="28" customFormat="1" x14ac:dyDescent="0.15">
      <c r="A61" s="51">
        <v>1986</v>
      </c>
      <c r="B61" s="277">
        <v>31579</v>
      </c>
      <c r="C61" s="394" t="s">
        <v>37</v>
      </c>
      <c r="D61" s="394"/>
      <c r="E61" s="28">
        <v>199</v>
      </c>
      <c r="F61" s="39">
        <v>2</v>
      </c>
      <c r="G61" s="51">
        <v>3</v>
      </c>
      <c r="H61" s="51"/>
      <c r="I61" s="51">
        <v>13</v>
      </c>
      <c r="J61" s="70">
        <v>16</v>
      </c>
      <c r="K61" s="45">
        <f t="shared" si="20"/>
        <v>18.75</v>
      </c>
      <c r="L61" s="46">
        <f t="shared" si="21"/>
        <v>0</v>
      </c>
      <c r="M61" s="46">
        <f t="shared" si="22"/>
        <v>81.25</v>
      </c>
      <c r="N61" s="47">
        <f t="shared" si="3"/>
        <v>100</v>
      </c>
      <c r="O61" s="46">
        <v>6.6</v>
      </c>
      <c r="P61" s="46"/>
      <c r="Q61" s="46">
        <v>49.2</v>
      </c>
      <c r="R61" s="67">
        <f t="shared" si="4"/>
        <v>55.800000000000004</v>
      </c>
      <c r="S61" s="68">
        <v>2</v>
      </c>
      <c r="T61" s="293"/>
      <c r="U61" s="290">
        <v>31579</v>
      </c>
      <c r="V61" s="28" t="s">
        <v>19</v>
      </c>
      <c r="W61" s="28" t="s">
        <v>20</v>
      </c>
      <c r="X61" s="28" t="s">
        <v>12</v>
      </c>
      <c r="Y61" s="28">
        <v>49.2</v>
      </c>
      <c r="Z61" s="37" t="s">
        <v>21</v>
      </c>
      <c r="AA61" s="28" t="s">
        <v>27</v>
      </c>
      <c r="AB61" s="28" t="s">
        <v>11</v>
      </c>
      <c r="AC61" s="38">
        <v>6.6</v>
      </c>
      <c r="AD61" s="37"/>
      <c r="AG61" s="38"/>
      <c r="AL61" s="37"/>
      <c r="AO61" s="38"/>
      <c r="AS61" s="38"/>
      <c r="AW61" s="38"/>
      <c r="BA61" s="39"/>
    </row>
    <row r="62" spans="1:53" s="28" customFormat="1" x14ac:dyDescent="0.15">
      <c r="A62" s="51">
        <v>1987</v>
      </c>
      <c r="B62" s="277"/>
      <c r="C62" s="394" t="s">
        <v>37</v>
      </c>
      <c r="D62" s="394"/>
      <c r="E62" s="28">
        <v>20</v>
      </c>
      <c r="F62" s="39"/>
      <c r="G62" s="51">
        <v>3</v>
      </c>
      <c r="I62" s="51">
        <v>13</v>
      </c>
      <c r="J62" s="70">
        <v>16</v>
      </c>
      <c r="K62" s="45">
        <f t="shared" si="20"/>
        <v>18.75</v>
      </c>
      <c r="L62" s="46">
        <f t="shared" si="21"/>
        <v>0</v>
      </c>
      <c r="M62" s="46">
        <f t="shared" si="22"/>
        <v>81.25</v>
      </c>
      <c r="N62" s="47">
        <f t="shared" si="3"/>
        <v>100</v>
      </c>
      <c r="O62" s="46">
        <v>6.6</v>
      </c>
      <c r="P62" s="46"/>
      <c r="Q62" s="46">
        <v>49.2</v>
      </c>
      <c r="R62" s="67">
        <f t="shared" si="4"/>
        <v>55.800000000000004</v>
      </c>
      <c r="S62" s="68">
        <v>2</v>
      </c>
      <c r="T62" s="293">
        <v>31739</v>
      </c>
      <c r="U62" s="290"/>
      <c r="V62" s="28" t="s">
        <v>19</v>
      </c>
      <c r="W62" s="28" t="s">
        <v>20</v>
      </c>
      <c r="X62" s="28" t="s">
        <v>12</v>
      </c>
      <c r="Y62" s="28">
        <v>49.2</v>
      </c>
      <c r="Z62" s="37" t="s">
        <v>21</v>
      </c>
      <c r="AA62" s="28" t="s">
        <v>27</v>
      </c>
      <c r="AB62" s="28" t="s">
        <v>11</v>
      </c>
      <c r="AC62" s="38">
        <v>6.6</v>
      </c>
      <c r="AD62" s="37"/>
      <c r="AG62" s="38"/>
      <c r="AL62" s="37"/>
      <c r="AO62" s="38"/>
      <c r="AS62" s="38"/>
      <c r="AW62" s="38"/>
      <c r="BA62" s="39"/>
    </row>
    <row r="63" spans="1:53" s="170" customFormat="1" x14ac:dyDescent="0.15">
      <c r="A63" s="215">
        <v>1987</v>
      </c>
      <c r="B63" s="276">
        <v>31798</v>
      </c>
      <c r="C63" s="395" t="s">
        <v>39</v>
      </c>
      <c r="D63" s="395"/>
      <c r="E63" s="170">
        <v>345</v>
      </c>
      <c r="F63" s="179">
        <v>1</v>
      </c>
      <c r="G63" s="215"/>
      <c r="H63" s="215">
        <v>7</v>
      </c>
      <c r="I63" s="215">
        <v>7</v>
      </c>
      <c r="J63" s="233">
        <v>15</v>
      </c>
      <c r="K63" s="212">
        <f t="shared" si="20"/>
        <v>0</v>
      </c>
      <c r="L63" s="213">
        <f t="shared" si="21"/>
        <v>46.666666666666664</v>
      </c>
      <c r="M63" s="213">
        <f t="shared" si="22"/>
        <v>46.666666666666664</v>
      </c>
      <c r="N63" s="214">
        <f t="shared" si="3"/>
        <v>93.333333333333329</v>
      </c>
      <c r="O63" s="213"/>
      <c r="P63" s="213">
        <v>42.1</v>
      </c>
      <c r="Q63" s="213">
        <v>43.7</v>
      </c>
      <c r="R63" s="234">
        <f t="shared" si="4"/>
        <v>85.800000000000011</v>
      </c>
      <c r="S63" s="219">
        <v>2</v>
      </c>
      <c r="T63" s="281"/>
      <c r="U63" s="296">
        <v>31798</v>
      </c>
      <c r="V63" s="170" t="s">
        <v>19</v>
      </c>
      <c r="W63" s="170" t="s">
        <v>20</v>
      </c>
      <c r="X63" s="170" t="s">
        <v>12</v>
      </c>
      <c r="Y63" s="170">
        <v>43.7</v>
      </c>
      <c r="Z63" s="177" t="s">
        <v>16</v>
      </c>
      <c r="AA63" s="170" t="s">
        <v>17</v>
      </c>
      <c r="AB63" s="170" t="s">
        <v>18</v>
      </c>
      <c r="AC63" s="178">
        <v>42.1</v>
      </c>
      <c r="AD63" s="177"/>
      <c r="AG63" s="178"/>
      <c r="AL63" s="177"/>
      <c r="AO63" s="178"/>
      <c r="AS63" s="178"/>
      <c r="AW63" s="178"/>
      <c r="BA63" s="179"/>
    </row>
    <row r="64" spans="1:53" s="170" customFormat="1" x14ac:dyDescent="0.15">
      <c r="A64" s="215">
        <v>1988</v>
      </c>
      <c r="B64" s="276"/>
      <c r="C64" s="395" t="s">
        <v>39</v>
      </c>
      <c r="D64" s="395"/>
      <c r="E64" s="170">
        <v>0</v>
      </c>
      <c r="F64" s="179"/>
      <c r="G64" s="215"/>
      <c r="H64" s="215">
        <v>7</v>
      </c>
      <c r="I64" s="215">
        <v>7</v>
      </c>
      <c r="J64" s="233">
        <v>15</v>
      </c>
      <c r="K64" s="212">
        <f>G64/J64*100</f>
        <v>0</v>
      </c>
      <c r="L64" s="213">
        <f>H64/J64*100</f>
        <v>46.666666666666664</v>
      </c>
      <c r="M64" s="213">
        <f>I64/J64*100</f>
        <v>46.666666666666664</v>
      </c>
      <c r="N64" s="214">
        <f t="shared" si="3"/>
        <v>93.333333333333329</v>
      </c>
      <c r="O64" s="213"/>
      <c r="P64" s="213">
        <v>42.1</v>
      </c>
      <c r="Q64" s="213">
        <v>43.7</v>
      </c>
      <c r="R64" s="234">
        <f t="shared" si="4"/>
        <v>85.800000000000011</v>
      </c>
      <c r="S64" s="219">
        <v>2</v>
      </c>
      <c r="T64" s="281"/>
      <c r="U64" s="296"/>
      <c r="V64" s="170" t="s">
        <v>19</v>
      </c>
      <c r="W64" s="170" t="s">
        <v>20</v>
      </c>
      <c r="X64" s="170" t="s">
        <v>12</v>
      </c>
      <c r="Y64" s="170">
        <v>43.7</v>
      </c>
      <c r="Z64" s="177" t="s">
        <v>16</v>
      </c>
      <c r="AA64" s="170" t="s">
        <v>17</v>
      </c>
      <c r="AB64" s="170" t="s">
        <v>18</v>
      </c>
      <c r="AC64" s="178">
        <v>42.1</v>
      </c>
      <c r="AD64" s="177"/>
      <c r="AG64" s="178"/>
      <c r="AL64" s="177"/>
      <c r="AO64" s="178"/>
      <c r="AS64" s="178"/>
      <c r="AW64" s="178"/>
      <c r="BA64" s="179"/>
    </row>
    <row r="65" spans="1:53" s="170" customFormat="1" x14ac:dyDescent="0.15">
      <c r="A65" s="215">
        <v>1988</v>
      </c>
      <c r="B65" s="276"/>
      <c r="C65" s="395" t="s">
        <v>39</v>
      </c>
      <c r="D65" s="395"/>
      <c r="E65" s="170">
        <v>366</v>
      </c>
      <c r="F65" s="179"/>
      <c r="G65" s="215"/>
      <c r="H65" s="215">
        <v>7</v>
      </c>
      <c r="I65" s="215">
        <v>7</v>
      </c>
      <c r="J65" s="233">
        <v>15</v>
      </c>
      <c r="K65" s="212">
        <f>G65/J65*100</f>
        <v>0</v>
      </c>
      <c r="L65" s="213">
        <f>H65/J65*100</f>
        <v>46.666666666666664</v>
      </c>
      <c r="M65" s="213">
        <f>I65/J65*100</f>
        <v>46.666666666666664</v>
      </c>
      <c r="N65" s="214">
        <f t="shared" si="3"/>
        <v>93.333333333333329</v>
      </c>
      <c r="O65" s="213"/>
      <c r="P65" s="213">
        <v>42.1</v>
      </c>
      <c r="Q65" s="213">
        <v>43.7</v>
      </c>
      <c r="R65" s="234">
        <f t="shared" si="4"/>
        <v>85.800000000000011</v>
      </c>
      <c r="S65" s="219">
        <v>2</v>
      </c>
      <c r="T65" s="281"/>
      <c r="U65" s="296"/>
      <c r="V65" s="170" t="s">
        <v>19</v>
      </c>
      <c r="W65" s="170" t="s">
        <v>20</v>
      </c>
      <c r="X65" s="170" t="s">
        <v>12</v>
      </c>
      <c r="Y65" s="170">
        <v>43.7</v>
      </c>
      <c r="Z65" s="177" t="s">
        <v>16</v>
      </c>
      <c r="AA65" s="170" t="s">
        <v>17</v>
      </c>
      <c r="AB65" s="170" t="s">
        <v>18</v>
      </c>
      <c r="AC65" s="178">
        <v>42.1</v>
      </c>
      <c r="AD65" s="177"/>
      <c r="AG65" s="178"/>
      <c r="AL65" s="177"/>
      <c r="AO65" s="178"/>
      <c r="AS65" s="178"/>
      <c r="AW65" s="178"/>
      <c r="BA65" s="179"/>
    </row>
    <row r="66" spans="1:53" s="170" customFormat="1" x14ac:dyDescent="0.15">
      <c r="A66" s="215">
        <v>1989</v>
      </c>
      <c r="B66" s="276"/>
      <c r="C66" s="395" t="s">
        <v>39</v>
      </c>
      <c r="D66" s="395"/>
      <c r="E66" s="170">
        <v>0</v>
      </c>
      <c r="F66" s="179"/>
      <c r="G66" s="215"/>
      <c r="H66" s="215">
        <v>7</v>
      </c>
      <c r="I66" s="215">
        <v>7</v>
      </c>
      <c r="J66" s="233">
        <v>15</v>
      </c>
      <c r="K66" s="212">
        <f>G66/J66*100</f>
        <v>0</v>
      </c>
      <c r="L66" s="213">
        <f>H66/J66*100</f>
        <v>46.666666666666664</v>
      </c>
      <c r="M66" s="213">
        <f>I66/J66*100</f>
        <v>46.666666666666664</v>
      </c>
      <c r="N66" s="214">
        <f t="shared" si="3"/>
        <v>93.333333333333329</v>
      </c>
      <c r="O66" s="213"/>
      <c r="P66" s="213">
        <v>42.1</v>
      </c>
      <c r="Q66" s="213">
        <v>43.7</v>
      </c>
      <c r="R66" s="234">
        <f t="shared" si="4"/>
        <v>85.800000000000011</v>
      </c>
      <c r="S66" s="219">
        <v>2</v>
      </c>
      <c r="T66" s="281"/>
      <c r="U66" s="296"/>
      <c r="V66" s="170" t="s">
        <v>19</v>
      </c>
      <c r="W66" s="170" t="s">
        <v>20</v>
      </c>
      <c r="X66" s="170" t="s">
        <v>12</v>
      </c>
      <c r="Y66" s="170">
        <v>43.7</v>
      </c>
      <c r="Z66" s="177" t="s">
        <v>16</v>
      </c>
      <c r="AA66" s="170" t="s">
        <v>17</v>
      </c>
      <c r="AB66" s="170" t="s">
        <v>18</v>
      </c>
      <c r="AC66" s="178">
        <v>42.1</v>
      </c>
      <c r="AD66" s="177"/>
      <c r="AG66" s="178"/>
      <c r="AL66" s="177"/>
      <c r="AO66" s="178"/>
      <c r="AS66" s="178"/>
      <c r="AW66" s="178"/>
      <c r="BA66" s="179"/>
    </row>
    <row r="67" spans="1:53" s="53" customFormat="1" x14ac:dyDescent="0.15">
      <c r="A67" s="117">
        <v>1989</v>
      </c>
      <c r="B67" s="291"/>
      <c r="C67" s="399" t="s">
        <v>39</v>
      </c>
      <c r="D67" s="399"/>
      <c r="E67" s="53">
        <v>365</v>
      </c>
      <c r="F67" s="56"/>
      <c r="G67" s="117"/>
      <c r="H67" s="117">
        <v>7</v>
      </c>
      <c r="I67" s="117">
        <v>7</v>
      </c>
      <c r="J67" s="236">
        <v>15</v>
      </c>
      <c r="K67" s="224">
        <f>G67/J67*100</f>
        <v>0</v>
      </c>
      <c r="L67" s="225">
        <f>H67/J67*100</f>
        <v>46.666666666666664</v>
      </c>
      <c r="M67" s="225">
        <f>I67/J67*100</f>
        <v>46.666666666666664</v>
      </c>
      <c r="N67" s="226">
        <f t="shared" si="3"/>
        <v>93.333333333333329</v>
      </c>
      <c r="O67" s="225"/>
      <c r="P67" s="225">
        <v>42.1</v>
      </c>
      <c r="Q67" s="225">
        <v>43.7</v>
      </c>
      <c r="R67" s="237">
        <f>SUM(O67:Q67)</f>
        <v>85.800000000000011</v>
      </c>
      <c r="S67" s="238">
        <v>2</v>
      </c>
      <c r="T67" s="291"/>
      <c r="U67" s="297"/>
      <c r="V67" s="53" t="s">
        <v>19</v>
      </c>
      <c r="W67" s="53" t="s">
        <v>20</v>
      </c>
      <c r="X67" s="53" t="s">
        <v>12</v>
      </c>
      <c r="Y67" s="53">
        <v>43.7</v>
      </c>
      <c r="Z67" s="54" t="s">
        <v>16</v>
      </c>
      <c r="AA67" s="53" t="s">
        <v>17</v>
      </c>
      <c r="AB67" s="53" t="s">
        <v>18</v>
      </c>
      <c r="AC67" s="55">
        <v>42.1</v>
      </c>
      <c r="AD67" s="54"/>
      <c r="AG67" s="55"/>
      <c r="AL67" s="54"/>
      <c r="AO67" s="55"/>
      <c r="AS67" s="55"/>
      <c r="AW67" s="55"/>
      <c r="BA67" s="56"/>
    </row>
    <row r="68" spans="1:53" s="170" customFormat="1" x14ac:dyDescent="0.15">
      <c r="A68" s="170">
        <v>1990</v>
      </c>
      <c r="B68" s="281"/>
      <c r="C68" s="395" t="s">
        <v>39</v>
      </c>
      <c r="D68" s="395"/>
      <c r="E68" s="170">
        <v>350</v>
      </c>
      <c r="F68" s="179"/>
      <c r="H68" s="170">
        <v>7</v>
      </c>
      <c r="I68" s="170">
        <v>7</v>
      </c>
      <c r="J68" s="239">
        <v>15</v>
      </c>
      <c r="K68" s="212">
        <v>0</v>
      </c>
      <c r="L68" s="213">
        <v>46.7</v>
      </c>
      <c r="M68" s="213">
        <v>46.7</v>
      </c>
      <c r="N68" s="214">
        <f t="shared" si="3"/>
        <v>93.4</v>
      </c>
      <c r="O68" s="213"/>
      <c r="P68" s="213">
        <v>42.1</v>
      </c>
      <c r="Q68" s="213">
        <v>43.7</v>
      </c>
      <c r="R68" s="234">
        <f>SUM(O68:Q68)</f>
        <v>85.800000000000011</v>
      </c>
      <c r="S68" s="219">
        <v>2</v>
      </c>
      <c r="T68" s="281"/>
      <c r="U68" s="296"/>
      <c r="V68" s="170" t="s">
        <v>19</v>
      </c>
      <c r="W68" s="170" t="s">
        <v>20</v>
      </c>
      <c r="X68" s="170" t="s">
        <v>12</v>
      </c>
      <c r="Y68" s="170">
        <v>43.7</v>
      </c>
      <c r="Z68" s="177" t="s">
        <v>16</v>
      </c>
      <c r="AA68" s="170" t="s">
        <v>17</v>
      </c>
      <c r="AB68" s="170" t="s">
        <v>18</v>
      </c>
      <c r="AC68" s="178">
        <v>42.1</v>
      </c>
      <c r="AD68" s="177"/>
      <c r="AG68" s="178"/>
      <c r="AL68" s="177"/>
      <c r="AO68" s="178"/>
      <c r="AS68" s="178"/>
      <c r="AW68" s="178"/>
      <c r="BA68" s="179"/>
    </row>
    <row r="69" spans="1:53" s="28" customFormat="1" x14ac:dyDescent="0.15">
      <c r="A69" s="28">
        <v>1990</v>
      </c>
      <c r="B69" s="277">
        <v>33224</v>
      </c>
      <c r="C69" s="394" t="s">
        <v>40</v>
      </c>
      <c r="D69" s="394"/>
      <c r="E69" s="28">
        <v>15</v>
      </c>
      <c r="F69" s="39">
        <v>1</v>
      </c>
      <c r="H69" s="28">
        <v>8</v>
      </c>
      <c r="I69" s="28">
        <v>8</v>
      </c>
      <c r="J69" s="71">
        <v>17</v>
      </c>
      <c r="K69" s="45">
        <f>G69/J69*100</f>
        <v>0</v>
      </c>
      <c r="L69" s="46">
        <f>H69/J69*100</f>
        <v>47.058823529411761</v>
      </c>
      <c r="M69" s="46">
        <f>I69/J69*100</f>
        <v>47.058823529411761</v>
      </c>
      <c r="N69" s="47">
        <f t="shared" si="3"/>
        <v>94.117647058823522</v>
      </c>
      <c r="O69" s="46"/>
      <c r="P69" s="46">
        <v>32.799999999999997</v>
      </c>
      <c r="Q69" s="46">
        <v>43.7</v>
      </c>
      <c r="R69" s="67">
        <f t="shared" si="4"/>
        <v>76.5</v>
      </c>
      <c r="S69" s="68">
        <v>2</v>
      </c>
      <c r="T69" s="293">
        <v>33153</v>
      </c>
      <c r="U69" s="290">
        <v>33224</v>
      </c>
      <c r="V69" s="28" t="s">
        <v>19</v>
      </c>
      <c r="W69" s="28" t="s">
        <v>20</v>
      </c>
      <c r="X69" s="28" t="s">
        <v>12</v>
      </c>
      <c r="Y69" s="28">
        <v>43.7</v>
      </c>
      <c r="Z69" s="37" t="s">
        <v>16</v>
      </c>
      <c r="AA69" s="28" t="s">
        <v>17</v>
      </c>
      <c r="AB69" s="28" t="s">
        <v>18</v>
      </c>
      <c r="AC69" s="38">
        <v>32.799999999999997</v>
      </c>
      <c r="AD69" s="37"/>
      <c r="AG69" s="38"/>
      <c r="AL69" s="37"/>
      <c r="AO69" s="38"/>
      <c r="AS69" s="38"/>
      <c r="AW69" s="38"/>
      <c r="BA69" s="39"/>
    </row>
    <row r="70" spans="1:53" s="28" customFormat="1" x14ac:dyDescent="0.15">
      <c r="A70" s="28">
        <v>1991</v>
      </c>
      <c r="B70" s="277"/>
      <c r="C70" s="394" t="s">
        <v>40</v>
      </c>
      <c r="D70" s="394"/>
      <c r="E70" s="28">
        <v>0</v>
      </c>
      <c r="F70" s="39"/>
      <c r="H70" s="28">
        <v>8</v>
      </c>
      <c r="I70" s="28">
        <v>8</v>
      </c>
      <c r="J70" s="71">
        <v>17</v>
      </c>
      <c r="K70" s="45">
        <f>G70/J70*100</f>
        <v>0</v>
      </c>
      <c r="L70" s="46">
        <f>H70/J70*100</f>
        <v>47.058823529411761</v>
      </c>
      <c r="M70" s="46">
        <f>I70/J70*100</f>
        <v>47.058823529411761</v>
      </c>
      <c r="N70" s="47">
        <f t="shared" si="3"/>
        <v>94.117647058823522</v>
      </c>
      <c r="O70" s="46"/>
      <c r="P70" s="46">
        <v>32.799999999999997</v>
      </c>
      <c r="Q70" s="46">
        <v>43.7</v>
      </c>
      <c r="R70" s="67">
        <f t="shared" si="4"/>
        <v>76.5</v>
      </c>
      <c r="S70" s="68">
        <v>2</v>
      </c>
      <c r="T70" s="293"/>
      <c r="U70" s="290"/>
      <c r="V70" s="28" t="s">
        <v>19</v>
      </c>
      <c r="W70" s="28" t="s">
        <v>20</v>
      </c>
      <c r="X70" s="28" t="s">
        <v>12</v>
      </c>
      <c r="Y70" s="28">
        <v>43.7</v>
      </c>
      <c r="Z70" s="37" t="s">
        <v>16</v>
      </c>
      <c r="AA70" s="28" t="s">
        <v>17</v>
      </c>
      <c r="AB70" s="28" t="s">
        <v>18</v>
      </c>
      <c r="AC70" s="38">
        <v>32.799999999999997</v>
      </c>
      <c r="AD70" s="37"/>
      <c r="AG70" s="38"/>
      <c r="AL70" s="37"/>
      <c r="AO70" s="38"/>
      <c r="AS70" s="38"/>
      <c r="AW70" s="38"/>
      <c r="BA70" s="39"/>
    </row>
    <row r="71" spans="1:53" s="28" customFormat="1" x14ac:dyDescent="0.15">
      <c r="A71" s="28">
        <v>1991</v>
      </c>
      <c r="B71" s="277"/>
      <c r="C71" s="394" t="s">
        <v>40</v>
      </c>
      <c r="D71" s="394"/>
      <c r="E71" s="28">
        <v>365</v>
      </c>
      <c r="F71" s="39"/>
      <c r="H71" s="28">
        <v>8</v>
      </c>
      <c r="I71" s="28">
        <v>8</v>
      </c>
      <c r="J71" s="71">
        <v>17</v>
      </c>
      <c r="K71" s="45">
        <f>G71/J71*100</f>
        <v>0</v>
      </c>
      <c r="L71" s="46">
        <f>H71/J71*100</f>
        <v>47.058823529411761</v>
      </c>
      <c r="M71" s="46">
        <f>I71/J71*100</f>
        <v>47.058823529411761</v>
      </c>
      <c r="N71" s="47">
        <f t="shared" si="3"/>
        <v>94.117647058823522</v>
      </c>
      <c r="O71" s="46"/>
      <c r="P71" s="46">
        <v>32.799999999999997</v>
      </c>
      <c r="Q71" s="46">
        <v>43.7</v>
      </c>
      <c r="R71" s="67">
        <f t="shared" si="4"/>
        <v>76.5</v>
      </c>
      <c r="S71" s="68">
        <v>2</v>
      </c>
      <c r="T71" s="293"/>
      <c r="U71" s="290"/>
      <c r="V71" s="28" t="s">
        <v>19</v>
      </c>
      <c r="W71" s="28" t="s">
        <v>20</v>
      </c>
      <c r="X71" s="28" t="s">
        <v>12</v>
      </c>
      <c r="Y71" s="28">
        <v>43.7</v>
      </c>
      <c r="Z71" s="37" t="s">
        <v>16</v>
      </c>
      <c r="AA71" s="28" t="s">
        <v>17</v>
      </c>
      <c r="AB71" s="28" t="s">
        <v>18</v>
      </c>
      <c r="AC71" s="38">
        <v>32.799999999999997</v>
      </c>
      <c r="AD71" s="37"/>
      <c r="AG71" s="38"/>
      <c r="AL71" s="37"/>
      <c r="AO71" s="38"/>
      <c r="AS71" s="38"/>
      <c r="AW71" s="38"/>
      <c r="BA71" s="39"/>
    </row>
    <row r="72" spans="1:53" s="28" customFormat="1" x14ac:dyDescent="0.15">
      <c r="A72" s="28">
        <v>1992</v>
      </c>
      <c r="B72" s="277"/>
      <c r="C72" s="394" t="s">
        <v>40</v>
      </c>
      <c r="D72" s="394"/>
      <c r="E72" s="28">
        <v>0</v>
      </c>
      <c r="F72" s="39"/>
      <c r="H72" s="28">
        <v>7</v>
      </c>
      <c r="I72" s="28">
        <v>8</v>
      </c>
      <c r="J72" s="71">
        <v>16</v>
      </c>
      <c r="K72" s="45">
        <f>G72/J72*100</f>
        <v>0</v>
      </c>
      <c r="L72" s="46">
        <f>H72/J72*100</f>
        <v>43.75</v>
      </c>
      <c r="M72" s="46">
        <f>I72/J72*100</f>
        <v>50</v>
      </c>
      <c r="N72" s="47">
        <f t="shared" si="3"/>
        <v>93.75</v>
      </c>
      <c r="O72" s="46"/>
      <c r="P72" s="46">
        <v>32.799999999999997</v>
      </c>
      <c r="Q72" s="46">
        <v>43.7</v>
      </c>
      <c r="R72" s="67">
        <f t="shared" si="4"/>
        <v>76.5</v>
      </c>
      <c r="S72" s="68">
        <v>2</v>
      </c>
      <c r="T72" s="293"/>
      <c r="U72" s="290"/>
      <c r="V72" s="28" t="s">
        <v>19</v>
      </c>
      <c r="W72" s="28" t="s">
        <v>20</v>
      </c>
      <c r="X72" s="28" t="s">
        <v>12</v>
      </c>
      <c r="Y72" s="28">
        <v>43.7</v>
      </c>
      <c r="Z72" s="37" t="s">
        <v>16</v>
      </c>
      <c r="AA72" s="28" t="s">
        <v>17</v>
      </c>
      <c r="AB72" s="28" t="s">
        <v>18</v>
      </c>
      <c r="AC72" s="38">
        <v>32.799999999999997</v>
      </c>
      <c r="AD72" s="37"/>
      <c r="AG72" s="38"/>
      <c r="AL72" s="37"/>
      <c r="AO72" s="38"/>
      <c r="AS72" s="38"/>
      <c r="AW72" s="38"/>
      <c r="BA72" s="39"/>
    </row>
    <row r="73" spans="1:53" s="28" customFormat="1" x14ac:dyDescent="0.15">
      <c r="A73" s="28">
        <v>1992</v>
      </c>
      <c r="B73" s="277"/>
      <c r="C73" s="394" t="s">
        <v>40</v>
      </c>
      <c r="D73" s="394"/>
      <c r="E73" s="28">
        <v>366</v>
      </c>
      <c r="F73" s="39"/>
      <c r="H73" s="28">
        <v>7</v>
      </c>
      <c r="I73" s="28">
        <v>8</v>
      </c>
      <c r="J73" s="71">
        <v>16</v>
      </c>
      <c r="K73" s="45">
        <f>G73/J73*100</f>
        <v>0</v>
      </c>
      <c r="L73" s="46">
        <f>H73/J73*100</f>
        <v>43.75</v>
      </c>
      <c r="M73" s="46">
        <f>I73/J73*100</f>
        <v>50</v>
      </c>
      <c r="N73" s="47">
        <f t="shared" ref="N73:N116" si="23">SUM(K73:M73)</f>
        <v>93.75</v>
      </c>
      <c r="O73" s="46"/>
      <c r="P73" s="46">
        <v>32.799999999999997</v>
      </c>
      <c r="Q73" s="46">
        <v>43.7</v>
      </c>
      <c r="R73" s="67">
        <f t="shared" ref="R73:R117" si="24">SUM(O73:Q73)</f>
        <v>76.5</v>
      </c>
      <c r="S73" s="68">
        <v>2</v>
      </c>
      <c r="T73" s="293"/>
      <c r="U73" s="290"/>
      <c r="V73" s="28" t="s">
        <v>19</v>
      </c>
      <c r="W73" s="28" t="s">
        <v>20</v>
      </c>
      <c r="X73" s="28" t="s">
        <v>12</v>
      </c>
      <c r="Y73" s="28">
        <v>43.7</v>
      </c>
      <c r="Z73" s="37" t="s">
        <v>16</v>
      </c>
      <c r="AA73" s="28" t="s">
        <v>17</v>
      </c>
      <c r="AB73" s="28" t="s">
        <v>18</v>
      </c>
      <c r="AC73" s="38">
        <v>32.799999999999997</v>
      </c>
      <c r="AD73" s="37"/>
      <c r="AG73" s="38"/>
      <c r="AL73" s="37"/>
      <c r="AO73" s="38"/>
      <c r="AS73" s="38"/>
      <c r="AW73" s="38"/>
      <c r="BA73" s="39"/>
    </row>
    <row r="74" spans="1:53" s="28" customFormat="1" x14ac:dyDescent="0.15">
      <c r="A74" s="28">
        <v>1993</v>
      </c>
      <c r="B74" s="277"/>
      <c r="C74" s="394" t="s">
        <v>40</v>
      </c>
      <c r="D74" s="394"/>
      <c r="E74" s="28">
        <v>0</v>
      </c>
      <c r="F74" s="39"/>
      <c r="H74" s="28">
        <v>7</v>
      </c>
      <c r="I74" s="28">
        <v>8</v>
      </c>
      <c r="J74" s="71">
        <v>16</v>
      </c>
      <c r="K74" s="45">
        <f t="shared" ref="K74:K97" si="25">G74/J74*100</f>
        <v>0</v>
      </c>
      <c r="L74" s="46">
        <f t="shared" ref="L74:L97" si="26">H74/J74*100</f>
        <v>43.75</v>
      </c>
      <c r="M74" s="46">
        <f t="shared" ref="M74:M97" si="27">I74/J74*100</f>
        <v>50</v>
      </c>
      <c r="N74" s="47">
        <f t="shared" si="23"/>
        <v>93.75</v>
      </c>
      <c r="O74" s="46"/>
      <c r="P74" s="46">
        <v>32.799999999999997</v>
      </c>
      <c r="Q74" s="46">
        <v>43.7</v>
      </c>
      <c r="R74" s="67">
        <f t="shared" si="24"/>
        <v>76.5</v>
      </c>
      <c r="S74" s="68">
        <v>2</v>
      </c>
      <c r="T74" s="293"/>
      <c r="U74" s="290"/>
      <c r="V74" s="28" t="s">
        <v>19</v>
      </c>
      <c r="W74" s="28" t="s">
        <v>20</v>
      </c>
      <c r="X74" s="28" t="s">
        <v>12</v>
      </c>
      <c r="Y74" s="28">
        <v>43.7</v>
      </c>
      <c r="Z74" s="37" t="s">
        <v>16</v>
      </c>
      <c r="AA74" s="28" t="s">
        <v>17</v>
      </c>
      <c r="AB74" s="28" t="s">
        <v>18</v>
      </c>
      <c r="AC74" s="38">
        <v>32.799999999999997</v>
      </c>
      <c r="AD74" s="37"/>
      <c r="AG74" s="38"/>
      <c r="AL74" s="37"/>
      <c r="AO74" s="38"/>
      <c r="AS74" s="38"/>
      <c r="AW74" s="38"/>
      <c r="BA74" s="39"/>
    </row>
    <row r="75" spans="1:53" s="28" customFormat="1" x14ac:dyDescent="0.15">
      <c r="A75" s="28">
        <v>1993</v>
      </c>
      <c r="B75" s="277"/>
      <c r="C75" s="394" t="s">
        <v>40</v>
      </c>
      <c r="D75" s="394"/>
      <c r="E75" s="28">
        <v>365</v>
      </c>
      <c r="F75" s="39"/>
      <c r="H75" s="28">
        <v>7</v>
      </c>
      <c r="I75" s="28">
        <v>8</v>
      </c>
      <c r="J75" s="71">
        <v>16</v>
      </c>
      <c r="K75" s="45">
        <f t="shared" si="25"/>
        <v>0</v>
      </c>
      <c r="L75" s="46">
        <f t="shared" si="26"/>
        <v>43.75</v>
      </c>
      <c r="M75" s="46">
        <f t="shared" si="27"/>
        <v>50</v>
      </c>
      <c r="N75" s="47">
        <f t="shared" si="23"/>
        <v>93.75</v>
      </c>
      <c r="O75" s="46"/>
      <c r="P75" s="46">
        <v>32.799999999999997</v>
      </c>
      <c r="Q75" s="46">
        <v>43.7</v>
      </c>
      <c r="R75" s="67">
        <f t="shared" si="24"/>
        <v>76.5</v>
      </c>
      <c r="S75" s="68">
        <v>2</v>
      </c>
      <c r="T75" s="293"/>
      <c r="U75" s="290"/>
      <c r="V75" s="28" t="s">
        <v>19</v>
      </c>
      <c r="W75" s="28" t="s">
        <v>20</v>
      </c>
      <c r="X75" s="28" t="s">
        <v>12</v>
      </c>
      <c r="Y75" s="28">
        <v>43.7</v>
      </c>
      <c r="Z75" s="37" t="s">
        <v>16</v>
      </c>
      <c r="AA75" s="28" t="s">
        <v>17</v>
      </c>
      <c r="AB75" s="28" t="s">
        <v>18</v>
      </c>
      <c r="AC75" s="38">
        <v>32.799999999999997</v>
      </c>
      <c r="AD75" s="37"/>
      <c r="AG75" s="38"/>
      <c r="AL75" s="37"/>
      <c r="AO75" s="38"/>
      <c r="AS75" s="38"/>
      <c r="AW75" s="38"/>
      <c r="BA75" s="39"/>
    </row>
    <row r="76" spans="1:53" s="28" customFormat="1" x14ac:dyDescent="0.15">
      <c r="A76" s="28">
        <v>1994</v>
      </c>
      <c r="B76" s="277"/>
      <c r="C76" s="394" t="s">
        <v>40</v>
      </c>
      <c r="D76" s="394"/>
      <c r="E76" s="28">
        <v>332</v>
      </c>
      <c r="F76" s="39"/>
      <c r="H76" s="28">
        <v>7</v>
      </c>
      <c r="I76" s="28">
        <v>8</v>
      </c>
      <c r="J76" s="71">
        <v>16</v>
      </c>
      <c r="K76" s="45">
        <f t="shared" si="25"/>
        <v>0</v>
      </c>
      <c r="L76" s="46">
        <f t="shared" si="26"/>
        <v>43.75</v>
      </c>
      <c r="M76" s="46">
        <f t="shared" si="27"/>
        <v>50</v>
      </c>
      <c r="N76" s="47">
        <f t="shared" si="23"/>
        <v>93.75</v>
      </c>
      <c r="O76" s="46"/>
      <c r="P76" s="46">
        <v>32.799999999999997</v>
      </c>
      <c r="Q76" s="46">
        <v>43.7</v>
      </c>
      <c r="R76" s="67">
        <f t="shared" si="24"/>
        <v>76.5</v>
      </c>
      <c r="S76" s="68">
        <v>2</v>
      </c>
      <c r="T76" s="293"/>
      <c r="U76" s="290"/>
      <c r="V76" s="28" t="s">
        <v>19</v>
      </c>
      <c r="W76" s="28" t="s">
        <v>20</v>
      </c>
      <c r="X76" s="28" t="s">
        <v>12</v>
      </c>
      <c r="Y76" s="28">
        <v>43.7</v>
      </c>
      <c r="Z76" s="37" t="s">
        <v>16</v>
      </c>
      <c r="AA76" s="28" t="s">
        <v>17</v>
      </c>
      <c r="AB76" s="28" t="s">
        <v>18</v>
      </c>
      <c r="AC76" s="38">
        <v>32.799999999999997</v>
      </c>
      <c r="AD76" s="37"/>
      <c r="AG76" s="38"/>
      <c r="AL76" s="37"/>
      <c r="AO76" s="38"/>
      <c r="AS76" s="38"/>
      <c r="AW76" s="38"/>
      <c r="BA76" s="39"/>
    </row>
    <row r="77" spans="1:53" s="170" customFormat="1" x14ac:dyDescent="0.15">
      <c r="A77" s="170">
        <v>1994</v>
      </c>
      <c r="B77" s="276">
        <v>34667</v>
      </c>
      <c r="C77" s="395" t="s">
        <v>41</v>
      </c>
      <c r="D77" s="395"/>
      <c r="E77" s="170">
        <v>33</v>
      </c>
      <c r="F77" s="179">
        <v>1</v>
      </c>
      <c r="H77" s="170">
        <v>7</v>
      </c>
      <c r="I77" s="170">
        <v>8</v>
      </c>
      <c r="J77" s="239">
        <v>16</v>
      </c>
      <c r="K77" s="212">
        <f t="shared" si="25"/>
        <v>0</v>
      </c>
      <c r="L77" s="213">
        <f t="shared" si="26"/>
        <v>43.75</v>
      </c>
      <c r="M77" s="213">
        <f t="shared" si="27"/>
        <v>50</v>
      </c>
      <c r="N77" s="214">
        <f t="shared" si="23"/>
        <v>93.75</v>
      </c>
      <c r="O77" s="213"/>
      <c r="P77" s="213">
        <v>28.4</v>
      </c>
      <c r="Q77" s="213">
        <v>35.5</v>
      </c>
      <c r="R77" s="234">
        <f t="shared" si="24"/>
        <v>63.9</v>
      </c>
      <c r="S77" s="219">
        <v>2</v>
      </c>
      <c r="T77" s="281">
        <v>34616</v>
      </c>
      <c r="U77" s="296">
        <v>34667</v>
      </c>
      <c r="V77" s="170" t="s">
        <v>19</v>
      </c>
      <c r="W77" s="170" t="s">
        <v>20</v>
      </c>
      <c r="X77" s="170" t="s">
        <v>12</v>
      </c>
      <c r="Y77" s="170">
        <v>35.5</v>
      </c>
      <c r="Z77" s="177" t="s">
        <v>16</v>
      </c>
      <c r="AA77" s="170" t="s">
        <v>17</v>
      </c>
      <c r="AB77" s="170" t="s">
        <v>18</v>
      </c>
      <c r="AC77" s="178">
        <v>28.4</v>
      </c>
      <c r="AD77" s="177"/>
      <c r="AG77" s="178"/>
      <c r="AL77" s="177"/>
      <c r="AO77" s="178"/>
      <c r="AS77" s="178"/>
      <c r="AW77" s="178"/>
      <c r="BA77" s="179"/>
    </row>
    <row r="78" spans="1:53" s="170" customFormat="1" x14ac:dyDescent="0.15">
      <c r="A78" s="170">
        <v>1995</v>
      </c>
      <c r="B78" s="276"/>
      <c r="C78" s="395" t="s">
        <v>41</v>
      </c>
      <c r="D78" s="395"/>
      <c r="E78" s="170">
        <v>0</v>
      </c>
      <c r="F78" s="179"/>
      <c r="H78" s="170">
        <v>7</v>
      </c>
      <c r="I78" s="170">
        <v>8</v>
      </c>
      <c r="J78" s="239">
        <v>16</v>
      </c>
      <c r="K78" s="212">
        <f t="shared" si="25"/>
        <v>0</v>
      </c>
      <c r="L78" s="213">
        <f t="shared" si="26"/>
        <v>43.75</v>
      </c>
      <c r="M78" s="213">
        <f t="shared" si="27"/>
        <v>50</v>
      </c>
      <c r="N78" s="214">
        <f t="shared" si="23"/>
        <v>93.75</v>
      </c>
      <c r="O78" s="213"/>
      <c r="P78" s="213">
        <v>28.4</v>
      </c>
      <c r="Q78" s="213">
        <v>35.5</v>
      </c>
      <c r="R78" s="234">
        <f t="shared" si="24"/>
        <v>63.9</v>
      </c>
      <c r="S78" s="219">
        <v>2</v>
      </c>
      <c r="T78" s="281"/>
      <c r="U78" s="296"/>
      <c r="V78" s="170" t="s">
        <v>19</v>
      </c>
      <c r="W78" s="170" t="s">
        <v>20</v>
      </c>
      <c r="X78" s="170" t="s">
        <v>12</v>
      </c>
      <c r="Y78" s="170">
        <v>35.5</v>
      </c>
      <c r="Z78" s="177" t="s">
        <v>16</v>
      </c>
      <c r="AA78" s="170" t="s">
        <v>17</v>
      </c>
      <c r="AB78" s="170" t="s">
        <v>18</v>
      </c>
      <c r="AC78" s="178">
        <v>28.4</v>
      </c>
      <c r="AD78" s="177"/>
      <c r="AG78" s="178"/>
      <c r="AL78" s="177"/>
      <c r="AO78" s="178"/>
      <c r="AS78" s="178"/>
      <c r="AW78" s="178"/>
      <c r="BA78" s="179"/>
    </row>
    <row r="79" spans="1:53" s="170" customFormat="1" x14ac:dyDescent="0.15">
      <c r="A79" s="170">
        <v>1995</v>
      </c>
      <c r="B79" s="276"/>
      <c r="C79" s="395" t="s">
        <v>41</v>
      </c>
      <c r="D79" s="395"/>
      <c r="E79" s="170">
        <v>365</v>
      </c>
      <c r="F79" s="179"/>
      <c r="H79" s="170">
        <v>7</v>
      </c>
      <c r="I79" s="170">
        <v>8</v>
      </c>
      <c r="J79" s="239">
        <v>16</v>
      </c>
      <c r="K79" s="212">
        <f t="shared" si="25"/>
        <v>0</v>
      </c>
      <c r="L79" s="213">
        <f t="shared" si="26"/>
        <v>43.75</v>
      </c>
      <c r="M79" s="213">
        <f t="shared" si="27"/>
        <v>50</v>
      </c>
      <c r="N79" s="214">
        <f t="shared" si="23"/>
        <v>93.75</v>
      </c>
      <c r="O79" s="213"/>
      <c r="P79" s="213">
        <v>28.4</v>
      </c>
      <c r="Q79" s="213">
        <v>35.5</v>
      </c>
      <c r="R79" s="234">
        <f t="shared" si="24"/>
        <v>63.9</v>
      </c>
      <c r="S79" s="219">
        <v>2</v>
      </c>
      <c r="T79" s="281">
        <v>35050</v>
      </c>
      <c r="U79" s="296"/>
      <c r="V79" s="170" t="s">
        <v>19</v>
      </c>
      <c r="W79" s="170" t="s">
        <v>20</v>
      </c>
      <c r="X79" s="170" t="s">
        <v>12</v>
      </c>
      <c r="Y79" s="170">
        <v>35.5</v>
      </c>
      <c r="Z79" s="177" t="s">
        <v>16</v>
      </c>
      <c r="AA79" s="170" t="s">
        <v>17</v>
      </c>
      <c r="AB79" s="170" t="s">
        <v>18</v>
      </c>
      <c r="AC79" s="178">
        <v>28.4</v>
      </c>
      <c r="AD79" s="177"/>
      <c r="AG79" s="178"/>
      <c r="AL79" s="177"/>
      <c r="AO79" s="178"/>
      <c r="AS79" s="178"/>
      <c r="AW79" s="178"/>
      <c r="BA79" s="179"/>
    </row>
    <row r="80" spans="1:53" s="170" customFormat="1" x14ac:dyDescent="0.15">
      <c r="A80" s="170">
        <v>1996</v>
      </c>
      <c r="B80" s="276"/>
      <c r="C80" s="395" t="s">
        <v>41</v>
      </c>
      <c r="D80" s="395"/>
      <c r="E80" s="170">
        <v>71</v>
      </c>
      <c r="F80" s="179"/>
      <c r="H80" s="170">
        <v>7</v>
      </c>
      <c r="I80" s="170">
        <v>8</v>
      </c>
      <c r="J80" s="239">
        <v>16</v>
      </c>
      <c r="K80" s="212">
        <f t="shared" si="25"/>
        <v>0</v>
      </c>
      <c r="L80" s="213">
        <f t="shared" si="26"/>
        <v>43.75</v>
      </c>
      <c r="M80" s="213">
        <f t="shared" si="27"/>
        <v>50</v>
      </c>
      <c r="N80" s="214">
        <f t="shared" si="23"/>
        <v>93.75</v>
      </c>
      <c r="O80" s="213"/>
      <c r="P80" s="213">
        <v>28.4</v>
      </c>
      <c r="Q80" s="213">
        <v>35.5</v>
      </c>
      <c r="R80" s="234">
        <f t="shared" si="24"/>
        <v>63.9</v>
      </c>
      <c r="S80" s="219">
        <v>2</v>
      </c>
      <c r="T80" s="281"/>
      <c r="U80" s="296"/>
      <c r="V80" s="170" t="s">
        <v>19</v>
      </c>
      <c r="W80" s="170" t="s">
        <v>20</v>
      </c>
      <c r="X80" s="170" t="s">
        <v>12</v>
      </c>
      <c r="Y80" s="170">
        <v>35.5</v>
      </c>
      <c r="Z80" s="177" t="s">
        <v>16</v>
      </c>
      <c r="AA80" s="170" t="s">
        <v>17</v>
      </c>
      <c r="AB80" s="170" t="s">
        <v>18</v>
      </c>
      <c r="AC80" s="178">
        <v>28.4</v>
      </c>
      <c r="AD80" s="177"/>
      <c r="AG80" s="178"/>
      <c r="AL80" s="177"/>
      <c r="AO80" s="178"/>
      <c r="AS80" s="178"/>
      <c r="AW80" s="178"/>
      <c r="BA80" s="179"/>
    </row>
    <row r="81" spans="1:53" s="28" customFormat="1" x14ac:dyDescent="0.15">
      <c r="A81" s="28">
        <v>1996</v>
      </c>
      <c r="B81" s="277">
        <v>35136</v>
      </c>
      <c r="C81" s="394" t="s">
        <v>42</v>
      </c>
      <c r="D81" s="394"/>
      <c r="E81" s="28">
        <v>295</v>
      </c>
      <c r="F81" s="39">
        <v>1</v>
      </c>
      <c r="H81" s="28">
        <v>6</v>
      </c>
      <c r="I81" s="28">
        <v>7</v>
      </c>
      <c r="J81" s="71">
        <v>14</v>
      </c>
      <c r="K81" s="45">
        <f t="shared" si="25"/>
        <v>0</v>
      </c>
      <c r="L81" s="46">
        <f t="shared" si="26"/>
        <v>42.857142857142854</v>
      </c>
      <c r="M81" s="46">
        <f t="shared" si="27"/>
        <v>50</v>
      </c>
      <c r="N81" s="47">
        <f t="shared" si="23"/>
        <v>92.857142857142861</v>
      </c>
      <c r="O81" s="46"/>
      <c r="P81" s="46">
        <v>28.4</v>
      </c>
      <c r="Q81" s="46">
        <v>38.799999999999997</v>
      </c>
      <c r="R81" s="67">
        <f t="shared" si="24"/>
        <v>67.199999999999989</v>
      </c>
      <c r="S81" s="68">
        <v>2</v>
      </c>
      <c r="T81" s="293"/>
      <c r="U81" s="290">
        <v>35136</v>
      </c>
      <c r="V81" s="28" t="s">
        <v>19</v>
      </c>
      <c r="W81" s="28" t="s">
        <v>20</v>
      </c>
      <c r="X81" s="28" t="s">
        <v>12</v>
      </c>
      <c r="Y81" s="28">
        <v>38.799999999999997</v>
      </c>
      <c r="Z81" s="37" t="s">
        <v>16</v>
      </c>
      <c r="AA81" s="28" t="s">
        <v>17</v>
      </c>
      <c r="AB81" s="28" t="s">
        <v>18</v>
      </c>
      <c r="AC81" s="38">
        <v>28.4</v>
      </c>
      <c r="AD81" s="37"/>
      <c r="AG81" s="38"/>
      <c r="AL81" s="37"/>
      <c r="AO81" s="38"/>
      <c r="AS81" s="38"/>
      <c r="AW81" s="38"/>
      <c r="BA81" s="39"/>
    </row>
    <row r="82" spans="1:53" s="28" customFormat="1" x14ac:dyDescent="0.15">
      <c r="A82" s="28">
        <v>1997</v>
      </c>
      <c r="B82" s="277"/>
      <c r="C82" s="394" t="s">
        <v>42</v>
      </c>
      <c r="D82" s="394"/>
      <c r="E82" s="28">
        <v>27</v>
      </c>
      <c r="F82" s="39"/>
      <c r="H82" s="28">
        <v>6</v>
      </c>
      <c r="I82" s="28">
        <v>7</v>
      </c>
      <c r="J82" s="71">
        <v>14</v>
      </c>
      <c r="K82" s="45">
        <f t="shared" si="25"/>
        <v>0</v>
      </c>
      <c r="L82" s="46">
        <f t="shared" si="26"/>
        <v>42.857142857142854</v>
      </c>
      <c r="M82" s="46">
        <f t="shared" si="27"/>
        <v>50</v>
      </c>
      <c r="N82" s="47">
        <f t="shared" si="23"/>
        <v>92.857142857142861</v>
      </c>
      <c r="O82" s="46"/>
      <c r="P82" s="46">
        <v>28.4</v>
      </c>
      <c r="Q82" s="46">
        <v>38.799999999999997</v>
      </c>
      <c r="R82" s="67">
        <f t="shared" si="24"/>
        <v>67.199999999999989</v>
      </c>
      <c r="S82" s="68">
        <v>2</v>
      </c>
      <c r="T82" s="293"/>
      <c r="U82" s="290"/>
      <c r="V82" s="28" t="s">
        <v>19</v>
      </c>
      <c r="W82" s="28" t="s">
        <v>20</v>
      </c>
      <c r="X82" s="28" t="s">
        <v>12</v>
      </c>
      <c r="Y82" s="28">
        <v>38.799999999999997</v>
      </c>
      <c r="Z82" s="37" t="s">
        <v>16</v>
      </c>
      <c r="AA82" s="28" t="s">
        <v>17</v>
      </c>
      <c r="AB82" s="28" t="s">
        <v>18</v>
      </c>
      <c r="AC82" s="38">
        <v>28.4</v>
      </c>
      <c r="AD82" s="37"/>
      <c r="AG82" s="38"/>
      <c r="AL82" s="37"/>
      <c r="AO82" s="38"/>
      <c r="AS82" s="38"/>
      <c r="AW82" s="38"/>
      <c r="BA82" s="39"/>
    </row>
    <row r="83" spans="1:53" s="170" customFormat="1" x14ac:dyDescent="0.15">
      <c r="A83" s="170">
        <v>1997</v>
      </c>
      <c r="B83" s="276">
        <v>35458</v>
      </c>
      <c r="C83" s="395" t="s">
        <v>43</v>
      </c>
      <c r="D83" s="395"/>
      <c r="E83" s="170">
        <v>338</v>
      </c>
      <c r="F83" s="179">
        <v>2</v>
      </c>
      <c r="H83" s="170">
        <v>6</v>
      </c>
      <c r="I83" s="170">
        <v>6</v>
      </c>
      <c r="J83" s="239">
        <v>13</v>
      </c>
      <c r="K83" s="212">
        <f t="shared" si="25"/>
        <v>0</v>
      </c>
      <c r="L83" s="213">
        <f t="shared" si="26"/>
        <v>46.153846153846153</v>
      </c>
      <c r="M83" s="213">
        <f t="shared" si="27"/>
        <v>46.153846153846153</v>
      </c>
      <c r="N83" s="214">
        <f t="shared" si="23"/>
        <v>92.307692307692307</v>
      </c>
      <c r="O83" s="213"/>
      <c r="P83" s="213">
        <v>28.4</v>
      </c>
      <c r="Q83" s="213">
        <v>38.799999999999997</v>
      </c>
      <c r="R83" s="234">
        <f t="shared" si="24"/>
        <v>67.199999999999989</v>
      </c>
      <c r="S83" s="219">
        <v>2</v>
      </c>
      <c r="T83" s="281"/>
      <c r="U83" s="296">
        <v>35458</v>
      </c>
      <c r="V83" s="170" t="s">
        <v>19</v>
      </c>
      <c r="W83" s="170" t="s">
        <v>20</v>
      </c>
      <c r="X83" s="170" t="s">
        <v>12</v>
      </c>
      <c r="Y83" s="170">
        <v>38.799999999999997</v>
      </c>
      <c r="Z83" s="177" t="s">
        <v>16</v>
      </c>
      <c r="AA83" s="170" t="s">
        <v>17</v>
      </c>
      <c r="AB83" s="170" t="s">
        <v>18</v>
      </c>
      <c r="AC83" s="178">
        <v>28.4</v>
      </c>
      <c r="AD83" s="177"/>
      <c r="AG83" s="178"/>
      <c r="AL83" s="177"/>
      <c r="AO83" s="178"/>
      <c r="AS83" s="178"/>
      <c r="AW83" s="178"/>
      <c r="BA83" s="179"/>
    </row>
    <row r="84" spans="1:53" s="170" customFormat="1" x14ac:dyDescent="0.15">
      <c r="A84" s="170">
        <v>1998</v>
      </c>
      <c r="B84" s="276"/>
      <c r="C84" s="395" t="s">
        <v>43</v>
      </c>
      <c r="D84" s="395"/>
      <c r="E84" s="170">
        <v>0</v>
      </c>
      <c r="F84" s="179"/>
      <c r="H84" s="170">
        <v>6</v>
      </c>
      <c r="I84" s="170">
        <v>6</v>
      </c>
      <c r="J84" s="239">
        <v>13</v>
      </c>
      <c r="K84" s="212">
        <f t="shared" si="25"/>
        <v>0</v>
      </c>
      <c r="L84" s="213">
        <f t="shared" si="26"/>
        <v>46.153846153846153</v>
      </c>
      <c r="M84" s="213">
        <f t="shared" si="27"/>
        <v>46.153846153846153</v>
      </c>
      <c r="N84" s="214">
        <f t="shared" si="23"/>
        <v>92.307692307692307</v>
      </c>
      <c r="O84" s="213"/>
      <c r="P84" s="213">
        <v>28.4</v>
      </c>
      <c r="Q84" s="213">
        <v>38.799999999999997</v>
      </c>
      <c r="R84" s="234">
        <f t="shared" si="24"/>
        <v>67.199999999999989</v>
      </c>
      <c r="S84" s="219">
        <v>2</v>
      </c>
      <c r="T84" s="281"/>
      <c r="U84" s="296"/>
      <c r="V84" s="170" t="s">
        <v>19</v>
      </c>
      <c r="W84" s="170" t="s">
        <v>20</v>
      </c>
      <c r="X84" s="170" t="s">
        <v>12</v>
      </c>
      <c r="Y84" s="170">
        <v>38.799999999999997</v>
      </c>
      <c r="Z84" s="177" t="s">
        <v>16</v>
      </c>
      <c r="AA84" s="170" t="s">
        <v>17</v>
      </c>
      <c r="AB84" s="170" t="s">
        <v>18</v>
      </c>
      <c r="AC84" s="178">
        <v>28.4</v>
      </c>
      <c r="AD84" s="177"/>
      <c r="AG84" s="178"/>
      <c r="AL84" s="177"/>
      <c r="AO84" s="178"/>
      <c r="AS84" s="178"/>
      <c r="AW84" s="178"/>
      <c r="BA84" s="179"/>
    </row>
    <row r="85" spans="1:53" s="170" customFormat="1" x14ac:dyDescent="0.15">
      <c r="A85" s="170">
        <v>1998</v>
      </c>
      <c r="B85" s="276"/>
      <c r="C85" s="395" t="s">
        <v>43</v>
      </c>
      <c r="D85" s="395"/>
      <c r="E85" s="170">
        <v>365</v>
      </c>
      <c r="F85" s="179"/>
      <c r="H85" s="170">
        <v>6</v>
      </c>
      <c r="I85" s="170">
        <v>6</v>
      </c>
      <c r="J85" s="239">
        <v>13</v>
      </c>
      <c r="K85" s="212">
        <f t="shared" si="25"/>
        <v>0</v>
      </c>
      <c r="L85" s="213">
        <f t="shared" si="26"/>
        <v>46.153846153846153</v>
      </c>
      <c r="M85" s="213">
        <f t="shared" si="27"/>
        <v>46.153846153846153</v>
      </c>
      <c r="N85" s="214">
        <f t="shared" si="23"/>
        <v>92.307692307692307</v>
      </c>
      <c r="O85" s="213"/>
      <c r="P85" s="213">
        <v>28.4</v>
      </c>
      <c r="Q85" s="213">
        <v>38.799999999999997</v>
      </c>
      <c r="R85" s="234">
        <f t="shared" si="24"/>
        <v>67.199999999999989</v>
      </c>
      <c r="S85" s="219">
        <v>2</v>
      </c>
      <c r="T85" s="281"/>
      <c r="U85" s="296"/>
      <c r="V85" s="170" t="s">
        <v>19</v>
      </c>
      <c r="W85" s="170" t="s">
        <v>20</v>
      </c>
      <c r="X85" s="170" t="s">
        <v>12</v>
      </c>
      <c r="Y85" s="170">
        <v>38.799999999999997</v>
      </c>
      <c r="Z85" s="177" t="s">
        <v>16</v>
      </c>
      <c r="AA85" s="170" t="s">
        <v>17</v>
      </c>
      <c r="AB85" s="170" t="s">
        <v>18</v>
      </c>
      <c r="AC85" s="178">
        <v>28.4</v>
      </c>
      <c r="AD85" s="177"/>
      <c r="AG85" s="178"/>
      <c r="AL85" s="177"/>
      <c r="AO85" s="178"/>
      <c r="AS85" s="178"/>
      <c r="AW85" s="178"/>
      <c r="BA85" s="179"/>
    </row>
    <row r="86" spans="1:53" s="170" customFormat="1" x14ac:dyDescent="0.15">
      <c r="A86" s="170">
        <v>1999</v>
      </c>
      <c r="B86" s="276"/>
      <c r="C86" s="395" t="s">
        <v>43</v>
      </c>
      <c r="D86" s="395"/>
      <c r="E86" s="170">
        <v>0</v>
      </c>
      <c r="F86" s="179"/>
      <c r="H86" s="170">
        <v>6</v>
      </c>
      <c r="I86" s="170">
        <v>6</v>
      </c>
      <c r="J86" s="239">
        <v>13</v>
      </c>
      <c r="K86" s="212">
        <f t="shared" si="25"/>
        <v>0</v>
      </c>
      <c r="L86" s="213">
        <f t="shared" si="26"/>
        <v>46.153846153846153</v>
      </c>
      <c r="M86" s="213">
        <f t="shared" si="27"/>
        <v>46.153846153846153</v>
      </c>
      <c r="N86" s="214">
        <f t="shared" si="23"/>
        <v>92.307692307692307</v>
      </c>
      <c r="O86" s="213"/>
      <c r="P86" s="213">
        <v>28.4</v>
      </c>
      <c r="Q86" s="213">
        <v>38.799999999999997</v>
      </c>
      <c r="R86" s="234">
        <f t="shared" si="24"/>
        <v>67.199999999999989</v>
      </c>
      <c r="S86" s="219">
        <v>2</v>
      </c>
      <c r="T86" s="281"/>
      <c r="U86" s="296"/>
      <c r="V86" s="170" t="s">
        <v>19</v>
      </c>
      <c r="W86" s="170" t="s">
        <v>20</v>
      </c>
      <c r="X86" s="170" t="s">
        <v>12</v>
      </c>
      <c r="Y86" s="170">
        <v>38.799999999999997</v>
      </c>
      <c r="Z86" s="177" t="s">
        <v>16</v>
      </c>
      <c r="AA86" s="170" t="s">
        <v>17</v>
      </c>
      <c r="AB86" s="170" t="s">
        <v>18</v>
      </c>
      <c r="AC86" s="178">
        <v>28.4</v>
      </c>
      <c r="AD86" s="177"/>
      <c r="AG86" s="178"/>
      <c r="AL86" s="177"/>
      <c r="AO86" s="178"/>
      <c r="AS86" s="178"/>
      <c r="AW86" s="178"/>
      <c r="BA86" s="179"/>
    </row>
    <row r="87" spans="1:53" s="170" customFormat="1" x14ac:dyDescent="0.15">
      <c r="A87" s="170">
        <v>1999</v>
      </c>
      <c r="B87" s="276"/>
      <c r="C87" s="395" t="s">
        <v>43</v>
      </c>
      <c r="D87" s="395"/>
      <c r="E87" s="170">
        <v>365</v>
      </c>
      <c r="F87" s="179"/>
      <c r="H87" s="170">
        <v>6</v>
      </c>
      <c r="I87" s="170">
        <v>6</v>
      </c>
      <c r="J87" s="239">
        <v>13</v>
      </c>
      <c r="K87" s="212">
        <f t="shared" si="25"/>
        <v>0</v>
      </c>
      <c r="L87" s="213">
        <f t="shared" si="26"/>
        <v>46.153846153846153</v>
      </c>
      <c r="M87" s="213">
        <f t="shared" si="27"/>
        <v>46.153846153846153</v>
      </c>
      <c r="N87" s="214">
        <f t="shared" si="23"/>
        <v>92.307692307692307</v>
      </c>
      <c r="O87" s="213"/>
      <c r="P87" s="213">
        <v>28.4</v>
      </c>
      <c r="Q87" s="213">
        <v>38.799999999999997</v>
      </c>
      <c r="R87" s="234">
        <f t="shared" si="24"/>
        <v>67.199999999999989</v>
      </c>
      <c r="S87" s="219">
        <v>2</v>
      </c>
      <c r="T87" s="281">
        <v>36436</v>
      </c>
      <c r="U87" s="296"/>
      <c r="V87" s="170" t="s">
        <v>19</v>
      </c>
      <c r="W87" s="170" t="s">
        <v>20</v>
      </c>
      <c r="X87" s="170" t="s">
        <v>12</v>
      </c>
      <c r="Y87" s="170">
        <v>38.799999999999997</v>
      </c>
      <c r="Z87" s="177" t="s">
        <v>16</v>
      </c>
      <c r="AA87" s="170" t="s">
        <v>17</v>
      </c>
      <c r="AB87" s="170" t="s">
        <v>18</v>
      </c>
      <c r="AC87" s="178">
        <v>28.4</v>
      </c>
      <c r="AD87" s="177"/>
      <c r="AG87" s="178"/>
      <c r="AL87" s="177"/>
      <c r="AO87" s="178"/>
      <c r="AS87" s="178"/>
      <c r="AW87" s="178"/>
      <c r="BA87" s="179"/>
    </row>
    <row r="88" spans="1:53" s="170" customFormat="1" x14ac:dyDescent="0.15">
      <c r="A88" s="170">
        <v>2000</v>
      </c>
      <c r="B88" s="276"/>
      <c r="C88" s="395" t="s">
        <v>43</v>
      </c>
      <c r="D88" s="395"/>
      <c r="E88" s="170">
        <v>34</v>
      </c>
      <c r="F88" s="179"/>
      <c r="H88" s="170">
        <v>6</v>
      </c>
      <c r="I88" s="170">
        <v>6</v>
      </c>
      <c r="J88" s="239">
        <v>13</v>
      </c>
      <c r="K88" s="212">
        <f t="shared" si="25"/>
        <v>0</v>
      </c>
      <c r="L88" s="213">
        <f t="shared" si="26"/>
        <v>46.153846153846153</v>
      </c>
      <c r="M88" s="213">
        <f t="shared" si="27"/>
        <v>46.153846153846153</v>
      </c>
      <c r="N88" s="214">
        <f t="shared" si="23"/>
        <v>92.307692307692307</v>
      </c>
      <c r="O88" s="213"/>
      <c r="P88" s="213">
        <v>28.4</v>
      </c>
      <c r="Q88" s="213">
        <v>38.799999999999997</v>
      </c>
      <c r="R88" s="234">
        <f t="shared" si="24"/>
        <v>67.199999999999989</v>
      </c>
      <c r="S88" s="219">
        <v>2</v>
      </c>
      <c r="T88" s="281"/>
      <c r="U88" s="296"/>
      <c r="V88" s="170" t="s">
        <v>19</v>
      </c>
      <c r="W88" s="170" t="s">
        <v>20</v>
      </c>
      <c r="X88" s="170" t="s">
        <v>12</v>
      </c>
      <c r="Y88" s="170">
        <v>38.799999999999997</v>
      </c>
      <c r="Z88" s="177" t="s">
        <v>16</v>
      </c>
      <c r="AA88" s="170" t="s">
        <v>17</v>
      </c>
      <c r="AB88" s="170" t="s">
        <v>18</v>
      </c>
      <c r="AC88" s="178">
        <v>28.4</v>
      </c>
      <c r="AD88" s="177"/>
      <c r="AG88" s="178"/>
      <c r="AL88" s="177"/>
      <c r="AO88" s="178"/>
      <c r="AS88" s="178"/>
      <c r="AW88" s="178"/>
      <c r="BA88" s="179"/>
    </row>
    <row r="89" spans="1:53" s="28" customFormat="1" x14ac:dyDescent="0.15">
      <c r="A89" s="28">
        <v>2000</v>
      </c>
      <c r="B89" s="277">
        <v>36560</v>
      </c>
      <c r="C89" s="394" t="s">
        <v>44</v>
      </c>
      <c r="D89" s="394"/>
      <c r="E89" s="28">
        <v>332</v>
      </c>
      <c r="F89" s="39">
        <v>1</v>
      </c>
      <c r="G89" s="28">
        <v>6</v>
      </c>
      <c r="H89" s="28">
        <v>6</v>
      </c>
      <c r="J89" s="71">
        <v>12</v>
      </c>
      <c r="K89" s="45">
        <f t="shared" si="25"/>
        <v>50</v>
      </c>
      <c r="L89" s="46">
        <f t="shared" si="26"/>
        <v>50</v>
      </c>
      <c r="M89" s="46">
        <f t="shared" si="27"/>
        <v>0</v>
      </c>
      <c r="N89" s="47">
        <f t="shared" si="23"/>
        <v>100</v>
      </c>
      <c r="O89" s="46">
        <v>28.4</v>
      </c>
      <c r="P89" s="46">
        <v>28.4</v>
      </c>
      <c r="Q89" s="46"/>
      <c r="R89" s="67">
        <f t="shared" si="24"/>
        <v>56.8</v>
      </c>
      <c r="S89" s="68">
        <v>2</v>
      </c>
      <c r="T89" s="293"/>
      <c r="U89" s="290">
        <v>36560</v>
      </c>
      <c r="V89" s="28" t="s">
        <v>16</v>
      </c>
      <c r="W89" s="28" t="s">
        <v>17</v>
      </c>
      <c r="X89" s="28" t="s">
        <v>18</v>
      </c>
      <c r="Y89" s="28">
        <v>28.4</v>
      </c>
      <c r="Z89" s="37" t="s">
        <v>21</v>
      </c>
      <c r="AA89" s="28" t="s">
        <v>27</v>
      </c>
      <c r="AB89" s="28" t="s">
        <v>11</v>
      </c>
      <c r="AC89" s="38">
        <v>28.4</v>
      </c>
      <c r="AD89" s="37"/>
      <c r="AG89" s="38"/>
      <c r="AL89" s="37"/>
      <c r="AO89" s="38"/>
      <c r="AS89" s="38"/>
      <c r="AW89" s="38"/>
      <c r="BA89" s="39"/>
    </row>
    <row r="90" spans="1:53" s="28" customFormat="1" x14ac:dyDescent="0.15">
      <c r="A90" s="28">
        <v>2001</v>
      </c>
      <c r="B90" s="277"/>
      <c r="C90" s="394" t="s">
        <v>44</v>
      </c>
      <c r="D90" s="394"/>
      <c r="E90" s="28">
        <v>0</v>
      </c>
      <c r="F90" s="39"/>
      <c r="G90" s="28">
        <v>6</v>
      </c>
      <c r="H90" s="28">
        <v>6</v>
      </c>
      <c r="J90" s="71">
        <v>12</v>
      </c>
      <c r="K90" s="45">
        <f t="shared" si="25"/>
        <v>50</v>
      </c>
      <c r="L90" s="46">
        <f t="shared" si="26"/>
        <v>50</v>
      </c>
      <c r="M90" s="46">
        <f t="shared" si="27"/>
        <v>0</v>
      </c>
      <c r="N90" s="47">
        <f t="shared" si="23"/>
        <v>100</v>
      </c>
      <c r="O90" s="46">
        <v>28.4</v>
      </c>
      <c r="P90" s="46">
        <v>28.4</v>
      </c>
      <c r="Q90" s="46"/>
      <c r="R90" s="67">
        <f t="shared" si="24"/>
        <v>56.8</v>
      </c>
      <c r="S90" s="68">
        <v>2</v>
      </c>
      <c r="T90" s="293"/>
      <c r="U90" s="290"/>
      <c r="V90" s="28" t="s">
        <v>16</v>
      </c>
      <c r="W90" s="28" t="s">
        <v>17</v>
      </c>
      <c r="X90" s="28" t="s">
        <v>18</v>
      </c>
      <c r="Y90" s="28">
        <v>28.4</v>
      </c>
      <c r="Z90" s="37" t="s">
        <v>21</v>
      </c>
      <c r="AA90" s="28" t="s">
        <v>27</v>
      </c>
      <c r="AB90" s="28" t="s">
        <v>11</v>
      </c>
      <c r="AC90" s="38">
        <v>28.4</v>
      </c>
      <c r="AD90" s="37"/>
      <c r="AG90" s="38"/>
      <c r="AL90" s="37"/>
      <c r="AO90" s="38"/>
      <c r="AS90" s="38"/>
      <c r="AW90" s="38"/>
      <c r="BA90" s="39"/>
    </row>
    <row r="91" spans="1:53" s="28" customFormat="1" x14ac:dyDescent="0.15">
      <c r="A91" s="28">
        <v>2001</v>
      </c>
      <c r="B91" s="277"/>
      <c r="C91" s="394" t="s">
        <v>44</v>
      </c>
      <c r="D91" s="394"/>
      <c r="E91" s="28">
        <v>365</v>
      </c>
      <c r="F91" s="39"/>
      <c r="G91" s="28">
        <v>6</v>
      </c>
      <c r="H91" s="28">
        <v>6</v>
      </c>
      <c r="J91" s="71">
        <v>12</v>
      </c>
      <c r="K91" s="45">
        <f t="shared" si="25"/>
        <v>50</v>
      </c>
      <c r="L91" s="46">
        <f t="shared" si="26"/>
        <v>50</v>
      </c>
      <c r="M91" s="46">
        <f t="shared" si="27"/>
        <v>0</v>
      </c>
      <c r="N91" s="47">
        <f t="shared" si="23"/>
        <v>100</v>
      </c>
      <c r="O91" s="46">
        <v>28.4</v>
      </c>
      <c r="P91" s="46">
        <v>28.4</v>
      </c>
      <c r="Q91" s="46"/>
      <c r="R91" s="67">
        <f t="shared" si="24"/>
        <v>56.8</v>
      </c>
      <c r="S91" s="68">
        <v>2</v>
      </c>
      <c r="T91" s="293"/>
      <c r="U91" s="290"/>
      <c r="V91" s="28" t="s">
        <v>16</v>
      </c>
      <c r="W91" s="28" t="s">
        <v>17</v>
      </c>
      <c r="X91" s="28" t="s">
        <v>18</v>
      </c>
      <c r="Y91" s="28">
        <v>28.4</v>
      </c>
      <c r="Z91" s="37" t="s">
        <v>21</v>
      </c>
      <c r="AA91" s="28" t="s">
        <v>27</v>
      </c>
      <c r="AB91" s="28" t="s">
        <v>11</v>
      </c>
      <c r="AC91" s="38">
        <v>28.4</v>
      </c>
      <c r="AD91" s="37"/>
      <c r="AG91" s="38"/>
      <c r="AL91" s="37"/>
      <c r="AO91" s="38"/>
      <c r="AS91" s="38"/>
      <c r="AW91" s="38"/>
      <c r="BA91" s="39"/>
    </row>
    <row r="92" spans="1:53" s="28" customFormat="1" x14ac:dyDescent="0.15">
      <c r="A92" s="28">
        <v>2002</v>
      </c>
      <c r="B92" s="277"/>
      <c r="C92" s="394" t="s">
        <v>44</v>
      </c>
      <c r="D92" s="394"/>
      <c r="E92" s="28">
        <v>0</v>
      </c>
      <c r="F92" s="39"/>
      <c r="G92" s="28">
        <v>6</v>
      </c>
      <c r="H92" s="28">
        <v>6</v>
      </c>
      <c r="J92" s="71">
        <v>12</v>
      </c>
      <c r="K92" s="45">
        <f t="shared" si="25"/>
        <v>50</v>
      </c>
      <c r="L92" s="46">
        <f t="shared" si="26"/>
        <v>50</v>
      </c>
      <c r="M92" s="46">
        <f t="shared" si="27"/>
        <v>0</v>
      </c>
      <c r="N92" s="47">
        <f t="shared" si="23"/>
        <v>100</v>
      </c>
      <c r="O92" s="46">
        <v>28.4</v>
      </c>
      <c r="P92" s="46">
        <v>28.4</v>
      </c>
      <c r="Q92" s="46"/>
      <c r="R92" s="67">
        <f t="shared" si="24"/>
        <v>56.8</v>
      </c>
      <c r="S92" s="68">
        <v>2</v>
      </c>
      <c r="T92" s="293"/>
      <c r="U92" s="290"/>
      <c r="V92" s="28" t="s">
        <v>16</v>
      </c>
      <c r="W92" s="28" t="s">
        <v>17</v>
      </c>
      <c r="X92" s="28" t="s">
        <v>18</v>
      </c>
      <c r="Y92" s="28">
        <v>28.4</v>
      </c>
      <c r="Z92" s="37" t="s">
        <v>21</v>
      </c>
      <c r="AA92" s="28" t="s">
        <v>27</v>
      </c>
      <c r="AB92" s="28" t="s">
        <v>11</v>
      </c>
      <c r="AC92" s="38">
        <v>28.4</v>
      </c>
      <c r="AD92" s="37"/>
      <c r="AG92" s="38"/>
      <c r="AL92" s="37"/>
      <c r="AO92" s="38"/>
      <c r="AS92" s="38"/>
      <c r="AW92" s="38"/>
      <c r="BA92" s="39"/>
    </row>
    <row r="93" spans="1:53" s="28" customFormat="1" ht="11" customHeight="1" x14ac:dyDescent="0.15">
      <c r="A93" s="28">
        <v>2002</v>
      </c>
      <c r="B93" s="277"/>
      <c r="C93" s="394" t="s">
        <v>44</v>
      </c>
      <c r="D93" s="394"/>
      <c r="E93" s="28">
        <v>365</v>
      </c>
      <c r="F93" s="39"/>
      <c r="G93" s="28">
        <v>6</v>
      </c>
      <c r="H93" s="28">
        <v>6</v>
      </c>
      <c r="J93" s="71">
        <v>12</v>
      </c>
      <c r="K93" s="45">
        <f t="shared" si="25"/>
        <v>50</v>
      </c>
      <c r="L93" s="46">
        <f t="shared" si="26"/>
        <v>50</v>
      </c>
      <c r="M93" s="46">
        <f t="shared" si="27"/>
        <v>0</v>
      </c>
      <c r="N93" s="47">
        <f t="shared" si="23"/>
        <v>100</v>
      </c>
      <c r="O93" s="46">
        <v>28.4</v>
      </c>
      <c r="P93" s="46">
        <v>28.4</v>
      </c>
      <c r="Q93" s="46"/>
      <c r="R93" s="67">
        <f t="shared" si="24"/>
        <v>56.8</v>
      </c>
      <c r="S93" s="68">
        <v>2</v>
      </c>
      <c r="T93" s="293">
        <v>37584</v>
      </c>
      <c r="U93" s="290"/>
      <c r="V93" s="28" t="s">
        <v>16</v>
      </c>
      <c r="W93" s="28" t="s">
        <v>17</v>
      </c>
      <c r="X93" s="28" t="s">
        <v>18</v>
      </c>
      <c r="Y93" s="28">
        <v>28.4</v>
      </c>
      <c r="Z93" s="37" t="s">
        <v>21</v>
      </c>
      <c r="AA93" s="28" t="s">
        <v>27</v>
      </c>
      <c r="AB93" s="28" t="s">
        <v>11</v>
      </c>
      <c r="AC93" s="38">
        <v>28.4</v>
      </c>
      <c r="AD93" s="37"/>
      <c r="AG93" s="38"/>
      <c r="AL93" s="37"/>
      <c r="AO93" s="38"/>
      <c r="AS93" s="38"/>
      <c r="AW93" s="38"/>
      <c r="BA93" s="39"/>
    </row>
    <row r="94" spans="1:53" s="28" customFormat="1" ht="11" customHeight="1" x14ac:dyDescent="0.15">
      <c r="A94" s="28">
        <v>2003</v>
      </c>
      <c r="B94" s="277"/>
      <c r="C94" s="394" t="s">
        <v>44</v>
      </c>
      <c r="D94" s="394"/>
      <c r="E94" s="28">
        <v>58</v>
      </c>
      <c r="F94" s="39"/>
      <c r="G94" s="28">
        <v>6</v>
      </c>
      <c r="H94" s="28">
        <v>6</v>
      </c>
      <c r="J94" s="71">
        <v>12</v>
      </c>
      <c r="K94" s="45">
        <f t="shared" si="25"/>
        <v>50</v>
      </c>
      <c r="L94" s="46">
        <f t="shared" si="26"/>
        <v>50</v>
      </c>
      <c r="M94" s="46">
        <f t="shared" si="27"/>
        <v>0</v>
      </c>
      <c r="N94" s="47">
        <f t="shared" si="23"/>
        <v>100</v>
      </c>
      <c r="O94" s="46">
        <v>28.4</v>
      </c>
      <c r="P94" s="46">
        <v>28.4</v>
      </c>
      <c r="Q94" s="46"/>
      <c r="R94" s="67">
        <f t="shared" si="24"/>
        <v>56.8</v>
      </c>
      <c r="S94" s="68">
        <v>2</v>
      </c>
      <c r="T94" s="293"/>
      <c r="U94" s="290"/>
      <c r="V94" s="28" t="s">
        <v>16</v>
      </c>
      <c r="W94" s="28" t="s">
        <v>17</v>
      </c>
      <c r="X94" s="28" t="s">
        <v>18</v>
      </c>
      <c r="Y94" s="28">
        <v>28.4</v>
      </c>
      <c r="Z94" s="37" t="s">
        <v>21</v>
      </c>
      <c r="AA94" s="28" t="s">
        <v>27</v>
      </c>
      <c r="AB94" s="28" t="s">
        <v>11</v>
      </c>
      <c r="AC94" s="38">
        <v>28.4</v>
      </c>
      <c r="AD94" s="37"/>
      <c r="AG94" s="38"/>
      <c r="AL94" s="37"/>
      <c r="AO94" s="38"/>
      <c r="AS94" s="38"/>
      <c r="AW94" s="38"/>
      <c r="BA94" s="39"/>
    </row>
    <row r="95" spans="1:53" s="170" customFormat="1" ht="11" customHeight="1" x14ac:dyDescent="0.15">
      <c r="A95" s="170">
        <v>2003</v>
      </c>
      <c r="B95" s="276">
        <v>37680</v>
      </c>
      <c r="C95" s="395" t="s">
        <v>45</v>
      </c>
      <c r="D95" s="395"/>
      <c r="E95" s="170">
        <v>307</v>
      </c>
      <c r="F95" s="179">
        <v>1</v>
      </c>
      <c r="G95" s="170">
        <v>3</v>
      </c>
      <c r="H95" s="170">
        <v>8</v>
      </c>
      <c r="J95" s="239">
        <v>12</v>
      </c>
      <c r="K95" s="212">
        <f t="shared" si="25"/>
        <v>25</v>
      </c>
      <c r="L95" s="213">
        <f t="shared" si="26"/>
        <v>66.666666666666657</v>
      </c>
      <c r="M95" s="213">
        <f t="shared" si="27"/>
        <v>0</v>
      </c>
      <c r="N95" s="214">
        <f t="shared" si="23"/>
        <v>91.666666666666657</v>
      </c>
      <c r="O95" s="213">
        <v>9.8000000000000007</v>
      </c>
      <c r="P95" s="213">
        <v>43.2</v>
      </c>
      <c r="Q95" s="213"/>
      <c r="R95" s="234">
        <f t="shared" si="24"/>
        <v>53</v>
      </c>
      <c r="S95" s="219">
        <v>2</v>
      </c>
      <c r="T95" s="281"/>
      <c r="U95" s="296">
        <v>37680</v>
      </c>
      <c r="V95" s="170" t="s">
        <v>16</v>
      </c>
      <c r="W95" s="170" t="s">
        <v>17</v>
      </c>
      <c r="X95" s="170" t="s">
        <v>18</v>
      </c>
      <c r="Y95" s="170">
        <v>43.2</v>
      </c>
      <c r="Z95" s="177" t="s">
        <v>21</v>
      </c>
      <c r="AA95" s="170" t="s">
        <v>27</v>
      </c>
      <c r="AB95" s="170" t="s">
        <v>11</v>
      </c>
      <c r="AC95" s="178">
        <v>9.8000000000000007</v>
      </c>
      <c r="AD95" s="177"/>
      <c r="AG95" s="178"/>
      <c r="AL95" s="177"/>
      <c r="AO95" s="178"/>
      <c r="AS95" s="178"/>
      <c r="AW95" s="178"/>
      <c r="BA95" s="179"/>
    </row>
    <row r="96" spans="1:53" s="170" customFormat="1" ht="11" customHeight="1" x14ac:dyDescent="0.15">
      <c r="A96" s="170">
        <v>2004</v>
      </c>
      <c r="B96" s="276"/>
      <c r="C96" s="395" t="s">
        <v>45</v>
      </c>
      <c r="D96" s="395"/>
      <c r="E96" s="170">
        <v>0</v>
      </c>
      <c r="F96" s="179"/>
      <c r="G96" s="170">
        <v>3</v>
      </c>
      <c r="H96" s="170">
        <v>8</v>
      </c>
      <c r="J96" s="239">
        <v>12</v>
      </c>
      <c r="K96" s="212">
        <f t="shared" si="25"/>
        <v>25</v>
      </c>
      <c r="L96" s="213">
        <f t="shared" si="26"/>
        <v>66.666666666666657</v>
      </c>
      <c r="M96" s="213">
        <f t="shared" si="27"/>
        <v>0</v>
      </c>
      <c r="N96" s="214">
        <f t="shared" si="23"/>
        <v>91.666666666666657</v>
      </c>
      <c r="O96" s="213">
        <v>9.8000000000000007</v>
      </c>
      <c r="P96" s="213">
        <v>43.2</v>
      </c>
      <c r="Q96" s="213"/>
      <c r="R96" s="234">
        <f t="shared" si="24"/>
        <v>53</v>
      </c>
      <c r="S96" s="219">
        <v>2</v>
      </c>
      <c r="T96" s="281"/>
      <c r="U96" s="296"/>
      <c r="V96" s="170" t="s">
        <v>16</v>
      </c>
      <c r="W96" s="170" t="s">
        <v>17</v>
      </c>
      <c r="X96" s="170" t="s">
        <v>18</v>
      </c>
      <c r="Y96" s="170">
        <v>43.2</v>
      </c>
      <c r="Z96" s="177" t="s">
        <v>21</v>
      </c>
      <c r="AA96" s="170" t="s">
        <v>27</v>
      </c>
      <c r="AB96" s="170" t="s">
        <v>11</v>
      </c>
      <c r="AC96" s="178">
        <v>9.8000000000000007</v>
      </c>
      <c r="AD96" s="177"/>
      <c r="AG96" s="178"/>
      <c r="AL96" s="177"/>
      <c r="AO96" s="178"/>
      <c r="AS96" s="178"/>
      <c r="AW96" s="178"/>
      <c r="BA96" s="179"/>
    </row>
    <row r="97" spans="1:53" s="170" customFormat="1" ht="11" customHeight="1" x14ac:dyDescent="0.15">
      <c r="A97" s="170">
        <v>2004</v>
      </c>
      <c r="B97" s="276"/>
      <c r="C97" s="395" t="s">
        <v>45</v>
      </c>
      <c r="D97" s="395"/>
      <c r="E97" s="170">
        <v>366</v>
      </c>
      <c r="F97" s="179"/>
      <c r="G97" s="170">
        <v>3</v>
      </c>
      <c r="H97" s="170">
        <v>8</v>
      </c>
      <c r="J97" s="239">
        <v>12</v>
      </c>
      <c r="K97" s="212">
        <f t="shared" si="25"/>
        <v>25</v>
      </c>
      <c r="L97" s="213">
        <f t="shared" si="26"/>
        <v>66.666666666666657</v>
      </c>
      <c r="M97" s="213">
        <f t="shared" si="27"/>
        <v>0</v>
      </c>
      <c r="N97" s="214">
        <f t="shared" si="23"/>
        <v>91.666666666666657</v>
      </c>
      <c r="O97" s="213">
        <v>9.8000000000000007</v>
      </c>
      <c r="P97" s="213">
        <v>43.2</v>
      </c>
      <c r="Q97" s="213"/>
      <c r="R97" s="234">
        <f t="shared" si="24"/>
        <v>53</v>
      </c>
      <c r="S97" s="219">
        <v>2</v>
      </c>
      <c r="T97" s="281"/>
      <c r="U97" s="296"/>
      <c r="V97" s="170" t="s">
        <v>16</v>
      </c>
      <c r="W97" s="170" t="s">
        <v>17</v>
      </c>
      <c r="X97" s="170" t="s">
        <v>18</v>
      </c>
      <c r="Y97" s="170">
        <v>43.2</v>
      </c>
      <c r="Z97" s="177" t="s">
        <v>21</v>
      </c>
      <c r="AA97" s="170" t="s">
        <v>27</v>
      </c>
      <c r="AB97" s="170" t="s">
        <v>11</v>
      </c>
      <c r="AC97" s="178">
        <v>9.8000000000000007</v>
      </c>
      <c r="AD97" s="177"/>
      <c r="AG97" s="178"/>
      <c r="AL97" s="177"/>
      <c r="AO97" s="178"/>
      <c r="AS97" s="178"/>
      <c r="AW97" s="178"/>
      <c r="BA97" s="179"/>
    </row>
    <row r="98" spans="1:53" s="228" customFormat="1" ht="11" customHeight="1" x14ac:dyDescent="0.15">
      <c r="A98" s="170">
        <v>2005</v>
      </c>
      <c r="B98" s="292"/>
      <c r="C98" s="395" t="s">
        <v>45</v>
      </c>
      <c r="D98" s="395"/>
      <c r="E98" s="170">
        <v>94</v>
      </c>
      <c r="F98" s="179"/>
      <c r="G98" s="170">
        <v>3</v>
      </c>
      <c r="H98" s="170">
        <v>8</v>
      </c>
      <c r="I98" s="170"/>
      <c r="J98" s="239">
        <v>12</v>
      </c>
      <c r="K98" s="212">
        <f t="shared" ref="K98:K111" si="28">G98/J98*100</f>
        <v>25</v>
      </c>
      <c r="L98" s="213">
        <f t="shared" ref="L98:L111" si="29">H98/J98*100</f>
        <v>66.666666666666657</v>
      </c>
      <c r="M98" s="213">
        <f t="shared" ref="M98:M111" si="30">I98/J98*100</f>
        <v>0</v>
      </c>
      <c r="N98" s="214">
        <f t="shared" si="23"/>
        <v>91.666666666666657</v>
      </c>
      <c r="O98" s="213">
        <v>9.8000000000000007</v>
      </c>
      <c r="P98" s="213">
        <v>43.2</v>
      </c>
      <c r="Q98" s="213"/>
      <c r="R98" s="234">
        <f t="shared" si="24"/>
        <v>53</v>
      </c>
      <c r="S98" s="219">
        <v>2</v>
      </c>
      <c r="T98" s="281"/>
      <c r="U98" s="296"/>
      <c r="V98" s="170" t="s">
        <v>16</v>
      </c>
      <c r="W98" s="170" t="s">
        <v>17</v>
      </c>
      <c r="X98" s="170" t="s">
        <v>18</v>
      </c>
      <c r="Y98" s="170">
        <v>43.2</v>
      </c>
      <c r="Z98" s="177" t="s">
        <v>21</v>
      </c>
      <c r="AA98" s="170" t="s">
        <v>27</v>
      </c>
      <c r="AB98" s="170" t="s">
        <v>11</v>
      </c>
      <c r="AC98" s="178">
        <v>9.8000000000000007</v>
      </c>
      <c r="AD98" s="229"/>
      <c r="AG98" s="230"/>
      <c r="AL98" s="229"/>
      <c r="AO98" s="230"/>
      <c r="AS98" s="230"/>
      <c r="AW98" s="230"/>
      <c r="BA98" s="231"/>
    </row>
    <row r="99" spans="1:53" s="228" customFormat="1" ht="11" customHeight="1" x14ac:dyDescent="0.15">
      <c r="A99" s="170">
        <v>2005</v>
      </c>
      <c r="B99" s="289">
        <v>38447</v>
      </c>
      <c r="C99" s="395" t="s">
        <v>45</v>
      </c>
      <c r="D99" s="395"/>
      <c r="E99" s="170">
        <v>271</v>
      </c>
      <c r="F99" s="235">
        <v>0</v>
      </c>
      <c r="G99" s="170">
        <v>3</v>
      </c>
      <c r="H99" s="170">
        <v>8</v>
      </c>
      <c r="I99" s="170"/>
      <c r="J99" s="239">
        <v>12</v>
      </c>
      <c r="K99" s="212">
        <f t="shared" ref="K99" si="31">G99/J99*100</f>
        <v>25</v>
      </c>
      <c r="L99" s="213">
        <f t="shared" ref="L99" si="32">H99/J99*100</f>
        <v>66.666666666666657</v>
      </c>
      <c r="M99" s="213">
        <f t="shared" ref="M99" si="33">I99/J99*100</f>
        <v>0</v>
      </c>
      <c r="N99" s="214">
        <f t="shared" ref="N99" si="34">SUM(K99:M99)</f>
        <v>91.666666666666657</v>
      </c>
      <c r="O99" s="213">
        <v>6.6</v>
      </c>
      <c r="P99" s="213">
        <v>43.2</v>
      </c>
      <c r="Q99" s="213"/>
      <c r="R99" s="234">
        <f t="shared" ref="R99" si="35">SUM(O99:Q99)</f>
        <v>49.800000000000004</v>
      </c>
      <c r="S99" s="219">
        <v>5</v>
      </c>
      <c r="T99" s="281"/>
      <c r="U99" s="296"/>
      <c r="V99" s="170" t="s">
        <v>16</v>
      </c>
      <c r="W99" s="170" t="s">
        <v>17</v>
      </c>
      <c r="X99" s="170" t="s">
        <v>18</v>
      </c>
      <c r="Y99" s="170">
        <v>43.2</v>
      </c>
      <c r="Z99" s="177" t="s">
        <v>1434</v>
      </c>
      <c r="AA99" s="170" t="s">
        <v>1435</v>
      </c>
      <c r="AB99" s="170" t="s">
        <v>11</v>
      </c>
      <c r="AC99" s="178">
        <v>6.6</v>
      </c>
      <c r="AD99" s="229"/>
      <c r="AG99" s="230"/>
      <c r="AL99" s="229"/>
      <c r="AO99" s="230"/>
      <c r="AS99" s="230"/>
      <c r="AW99" s="230"/>
      <c r="BA99" s="231"/>
    </row>
    <row r="100" spans="1:53" s="170" customFormat="1" ht="11" customHeight="1" x14ac:dyDescent="0.15">
      <c r="A100" s="170">
        <v>2006</v>
      </c>
      <c r="B100" s="281"/>
      <c r="C100" s="395" t="s">
        <v>45</v>
      </c>
      <c r="D100" s="395"/>
      <c r="E100" s="170">
        <v>0</v>
      </c>
      <c r="F100" s="179"/>
      <c r="G100" s="170">
        <v>3</v>
      </c>
      <c r="H100" s="170">
        <v>8</v>
      </c>
      <c r="J100" s="239">
        <v>12</v>
      </c>
      <c r="K100" s="212">
        <f t="shared" si="28"/>
        <v>25</v>
      </c>
      <c r="L100" s="213">
        <f t="shared" si="29"/>
        <v>66.666666666666657</v>
      </c>
      <c r="M100" s="213">
        <f t="shared" si="30"/>
        <v>0</v>
      </c>
      <c r="N100" s="214">
        <f t="shared" si="23"/>
        <v>91.666666666666657</v>
      </c>
      <c r="O100" s="213">
        <v>6.6</v>
      </c>
      <c r="P100" s="213">
        <v>43.2</v>
      </c>
      <c r="Q100" s="213"/>
      <c r="R100" s="234">
        <f t="shared" si="24"/>
        <v>49.800000000000004</v>
      </c>
      <c r="S100" s="219">
        <v>5</v>
      </c>
      <c r="T100" s="281"/>
      <c r="U100" s="296"/>
      <c r="V100" s="170" t="s">
        <v>16</v>
      </c>
      <c r="W100" s="170" t="s">
        <v>17</v>
      </c>
      <c r="X100" s="170" t="s">
        <v>18</v>
      </c>
      <c r="Y100" s="170">
        <v>43.2</v>
      </c>
      <c r="Z100" s="177" t="s">
        <v>1434</v>
      </c>
      <c r="AA100" s="170" t="s">
        <v>1435</v>
      </c>
      <c r="AB100" s="170" t="s">
        <v>11</v>
      </c>
      <c r="AC100" s="178">
        <v>6.6</v>
      </c>
      <c r="AD100" s="177"/>
      <c r="AG100" s="178"/>
      <c r="AL100" s="177"/>
      <c r="AO100" s="178"/>
      <c r="AS100" s="178"/>
      <c r="AW100" s="178"/>
      <c r="BA100" s="179"/>
    </row>
    <row r="101" spans="1:53" s="170" customFormat="1" ht="11" customHeight="1" x14ac:dyDescent="0.15">
      <c r="A101" s="170">
        <v>2006</v>
      </c>
      <c r="B101" s="281"/>
      <c r="C101" s="395" t="s">
        <v>45</v>
      </c>
      <c r="D101" s="395"/>
      <c r="E101" s="170">
        <v>365</v>
      </c>
      <c r="F101" s="179"/>
      <c r="G101" s="170">
        <v>3</v>
      </c>
      <c r="H101" s="170">
        <v>8</v>
      </c>
      <c r="J101" s="239">
        <v>12</v>
      </c>
      <c r="K101" s="212">
        <f t="shared" si="28"/>
        <v>25</v>
      </c>
      <c r="L101" s="213">
        <f t="shared" si="29"/>
        <v>66.666666666666657</v>
      </c>
      <c r="M101" s="213">
        <f t="shared" si="30"/>
        <v>0</v>
      </c>
      <c r="N101" s="214">
        <f t="shared" si="23"/>
        <v>91.666666666666657</v>
      </c>
      <c r="O101" s="213">
        <v>6.6</v>
      </c>
      <c r="P101" s="213">
        <v>43.2</v>
      </c>
      <c r="Q101" s="213"/>
      <c r="R101" s="234">
        <f t="shared" si="24"/>
        <v>49.800000000000004</v>
      </c>
      <c r="S101" s="219">
        <v>5</v>
      </c>
      <c r="T101" s="281">
        <v>38991</v>
      </c>
      <c r="U101" s="296"/>
      <c r="V101" s="170" t="s">
        <v>16</v>
      </c>
      <c r="W101" s="170" t="s">
        <v>17</v>
      </c>
      <c r="X101" s="170" t="s">
        <v>18</v>
      </c>
      <c r="Y101" s="170">
        <v>43.2</v>
      </c>
      <c r="Z101" s="177" t="s">
        <v>1434</v>
      </c>
      <c r="AA101" s="170" t="s">
        <v>1435</v>
      </c>
      <c r="AB101" s="170" t="s">
        <v>11</v>
      </c>
      <c r="AC101" s="178">
        <v>6.6</v>
      </c>
      <c r="AD101" s="177"/>
      <c r="AG101" s="178"/>
      <c r="AL101" s="177"/>
      <c r="AO101" s="178"/>
      <c r="AS101" s="178"/>
      <c r="AW101" s="178"/>
      <c r="BA101" s="179"/>
    </row>
    <row r="102" spans="1:53" s="170" customFormat="1" ht="11" customHeight="1" x14ac:dyDescent="0.15">
      <c r="A102" s="170">
        <v>2007</v>
      </c>
      <c r="B102" s="281"/>
      <c r="C102" s="395" t="s">
        <v>45</v>
      </c>
      <c r="D102" s="395"/>
      <c r="E102" s="170">
        <v>10</v>
      </c>
      <c r="F102" s="179"/>
      <c r="G102" s="170">
        <v>3</v>
      </c>
      <c r="H102" s="170">
        <v>8</v>
      </c>
      <c r="J102" s="239">
        <v>12</v>
      </c>
      <c r="K102" s="212">
        <f t="shared" si="28"/>
        <v>25</v>
      </c>
      <c r="L102" s="213">
        <f t="shared" si="29"/>
        <v>66.666666666666657</v>
      </c>
      <c r="M102" s="213">
        <f t="shared" si="30"/>
        <v>0</v>
      </c>
      <c r="N102" s="214">
        <f t="shared" si="23"/>
        <v>91.666666666666657</v>
      </c>
      <c r="O102" s="213">
        <v>6.6</v>
      </c>
      <c r="P102" s="213">
        <v>43.2</v>
      </c>
      <c r="Q102" s="213"/>
      <c r="R102" s="234">
        <f t="shared" si="24"/>
        <v>49.800000000000004</v>
      </c>
      <c r="S102" s="219">
        <v>5</v>
      </c>
      <c r="T102" s="281"/>
      <c r="U102" s="296"/>
      <c r="V102" s="170" t="s">
        <v>16</v>
      </c>
      <c r="W102" s="170" t="s">
        <v>17</v>
      </c>
      <c r="X102" s="170" t="s">
        <v>18</v>
      </c>
      <c r="Y102" s="170">
        <v>43.2</v>
      </c>
      <c r="Z102" s="177" t="s">
        <v>1434</v>
      </c>
      <c r="AA102" s="170" t="s">
        <v>1435</v>
      </c>
      <c r="AB102" s="170" t="s">
        <v>11</v>
      </c>
      <c r="AC102" s="178">
        <v>6.6</v>
      </c>
      <c r="AD102" s="177"/>
      <c r="AG102" s="178"/>
      <c r="AL102" s="177"/>
      <c r="AO102" s="178"/>
      <c r="AS102" s="178"/>
      <c r="AW102" s="178"/>
      <c r="BA102" s="179"/>
    </row>
    <row r="103" spans="1:53" s="28" customFormat="1" ht="11" customHeight="1" x14ac:dyDescent="0.15">
      <c r="A103" s="28">
        <v>2007</v>
      </c>
      <c r="B103" s="277">
        <v>39093</v>
      </c>
      <c r="C103" s="394" t="s">
        <v>46</v>
      </c>
      <c r="D103" s="394"/>
      <c r="E103" s="28">
        <v>355</v>
      </c>
      <c r="F103" s="39">
        <v>1</v>
      </c>
      <c r="H103" s="28">
        <v>7</v>
      </c>
      <c r="I103" s="28">
        <v>7</v>
      </c>
      <c r="J103" s="71">
        <v>14</v>
      </c>
      <c r="K103" s="45">
        <f t="shared" si="28"/>
        <v>0</v>
      </c>
      <c r="L103" s="46">
        <f t="shared" si="29"/>
        <v>50</v>
      </c>
      <c r="M103" s="46">
        <f t="shared" si="30"/>
        <v>50</v>
      </c>
      <c r="N103" s="47">
        <f t="shared" si="23"/>
        <v>100</v>
      </c>
      <c r="O103" s="46"/>
      <c r="P103" s="46">
        <v>36.1</v>
      </c>
      <c r="Q103" s="46">
        <v>37.200000000000003</v>
      </c>
      <c r="R103" s="67">
        <f t="shared" si="24"/>
        <v>73.300000000000011</v>
      </c>
      <c r="S103" s="68">
        <v>2</v>
      </c>
      <c r="T103" s="293"/>
      <c r="U103" s="290">
        <v>39093</v>
      </c>
      <c r="V103" s="28" t="s">
        <v>19</v>
      </c>
      <c r="W103" s="28" t="s">
        <v>20</v>
      </c>
      <c r="X103" s="28" t="s">
        <v>12</v>
      </c>
      <c r="Y103" s="28">
        <v>37.200000000000003</v>
      </c>
      <c r="Z103" s="37" t="s">
        <v>16</v>
      </c>
      <c r="AA103" s="28" t="s">
        <v>17</v>
      </c>
      <c r="AB103" s="28" t="s">
        <v>18</v>
      </c>
      <c r="AC103" s="38">
        <v>36.1</v>
      </c>
      <c r="AD103" s="37"/>
      <c r="AG103" s="38"/>
      <c r="AL103" s="37"/>
      <c r="AO103" s="38"/>
      <c r="AS103" s="38"/>
      <c r="AW103" s="38"/>
      <c r="BA103" s="39"/>
    </row>
    <row r="104" spans="1:53" s="28" customFormat="1" ht="11" customHeight="1" x14ac:dyDescent="0.15">
      <c r="A104" s="28">
        <v>2008</v>
      </c>
      <c r="B104" s="293"/>
      <c r="C104" s="394" t="s">
        <v>46</v>
      </c>
      <c r="D104" s="394"/>
      <c r="E104" s="28">
        <v>336</v>
      </c>
      <c r="F104" s="39"/>
      <c r="H104" s="28">
        <v>7</v>
      </c>
      <c r="I104" s="28">
        <v>7</v>
      </c>
      <c r="J104" s="71">
        <v>14</v>
      </c>
      <c r="K104" s="45">
        <f t="shared" si="28"/>
        <v>0</v>
      </c>
      <c r="L104" s="46">
        <f t="shared" si="29"/>
        <v>50</v>
      </c>
      <c r="M104" s="46">
        <f t="shared" si="30"/>
        <v>50</v>
      </c>
      <c r="N104" s="47">
        <f t="shared" si="23"/>
        <v>100</v>
      </c>
      <c r="O104" s="46"/>
      <c r="P104" s="46">
        <v>36.1</v>
      </c>
      <c r="Q104" s="46">
        <v>37.200000000000003</v>
      </c>
      <c r="R104" s="67">
        <f t="shared" si="24"/>
        <v>73.300000000000011</v>
      </c>
      <c r="S104" s="68">
        <v>2</v>
      </c>
      <c r="T104" s="293"/>
      <c r="U104" s="290"/>
      <c r="V104" s="28" t="s">
        <v>19</v>
      </c>
      <c r="W104" s="28" t="s">
        <v>20</v>
      </c>
      <c r="X104" s="28" t="s">
        <v>12</v>
      </c>
      <c r="Y104" s="28">
        <v>37.200000000000003</v>
      </c>
      <c r="Z104" s="37" t="s">
        <v>16</v>
      </c>
      <c r="AA104" s="28" t="s">
        <v>17</v>
      </c>
      <c r="AB104" s="28" t="s">
        <v>18</v>
      </c>
      <c r="AC104" s="38">
        <v>36.1</v>
      </c>
      <c r="AD104" s="37"/>
      <c r="AG104" s="38"/>
      <c r="AL104" s="37"/>
      <c r="AO104" s="38"/>
      <c r="AS104" s="38"/>
      <c r="AW104" s="38"/>
      <c r="BA104" s="39"/>
    </row>
    <row r="105" spans="1:53" s="170" customFormat="1" ht="11" customHeight="1" x14ac:dyDescent="0.15">
      <c r="A105" s="170">
        <v>2008</v>
      </c>
      <c r="B105" s="276">
        <v>39784</v>
      </c>
      <c r="C105" s="395" t="s">
        <v>47</v>
      </c>
      <c r="D105" s="395"/>
      <c r="E105" s="170">
        <v>30</v>
      </c>
      <c r="F105" s="179">
        <v>1</v>
      </c>
      <c r="H105" s="170">
        <v>7</v>
      </c>
      <c r="I105" s="170">
        <v>7</v>
      </c>
      <c r="J105" s="239">
        <v>14</v>
      </c>
      <c r="K105" s="212">
        <f t="shared" si="28"/>
        <v>0</v>
      </c>
      <c r="L105" s="213">
        <f t="shared" si="29"/>
        <v>50</v>
      </c>
      <c r="M105" s="213">
        <f t="shared" si="30"/>
        <v>50</v>
      </c>
      <c r="N105" s="214">
        <f t="shared" si="23"/>
        <v>100</v>
      </c>
      <c r="O105" s="213"/>
      <c r="P105" s="213">
        <v>27.9</v>
      </c>
      <c r="Q105" s="213">
        <v>31.1</v>
      </c>
      <c r="R105" s="234">
        <f t="shared" si="24"/>
        <v>59</v>
      </c>
      <c r="S105" s="219">
        <v>2</v>
      </c>
      <c r="T105" s="281">
        <v>39719</v>
      </c>
      <c r="U105" s="296">
        <v>39784</v>
      </c>
      <c r="V105" s="170" t="s">
        <v>19</v>
      </c>
      <c r="W105" s="170" t="s">
        <v>20</v>
      </c>
      <c r="X105" s="170" t="s">
        <v>12</v>
      </c>
      <c r="Y105" s="170">
        <v>31.1</v>
      </c>
      <c r="Z105" s="177" t="s">
        <v>16</v>
      </c>
      <c r="AA105" s="170" t="s">
        <v>17</v>
      </c>
      <c r="AB105" s="170" t="s">
        <v>18</v>
      </c>
      <c r="AC105" s="178">
        <v>27.9</v>
      </c>
      <c r="AD105" s="177"/>
      <c r="AG105" s="178"/>
      <c r="AL105" s="177"/>
      <c r="AO105" s="178"/>
      <c r="AS105" s="178"/>
      <c r="AW105" s="178"/>
      <c r="BA105" s="179"/>
    </row>
    <row r="106" spans="1:53" s="170" customFormat="1" ht="11" customHeight="1" x14ac:dyDescent="0.15">
      <c r="A106" s="170">
        <v>2009</v>
      </c>
      <c r="B106" s="281"/>
      <c r="C106" s="395" t="s">
        <v>47</v>
      </c>
      <c r="D106" s="395"/>
      <c r="E106" s="170">
        <v>0</v>
      </c>
      <c r="F106" s="179"/>
      <c r="H106" s="170">
        <v>7</v>
      </c>
      <c r="I106" s="170">
        <v>7</v>
      </c>
      <c r="J106" s="239">
        <v>14</v>
      </c>
      <c r="K106" s="212">
        <f t="shared" si="28"/>
        <v>0</v>
      </c>
      <c r="L106" s="213">
        <f>H106/J106*100</f>
        <v>50</v>
      </c>
      <c r="M106" s="213">
        <f t="shared" si="30"/>
        <v>50</v>
      </c>
      <c r="N106" s="214">
        <f t="shared" si="23"/>
        <v>100</v>
      </c>
      <c r="O106" s="213"/>
      <c r="P106" s="213">
        <v>27.9</v>
      </c>
      <c r="Q106" s="213">
        <v>31.1</v>
      </c>
      <c r="R106" s="234">
        <f t="shared" si="24"/>
        <v>59</v>
      </c>
      <c r="S106" s="219">
        <v>2</v>
      </c>
      <c r="T106" s="281"/>
      <c r="U106" s="296"/>
      <c r="V106" s="170" t="s">
        <v>19</v>
      </c>
      <c r="W106" s="170" t="s">
        <v>20</v>
      </c>
      <c r="X106" s="170" t="s">
        <v>12</v>
      </c>
      <c r="Y106" s="170">
        <v>31.1</v>
      </c>
      <c r="Z106" s="177" t="s">
        <v>16</v>
      </c>
      <c r="AA106" s="170" t="s">
        <v>17</v>
      </c>
      <c r="AB106" s="170" t="s">
        <v>18</v>
      </c>
      <c r="AC106" s="178">
        <v>27.9</v>
      </c>
      <c r="AD106" s="177"/>
      <c r="AG106" s="178"/>
      <c r="AL106" s="177"/>
      <c r="AO106" s="178"/>
      <c r="AS106" s="178"/>
      <c r="AW106" s="178"/>
      <c r="BA106" s="179"/>
    </row>
    <row r="107" spans="1:53" s="170" customFormat="1" ht="11" customHeight="1" x14ac:dyDescent="0.15">
      <c r="A107" s="170">
        <v>2009</v>
      </c>
      <c r="B107" s="281"/>
      <c r="C107" s="395" t="s">
        <v>47</v>
      </c>
      <c r="D107" s="395"/>
      <c r="E107" s="170">
        <v>365</v>
      </c>
      <c r="F107" s="179"/>
      <c r="H107" s="170">
        <v>7</v>
      </c>
      <c r="I107" s="170">
        <v>7</v>
      </c>
      <c r="J107" s="239">
        <v>14</v>
      </c>
      <c r="K107" s="212">
        <f t="shared" si="28"/>
        <v>0</v>
      </c>
      <c r="L107" s="213">
        <f t="shared" si="29"/>
        <v>50</v>
      </c>
      <c r="M107" s="213">
        <f t="shared" si="30"/>
        <v>50</v>
      </c>
      <c r="N107" s="214">
        <f t="shared" si="23"/>
        <v>100</v>
      </c>
      <c r="O107" s="213"/>
      <c r="P107" s="213">
        <v>27.9</v>
      </c>
      <c r="Q107" s="213">
        <v>31.1</v>
      </c>
      <c r="R107" s="234">
        <f t="shared" si="24"/>
        <v>59</v>
      </c>
      <c r="S107" s="219">
        <v>2</v>
      </c>
      <c r="T107" s="281"/>
      <c r="U107" s="296"/>
      <c r="V107" s="170" t="s">
        <v>19</v>
      </c>
      <c r="W107" s="170" t="s">
        <v>20</v>
      </c>
      <c r="X107" s="170" t="s">
        <v>12</v>
      </c>
      <c r="Y107" s="170">
        <v>31.1</v>
      </c>
      <c r="Z107" s="177" t="s">
        <v>16</v>
      </c>
      <c r="AA107" s="170" t="s">
        <v>17</v>
      </c>
      <c r="AB107" s="170" t="s">
        <v>18</v>
      </c>
      <c r="AC107" s="178">
        <v>27.9</v>
      </c>
      <c r="AD107" s="177"/>
      <c r="AG107" s="178"/>
      <c r="AL107" s="177"/>
      <c r="AO107" s="178"/>
      <c r="AS107" s="178"/>
      <c r="AW107" s="178"/>
      <c r="BA107" s="179"/>
    </row>
    <row r="108" spans="1:53" s="170" customFormat="1" ht="11" customHeight="1" x14ac:dyDescent="0.15">
      <c r="A108" s="170">
        <v>2010</v>
      </c>
      <c r="B108" s="281"/>
      <c r="C108" s="395" t="s">
        <v>47</v>
      </c>
      <c r="D108" s="395"/>
      <c r="E108" s="170">
        <v>0</v>
      </c>
      <c r="F108" s="179"/>
      <c r="H108" s="170">
        <v>7</v>
      </c>
      <c r="I108" s="170">
        <v>7</v>
      </c>
      <c r="J108" s="239">
        <v>14</v>
      </c>
      <c r="K108" s="212">
        <f t="shared" si="28"/>
        <v>0</v>
      </c>
      <c r="L108" s="213">
        <f t="shared" si="29"/>
        <v>50</v>
      </c>
      <c r="M108" s="213">
        <f t="shared" si="30"/>
        <v>50</v>
      </c>
      <c r="N108" s="214">
        <f t="shared" si="23"/>
        <v>100</v>
      </c>
      <c r="O108" s="213"/>
      <c r="P108" s="213">
        <v>27.9</v>
      </c>
      <c r="Q108" s="213">
        <v>31.1</v>
      </c>
      <c r="R108" s="234">
        <f t="shared" si="24"/>
        <v>59</v>
      </c>
      <c r="S108" s="219">
        <v>2</v>
      </c>
      <c r="T108" s="281"/>
      <c r="U108" s="296"/>
      <c r="V108" s="170" t="s">
        <v>19</v>
      </c>
      <c r="W108" s="170" t="s">
        <v>20</v>
      </c>
      <c r="X108" s="170" t="s">
        <v>12</v>
      </c>
      <c r="Y108" s="170">
        <v>31.1</v>
      </c>
      <c r="Z108" s="177" t="s">
        <v>16</v>
      </c>
      <c r="AA108" s="170" t="s">
        <v>17</v>
      </c>
      <c r="AB108" s="170" t="s">
        <v>18</v>
      </c>
      <c r="AC108" s="178">
        <v>27.9</v>
      </c>
      <c r="AD108" s="177"/>
      <c r="AG108" s="178"/>
      <c r="AL108" s="177"/>
      <c r="AO108" s="178"/>
      <c r="AS108" s="178"/>
      <c r="AW108" s="178"/>
      <c r="BA108" s="179"/>
    </row>
    <row r="109" spans="1:53" s="170" customFormat="1" ht="11" customHeight="1" x14ac:dyDescent="0.15">
      <c r="A109" s="170">
        <v>2010</v>
      </c>
      <c r="B109" s="281"/>
      <c r="C109" s="395" t="s">
        <v>47</v>
      </c>
      <c r="D109" s="395"/>
      <c r="E109" s="170">
        <v>365</v>
      </c>
      <c r="F109" s="179"/>
      <c r="H109" s="170">
        <v>7</v>
      </c>
      <c r="I109" s="170">
        <v>7</v>
      </c>
      <c r="J109" s="239">
        <v>14</v>
      </c>
      <c r="K109" s="212">
        <f t="shared" si="28"/>
        <v>0</v>
      </c>
      <c r="L109" s="213">
        <f t="shared" si="29"/>
        <v>50</v>
      </c>
      <c r="M109" s="213">
        <f t="shared" si="30"/>
        <v>50</v>
      </c>
      <c r="N109" s="214">
        <f t="shared" si="23"/>
        <v>100</v>
      </c>
      <c r="O109" s="213"/>
      <c r="P109" s="213">
        <v>27.9</v>
      </c>
      <c r="Q109" s="213">
        <v>31.1</v>
      </c>
      <c r="R109" s="234">
        <f t="shared" si="24"/>
        <v>59</v>
      </c>
      <c r="S109" s="219">
        <v>2</v>
      </c>
      <c r="T109" s="281"/>
      <c r="U109" s="296"/>
      <c r="V109" s="170" t="s">
        <v>19</v>
      </c>
      <c r="W109" s="170" t="s">
        <v>20</v>
      </c>
      <c r="X109" s="170" t="s">
        <v>12</v>
      </c>
      <c r="Y109" s="170">
        <v>31.1</v>
      </c>
      <c r="Z109" s="177" t="s">
        <v>16</v>
      </c>
      <c r="AA109" s="170" t="s">
        <v>17</v>
      </c>
      <c r="AB109" s="170" t="s">
        <v>18</v>
      </c>
      <c r="AC109" s="178">
        <v>27.9</v>
      </c>
      <c r="AD109" s="177"/>
      <c r="AG109" s="178"/>
      <c r="AL109" s="177"/>
      <c r="AO109" s="178"/>
      <c r="AS109" s="178"/>
      <c r="AW109" s="178"/>
      <c r="BA109" s="179"/>
    </row>
    <row r="110" spans="1:53" s="170" customFormat="1" ht="11" customHeight="1" x14ac:dyDescent="0.15">
      <c r="A110" s="170">
        <v>2011</v>
      </c>
      <c r="B110" s="281"/>
      <c r="C110" s="395" t="s">
        <v>47</v>
      </c>
      <c r="D110" s="395"/>
      <c r="E110" s="170">
        <v>0</v>
      </c>
      <c r="F110" s="179"/>
      <c r="H110" s="170">
        <v>7</v>
      </c>
      <c r="I110" s="170">
        <v>7</v>
      </c>
      <c r="J110" s="239">
        <v>14</v>
      </c>
      <c r="K110" s="212">
        <f t="shared" si="28"/>
        <v>0</v>
      </c>
      <c r="L110" s="213">
        <f t="shared" si="29"/>
        <v>50</v>
      </c>
      <c r="M110" s="213">
        <f t="shared" si="30"/>
        <v>50</v>
      </c>
      <c r="N110" s="214">
        <f t="shared" si="23"/>
        <v>100</v>
      </c>
      <c r="O110" s="213"/>
      <c r="P110" s="213">
        <v>27.9</v>
      </c>
      <c r="Q110" s="213">
        <v>31.1</v>
      </c>
      <c r="R110" s="234">
        <f t="shared" si="24"/>
        <v>59</v>
      </c>
      <c r="S110" s="219">
        <v>2</v>
      </c>
      <c r="T110" s="281"/>
      <c r="U110" s="296"/>
      <c r="V110" s="170" t="s">
        <v>19</v>
      </c>
      <c r="W110" s="170" t="s">
        <v>20</v>
      </c>
      <c r="X110" s="170" t="s">
        <v>12</v>
      </c>
      <c r="Y110" s="170">
        <v>31.1</v>
      </c>
      <c r="Z110" s="177" t="s">
        <v>16</v>
      </c>
      <c r="AA110" s="170" t="s">
        <v>17</v>
      </c>
      <c r="AB110" s="170" t="s">
        <v>18</v>
      </c>
      <c r="AC110" s="178">
        <v>27.9</v>
      </c>
      <c r="AD110" s="177"/>
      <c r="AG110" s="178"/>
      <c r="AL110" s="177"/>
      <c r="AO110" s="178"/>
      <c r="AS110" s="178"/>
      <c r="AW110" s="178"/>
      <c r="BA110" s="179"/>
    </row>
    <row r="111" spans="1:53" s="170" customFormat="1" ht="11" customHeight="1" x14ac:dyDescent="0.15">
      <c r="A111" s="170">
        <v>2011</v>
      </c>
      <c r="B111" s="281"/>
      <c r="C111" s="395" t="s">
        <v>47</v>
      </c>
      <c r="D111" s="395"/>
      <c r="E111" s="170">
        <v>365</v>
      </c>
      <c r="F111" s="179"/>
      <c r="H111" s="170">
        <v>7</v>
      </c>
      <c r="I111" s="170">
        <v>7</v>
      </c>
      <c r="J111" s="239">
        <v>14</v>
      </c>
      <c r="K111" s="212">
        <f t="shared" si="28"/>
        <v>0</v>
      </c>
      <c r="L111" s="213">
        <f t="shared" si="29"/>
        <v>50</v>
      </c>
      <c r="M111" s="213">
        <f t="shared" si="30"/>
        <v>50</v>
      </c>
      <c r="N111" s="214">
        <f t="shared" si="23"/>
        <v>100</v>
      </c>
      <c r="O111" s="213"/>
      <c r="P111" s="213">
        <v>27.9</v>
      </c>
      <c r="Q111" s="213">
        <v>31.1</v>
      </c>
      <c r="R111" s="234">
        <f t="shared" si="24"/>
        <v>59</v>
      </c>
      <c r="S111" s="219">
        <v>2</v>
      </c>
      <c r="T111" s="281"/>
      <c r="U111" s="296"/>
      <c r="V111" s="170" t="s">
        <v>19</v>
      </c>
      <c r="W111" s="170" t="s">
        <v>20</v>
      </c>
      <c r="X111" s="170" t="s">
        <v>12</v>
      </c>
      <c r="Y111" s="170">
        <v>31.1</v>
      </c>
      <c r="Z111" s="177" t="s">
        <v>16</v>
      </c>
      <c r="AA111" s="170" t="s">
        <v>17</v>
      </c>
      <c r="AB111" s="170" t="s">
        <v>18</v>
      </c>
      <c r="AC111" s="178">
        <v>27.9</v>
      </c>
      <c r="AD111" s="177"/>
      <c r="AG111" s="178"/>
      <c r="AL111" s="177"/>
      <c r="AO111" s="178"/>
      <c r="AS111" s="178"/>
      <c r="AW111" s="178"/>
      <c r="BA111" s="179"/>
    </row>
    <row r="112" spans="1:53" s="170" customFormat="1" ht="11" customHeight="1" x14ac:dyDescent="0.15">
      <c r="A112" s="170">
        <v>2012</v>
      </c>
      <c r="B112" s="281"/>
      <c r="C112" s="395" t="s">
        <v>47</v>
      </c>
      <c r="D112" s="395"/>
      <c r="E112" s="170">
        <v>0</v>
      </c>
      <c r="F112" s="179"/>
      <c r="H112" s="170">
        <v>7</v>
      </c>
      <c r="I112" s="170">
        <v>7</v>
      </c>
      <c r="J112" s="239">
        <v>14</v>
      </c>
      <c r="K112" s="212">
        <f t="shared" ref="K112:K117" si="36">G112/J112*100</f>
        <v>0</v>
      </c>
      <c r="L112" s="213">
        <f t="shared" ref="L112:L117" si="37">H112/J112*100</f>
        <v>50</v>
      </c>
      <c r="M112" s="213">
        <f t="shared" ref="M112:M117" si="38">I112/J112*100</f>
        <v>50</v>
      </c>
      <c r="N112" s="214">
        <f t="shared" si="23"/>
        <v>100</v>
      </c>
      <c r="O112" s="213"/>
      <c r="P112" s="213">
        <v>27.9</v>
      </c>
      <c r="Q112" s="213">
        <v>31.1</v>
      </c>
      <c r="R112" s="234">
        <f t="shared" si="24"/>
        <v>59</v>
      </c>
      <c r="S112" s="219">
        <v>2</v>
      </c>
      <c r="T112" s="281"/>
      <c r="U112" s="296"/>
      <c r="V112" s="170" t="s">
        <v>19</v>
      </c>
      <c r="W112" s="170" t="s">
        <v>20</v>
      </c>
      <c r="X112" s="170" t="s">
        <v>12</v>
      </c>
      <c r="Y112" s="170">
        <v>31.1</v>
      </c>
      <c r="Z112" s="177" t="s">
        <v>16</v>
      </c>
      <c r="AA112" s="170" t="s">
        <v>17</v>
      </c>
      <c r="AB112" s="170" t="s">
        <v>18</v>
      </c>
      <c r="AC112" s="178">
        <v>27.9</v>
      </c>
      <c r="AD112" s="177"/>
      <c r="AG112" s="178"/>
      <c r="AL112" s="177"/>
      <c r="AO112" s="178"/>
      <c r="AS112" s="178"/>
      <c r="AW112" s="178"/>
      <c r="BA112" s="179"/>
    </row>
    <row r="113" spans="1:53" s="170" customFormat="1" ht="11" customHeight="1" x14ac:dyDescent="0.15">
      <c r="A113" s="170">
        <v>2012</v>
      </c>
      <c r="B113" s="281"/>
      <c r="C113" s="395" t="s">
        <v>47</v>
      </c>
      <c r="D113" s="395"/>
      <c r="E113" s="170">
        <v>366</v>
      </c>
      <c r="F113" s="179"/>
      <c r="H113" s="170">
        <v>7</v>
      </c>
      <c r="I113" s="170">
        <v>7</v>
      </c>
      <c r="J113" s="239">
        <v>14</v>
      </c>
      <c r="K113" s="212">
        <f t="shared" si="36"/>
        <v>0</v>
      </c>
      <c r="L113" s="213">
        <f t="shared" si="37"/>
        <v>50</v>
      </c>
      <c r="M113" s="213">
        <f t="shared" si="38"/>
        <v>50</v>
      </c>
      <c r="N113" s="214">
        <f t="shared" si="23"/>
        <v>100</v>
      </c>
      <c r="O113" s="213"/>
      <c r="P113" s="213">
        <v>27.9</v>
      </c>
      <c r="Q113" s="213">
        <v>31.1</v>
      </c>
      <c r="R113" s="234">
        <f t="shared" si="24"/>
        <v>59</v>
      </c>
      <c r="S113" s="219">
        <v>2</v>
      </c>
      <c r="T113" s="281"/>
      <c r="U113" s="296"/>
      <c r="V113" s="170" t="s">
        <v>19</v>
      </c>
      <c r="W113" s="170" t="s">
        <v>20</v>
      </c>
      <c r="X113" s="170" t="s">
        <v>12</v>
      </c>
      <c r="Y113" s="170">
        <v>31.1</v>
      </c>
      <c r="Z113" s="177" t="s">
        <v>16</v>
      </c>
      <c r="AA113" s="170" t="s">
        <v>17</v>
      </c>
      <c r="AB113" s="170" t="s">
        <v>18</v>
      </c>
      <c r="AC113" s="178">
        <v>27.9</v>
      </c>
      <c r="AD113" s="177"/>
      <c r="AG113" s="178"/>
      <c r="AL113" s="177"/>
      <c r="AO113" s="178"/>
      <c r="AS113" s="178"/>
      <c r="AW113" s="178"/>
      <c r="BA113" s="179"/>
    </row>
    <row r="114" spans="1:53" s="170" customFormat="1" ht="11" customHeight="1" x14ac:dyDescent="0.15">
      <c r="A114" s="170">
        <v>2013</v>
      </c>
      <c r="B114" s="281"/>
      <c r="C114" s="395" t="s">
        <v>47</v>
      </c>
      <c r="D114" s="395"/>
      <c r="E114" s="170">
        <v>349</v>
      </c>
      <c r="F114" s="179"/>
      <c r="H114" s="170">
        <v>7</v>
      </c>
      <c r="I114" s="170">
        <v>7</v>
      </c>
      <c r="J114" s="239">
        <v>14</v>
      </c>
      <c r="K114" s="212">
        <f t="shared" si="36"/>
        <v>0</v>
      </c>
      <c r="L114" s="213">
        <f t="shared" si="37"/>
        <v>50</v>
      </c>
      <c r="M114" s="213">
        <f t="shared" si="38"/>
        <v>50</v>
      </c>
      <c r="N114" s="214">
        <f t="shared" si="23"/>
        <v>100</v>
      </c>
      <c r="O114" s="213"/>
      <c r="P114" s="213">
        <v>27.9</v>
      </c>
      <c r="Q114" s="213">
        <v>31.1</v>
      </c>
      <c r="R114" s="234">
        <f t="shared" si="24"/>
        <v>59</v>
      </c>
      <c r="S114" s="219">
        <v>2</v>
      </c>
      <c r="T114" s="281"/>
      <c r="U114" s="296"/>
      <c r="V114" s="170" t="s">
        <v>19</v>
      </c>
      <c r="W114" s="170" t="s">
        <v>20</v>
      </c>
      <c r="X114" s="170" t="s">
        <v>12</v>
      </c>
      <c r="Y114" s="170">
        <v>31.1</v>
      </c>
      <c r="Z114" s="177" t="s">
        <v>16</v>
      </c>
      <c r="AA114" s="170" t="s">
        <v>17</v>
      </c>
      <c r="AB114" s="170" t="s">
        <v>18</v>
      </c>
      <c r="AC114" s="178">
        <v>27.9</v>
      </c>
      <c r="AD114" s="177"/>
      <c r="AG114" s="178"/>
      <c r="AL114" s="177"/>
      <c r="AO114" s="178"/>
      <c r="AS114" s="178"/>
      <c r="AW114" s="178"/>
      <c r="BA114" s="179"/>
    </row>
    <row r="115" spans="1:53" s="28" customFormat="1" ht="11" customHeight="1" x14ac:dyDescent="0.15">
      <c r="A115" s="28">
        <v>2013</v>
      </c>
      <c r="B115" s="293">
        <v>41624</v>
      </c>
      <c r="C115" s="394" t="s">
        <v>1236</v>
      </c>
      <c r="D115" s="394"/>
      <c r="E115" s="28">
        <f>365-E114</f>
        <v>16</v>
      </c>
      <c r="F115" s="39">
        <v>1</v>
      </c>
      <c r="H115" s="28">
        <v>7</v>
      </c>
      <c r="I115" s="28">
        <v>7</v>
      </c>
      <c r="J115" s="71">
        <v>14</v>
      </c>
      <c r="K115" s="45">
        <f t="shared" si="36"/>
        <v>0</v>
      </c>
      <c r="L115" s="46">
        <f t="shared" si="37"/>
        <v>50</v>
      </c>
      <c r="M115" s="46">
        <f t="shared" si="38"/>
        <v>50</v>
      </c>
      <c r="N115" s="47">
        <f t="shared" si="23"/>
        <v>100</v>
      </c>
      <c r="O115" s="46"/>
      <c r="P115" s="46">
        <v>25.7</v>
      </c>
      <c r="Q115" s="46">
        <v>28.4</v>
      </c>
      <c r="R115" s="67">
        <f t="shared" si="24"/>
        <v>54.099999999999994</v>
      </c>
      <c r="S115" s="68">
        <v>2</v>
      </c>
      <c r="T115" s="293">
        <v>41546</v>
      </c>
      <c r="U115" s="290">
        <v>41624</v>
      </c>
      <c r="V115" s="28" t="s">
        <v>19</v>
      </c>
      <c r="W115" s="28" t="s">
        <v>20</v>
      </c>
      <c r="X115" s="28" t="s">
        <v>12</v>
      </c>
      <c r="Y115" s="28">
        <v>28.4</v>
      </c>
      <c r="Z115" s="37" t="s">
        <v>16</v>
      </c>
      <c r="AA115" s="28" t="s">
        <v>17</v>
      </c>
      <c r="AB115" s="28" t="s">
        <v>18</v>
      </c>
      <c r="AC115" s="38">
        <v>25.7</v>
      </c>
      <c r="AD115" s="37"/>
      <c r="AG115" s="38"/>
      <c r="AL115" s="37"/>
      <c r="AO115" s="38"/>
      <c r="AS115" s="38"/>
      <c r="AW115" s="38"/>
      <c r="BA115" s="39"/>
    </row>
    <row r="116" spans="1:53" s="28" customFormat="1" ht="11" customHeight="1" x14ac:dyDescent="0.15">
      <c r="A116" s="28">
        <v>2014</v>
      </c>
      <c r="B116" s="293"/>
      <c r="C116" s="394" t="s">
        <v>1236</v>
      </c>
      <c r="D116" s="394"/>
      <c r="E116" s="28">
        <v>0</v>
      </c>
      <c r="F116" s="39"/>
      <c r="H116" s="28">
        <v>7</v>
      </c>
      <c r="I116" s="28">
        <v>7</v>
      </c>
      <c r="J116" s="71">
        <v>14</v>
      </c>
      <c r="K116" s="45">
        <f t="shared" si="36"/>
        <v>0</v>
      </c>
      <c r="L116" s="46">
        <f t="shared" si="37"/>
        <v>50</v>
      </c>
      <c r="M116" s="46">
        <f t="shared" si="38"/>
        <v>50</v>
      </c>
      <c r="N116" s="47">
        <f t="shared" si="23"/>
        <v>100</v>
      </c>
      <c r="O116" s="46"/>
      <c r="P116" s="46">
        <v>25.7</v>
      </c>
      <c r="Q116" s="46">
        <v>28.4</v>
      </c>
      <c r="R116" s="67">
        <f t="shared" si="24"/>
        <v>54.099999999999994</v>
      </c>
      <c r="S116" s="68">
        <v>2</v>
      </c>
      <c r="T116" s="293"/>
      <c r="U116" s="290"/>
      <c r="V116" s="28" t="s">
        <v>19</v>
      </c>
      <c r="W116" s="28" t="s">
        <v>20</v>
      </c>
      <c r="X116" s="28" t="s">
        <v>12</v>
      </c>
      <c r="Y116" s="28">
        <v>28.4</v>
      </c>
      <c r="Z116" s="37" t="s">
        <v>16</v>
      </c>
      <c r="AA116" s="28" t="s">
        <v>17</v>
      </c>
      <c r="AB116" s="28" t="s">
        <v>18</v>
      </c>
      <c r="AC116" s="38">
        <v>25.7</v>
      </c>
      <c r="AD116" s="37"/>
      <c r="AG116" s="38"/>
      <c r="AL116" s="37"/>
      <c r="AO116" s="38"/>
      <c r="AS116" s="38"/>
      <c r="AW116" s="38"/>
      <c r="BA116" s="39"/>
    </row>
    <row r="117" spans="1:53" s="28" customFormat="1" ht="11" customHeight="1" x14ac:dyDescent="0.15">
      <c r="A117" s="28">
        <v>2014</v>
      </c>
      <c r="B117" s="293"/>
      <c r="C117" s="394" t="s">
        <v>1236</v>
      </c>
      <c r="D117" s="394"/>
      <c r="E117" s="28">
        <v>365</v>
      </c>
      <c r="F117" s="39"/>
      <c r="H117" s="28">
        <v>7</v>
      </c>
      <c r="I117" s="28">
        <v>7</v>
      </c>
      <c r="J117" s="71">
        <v>14</v>
      </c>
      <c r="K117" s="45">
        <f t="shared" si="36"/>
        <v>0</v>
      </c>
      <c r="L117" s="46">
        <f t="shared" si="37"/>
        <v>50</v>
      </c>
      <c r="M117" s="46">
        <f t="shared" si="38"/>
        <v>50</v>
      </c>
      <c r="N117" s="47">
        <f>SUM(K117:M117)</f>
        <v>100</v>
      </c>
      <c r="O117" s="46"/>
      <c r="P117" s="46">
        <v>25.7</v>
      </c>
      <c r="Q117" s="46">
        <v>28.4</v>
      </c>
      <c r="R117" s="67">
        <f t="shared" si="24"/>
        <v>54.099999999999994</v>
      </c>
      <c r="S117" s="68">
        <v>2</v>
      </c>
      <c r="T117" s="293"/>
      <c r="U117" s="290"/>
      <c r="V117" s="28" t="s">
        <v>19</v>
      </c>
      <c r="W117" s="28" t="s">
        <v>20</v>
      </c>
      <c r="X117" s="28" t="s">
        <v>12</v>
      </c>
      <c r="Y117" s="28">
        <v>28.4</v>
      </c>
      <c r="Z117" s="37" t="s">
        <v>16</v>
      </c>
      <c r="AA117" s="28" t="s">
        <v>17</v>
      </c>
      <c r="AB117" s="28" t="s">
        <v>18</v>
      </c>
      <c r="AC117" s="38">
        <v>25.7</v>
      </c>
      <c r="AD117" s="37"/>
      <c r="AG117" s="38"/>
      <c r="AL117" s="37"/>
      <c r="AO117" s="38"/>
      <c r="AS117" s="38"/>
      <c r="AW117" s="38"/>
      <c r="BA117" s="39"/>
    </row>
    <row r="118" spans="1:53" s="28" customFormat="1" ht="11" customHeight="1" x14ac:dyDescent="0.15">
      <c r="A118" s="28">
        <v>2015</v>
      </c>
      <c r="B118" s="293"/>
      <c r="C118" s="394" t="s">
        <v>1236</v>
      </c>
      <c r="D118" s="394"/>
      <c r="E118" s="28">
        <v>0</v>
      </c>
      <c r="F118" s="39"/>
      <c r="H118" s="28">
        <v>7</v>
      </c>
      <c r="I118" s="28">
        <v>7</v>
      </c>
      <c r="J118" s="71">
        <v>14</v>
      </c>
      <c r="K118" s="45">
        <f t="shared" ref="K118:K120" si="39">G118/J118*100</f>
        <v>0</v>
      </c>
      <c r="L118" s="46">
        <f t="shared" ref="L118:L120" si="40">H118/J118*100</f>
        <v>50</v>
      </c>
      <c r="M118" s="46">
        <f t="shared" ref="M118:M120" si="41">I118/J118*100</f>
        <v>50</v>
      </c>
      <c r="N118" s="47">
        <f t="shared" ref="N118:N120" si="42">SUM(K118:M118)</f>
        <v>100</v>
      </c>
      <c r="O118" s="46"/>
      <c r="P118" s="46">
        <v>25.7</v>
      </c>
      <c r="Q118" s="46">
        <v>28.4</v>
      </c>
      <c r="R118" s="67">
        <f t="shared" ref="R118:R121" si="43">SUM(O118:Q118)</f>
        <v>54.099999999999994</v>
      </c>
      <c r="S118" s="68">
        <v>2</v>
      </c>
      <c r="T118" s="293"/>
      <c r="U118" s="290"/>
      <c r="V118" s="28" t="s">
        <v>19</v>
      </c>
      <c r="W118" s="28" t="s">
        <v>20</v>
      </c>
      <c r="X118" s="28" t="s">
        <v>12</v>
      </c>
      <c r="Y118" s="28">
        <v>28.4</v>
      </c>
      <c r="Z118" s="37" t="s">
        <v>16</v>
      </c>
      <c r="AA118" s="28" t="s">
        <v>17</v>
      </c>
      <c r="AB118" s="28" t="s">
        <v>18</v>
      </c>
      <c r="AC118" s="38">
        <v>25.7</v>
      </c>
      <c r="AD118" s="37"/>
      <c r="AG118" s="38"/>
      <c r="AL118" s="37"/>
      <c r="AO118" s="38"/>
      <c r="AS118" s="38"/>
      <c r="AW118" s="38"/>
      <c r="BA118" s="39"/>
    </row>
    <row r="119" spans="1:53" s="28" customFormat="1" ht="11" customHeight="1" x14ac:dyDescent="0.15">
      <c r="A119" s="28">
        <v>2015</v>
      </c>
      <c r="B119" s="293"/>
      <c r="C119" s="394" t="s">
        <v>1236</v>
      </c>
      <c r="D119" s="394"/>
      <c r="E119" s="28">
        <v>365</v>
      </c>
      <c r="F119" s="39"/>
      <c r="H119" s="28">
        <v>7</v>
      </c>
      <c r="I119" s="28">
        <v>7</v>
      </c>
      <c r="J119" s="71">
        <v>14</v>
      </c>
      <c r="K119" s="45">
        <f t="shared" si="39"/>
        <v>0</v>
      </c>
      <c r="L119" s="46">
        <f t="shared" si="40"/>
        <v>50</v>
      </c>
      <c r="M119" s="46">
        <f t="shared" si="41"/>
        <v>50</v>
      </c>
      <c r="N119" s="47">
        <f t="shared" si="42"/>
        <v>100</v>
      </c>
      <c r="O119" s="46"/>
      <c r="P119" s="46">
        <v>25.7</v>
      </c>
      <c r="Q119" s="46">
        <v>28.4</v>
      </c>
      <c r="R119" s="67">
        <f t="shared" si="43"/>
        <v>54.099999999999994</v>
      </c>
      <c r="S119" s="68">
        <v>2</v>
      </c>
      <c r="T119" s="293"/>
      <c r="U119" s="290"/>
      <c r="V119" s="28" t="s">
        <v>19</v>
      </c>
      <c r="W119" s="28" t="s">
        <v>20</v>
      </c>
      <c r="X119" s="28" t="s">
        <v>12</v>
      </c>
      <c r="Y119" s="28">
        <v>28.4</v>
      </c>
      <c r="Z119" s="37" t="s">
        <v>16</v>
      </c>
      <c r="AA119" s="28" t="s">
        <v>17</v>
      </c>
      <c r="AB119" s="28" t="s">
        <v>18</v>
      </c>
      <c r="AC119" s="38">
        <v>25.7</v>
      </c>
      <c r="AD119" s="37"/>
      <c r="AG119" s="38"/>
      <c r="AL119" s="37"/>
      <c r="AO119" s="38"/>
      <c r="AS119" s="38"/>
      <c r="AW119" s="38"/>
      <c r="BA119" s="39"/>
    </row>
    <row r="120" spans="1:53" s="28" customFormat="1" ht="11" customHeight="1" x14ac:dyDescent="0.15">
      <c r="A120" s="28">
        <v>2016</v>
      </c>
      <c r="B120" s="293"/>
      <c r="C120" s="394" t="s">
        <v>1236</v>
      </c>
      <c r="D120" s="394"/>
      <c r="E120" s="28">
        <v>137</v>
      </c>
      <c r="F120" s="39"/>
      <c r="H120" s="28">
        <v>7</v>
      </c>
      <c r="I120" s="28">
        <v>7</v>
      </c>
      <c r="J120" s="71">
        <v>14</v>
      </c>
      <c r="K120" s="45">
        <f t="shared" si="39"/>
        <v>0</v>
      </c>
      <c r="L120" s="46">
        <f t="shared" si="40"/>
        <v>50</v>
      </c>
      <c r="M120" s="46">
        <f t="shared" si="41"/>
        <v>50</v>
      </c>
      <c r="N120" s="47">
        <f t="shared" si="42"/>
        <v>100</v>
      </c>
      <c r="O120" s="46"/>
      <c r="P120" s="46">
        <v>25.7</v>
      </c>
      <c r="Q120" s="46">
        <v>28.4</v>
      </c>
      <c r="R120" s="67">
        <f t="shared" si="43"/>
        <v>54.099999999999994</v>
      </c>
      <c r="S120" s="68">
        <v>2</v>
      </c>
      <c r="T120" s="293"/>
      <c r="U120" s="290"/>
      <c r="V120" s="28" t="s">
        <v>19</v>
      </c>
      <c r="W120" s="28" t="s">
        <v>20</v>
      </c>
      <c r="X120" s="28" t="s">
        <v>12</v>
      </c>
      <c r="Y120" s="28">
        <v>28.4</v>
      </c>
      <c r="Z120" s="37" t="s">
        <v>16</v>
      </c>
      <c r="AA120" s="28" t="s">
        <v>17</v>
      </c>
      <c r="AB120" s="28" t="s">
        <v>18</v>
      </c>
      <c r="AC120" s="38">
        <v>25.7</v>
      </c>
      <c r="AD120" s="37"/>
      <c r="AG120" s="38"/>
      <c r="AL120" s="37"/>
      <c r="AO120" s="38"/>
      <c r="AS120" s="38"/>
      <c r="AW120" s="38"/>
      <c r="BA120" s="39"/>
    </row>
    <row r="121" spans="1:53" s="170" customFormat="1" ht="11" customHeight="1" x14ac:dyDescent="0.15">
      <c r="A121" s="170">
        <v>2016</v>
      </c>
      <c r="B121" s="281">
        <v>42507</v>
      </c>
      <c r="C121" s="395" t="s">
        <v>1332</v>
      </c>
      <c r="D121" s="395"/>
      <c r="E121" s="170">
        <v>229</v>
      </c>
      <c r="F121" s="170">
        <v>2</v>
      </c>
      <c r="G121" s="232"/>
      <c r="H121" s="170">
        <v>7</v>
      </c>
      <c r="I121" s="170">
        <v>7</v>
      </c>
      <c r="J121" s="170">
        <v>14</v>
      </c>
      <c r="K121" s="212">
        <f t="shared" ref="K121" si="44">G121/J121*100</f>
        <v>0</v>
      </c>
      <c r="L121" s="213">
        <f t="shared" ref="L121" si="45">H121/J121*100</f>
        <v>50</v>
      </c>
      <c r="M121" s="213">
        <f t="shared" ref="M121" si="46">I121/J121*100</f>
        <v>50</v>
      </c>
      <c r="N121" s="214">
        <f t="shared" ref="N121" si="47">SUM(K121:M121)</f>
        <v>100</v>
      </c>
      <c r="P121" s="170">
        <v>27.3</v>
      </c>
      <c r="Q121" s="170">
        <v>28.4</v>
      </c>
      <c r="R121" s="234">
        <f t="shared" si="43"/>
        <v>55.7</v>
      </c>
      <c r="S121" s="189">
        <v>2</v>
      </c>
      <c r="T121" s="281"/>
      <c r="U121" s="286">
        <v>42507</v>
      </c>
      <c r="V121" s="177" t="s">
        <v>19</v>
      </c>
      <c r="W121" s="170" t="s">
        <v>20</v>
      </c>
      <c r="X121" s="170" t="s">
        <v>12</v>
      </c>
      <c r="Y121" s="170">
        <v>28.4</v>
      </c>
      <c r="Z121" s="177" t="s">
        <v>16</v>
      </c>
      <c r="AA121" s="170" t="s">
        <v>17</v>
      </c>
      <c r="AB121" s="170" t="s">
        <v>18</v>
      </c>
      <c r="AC121" s="170">
        <v>27.3</v>
      </c>
      <c r="AD121" s="177"/>
      <c r="AG121" s="324"/>
      <c r="AK121" s="324"/>
      <c r="AO121" s="324"/>
      <c r="AS121" s="324"/>
      <c r="AW121" s="324"/>
      <c r="BA121" s="335"/>
    </row>
    <row r="122" spans="1:53" s="170" customFormat="1" ht="11" customHeight="1" x14ac:dyDescent="0.15">
      <c r="A122" s="170">
        <v>2017</v>
      </c>
      <c r="B122" s="281"/>
      <c r="C122" s="395" t="s">
        <v>1332</v>
      </c>
      <c r="D122" s="395"/>
      <c r="E122" s="170">
        <v>351</v>
      </c>
      <c r="G122" s="232"/>
      <c r="H122" s="170">
        <v>7</v>
      </c>
      <c r="I122" s="170">
        <v>7</v>
      </c>
      <c r="J122" s="170">
        <v>14</v>
      </c>
      <c r="K122" s="212">
        <f t="shared" ref="K122" si="48">G122/J122*100</f>
        <v>0</v>
      </c>
      <c r="L122" s="213">
        <f t="shared" ref="L122" si="49">H122/J122*100</f>
        <v>50</v>
      </c>
      <c r="M122" s="213">
        <f t="shared" ref="M122" si="50">I122/J122*100</f>
        <v>50</v>
      </c>
      <c r="N122" s="214">
        <f t="shared" ref="N122" si="51">SUM(K122:M122)</f>
        <v>100</v>
      </c>
      <c r="P122" s="170">
        <v>27.3</v>
      </c>
      <c r="Q122" s="170">
        <v>28.4</v>
      </c>
      <c r="R122" s="234">
        <f t="shared" ref="R122:R123" si="52">SUM(O122:Q122)</f>
        <v>55.7</v>
      </c>
      <c r="S122" s="189">
        <v>2</v>
      </c>
      <c r="T122" s="281"/>
      <c r="U122" s="286"/>
      <c r="V122" s="177" t="s">
        <v>19</v>
      </c>
      <c r="W122" s="170" t="s">
        <v>20</v>
      </c>
      <c r="X122" s="170" t="s">
        <v>12</v>
      </c>
      <c r="Y122" s="170">
        <v>28.4</v>
      </c>
      <c r="Z122" s="177" t="s">
        <v>16</v>
      </c>
      <c r="AA122" s="170" t="s">
        <v>17</v>
      </c>
      <c r="AB122" s="170" t="s">
        <v>18</v>
      </c>
      <c r="AC122" s="170">
        <v>27.3</v>
      </c>
      <c r="AD122" s="177"/>
      <c r="AG122" s="324"/>
      <c r="AK122" s="324"/>
      <c r="AO122" s="324"/>
      <c r="AS122" s="324"/>
      <c r="AW122" s="324"/>
      <c r="BA122" s="335"/>
    </row>
    <row r="123" spans="1:53" s="28" customFormat="1" ht="11" customHeight="1" x14ac:dyDescent="0.15">
      <c r="A123" s="28">
        <v>2017</v>
      </c>
      <c r="B123" s="293">
        <v>43087</v>
      </c>
      <c r="C123" s="394" t="s">
        <v>1361</v>
      </c>
      <c r="D123" s="394"/>
      <c r="E123" s="28">
        <v>14</v>
      </c>
      <c r="F123" s="39">
        <v>1</v>
      </c>
      <c r="G123" s="28">
        <v>6</v>
      </c>
      <c r="H123" s="28">
        <v>8</v>
      </c>
      <c r="J123" s="71">
        <v>14</v>
      </c>
      <c r="K123" s="45">
        <f t="shared" ref="K123" si="53">G123/J123*100</f>
        <v>42.857142857142854</v>
      </c>
      <c r="L123" s="46">
        <f t="shared" ref="L123" si="54">H123/J123*100</f>
        <v>57.142857142857139</v>
      </c>
      <c r="M123" s="46">
        <f t="shared" ref="M123" si="55">I123/J123*100</f>
        <v>0</v>
      </c>
      <c r="N123" s="47">
        <f t="shared" ref="N123" si="56">SUM(K123:M123)</f>
        <v>100</v>
      </c>
      <c r="O123" s="46">
        <v>27.9</v>
      </c>
      <c r="P123" s="46">
        <v>33.9</v>
      </c>
      <c r="Q123" s="46"/>
      <c r="R123" s="67">
        <f t="shared" si="52"/>
        <v>61.8</v>
      </c>
      <c r="S123" s="68">
        <v>2</v>
      </c>
      <c r="T123" s="293">
        <v>43023</v>
      </c>
      <c r="U123" s="290">
        <v>43087</v>
      </c>
      <c r="V123" s="28" t="s">
        <v>16</v>
      </c>
      <c r="W123" s="28" t="s">
        <v>17</v>
      </c>
      <c r="X123" s="28" t="s">
        <v>18</v>
      </c>
      <c r="Y123" s="28">
        <v>33.9</v>
      </c>
      <c r="Z123" s="37" t="s">
        <v>21</v>
      </c>
      <c r="AA123" s="28" t="s">
        <v>27</v>
      </c>
      <c r="AB123" s="28" t="s">
        <v>11</v>
      </c>
      <c r="AC123" s="38">
        <v>27.9</v>
      </c>
      <c r="AD123" s="37"/>
      <c r="AG123" s="327"/>
      <c r="AK123" s="327"/>
      <c r="AO123" s="327"/>
      <c r="AS123" s="327"/>
      <c r="AW123" s="327"/>
      <c r="BA123" s="334"/>
    </row>
    <row r="124" spans="1:53" s="28" customFormat="1" ht="11" customHeight="1" x14ac:dyDescent="0.15">
      <c r="A124" s="28">
        <v>2018</v>
      </c>
      <c r="B124" s="293"/>
      <c r="C124" s="394" t="s">
        <v>1361</v>
      </c>
      <c r="D124" s="394"/>
      <c r="E124" s="28">
        <v>0</v>
      </c>
      <c r="F124" s="39"/>
      <c r="G124" s="28">
        <v>7</v>
      </c>
      <c r="H124" s="28">
        <v>7</v>
      </c>
      <c r="J124" s="71">
        <v>14</v>
      </c>
      <c r="K124" s="45">
        <f t="shared" ref="K124:K125" si="57">G124/J124*100</f>
        <v>50</v>
      </c>
      <c r="L124" s="46">
        <f t="shared" ref="L124:L125" si="58">H124/J124*100</f>
        <v>50</v>
      </c>
      <c r="M124" s="46">
        <f t="shared" ref="M124:M125" si="59">I124/J124*100</f>
        <v>0</v>
      </c>
      <c r="N124" s="47">
        <f t="shared" ref="N124:N125" si="60">SUM(K124:M124)</f>
        <v>100</v>
      </c>
      <c r="O124" s="46">
        <v>27.9</v>
      </c>
      <c r="P124" s="46">
        <v>33.9</v>
      </c>
      <c r="Q124" s="46"/>
      <c r="R124" s="67">
        <f t="shared" ref="R124:R125" si="61">SUM(O124:Q124)</f>
        <v>61.8</v>
      </c>
      <c r="S124" s="68">
        <v>2</v>
      </c>
      <c r="T124" s="293"/>
      <c r="U124" s="290"/>
      <c r="V124" s="28" t="s">
        <v>16</v>
      </c>
      <c r="W124" s="28" t="s">
        <v>17</v>
      </c>
      <c r="X124" s="28" t="s">
        <v>18</v>
      </c>
      <c r="Y124" s="28">
        <v>33.9</v>
      </c>
      <c r="Z124" s="37" t="s">
        <v>21</v>
      </c>
      <c r="AA124" s="28" t="s">
        <v>27</v>
      </c>
      <c r="AB124" s="28" t="s">
        <v>11</v>
      </c>
      <c r="AC124" s="38">
        <v>27.9</v>
      </c>
      <c r="AD124" s="37"/>
      <c r="AG124" s="327"/>
      <c r="AK124" s="327"/>
      <c r="AO124" s="38"/>
      <c r="AS124" s="38"/>
      <c r="AW124" s="38"/>
      <c r="BA124" s="334"/>
    </row>
    <row r="125" spans="1:53" s="28" customFormat="1" ht="11" customHeight="1" x14ac:dyDescent="0.15">
      <c r="A125" s="28">
        <v>2018</v>
      </c>
      <c r="B125" s="293"/>
      <c r="C125" s="394" t="s">
        <v>1361</v>
      </c>
      <c r="D125" s="394"/>
      <c r="E125" s="28">
        <v>365</v>
      </c>
      <c r="F125" s="39"/>
      <c r="G125" s="28">
        <v>7</v>
      </c>
      <c r="H125" s="28">
        <v>7</v>
      </c>
      <c r="J125" s="71">
        <v>14</v>
      </c>
      <c r="K125" s="45">
        <f t="shared" si="57"/>
        <v>50</v>
      </c>
      <c r="L125" s="46">
        <f t="shared" si="58"/>
        <v>50</v>
      </c>
      <c r="M125" s="46">
        <f t="shared" si="59"/>
        <v>0</v>
      </c>
      <c r="N125" s="47">
        <f t="shared" si="60"/>
        <v>100</v>
      </c>
      <c r="O125" s="46">
        <v>27.9</v>
      </c>
      <c r="P125" s="46">
        <v>33.9</v>
      </c>
      <c r="Q125" s="46"/>
      <c r="R125" s="67">
        <f t="shared" si="61"/>
        <v>61.8</v>
      </c>
      <c r="S125" s="68">
        <v>2</v>
      </c>
      <c r="T125" s="293"/>
      <c r="U125" s="290"/>
      <c r="V125" s="28" t="s">
        <v>16</v>
      </c>
      <c r="W125" s="28" t="s">
        <v>17</v>
      </c>
      <c r="X125" s="28" t="s">
        <v>18</v>
      </c>
      <c r="Y125" s="28">
        <v>33.9</v>
      </c>
      <c r="Z125" s="37" t="s">
        <v>21</v>
      </c>
      <c r="AA125" s="28" t="s">
        <v>27</v>
      </c>
      <c r="AB125" s="28" t="s">
        <v>11</v>
      </c>
      <c r="AC125" s="38">
        <v>27.9</v>
      </c>
      <c r="AD125" s="37"/>
      <c r="AG125" s="38"/>
      <c r="AL125" s="37"/>
      <c r="AO125" s="38"/>
      <c r="AS125" s="38"/>
      <c r="AW125" s="38"/>
      <c r="BA125" s="334"/>
    </row>
    <row r="126" spans="1:53" s="28" customFormat="1" ht="11" customHeight="1" x14ac:dyDescent="0.15">
      <c r="A126" s="28">
        <v>2019</v>
      </c>
      <c r="B126" s="293"/>
      <c r="C126" s="394" t="s">
        <v>1361</v>
      </c>
      <c r="D126" s="394"/>
      <c r="E126" s="28">
        <v>141</v>
      </c>
      <c r="F126" s="39"/>
      <c r="G126" s="28">
        <v>7</v>
      </c>
      <c r="H126" s="28">
        <v>7</v>
      </c>
      <c r="J126" s="71">
        <v>14</v>
      </c>
      <c r="K126" s="45">
        <f t="shared" ref="K126" si="62">G126/J126*100</f>
        <v>50</v>
      </c>
      <c r="L126" s="46">
        <f t="shared" ref="L126" si="63">H126/J126*100</f>
        <v>50</v>
      </c>
      <c r="M126" s="46">
        <f t="shared" ref="M126" si="64">I126/J126*100</f>
        <v>0</v>
      </c>
      <c r="N126" s="47">
        <f t="shared" ref="N126" si="65">SUM(K126:M126)</f>
        <v>100</v>
      </c>
      <c r="O126" s="46">
        <v>27.9</v>
      </c>
      <c r="P126" s="46">
        <v>33.9</v>
      </c>
      <c r="Q126" s="46"/>
      <c r="R126" s="67">
        <f t="shared" ref="R126" si="66">SUM(O126:Q126)</f>
        <v>61.8</v>
      </c>
      <c r="S126" s="68">
        <v>2</v>
      </c>
      <c r="T126" s="293"/>
      <c r="U126" s="290"/>
      <c r="V126" s="28" t="s">
        <v>16</v>
      </c>
      <c r="W126" s="28" t="s">
        <v>17</v>
      </c>
      <c r="X126" s="28" t="s">
        <v>18</v>
      </c>
      <c r="Y126" s="28">
        <v>33.9</v>
      </c>
      <c r="Z126" s="37" t="s">
        <v>21</v>
      </c>
      <c r="AA126" s="28" t="s">
        <v>27</v>
      </c>
      <c r="AB126" s="28" t="s">
        <v>11</v>
      </c>
      <c r="AC126" s="38">
        <v>27.9</v>
      </c>
      <c r="AD126" s="37"/>
      <c r="AG126" s="38"/>
      <c r="AL126" s="37"/>
      <c r="AO126" s="38"/>
      <c r="AS126" s="38"/>
      <c r="AW126" s="38"/>
      <c r="BA126" s="334"/>
    </row>
    <row r="127" spans="1:53" s="28" customFormat="1" ht="11" customHeight="1" x14ac:dyDescent="0.15">
      <c r="A127" s="28">
        <v>2019</v>
      </c>
      <c r="B127" s="293">
        <v>43607</v>
      </c>
      <c r="C127" s="394" t="s">
        <v>1361</v>
      </c>
      <c r="D127" s="394"/>
      <c r="E127" s="28">
        <v>6</v>
      </c>
      <c r="F127" s="39">
        <v>4</v>
      </c>
      <c r="H127" s="28">
        <v>8</v>
      </c>
      <c r="J127" s="71">
        <v>13</v>
      </c>
      <c r="K127" s="45">
        <f t="shared" ref="K127" si="67">G127/J127*100</f>
        <v>0</v>
      </c>
      <c r="L127" s="46">
        <f t="shared" ref="L127" si="68">H127/J127*100</f>
        <v>61.53846153846154</v>
      </c>
      <c r="M127" s="46">
        <f t="shared" ref="M127" si="69">I127/J127*100</f>
        <v>0</v>
      </c>
      <c r="N127" s="47">
        <f t="shared" ref="N127" si="70">SUM(K127:M127)</f>
        <v>61.53846153846154</v>
      </c>
      <c r="O127" s="46">
        <v>27.9</v>
      </c>
      <c r="P127" s="46">
        <v>33.9</v>
      </c>
      <c r="Q127" s="46"/>
      <c r="R127" s="67">
        <f t="shared" ref="R127" si="71">SUM(O127:Q127)</f>
        <v>61.8</v>
      </c>
      <c r="S127" s="68">
        <v>4</v>
      </c>
      <c r="T127" s="293"/>
      <c r="U127" s="290"/>
      <c r="V127" s="28" t="s">
        <v>16</v>
      </c>
      <c r="W127" s="28" t="s">
        <v>17</v>
      </c>
      <c r="X127" s="28" t="s">
        <v>18</v>
      </c>
      <c r="Y127" s="28">
        <v>33.9</v>
      </c>
      <c r="Z127" s="37"/>
      <c r="AC127" s="38"/>
      <c r="AD127" s="37"/>
      <c r="AG127" s="38"/>
      <c r="AK127" s="38"/>
      <c r="AO127" s="38"/>
      <c r="AS127" s="38"/>
      <c r="AW127" s="38"/>
      <c r="BA127" s="334"/>
    </row>
    <row r="128" spans="1:53" s="170" customFormat="1" ht="11" customHeight="1" x14ac:dyDescent="0.15">
      <c r="A128" s="170">
        <v>2019</v>
      </c>
      <c r="B128" s="281">
        <v>43613</v>
      </c>
      <c r="C128" s="395" t="s">
        <v>1406</v>
      </c>
      <c r="D128" s="395"/>
      <c r="E128" s="170">
        <v>6</v>
      </c>
      <c r="F128" s="170">
        <v>5</v>
      </c>
      <c r="G128" s="232"/>
      <c r="H128" s="170">
        <v>7</v>
      </c>
      <c r="J128" s="170">
        <v>12</v>
      </c>
      <c r="K128" s="212">
        <f t="shared" ref="K128" si="72">G128/J128*100</f>
        <v>0</v>
      </c>
      <c r="L128" s="213">
        <f t="shared" ref="L128" si="73">H128/J128*100</f>
        <v>58.333333333333336</v>
      </c>
      <c r="M128" s="213">
        <f t="shared" ref="M128" si="74">I128/J128*100</f>
        <v>0</v>
      </c>
      <c r="N128" s="214">
        <f t="shared" ref="N128" si="75">SUM(K128:M128)</f>
        <v>58.333333333333336</v>
      </c>
      <c r="P128" s="170">
        <v>33.9</v>
      </c>
      <c r="R128" s="234">
        <f t="shared" ref="R128" si="76">SUM(O128:Q128)</f>
        <v>33.9</v>
      </c>
      <c r="S128" s="189">
        <v>6</v>
      </c>
      <c r="T128" s="281"/>
      <c r="U128" s="286">
        <v>43613</v>
      </c>
      <c r="V128" s="177" t="s">
        <v>16</v>
      </c>
      <c r="W128" s="170" t="s">
        <v>17</v>
      </c>
      <c r="X128" s="170" t="s">
        <v>18</v>
      </c>
      <c r="Y128" s="170">
        <v>33.9</v>
      </c>
      <c r="Z128" s="177"/>
      <c r="AD128" s="177"/>
      <c r="AH128" s="326"/>
      <c r="AK128" s="178"/>
      <c r="AO128" s="178"/>
      <c r="AT128" s="326"/>
      <c r="AX128" s="326"/>
      <c r="BA128" s="335"/>
    </row>
    <row r="129" spans="1:53" s="28" customFormat="1" ht="11" customHeight="1" x14ac:dyDescent="0.15">
      <c r="A129" s="39">
        <v>2019</v>
      </c>
      <c r="B129" s="293">
        <v>43619</v>
      </c>
      <c r="C129" s="394" t="s">
        <v>1407</v>
      </c>
      <c r="D129" s="394"/>
      <c r="E129" s="28">
        <v>212</v>
      </c>
      <c r="F129" s="39">
        <v>5</v>
      </c>
      <c r="J129" s="71">
        <v>12</v>
      </c>
      <c r="K129" s="45">
        <f t="shared" ref="K129:K136" si="77">G129/J129*100</f>
        <v>0</v>
      </c>
      <c r="L129" s="46">
        <f t="shared" ref="L129:L136" si="78">H129/J129*100</f>
        <v>0</v>
      </c>
      <c r="M129" s="46">
        <f t="shared" ref="M129:M136" si="79">I129/J129*100</f>
        <v>0</v>
      </c>
      <c r="N129" s="47">
        <f t="shared" ref="N129:N136" si="80">SUM(K129:M129)</f>
        <v>0</v>
      </c>
      <c r="O129" s="46"/>
      <c r="P129" s="46"/>
      <c r="Q129" s="46"/>
      <c r="R129" s="67">
        <f t="shared" ref="R129:R134" si="81">SUM(O129:Q129)</f>
        <v>0</v>
      </c>
      <c r="S129" s="68">
        <v>6</v>
      </c>
      <c r="T129" s="293">
        <v>43737</v>
      </c>
      <c r="U129" s="290">
        <v>43619</v>
      </c>
      <c r="V129" s="273" t="s">
        <v>797</v>
      </c>
      <c r="Z129" s="37"/>
      <c r="AC129" s="38"/>
      <c r="AD129" s="37"/>
      <c r="AG129" s="38"/>
      <c r="AK129" s="38"/>
      <c r="AO129" s="38"/>
      <c r="AS129" s="38"/>
      <c r="AW129" s="38"/>
      <c r="BA129" s="334"/>
    </row>
    <row r="130" spans="1:53" s="28" customFormat="1" ht="11" customHeight="1" x14ac:dyDescent="0.15">
      <c r="A130" s="39">
        <v>2020</v>
      </c>
      <c r="B130" s="293"/>
      <c r="C130" s="394" t="s">
        <v>1407</v>
      </c>
      <c r="D130" s="394"/>
      <c r="E130" s="28">
        <v>7</v>
      </c>
      <c r="F130" s="39"/>
      <c r="J130" s="72">
        <v>12</v>
      </c>
      <c r="K130" s="46">
        <f t="shared" si="77"/>
        <v>0</v>
      </c>
      <c r="L130" s="46">
        <f t="shared" si="78"/>
        <v>0</v>
      </c>
      <c r="M130" s="46">
        <f t="shared" si="79"/>
        <v>0</v>
      </c>
      <c r="N130" s="47">
        <f t="shared" si="80"/>
        <v>0</v>
      </c>
      <c r="O130" s="46"/>
      <c r="P130" s="46"/>
      <c r="Q130" s="46"/>
      <c r="R130" s="67">
        <f t="shared" si="81"/>
        <v>0</v>
      </c>
      <c r="S130" s="68">
        <v>6</v>
      </c>
      <c r="T130" s="284"/>
      <c r="U130" s="293"/>
      <c r="V130" s="322" t="s">
        <v>797</v>
      </c>
      <c r="Z130" s="325"/>
      <c r="AD130" s="325"/>
      <c r="AG130" s="327"/>
      <c r="AK130" s="327"/>
      <c r="AO130" s="327"/>
      <c r="AT130" s="325"/>
      <c r="AX130" s="325"/>
      <c r="BA130" s="334"/>
    </row>
    <row r="131" spans="1:53" s="170" customFormat="1" ht="11" customHeight="1" x14ac:dyDescent="0.15">
      <c r="A131" s="179">
        <v>2020</v>
      </c>
      <c r="B131" s="281">
        <v>43837</v>
      </c>
      <c r="C131" s="395" t="s">
        <v>1455</v>
      </c>
      <c r="D131" s="395"/>
      <c r="E131" s="170">
        <v>359</v>
      </c>
      <c r="F131" s="179">
        <v>1</v>
      </c>
      <c r="H131" s="170">
        <v>11</v>
      </c>
      <c r="I131" s="170">
        <v>4</v>
      </c>
      <c r="J131" s="240">
        <v>15</v>
      </c>
      <c r="K131" s="213">
        <f t="shared" si="77"/>
        <v>0</v>
      </c>
      <c r="L131" s="213">
        <f t="shared" si="78"/>
        <v>73.333333333333329</v>
      </c>
      <c r="M131" s="213">
        <f t="shared" si="79"/>
        <v>26.666666666666668</v>
      </c>
      <c r="N131" s="214">
        <f t="shared" si="80"/>
        <v>100</v>
      </c>
      <c r="O131" s="213"/>
      <c r="P131" s="213">
        <v>38.799999999999997</v>
      </c>
      <c r="Q131" s="213">
        <v>14.2</v>
      </c>
      <c r="R131" s="234">
        <f t="shared" si="81"/>
        <v>53</v>
      </c>
      <c r="S131" s="219">
        <v>2</v>
      </c>
      <c r="T131" s="283"/>
      <c r="U131" s="281">
        <v>43837</v>
      </c>
      <c r="V131" s="323" t="s">
        <v>16</v>
      </c>
      <c r="W131" s="170" t="s">
        <v>17</v>
      </c>
      <c r="X131" s="170" t="s">
        <v>18</v>
      </c>
      <c r="Y131" s="324">
        <v>38.799999999999997</v>
      </c>
      <c r="Z131" s="170" t="s">
        <v>1456</v>
      </c>
      <c r="AA131" s="170" t="s">
        <v>216</v>
      </c>
      <c r="AB131" s="170" t="s">
        <v>12</v>
      </c>
      <c r="AC131" s="324">
        <v>14.2</v>
      </c>
      <c r="AH131" s="328"/>
      <c r="AK131" s="324"/>
      <c r="AP131" s="326"/>
      <c r="AT131" s="326"/>
      <c r="AX131" s="326"/>
      <c r="BA131" s="335"/>
    </row>
    <row r="132" spans="1:53" s="170" customFormat="1" ht="11" customHeight="1" x14ac:dyDescent="0.15">
      <c r="A132" s="179">
        <v>2021</v>
      </c>
      <c r="B132" s="281"/>
      <c r="C132" s="395" t="s">
        <v>1455</v>
      </c>
      <c r="D132" s="395"/>
      <c r="E132" s="170">
        <v>283</v>
      </c>
      <c r="F132" s="179"/>
      <c r="H132" s="170">
        <v>11</v>
      </c>
      <c r="I132" s="170">
        <v>4</v>
      </c>
      <c r="J132" s="240">
        <v>15</v>
      </c>
      <c r="K132" s="213">
        <f t="shared" si="77"/>
        <v>0</v>
      </c>
      <c r="L132" s="213">
        <f t="shared" si="78"/>
        <v>73.333333333333329</v>
      </c>
      <c r="M132" s="213">
        <f t="shared" si="79"/>
        <v>26.666666666666668</v>
      </c>
      <c r="N132" s="214">
        <f t="shared" si="80"/>
        <v>100</v>
      </c>
      <c r="O132" s="213"/>
      <c r="P132" s="213">
        <v>38.799999999999997</v>
      </c>
      <c r="Q132" s="213">
        <v>14.2</v>
      </c>
      <c r="R132" s="234">
        <f t="shared" si="81"/>
        <v>53</v>
      </c>
      <c r="S132" s="219">
        <v>2</v>
      </c>
      <c r="T132" s="283"/>
      <c r="U132" s="281"/>
      <c r="V132" s="323" t="s">
        <v>16</v>
      </c>
      <c r="W132" s="170" t="s">
        <v>17</v>
      </c>
      <c r="X132" s="170" t="s">
        <v>18</v>
      </c>
      <c r="Y132" s="324">
        <v>38.799999999999997</v>
      </c>
      <c r="Z132" s="170" t="s">
        <v>1456</v>
      </c>
      <c r="AA132" s="170" t="s">
        <v>216</v>
      </c>
      <c r="AB132" s="170" t="s">
        <v>12</v>
      </c>
      <c r="AC132" s="324">
        <v>14.2</v>
      </c>
      <c r="AH132" s="328"/>
      <c r="AK132" s="324"/>
      <c r="AP132" s="326"/>
      <c r="AT132" s="326"/>
      <c r="AX132" s="326"/>
      <c r="BA132" s="335"/>
    </row>
    <row r="133" spans="1:53" s="28" customFormat="1" ht="11" customHeight="1" x14ac:dyDescent="0.15">
      <c r="A133" s="39">
        <v>2021</v>
      </c>
      <c r="B133" s="293">
        <v>44480</v>
      </c>
      <c r="C133" s="394" t="s">
        <v>1486</v>
      </c>
      <c r="D133" s="394"/>
      <c r="E133" s="28">
        <v>56</v>
      </c>
      <c r="F133" s="39">
        <v>2</v>
      </c>
      <c r="H133" s="28">
        <v>11</v>
      </c>
      <c r="I133" s="28">
        <v>4</v>
      </c>
      <c r="J133" s="72">
        <v>15</v>
      </c>
      <c r="K133" s="46">
        <f t="shared" si="77"/>
        <v>0</v>
      </c>
      <c r="L133" s="46">
        <f t="shared" si="78"/>
        <v>73.333333333333329</v>
      </c>
      <c r="M133" s="46">
        <f t="shared" si="79"/>
        <v>26.666666666666668</v>
      </c>
      <c r="N133" s="47">
        <f t="shared" si="80"/>
        <v>100</v>
      </c>
      <c r="O133" s="46"/>
      <c r="P133" s="46">
        <v>38.799999999999997</v>
      </c>
      <c r="Q133" s="46">
        <v>14.2</v>
      </c>
      <c r="R133" s="67">
        <f t="shared" si="81"/>
        <v>53</v>
      </c>
      <c r="S133" s="68">
        <v>2</v>
      </c>
      <c r="T133" s="284"/>
      <c r="U133" s="293">
        <v>44480</v>
      </c>
      <c r="V133" s="360" t="s">
        <v>16</v>
      </c>
      <c r="W133" s="28" t="s">
        <v>17</v>
      </c>
      <c r="X133" s="28" t="s">
        <v>18</v>
      </c>
      <c r="Y133" s="28">
        <v>38.799999999999997</v>
      </c>
      <c r="Z133" s="325" t="s">
        <v>1456</v>
      </c>
      <c r="AA133" s="28" t="s">
        <v>216</v>
      </c>
      <c r="AB133" s="28" t="s">
        <v>12</v>
      </c>
      <c r="AC133" s="28">
        <v>14.2</v>
      </c>
      <c r="AD133" s="325"/>
      <c r="AG133" s="327"/>
      <c r="AK133" s="327"/>
      <c r="AO133" s="327"/>
      <c r="AT133" s="325"/>
      <c r="AX133" s="325"/>
      <c r="BA133" s="334"/>
    </row>
    <row r="134" spans="1:53" s="170" customFormat="1" ht="11" customHeight="1" x14ac:dyDescent="0.15">
      <c r="A134" s="179">
        <v>2021</v>
      </c>
      <c r="B134" s="281">
        <v>44536</v>
      </c>
      <c r="C134" s="395" t="s">
        <v>1487</v>
      </c>
      <c r="D134" s="395"/>
      <c r="E134" s="170">
        <v>26</v>
      </c>
      <c r="F134" s="179">
        <v>2</v>
      </c>
      <c r="H134" s="170">
        <v>11</v>
      </c>
      <c r="I134" s="170">
        <v>4</v>
      </c>
      <c r="J134" s="240">
        <v>15</v>
      </c>
      <c r="K134" s="213">
        <f t="shared" si="77"/>
        <v>0</v>
      </c>
      <c r="L134" s="213">
        <f t="shared" si="78"/>
        <v>73.333333333333329</v>
      </c>
      <c r="M134" s="213">
        <f t="shared" si="79"/>
        <v>26.666666666666668</v>
      </c>
      <c r="N134" s="214">
        <f t="shared" si="80"/>
        <v>100</v>
      </c>
      <c r="O134" s="213"/>
      <c r="P134" s="213">
        <v>38.799999999999997</v>
      </c>
      <c r="Q134" s="213">
        <v>14.2</v>
      </c>
      <c r="R134" s="234">
        <f t="shared" si="81"/>
        <v>53</v>
      </c>
      <c r="S134" s="219">
        <v>2</v>
      </c>
      <c r="T134" s="283"/>
      <c r="U134" s="281">
        <v>44536</v>
      </c>
      <c r="V134" s="323" t="s">
        <v>16</v>
      </c>
      <c r="W134" s="170" t="s">
        <v>17</v>
      </c>
      <c r="X134" s="170" t="s">
        <v>18</v>
      </c>
      <c r="Y134" s="324">
        <v>38.799999999999997</v>
      </c>
      <c r="Z134" s="170" t="s">
        <v>1456</v>
      </c>
      <c r="AA134" s="170" t="s">
        <v>216</v>
      </c>
      <c r="AB134" s="170" t="s">
        <v>12</v>
      </c>
      <c r="AC134" s="324">
        <v>14.2</v>
      </c>
      <c r="AH134" s="328"/>
      <c r="AK134" s="324"/>
      <c r="AP134" s="326"/>
      <c r="AT134" s="326"/>
      <c r="AX134" s="326"/>
      <c r="BA134" s="335"/>
    </row>
    <row r="135" spans="1:53" s="170" customFormat="1" ht="11" customHeight="1" x14ac:dyDescent="0.15">
      <c r="A135" s="179">
        <v>2022</v>
      </c>
      <c r="B135" s="281"/>
      <c r="C135" s="395" t="s">
        <v>1487</v>
      </c>
      <c r="D135" s="395"/>
      <c r="E135" s="170">
        <v>131</v>
      </c>
      <c r="F135" s="179"/>
      <c r="H135" s="170">
        <v>11</v>
      </c>
      <c r="I135" s="170">
        <v>4</v>
      </c>
      <c r="J135" s="240">
        <v>15</v>
      </c>
      <c r="K135" s="213">
        <f t="shared" si="77"/>
        <v>0</v>
      </c>
      <c r="L135" s="213">
        <f t="shared" si="78"/>
        <v>73.333333333333329</v>
      </c>
      <c r="M135" s="213">
        <f t="shared" si="79"/>
        <v>26.666666666666668</v>
      </c>
      <c r="N135" s="214">
        <f t="shared" si="80"/>
        <v>100</v>
      </c>
      <c r="O135" s="213"/>
      <c r="P135" s="213">
        <v>38.799999999999997</v>
      </c>
      <c r="Q135" s="213">
        <v>14.2</v>
      </c>
      <c r="R135" s="234">
        <f t="shared" ref="R135:R136" si="82">SUM(O135:Q135)</f>
        <v>53</v>
      </c>
      <c r="S135" s="219">
        <v>2</v>
      </c>
      <c r="T135" s="283"/>
      <c r="U135" s="281"/>
      <c r="V135" s="323" t="s">
        <v>16</v>
      </c>
      <c r="W135" s="170" t="s">
        <v>17</v>
      </c>
      <c r="X135" s="170" t="s">
        <v>18</v>
      </c>
      <c r="Y135" s="324">
        <v>38.799999999999997</v>
      </c>
      <c r="Z135" s="170" t="s">
        <v>1456</v>
      </c>
      <c r="AA135" s="170" t="s">
        <v>216</v>
      </c>
      <c r="AB135" s="170" t="s">
        <v>12</v>
      </c>
      <c r="AC135" s="324">
        <v>14.2</v>
      </c>
      <c r="AH135" s="328"/>
      <c r="AK135" s="324"/>
      <c r="AP135" s="326"/>
      <c r="AT135" s="326"/>
      <c r="AX135" s="326"/>
      <c r="BA135" s="335"/>
    </row>
    <row r="136" spans="1:53" s="170" customFormat="1" ht="11" customHeight="1" x14ac:dyDescent="0.15">
      <c r="A136" s="179">
        <v>2022</v>
      </c>
      <c r="B136" s="299">
        <v>44692</v>
      </c>
      <c r="C136" s="395" t="s">
        <v>1487</v>
      </c>
      <c r="D136" s="395"/>
      <c r="E136" s="170">
        <v>234</v>
      </c>
      <c r="F136" s="235">
        <v>0</v>
      </c>
      <c r="H136" s="170">
        <v>10</v>
      </c>
      <c r="I136" s="170">
        <v>4</v>
      </c>
      <c r="J136" s="240">
        <v>14</v>
      </c>
      <c r="K136" s="213">
        <f t="shared" si="77"/>
        <v>0</v>
      </c>
      <c r="L136" s="213">
        <f t="shared" si="78"/>
        <v>71.428571428571431</v>
      </c>
      <c r="M136" s="213">
        <f t="shared" si="79"/>
        <v>28.571428571428569</v>
      </c>
      <c r="N136" s="214">
        <f t="shared" si="80"/>
        <v>100</v>
      </c>
      <c r="O136" s="213"/>
      <c r="P136" s="213">
        <v>38.799999999999997</v>
      </c>
      <c r="Q136" s="213">
        <v>14.2</v>
      </c>
      <c r="R136" s="234">
        <f t="shared" si="82"/>
        <v>53</v>
      </c>
      <c r="S136" s="219">
        <v>2</v>
      </c>
      <c r="T136" s="283"/>
      <c r="U136" s="281"/>
      <c r="V136" s="323" t="s">
        <v>16</v>
      </c>
      <c r="W136" s="170" t="s">
        <v>17</v>
      </c>
      <c r="X136" s="170" t="s">
        <v>18</v>
      </c>
      <c r="Y136" s="324">
        <v>38.799999999999997</v>
      </c>
      <c r="Z136" s="170" t="s">
        <v>1456</v>
      </c>
      <c r="AA136" s="170" t="s">
        <v>216</v>
      </c>
      <c r="AB136" s="170" t="s">
        <v>12</v>
      </c>
      <c r="AC136" s="324">
        <v>14.2</v>
      </c>
      <c r="AH136" s="328"/>
      <c r="AK136" s="324"/>
      <c r="AP136" s="326"/>
      <c r="AT136" s="326"/>
      <c r="AX136" s="326"/>
      <c r="BA136" s="335"/>
    </row>
    <row r="137" spans="1:53" ht="11" customHeight="1" x14ac:dyDescent="0.15"/>
    <row r="138" spans="1:53" ht="11" customHeight="1" x14ac:dyDescent="0.15"/>
    <row r="139" spans="1:53" ht="11" customHeight="1" x14ac:dyDescent="0.15">
      <c r="B139" s="15" t="s">
        <v>1262</v>
      </c>
    </row>
    <row r="140" spans="1:53" ht="11" customHeight="1" x14ac:dyDescent="0.15"/>
    <row r="141" spans="1:53" s="194" customFormat="1" ht="9" customHeight="1" x14ac:dyDescent="0.15">
      <c r="A141" s="192"/>
      <c r="B141" s="193" t="s">
        <v>1213</v>
      </c>
      <c r="C141" s="193"/>
      <c r="D141" s="193"/>
      <c r="E141" s="193"/>
      <c r="F141" s="193"/>
      <c r="G141" s="193" t="s">
        <v>1214</v>
      </c>
      <c r="H141" s="193"/>
      <c r="I141" s="193"/>
      <c r="J141" s="193"/>
      <c r="K141" s="193"/>
      <c r="L141" s="193"/>
      <c r="M141" s="193"/>
      <c r="N141" s="193"/>
      <c r="R141" s="386" t="s">
        <v>1215</v>
      </c>
      <c r="S141" s="386"/>
      <c r="T141" s="386"/>
      <c r="U141" s="386"/>
      <c r="V141" s="386"/>
      <c r="W141" s="386"/>
      <c r="X141" s="195"/>
      <c r="Y141" s="195"/>
      <c r="AA141" s="195"/>
      <c r="AB141" s="195"/>
      <c r="AC141" s="195"/>
      <c r="AD141" s="195"/>
    </row>
    <row r="142" spans="1:53" s="199" customFormat="1" ht="9" customHeight="1" x14ac:dyDescent="0.15">
      <c r="A142" s="196"/>
      <c r="B142" s="197" t="s">
        <v>1217</v>
      </c>
      <c r="C142" s="198"/>
      <c r="D142" s="198"/>
      <c r="E142" s="198"/>
      <c r="F142" s="198"/>
      <c r="G142" s="197" t="s">
        <v>1216</v>
      </c>
      <c r="H142" s="198"/>
      <c r="I142" s="198"/>
      <c r="J142" s="198"/>
      <c r="K142" s="198"/>
      <c r="L142" s="198"/>
      <c r="M142" s="198"/>
      <c r="N142" s="198"/>
      <c r="R142" s="200" t="s">
        <v>1218</v>
      </c>
      <c r="S142" s="201"/>
      <c r="T142" s="202"/>
      <c r="U142" s="202"/>
      <c r="V142" s="202"/>
      <c r="W142" s="200" t="s">
        <v>1219</v>
      </c>
      <c r="X142" s="202"/>
      <c r="Y142" s="202"/>
      <c r="AA142" s="202"/>
      <c r="AB142" s="202"/>
      <c r="AC142" s="202"/>
      <c r="AD142" s="202"/>
    </row>
    <row r="143" spans="1:53" s="185" customFormat="1" ht="12" customHeight="1" x14ac:dyDescent="0.15">
      <c r="A143" s="203" t="s">
        <v>3</v>
      </c>
      <c r="B143" s="204" t="s">
        <v>8</v>
      </c>
      <c r="C143" s="204" t="s">
        <v>9</v>
      </c>
      <c r="D143" s="204" t="s">
        <v>10</v>
      </c>
      <c r="E143" s="205" t="s">
        <v>1193</v>
      </c>
      <c r="F143" s="204"/>
      <c r="G143" s="185" t="s">
        <v>3</v>
      </c>
      <c r="H143" s="387" t="s">
        <v>0</v>
      </c>
      <c r="I143" s="387"/>
      <c r="J143" s="387" t="s">
        <v>1</v>
      </c>
      <c r="K143" s="387"/>
      <c r="L143" s="387" t="s">
        <v>2</v>
      </c>
      <c r="M143" s="387"/>
      <c r="N143" s="388" t="s">
        <v>1193</v>
      </c>
      <c r="O143" s="388"/>
      <c r="P143" s="206"/>
      <c r="Q143" s="206"/>
      <c r="R143" s="207" t="s">
        <v>3</v>
      </c>
      <c r="S143" s="208" t="s">
        <v>135</v>
      </c>
      <c r="T143" s="206" t="s">
        <v>133</v>
      </c>
      <c r="U143" s="204" t="s">
        <v>134</v>
      </c>
      <c r="V143" s="206"/>
      <c r="W143" s="209" t="s">
        <v>26</v>
      </c>
    </row>
    <row r="144" spans="1:53" s="139" customFormat="1" x14ac:dyDescent="0.15">
      <c r="A144" s="139">
        <v>1959</v>
      </c>
      <c r="B144" s="142">
        <f>(K6*($E6/365)) + (K7*($E7/365))</f>
        <v>0</v>
      </c>
      <c r="C144" s="142">
        <f>(L6*($E6/365)) + (L7*($E7/365))</f>
        <v>54.474885844748862</v>
      </c>
      <c r="D144" s="142">
        <f>(M6*($E6/365)) + (M7*($E7/365))</f>
        <v>45.525114155251146</v>
      </c>
      <c r="E144" s="143">
        <f>B144+C144+D144</f>
        <v>100</v>
      </c>
      <c r="F144" s="144"/>
      <c r="G144" s="145">
        <v>1959</v>
      </c>
      <c r="H144" s="396">
        <f xml:space="preserve"> (O6/$R6*100*($E6/365))+ (O7/$R7*100*($E7/365))</f>
        <v>0</v>
      </c>
      <c r="I144" s="396"/>
      <c r="J144" s="396">
        <f xml:space="preserve"> (P6/$R6*100*($E6/365))+ (P7/$R7*100*($E7/365))</f>
        <v>51.538094385394956</v>
      </c>
      <c r="K144" s="396"/>
      <c r="L144" s="396">
        <f xml:space="preserve"> (Q6/$R6*100*($E6/365))+ (Q7/$R7*100*($E7/365))</f>
        <v>48.461905614605044</v>
      </c>
      <c r="M144" s="396"/>
      <c r="N144" s="400">
        <f>H144+J144+K144</f>
        <v>51.538094385394956</v>
      </c>
      <c r="O144" s="400"/>
      <c r="R144" s="145">
        <v>1959</v>
      </c>
      <c r="S144" s="142">
        <f>O6*($E6/365) + O7*($E7/365)</f>
        <v>0</v>
      </c>
      <c r="T144" s="142">
        <f>P6*($E6/365) + P7*($E7/365)</f>
        <v>48.866575342465751</v>
      </c>
      <c r="U144" s="142">
        <f>Q6*($E6/365) + Q7*($E7/365)</f>
        <v>45.957534246575335</v>
      </c>
      <c r="V144" s="152"/>
      <c r="W144" s="142">
        <f>S144+T144+U144</f>
        <v>94.824109589041086</v>
      </c>
    </row>
    <row r="145" spans="1:23" x14ac:dyDescent="0.15">
      <c r="A145" s="1">
        <v>1960</v>
      </c>
      <c r="B145" s="5">
        <f>(K8*($E8/366))+(K9*($E9/366))</f>
        <v>0</v>
      </c>
      <c r="C145" s="5">
        <f>(L8*($E8/366))+(L9*($E9/366))</f>
        <v>50.000000000000007</v>
      </c>
      <c r="D145" s="5">
        <f>(M8*($E8/366))+(M9*($E9/366))</f>
        <v>50.000000000000007</v>
      </c>
      <c r="E145" s="17">
        <f t="shared" ref="E145:E174" si="83">SUM(B145:D145)</f>
        <v>100.00000000000001</v>
      </c>
      <c r="F145" s="4"/>
      <c r="G145" s="13">
        <v>1960</v>
      </c>
      <c r="H145" s="392">
        <f>(O8*100*($E8/366)/($O8+$P8+$Q8))+(O9*100*($E9/366)/($O9+$P9+$Q9))</f>
        <v>0</v>
      </c>
      <c r="I145" s="392"/>
      <c r="J145" s="392">
        <f>(P8*100*($E8/366)/($O8+$P8+$Q8))+(P9*100*($E9/366)/($O9+$P9+$Q9))</f>
        <v>50.315126050420176</v>
      </c>
      <c r="K145" s="392"/>
      <c r="L145" s="392">
        <f>(Q8*100*($E8/366)/($O8+$P8+$Q8))+(Q9*100*($E9/366)/($O9+$P9+$Q9))</f>
        <v>49.684873949579845</v>
      </c>
      <c r="M145" s="392"/>
      <c r="N145" s="363">
        <f>SUM(H145:M145)</f>
        <v>100.00000000000003</v>
      </c>
      <c r="O145" s="363"/>
      <c r="R145" s="13">
        <v>1960</v>
      </c>
      <c r="S145" s="5">
        <f>O8*($E8/366) + O9*($E9/366)</f>
        <v>0</v>
      </c>
      <c r="T145" s="5">
        <f>P8*($E8/366) + P9*($E9/366)</f>
        <v>47.900000000000006</v>
      </c>
      <c r="U145" s="5">
        <f>Q8*($E8/366) + Q9*($E9/366)</f>
        <v>47.3</v>
      </c>
      <c r="V145" s="9"/>
      <c r="W145" s="5">
        <f>R8*($E8/366) + R9*($E9/366)</f>
        <v>95.199999999999989</v>
      </c>
    </row>
    <row r="146" spans="1:23" x14ac:dyDescent="0.15">
      <c r="A146" s="1">
        <v>1961</v>
      </c>
      <c r="B146" s="5">
        <f>(K10*($E10/365))+(K11*($E11/365))</f>
        <v>0</v>
      </c>
      <c r="C146" s="5">
        <f>(L10*($E10/365))+(L11*($E11/365))</f>
        <v>50</v>
      </c>
      <c r="D146" s="5">
        <f>(M10*($E10/365))+(M11*($E11/365))</f>
        <v>50</v>
      </c>
      <c r="E146" s="17">
        <f t="shared" si="83"/>
        <v>100</v>
      </c>
      <c r="F146" s="4"/>
      <c r="G146" s="13">
        <v>1961</v>
      </c>
      <c r="H146" s="392">
        <f>(O10*100*($E10/365)/($O10+$P10+$Q10))+(O11*100*($E11/365)/($O11+$P11+$Q11))</f>
        <v>0</v>
      </c>
      <c r="I146" s="392"/>
      <c r="J146" s="392">
        <f>(P10*100*($E10/365)/($O10+$P10+$Q10))+(P11*100*($E11/365)/($O11+$P11+$Q11))</f>
        <v>50.315126050420176</v>
      </c>
      <c r="K146" s="392"/>
      <c r="L146" s="392">
        <f>(Q10*100*($E10/365)/($O10+$P10+$Q10))+(Q11*100*($E11/365)/($O11+$P11+$Q11))</f>
        <v>49.684873949579838</v>
      </c>
      <c r="M146" s="392"/>
      <c r="N146" s="363">
        <f t="shared" ref="N146:N197" si="84">SUM(H146:M146)</f>
        <v>100.00000000000001</v>
      </c>
      <c r="O146" s="363"/>
      <c r="R146" s="13">
        <v>1961</v>
      </c>
      <c r="S146" s="5">
        <f>O10*($E10/365) + O11*($E11/365)</f>
        <v>0</v>
      </c>
      <c r="T146" s="5">
        <f>P10*($E10/365) + P11*($E11/365)</f>
        <v>47.9</v>
      </c>
      <c r="U146" s="5">
        <f>Q10*($E10/365) + Q11*($E11/365)</f>
        <v>47.3</v>
      </c>
      <c r="V146" s="9"/>
      <c r="W146" s="5">
        <f>R10*($E10/365) + R11*($E11/365)</f>
        <v>95.199999999999989</v>
      </c>
    </row>
    <row r="147" spans="1:23" x14ac:dyDescent="0.15">
      <c r="A147" s="1">
        <v>1962</v>
      </c>
      <c r="B147" s="5">
        <f>(K12*($E12/365))+(K13*($E13/365))</f>
        <v>0</v>
      </c>
      <c r="C147" s="5">
        <f>(L12*($E12/365))+(L13*($E13/365))</f>
        <v>50</v>
      </c>
      <c r="D147" s="5">
        <f>(M12*($E12/365))+(M13*($E13/365))</f>
        <v>50</v>
      </c>
      <c r="E147" s="17">
        <f t="shared" si="83"/>
        <v>100</v>
      </c>
      <c r="F147" s="4"/>
      <c r="G147" s="13">
        <v>1962</v>
      </c>
      <c r="H147" s="392">
        <f>(O12*100*($E12/365)/($O12+$P12+$Q12))+(O13*100*($E13/365)/($O13+$P13+$Q13))</f>
        <v>0</v>
      </c>
      <c r="I147" s="392"/>
      <c r="J147" s="392">
        <f>(P12*100*($E12/365)/($O12+$P12+$Q12))+(P13*100*($E13/365)/($O13+$P13+$Q13))</f>
        <v>50.315126050420176</v>
      </c>
      <c r="K147" s="392"/>
      <c r="L147" s="392">
        <f>(Q12*100*($E12/365)/($O12+$P12+$Q12))+(Q13*100*($E13/365)/($O13+$P13+$Q13))</f>
        <v>49.684873949579838</v>
      </c>
      <c r="M147" s="392"/>
      <c r="N147" s="363">
        <f t="shared" si="84"/>
        <v>100.00000000000001</v>
      </c>
      <c r="O147" s="363"/>
      <c r="R147" s="13">
        <v>1962</v>
      </c>
      <c r="S147" s="5">
        <f>O12*($E12/365) + O13*($E13/365)</f>
        <v>0</v>
      </c>
      <c r="T147" s="5">
        <f>P12*($E12/365) + P13*($E13/365)</f>
        <v>47.9</v>
      </c>
      <c r="U147" s="5">
        <f>Q12*($E12/365) + Q13*($E13/365)</f>
        <v>47.3</v>
      </c>
      <c r="V147" s="9"/>
      <c r="W147" s="5">
        <f>R12*($E12/365) + R13*($E13/365)</f>
        <v>95.199999999999989</v>
      </c>
    </row>
    <row r="148" spans="1:23" x14ac:dyDescent="0.15">
      <c r="A148" s="1">
        <v>1963</v>
      </c>
      <c r="B148" s="5">
        <f>(K14*($E14/365))+(K15*($E15/365))</f>
        <v>0</v>
      </c>
      <c r="C148" s="5">
        <f>(L14*($E14/365))+(L15*($E15/365))</f>
        <v>50</v>
      </c>
      <c r="D148" s="5">
        <f>(M14*($E14/365))+(M15*($E15/365))</f>
        <v>50</v>
      </c>
      <c r="E148" s="17">
        <f t="shared" si="83"/>
        <v>100</v>
      </c>
      <c r="F148" s="4"/>
      <c r="G148" s="13">
        <v>1963</v>
      </c>
      <c r="H148" s="392">
        <f>(O14*100*($E14/365)/($O14+$P14+$Q14))+(O15*100*($E15/365)/($O15+$P15+$Q15))</f>
        <v>0</v>
      </c>
      <c r="I148" s="392"/>
      <c r="J148" s="392">
        <f>(P14*100*($E14/365)/($O14+$P14+$Q14))+(P15*100*($E15/365)/($O15+$P15+$Q15))</f>
        <v>51.292448486243813</v>
      </c>
      <c r="K148" s="392"/>
      <c r="L148" s="392">
        <f>(Q14*100*($E14/365)/($O14+$P14+$Q14))+(Q15*100*($E15/365)/($O15+$P15+$Q15))</f>
        <v>48.707551513756194</v>
      </c>
      <c r="M148" s="392"/>
      <c r="N148" s="363">
        <f t="shared" si="84"/>
        <v>100</v>
      </c>
      <c r="O148" s="363"/>
      <c r="R148" s="13">
        <v>1963</v>
      </c>
      <c r="S148" s="5">
        <f>O14*($E14/365) + O15*($E15/365)</f>
        <v>0</v>
      </c>
      <c r="T148" s="5">
        <f>P14*($E14/365) + P15*($E15/365)</f>
        <v>48.83041095890411</v>
      </c>
      <c r="U148" s="5">
        <f>Q14*($E14/365) + Q15*($E15/365)</f>
        <v>46.369589041095892</v>
      </c>
      <c r="V148" s="9"/>
      <c r="W148" s="5">
        <f>R14*($E14/365) + R15*($E15/365)</f>
        <v>95.2</v>
      </c>
    </row>
    <row r="149" spans="1:23" x14ac:dyDescent="0.15">
      <c r="A149" s="1">
        <v>1964</v>
      </c>
      <c r="B149" s="5">
        <f>(K16*($E16/366))+(K17*($E17/366))</f>
        <v>0</v>
      </c>
      <c r="C149" s="5">
        <f>(L16*($E16/366))+(L17*($E17/366))</f>
        <v>50</v>
      </c>
      <c r="D149" s="5">
        <f>(M16*($E16/366))+(M17*($E17/366))</f>
        <v>50</v>
      </c>
      <c r="E149" s="17">
        <f t="shared" si="83"/>
        <v>100</v>
      </c>
      <c r="F149" s="4"/>
      <c r="G149" s="13">
        <v>1964</v>
      </c>
      <c r="H149" s="392">
        <f>(O16*100*($E16/366)/($O16+$P16+$Q16))+(O17*100*($E17/366)/($O17+$P17+$Q17))</f>
        <v>0</v>
      </c>
      <c r="I149" s="392"/>
      <c r="J149" s="392">
        <f>(P16*100*($E16/366)/($O16+$P16+$Q16))+(P17*100*($E17/366)/($O17+$P17+$Q17))</f>
        <v>51.575630252100837</v>
      </c>
      <c r="K149" s="392"/>
      <c r="L149" s="392">
        <f>(Q16*100*($E16/366)/($O16+$P16+$Q16))+(Q17*100*($E17/366)/($O17+$P17+$Q17))</f>
        <v>48.424369747899163</v>
      </c>
      <c r="M149" s="392"/>
      <c r="N149" s="363">
        <f t="shared" si="84"/>
        <v>100</v>
      </c>
      <c r="O149" s="363"/>
      <c r="R149" s="13">
        <v>1964</v>
      </c>
      <c r="S149" s="5">
        <f>O16*($E16/366) + O17*($E17/366)</f>
        <v>0</v>
      </c>
      <c r="T149" s="5">
        <f>P16*($E16/366) + P17*($E17/366)</f>
        <v>49.100000000000009</v>
      </c>
      <c r="U149" s="5">
        <f>Q16*($E16/366) + Q17*($E17/366)</f>
        <v>46.1</v>
      </c>
      <c r="V149" s="9"/>
      <c r="W149" s="5">
        <f>R16*($E16/366) + R17*($E17/366)</f>
        <v>95.200000000000017</v>
      </c>
    </row>
    <row r="150" spans="1:23" x14ac:dyDescent="0.15">
      <c r="A150" s="1">
        <v>1965</v>
      </c>
      <c r="B150" s="5">
        <f>(K18*($E18/365))+(K19*($E19/365))</f>
        <v>0</v>
      </c>
      <c r="C150" s="5">
        <f>(L18*($E18/365))+(L19*($E19/365))</f>
        <v>50</v>
      </c>
      <c r="D150" s="5">
        <f>(M18*($E18/365))+(M19*($E19/365))</f>
        <v>50</v>
      </c>
      <c r="E150" s="17">
        <f t="shared" si="83"/>
        <v>100</v>
      </c>
      <c r="F150" s="4"/>
      <c r="G150" s="13">
        <v>1965</v>
      </c>
      <c r="H150" s="392">
        <f>(O18*100*($E18/365)/($O18+$P18+$Q18))+(O19*100*($E19/365)/($O19+$P19+$Q19))</f>
        <v>0</v>
      </c>
      <c r="I150" s="392"/>
      <c r="J150" s="392">
        <f>(P18*100*($E18/365)/($O18+$P18+$Q18))+(P19*100*($E19/365)/($O19+$P19+$Q19))</f>
        <v>51.575630252100837</v>
      </c>
      <c r="K150" s="392"/>
      <c r="L150" s="392">
        <f>(Q18*100*($E18/365)/($O18+$P18+$Q18))+(Q19*100*($E19/365)/($O19+$P19+$Q19))</f>
        <v>48.424369747899163</v>
      </c>
      <c r="M150" s="392"/>
      <c r="N150" s="363">
        <f t="shared" si="84"/>
        <v>100</v>
      </c>
      <c r="O150" s="363"/>
      <c r="R150" s="13">
        <v>1965</v>
      </c>
      <c r="S150" s="5">
        <f>O18*($E18/365) + O19*($E19/365)</f>
        <v>0</v>
      </c>
      <c r="T150" s="5">
        <f>P18*($E18/365) + P19*($E19/365)</f>
        <v>49.1</v>
      </c>
      <c r="U150" s="5">
        <f>Q18*($E18/365) + Q19*($E19/365)</f>
        <v>46.099999999999994</v>
      </c>
      <c r="V150" s="9"/>
      <c r="W150" s="5">
        <f>R18*($E18/365) + R19*($E19/365)</f>
        <v>95.2</v>
      </c>
    </row>
    <row r="151" spans="1:23" x14ac:dyDescent="0.15">
      <c r="A151" s="1">
        <v>1966</v>
      </c>
      <c r="B151" s="5">
        <f>(K20*($E20/365))+(K21*($E21/365))</f>
        <v>0</v>
      </c>
      <c r="C151" s="5">
        <f>(L20*($E20/365))+(L21*($E21/365))</f>
        <v>85.205479452054803</v>
      </c>
      <c r="D151" s="5">
        <f>(M20*($E20/365))+(M21*($E21/365))</f>
        <v>14.794520547945206</v>
      </c>
      <c r="E151" s="17">
        <f t="shared" si="83"/>
        <v>100.00000000000001</v>
      </c>
      <c r="F151" s="4"/>
      <c r="G151" s="13">
        <v>1966</v>
      </c>
      <c r="H151" s="392">
        <f>(O20*100*($E20/365)/($O20+$P20+$Q20))+(O21*100*($E21/365)/($O21+$P21+$Q21))</f>
        <v>0</v>
      </c>
      <c r="I151" s="392"/>
      <c r="J151" s="392">
        <f>(P20*100*($E20/365)/($O20+$P20+$Q20))+(P21*100*($E21/365)/($O21+$P21+$Q21))</f>
        <v>85.671693334868195</v>
      </c>
      <c r="K151" s="392"/>
      <c r="L151" s="392">
        <f>(Q20*100*($E20/365)/($O20+$P20+$Q20))+(Q21*100*($E21/365)/($O21+$P21+$Q21))</f>
        <v>14.328306665131807</v>
      </c>
      <c r="M151" s="392"/>
      <c r="N151" s="363">
        <f t="shared" si="84"/>
        <v>100</v>
      </c>
      <c r="O151" s="363"/>
      <c r="R151" s="13">
        <v>1966</v>
      </c>
      <c r="S151" s="5">
        <f>O20*($E20/365) + O21*($E21/365)</f>
        <v>0</v>
      </c>
      <c r="T151" s="5">
        <f>P20*($E20/365) + P21*($E21/365)</f>
        <v>50.789863013698636</v>
      </c>
      <c r="U151" s="5">
        <f>Q20*($E20/365) + Q21*($E21/365)</f>
        <v>13.64054794520548</v>
      </c>
      <c r="V151" s="9"/>
      <c r="W151" s="5">
        <f>R20*($E20/365) + R21*($E21/365)</f>
        <v>64.430410958904105</v>
      </c>
    </row>
    <row r="152" spans="1:23" x14ac:dyDescent="0.15">
      <c r="A152" s="1">
        <v>1967</v>
      </c>
      <c r="B152" s="5">
        <f>(K22*($E22/365))+(K23*($E23/365))</f>
        <v>0</v>
      </c>
      <c r="C152" s="5">
        <f>(L22*($E22/365))+(L23*($E23/365))</f>
        <v>100</v>
      </c>
      <c r="D152" s="5">
        <f>(M22*($E22/365))+(M23*($E23/365))</f>
        <v>0</v>
      </c>
      <c r="E152" s="17">
        <f t="shared" si="83"/>
        <v>100</v>
      </c>
      <c r="F152" s="4"/>
      <c r="G152" s="13">
        <v>1967</v>
      </c>
      <c r="H152" s="392">
        <f>(O22*100*($E22/365)/($O22+$P22+$Q22))+(O23*100*($E23/365)/($O23+$P23+$Q23))</f>
        <v>0</v>
      </c>
      <c r="I152" s="392"/>
      <c r="J152" s="392">
        <f>(P22*100*($E22/365)/($O22+$P22+$Q22))+(P23*100*($E23/365)/($O23+$P23+$Q23))</f>
        <v>100</v>
      </c>
      <c r="K152" s="392"/>
      <c r="L152" s="392">
        <f>(Q22*100*($E22/365)/($O22+$P22+$Q22))+(Q23*100*($E23/365)/($O23+$P23+$Q23))</f>
        <v>0</v>
      </c>
      <c r="M152" s="392"/>
      <c r="N152" s="363">
        <f t="shared" si="84"/>
        <v>100</v>
      </c>
      <c r="O152" s="363"/>
      <c r="R152" s="13">
        <v>1967</v>
      </c>
      <c r="S152" s="5">
        <f>O22*($E22/365) + O23*($E23/365)</f>
        <v>0</v>
      </c>
      <c r="T152" s="5">
        <f>P22*($E22/365) + P23*($E23/365)</f>
        <v>51.5</v>
      </c>
      <c r="U152" s="5">
        <f>Q22*($E22/365) + Q23*($E23/365)</f>
        <v>0</v>
      </c>
      <c r="V152" s="9"/>
      <c r="W152" s="5">
        <f>R22*($E22/365) + R23*($E23/365)</f>
        <v>51.5</v>
      </c>
    </row>
    <row r="153" spans="1:23" x14ac:dyDescent="0.15">
      <c r="A153" s="1">
        <v>1968</v>
      </c>
      <c r="B153" s="5">
        <f>(K24*($E24/366))+(K25*($E25/366))</f>
        <v>0</v>
      </c>
      <c r="C153" s="5">
        <f>(L24*($E24/366))+(L25*($E25/366))</f>
        <v>100</v>
      </c>
      <c r="D153" s="5">
        <f>(M24*($E24/366))+(M25*($E25/366))</f>
        <v>0</v>
      </c>
      <c r="E153" s="17">
        <f t="shared" si="83"/>
        <v>100</v>
      </c>
      <c r="F153" s="4"/>
      <c r="G153" s="13">
        <v>1968</v>
      </c>
      <c r="H153" s="392">
        <f>(O24*100*($E24/366)/($O24+$P24+$Q24))+(O25*100*($E25/366)/($O25+$P25+$Q25))</f>
        <v>0</v>
      </c>
      <c r="I153" s="392"/>
      <c r="J153" s="392">
        <f>(P24*100*($E24/366)/($O24+$P24+$Q24))+(P25*100*($E25/366)/($O25+$P25+$Q25))</f>
        <v>100</v>
      </c>
      <c r="K153" s="392"/>
      <c r="L153" s="392">
        <f>(Q24*100*($E24/366)/($O24+$P24+$Q24))+(Q25*100*($E25/366)/($O25+$P25+$Q25))</f>
        <v>0</v>
      </c>
      <c r="M153" s="392"/>
      <c r="N153" s="363">
        <f t="shared" si="84"/>
        <v>100</v>
      </c>
      <c r="O153" s="363"/>
      <c r="R153" s="13">
        <v>1968</v>
      </c>
      <c r="S153" s="5">
        <f>O24*($E24/366) + O25*($E25/366)</f>
        <v>0</v>
      </c>
      <c r="T153" s="5">
        <f>P24*($E24/366) + P25*($E25/366)</f>
        <v>51.5</v>
      </c>
      <c r="U153" s="5">
        <f>Q24*($E24/366) + Q25*($E25/366)</f>
        <v>0</v>
      </c>
      <c r="V153" s="9"/>
      <c r="W153" s="5">
        <f>R24*($E24/366) + R25*($E25/366)</f>
        <v>51.5</v>
      </c>
    </row>
    <row r="154" spans="1:23" x14ac:dyDescent="0.15">
      <c r="A154" s="1">
        <v>1969</v>
      </c>
      <c r="B154" s="5">
        <f>(K26*($E26/365))+(K27*($E27/365))</f>
        <v>0</v>
      </c>
      <c r="C154" s="5">
        <f>(L26*($E26/365))+(L27*($E27/365))</f>
        <v>100</v>
      </c>
      <c r="D154" s="5">
        <f>(M26*($E26/365))+(M27*($E27/365))</f>
        <v>0</v>
      </c>
      <c r="E154" s="17">
        <f t="shared" si="83"/>
        <v>100</v>
      </c>
      <c r="F154" s="4"/>
      <c r="G154" s="13">
        <v>1969</v>
      </c>
      <c r="H154" s="392">
        <f>(O26*100*($E26/365)/($O26+$P26+$Q26))+(O27*100*($E27/365)/($O27+$P27+$Q27))</f>
        <v>0</v>
      </c>
      <c r="I154" s="392"/>
      <c r="J154" s="392">
        <f>(P26*100*($E26/365)/($O26+$P26+$Q26))+(P27*100*($E27/365)/($O27+$P27+$Q27))</f>
        <v>100</v>
      </c>
      <c r="K154" s="392"/>
      <c r="L154" s="392">
        <f>(Q26*100*($E26/365)/($O26+$P26+$Q26))+(Q27*100*($E27/365)/($O27+$P27+$Q27))</f>
        <v>0</v>
      </c>
      <c r="M154" s="392"/>
      <c r="N154" s="363">
        <f t="shared" si="84"/>
        <v>100</v>
      </c>
      <c r="O154" s="363"/>
      <c r="R154" s="13">
        <v>1969</v>
      </c>
      <c r="S154" s="5">
        <f>O26*($E26/365) + O27*($E27/365)</f>
        <v>0</v>
      </c>
      <c r="T154" s="5">
        <f>P26*($E26/365) + P27*($E27/365)</f>
        <v>51.5</v>
      </c>
      <c r="U154" s="5">
        <f>Q26*($E26/365) + Q27*($E27/365)</f>
        <v>0</v>
      </c>
      <c r="V154" s="9"/>
      <c r="W154" s="5">
        <f>R26*($E26/365) + R27*($E27/365)</f>
        <v>51.5</v>
      </c>
    </row>
    <row r="155" spans="1:23" x14ac:dyDescent="0.15">
      <c r="A155" s="1">
        <v>1970</v>
      </c>
      <c r="B155" s="5">
        <f>(K28*($E28/365))+(K29*($E29/365))</f>
        <v>0</v>
      </c>
      <c r="C155" s="5">
        <f>(L28*($E28/365))+(L29*($E29/365))</f>
        <v>30.410958904109592</v>
      </c>
      <c r="D155" s="5">
        <f>(M28*($E28/365))+(M29*($E29/365))</f>
        <v>64.236037934668076</v>
      </c>
      <c r="E155" s="17">
        <f t="shared" si="83"/>
        <v>94.646996838777667</v>
      </c>
      <c r="F155" s="4"/>
      <c r="G155" s="13">
        <v>1970</v>
      </c>
      <c r="H155" s="392">
        <f>(O28*100*($E28/365)/($O28+$P28+$Q28))+(O29*100*($E29/365)/($O29+$P29+$Q29))</f>
        <v>0</v>
      </c>
      <c r="I155" s="392"/>
      <c r="J155" s="392">
        <f>(P28*100*($E28/365)/($O28+$P28+$Q28))+(P29*100*($E29/365)/($O29+$P29+$Q29))</f>
        <v>30.410958904109592</v>
      </c>
      <c r="K155" s="392"/>
      <c r="L155" s="392">
        <f>(Q28*100*($E28/365)/($O28+$P28+$Q28))+(Q29*100*($E29/365)/($O29+$P29+$Q29))</f>
        <v>69.589041095890408</v>
      </c>
      <c r="M155" s="392"/>
      <c r="N155" s="363">
        <f t="shared" si="84"/>
        <v>100</v>
      </c>
      <c r="O155" s="363"/>
      <c r="R155" s="13">
        <v>1970</v>
      </c>
      <c r="S155" s="5">
        <f>O28*($E28/365) + O29*($E29/365)</f>
        <v>0</v>
      </c>
      <c r="T155" s="5">
        <f>P28*($E28/365) + P29*($E29/365)</f>
        <v>15.66164383561644</v>
      </c>
      <c r="U155" s="5">
        <f>Q28*($E28/365) + Q29*($E29/365)</f>
        <v>34.168219178082197</v>
      </c>
      <c r="V155" s="9"/>
      <c r="W155" s="5">
        <f>R28*($E28/365) + R29*($E29/365)</f>
        <v>49.829863013698635</v>
      </c>
    </row>
    <row r="156" spans="1:23" x14ac:dyDescent="0.15">
      <c r="A156" s="1">
        <v>1971</v>
      </c>
      <c r="B156" s="5">
        <f>(K30*($E30/365))+(K31*($E31/365))</f>
        <v>0</v>
      </c>
      <c r="C156" s="5">
        <f>(L30*($E30/365))+(L31*($E31/365))</f>
        <v>0</v>
      </c>
      <c r="D156" s="5">
        <f>(M30*($E30/365))+(M31*($E31/365))</f>
        <v>91.025139244317316</v>
      </c>
      <c r="E156" s="17">
        <f t="shared" si="83"/>
        <v>91.025139244317316</v>
      </c>
      <c r="F156" s="4"/>
      <c r="G156" s="13">
        <v>1971</v>
      </c>
      <c r="H156" s="392">
        <f>(O30*100*($E30/365)/($O30+$P30+$Q30))+(O31*100*($E31/365)/($O31+$P31+$Q31))</f>
        <v>0</v>
      </c>
      <c r="I156" s="392"/>
      <c r="J156" s="392">
        <f>(P30*100*($E30/365)/($O30+$P30+$Q30))+(P31*100*($E31/365)/($O31+$P31+$Q31))</f>
        <v>0</v>
      </c>
      <c r="K156" s="392"/>
      <c r="L156" s="392">
        <f>(Q30*100*($E30/365)/($O30+$P30+$Q30))+(Q31*100*($E31/365)/($O31+$P31+$Q31))</f>
        <v>100</v>
      </c>
      <c r="M156" s="392"/>
      <c r="N156" s="363">
        <f t="shared" si="84"/>
        <v>100</v>
      </c>
      <c r="O156" s="363"/>
      <c r="R156" s="13">
        <v>1971</v>
      </c>
      <c r="S156" s="5">
        <f>O30*($E30/365) + O31*($E31/365)</f>
        <v>0</v>
      </c>
      <c r="T156" s="5">
        <f>P30*($E30/365) + P31*($E31/365)</f>
        <v>0</v>
      </c>
      <c r="U156" s="5">
        <f>Q30*($E30/365) + Q31*($E31/365)</f>
        <v>49.430684931506853</v>
      </c>
      <c r="V156" s="9"/>
      <c r="W156" s="5">
        <f>R30*($E30/365) + R31*($E31/365)</f>
        <v>49.430684931506853</v>
      </c>
    </row>
    <row r="157" spans="1:23" x14ac:dyDescent="0.15">
      <c r="A157" s="1">
        <v>1972</v>
      </c>
      <c r="B157" s="5">
        <f>(K32*($E32/366))+(K33*($E33/366))</f>
        <v>0</v>
      </c>
      <c r="C157" s="5">
        <f>(L32*($E32/366))+(L33*($E33/366))</f>
        <v>0</v>
      </c>
      <c r="D157" s="5">
        <f>(M32*($E32/366))+(M33*($E33/366))</f>
        <v>85.714285714285708</v>
      </c>
      <c r="E157" s="17">
        <f t="shared" si="83"/>
        <v>85.714285714285708</v>
      </c>
      <c r="F157" s="4"/>
      <c r="G157" s="13">
        <v>1972</v>
      </c>
      <c r="H157" s="392">
        <f>(O32*100*($E32/366)/($O32+$P32+$Q32))+(O33*100*($E33/366)/($O33+$P33+$Q33))</f>
        <v>0</v>
      </c>
      <c r="I157" s="392"/>
      <c r="J157" s="392">
        <f>(P32*100*($E32/366)/($O32+$P32+$Q32))+(P33*100*($E33/366)/($O33+$P33+$Q33))</f>
        <v>0</v>
      </c>
      <c r="K157" s="392"/>
      <c r="L157" s="392">
        <f>(Q32*100*($E32/366)/($O32+$P32+$Q32))+(Q33*100*($E33/366)/($O33+$P33+$Q33))</f>
        <v>100</v>
      </c>
      <c r="M157" s="392"/>
      <c r="N157" s="363">
        <f t="shared" si="84"/>
        <v>100</v>
      </c>
      <c r="O157" s="363"/>
      <c r="R157" s="13">
        <v>1972</v>
      </c>
      <c r="S157" s="5">
        <f>O32*($E32/366) + O33*($E33/366)</f>
        <v>0</v>
      </c>
      <c r="T157" s="5">
        <f>P32*($E32/366) + P33*($E33/366)</f>
        <v>0</v>
      </c>
      <c r="U157" s="5">
        <f>Q32*($E32/366) + Q33*($E33/366)</f>
        <v>50.8</v>
      </c>
      <c r="V157" s="9"/>
      <c r="W157" s="5">
        <f>R32*($E32/366) + R33*($E33/366)</f>
        <v>50.8</v>
      </c>
    </row>
    <row r="158" spans="1:23" x14ac:dyDescent="0.15">
      <c r="A158" s="1">
        <v>1973</v>
      </c>
      <c r="B158" s="5">
        <f>(K34*($E34/365))+(K35*($E35/365))</f>
        <v>0</v>
      </c>
      <c r="C158" s="5">
        <f>(L34*($E34/365))+(L35*($E35/365))</f>
        <v>0</v>
      </c>
      <c r="D158" s="5">
        <f>(M34*($E34/365))+(M35*($E35/365))</f>
        <v>85.714285714285708</v>
      </c>
      <c r="E158" s="17">
        <f t="shared" si="83"/>
        <v>85.714285714285708</v>
      </c>
      <c r="F158" s="4"/>
      <c r="G158" s="13">
        <v>1973</v>
      </c>
      <c r="H158" s="392">
        <f>(O34*100*($E34/365)/($O34+$P34+$Q34))+(O35*100*($E35/365)/($O35+$P35+$Q35))</f>
        <v>0</v>
      </c>
      <c r="I158" s="392"/>
      <c r="J158" s="392">
        <f>(P34*100*($E34/365)/($O34+$P34+$Q34))+(P35*100*($E35/365)/($O35+$P35+$Q35))</f>
        <v>0</v>
      </c>
      <c r="K158" s="392"/>
      <c r="L158" s="392">
        <f>(Q34*100*($E34/365)/($O34+$P34+$Q34))+(Q35*100*($E35/365)/($O35+$P35+$Q35))</f>
        <v>100</v>
      </c>
      <c r="M158" s="392"/>
      <c r="N158" s="363">
        <f t="shared" si="84"/>
        <v>100</v>
      </c>
      <c r="O158" s="363"/>
      <c r="R158" s="13">
        <v>1973</v>
      </c>
      <c r="S158" s="5">
        <f>O34*($E34/365) + O35*($E35/365)</f>
        <v>0</v>
      </c>
      <c r="T158" s="5">
        <f>P34*($E34/365) + P35*($E35/365)</f>
        <v>0</v>
      </c>
      <c r="U158" s="5">
        <f>Q34*($E34/365) + Q35*($E35/365)</f>
        <v>50.8</v>
      </c>
      <c r="V158" s="9"/>
      <c r="W158" s="5">
        <f>R34*($E34/365) + R35*($E35/365)</f>
        <v>50.8</v>
      </c>
    </row>
    <row r="159" spans="1:23" x14ac:dyDescent="0.15">
      <c r="A159" s="1">
        <v>1974</v>
      </c>
      <c r="B159" s="5">
        <f>(K36*($E36/365))+(K37*($E37/365))</f>
        <v>0</v>
      </c>
      <c r="C159" s="5">
        <f>(L36*($E36/365))+(L37*($E37/365))</f>
        <v>0</v>
      </c>
      <c r="D159" s="5">
        <f>(M36*($E36/365))+(M37*($E37/365))</f>
        <v>85.714285714285708</v>
      </c>
      <c r="E159" s="17">
        <f t="shared" si="83"/>
        <v>85.714285714285708</v>
      </c>
      <c r="F159" s="4"/>
      <c r="G159" s="13">
        <v>1974</v>
      </c>
      <c r="H159" s="392">
        <f>(O36*100*($E36/365)/($O36+$P36+$Q36))+(O37*100*($E37/365)/($O37+$P37+$Q37))</f>
        <v>0</v>
      </c>
      <c r="I159" s="392"/>
      <c r="J159" s="392">
        <f>(P36*100*($E36/365)/($O36+$P36+$Q36))+(P37*100*($E37/365)/($O37+$P37+$Q37))</f>
        <v>0</v>
      </c>
      <c r="K159" s="392"/>
      <c r="L159" s="392">
        <f>(Q36*100*($E36/365)/($O36+$P36+$Q36))+(Q37*100*($E37/365)/($O37+$P37+$Q37))</f>
        <v>100</v>
      </c>
      <c r="M159" s="392"/>
      <c r="N159" s="363">
        <f t="shared" si="84"/>
        <v>100</v>
      </c>
      <c r="O159" s="363"/>
      <c r="R159" s="13">
        <v>1974</v>
      </c>
      <c r="S159" s="5">
        <f>O36*($E36/365) + O37*($E37/365)</f>
        <v>0</v>
      </c>
      <c r="T159" s="5">
        <f>P36*($E36/365) + P37*($E37/365)</f>
        <v>0</v>
      </c>
      <c r="U159" s="5">
        <f>Q36*($E36/365) + Q37*($E37/365)</f>
        <v>50.8</v>
      </c>
      <c r="V159" s="9"/>
      <c r="W159" s="5">
        <f>R36*($E36/365) + R37*($E37/365)</f>
        <v>50.8</v>
      </c>
    </row>
    <row r="160" spans="1:23" x14ac:dyDescent="0.15">
      <c r="A160" s="1">
        <v>1975</v>
      </c>
      <c r="B160" s="5">
        <f>(K38*($E38/365))+(K39*($E39/365))</f>
        <v>0</v>
      </c>
      <c r="C160" s="5">
        <f>(L38*($E38/365))+(L39*($E39/365))</f>
        <v>0</v>
      </c>
      <c r="D160" s="5">
        <f>(M38*($E38/365))+(M39*($E39/365))</f>
        <v>85.714285714285708</v>
      </c>
      <c r="E160" s="17">
        <f t="shared" si="83"/>
        <v>85.714285714285708</v>
      </c>
      <c r="F160" s="4"/>
      <c r="G160" s="13">
        <v>1975</v>
      </c>
      <c r="H160" s="392">
        <f>(O38*100*($E38/365)/($O38+$P38+$Q38))+(O39*100*($E39/365)/($O39+$P39+$Q39))</f>
        <v>0</v>
      </c>
      <c r="I160" s="392"/>
      <c r="J160" s="392">
        <f>(P38*100*($E38/365)/($O38+$P38+$Q38))+(P39*100*($E39/365)/($O39+$P39+$Q39))</f>
        <v>0</v>
      </c>
      <c r="K160" s="392"/>
      <c r="L160" s="392">
        <f>(Q38*100*($E38/365)/($O38+$P38+$Q38))+(Q39*100*($E39/365)/($O39+$P39+$Q39))</f>
        <v>100</v>
      </c>
      <c r="M160" s="392"/>
      <c r="N160" s="363">
        <f t="shared" si="84"/>
        <v>100</v>
      </c>
      <c r="O160" s="363"/>
      <c r="R160" s="13">
        <v>1975</v>
      </c>
      <c r="S160" s="5">
        <f>O38*($E38/365) + O39*($E39/365)</f>
        <v>0</v>
      </c>
      <c r="T160" s="5">
        <f>P38*($E38/365) + P39*($E39/365)</f>
        <v>0</v>
      </c>
      <c r="U160" s="5">
        <f>Q38*($E38/365) + Q39*($E39/365)</f>
        <v>50.800000000000004</v>
      </c>
      <c r="V160" s="9"/>
      <c r="W160" s="5">
        <f>R38*($E38/365) + R39*($E39/365)</f>
        <v>50.800000000000004</v>
      </c>
    </row>
    <row r="161" spans="1:23" x14ac:dyDescent="0.15">
      <c r="A161" s="1">
        <v>1976</v>
      </c>
      <c r="B161" s="5">
        <f>(K40*($E40/366))+(K41*($E41/366))</f>
        <v>0</v>
      </c>
      <c r="C161" s="5">
        <f>(L40*($E40/366))+(L41*($E41/366))</f>
        <v>0</v>
      </c>
      <c r="D161" s="5">
        <f>(M40*($E40/366))+(M41*($E41/366))</f>
        <v>85.714285714285708</v>
      </c>
      <c r="E161" s="17">
        <f t="shared" si="83"/>
        <v>85.714285714285708</v>
      </c>
      <c r="F161" s="4"/>
      <c r="G161" s="13">
        <v>1976</v>
      </c>
      <c r="H161" s="392">
        <f>(O40*100*($E40/366)/($O40+$P40+$Q40))+(O41*100*($E41/366)/($O41+$P41+$Q41))</f>
        <v>0</v>
      </c>
      <c r="I161" s="392"/>
      <c r="J161" s="392">
        <f>(P40*100*($E40/366)/($O40+$P40+$Q40))+(P41*100*($E41/366)/($O41+$P41+$Q41))</f>
        <v>0</v>
      </c>
      <c r="K161" s="392"/>
      <c r="L161" s="392">
        <f>(Q40*100*($E40/366)/($O40+$P40+$Q40))+(Q41*100*($E41/366)/($O41+$P41+$Q41))</f>
        <v>100</v>
      </c>
      <c r="M161" s="392"/>
      <c r="N161" s="363">
        <f t="shared" si="84"/>
        <v>100</v>
      </c>
      <c r="O161" s="363"/>
      <c r="R161" s="13">
        <v>1976</v>
      </c>
      <c r="S161" s="5">
        <f>O40*($E40/366) + O41*($E41/366)</f>
        <v>0</v>
      </c>
      <c r="T161" s="5">
        <f>P40*($E40/366) + P41*($E41/366)</f>
        <v>0</v>
      </c>
      <c r="U161" s="5">
        <f>Q40*($E40/366) + Q41*($E41/366)</f>
        <v>50.8</v>
      </c>
      <c r="V161" s="9"/>
      <c r="W161" s="5">
        <f>R40*($E40/366) + R41*($E41/366)</f>
        <v>50.8</v>
      </c>
    </row>
    <row r="162" spans="1:23" x14ac:dyDescent="0.15">
      <c r="A162" s="1">
        <v>1977</v>
      </c>
      <c r="B162" s="5">
        <f>(K42*($E42/365))+(K43*($E43/365))</f>
        <v>0</v>
      </c>
      <c r="C162" s="5">
        <f>(L42*($E42/365))+(L43*($E43/365))</f>
        <v>0</v>
      </c>
      <c r="D162" s="5">
        <f>(M42*($E42/365))+(M43*($E43/365))</f>
        <v>85.714285714285708</v>
      </c>
      <c r="E162" s="17">
        <f t="shared" si="83"/>
        <v>85.714285714285708</v>
      </c>
      <c r="F162" s="4"/>
      <c r="G162" s="13">
        <v>1977</v>
      </c>
      <c r="H162" s="392">
        <f>(O42*100*($E42/365)/($O42+$P42+$Q42))+(O43*100*($E43/365)/($O43+$P43+$Q43))</f>
        <v>0</v>
      </c>
      <c r="I162" s="392"/>
      <c r="J162" s="392">
        <f>(P42*100*($E42/365)/($O42+$P42+$Q42))+(P43*100*($E43/365)/($O43+$P43+$Q43))</f>
        <v>0</v>
      </c>
      <c r="K162" s="392"/>
      <c r="L162" s="392">
        <f>(Q42*100*($E42/365)/($O42+$P42+$Q42))+(Q43*100*($E43/365)/($O43+$P43+$Q43))</f>
        <v>100</v>
      </c>
      <c r="M162" s="392"/>
      <c r="N162" s="363">
        <f t="shared" si="84"/>
        <v>100</v>
      </c>
      <c r="O162" s="363"/>
      <c r="R162" s="13">
        <v>1977</v>
      </c>
      <c r="S162" s="5">
        <f>O42*($E42/365) + O43*($E43/365)</f>
        <v>0</v>
      </c>
      <c r="T162" s="5">
        <f>P42*($E42/365) + P43*($E43/365)</f>
        <v>0</v>
      </c>
      <c r="U162" s="5">
        <f>Q42*($E42/365) + Q43*($E43/365)</f>
        <v>50.8</v>
      </c>
      <c r="V162" s="9"/>
      <c r="W162" s="5">
        <f>R42*($E42/365) + R43*($E43/365)</f>
        <v>50.8</v>
      </c>
    </row>
    <row r="163" spans="1:23" x14ac:dyDescent="0.15">
      <c r="A163" s="1">
        <v>1978</v>
      </c>
      <c r="B163" s="5">
        <f>(K44*($E44/365))+(K45*($E45/365))</f>
        <v>0</v>
      </c>
      <c r="C163" s="5">
        <f>(L44*($E44/365))+(L45*($E45/365))</f>
        <v>0</v>
      </c>
      <c r="D163" s="5">
        <f>(M44*($E44/365))+(M45*($E45/365))</f>
        <v>85.714285714285708</v>
      </c>
      <c r="E163" s="17">
        <f t="shared" si="83"/>
        <v>85.714285714285708</v>
      </c>
      <c r="F163" s="4"/>
      <c r="G163" s="13">
        <v>1978</v>
      </c>
      <c r="H163" s="392">
        <f>(O44*100*($E44/365)/($O44+$P44+$Q44))+(O45*100*($E45/365)/($O45+$P45+$Q45))</f>
        <v>0</v>
      </c>
      <c r="I163" s="392"/>
      <c r="J163" s="392">
        <f>(P44*100*($E44/365)/($O44+$P44+$Q44))+(P45*100*($E45/365)/($O45+$P45+$Q45))</f>
        <v>0</v>
      </c>
      <c r="K163" s="392"/>
      <c r="L163" s="392">
        <f>(Q44*100*($E44/365)/($O44+$P44+$Q44))+(Q45*100*($E45/365)/($O45+$P45+$Q45))</f>
        <v>100</v>
      </c>
      <c r="M163" s="392"/>
      <c r="N163" s="363">
        <f t="shared" si="84"/>
        <v>100</v>
      </c>
      <c r="O163" s="363"/>
      <c r="R163" s="13">
        <v>1978</v>
      </c>
      <c r="S163" s="5">
        <f>O44*($E44/365) + O45*($E45/365)</f>
        <v>0</v>
      </c>
      <c r="T163" s="5">
        <f>P44*($E44/365) + P45*($E45/365)</f>
        <v>0</v>
      </c>
      <c r="U163" s="5">
        <f>Q44*($E44/365) + Q45*($E45/365)</f>
        <v>50.8</v>
      </c>
      <c r="V163" s="9"/>
      <c r="W163" s="5">
        <f>R44*($E44/365) + R45*($E45/365)</f>
        <v>50.8</v>
      </c>
    </row>
    <row r="164" spans="1:23" x14ac:dyDescent="0.15">
      <c r="A164" s="1">
        <v>1979</v>
      </c>
      <c r="B164" s="5">
        <f>(K46*($E46/365))+(K47*($E47/365))</f>
        <v>0</v>
      </c>
      <c r="C164" s="5">
        <f>(L46*($E46/365))+(L47*($E47/365))</f>
        <v>0</v>
      </c>
      <c r="D164" s="5">
        <f>(M46*($E46/365))+(M47*($E47/365))</f>
        <v>94.951076320939336</v>
      </c>
      <c r="E164" s="17">
        <f t="shared" si="83"/>
        <v>94.951076320939336</v>
      </c>
      <c r="F164" s="4"/>
      <c r="G164" s="13">
        <v>1979</v>
      </c>
      <c r="H164" s="392">
        <f>(O46*100*($E46/365)/($O46+$P46+$Q46))+(O47*100*($E47/365)/($O47+$P47+$Q47))</f>
        <v>0</v>
      </c>
      <c r="I164" s="392"/>
      <c r="J164" s="392">
        <f>(P46*100*($E46/365)/($O46+$P46+$Q46))+(P47*100*($E47/365)/($O47+$P47+$Q47))</f>
        <v>0</v>
      </c>
      <c r="K164" s="392"/>
      <c r="L164" s="392">
        <f>(Q46*100*($E46/365)/($O46+$P46+$Q46))+(Q47*100*($E47/365)/($O47+$P47+$Q47))</f>
        <v>100</v>
      </c>
      <c r="M164" s="392"/>
      <c r="N164" s="363">
        <f t="shared" si="84"/>
        <v>100</v>
      </c>
      <c r="O164" s="363"/>
      <c r="R164" s="13">
        <v>1979</v>
      </c>
      <c r="S164" s="5">
        <f>O46*($E46/365) + O47*($E47/365)</f>
        <v>0</v>
      </c>
      <c r="T164" s="5">
        <f>P46*($E46/365) + P47*($E47/365)</f>
        <v>0</v>
      </c>
      <c r="U164" s="5">
        <f>Q46*($E46/365) + Q47*($E47/365)</f>
        <v>51.511232876712327</v>
      </c>
      <c r="V164" s="9"/>
      <c r="W164" s="5">
        <f>R46*($E46/365) + R47*($E47/365)</f>
        <v>51.511232876712327</v>
      </c>
    </row>
    <row r="165" spans="1:23" x14ac:dyDescent="0.15">
      <c r="A165" s="1">
        <v>1980</v>
      </c>
      <c r="B165" s="5">
        <f>(K48*($E48/366))+(K49*($E49/366))</f>
        <v>0</v>
      </c>
      <c r="C165" s="5">
        <f>(L48*($E48/366))+(L49*($E49/366))</f>
        <v>0</v>
      </c>
      <c r="D165" s="5">
        <f>(M48*($E48/366))+(M49*($E49/366))</f>
        <v>100</v>
      </c>
      <c r="E165" s="17">
        <f t="shared" si="83"/>
        <v>100</v>
      </c>
      <c r="F165" s="4"/>
      <c r="G165" s="13">
        <v>1980</v>
      </c>
      <c r="H165" s="392">
        <f>(O48*100*($E48/366)/($O48+$P48+$Q48))+(O49*100*($E49/366)/($O49+$P49+$Q49))</f>
        <v>0</v>
      </c>
      <c r="I165" s="392"/>
      <c r="J165" s="392">
        <f>(P48*100*($E48/366)/($O48+$P48+$Q48))+(P49*100*($E49/366)/($O49+$P49+$Q49))</f>
        <v>0</v>
      </c>
      <c r="K165" s="392"/>
      <c r="L165" s="392">
        <f>(Q48*100*($E48/366)/($O48+$P48+$Q48))+(Q49*100*($E49/366)/($O49+$P49+$Q49))</f>
        <v>100</v>
      </c>
      <c r="M165" s="392"/>
      <c r="N165" s="363">
        <f t="shared" si="84"/>
        <v>100</v>
      </c>
      <c r="O165" s="363"/>
      <c r="R165" s="13">
        <v>1980</v>
      </c>
      <c r="S165" s="5">
        <f>O48*($E48/366) + O49*($E49/366)</f>
        <v>0</v>
      </c>
      <c r="T165" s="5">
        <f>P48*($E48/366) + P49*($E49/366)</f>
        <v>0</v>
      </c>
      <c r="U165" s="5">
        <f>Q48*($E48/366) + Q49*($E49/366)</f>
        <v>51.9</v>
      </c>
      <c r="V165" s="9"/>
      <c r="W165" s="5">
        <f>R48*($E48/366) + R49*($E49/366)</f>
        <v>51.9</v>
      </c>
    </row>
    <row r="166" spans="1:23" x14ac:dyDescent="0.15">
      <c r="A166" s="1">
        <v>1981</v>
      </c>
      <c r="B166" s="5">
        <f>(K50*($E50/365))+(K51*($E51/365))</f>
        <v>0</v>
      </c>
      <c r="C166" s="5">
        <f>(L50*($E50/365))+(L51*($E51/365))</f>
        <v>0</v>
      </c>
      <c r="D166" s="5">
        <f>(M50*($E50/365))+(M51*($E51/365))</f>
        <v>100</v>
      </c>
      <c r="E166" s="17">
        <f t="shared" si="83"/>
        <v>100</v>
      </c>
      <c r="F166" s="4"/>
      <c r="G166" s="13">
        <v>1981</v>
      </c>
      <c r="H166" s="392">
        <f>(O50*100*($E50/365)/($O50+$P50+$Q50))+(O51*100*($E51/365)/($O51+$P51+$Q51))</f>
        <v>0</v>
      </c>
      <c r="I166" s="392"/>
      <c r="J166" s="392">
        <f>(P50*100*($E50/365)/($O50+$P50+$Q50))+(P51*100*($E51/365)/($O51+$P51+$Q51))</f>
        <v>0</v>
      </c>
      <c r="K166" s="392"/>
      <c r="L166" s="392">
        <f>(Q50*100*($E50/365)/($O50+$P50+$Q50))+(Q51*100*($E51/365)/($O51+$P51+$Q51))</f>
        <v>100</v>
      </c>
      <c r="M166" s="392"/>
      <c r="N166" s="363">
        <f t="shared" si="84"/>
        <v>100</v>
      </c>
      <c r="O166" s="363"/>
      <c r="R166" s="13">
        <v>1981</v>
      </c>
      <c r="S166" s="5">
        <f>O50*($E50/365) + O51*($E51/365)</f>
        <v>0</v>
      </c>
      <c r="T166" s="5">
        <f>P50*($E50/365) + P51*($E51/365)</f>
        <v>0</v>
      </c>
      <c r="U166" s="5">
        <f>Q50*($E50/365) + Q51*($E51/365)</f>
        <v>51.9</v>
      </c>
      <c r="V166" s="9"/>
      <c r="W166" s="5">
        <f>R50*($E50/365) + R51*($E51/365)</f>
        <v>51.9</v>
      </c>
    </row>
    <row r="167" spans="1:23" x14ac:dyDescent="0.15">
      <c r="A167" s="1">
        <v>1982</v>
      </c>
      <c r="B167" s="5">
        <f>(K52*($E52/365))+(K53*($E53/365))</f>
        <v>0</v>
      </c>
      <c r="C167" s="5">
        <f>(L52*($E52/365))+(L53*($E53/365))</f>
        <v>0</v>
      </c>
      <c r="D167" s="5">
        <f>(M52*($E52/365))+(M53*($E53/365))</f>
        <v>100</v>
      </c>
      <c r="E167" s="17">
        <f t="shared" si="83"/>
        <v>100</v>
      </c>
      <c r="F167" s="4"/>
      <c r="G167" s="13">
        <v>1982</v>
      </c>
      <c r="H167" s="392">
        <f>(O52*100*($E52/365)/($O52+$P52+$Q52))+(O53*100*($E53/365)/($O53+$P53+$Q53))</f>
        <v>0</v>
      </c>
      <c r="I167" s="392"/>
      <c r="J167" s="392">
        <f>(P52*100*($E52/365)/($O52+$P52+$Q52))+(P53*100*($E53/365)/($O53+$P53+$Q53))</f>
        <v>0</v>
      </c>
      <c r="K167" s="392"/>
      <c r="L167" s="392">
        <f>(Q52*100*($E52/365)/($O52+$P52+$Q52))+(Q53*100*($E53/365)/($O53+$P53+$Q53))</f>
        <v>100</v>
      </c>
      <c r="M167" s="392"/>
      <c r="N167" s="363">
        <f t="shared" si="84"/>
        <v>100</v>
      </c>
      <c r="O167" s="363"/>
      <c r="R167" s="13">
        <v>1982</v>
      </c>
      <c r="S167" s="5">
        <f>O52*($E52/365) + O53*($E53/365)</f>
        <v>0</v>
      </c>
      <c r="T167" s="5">
        <f>P52*($E52/365) + P53*($E53/365)</f>
        <v>0</v>
      </c>
      <c r="U167" s="5">
        <f>Q52*($E52/365) + Q53*($E53/365)</f>
        <v>51.9</v>
      </c>
      <c r="V167" s="9"/>
      <c r="W167" s="5">
        <f>R52*($E52/365) + R53*($E53/365)</f>
        <v>51.9</v>
      </c>
    </row>
    <row r="168" spans="1:23" x14ac:dyDescent="0.15">
      <c r="A168" s="1">
        <v>1983</v>
      </c>
      <c r="B168" s="5">
        <f>(K54*($E54/365))+(K55*($E55/365))</f>
        <v>12.164383561643836</v>
      </c>
      <c r="C168" s="5">
        <f>(L54*($E54/365))+(L55*($E55/365))</f>
        <v>0</v>
      </c>
      <c r="D168" s="5">
        <f>(M54*($E54/365))+(M55*($E55/365))</f>
        <v>87.835616438356169</v>
      </c>
      <c r="E168" s="17">
        <f t="shared" si="83"/>
        <v>100</v>
      </c>
      <c r="F168" s="4"/>
      <c r="G168" s="13">
        <v>1983</v>
      </c>
      <c r="H168" s="392">
        <f>(O54*100*($E54/365)/($O54+$P54+$Q54))+(O55*100*($E55/365)/($O55+$P55+$Q55))</f>
        <v>7.1939902783915155</v>
      </c>
      <c r="I168" s="392"/>
      <c r="J168" s="392">
        <f>(P54*100*($E54/365)/($O54+$P54+$Q54))+(P55*100*($E55/365)/($O55+$P55+$Q55))</f>
        <v>0</v>
      </c>
      <c r="K168" s="392"/>
      <c r="L168" s="392">
        <f>(Q54*100*($E54/365)/($O54+$P54+$Q54))+(Q55*100*($E55/365)/($O55+$P55+$Q55))</f>
        <v>92.80600972160849</v>
      </c>
      <c r="M168" s="392"/>
      <c r="N168" s="363">
        <f t="shared" si="84"/>
        <v>100</v>
      </c>
      <c r="O168" s="363"/>
      <c r="R168" s="13">
        <v>1983</v>
      </c>
      <c r="S168" s="5">
        <f>O54*($E54/365) + O55*($E55/365)</f>
        <v>4.0142465753424661</v>
      </c>
      <c r="T168" s="5">
        <f>P54*($E54/365) + P55*($E55/365)</f>
        <v>0</v>
      </c>
      <c r="U168" s="5">
        <f>Q54*($E54/365) + Q55*($E55/365)</f>
        <v>50.257808219178088</v>
      </c>
      <c r="V168" s="9"/>
      <c r="W168" s="5">
        <f>R54*($E54/365) + R55*($E55/365)</f>
        <v>54.27205479452055</v>
      </c>
    </row>
    <row r="169" spans="1:23" x14ac:dyDescent="0.15">
      <c r="A169" s="1">
        <v>1984</v>
      </c>
      <c r="B169" s="5">
        <f>(K56*($E56/366))+(K57*($E57/366))</f>
        <v>20</v>
      </c>
      <c r="C169" s="5">
        <f>(L56*($E56/366))+(L57*($E57/366))</f>
        <v>0</v>
      </c>
      <c r="D169" s="5">
        <f>(M56*($E56/366))+(M57*($E57/366))</f>
        <v>80</v>
      </c>
      <c r="E169" s="17">
        <f t="shared" si="83"/>
        <v>100</v>
      </c>
      <c r="F169" s="4"/>
      <c r="G169" s="13">
        <v>1984</v>
      </c>
      <c r="H169" s="392">
        <f>(O56*100*($E56/366)/($O56+$P56+$Q56))+(O57*100*($E57/366)/($O57+$P57+$Q57))</f>
        <v>11.82795698924731</v>
      </c>
      <c r="I169" s="392"/>
      <c r="J169" s="392">
        <f>(P56*100*($E56/366)/($O56+$P56+$Q56))+(P57*100*($E57/366)/($O57+$P57+$Q57))</f>
        <v>0</v>
      </c>
      <c r="K169" s="392"/>
      <c r="L169" s="392">
        <f>(Q56*100*($E56/366)/($O56+$P56+$Q56))+(Q57*100*($E57/366)/($O57+$P57+$Q57))</f>
        <v>88.172043010752688</v>
      </c>
      <c r="M169" s="392"/>
      <c r="N169" s="363">
        <f t="shared" si="84"/>
        <v>100</v>
      </c>
      <c r="O169" s="363"/>
      <c r="R169" s="13">
        <v>1984</v>
      </c>
      <c r="S169" s="5">
        <f>O56*($E56/366) + O57*($E57/366)</f>
        <v>6.6</v>
      </c>
      <c r="T169" s="5">
        <f>P56*($E56/366) + P57*($E57/366)</f>
        <v>0</v>
      </c>
      <c r="U169" s="5">
        <f>Q56*($E56/366) + Q57*($E57/366)</f>
        <v>49.2</v>
      </c>
      <c r="V169" s="9"/>
      <c r="W169" s="5">
        <f>R56*($E56/366) + R57*($E57/366)</f>
        <v>55.800000000000004</v>
      </c>
    </row>
    <row r="170" spans="1:23" x14ac:dyDescent="0.15">
      <c r="A170" s="1">
        <v>1985</v>
      </c>
      <c r="B170" s="5">
        <f>(K58*($E58/365))+(K59*($E59/365))</f>
        <v>20</v>
      </c>
      <c r="C170" s="5">
        <f>(L58*($E58/365))+(L59*($E59/365))</f>
        <v>0</v>
      </c>
      <c r="D170" s="5">
        <f>(M58*($E58/365))+(M59*($E59/365))</f>
        <v>80</v>
      </c>
      <c r="E170" s="17">
        <f t="shared" si="83"/>
        <v>100</v>
      </c>
      <c r="F170" s="4"/>
      <c r="G170" s="13">
        <v>1985</v>
      </c>
      <c r="H170" s="392">
        <f>(O58*100*($E58/365)/($O58+$P58+$Q58))+(O59*100*($E59/365)/($O59+$P59+$Q59))</f>
        <v>11.82795698924731</v>
      </c>
      <c r="I170" s="392"/>
      <c r="J170" s="392">
        <f>(P58*100*($E58/365)/($O58+$P58+$Q58))+(P59*100*($E59/365)/($O59+$P59+$Q59))</f>
        <v>0</v>
      </c>
      <c r="K170" s="392"/>
      <c r="L170" s="392">
        <f>(Q58*100*($E58/365)/($O58+$P58+$Q58))+(Q59*100*($E59/365)/($O59+$P59+$Q59))</f>
        <v>88.172043010752688</v>
      </c>
      <c r="M170" s="392"/>
      <c r="N170" s="363">
        <f t="shared" si="84"/>
        <v>100</v>
      </c>
      <c r="O170" s="363"/>
      <c r="R170" s="13">
        <v>1985</v>
      </c>
      <c r="S170" s="5">
        <f>O58*($E58/365) + O59*($E59/365)</f>
        <v>6.6</v>
      </c>
      <c r="T170" s="5">
        <f>P58*($E58/365) + P59*($E59/365)</f>
        <v>0</v>
      </c>
      <c r="U170" s="5">
        <f>Q58*($E58/365) + Q59*($E59/365)</f>
        <v>49.2</v>
      </c>
      <c r="V170" s="9"/>
      <c r="W170" s="5">
        <f>R58*($E58/365) + R59*($E59/365)</f>
        <v>55.800000000000004</v>
      </c>
    </row>
    <row r="171" spans="1:23" x14ac:dyDescent="0.15">
      <c r="A171" s="1">
        <v>1986</v>
      </c>
      <c r="B171" s="5">
        <f>(K60*($E60/365))+(K61*($E61/365))</f>
        <v>19.31849315068493</v>
      </c>
      <c r="C171" s="5">
        <f>(L60*($E60/365))+(L61*($E61/365))</f>
        <v>0</v>
      </c>
      <c r="D171" s="5">
        <f>(M60*($E60/365))+(M61*($E61/365))</f>
        <v>80.68150684931507</v>
      </c>
      <c r="E171" s="17">
        <f t="shared" si="83"/>
        <v>100</v>
      </c>
      <c r="F171" s="4"/>
      <c r="G171" s="13">
        <v>1986</v>
      </c>
      <c r="H171" s="392">
        <f>(O60*100*($E60/365)/($O60+$P60+$Q60))+(O61*100*($E61/365)/($O61+$P61+$Q61))</f>
        <v>11.827956989247312</v>
      </c>
      <c r="I171" s="392"/>
      <c r="J171" s="392">
        <f>(P60*100*($E60/365)/($O60+$P60+$Q60))+(P61*100*($E61/365)/($O61+$P61+$Q61))</f>
        <v>0</v>
      </c>
      <c r="K171" s="392"/>
      <c r="L171" s="392">
        <f>(Q60*100*($E60/365)/($O60+$P60+$Q60))+(Q61*100*($E61/365)/($O61+$P61+$Q61))</f>
        <v>88.172043010752674</v>
      </c>
      <c r="M171" s="392"/>
      <c r="N171" s="363">
        <f t="shared" si="84"/>
        <v>99.999999999999986</v>
      </c>
      <c r="O171" s="363"/>
      <c r="R171" s="13">
        <v>1986</v>
      </c>
      <c r="S171" s="5">
        <f>O60*($E60/365) + O61*($E61/365)</f>
        <v>6.6</v>
      </c>
      <c r="T171" s="5">
        <f>P60*($E60/365) + P61*($E61/365)</f>
        <v>0</v>
      </c>
      <c r="U171" s="5">
        <f>Q60*($E60/365) + Q61*($E61/365)</f>
        <v>49.2</v>
      </c>
      <c r="V171" s="9"/>
      <c r="W171" s="5">
        <f>R60*($E60/365) + R61*($E61/365)</f>
        <v>55.800000000000004</v>
      </c>
    </row>
    <row r="172" spans="1:23" x14ac:dyDescent="0.15">
      <c r="A172" s="1">
        <v>1987</v>
      </c>
      <c r="B172" s="5">
        <f>(K62*($E62/365))+(K63*($E63/365))</f>
        <v>1.0273972602739725</v>
      </c>
      <c r="C172" s="5">
        <f>(L62*($E62/365))+(L63*($E63/365))</f>
        <v>44.109589041095887</v>
      </c>
      <c r="D172" s="5">
        <f>(M62*($E62/365))+(M63*($E63/365))</f>
        <v>48.561643835616437</v>
      </c>
      <c r="E172" s="17">
        <f t="shared" si="83"/>
        <v>93.698630136986296</v>
      </c>
      <c r="F172" s="4"/>
      <c r="G172" s="13">
        <v>1987</v>
      </c>
      <c r="H172" s="392">
        <f>(O62*100*($E62/365)/($O62+$P62+$Q62))+(O63*100*($E63/365)/($O63+$P63+$Q63))</f>
        <v>0.64810723228752376</v>
      </c>
      <c r="I172" s="392"/>
      <c r="J172" s="392">
        <f>(P62*100*($E62/365)/($O62+$P62+$Q62))+(P63*100*($E63/365)/($O63+$P63+$Q63))</f>
        <v>46.378963502251167</v>
      </c>
      <c r="K172" s="392"/>
      <c r="L172" s="392">
        <f>(Q62*100*($E62/365)/($O62+$P62+$Q62))+(Q63*100*($E63/365)/($O63+$P63+$Q63))</f>
        <v>52.972929265461303</v>
      </c>
      <c r="M172" s="392"/>
      <c r="N172" s="363">
        <f t="shared" si="84"/>
        <v>100</v>
      </c>
      <c r="O172" s="363"/>
      <c r="R172" s="13">
        <v>1987</v>
      </c>
      <c r="S172" s="5">
        <f>O62*($E62/365) + O63*($E63/365)</f>
        <v>0.36164383561643831</v>
      </c>
      <c r="T172" s="5">
        <f>P62*($E62/365) + P63*($E63/365)</f>
        <v>39.793150684931511</v>
      </c>
      <c r="U172" s="5">
        <f>Q62*($E62/365) + Q63*($E63/365)</f>
        <v>44.0013698630137</v>
      </c>
      <c r="V172" s="9"/>
      <c r="W172" s="5">
        <f>R62*($E62/365) + R63*($E63/365)</f>
        <v>84.156164383561659</v>
      </c>
    </row>
    <row r="173" spans="1:23" x14ac:dyDescent="0.15">
      <c r="A173" s="1">
        <v>1988</v>
      </c>
      <c r="B173" s="5">
        <f>(K64*($E64/366))+(K65*($E65/366))</f>
        <v>0</v>
      </c>
      <c r="C173" s="5">
        <f>(L64*($E64/366))+(L65*($E65/366))</f>
        <v>46.666666666666664</v>
      </c>
      <c r="D173" s="5">
        <f>(M64*($E64/366))+(M65*($E65/366))</f>
        <v>46.666666666666664</v>
      </c>
      <c r="E173" s="17">
        <f t="shared" si="83"/>
        <v>93.333333333333329</v>
      </c>
      <c r="F173" s="4"/>
      <c r="G173" s="13">
        <v>1988</v>
      </c>
      <c r="H173" s="392">
        <f>(O64*100*($E64/366)/($O64+$P64+$Q64))+(O65*100*($E65/366)/($O65+$P65+$Q65))</f>
        <v>0</v>
      </c>
      <c r="I173" s="392"/>
      <c r="J173" s="392">
        <f>(P64*100*($E64/366)/($O64+$P64+$Q64))+(P65*100*($E65/366)/($O65+$P65+$Q65))</f>
        <v>49.067599067599062</v>
      </c>
      <c r="K173" s="392"/>
      <c r="L173" s="392">
        <f>(Q64*100*($E64/366)/($O64+$P64+$Q64))+(Q65*100*($E65/366)/($O65+$P65+$Q65))</f>
        <v>50.932400932400924</v>
      </c>
      <c r="M173" s="392"/>
      <c r="N173" s="363">
        <f t="shared" si="84"/>
        <v>99.999999999999986</v>
      </c>
      <c r="O173" s="363"/>
      <c r="R173" s="13">
        <v>1988</v>
      </c>
      <c r="S173" s="5">
        <f>O64*($E64/366) + O65*($E65/366)</f>
        <v>0</v>
      </c>
      <c r="T173" s="5">
        <f>P64*($E64/366) + P65*($E65/366)</f>
        <v>42.1</v>
      </c>
      <c r="U173" s="5">
        <f>Q64*($E64/366) + Q65*($E65/366)</f>
        <v>43.7</v>
      </c>
      <c r="V173" s="9"/>
      <c r="W173" s="5">
        <f>R64*($E64/366) + R65*($E65/366)</f>
        <v>85.800000000000011</v>
      </c>
    </row>
    <row r="174" spans="1:23" s="3" customFormat="1" x14ac:dyDescent="0.15">
      <c r="A174" s="3">
        <v>1989</v>
      </c>
      <c r="B174" s="8">
        <f>(K66*($E66/365))+(K67*($E67/365))</f>
        <v>0</v>
      </c>
      <c r="C174" s="8">
        <f>(L65*($E65/365))+(L66*($E66/365))</f>
        <v>46.794520547945204</v>
      </c>
      <c r="D174" s="8">
        <f>(M65*($E65/365))+(M66*($E66/365))</f>
        <v>46.794520547945204</v>
      </c>
      <c r="E174" s="18">
        <f t="shared" si="83"/>
        <v>93.589041095890408</v>
      </c>
      <c r="F174" s="12"/>
      <c r="G174" s="14">
        <v>1989</v>
      </c>
      <c r="H174" s="393">
        <f>(O66*100*($E66/365)/($O66+$P66+$Q66))+(O67*100*($E67/365)/($O67+$P67+$Q67))</f>
        <v>0</v>
      </c>
      <c r="I174" s="393"/>
      <c r="J174" s="393">
        <f>(P66*100*($E66/365)/($O66+$P66+$Q66))+(P67*100*($E67/365)/($O67+$P67+$Q67))</f>
        <v>49.067599067599062</v>
      </c>
      <c r="K174" s="393"/>
      <c r="L174" s="393">
        <f>(Q66*100*($E66/365)/($O66+$P66+$Q66))+(Q67*100*($E67/365)/($O67+$P67+$Q67))</f>
        <v>50.932400932400924</v>
      </c>
      <c r="M174" s="393"/>
      <c r="N174" s="391">
        <f t="shared" si="84"/>
        <v>99.999999999999986</v>
      </c>
      <c r="O174" s="391"/>
      <c r="R174" s="14">
        <v>1989</v>
      </c>
      <c r="S174" s="8">
        <f>O66*($E66/365) + O67*($E67/365)</f>
        <v>0</v>
      </c>
      <c r="T174" s="8">
        <f>P66*($E66/365) + P67*($E67/365)</f>
        <v>42.1</v>
      </c>
      <c r="U174" s="8">
        <f>Q66*($E66/365) + Q67*($E67/365)</f>
        <v>43.7</v>
      </c>
      <c r="V174" s="20"/>
      <c r="W174" s="8">
        <f>R66*($E66/365) + R67*($E67/365)</f>
        <v>85.800000000000011</v>
      </c>
    </row>
    <row r="175" spans="1:23" x14ac:dyDescent="0.15">
      <c r="A175" s="1">
        <v>1990</v>
      </c>
      <c r="B175" s="5">
        <f>(K68*(E68/365))+(K69*(E69/365))</f>
        <v>0</v>
      </c>
      <c r="C175" s="5">
        <f>(L68*(E68/365))+(L69*(E69/365))</f>
        <v>46.714746172441579</v>
      </c>
      <c r="D175" s="5">
        <f>(M68*(E68/365))+(M69*(E69/365))</f>
        <v>46.714746172441579</v>
      </c>
      <c r="E175" s="17">
        <f t="shared" ref="E175:E201" si="85">SUM(B175:D175)</f>
        <v>93.429492344883158</v>
      </c>
      <c r="F175" s="4"/>
      <c r="G175" s="1">
        <v>1990</v>
      </c>
      <c r="H175" s="392">
        <f>(O68*100*(E68/365)/(O68+P68+Q68))+(O69*100*(E69/365)/(O69+P69+Q69))</f>
        <v>0</v>
      </c>
      <c r="I175" s="392"/>
      <c r="J175" s="392">
        <f>(P68*100*(E68/365)/(P68+Q68+O68))+(P69*100*(E69/365)/(P69+Q69+O69))</f>
        <v>48.813142270031868</v>
      </c>
      <c r="K175" s="392"/>
      <c r="L175" s="392">
        <f>(Q68*100*(E68/365)/(Q68+P68+O68))+(Q69*100*(E69/365)/(Q69+P69+O69))</f>
        <v>51.186857729968111</v>
      </c>
      <c r="M175" s="392"/>
      <c r="N175" s="363">
        <f t="shared" si="84"/>
        <v>99.999999999999972</v>
      </c>
      <c r="O175" s="363"/>
      <c r="R175" s="1">
        <v>1990</v>
      </c>
      <c r="S175" s="5">
        <f>O68*($E68/365) + O69*($E69/365)</f>
        <v>0</v>
      </c>
      <c r="T175" s="5">
        <f>P68*($E68/365) + P69*($E69/365)</f>
        <v>41.717808219178082</v>
      </c>
      <c r="U175" s="5">
        <f>Q68*($E68/365) + Q69*($E69/365)</f>
        <v>43.7</v>
      </c>
      <c r="V175" s="9"/>
      <c r="W175" s="5">
        <f>R68*($E68/365) + R69*($E69/365)</f>
        <v>85.417808219178085</v>
      </c>
    </row>
    <row r="176" spans="1:23" x14ac:dyDescent="0.15">
      <c r="A176" s="1">
        <v>1991</v>
      </c>
      <c r="B176" s="5">
        <f>(K70*(E70/365))+(K71*(E71/365))</f>
        <v>0</v>
      </c>
      <c r="C176" s="5">
        <f>(L70*(E70/365))+(L71*(E71/365))</f>
        <v>47.058823529411761</v>
      </c>
      <c r="D176" s="5">
        <f>(M70*(E70/365))+(M71*(E71/365))</f>
        <v>47.058823529411761</v>
      </c>
      <c r="E176" s="17">
        <f t="shared" si="85"/>
        <v>94.117647058823522</v>
      </c>
      <c r="F176" s="4"/>
      <c r="G176" s="1">
        <v>1991</v>
      </c>
      <c r="H176" s="392">
        <f>(O70*100*(E70/365)/(O70+P70+Q70))+(O71*100*(E71/365)/(O71+P71+Q71))</f>
        <v>0</v>
      </c>
      <c r="I176" s="392"/>
      <c r="J176" s="392">
        <f>(P70*100*(E70/365)/(P70+Q70+O70))+(P71*100*(E71/365)/(P71+Q71+O71))</f>
        <v>42.875816993464049</v>
      </c>
      <c r="K176" s="392"/>
      <c r="L176" s="392">
        <f>(Q70*100*(E70/365)/(Q70+P70+O70))+(Q71*100*(E71/365)/(Q71+P71+O71))</f>
        <v>57.124183006535951</v>
      </c>
      <c r="M176" s="392"/>
      <c r="N176" s="363">
        <f t="shared" si="84"/>
        <v>100</v>
      </c>
      <c r="O176" s="363"/>
      <c r="R176" s="1">
        <v>1991</v>
      </c>
      <c r="S176" s="5">
        <f>O70*($E70/365) + O71*($E71/365)</f>
        <v>0</v>
      </c>
      <c r="T176" s="5">
        <f>P70*($E70/365) + P71*($E71/365)</f>
        <v>32.799999999999997</v>
      </c>
      <c r="U176" s="5">
        <f>Q70*($E70/365) + Q71*($E71/365)</f>
        <v>43.7</v>
      </c>
      <c r="V176" s="9"/>
      <c r="W176" s="5">
        <f>R70*($E70/365) + R71*($E71/365)</f>
        <v>76.5</v>
      </c>
    </row>
    <row r="177" spans="1:23" x14ac:dyDescent="0.15">
      <c r="A177" s="1">
        <v>1992</v>
      </c>
      <c r="B177" s="5">
        <f>(K72*(E72/366))+(K73*(E73/366))</f>
        <v>0</v>
      </c>
      <c r="C177" s="5">
        <f>(L72*(E72/366))+(L73*(E73/366))</f>
        <v>43.75</v>
      </c>
      <c r="D177" s="5">
        <f>(M72*(E72/366))+(M73*(E73/366))</f>
        <v>50</v>
      </c>
      <c r="E177" s="17">
        <f t="shared" si="85"/>
        <v>93.75</v>
      </c>
      <c r="F177" s="4"/>
      <c r="G177" s="1">
        <v>1992</v>
      </c>
      <c r="H177" s="392">
        <f>(O72*100*(E72/366)/(O72+P72+Q72))+(O73*100*(E73/366)/(O73+P73+Q73))</f>
        <v>0</v>
      </c>
      <c r="I177" s="392"/>
      <c r="J177" s="392">
        <f>(P72*100*(E72/366)/(P72+Q72+O72))+(P73*100*(E73/366)/(P73+Q73+O73))</f>
        <v>42.875816993464049</v>
      </c>
      <c r="K177" s="392"/>
      <c r="L177" s="392">
        <f>(Q72*100*(E72/366)/(Q72+P72+O72))+(Q73*100*(E73/366)/(Q73+P73+O73))</f>
        <v>57.124183006535951</v>
      </c>
      <c r="M177" s="392"/>
      <c r="N177" s="363">
        <f t="shared" si="84"/>
        <v>100</v>
      </c>
      <c r="O177" s="363"/>
      <c r="R177" s="1">
        <v>1992</v>
      </c>
      <c r="S177" s="5">
        <f>O72*($E72/366) + O73*($E73/366)</f>
        <v>0</v>
      </c>
      <c r="T177" s="5">
        <f>P72*($E72/366) + P73*($E73/366)</f>
        <v>32.799999999999997</v>
      </c>
      <c r="U177" s="5">
        <f>Q72*($E72/366) + Q73*($E73/366)</f>
        <v>43.7</v>
      </c>
      <c r="V177" s="9"/>
      <c r="W177" s="5">
        <f>R72*($E72/366) + R73*($E73/366)</f>
        <v>76.5</v>
      </c>
    </row>
    <row r="178" spans="1:23" x14ac:dyDescent="0.15">
      <c r="A178" s="1">
        <v>1993</v>
      </c>
      <c r="B178" s="5">
        <f>(K74*(E74/365))+(K75*(E75/365))</f>
        <v>0</v>
      </c>
      <c r="C178" s="5">
        <f>(L74*(E74/365))+(L75*(E75/365))</f>
        <v>43.75</v>
      </c>
      <c r="D178" s="5">
        <f>(M74*(E74/365))+(M75*(E75/365))</f>
        <v>50</v>
      </c>
      <c r="E178" s="17">
        <f t="shared" si="85"/>
        <v>93.75</v>
      </c>
      <c r="F178" s="4"/>
      <c r="G178" s="1">
        <v>1993</v>
      </c>
      <c r="H178" s="392">
        <f>(O74*100*(E74/365)/(O74+P74+Q74))+(O75*100*(E75/365)/(O75+P75+Q75))</f>
        <v>0</v>
      </c>
      <c r="I178" s="392"/>
      <c r="J178" s="392">
        <f>(P74*100*(E74/365)/(P74+Q74+O74))+(P75*100*(E75/365)/(P75+Q75+O75))</f>
        <v>42.875816993464049</v>
      </c>
      <c r="K178" s="392"/>
      <c r="L178" s="392">
        <f>(Q74*100*(E74/365)/(Q74+P74+O74))+(Q75*100*(E75/365)/(Q75+P75+O75))</f>
        <v>57.124183006535951</v>
      </c>
      <c r="M178" s="392"/>
      <c r="N178" s="363">
        <f t="shared" si="84"/>
        <v>100</v>
      </c>
      <c r="O178" s="363"/>
      <c r="R178" s="1">
        <v>1993</v>
      </c>
      <c r="S178" s="5">
        <f>O74*($E74/365) + O75*($E75/365)</f>
        <v>0</v>
      </c>
      <c r="T178" s="5">
        <f>P74*($E74/365) + P75*($E75/365)</f>
        <v>32.799999999999997</v>
      </c>
      <c r="U178" s="5">
        <f>Q74*($E74/365) + Q75*($E75/365)</f>
        <v>43.7</v>
      </c>
      <c r="V178" s="9"/>
      <c r="W178" s="5">
        <f>R74*($E74/365) + R75*($E75/365)</f>
        <v>76.5</v>
      </c>
    </row>
    <row r="179" spans="1:23" x14ac:dyDescent="0.15">
      <c r="A179" s="1">
        <v>1994</v>
      </c>
      <c r="B179" s="5">
        <f>(K76*(E76/365))+(K77*(E77/365))</f>
        <v>0</v>
      </c>
      <c r="C179" s="5">
        <f>(L76*(E76/365))+(L77*(E77/365))</f>
        <v>43.75</v>
      </c>
      <c r="D179" s="5">
        <f>(M76*(E76/365))+(M77*(E77/365))</f>
        <v>50</v>
      </c>
      <c r="E179" s="17">
        <f t="shared" si="85"/>
        <v>93.75</v>
      </c>
      <c r="F179" s="4"/>
      <c r="G179" s="1">
        <v>1994</v>
      </c>
      <c r="H179" s="392">
        <f>(O76*100*(E76/365)/(O76+P76+Q76))+(O77*100*(E77/365)/(O77+P77+Q77))</f>
        <v>0</v>
      </c>
      <c r="I179" s="392"/>
      <c r="J179" s="392">
        <f>(P76*100*(E76/365)/(P76+Q76+O76))+(P77*100*(E77/365)/(P77+Q77+O77))</f>
        <v>43.017638105470496</v>
      </c>
      <c r="K179" s="392"/>
      <c r="L179" s="392">
        <f>(Q76*100*(E76/365)/(Q76+P76+O76))+(Q77*100*(E77/365)/(Q77+P77+O77))</f>
        <v>56.982361894529504</v>
      </c>
      <c r="M179" s="392"/>
      <c r="N179" s="363">
        <f t="shared" si="84"/>
        <v>100</v>
      </c>
      <c r="O179" s="363"/>
      <c r="R179" s="1">
        <v>1994</v>
      </c>
      <c r="S179" s="5">
        <f>O76*($E76/365) + O77*($E77/365)</f>
        <v>0</v>
      </c>
      <c r="T179" s="5">
        <f>P76*($E76/365) + P77*($E77/365)</f>
        <v>32.402191780821916</v>
      </c>
      <c r="U179" s="5">
        <f>Q76*($E76/365) + Q77*($E77/365)</f>
        <v>42.958630136986301</v>
      </c>
      <c r="V179" s="9"/>
      <c r="W179" s="5">
        <f>R76*($E76/365) + R77*($E77/365)</f>
        <v>75.360821917808224</v>
      </c>
    </row>
    <row r="180" spans="1:23" x14ac:dyDescent="0.15">
      <c r="A180" s="1">
        <v>1995</v>
      </c>
      <c r="B180" s="5">
        <f>(K78*(E78/365))+(K79*(E79/365))</f>
        <v>0</v>
      </c>
      <c r="C180" s="5">
        <f>(L78*(E78/365))+(L79*(E79/365))</f>
        <v>43.75</v>
      </c>
      <c r="D180" s="5">
        <f>(M78*(E78/365))+(M79*(E79/365))</f>
        <v>50</v>
      </c>
      <c r="E180" s="17">
        <f t="shared" si="85"/>
        <v>93.75</v>
      </c>
      <c r="F180" s="4"/>
      <c r="G180" s="1">
        <v>1995</v>
      </c>
      <c r="H180" s="392">
        <f>(O78*100*(E78/365)/(O78+P78+Q78))+(O79*100*(E79/365)/(O79+P79+Q79))</f>
        <v>0</v>
      </c>
      <c r="I180" s="392"/>
      <c r="J180" s="392">
        <f>(P78*100*(E78/365)/(P78+Q78+O78))+(P79*100*(E79/365)/(P79+Q79+O79))</f>
        <v>44.444444444444443</v>
      </c>
      <c r="K180" s="392"/>
      <c r="L180" s="392">
        <f>(Q78*100*(E78/365)/(Q78+P78+O78))+(Q79*100*(E79/365)/(Q79+P79+O79))</f>
        <v>55.555555555555557</v>
      </c>
      <c r="M180" s="392"/>
      <c r="N180" s="363">
        <f t="shared" si="84"/>
        <v>100</v>
      </c>
      <c r="O180" s="363"/>
      <c r="R180" s="1">
        <v>1995</v>
      </c>
      <c r="S180" s="5">
        <f>O78*($E78/365) + O79*($E79/365)</f>
        <v>0</v>
      </c>
      <c r="T180" s="5">
        <f>P78*($E78/365) + P79*($E79/365)</f>
        <v>28.4</v>
      </c>
      <c r="U180" s="5">
        <f>Q78*($E78/365) + Q79*($E79/365)</f>
        <v>35.5</v>
      </c>
      <c r="V180" s="9"/>
      <c r="W180" s="5">
        <f>R78*($E78/365) + R79*($E79/365)</f>
        <v>63.9</v>
      </c>
    </row>
    <row r="181" spans="1:23" x14ac:dyDescent="0.15">
      <c r="A181" s="1">
        <v>1996</v>
      </c>
      <c r="B181" s="5">
        <f>(K80*(E80/366))+(K81*(E81/366))</f>
        <v>0</v>
      </c>
      <c r="C181" s="5">
        <f>(L80*(E80/366))+(L81*(E81/366))</f>
        <v>43.030347384855574</v>
      </c>
      <c r="D181" s="5">
        <f>(M80*(E80/366))+(M81*(E81/366))</f>
        <v>50</v>
      </c>
      <c r="E181" s="17">
        <f t="shared" si="85"/>
        <v>93.030347384855574</v>
      </c>
      <c r="F181" s="4"/>
      <c r="G181" s="1">
        <v>1996</v>
      </c>
      <c r="H181" s="392">
        <f>(O80*100*(E80/366)/(O80+P80+Q80))+(O81*100*(E81/366)/(O81+P81+Q81))</f>
        <v>0</v>
      </c>
      <c r="I181" s="392"/>
      <c r="J181" s="392">
        <f>(P80*100*(E80/366)/(P80+Q80+O80))+(P81*100*(E81/366)/(P81+Q81+O81))</f>
        <v>42.685293607424761</v>
      </c>
      <c r="K181" s="392"/>
      <c r="L181" s="392">
        <f>(Q80*100*(E80/366)/(Q80+P80+O80))+(Q81*100*(E81/366)/(Q81+P81+O81))</f>
        <v>57.314706392575253</v>
      </c>
      <c r="M181" s="392"/>
      <c r="N181" s="363">
        <f t="shared" si="84"/>
        <v>100.00000000000001</v>
      </c>
      <c r="O181" s="363"/>
      <c r="R181" s="1">
        <v>1996</v>
      </c>
      <c r="S181" s="5">
        <f>O80*($E80/366) + O81*($E81/366)</f>
        <v>0</v>
      </c>
      <c r="T181" s="5">
        <f>P80*($E80/366) + P81*($E81/366)</f>
        <v>28.4</v>
      </c>
      <c r="U181" s="5">
        <f>Q80*($E80/366) + Q81*($E81/366)</f>
        <v>38.159836065573771</v>
      </c>
      <c r="V181" s="9"/>
      <c r="W181" s="5">
        <f>R80*($E80/366) + R81*($E81/366)</f>
        <v>66.559836065573762</v>
      </c>
    </row>
    <row r="182" spans="1:23" x14ac:dyDescent="0.15">
      <c r="A182" s="1">
        <v>1997</v>
      </c>
      <c r="B182" s="5">
        <f>(K82*(E82/365))+(K83*(E83/365))</f>
        <v>0</v>
      </c>
      <c r="C182" s="5">
        <f>(L82*(E82/365))+(L83*(E83/365))</f>
        <v>45.909980430528378</v>
      </c>
      <c r="D182" s="5">
        <f>(M82*(E82/365))+(M83*(E83/365))</f>
        <v>46.438356164383563</v>
      </c>
      <c r="E182" s="17">
        <f t="shared" si="85"/>
        <v>92.348336594911942</v>
      </c>
      <c r="F182" s="4"/>
      <c r="G182" s="1">
        <v>1997</v>
      </c>
      <c r="H182" s="392">
        <f>(O82*100*(E82/365)/(O82+P82+Q82))+(O83*100*(E83/365)/(O83+P83+Q83))</f>
        <v>0</v>
      </c>
      <c r="I182" s="392"/>
      <c r="J182" s="392">
        <f>(P82*100*(E82/365)/(P82+Q82+O82))+(P83*100*(E83/365)/(P83+Q83+O83))</f>
        <v>42.261904761904766</v>
      </c>
      <c r="K182" s="392"/>
      <c r="L182" s="392">
        <f>(Q82*100*(E82/365)/(Q82+P82+O82))+(Q83*100*(E83/365)/(Q83+P83+O83))</f>
        <v>57.738095238095234</v>
      </c>
      <c r="M182" s="392"/>
      <c r="N182" s="363">
        <f t="shared" si="84"/>
        <v>100</v>
      </c>
      <c r="O182" s="363"/>
      <c r="R182" s="1">
        <v>1997</v>
      </c>
      <c r="S182" s="5">
        <f>O82*($E82/365) + O83*($E83/365)</f>
        <v>0</v>
      </c>
      <c r="T182" s="5">
        <f>P82*($E82/365) + P83*($E83/365)</f>
        <v>28.4</v>
      </c>
      <c r="U182" s="5">
        <f>Q82*($E82/365) + Q83*($E83/365)</f>
        <v>38.799999999999997</v>
      </c>
      <c r="V182" s="9"/>
      <c r="W182" s="5">
        <f>R82*($E82/365) + R83*($E83/365)</f>
        <v>67.199999999999989</v>
      </c>
    </row>
    <row r="183" spans="1:23" x14ac:dyDescent="0.15">
      <c r="A183" s="1">
        <v>1998</v>
      </c>
      <c r="B183" s="5">
        <f>(K84*(E84/365))+(K85*(E85/365))</f>
        <v>0</v>
      </c>
      <c r="C183" s="5">
        <f>(L84*(E84/365))+(L85*(E85/365))</f>
        <v>46.153846153846153</v>
      </c>
      <c r="D183" s="5">
        <f>(M84*(E84/365))+(M85*(E85/365))</f>
        <v>46.153846153846153</v>
      </c>
      <c r="E183" s="17">
        <f t="shared" si="85"/>
        <v>92.307692307692307</v>
      </c>
      <c r="F183" s="4"/>
      <c r="G183" s="1">
        <v>1998</v>
      </c>
      <c r="H183" s="392">
        <f>(O84*100*(E84/365)/(O84+P84+Q84))+(O85*100*(E85/365)/(O85+P85+Q85))</f>
        <v>0</v>
      </c>
      <c r="I183" s="392"/>
      <c r="J183" s="392">
        <f>(P84*100*(E84/365)/(P84+Q84+O84))+(P85*100*(E85/365)/(P85+Q85+O85))</f>
        <v>42.261904761904766</v>
      </c>
      <c r="K183" s="392"/>
      <c r="L183" s="392">
        <f>(Q84*100*(E84/365)/(Q84+P84+O84))+(Q85*100*(E85/365)/(Q85+P85+O85))</f>
        <v>57.738095238095241</v>
      </c>
      <c r="M183" s="392"/>
      <c r="N183" s="363">
        <f t="shared" si="84"/>
        <v>100</v>
      </c>
      <c r="O183" s="363"/>
      <c r="R183" s="1">
        <v>1998</v>
      </c>
      <c r="S183" s="5">
        <f>O84*($E84/365) + O85*($E85/365)</f>
        <v>0</v>
      </c>
      <c r="T183" s="5">
        <f>P84*($E84/365) + P85*($E85/365)</f>
        <v>28.4</v>
      </c>
      <c r="U183" s="5">
        <f>Q84*($E84/365) + Q85*($E85/365)</f>
        <v>38.799999999999997</v>
      </c>
      <c r="V183" s="9"/>
      <c r="W183" s="5">
        <f>R84*($E84/365) + R85*($E85/365)</f>
        <v>67.199999999999989</v>
      </c>
    </row>
    <row r="184" spans="1:23" x14ac:dyDescent="0.15">
      <c r="A184" s="1">
        <v>1999</v>
      </c>
      <c r="B184" s="5">
        <f>(K86*(E86/365))+(K87*(E87/365))</f>
        <v>0</v>
      </c>
      <c r="C184" s="5">
        <f>(L86*(E86/365))+(L87*(E87/365))</f>
        <v>46.153846153846153</v>
      </c>
      <c r="D184" s="5">
        <f>(M86*(E86/365))+(M87*(E87/365))</f>
        <v>46.153846153846153</v>
      </c>
      <c r="E184" s="17">
        <f t="shared" si="85"/>
        <v>92.307692307692307</v>
      </c>
      <c r="F184" s="4"/>
      <c r="G184" s="1">
        <v>1999</v>
      </c>
      <c r="H184" s="392">
        <f>(O86*100*(E86/365)/(O86+P86+Q86))+(O87*100*(E87/365)/(O87+P87+Q87))</f>
        <v>0</v>
      </c>
      <c r="I184" s="392"/>
      <c r="J184" s="392">
        <f>(P86*100*(E86/365)/(P86+Q86+O86))+(P87*100*(E87/365)/(P87+Q87+O87))</f>
        <v>42.261904761904766</v>
      </c>
      <c r="K184" s="392"/>
      <c r="L184" s="392">
        <f>(Q86*100*(E86/365)/(Q86+P86+O86))+(Q87*100*(E87/365)/(Q87+P87+O87))</f>
        <v>57.738095238095241</v>
      </c>
      <c r="M184" s="392"/>
      <c r="N184" s="363">
        <f t="shared" si="84"/>
        <v>100</v>
      </c>
      <c r="O184" s="363"/>
      <c r="R184" s="1">
        <v>1999</v>
      </c>
      <c r="S184" s="5">
        <f>O86*($E86/365) + O87*($E87/365)</f>
        <v>0</v>
      </c>
      <c r="T184" s="5">
        <f>P86*($E86/365) + P87*($E87/365)</f>
        <v>28.4</v>
      </c>
      <c r="U184" s="5">
        <f>Q86*($E86/365) + Q87*($E87/365)</f>
        <v>38.799999999999997</v>
      </c>
      <c r="V184" s="9"/>
      <c r="W184" s="5">
        <f>R86*($E86/365) + R87*($E87/365)</f>
        <v>67.199999999999989</v>
      </c>
    </row>
    <row r="185" spans="1:23" x14ac:dyDescent="0.15">
      <c r="A185" s="1">
        <v>2000</v>
      </c>
      <c r="B185" s="5">
        <f>(K88*(E88/366))+(K89*(E89/366))</f>
        <v>45.355191256830601</v>
      </c>
      <c r="C185" s="5">
        <f>(L88*(E88/366))+(L89*(E89/366))</f>
        <v>49.642707019756202</v>
      </c>
      <c r="D185" s="5">
        <f>(M88*(E88/366))+(M89*(E89/366))</f>
        <v>4.2875157629255991</v>
      </c>
      <c r="E185" s="17">
        <f t="shared" si="85"/>
        <v>99.285414039512389</v>
      </c>
      <c r="F185" s="4"/>
      <c r="G185" s="1">
        <v>2000</v>
      </c>
      <c r="H185" s="392">
        <f>(O88*100*(E88/366)/(O88+P88+Q88))+(O89*100*(E89/366)/(O89+P89+Q89))</f>
        <v>45.355191256830608</v>
      </c>
      <c r="I185" s="392"/>
      <c r="J185" s="392">
        <f>(P88*100*(E88/366)/(P88+Q88+O88))+(P89*100*(E89/366)/(P89+Q89+O89))</f>
        <v>49.281160551652363</v>
      </c>
      <c r="K185" s="392"/>
      <c r="L185" s="392">
        <f>(Q88*100*(E88/366)/(Q88+P88+O88))+(Q89*100*(E89/366)/(Q89+P89+O89))</f>
        <v>5.3636481915170453</v>
      </c>
      <c r="M185" s="392"/>
      <c r="N185" s="363">
        <f t="shared" si="84"/>
        <v>100.00000000000001</v>
      </c>
      <c r="O185" s="363"/>
      <c r="R185" s="1">
        <v>2000</v>
      </c>
      <c r="S185" s="5">
        <f>O88*($E88/366) + O89*($E89/366)</f>
        <v>25.76174863387978</v>
      </c>
      <c r="T185" s="5">
        <f>P88*($E88/366) + P89*($E89/366)</f>
        <v>28.4</v>
      </c>
      <c r="U185" s="5">
        <f>Q88*($E88/366) + Q89*($E89/366)</f>
        <v>3.6043715846994537</v>
      </c>
      <c r="V185" s="9"/>
      <c r="W185" s="5">
        <f>R88*($E88/366) + R89*($E89/366)</f>
        <v>57.766120218579232</v>
      </c>
    </row>
    <row r="186" spans="1:23" x14ac:dyDescent="0.15">
      <c r="A186" s="1">
        <v>2001</v>
      </c>
      <c r="B186" s="5">
        <f>(K90*(E90/365))+(K91*(E91/365))</f>
        <v>50</v>
      </c>
      <c r="C186" s="5">
        <f>(L90*(E90/365))+(L91*(E91/365))</f>
        <v>50</v>
      </c>
      <c r="D186" s="5">
        <f>(M90*(E90/365))+(M91*(E91/365))</f>
        <v>0</v>
      </c>
      <c r="E186" s="17">
        <f t="shared" si="85"/>
        <v>100</v>
      </c>
      <c r="F186" s="4"/>
      <c r="G186" s="1">
        <v>2001</v>
      </c>
      <c r="H186" s="392">
        <f>(O90*100*(E90/365)/(O90+P90+Q90))+(O91*100*(E91/365)/(O91+P91+Q91))</f>
        <v>50</v>
      </c>
      <c r="I186" s="392"/>
      <c r="J186" s="392">
        <f>(P90*100*(E90/365)/(P90+Q90+O90))+(P91*100*(E91/365)/(P91+Q91+O91))</f>
        <v>50</v>
      </c>
      <c r="K186" s="392"/>
      <c r="L186" s="392">
        <f>(Q90*100*(E90/365)/(Q90+P90+O90))+(Q91*100*(E91/365)/(Q91+P91+O91))</f>
        <v>0</v>
      </c>
      <c r="M186" s="392"/>
      <c r="N186" s="363">
        <f t="shared" si="84"/>
        <v>100</v>
      </c>
      <c r="O186" s="363"/>
      <c r="R186" s="1">
        <v>2001</v>
      </c>
      <c r="S186" s="5">
        <f>O90*($E90/365) + O91*($E91/365)</f>
        <v>28.4</v>
      </c>
      <c r="T186" s="5">
        <f>P90*($E90/365) + P91*($E91/365)</f>
        <v>28.4</v>
      </c>
      <c r="U186" s="5">
        <f>Q90*($E90/365) + Q91*($E91/365)</f>
        <v>0</v>
      </c>
      <c r="V186" s="9"/>
      <c r="W186" s="5">
        <f>R90*($E90/365) + R91*($E91/365)</f>
        <v>56.8</v>
      </c>
    </row>
    <row r="187" spans="1:23" x14ac:dyDescent="0.15">
      <c r="A187" s="1">
        <v>2002</v>
      </c>
      <c r="B187" s="5">
        <f>(K92*(E92/365))+(K93*(E93/365))</f>
        <v>50</v>
      </c>
      <c r="C187" s="5">
        <f>(L92*(E92/365))+(L93*(E93/365))</f>
        <v>50</v>
      </c>
      <c r="D187" s="5">
        <f>(M92*(E92/365))+(M93*(E93/365))</f>
        <v>0</v>
      </c>
      <c r="E187" s="17">
        <f t="shared" si="85"/>
        <v>100</v>
      </c>
      <c r="F187" s="4"/>
      <c r="G187" s="1">
        <v>2002</v>
      </c>
      <c r="H187" s="392">
        <f>(O92*100*(E92/365)/(O92+P92+Q92))+(O93*100*(E93/365)/(O93+P93+Q93))</f>
        <v>50</v>
      </c>
      <c r="I187" s="392"/>
      <c r="J187" s="392">
        <f>(P92*100*(E92/365)/(P92+Q92+O92))+(P93*100*(E93/365)/(P93+Q93+O93))</f>
        <v>50</v>
      </c>
      <c r="K187" s="392"/>
      <c r="L187" s="392">
        <f>(Q92*100*(E92/365)/(Q92+P92+O92))+(Q93*100*(E93/365)/(Q93+P93+O93))</f>
        <v>0</v>
      </c>
      <c r="M187" s="392"/>
      <c r="N187" s="363">
        <f t="shared" si="84"/>
        <v>100</v>
      </c>
      <c r="O187" s="363"/>
      <c r="R187" s="1">
        <v>2002</v>
      </c>
      <c r="S187" s="5">
        <f>O92*($E92/365) + O93*($E93/365)</f>
        <v>28.4</v>
      </c>
      <c r="T187" s="5">
        <f>P92*($E92/365) + P93*($E93/365)</f>
        <v>28.4</v>
      </c>
      <c r="U187" s="5">
        <f>Q92*($E92/365) + Q93*($E93/365)</f>
        <v>0</v>
      </c>
      <c r="V187" s="9"/>
      <c r="W187" s="5">
        <f>R92*($E92/365) + R93*($E93/365)</f>
        <v>56.8</v>
      </c>
    </row>
    <row r="188" spans="1:23" x14ac:dyDescent="0.15">
      <c r="A188" s="1">
        <v>2003</v>
      </c>
      <c r="B188" s="5">
        <f>(K94*(E94/365))+(K95*(E95/365))</f>
        <v>28.972602739726028</v>
      </c>
      <c r="C188" s="5">
        <f>(L94*(E94/365))+(L95*(E95/365))</f>
        <v>64.018264840182638</v>
      </c>
      <c r="D188" s="5">
        <f>(M94*(E94/365))+(M95*(E95/365))</f>
        <v>0</v>
      </c>
      <c r="E188" s="17">
        <f t="shared" si="85"/>
        <v>92.990867579908667</v>
      </c>
      <c r="F188" s="4"/>
      <c r="G188" s="1">
        <v>2003</v>
      </c>
      <c r="H188" s="392">
        <f>(O94*100*(E94/365)/(O94+P94+Q94))+(O95*100*(E95/365)/(O95+P95+Q95))</f>
        <v>23.497544585164128</v>
      </c>
      <c r="I188" s="392"/>
      <c r="J188" s="392">
        <f>(P94*100*(E94/365)/(P94+Q94+O94))+(P95*100*(E95/365)/(P95+Q95+O95))</f>
        <v>76.502455414835879</v>
      </c>
      <c r="K188" s="392"/>
      <c r="L188" s="392">
        <f>(Q94*100*(E94/365)/(Q94+P94+O94))+(Q95*100*(E95/365)/(Q95+P95+O95))</f>
        <v>0</v>
      </c>
      <c r="M188" s="392"/>
      <c r="N188" s="363">
        <f t="shared" si="84"/>
        <v>100</v>
      </c>
      <c r="O188" s="363"/>
      <c r="R188" s="1">
        <v>2003</v>
      </c>
      <c r="S188" s="5">
        <f>O94*($E94/365) + O95*($E95/365)</f>
        <v>12.755616438356165</v>
      </c>
      <c r="T188" s="5">
        <f>P94*($E94/365) + P95*($E95/365)</f>
        <v>40.848219178082196</v>
      </c>
      <c r="U188" s="5">
        <f>Q94*($E94/365) + Q95*($E95/365)</f>
        <v>0</v>
      </c>
      <c r="V188" s="9"/>
      <c r="W188" s="5">
        <f>R94*($E94/365) + R95*($E95/365)</f>
        <v>53.60383561643836</v>
      </c>
    </row>
    <row r="189" spans="1:23" x14ac:dyDescent="0.15">
      <c r="A189" s="1">
        <v>2004</v>
      </c>
      <c r="B189" s="5">
        <f>(K96*(E96/366))+(K97*(E97/366))</f>
        <v>25</v>
      </c>
      <c r="C189" s="5">
        <f>(L96*(E96/366))+(L97*(E97/366))</f>
        <v>66.666666666666657</v>
      </c>
      <c r="D189" s="5">
        <f>(M96*(E96/366))+(M97*(E97/366))</f>
        <v>0</v>
      </c>
      <c r="E189" s="17">
        <f t="shared" si="85"/>
        <v>91.666666666666657</v>
      </c>
      <c r="F189" s="4"/>
      <c r="G189" s="1">
        <v>2004</v>
      </c>
      <c r="H189" s="392">
        <f>(O96*100*(E96/366)/(O96+P96+Q96))+(O97*100*(E97/366)/(O97+P97+Q97))</f>
        <v>18.490566037735853</v>
      </c>
      <c r="I189" s="392"/>
      <c r="J189" s="392">
        <f>(P96*100*(E96/366)/(P96+Q96+O96))+(P97*100*(E97/366)/(P97+Q97+O97))</f>
        <v>81.509433962264154</v>
      </c>
      <c r="K189" s="392"/>
      <c r="L189" s="392">
        <f>(Q96*100*(E96/366)/(Q96+P96+O96))+(Q97*100*(E97/366)/(Q97+P97+O97))</f>
        <v>0</v>
      </c>
      <c r="M189" s="392"/>
      <c r="N189" s="363">
        <f t="shared" si="84"/>
        <v>100</v>
      </c>
      <c r="O189" s="363"/>
      <c r="R189" s="1">
        <v>2004</v>
      </c>
      <c r="S189" s="5">
        <f>O96*($E96/366) + O97*($E97/366)</f>
        <v>9.8000000000000007</v>
      </c>
      <c r="T189" s="5">
        <f>P96*($E96/366) + P97*($E97/366)</f>
        <v>43.2</v>
      </c>
      <c r="U189" s="5">
        <f>Q96*($E96/366) + Q97*($E97/366)</f>
        <v>0</v>
      </c>
      <c r="V189" s="9"/>
      <c r="W189" s="5">
        <f>R96*($E96/366) + R97*($E97/366)</f>
        <v>53</v>
      </c>
    </row>
    <row r="190" spans="1:23" x14ac:dyDescent="0.15">
      <c r="A190" s="1">
        <v>2005</v>
      </c>
      <c r="B190" s="5">
        <f>(K98*(E98/365))+(K99*(E99/365))</f>
        <v>25</v>
      </c>
      <c r="C190" s="5">
        <f>(L98*(E98/365))+(L99*(E99/365))</f>
        <v>66.666666666666657</v>
      </c>
      <c r="D190" s="5">
        <f>(M98*(G98/365))+(M99*(G99/365))</f>
        <v>0</v>
      </c>
      <c r="E190" s="17">
        <f t="shared" si="85"/>
        <v>91.666666666666657</v>
      </c>
      <c r="F190" s="4"/>
      <c r="G190" s="1">
        <v>2005</v>
      </c>
      <c r="H190" s="392">
        <f>(O98*100*(E98/365)/(R98))+(O99*100*(E99/365)/(R99))</f>
        <v>14.601861568787424</v>
      </c>
      <c r="I190" s="392"/>
      <c r="J190" s="392">
        <f>(P98*100*(E98/365)/(R98))+(P99*100*(E99/365)/(R99))</f>
        <v>85.398138431212573</v>
      </c>
      <c r="K190" s="392"/>
      <c r="L190" s="392">
        <f>(M98*100*(E98/365)/(N98))+(M99*100*(E99/365)/(N99))</f>
        <v>0</v>
      </c>
      <c r="M190" s="392"/>
      <c r="N190" s="363">
        <f t="shared" si="84"/>
        <v>100</v>
      </c>
      <c r="O190" s="363"/>
      <c r="R190" s="1">
        <v>2005</v>
      </c>
      <c r="S190" s="5">
        <f>O98*(E98/365) + O99*($E99/365)</f>
        <v>7.4241095890410955</v>
      </c>
      <c r="T190" s="5">
        <f>P98*(E98/365) + P99*($E99/365)</f>
        <v>43.2</v>
      </c>
      <c r="U190" s="5">
        <f>Q98*(E98/365) + Q99*($E99/365)</f>
        <v>0</v>
      </c>
      <c r="V190" s="9"/>
      <c r="W190" s="5">
        <f>R98*(E98/365) + R99*($E99/365)</f>
        <v>50.624109589041097</v>
      </c>
    </row>
    <row r="191" spans="1:23" x14ac:dyDescent="0.15">
      <c r="A191" s="1">
        <v>2006</v>
      </c>
      <c r="B191" s="5">
        <f>(K100*(E100/365))+(K101*(E101/365))</f>
        <v>25</v>
      </c>
      <c r="C191" s="5">
        <f>(L100*(E100/365))+(L101*(E101/365))</f>
        <v>66.666666666666657</v>
      </c>
      <c r="D191" s="5">
        <f>(M100*(E100/365))+(M101*(E101/365))</f>
        <v>0</v>
      </c>
      <c r="E191" s="17">
        <f t="shared" si="85"/>
        <v>91.666666666666657</v>
      </c>
      <c r="F191" s="4"/>
      <c r="G191" s="1">
        <v>2006</v>
      </c>
      <c r="H191" s="392">
        <f>(O100*100*(E100/365)/(O100+P100+Q100))+(O101*100*(E101/365)/(O101+P101+Q101))</f>
        <v>13.253012048192771</v>
      </c>
      <c r="I191" s="392"/>
      <c r="J191" s="392">
        <f>(P100*100*(E100/365)/(P100+Q100+O100))+(P101*100*(E101/365)/(P101+Q101+O101))</f>
        <v>86.746987951807228</v>
      </c>
      <c r="K191" s="392"/>
      <c r="L191" s="392">
        <f>(Q100*100*(E100/365)/(Q100+P100+O100))+(Q101*100*(E101/365)/(Q101+P101+O101))</f>
        <v>0</v>
      </c>
      <c r="M191" s="392"/>
      <c r="N191" s="363">
        <f t="shared" si="84"/>
        <v>100</v>
      </c>
      <c r="O191" s="363"/>
      <c r="R191" s="1">
        <v>2006</v>
      </c>
      <c r="S191" s="5">
        <f>O100*($E100/365) + O101*($E101/365)</f>
        <v>6.6</v>
      </c>
      <c r="T191" s="5">
        <f>P100*($E100/365) + P101*($E101/365)</f>
        <v>43.2</v>
      </c>
      <c r="U191" s="5">
        <f>Q100*($E100/365) + Q101*($E101/365)</f>
        <v>0</v>
      </c>
      <c r="V191" s="9"/>
      <c r="W191" s="5">
        <f>R100*($E100/365) + R101*($E101/365)</f>
        <v>49.800000000000004</v>
      </c>
    </row>
    <row r="192" spans="1:23" x14ac:dyDescent="0.15">
      <c r="A192" s="1">
        <v>2007</v>
      </c>
      <c r="B192" s="5">
        <f>(K102*(E102/365))+(K103*(E103/365))</f>
        <v>0.68493150684931503</v>
      </c>
      <c r="C192" s="5">
        <f>(L102*(E102/365))+(L103*(E103/365))</f>
        <v>50.456621004566216</v>
      </c>
      <c r="D192" s="5">
        <f>(M102*(E102/365))+(M103*(E103/365))</f>
        <v>48.630136986301373</v>
      </c>
      <c r="E192" s="17">
        <f t="shared" si="85"/>
        <v>99.771689497716906</v>
      </c>
      <c r="F192" s="4"/>
      <c r="G192" s="1">
        <v>2007</v>
      </c>
      <c r="H192" s="392">
        <f>(O102*100*(E102/365)/(O102+P102+Q102))+(O103*100*(E103/365)/(O103+P103+Q103))</f>
        <v>0.36309622049843199</v>
      </c>
      <c r="I192" s="392"/>
      <c r="J192" s="392">
        <f>(P102*100*(E102/365)/(P102+Q102+O102))+(P103*100*(E103/365)/(P103+Q103+O103))</f>
        <v>50.276983018508083</v>
      </c>
      <c r="K192" s="392"/>
      <c r="L192" s="392">
        <f>(Q102*100*(E102/365)/(Q102+P102+O102))+(Q103*100*(E103/365)/(Q103+P103+O103))</f>
        <v>49.359920760993475</v>
      </c>
      <c r="M192" s="392"/>
      <c r="N192" s="363">
        <f t="shared" si="84"/>
        <v>100</v>
      </c>
      <c r="O192" s="363"/>
      <c r="R192" s="1">
        <v>2007</v>
      </c>
      <c r="S192" s="5">
        <f>O102*($E102/365) + O103*($E103/365)</f>
        <v>0.18082191780821916</v>
      </c>
      <c r="T192" s="5">
        <f>P102*($E102/365) + P103*($E103/365)</f>
        <v>36.294520547945204</v>
      </c>
      <c r="U192" s="5">
        <f>Q102*($E102/365) + Q103*($E103/365)</f>
        <v>36.180821917808224</v>
      </c>
      <c r="V192" s="9"/>
      <c r="W192" s="5">
        <f>R102*($E102/365) + R103*($E103/365)</f>
        <v>72.656164383561659</v>
      </c>
    </row>
    <row r="193" spans="1:24" x14ac:dyDescent="0.15">
      <c r="A193" s="1">
        <v>2008</v>
      </c>
      <c r="B193" s="5">
        <f>(K104*(E104/366))+(K105*(E105/366))</f>
        <v>0</v>
      </c>
      <c r="C193" s="5">
        <f>(L104*(E104/366))+(L105*(E105/366))</f>
        <v>50</v>
      </c>
      <c r="D193" s="5">
        <f>(M104*(E104/366))+(M105*(E105/366))</f>
        <v>50</v>
      </c>
      <c r="E193" s="17">
        <f t="shared" si="85"/>
        <v>100</v>
      </c>
      <c r="F193" s="4"/>
      <c r="G193" s="1">
        <v>2008</v>
      </c>
      <c r="H193" s="392">
        <f>(O104*100*(E104/366)/(O104+P104+Q104))+(O105*100*(E105/366)/(O105+P105+Q105))</f>
        <v>0</v>
      </c>
      <c r="I193" s="392"/>
      <c r="J193" s="392">
        <f>(P104*100*(E104/366)/(O104+P104+Q104))+(P105*100*(E105/366)/(O105+P105+Q105))</f>
        <v>49.088878334022603</v>
      </c>
      <c r="K193" s="392"/>
      <c r="L193" s="392">
        <f>(Q104*100*(E104/366)/(O104+P104+Q104))+(Q105*100*(E105/366)/(O105+P105+Q105))</f>
        <v>50.911121665977397</v>
      </c>
      <c r="M193" s="392"/>
      <c r="N193" s="363">
        <f t="shared" si="84"/>
        <v>100</v>
      </c>
      <c r="O193" s="363"/>
      <c r="R193" s="1">
        <v>2008</v>
      </c>
      <c r="S193" s="5">
        <f>O104*($E104/366) + O105*($E105/366)</f>
        <v>0</v>
      </c>
      <c r="T193" s="5">
        <f>P104*($E104/366) + P105*($E105/366)</f>
        <v>35.427868852459014</v>
      </c>
      <c r="U193" s="5">
        <f>Q104*($E104/366) + Q105*($E105/366)</f>
        <v>36.700000000000003</v>
      </c>
      <c r="V193" s="9"/>
      <c r="W193" s="5">
        <f>R104*($E104/366) + R105*($E105/366)</f>
        <v>72.127868852459031</v>
      </c>
    </row>
    <row r="194" spans="1:24" x14ac:dyDescent="0.15">
      <c r="A194" s="1">
        <v>2009</v>
      </c>
      <c r="B194" s="5">
        <f>(K106*(E106/365))+(K107*(E107/365))</f>
        <v>0</v>
      </c>
      <c r="C194" s="5">
        <f>(L106*(E106/365))+(L107*(E107/365))</f>
        <v>50</v>
      </c>
      <c r="D194" s="5">
        <f>(M106*(E106/365))+(M107*(E107/365))</f>
        <v>50</v>
      </c>
      <c r="E194" s="17">
        <f t="shared" si="85"/>
        <v>100</v>
      </c>
      <c r="F194" s="4"/>
      <c r="G194" s="1">
        <v>2009</v>
      </c>
      <c r="H194" s="392">
        <f>(O106*100*(E106/365)/(O106+P106+Q106))+(O107*100*(E107/365)/(O107+P107+Q107))</f>
        <v>0</v>
      </c>
      <c r="I194" s="392"/>
      <c r="J194" s="392">
        <f>(P106*100*(E106/365)/(O106+P106+Q106))+(P107*100*(E107/365)/(O107+P107+Q107))</f>
        <v>47.288135593220339</v>
      </c>
      <c r="K194" s="392"/>
      <c r="L194" s="392">
        <f>(Q106*100*(E106/365)/(O106+P106+Q106))+(Q107*100*(E107/365)/(O107+P107+Q107))</f>
        <v>52.711864406779661</v>
      </c>
      <c r="M194" s="392"/>
      <c r="N194" s="363">
        <f t="shared" si="84"/>
        <v>100</v>
      </c>
      <c r="O194" s="363"/>
      <c r="R194" s="1">
        <v>2009</v>
      </c>
      <c r="S194" s="5">
        <f>O106*($E106/365) + O107*($E107/365)</f>
        <v>0</v>
      </c>
      <c r="T194" s="5">
        <f>P106*($E106/365) + P107*($E107/365)</f>
        <v>27.9</v>
      </c>
      <c r="U194" s="5">
        <f>Q106*($E106/365) + Q107*($E107/365)</f>
        <v>31.1</v>
      </c>
      <c r="V194" s="9"/>
      <c r="W194" s="5">
        <f>R106*($E106/365) + R107*($E107/365)</f>
        <v>59</v>
      </c>
    </row>
    <row r="195" spans="1:24" x14ac:dyDescent="0.15">
      <c r="A195" s="1">
        <v>2010</v>
      </c>
      <c r="B195" s="5">
        <f>(K108*($E108/365))+(K109*($E109/365))</f>
        <v>0</v>
      </c>
      <c r="C195" s="5">
        <f>(L108*($E108/365))+(L109*($E109/365))</f>
        <v>50</v>
      </c>
      <c r="D195" s="5">
        <f>(M108*($E108/365))+(M109*($E109/365))</f>
        <v>50</v>
      </c>
      <c r="E195" s="17">
        <f t="shared" si="85"/>
        <v>100</v>
      </c>
      <c r="F195" s="4"/>
      <c r="G195" s="1">
        <v>2010</v>
      </c>
      <c r="H195" s="392">
        <f>(O108*100*($E108/365)/($O108+$P108+$Q108))+(O109*100*($E109/365)/($O109+$P109+$Q109))</f>
        <v>0</v>
      </c>
      <c r="I195" s="392"/>
      <c r="J195" s="392">
        <f>(P108*100*($E108/365)/($O108+$P108+$Q108))+(P109*100*($E109/365)/($O109+$P109+$Q109))</f>
        <v>47.288135593220339</v>
      </c>
      <c r="K195" s="392"/>
      <c r="L195" s="392">
        <f>(Q108*100*($E108/365)/($O108+$P108+$Q108))+(Q109*100*($E109/365)/($O109+$P109+$Q109))</f>
        <v>52.711864406779661</v>
      </c>
      <c r="M195" s="392"/>
      <c r="N195" s="363">
        <f t="shared" si="84"/>
        <v>100</v>
      </c>
      <c r="O195" s="363"/>
      <c r="R195" s="1">
        <v>2010</v>
      </c>
      <c r="S195" s="5">
        <f>O108*($E108/365) + O109*($E109/365)</f>
        <v>0</v>
      </c>
      <c r="T195" s="5">
        <f>P108*($E108/365) + P109*($E109/365)</f>
        <v>27.9</v>
      </c>
      <c r="U195" s="5">
        <f>Q108*($E108/365) + Q109*($E109/365)</f>
        <v>31.1</v>
      </c>
      <c r="V195" s="9"/>
      <c r="W195" s="5">
        <f>R108*($E108/365) + R109*($E109/365)</f>
        <v>59</v>
      </c>
    </row>
    <row r="196" spans="1:24" x14ac:dyDescent="0.15">
      <c r="A196" s="1">
        <v>2011</v>
      </c>
      <c r="B196" s="5">
        <f>(K110*($E110/365))+(K111*($E111/365))</f>
        <v>0</v>
      </c>
      <c r="C196" s="5">
        <f>(L110*($E110/365))+(L111*($E111/365))</f>
        <v>50</v>
      </c>
      <c r="D196" s="5">
        <f>(M110*($E110/365))+(M111*($E111/365))</f>
        <v>50</v>
      </c>
      <c r="E196" s="17">
        <f t="shared" si="85"/>
        <v>100</v>
      </c>
      <c r="F196" s="4"/>
      <c r="G196" s="1">
        <v>2011</v>
      </c>
      <c r="H196" s="392">
        <f>(O110*100*($E110/365)/($O110+$P110+$Q110))+(O111*100*($E111/365)/($O111+$P111+$Q111))</f>
        <v>0</v>
      </c>
      <c r="I196" s="392"/>
      <c r="J196" s="392">
        <f>(P110*100*($E110/365)/($O110+$P110+$Q110))+(P111*100*($E111/365)/($O111+$P111+$Q111))</f>
        <v>47.288135593220339</v>
      </c>
      <c r="K196" s="392"/>
      <c r="L196" s="392">
        <f>(Q110*100*($E110/365)/($O110+$P110+$Q110))+(Q111*100*($E111/365)/($O111+$P111+$Q111))</f>
        <v>52.711864406779661</v>
      </c>
      <c r="M196" s="392"/>
      <c r="N196" s="363">
        <f t="shared" si="84"/>
        <v>100</v>
      </c>
      <c r="O196" s="363"/>
      <c r="R196" s="1">
        <v>2011</v>
      </c>
      <c r="S196" s="5">
        <f>O110*($E110/365) + O111*($E111/365)</f>
        <v>0</v>
      </c>
      <c r="T196" s="5">
        <f>P110*($E110/365) + P111*($E111/365)</f>
        <v>27.9</v>
      </c>
      <c r="U196" s="5">
        <f>Q110*($E110/365) + Q111*($E111/365)</f>
        <v>31.1</v>
      </c>
      <c r="V196" s="9"/>
      <c r="W196" s="5">
        <f>R110*($E110/365) + R111*($E111/365)</f>
        <v>59</v>
      </c>
    </row>
    <row r="197" spans="1:24" x14ac:dyDescent="0.15">
      <c r="A197" s="1">
        <v>2012</v>
      </c>
      <c r="B197" s="5">
        <f>(K112*($E112/366))+(K113*($E113/366))</f>
        <v>0</v>
      </c>
      <c r="C197" s="5">
        <f>(L112*($E112/366))+(L113*($E113/366))</f>
        <v>50</v>
      </c>
      <c r="D197" s="5">
        <f>(M112*($E112/366))+(M113*($E113/366))</f>
        <v>50</v>
      </c>
      <c r="E197" s="17">
        <f t="shared" si="85"/>
        <v>100</v>
      </c>
      <c r="F197" s="4"/>
      <c r="G197" s="1">
        <v>2012</v>
      </c>
      <c r="H197" s="392">
        <f>(O112*100*($E112/366)/($O112+$P112+$Q112))+(O113*100*($E113/366)/($O113+$P113+$Q113))</f>
        <v>0</v>
      </c>
      <c r="I197" s="392"/>
      <c r="J197" s="392">
        <f>(P112*100*($E112/366)/($O112+$P112+$Q112))+(P113*100*($E113/366)/($O113+$P113+$Q113))</f>
        <v>47.288135593220339</v>
      </c>
      <c r="K197" s="392"/>
      <c r="L197" s="392">
        <f>(Q112*100*($E112/366)/($O112+$P112+$Q112))+(Q113*100*($E113/366)/($O113+$P113+$Q113))</f>
        <v>52.711864406779661</v>
      </c>
      <c r="M197" s="392"/>
      <c r="N197" s="363">
        <f t="shared" si="84"/>
        <v>100</v>
      </c>
      <c r="O197" s="363"/>
      <c r="R197" s="1">
        <v>2012</v>
      </c>
      <c r="S197" s="5">
        <f>O112*($E112/366) + O113*($E113/366)</f>
        <v>0</v>
      </c>
      <c r="T197" s="5">
        <f>P112*($E112/366) + P113*($E113/366)</f>
        <v>27.9</v>
      </c>
      <c r="U197" s="5">
        <f>Q112*($E112/366) + Q113*($E113/366)</f>
        <v>31.1</v>
      </c>
      <c r="V197" s="9"/>
      <c r="W197" s="5">
        <f>R112*($E112/366) + R113*($E113/366)</f>
        <v>59</v>
      </c>
    </row>
    <row r="198" spans="1:24" x14ac:dyDescent="0.15">
      <c r="A198" s="1">
        <v>2013</v>
      </c>
      <c r="B198" s="5">
        <f>(K114*($E114/365))+(K115*($E115/365))</f>
        <v>0</v>
      </c>
      <c r="C198" s="5">
        <f>(L114*($E114/365))+(L115*($E115/365))</f>
        <v>50</v>
      </c>
      <c r="D198" s="5">
        <f>(M114*($E114/365))+(M115*($E115/365))</f>
        <v>50</v>
      </c>
      <c r="E198" s="17">
        <f t="shared" si="85"/>
        <v>100</v>
      </c>
      <c r="G198" s="1">
        <v>2013</v>
      </c>
      <c r="H198" s="392">
        <f>(O114*100*($E114/365)/($O114+$P114+$Q114))+(O115*100*($E115/365)/($O115+$P115+$Q115))</f>
        <v>0</v>
      </c>
      <c r="I198" s="392"/>
      <c r="J198" s="392">
        <f>(P114*100*($E114/365)/($O114+$P114+$Q114))+(P115*100*($E115/365)/($O115+$P115+$Q115))</f>
        <v>47.297625367636485</v>
      </c>
      <c r="K198" s="392"/>
      <c r="L198" s="392">
        <f>(Q114*100*($E114/365)/($O114+$P114+$Q114))+(Q115*100*($E115/365)/($O115+$P115+$Q115))</f>
        <v>52.702374632363515</v>
      </c>
      <c r="M198" s="392"/>
      <c r="N198" s="363">
        <f t="shared" ref="N198:N202" si="86">SUM(H198:M198)</f>
        <v>100</v>
      </c>
      <c r="O198" s="363"/>
      <c r="R198" s="1">
        <v>2013</v>
      </c>
      <c r="S198" s="5">
        <f>O114*($E114/365) + O115*($E115/365)</f>
        <v>0</v>
      </c>
      <c r="T198" s="5">
        <f>P114*($E114/365) + P115*($E115/365)</f>
        <v>27.803561643835614</v>
      </c>
      <c r="U198" s="5">
        <f>Q114*($E114/365) + Q115*($E115/365)</f>
        <v>30.981643835616438</v>
      </c>
      <c r="W198" s="5">
        <f>R114*($E114/365) + R115*($E115/365)</f>
        <v>58.785205479452053</v>
      </c>
      <c r="X198" s="4"/>
    </row>
    <row r="199" spans="1:24" x14ac:dyDescent="0.15">
      <c r="A199" s="1">
        <v>2014</v>
      </c>
      <c r="B199" s="5">
        <f>(K116*($E116/365))+(K117*($E117/365))</f>
        <v>0</v>
      </c>
      <c r="C199" s="5">
        <f>(L116*($E116/365))+(L117*($E117/365))</f>
        <v>50</v>
      </c>
      <c r="D199" s="5">
        <f>(M116*($E116/365))+(M117*($E117/365))</f>
        <v>50</v>
      </c>
      <c r="E199" s="17">
        <f t="shared" si="85"/>
        <v>100</v>
      </c>
      <c r="G199" s="1">
        <v>2014</v>
      </c>
      <c r="H199" s="392">
        <f>(O116*100*($E116/365)/($O116+$P116+$Q116))+(O117*100*($E117/365)/($O117+$P117+$Q117))</f>
        <v>0</v>
      </c>
      <c r="I199" s="392"/>
      <c r="J199" s="392">
        <f>(P116*100*($E116/365)/($O116+$P116+$Q116))+(P117*100*($E117/365)/($O117+$P117+$Q117))</f>
        <v>47.504621072088732</v>
      </c>
      <c r="K199" s="392"/>
      <c r="L199" s="392">
        <f>(Q116*100*($E116/365)/($O116+$P116+$Q116))+(Q117*100*($E117/365)/($O117+$P117+$Q117))</f>
        <v>52.495378927911283</v>
      </c>
      <c r="M199" s="392"/>
      <c r="N199" s="363">
        <f t="shared" si="86"/>
        <v>100.00000000000001</v>
      </c>
      <c r="O199" s="363"/>
      <c r="R199" s="1">
        <v>2014</v>
      </c>
      <c r="S199" s="5">
        <f>O116*($E116/365) + O117*($E117/365)</f>
        <v>0</v>
      </c>
      <c r="T199" s="5">
        <f>P116*($E116/365) + P117*($E117/365)</f>
        <v>25.7</v>
      </c>
      <c r="U199" s="5">
        <f>Q116*($E116/365) + Q117*($E117/365)</f>
        <v>28.4</v>
      </c>
      <c r="W199" s="5">
        <f>R116*($E116/365) + R117*($E117/365)</f>
        <v>54.099999999999994</v>
      </c>
      <c r="X199" s="4"/>
    </row>
    <row r="200" spans="1:24" x14ac:dyDescent="0.15">
      <c r="A200" s="1">
        <v>2015</v>
      </c>
      <c r="B200" s="5">
        <f>(K118*($E118/365))+(K119*($E119/365))</f>
        <v>0</v>
      </c>
      <c r="C200" s="5">
        <f>(L118*($E118/365))+(L119*($E119/365))</f>
        <v>50</v>
      </c>
      <c r="D200" s="5">
        <f>(M118*($E118/365))+(M119*($E119/365))</f>
        <v>50</v>
      </c>
      <c r="E200" s="17">
        <f>SUM(B200:D200)</f>
        <v>100</v>
      </c>
      <c r="G200" s="1">
        <v>2015</v>
      </c>
      <c r="H200" s="392">
        <f>(O118*100*($E118/365)/($O118+$P118+$Q118))+(O119*100*($E119/365)/($O119+$P119+$Q119))</f>
        <v>0</v>
      </c>
      <c r="I200" s="392"/>
      <c r="J200" s="392">
        <f>(P118*100*($E118/365)/($O118+$P118+$Q118))+(P119*100*($E119/365)/($O119+$P119+$Q119))</f>
        <v>47.504621072088732</v>
      </c>
      <c r="K200" s="392"/>
      <c r="L200" s="392">
        <f>(Q118*100*($E118/365)/($O118+$P118+$Q118))+(Q119*100*($E119/365)/($O119+$P119+$Q119))</f>
        <v>52.495378927911283</v>
      </c>
      <c r="M200" s="392"/>
      <c r="N200" s="363">
        <f t="shared" si="86"/>
        <v>100.00000000000001</v>
      </c>
      <c r="O200" s="363"/>
      <c r="R200" s="1">
        <v>2015</v>
      </c>
      <c r="S200" s="5">
        <f>O118*($E118/365) + O119*($E119/365)</f>
        <v>0</v>
      </c>
      <c r="T200" s="5">
        <f>P118*($E118/365) + P119*($E119/365)</f>
        <v>25.7</v>
      </c>
      <c r="U200" s="5">
        <f>Q118*($E118/365) + Q119*($E119/365)</f>
        <v>28.4</v>
      </c>
      <c r="W200" s="5">
        <f>R118*($E118/365) + R119*($E119/365)</f>
        <v>54.099999999999994</v>
      </c>
      <c r="X200" s="4"/>
    </row>
    <row r="201" spans="1:24" x14ac:dyDescent="0.15">
      <c r="A201" s="1">
        <v>2016</v>
      </c>
      <c r="B201" s="5">
        <f>(K120*($E120/366))+(K121*($E121/366))</f>
        <v>0</v>
      </c>
      <c r="C201" s="5">
        <f>(L120*($E120/366))+(L121*($E121/366))</f>
        <v>50</v>
      </c>
      <c r="D201" s="5">
        <f>(M120*($E120/366))+(M121*($E121/366))</f>
        <v>50</v>
      </c>
      <c r="E201" s="17">
        <f t="shared" si="85"/>
        <v>100</v>
      </c>
      <c r="G201" s="1">
        <v>2016</v>
      </c>
      <c r="H201" s="392">
        <f>(O120*100*($E120/366)/($O120+$P120+$Q120))+(O121*100*($E121/366)/($O121+$P121+$Q121))</f>
        <v>0</v>
      </c>
      <c r="I201" s="392"/>
      <c r="J201" s="392">
        <f>(P120*100*($E120/366)/($O120+$P120+$Q120))+(P121*100*($E121/366)/($O121+$P121+$Q121))</f>
        <v>48.448117498062501</v>
      </c>
      <c r="K201" s="392"/>
      <c r="L201" s="392">
        <f>(Q120*100*($E120/366)/($O120+$P120+$Q120))+(Q121*100*($E121/366)/($O121+$P121+$Q121))</f>
        <v>51.551882501937492</v>
      </c>
      <c r="M201" s="392"/>
      <c r="N201" s="363">
        <f t="shared" si="86"/>
        <v>100</v>
      </c>
      <c r="O201" s="363"/>
      <c r="R201" s="1">
        <v>2016</v>
      </c>
      <c r="S201" s="5">
        <f>O120*($E120/366) + O121*($E121/366)</f>
        <v>0</v>
      </c>
      <c r="T201" s="5">
        <f>P120*($E120/366) + P121*($E121/366)</f>
        <v>26.701092896174863</v>
      </c>
      <c r="U201" s="5">
        <f>Q120*($E120/366) + Q121*($E121/366)</f>
        <v>28.4</v>
      </c>
      <c r="W201" s="5">
        <f>R120*($E120/366) + R121*($E121/366)</f>
        <v>55.101092896174862</v>
      </c>
      <c r="X201" s="4"/>
    </row>
    <row r="202" spans="1:24" x14ac:dyDescent="0.15">
      <c r="A202" s="1">
        <v>2017</v>
      </c>
      <c r="B202" s="5">
        <f>(K122*($E122/365))+(K123*($E123/365))</f>
        <v>1.6438356164383561</v>
      </c>
      <c r="C202" s="5">
        <f>(L122*($E122/365))+(L123*($E123/365))</f>
        <v>50.273972602739732</v>
      </c>
      <c r="D202" s="5">
        <f>(M122*($E122/365))+(M123*($E123/365))</f>
        <v>48.082191780821923</v>
      </c>
      <c r="E202" s="17">
        <f>SUM(B202:D202)</f>
        <v>100.00000000000001</v>
      </c>
      <c r="G202" s="1">
        <v>2017</v>
      </c>
      <c r="H202" s="392">
        <f>(O122*100*($E122/365)/($O122+$P122+$Q122))+(O123*100*($E123/365)/($O123+$P123+$Q123))</f>
        <v>1.7316132464423462</v>
      </c>
      <c r="I202" s="392"/>
      <c r="J202" s="392">
        <f>(P122*100*($E122/365)/($O122+$P122+$Q122))+(P123*100*($E123/365)/($O123+$P123+$Q123))</f>
        <v>49.236636427692574</v>
      </c>
      <c r="K202" s="392"/>
      <c r="L202" s="392">
        <f>(Q122*100*($E122/365)/($O122+$P122+$Q122))+(Q123*100*($E123/365)/($O123+$P123+$Q123))</f>
        <v>49.031750325865076</v>
      </c>
      <c r="M202" s="392"/>
      <c r="N202" s="363">
        <f t="shared" si="86"/>
        <v>100</v>
      </c>
      <c r="O202" s="363"/>
      <c r="R202" s="1">
        <v>2017</v>
      </c>
      <c r="S202" s="5">
        <f>O122*($E122/365) + O123*($E123/365)</f>
        <v>1.0701369863013699</v>
      </c>
      <c r="T202" s="5">
        <f>P122*($E122/365) + P123*($E123/365)</f>
        <v>27.553150684931509</v>
      </c>
      <c r="U202" s="5">
        <f>Q122*($E122/365) + Q123*($E123/365)</f>
        <v>27.310684931506849</v>
      </c>
      <c r="W202" s="5">
        <f>R122*($E122/365) + R123*($E123/365)</f>
        <v>55.933972602739729</v>
      </c>
    </row>
    <row r="203" spans="1:24" x14ac:dyDescent="0.15">
      <c r="A203" s="1">
        <v>2018</v>
      </c>
      <c r="B203" s="5">
        <f>(K124*($E124/365))+(K125*($E125/365))</f>
        <v>50</v>
      </c>
      <c r="C203" s="5">
        <f>(L124*($E124/365))+(L125*($E125/365))</f>
        <v>50</v>
      </c>
      <c r="D203" s="5">
        <f>(M124*($E124/365))+(M125*($E125/365))</f>
        <v>0</v>
      </c>
      <c r="E203" s="17">
        <f>SUM(B203:D203)</f>
        <v>100</v>
      </c>
      <c r="G203" s="1">
        <v>2018</v>
      </c>
      <c r="H203" s="392">
        <f>(O124*100*($E124/365)/($O124+$P124+$Q124))+(O125*100*($E125/365)/($O125+$P125+$Q125))</f>
        <v>45.145631067961169</v>
      </c>
      <c r="I203" s="392"/>
      <c r="J203" s="392">
        <f>(P124*100*($E124/365)/($O124+$P124+$Q124))+(P125*100*($E125/365)/($O125+$P125+$Q125))</f>
        <v>54.854368932038838</v>
      </c>
      <c r="K203" s="392"/>
      <c r="L203" s="392">
        <f>(Q124*100*($E124/365)/($O124+$P124+$Q124))+(Q125*100*($E125/365)/($O125+$P125+$Q125))</f>
        <v>0</v>
      </c>
      <c r="M203" s="392"/>
      <c r="N203" s="363">
        <f>SUM(H203:M203)</f>
        <v>100</v>
      </c>
      <c r="O203" s="363"/>
      <c r="R203" s="1">
        <v>2018</v>
      </c>
      <c r="S203" s="5">
        <f>O124*($E124/365) + O125*($E125/365)</f>
        <v>27.9</v>
      </c>
      <c r="T203" s="5">
        <f>P124*($E124/365) + P125*($E125/365)</f>
        <v>33.9</v>
      </c>
      <c r="U203" s="5">
        <f>Q124*($E124/365) + Q125*($E125/365)</f>
        <v>0</v>
      </c>
      <c r="W203" s="5">
        <f>R124*($E124/365) + R125*($E125/365)</f>
        <v>61.8</v>
      </c>
    </row>
    <row r="204" spans="1:24" x14ac:dyDescent="0.15">
      <c r="A204" s="1">
        <v>2019</v>
      </c>
      <c r="B204" s="5">
        <f>(K126*($E126/365))+(K127*($E127/365))+(K128*(E128/365))+(K129*(E129/365))</f>
        <v>19.315068493150687</v>
      </c>
      <c r="C204" s="5">
        <f>(L126*($E126/365))+(L127*($E127/365))+(L128*(E128/365))+(L129*(E129/365))</f>
        <v>21.285563751317177</v>
      </c>
      <c r="D204" s="5">
        <f>(M126*($E126/365))+(M127*($E127/365))+(M128*(E128/365))+(M129*(E129/365))</f>
        <v>0</v>
      </c>
      <c r="E204" s="17">
        <f>SUM(B204:D204)</f>
        <v>40.60063224446786</v>
      </c>
      <c r="G204" s="1">
        <v>2019</v>
      </c>
      <c r="H204" s="392">
        <f>(O126*100*($E126/365)/($O126+$P126+$Q126))+(O127*100*($E127/365)/($O127+$P127+$Q127))+(O128*100*(E128/365)/(O128+P128+Q128))</f>
        <v>18.181939087644636</v>
      </c>
      <c r="I204" s="392"/>
      <c r="J204" s="392">
        <f>(P126*100*($E126/365)/($O126+$P126+$Q126))+(P127*100*($E127/365)/(PO127+$P127+$Q127))+(P128*100*(E128/365)/(Q128+R128+S128))</f>
        <v>24.230795768514252</v>
      </c>
      <c r="K204" s="392"/>
      <c r="L204" s="392">
        <f>(Q126*100*($E126/365)/($O126+$P126+$Q126))+(Q127*100*($E127/365)/($O127+$P127+$Q127))+(Q128*100*(E128/365)/(Q128+R128+S128))</f>
        <v>0</v>
      </c>
      <c r="M204" s="392"/>
      <c r="N204" s="363">
        <f>SUM(H204:M204)</f>
        <v>42.412734856158892</v>
      </c>
      <c r="O204" s="363"/>
      <c r="R204" s="1">
        <v>2019</v>
      </c>
      <c r="S204" s="5">
        <f>O126*($E126/365) + O127*($E127/365)+O128*(E128/365) +O129*(E129/365)</f>
        <v>11.236438356164383</v>
      </c>
      <c r="T204" s="5">
        <f>P126*($E126/365) + P127*($E127/365)+P128*(E128/365) +P129*(E129/365)</f>
        <v>14.21013698630137</v>
      </c>
      <c r="U204" s="5">
        <f>Q126*($E126/365) + Q127*($E127/365)+Q128*(E128/365) +Q129*(E129/365)</f>
        <v>0</v>
      </c>
      <c r="W204" s="5">
        <f>R126*($E126/365) + R127*($E127/365)</f>
        <v>24.889315068493151</v>
      </c>
    </row>
    <row r="205" spans="1:24" x14ac:dyDescent="0.15">
      <c r="A205" s="1">
        <v>2020</v>
      </c>
      <c r="B205" s="5">
        <f>(K130*(E130/366))+(K131*(E131/366))</f>
        <v>0</v>
      </c>
      <c r="C205" s="5">
        <f>(L130*(E130/366))+(L131*(E131/366))</f>
        <v>71.930783242258642</v>
      </c>
      <c r="D205" s="5">
        <f>(M130*(E130/366))+(M131*(E131/366))</f>
        <v>26.156648451730419</v>
      </c>
      <c r="E205" s="17">
        <f t="shared" ref="E205" si="87">SUM(B205:D205)</f>
        <v>98.08743169398906</v>
      </c>
      <c r="G205" s="1">
        <v>2020</v>
      </c>
      <c r="H205" s="392">
        <f>(O131/$R131*100*($E131/366))</f>
        <v>0</v>
      </c>
      <c r="I205" s="392"/>
      <c r="J205" s="392">
        <f>(P131/$R131*100*($E131/366))</f>
        <v>71.807402825033506</v>
      </c>
      <c r="K205" s="392"/>
      <c r="L205" s="392">
        <f>(Q131/$R131*100*($E131/366))</f>
        <v>26.280028868955561</v>
      </c>
      <c r="M205" s="392"/>
      <c r="N205" s="363">
        <f>SUM(H205:M205)</f>
        <v>98.08743169398906</v>
      </c>
      <c r="O205" s="363"/>
      <c r="R205" s="1">
        <v>2020</v>
      </c>
      <c r="S205" s="5">
        <f>(O130*($E130/366))+(O131*($E131/366))</f>
        <v>0</v>
      </c>
      <c r="T205" s="5">
        <f>(P130*($E130/366))+(P131*($E131/366))</f>
        <v>38.057923497267758</v>
      </c>
      <c r="U205" s="5">
        <f>(Q130*($E130/366))+(Q131*($E131/366))</f>
        <v>13.928415300546447</v>
      </c>
      <c r="W205" s="5">
        <f>R130*($E130/366) + R131*($E131/366)</f>
        <v>51.986338797814206</v>
      </c>
    </row>
    <row r="206" spans="1:24" x14ac:dyDescent="0.15">
      <c r="A206" s="1">
        <v>2021</v>
      </c>
      <c r="B206" s="5">
        <f>(K132*(E132/365))+(K133*(E133/365))+(K134*(E134/365))</f>
        <v>0</v>
      </c>
      <c r="C206" s="5">
        <f>(L133*(E133/365))+(L134*(E134/365))+(L132*(E132/365))</f>
        <v>73.333333333333329</v>
      </c>
      <c r="D206" s="5">
        <f>(M133*(E133/365))+(M134*(E134/365))+(M132*(E132/365))</f>
        <v>26.666666666666671</v>
      </c>
      <c r="E206" s="17">
        <f>SUM(B206:D206)</f>
        <v>100</v>
      </c>
      <c r="G206" s="1">
        <v>2021</v>
      </c>
      <c r="H206" s="392">
        <f>(O133*100*($E133/365)/($O133+$P133+$Q133))+(O134*100*($E134/365)/($O134+$P134+$Q134))+(O132*100*(E132/365)/(O132+P132+Q132))</f>
        <v>0</v>
      </c>
      <c r="I206" s="392"/>
      <c r="J206" s="392">
        <f>(P133*100*($E133/365)/($O133+$P133+$Q133))+(P134*100*($E134/365)/($O134+$P134+$Q134))+(P132*100*($E132/365)/($O132+$P132+$Q132))</f>
        <v>73.207547169811306</v>
      </c>
      <c r="K206" s="392"/>
      <c r="L206" s="392">
        <f>(Q133*100*($E133/365)/($O133+$P133+$Q133))+(Q134*100*($E134/365)/($O134+$P134+$Q134))+(Q132*100*($E132/365)/($O132+$P132+$Q132))</f>
        <v>26.79245283018868</v>
      </c>
      <c r="M206" s="392"/>
      <c r="N206" s="363">
        <f>SUM(H206:M206)</f>
        <v>99.999999999999986</v>
      </c>
      <c r="O206" s="363"/>
      <c r="R206" s="1">
        <v>2021</v>
      </c>
      <c r="S206" s="5">
        <f>(O133*($E133/365))+(O134*($E134/365))+(O132*($E132/365))</f>
        <v>0</v>
      </c>
      <c r="T206" s="5">
        <f>(P133*($E133/365))+(P134*($E134/365))+(P132*($E132/365))</f>
        <v>38.799999999999997</v>
      </c>
      <c r="U206" s="5">
        <f>(Q133*($E133/365))+(Q134*($E134/365))+(Q132*($E132/365))</f>
        <v>14.200000000000001</v>
      </c>
      <c r="W206" s="5">
        <f>R133*($E133/365) + R134*($E134/365)+ R132*($E132/365)</f>
        <v>53</v>
      </c>
    </row>
    <row r="207" spans="1:24" x14ac:dyDescent="0.15">
      <c r="A207" s="1">
        <v>2022</v>
      </c>
      <c r="B207" s="5">
        <f>(K135*(E135/365))+(K136*(E136/365))</f>
        <v>0</v>
      </c>
      <c r="C207" s="5">
        <f>(L135*(E135/365))+(L136*(E136/365))</f>
        <v>72.112198303979127</v>
      </c>
      <c r="D207" s="5">
        <f>(M135*(E135/365))+(M136*(E136/365))</f>
        <v>27.887801696020873</v>
      </c>
      <c r="E207" s="17">
        <f>SUM(B207:D207)</f>
        <v>100</v>
      </c>
      <c r="G207" s="1">
        <v>2022</v>
      </c>
      <c r="H207" s="392">
        <f>(O135*100*($E135/365)/($O135+$P135+$Q135))+(O136*100*($E136/365)/($O136+$P136+$Q136))</f>
        <v>0</v>
      </c>
      <c r="I207" s="392"/>
      <c r="J207" s="392">
        <f>(P135*100*($E135/365)/($O135+$P135+$Q135))+(P136*100*($E136/365)/($O136+$P136+$Q136))</f>
        <v>73.20754716981132</v>
      </c>
      <c r="K207" s="392"/>
      <c r="L207" s="392">
        <f>(Q135*100*($E135/365)/($O135+$P135+$Q135))+(Q136*100*($E136/365)/($O136+$P136+$Q136))</f>
        <v>26.79245283018868</v>
      </c>
      <c r="M207" s="392"/>
      <c r="N207" s="363">
        <f>SUM(H207:M207)</f>
        <v>100</v>
      </c>
      <c r="O207" s="363"/>
      <c r="R207" s="1">
        <v>2022</v>
      </c>
      <c r="S207" s="5">
        <f>(O135*($E135/365))+(O136*($E136/365))</f>
        <v>0</v>
      </c>
      <c r="T207" s="5">
        <f>(P135*($E135/365))+(P136*($E136/365))</f>
        <v>38.799999999999997</v>
      </c>
      <c r="U207" s="5">
        <f>(Q135*($E135/365))+(Q136*($E136/365))</f>
        <v>14.2</v>
      </c>
      <c r="W207" s="5">
        <f>R135*($E135/365) + R136*($E136/365)</f>
        <v>53</v>
      </c>
    </row>
  </sheetData>
  <mergeCells count="413">
    <mergeCell ref="C118:D118"/>
    <mergeCell ref="C119:D119"/>
    <mergeCell ref="N146:O146"/>
    <mergeCell ref="N147:O147"/>
    <mergeCell ref="J149:K149"/>
    <mergeCell ref="C121:D121"/>
    <mergeCell ref="C120:D120"/>
    <mergeCell ref="N144:O144"/>
    <mergeCell ref="J154:K154"/>
    <mergeCell ref="J150:K150"/>
    <mergeCell ref="J151:K151"/>
    <mergeCell ref="L146:M146"/>
    <mergeCell ref="L147:M147"/>
    <mergeCell ref="L148:M148"/>
    <mergeCell ref="L149:M149"/>
    <mergeCell ref="C124:D124"/>
    <mergeCell ref="C125:D125"/>
    <mergeCell ref="L143:M143"/>
    <mergeCell ref="L145:M145"/>
    <mergeCell ref="C136:D136"/>
    <mergeCell ref="L144:M144"/>
    <mergeCell ref="H143:I143"/>
    <mergeCell ref="C126:D126"/>
    <mergeCell ref="C128:D128"/>
    <mergeCell ref="L194:M194"/>
    <mergeCell ref="L182:M182"/>
    <mergeCell ref="C122:D122"/>
    <mergeCell ref="C123:D123"/>
    <mergeCell ref="H155:I155"/>
    <mergeCell ref="H156:I156"/>
    <mergeCell ref="L152:M152"/>
    <mergeCell ref="L153:M153"/>
    <mergeCell ref="N154:O154"/>
    <mergeCell ref="H169:I169"/>
    <mergeCell ref="H168:I168"/>
    <mergeCell ref="J160:K160"/>
    <mergeCell ref="H164:I164"/>
    <mergeCell ref="H165:I165"/>
    <mergeCell ref="H166:I166"/>
    <mergeCell ref="J164:K164"/>
    <mergeCell ref="J163:K163"/>
    <mergeCell ref="J168:K168"/>
    <mergeCell ref="J167:K167"/>
    <mergeCell ref="J161:K161"/>
    <mergeCell ref="J162:K162"/>
    <mergeCell ref="J166:K166"/>
    <mergeCell ref="L150:M150"/>
    <mergeCell ref="L151:M151"/>
    <mergeCell ref="L175:M175"/>
    <mergeCell ref="L176:M176"/>
    <mergeCell ref="N153:O153"/>
    <mergeCell ref="L154:M154"/>
    <mergeCell ref="N181:O181"/>
    <mergeCell ref="N182:O182"/>
    <mergeCell ref="N183:O183"/>
    <mergeCell ref="N175:O175"/>
    <mergeCell ref="N176:O176"/>
    <mergeCell ref="N177:O177"/>
    <mergeCell ref="N178:O178"/>
    <mergeCell ref="N179:O179"/>
    <mergeCell ref="L180:M180"/>
    <mergeCell ref="L181:M181"/>
    <mergeCell ref="L172:M172"/>
    <mergeCell ref="L174:M174"/>
    <mergeCell ref="N164:O164"/>
    <mergeCell ref="N165:O165"/>
    <mergeCell ref="L164:M164"/>
    <mergeCell ref="L155:M155"/>
    <mergeCell ref="L162:M162"/>
    <mergeCell ref="L163:M163"/>
    <mergeCell ref="L165:M165"/>
    <mergeCell ref="L166:M166"/>
    <mergeCell ref="L168:M168"/>
    <mergeCell ref="L169:M169"/>
    <mergeCell ref="N174:O174"/>
    <mergeCell ref="N155:O155"/>
    <mergeCell ref="N156:O156"/>
    <mergeCell ref="L167:M167"/>
    <mergeCell ref="L158:M158"/>
    <mergeCell ref="L159:M159"/>
    <mergeCell ref="L160:M160"/>
    <mergeCell ref="N173:O173"/>
    <mergeCell ref="L161:M161"/>
    <mergeCell ref="L156:M156"/>
    <mergeCell ref="L157:M157"/>
    <mergeCell ref="C116:D116"/>
    <mergeCell ref="C117:D117"/>
    <mergeCell ref="N199:O199"/>
    <mergeCell ref="N188:O188"/>
    <mergeCell ref="N189:O189"/>
    <mergeCell ref="N172:O172"/>
    <mergeCell ref="N148:O148"/>
    <mergeCell ref="N149:O149"/>
    <mergeCell ref="N158:O158"/>
    <mergeCell ref="N159:O159"/>
    <mergeCell ref="N160:O160"/>
    <mergeCell ref="N161:O161"/>
    <mergeCell ref="N150:O150"/>
    <mergeCell ref="N151:O151"/>
    <mergeCell ref="N152:O152"/>
    <mergeCell ref="N157:O157"/>
    <mergeCell ref="N190:O190"/>
    <mergeCell ref="N191:O191"/>
    <mergeCell ref="N186:O186"/>
    <mergeCell ref="N197:O197"/>
    <mergeCell ref="N184:O184"/>
    <mergeCell ref="N185:O185"/>
    <mergeCell ref="N192:O192"/>
    <mergeCell ref="N193:O193"/>
    <mergeCell ref="N196:O196"/>
    <mergeCell ref="N162:O162"/>
    <mergeCell ref="N163:O163"/>
    <mergeCell ref="N168:O168"/>
    <mergeCell ref="N169:O169"/>
    <mergeCell ref="N170:O170"/>
    <mergeCell ref="N171:O171"/>
    <mergeCell ref="N166:O166"/>
    <mergeCell ref="N167:O167"/>
    <mergeCell ref="N194:O194"/>
    <mergeCell ref="N195:O195"/>
    <mergeCell ref="N180:O180"/>
    <mergeCell ref="N187:O187"/>
    <mergeCell ref="H195:I195"/>
    <mergeCell ref="J170:K170"/>
    <mergeCell ref="H173:I173"/>
    <mergeCell ref="H174:I174"/>
    <mergeCell ref="H178:I178"/>
    <mergeCell ref="H183:I183"/>
    <mergeCell ref="H192:I192"/>
    <mergeCell ref="AT4:AW4"/>
    <mergeCell ref="AX4:BA4"/>
    <mergeCell ref="AD4:AG4"/>
    <mergeCell ref="AH4:AK4"/>
    <mergeCell ref="AL4:AO4"/>
    <mergeCell ref="AP4:AS4"/>
    <mergeCell ref="V4:Y4"/>
    <mergeCell ref="K4:N4"/>
    <mergeCell ref="O4:R4"/>
    <mergeCell ref="Z4:AC4"/>
    <mergeCell ref="R141:W141"/>
    <mergeCell ref="N145:O145"/>
    <mergeCell ref="J158:K158"/>
    <mergeCell ref="J159:K159"/>
    <mergeCell ref="L179:M179"/>
    <mergeCell ref="L170:M170"/>
    <mergeCell ref="L171:M171"/>
    <mergeCell ref="S4:S5"/>
    <mergeCell ref="T4:T5"/>
    <mergeCell ref="U4:U5"/>
    <mergeCell ref="C81:D81"/>
    <mergeCell ref="C82:D82"/>
    <mergeCell ref="C83:D83"/>
    <mergeCell ref="C72:D72"/>
    <mergeCell ref="C73:D73"/>
    <mergeCell ref="C74:D74"/>
    <mergeCell ref="C75:D75"/>
    <mergeCell ref="C76:D76"/>
    <mergeCell ref="C77:D77"/>
    <mergeCell ref="C66:D66"/>
    <mergeCell ref="C67:D67"/>
    <mergeCell ref="C68:D68"/>
    <mergeCell ref="C69:D69"/>
    <mergeCell ref="C70:D70"/>
    <mergeCell ref="C71:D71"/>
    <mergeCell ref="C60:D60"/>
    <mergeCell ref="C80:D80"/>
    <mergeCell ref="C47:D47"/>
    <mergeCell ref="C31:D31"/>
    <mergeCell ref="C35:D35"/>
    <mergeCell ref="C14:D14"/>
    <mergeCell ref="A4:A5"/>
    <mergeCell ref="C4:D5"/>
    <mergeCell ref="B4:B5"/>
    <mergeCell ref="E4:E5"/>
    <mergeCell ref="F4:F5"/>
    <mergeCell ref="C42:D42"/>
    <mergeCell ref="C43:D43"/>
    <mergeCell ref="C44:D44"/>
    <mergeCell ref="C45:D45"/>
    <mergeCell ref="C36:D36"/>
    <mergeCell ref="C37:D37"/>
    <mergeCell ref="C38:D38"/>
    <mergeCell ref="C39:D39"/>
    <mergeCell ref="C40:D40"/>
    <mergeCell ref="C41:D41"/>
    <mergeCell ref="C32:D32"/>
    <mergeCell ref="C33:D33"/>
    <mergeCell ref="C24:D24"/>
    <mergeCell ref="C25:D25"/>
    <mergeCell ref="C26:D26"/>
    <mergeCell ref="C27:D27"/>
    <mergeCell ref="C28:D28"/>
    <mergeCell ref="C29:D29"/>
    <mergeCell ref="C30:D30"/>
    <mergeCell ref="C109:D109"/>
    <mergeCell ref="C110:D110"/>
    <mergeCell ref="C111:D111"/>
    <mergeCell ref="C112:D112"/>
    <mergeCell ref="C90:D90"/>
    <mergeCell ref="C91:D91"/>
    <mergeCell ref="C92:D92"/>
    <mergeCell ref="C93:D93"/>
    <mergeCell ref="C94:D94"/>
    <mergeCell ref="C95:D95"/>
    <mergeCell ref="C99:D99"/>
    <mergeCell ref="G3:M3"/>
    <mergeCell ref="C65:D65"/>
    <mergeCell ref="C54:D54"/>
    <mergeCell ref="C55:D55"/>
    <mergeCell ref="C56:D56"/>
    <mergeCell ref="C57:D57"/>
    <mergeCell ref="C58:D58"/>
    <mergeCell ref="C59:D59"/>
    <mergeCell ref="C48:D48"/>
    <mergeCell ref="C49:D49"/>
    <mergeCell ref="C50:D50"/>
    <mergeCell ref="C51:D51"/>
    <mergeCell ref="C52:D52"/>
    <mergeCell ref="C53:D53"/>
    <mergeCell ref="C61:D61"/>
    <mergeCell ref="C62:D62"/>
    <mergeCell ref="C63:D63"/>
    <mergeCell ref="C64:D64"/>
    <mergeCell ref="G4:J4"/>
    <mergeCell ref="C46:D46"/>
    <mergeCell ref="C15:D15"/>
    <mergeCell ref="C16:D16"/>
    <mergeCell ref="C17:D17"/>
    <mergeCell ref="C115:D115"/>
    <mergeCell ref="C114:D114"/>
    <mergeCell ref="C34:D34"/>
    <mergeCell ref="C113:D113"/>
    <mergeCell ref="C102:D102"/>
    <mergeCell ref="C103:D103"/>
    <mergeCell ref="C104:D104"/>
    <mergeCell ref="C105:D105"/>
    <mergeCell ref="C106:D106"/>
    <mergeCell ref="C107:D107"/>
    <mergeCell ref="C96:D96"/>
    <mergeCell ref="C97:D97"/>
    <mergeCell ref="C98:D98"/>
    <mergeCell ref="C100:D100"/>
    <mergeCell ref="C101:D101"/>
    <mergeCell ref="C108:D108"/>
    <mergeCell ref="C88:D88"/>
    <mergeCell ref="C89:D89"/>
    <mergeCell ref="C78:D78"/>
    <mergeCell ref="C79:D79"/>
    <mergeCell ref="C84:D84"/>
    <mergeCell ref="C85:D85"/>
    <mergeCell ref="C86:D86"/>
    <mergeCell ref="C87:D87"/>
    <mergeCell ref="H158:I158"/>
    <mergeCell ref="H149:I149"/>
    <mergeCell ref="H150:I150"/>
    <mergeCell ref="C135:D135"/>
    <mergeCell ref="H151:I151"/>
    <mergeCell ref="J146:K146"/>
    <mergeCell ref="H175:I175"/>
    <mergeCell ref="O3:Q3"/>
    <mergeCell ref="J143:K143"/>
    <mergeCell ref="N143:O143"/>
    <mergeCell ref="C8:D8"/>
    <mergeCell ref="C9:D9"/>
    <mergeCell ref="C10:D10"/>
    <mergeCell ref="C11:D11"/>
    <mergeCell ref="C7:D7"/>
    <mergeCell ref="C6:D6"/>
    <mergeCell ref="C18:D18"/>
    <mergeCell ref="C19:D19"/>
    <mergeCell ref="C20:D20"/>
    <mergeCell ref="C21:D21"/>
    <mergeCell ref="C22:D22"/>
    <mergeCell ref="C23:D23"/>
    <mergeCell ref="C12:D12"/>
    <mergeCell ref="C13:D13"/>
    <mergeCell ref="C129:D129"/>
    <mergeCell ref="C127:D127"/>
    <mergeCell ref="J145:K145"/>
    <mergeCell ref="C130:D130"/>
    <mergeCell ref="C131:D131"/>
    <mergeCell ref="H144:I144"/>
    <mergeCell ref="J144:K144"/>
    <mergeCell ref="C132:D132"/>
    <mergeCell ref="C133:D133"/>
    <mergeCell ref="C134:D134"/>
    <mergeCell ref="H196:I196"/>
    <mergeCell ref="H197:I197"/>
    <mergeCell ref="J180:K180"/>
    <mergeCell ref="J188:K188"/>
    <mergeCell ref="L197:M197"/>
    <mergeCell ref="J147:K147"/>
    <mergeCell ref="J148:K148"/>
    <mergeCell ref="L189:M189"/>
    <mergeCell ref="L190:M190"/>
    <mergeCell ref="L191:M191"/>
    <mergeCell ref="L192:M192"/>
    <mergeCell ref="L193:M193"/>
    <mergeCell ref="L185:M185"/>
    <mergeCell ref="L186:M186"/>
    <mergeCell ref="J157:K157"/>
    <mergeCell ref="J153:K153"/>
    <mergeCell ref="L183:M183"/>
    <mergeCell ref="L184:M184"/>
    <mergeCell ref="L173:M173"/>
    <mergeCell ref="J172:K172"/>
    <mergeCell ref="J173:K173"/>
    <mergeCell ref="J174:K174"/>
    <mergeCell ref="J171:K171"/>
    <mergeCell ref="J175:K175"/>
    <mergeCell ref="J193:K193"/>
    <mergeCell ref="J194:K194"/>
    <mergeCell ref="H189:I189"/>
    <mergeCell ref="H191:I191"/>
    <mergeCell ref="H186:I186"/>
    <mergeCell ref="H193:I193"/>
    <mergeCell ref="H194:I194"/>
    <mergeCell ref="H181:I181"/>
    <mergeCell ref="H182:I182"/>
    <mergeCell ref="H184:I184"/>
    <mergeCell ref="H185:I185"/>
    <mergeCell ref="J189:K189"/>
    <mergeCell ref="J190:K190"/>
    <mergeCell ref="J191:K191"/>
    <mergeCell ref="H172:I172"/>
    <mergeCell ref="H170:I170"/>
    <mergeCell ref="H171:I171"/>
    <mergeCell ref="H176:I176"/>
    <mergeCell ref="J181:K181"/>
    <mergeCell ref="J152:K152"/>
    <mergeCell ref="J155:K155"/>
    <mergeCell ref="J156:K156"/>
    <mergeCell ref="H145:I145"/>
    <mergeCell ref="H146:I146"/>
    <mergeCell ref="H147:I147"/>
    <mergeCell ref="H148:I148"/>
    <mergeCell ref="H153:I153"/>
    <mergeCell ref="J177:K177"/>
    <mergeCell ref="H177:I177"/>
    <mergeCell ref="H179:I179"/>
    <mergeCell ref="H180:I180"/>
    <mergeCell ref="J176:K176"/>
    <mergeCell ref="J169:K169"/>
    <mergeCell ref="J178:K178"/>
    <mergeCell ref="J179:K179"/>
    <mergeCell ref="H152:I152"/>
    <mergeCell ref="H154:I154"/>
    <mergeCell ref="H167:I167"/>
    <mergeCell ref="N201:O201"/>
    <mergeCell ref="H200:I200"/>
    <mergeCell ref="J200:K200"/>
    <mergeCell ref="L200:M200"/>
    <mergeCell ref="N200:O200"/>
    <mergeCell ref="H205:I205"/>
    <mergeCell ref="J205:K205"/>
    <mergeCell ref="L205:M205"/>
    <mergeCell ref="N205:O205"/>
    <mergeCell ref="N204:O204"/>
    <mergeCell ref="H204:I204"/>
    <mergeCell ref="L204:M204"/>
    <mergeCell ref="J204:K204"/>
    <mergeCell ref="H203:I203"/>
    <mergeCell ref="J203:K203"/>
    <mergeCell ref="L203:M203"/>
    <mergeCell ref="N203:O203"/>
    <mergeCell ref="L195:M195"/>
    <mergeCell ref="L196:M196"/>
    <mergeCell ref="H157:I157"/>
    <mergeCell ref="L187:M187"/>
    <mergeCell ref="L188:M188"/>
    <mergeCell ref="L177:M177"/>
    <mergeCell ref="L178:M178"/>
    <mergeCell ref="H159:I159"/>
    <mergeCell ref="H160:I160"/>
    <mergeCell ref="H161:I161"/>
    <mergeCell ref="H162:I162"/>
    <mergeCell ref="H163:I163"/>
    <mergeCell ref="J165:K165"/>
    <mergeCell ref="J195:K195"/>
    <mergeCell ref="J182:K182"/>
    <mergeCell ref="J183:K183"/>
    <mergeCell ref="J184:K184"/>
    <mergeCell ref="J185:K185"/>
    <mergeCell ref="J186:K186"/>
    <mergeCell ref="J187:K187"/>
    <mergeCell ref="H190:I190"/>
    <mergeCell ref="H187:I187"/>
    <mergeCell ref="H188:I188"/>
    <mergeCell ref="J192:K192"/>
    <mergeCell ref="H207:I207"/>
    <mergeCell ref="J207:K207"/>
    <mergeCell ref="L207:M207"/>
    <mergeCell ref="N207:O207"/>
    <mergeCell ref="J196:K196"/>
    <mergeCell ref="J197:K197"/>
    <mergeCell ref="H206:I206"/>
    <mergeCell ref="J206:K206"/>
    <mergeCell ref="L206:M206"/>
    <mergeCell ref="N206:O206"/>
    <mergeCell ref="H202:I202"/>
    <mergeCell ref="J202:K202"/>
    <mergeCell ref="L202:M202"/>
    <mergeCell ref="N202:O202"/>
    <mergeCell ref="L198:M198"/>
    <mergeCell ref="N198:O198"/>
    <mergeCell ref="H198:I198"/>
    <mergeCell ref="H199:I199"/>
    <mergeCell ref="J199:K199"/>
    <mergeCell ref="L199:M199"/>
    <mergeCell ref="H201:I201"/>
    <mergeCell ref="J198:K198"/>
    <mergeCell ref="J201:K201"/>
    <mergeCell ref="L201:M201"/>
  </mergeCells>
  <phoneticPr fontId="0" type="noConversion"/>
  <pageMargins left="0.78740157480314965" right="0.78740157480314965" top="0.98425196850393704" bottom="0.98425196850393704" header="0.51181102362204722" footer="0.51181102362204722"/>
  <pageSetup paperSize="9" scale="60" orientation="landscape" r:id="rId1"/>
  <headerFooter alignWithMargins="0"/>
  <ignoredErrors>
    <ignoredError sqref="R68 N68" formulaRange="1"/>
  </ignoredError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A215"/>
  <sheetViews>
    <sheetView zoomScale="98" zoomScaleNormal="88" workbookViewId="0">
      <pane xSplit="1" ySplit="5" topLeftCell="AJ133"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c r="K1" s="22"/>
    </row>
    <row r="2" spans="1:53" ht="15" customHeight="1" x14ac:dyDescent="0.15">
      <c r="B2" s="15" t="s">
        <v>49</v>
      </c>
      <c r="J2" s="22"/>
      <c r="K2" s="22"/>
      <c r="L2" s="22"/>
      <c r="M2" s="22"/>
      <c r="N2" s="22"/>
      <c r="O2" s="22"/>
      <c r="P2" s="22"/>
      <c r="Q2" s="22"/>
      <c r="R2" s="22"/>
      <c r="S2" s="22"/>
      <c r="T2" s="22"/>
      <c r="U2" s="22"/>
    </row>
    <row r="3" spans="1:53" x14ac:dyDescent="0.15">
      <c r="G3" s="397"/>
      <c r="H3" s="397"/>
      <c r="I3" s="397"/>
      <c r="J3" s="397"/>
      <c r="K3" s="397"/>
      <c r="L3" s="397"/>
      <c r="M3" s="397"/>
      <c r="O3" s="397"/>
      <c r="P3" s="397"/>
      <c r="Q3" s="397"/>
      <c r="R3" s="4"/>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139" customFormat="1" x14ac:dyDescent="0.15">
      <c r="A6" s="145">
        <v>1959</v>
      </c>
      <c r="B6" s="137"/>
      <c r="C6" s="398" t="s">
        <v>193</v>
      </c>
      <c r="D6" s="398"/>
      <c r="E6" s="139">
        <v>0</v>
      </c>
      <c r="G6" s="147">
        <v>7</v>
      </c>
      <c r="H6" s="139">
        <v>14</v>
      </c>
      <c r="J6" s="153">
        <v>21</v>
      </c>
      <c r="K6" s="133">
        <f>G6/J6*100</f>
        <v>33.333333333333329</v>
      </c>
      <c r="L6" s="133">
        <f>H6/J6*100</f>
        <v>66.666666666666657</v>
      </c>
      <c r="M6" s="133">
        <f>I6/J6*100</f>
        <v>0</v>
      </c>
      <c r="N6" s="149">
        <f>SUM(K6:M6)</f>
        <v>99.999999999999986</v>
      </c>
      <c r="O6" s="132">
        <v>9.9</v>
      </c>
      <c r="P6" s="133">
        <v>49.1</v>
      </c>
      <c r="Q6" s="133"/>
      <c r="R6" s="134">
        <f>SUM(O6:Q6)</f>
        <v>59</v>
      </c>
      <c r="S6" s="139">
        <v>2</v>
      </c>
      <c r="T6" s="136"/>
      <c r="U6" s="137"/>
      <c r="V6" s="138" t="s">
        <v>80</v>
      </c>
      <c r="W6" s="139" t="s">
        <v>17</v>
      </c>
      <c r="X6" s="139" t="s">
        <v>18</v>
      </c>
      <c r="Y6" s="140">
        <v>49.1</v>
      </c>
      <c r="Z6" s="139" t="s">
        <v>82</v>
      </c>
      <c r="AA6" s="139" t="s">
        <v>22</v>
      </c>
      <c r="AB6" s="139" t="s">
        <v>11</v>
      </c>
      <c r="AC6" s="139">
        <v>9.9</v>
      </c>
      <c r="AD6" s="138"/>
      <c r="AG6" s="140"/>
      <c r="AL6" s="138"/>
      <c r="AO6" s="140"/>
      <c r="AP6" s="138"/>
      <c r="AS6" s="140"/>
      <c r="AW6" s="140"/>
      <c r="BA6" s="141"/>
    </row>
    <row r="7" spans="1:53" s="139" customFormat="1" x14ac:dyDescent="0.15">
      <c r="A7" s="145">
        <v>1959</v>
      </c>
      <c r="B7" s="137"/>
      <c r="C7" s="398" t="s">
        <v>193</v>
      </c>
      <c r="D7" s="398"/>
      <c r="E7" s="139">
        <v>365</v>
      </c>
      <c r="G7" s="147">
        <v>7</v>
      </c>
      <c r="H7" s="139">
        <v>14</v>
      </c>
      <c r="J7" s="153">
        <v>21</v>
      </c>
      <c r="K7" s="133">
        <f>G7/J7*100</f>
        <v>33.333333333333329</v>
      </c>
      <c r="L7" s="133">
        <f>H7/J7*100</f>
        <v>66.666666666666657</v>
      </c>
      <c r="M7" s="133">
        <f>I7/J7*100</f>
        <v>0</v>
      </c>
      <c r="N7" s="149">
        <f>SUM(K7:M7)</f>
        <v>99.999999999999986</v>
      </c>
      <c r="O7" s="132">
        <v>9.9</v>
      </c>
      <c r="P7" s="133">
        <v>49.1</v>
      </c>
      <c r="Q7" s="133"/>
      <c r="R7" s="134">
        <f>SUM(O7:Q7)</f>
        <v>59</v>
      </c>
      <c r="S7" s="139">
        <v>2</v>
      </c>
      <c r="T7" s="136"/>
      <c r="U7" s="137"/>
      <c r="V7" s="138" t="s">
        <v>80</v>
      </c>
      <c r="W7" s="139" t="s">
        <v>17</v>
      </c>
      <c r="X7" s="139" t="s">
        <v>18</v>
      </c>
      <c r="Y7" s="140">
        <v>49.1</v>
      </c>
      <c r="Z7" s="139" t="s">
        <v>82</v>
      </c>
      <c r="AA7" s="139" t="s">
        <v>22</v>
      </c>
      <c r="AB7" s="139" t="s">
        <v>11</v>
      </c>
      <c r="AC7" s="139">
        <v>9.9</v>
      </c>
      <c r="AD7" s="138"/>
      <c r="AG7" s="140"/>
      <c r="AL7" s="138"/>
      <c r="AO7" s="140"/>
      <c r="AP7" s="138"/>
      <c r="AS7" s="140"/>
      <c r="AW7" s="140"/>
      <c r="BA7" s="141"/>
    </row>
    <row r="8" spans="1:53" s="28" customFormat="1" x14ac:dyDescent="0.15">
      <c r="A8" s="51">
        <v>1960</v>
      </c>
      <c r="B8" s="40"/>
      <c r="C8" s="394" t="s">
        <v>193</v>
      </c>
      <c r="D8" s="394"/>
      <c r="E8" s="28">
        <v>245</v>
      </c>
      <c r="G8" s="65">
        <v>7</v>
      </c>
      <c r="H8" s="28">
        <v>14</v>
      </c>
      <c r="J8" s="72">
        <v>21</v>
      </c>
      <c r="K8" s="46">
        <f>G8/J8*100</f>
        <v>33.333333333333329</v>
      </c>
      <c r="L8" s="46">
        <f>H8/J8*100</f>
        <v>66.666666666666657</v>
      </c>
      <c r="M8" s="46">
        <f>I8/J8*100</f>
        <v>0</v>
      </c>
      <c r="N8" s="67">
        <f t="shared" ref="N8:N71" si="0">SUM(K8:M8)</f>
        <v>99.999999999999986</v>
      </c>
      <c r="O8" s="45">
        <v>9.9</v>
      </c>
      <c r="P8" s="46">
        <v>49.1</v>
      </c>
      <c r="Q8" s="46"/>
      <c r="R8" s="47">
        <f>SUM(O8:Q8)</f>
        <v>59</v>
      </c>
      <c r="S8" s="28">
        <v>2</v>
      </c>
      <c r="T8" s="49"/>
      <c r="U8" s="40"/>
      <c r="V8" s="37" t="s">
        <v>80</v>
      </c>
      <c r="W8" s="28" t="s">
        <v>17</v>
      </c>
      <c r="X8" s="28" t="s">
        <v>18</v>
      </c>
      <c r="Y8" s="38">
        <v>49.1</v>
      </c>
      <c r="Z8" s="28" t="s">
        <v>82</v>
      </c>
      <c r="AA8" s="28" t="s">
        <v>22</v>
      </c>
      <c r="AB8" s="28" t="s">
        <v>11</v>
      </c>
      <c r="AC8" s="28">
        <v>9.9</v>
      </c>
      <c r="AD8" s="37"/>
      <c r="AG8" s="38"/>
      <c r="AL8" s="37"/>
      <c r="AO8" s="38"/>
      <c r="AP8" s="37"/>
      <c r="AS8" s="38"/>
      <c r="AW8" s="38"/>
      <c r="BA8" s="39"/>
    </row>
    <row r="9" spans="1:53" s="28" customFormat="1" x14ac:dyDescent="0.15">
      <c r="A9" s="51">
        <v>1960</v>
      </c>
      <c r="B9" s="298">
        <v>22161</v>
      </c>
      <c r="C9" s="394" t="s">
        <v>193</v>
      </c>
      <c r="D9" s="394"/>
      <c r="E9" s="28">
        <v>121</v>
      </c>
      <c r="F9" s="69">
        <v>0</v>
      </c>
      <c r="G9" s="65">
        <v>7</v>
      </c>
      <c r="H9" s="28">
        <v>13</v>
      </c>
      <c r="J9" s="72">
        <v>20</v>
      </c>
      <c r="K9" s="46">
        <f t="shared" ref="K9:K14" si="1">G9/J9*100</f>
        <v>35</v>
      </c>
      <c r="L9" s="46">
        <f t="shared" ref="L9:L14" si="2">H9/J9*100</f>
        <v>65</v>
      </c>
      <c r="M9" s="46">
        <f t="shared" ref="M9:M14" si="3">I9/J9*100</f>
        <v>0</v>
      </c>
      <c r="N9" s="67">
        <f t="shared" si="0"/>
        <v>100</v>
      </c>
      <c r="O9" s="45">
        <v>9.9</v>
      </c>
      <c r="P9" s="46">
        <v>49.1</v>
      </c>
      <c r="Q9" s="46"/>
      <c r="R9" s="47">
        <f t="shared" ref="R9:R72" si="4">SUM(O9:Q9)</f>
        <v>59</v>
      </c>
      <c r="S9" s="28">
        <v>2</v>
      </c>
      <c r="T9" s="49"/>
      <c r="U9" s="40"/>
      <c r="V9" s="37" t="s">
        <v>80</v>
      </c>
      <c r="W9" s="28" t="s">
        <v>17</v>
      </c>
      <c r="X9" s="28" t="s">
        <v>18</v>
      </c>
      <c r="Y9" s="38">
        <v>49.1</v>
      </c>
      <c r="Z9" s="28" t="s">
        <v>82</v>
      </c>
      <c r="AA9" s="28" t="s">
        <v>22</v>
      </c>
      <c r="AB9" s="28" t="s">
        <v>11</v>
      </c>
      <c r="AC9" s="28">
        <v>9.9</v>
      </c>
      <c r="AD9" s="37"/>
      <c r="AG9" s="38"/>
      <c r="AL9" s="37"/>
      <c r="AO9" s="38"/>
      <c r="AP9" s="37"/>
      <c r="AS9" s="38"/>
      <c r="AW9" s="38"/>
      <c r="BA9" s="39"/>
    </row>
    <row r="10" spans="1:53" s="28" customFormat="1" x14ac:dyDescent="0.15">
      <c r="A10" s="51">
        <v>1961</v>
      </c>
      <c r="B10" s="293"/>
      <c r="C10" s="394" t="s">
        <v>193</v>
      </c>
      <c r="D10" s="394"/>
      <c r="E10" s="28">
        <v>114</v>
      </c>
      <c r="G10" s="65">
        <v>7</v>
      </c>
      <c r="H10" s="28">
        <v>13</v>
      </c>
      <c r="J10" s="72">
        <v>20</v>
      </c>
      <c r="K10" s="46">
        <f t="shared" si="1"/>
        <v>35</v>
      </c>
      <c r="L10" s="46">
        <f t="shared" si="2"/>
        <v>65</v>
      </c>
      <c r="M10" s="46">
        <f t="shared" si="3"/>
        <v>0</v>
      </c>
      <c r="N10" s="67">
        <f t="shared" si="0"/>
        <v>100</v>
      </c>
      <c r="O10" s="45">
        <v>9.9</v>
      </c>
      <c r="P10" s="46">
        <v>49.1</v>
      </c>
      <c r="Q10" s="46"/>
      <c r="R10" s="47">
        <f t="shared" si="4"/>
        <v>59</v>
      </c>
      <c r="S10" s="28">
        <v>2</v>
      </c>
      <c r="T10" s="49"/>
      <c r="U10" s="40"/>
      <c r="V10" s="37" t="s">
        <v>80</v>
      </c>
      <c r="W10" s="28" t="s">
        <v>17</v>
      </c>
      <c r="X10" s="28" t="s">
        <v>18</v>
      </c>
      <c r="Y10" s="38">
        <v>49.1</v>
      </c>
      <c r="Z10" s="28" t="s">
        <v>82</v>
      </c>
      <c r="AA10" s="28" t="s">
        <v>22</v>
      </c>
      <c r="AB10" s="28" t="s">
        <v>11</v>
      </c>
      <c r="AC10" s="28">
        <v>9.9</v>
      </c>
      <c r="AD10" s="37"/>
      <c r="AG10" s="38"/>
      <c r="AL10" s="37"/>
      <c r="AO10" s="38"/>
      <c r="AP10" s="37"/>
      <c r="AS10" s="38"/>
      <c r="AW10" s="38"/>
      <c r="BA10" s="39"/>
    </row>
    <row r="11" spans="1:53" s="170" customFormat="1" x14ac:dyDescent="0.15">
      <c r="A11" s="215">
        <v>1961</v>
      </c>
      <c r="B11" s="281">
        <v>22396</v>
      </c>
      <c r="C11" s="369" t="s">
        <v>1181</v>
      </c>
      <c r="D11" s="369"/>
      <c r="E11" s="170">
        <v>251</v>
      </c>
      <c r="F11" s="170">
        <v>1</v>
      </c>
      <c r="G11" s="232"/>
      <c r="H11" s="170">
        <v>10</v>
      </c>
      <c r="I11" s="170">
        <v>7</v>
      </c>
      <c r="J11" s="240">
        <v>17</v>
      </c>
      <c r="K11" s="213">
        <f t="shared" si="1"/>
        <v>0</v>
      </c>
      <c r="L11" s="213">
        <f t="shared" si="2"/>
        <v>58.82352941176471</v>
      </c>
      <c r="M11" s="213">
        <f t="shared" si="3"/>
        <v>41.17647058823529</v>
      </c>
      <c r="N11" s="234">
        <f t="shared" si="0"/>
        <v>100</v>
      </c>
      <c r="O11" s="212"/>
      <c r="P11" s="213">
        <v>45.3</v>
      </c>
      <c r="Q11" s="213">
        <v>39.6</v>
      </c>
      <c r="R11" s="214">
        <f t="shared" si="4"/>
        <v>84.9</v>
      </c>
      <c r="S11" s="170">
        <v>2</v>
      </c>
      <c r="T11" s="283">
        <v>22366</v>
      </c>
      <c r="U11" s="281">
        <v>22396</v>
      </c>
      <c r="V11" s="177" t="s">
        <v>80</v>
      </c>
      <c r="W11" s="170" t="s">
        <v>17</v>
      </c>
      <c r="X11" s="170" t="s">
        <v>18</v>
      </c>
      <c r="Y11" s="178">
        <v>45.3</v>
      </c>
      <c r="Z11" s="170" t="s">
        <v>83</v>
      </c>
      <c r="AA11" s="170" t="s">
        <v>20</v>
      </c>
      <c r="AB11" s="170" t="s">
        <v>12</v>
      </c>
      <c r="AC11" s="170">
        <v>39.6</v>
      </c>
      <c r="AD11" s="177"/>
      <c r="AG11" s="178"/>
      <c r="AL11" s="177"/>
      <c r="AO11" s="178"/>
      <c r="AP11" s="177"/>
      <c r="AS11" s="178"/>
      <c r="AW11" s="178"/>
      <c r="BA11" s="179"/>
    </row>
    <row r="12" spans="1:53" s="170" customFormat="1" x14ac:dyDescent="0.15">
      <c r="A12" s="215">
        <v>1962</v>
      </c>
      <c r="B12" s="281"/>
      <c r="C12" s="369" t="s">
        <v>1181</v>
      </c>
      <c r="D12" s="369"/>
      <c r="E12" s="170">
        <v>0</v>
      </c>
      <c r="G12" s="232"/>
      <c r="H12" s="170">
        <v>10</v>
      </c>
      <c r="I12" s="170">
        <v>7</v>
      </c>
      <c r="J12" s="240">
        <v>17</v>
      </c>
      <c r="K12" s="213">
        <f t="shared" si="1"/>
        <v>0</v>
      </c>
      <c r="L12" s="213">
        <f t="shared" si="2"/>
        <v>58.82352941176471</v>
      </c>
      <c r="M12" s="213">
        <f t="shared" si="3"/>
        <v>41.17647058823529</v>
      </c>
      <c r="N12" s="234">
        <f t="shared" si="0"/>
        <v>100</v>
      </c>
      <c r="O12" s="212"/>
      <c r="P12" s="213">
        <v>45.3</v>
      </c>
      <c r="Q12" s="213">
        <v>39.6</v>
      </c>
      <c r="R12" s="214">
        <f t="shared" si="4"/>
        <v>84.9</v>
      </c>
      <c r="S12" s="170">
        <v>2</v>
      </c>
      <c r="T12" s="283"/>
      <c r="U12" s="281"/>
      <c r="V12" s="177" t="s">
        <v>80</v>
      </c>
      <c r="W12" s="170" t="s">
        <v>17</v>
      </c>
      <c r="X12" s="170" t="s">
        <v>18</v>
      </c>
      <c r="Y12" s="178">
        <v>45.3</v>
      </c>
      <c r="Z12" s="170" t="s">
        <v>83</v>
      </c>
      <c r="AA12" s="170" t="s">
        <v>20</v>
      </c>
      <c r="AB12" s="170" t="s">
        <v>12</v>
      </c>
      <c r="AC12" s="170">
        <v>39.6</v>
      </c>
      <c r="AD12" s="177"/>
      <c r="AG12" s="178"/>
      <c r="AL12" s="177"/>
      <c r="AO12" s="178"/>
      <c r="AP12" s="177"/>
      <c r="AS12" s="178"/>
      <c r="AW12" s="178"/>
      <c r="BA12" s="179"/>
    </row>
    <row r="13" spans="1:53" s="170" customFormat="1" x14ac:dyDescent="0.15">
      <c r="A13" s="215">
        <v>1962</v>
      </c>
      <c r="B13" s="281"/>
      <c r="C13" s="369" t="s">
        <v>1181</v>
      </c>
      <c r="D13" s="369"/>
      <c r="E13" s="170">
        <v>365</v>
      </c>
      <c r="G13" s="232"/>
      <c r="H13" s="170">
        <v>10</v>
      </c>
      <c r="I13" s="170">
        <v>7</v>
      </c>
      <c r="J13" s="240">
        <v>17</v>
      </c>
      <c r="K13" s="213">
        <f t="shared" si="1"/>
        <v>0</v>
      </c>
      <c r="L13" s="213">
        <f t="shared" si="2"/>
        <v>58.82352941176471</v>
      </c>
      <c r="M13" s="213">
        <f t="shared" si="3"/>
        <v>41.17647058823529</v>
      </c>
      <c r="N13" s="234">
        <f t="shared" si="0"/>
        <v>100</v>
      </c>
      <c r="O13" s="212"/>
      <c r="P13" s="213">
        <v>45.3</v>
      </c>
      <c r="Q13" s="213">
        <v>39.6</v>
      </c>
      <c r="R13" s="214">
        <f t="shared" si="4"/>
        <v>84.9</v>
      </c>
      <c r="S13" s="170">
        <v>2</v>
      </c>
      <c r="T13" s="283"/>
      <c r="U13" s="281"/>
      <c r="V13" s="177" t="s">
        <v>80</v>
      </c>
      <c r="W13" s="170" t="s">
        <v>17</v>
      </c>
      <c r="X13" s="170" t="s">
        <v>18</v>
      </c>
      <c r="Y13" s="178">
        <v>45.3</v>
      </c>
      <c r="Z13" s="170" t="s">
        <v>83</v>
      </c>
      <c r="AA13" s="170" t="s">
        <v>20</v>
      </c>
      <c r="AB13" s="170" t="s">
        <v>12</v>
      </c>
      <c r="AC13" s="170">
        <v>39.6</v>
      </c>
      <c r="AD13" s="177"/>
      <c r="AG13" s="178"/>
      <c r="AL13" s="177"/>
      <c r="AO13" s="178"/>
      <c r="AP13" s="177"/>
      <c r="AS13" s="178"/>
      <c r="AW13" s="178"/>
      <c r="BA13" s="179"/>
    </row>
    <row r="14" spans="1:53" s="170" customFormat="1" x14ac:dyDescent="0.15">
      <c r="A14" s="215">
        <v>1963</v>
      </c>
      <c r="B14" s="281"/>
      <c r="C14" s="369" t="s">
        <v>1181</v>
      </c>
      <c r="D14" s="369"/>
      <c r="E14" s="170">
        <v>0</v>
      </c>
      <c r="G14" s="232"/>
      <c r="H14" s="170">
        <v>10</v>
      </c>
      <c r="I14" s="170">
        <v>7</v>
      </c>
      <c r="J14" s="240">
        <v>17</v>
      </c>
      <c r="K14" s="213">
        <f t="shared" si="1"/>
        <v>0</v>
      </c>
      <c r="L14" s="213">
        <f t="shared" si="2"/>
        <v>58.82352941176471</v>
      </c>
      <c r="M14" s="213">
        <f t="shared" si="3"/>
        <v>41.17647058823529</v>
      </c>
      <c r="N14" s="234">
        <f t="shared" si="0"/>
        <v>100</v>
      </c>
      <c r="O14" s="212"/>
      <c r="P14" s="213">
        <v>45.3</v>
      </c>
      <c r="Q14" s="213">
        <v>39.6</v>
      </c>
      <c r="R14" s="214">
        <f t="shared" si="4"/>
        <v>84.9</v>
      </c>
      <c r="S14" s="170">
        <v>2</v>
      </c>
      <c r="T14" s="283"/>
      <c r="U14" s="281"/>
      <c r="V14" s="177" t="s">
        <v>80</v>
      </c>
      <c r="W14" s="170" t="s">
        <v>17</v>
      </c>
      <c r="X14" s="170" t="s">
        <v>18</v>
      </c>
      <c r="Y14" s="178">
        <v>45.3</v>
      </c>
      <c r="Z14" s="170" t="s">
        <v>83</v>
      </c>
      <c r="AA14" s="170" t="s">
        <v>20</v>
      </c>
      <c r="AB14" s="170" t="s">
        <v>12</v>
      </c>
      <c r="AC14" s="170">
        <v>39.6</v>
      </c>
      <c r="AD14" s="177"/>
      <c r="AG14" s="178"/>
      <c r="AL14" s="177"/>
      <c r="AO14" s="178"/>
      <c r="AP14" s="177"/>
      <c r="AS14" s="178"/>
      <c r="AW14" s="178"/>
      <c r="BA14" s="179"/>
    </row>
    <row r="15" spans="1:53" s="170" customFormat="1" x14ac:dyDescent="0.15">
      <c r="A15" s="215">
        <v>1963</v>
      </c>
      <c r="B15" s="281"/>
      <c r="C15" s="369" t="s">
        <v>1181</v>
      </c>
      <c r="D15" s="369"/>
      <c r="E15" s="170">
        <v>365</v>
      </c>
      <c r="G15" s="232"/>
      <c r="H15" s="170">
        <v>10</v>
      </c>
      <c r="I15" s="170">
        <v>7</v>
      </c>
      <c r="J15" s="240">
        <v>17</v>
      </c>
      <c r="K15" s="213">
        <f>G15/J15*100</f>
        <v>0</v>
      </c>
      <c r="L15" s="213">
        <f>H15/J15*100</f>
        <v>58.82352941176471</v>
      </c>
      <c r="M15" s="213">
        <f>I15/J15*100</f>
        <v>41.17647058823529</v>
      </c>
      <c r="N15" s="234">
        <f t="shared" si="0"/>
        <v>100</v>
      </c>
      <c r="O15" s="212"/>
      <c r="P15" s="213">
        <v>45.3</v>
      </c>
      <c r="Q15" s="213">
        <v>39.6</v>
      </c>
      <c r="R15" s="214">
        <f t="shared" si="4"/>
        <v>84.9</v>
      </c>
      <c r="S15" s="170">
        <v>2</v>
      </c>
      <c r="T15" s="283"/>
      <c r="U15" s="281"/>
      <c r="V15" s="177" t="s">
        <v>80</v>
      </c>
      <c r="W15" s="170" t="s">
        <v>17</v>
      </c>
      <c r="X15" s="170" t="s">
        <v>18</v>
      </c>
      <c r="Y15" s="178">
        <v>45.3</v>
      </c>
      <c r="Z15" s="170" t="s">
        <v>83</v>
      </c>
      <c r="AA15" s="170" t="s">
        <v>20</v>
      </c>
      <c r="AB15" s="170" t="s">
        <v>12</v>
      </c>
      <c r="AC15" s="170">
        <v>39.6</v>
      </c>
      <c r="AD15" s="177"/>
      <c r="AG15" s="178"/>
      <c r="AL15" s="177"/>
      <c r="AO15" s="178"/>
      <c r="AP15" s="177"/>
      <c r="AS15" s="178"/>
      <c r="AW15" s="178"/>
      <c r="BA15" s="179"/>
    </row>
    <row r="16" spans="1:53" s="170" customFormat="1" x14ac:dyDescent="0.15">
      <c r="A16" s="215">
        <v>1964</v>
      </c>
      <c r="B16" s="281"/>
      <c r="C16" s="369" t="s">
        <v>1181</v>
      </c>
      <c r="D16" s="369"/>
      <c r="E16" s="170">
        <v>0</v>
      </c>
      <c r="G16" s="232"/>
      <c r="H16" s="170">
        <v>10</v>
      </c>
      <c r="I16" s="170">
        <v>7</v>
      </c>
      <c r="J16" s="240">
        <v>17</v>
      </c>
      <c r="K16" s="213">
        <f t="shared" ref="K16:K21" si="5">G16/J16*100</f>
        <v>0</v>
      </c>
      <c r="L16" s="213">
        <f t="shared" ref="L16:L21" si="6">H16/J16*100</f>
        <v>58.82352941176471</v>
      </c>
      <c r="M16" s="213">
        <f t="shared" ref="M16:M21" si="7">I16/J16*100</f>
        <v>41.17647058823529</v>
      </c>
      <c r="N16" s="234">
        <f t="shared" si="0"/>
        <v>100</v>
      </c>
      <c r="O16" s="212"/>
      <c r="P16" s="213">
        <v>45.3</v>
      </c>
      <c r="Q16" s="213">
        <v>39.6</v>
      </c>
      <c r="R16" s="214">
        <f t="shared" si="4"/>
        <v>84.9</v>
      </c>
      <c r="S16" s="170">
        <v>2</v>
      </c>
      <c r="T16" s="283"/>
      <c r="U16" s="281"/>
      <c r="V16" s="177" t="s">
        <v>80</v>
      </c>
      <c r="W16" s="170" t="s">
        <v>17</v>
      </c>
      <c r="X16" s="170" t="s">
        <v>18</v>
      </c>
      <c r="Y16" s="178">
        <v>45.3</v>
      </c>
      <c r="Z16" s="170" t="s">
        <v>83</v>
      </c>
      <c r="AA16" s="170" t="s">
        <v>20</v>
      </c>
      <c r="AB16" s="170" t="s">
        <v>12</v>
      </c>
      <c r="AC16" s="170">
        <v>39.6</v>
      </c>
      <c r="AD16" s="177"/>
      <c r="AG16" s="178"/>
      <c r="AL16" s="177"/>
      <c r="AO16" s="178"/>
      <c r="AP16" s="177"/>
      <c r="AS16" s="178"/>
      <c r="AW16" s="178"/>
      <c r="BA16" s="179"/>
    </row>
    <row r="17" spans="1:53" s="170" customFormat="1" x14ac:dyDescent="0.15">
      <c r="A17" s="215">
        <v>1964</v>
      </c>
      <c r="B17" s="281"/>
      <c r="C17" s="369" t="s">
        <v>1181</v>
      </c>
      <c r="D17" s="369"/>
      <c r="E17" s="170">
        <v>366</v>
      </c>
      <c r="G17" s="232"/>
      <c r="H17" s="170">
        <v>10</v>
      </c>
      <c r="I17" s="170">
        <v>7</v>
      </c>
      <c r="J17" s="240">
        <v>17</v>
      </c>
      <c r="K17" s="213">
        <f t="shared" si="5"/>
        <v>0</v>
      </c>
      <c r="L17" s="213">
        <f t="shared" si="6"/>
        <v>58.82352941176471</v>
      </c>
      <c r="M17" s="213">
        <f t="shared" si="7"/>
        <v>41.17647058823529</v>
      </c>
      <c r="N17" s="234">
        <f t="shared" si="0"/>
        <v>100</v>
      </c>
      <c r="O17" s="212"/>
      <c r="P17" s="213">
        <v>45.3</v>
      </c>
      <c r="Q17" s="213">
        <v>39.6</v>
      </c>
      <c r="R17" s="214">
        <f t="shared" si="4"/>
        <v>84.9</v>
      </c>
      <c r="S17" s="170">
        <v>2</v>
      </c>
      <c r="T17" s="283"/>
      <c r="U17" s="281"/>
      <c r="V17" s="177" t="s">
        <v>80</v>
      </c>
      <c r="W17" s="170" t="s">
        <v>17</v>
      </c>
      <c r="X17" s="170" t="s">
        <v>18</v>
      </c>
      <c r="Y17" s="178">
        <v>45.3</v>
      </c>
      <c r="Z17" s="170" t="s">
        <v>83</v>
      </c>
      <c r="AA17" s="170" t="s">
        <v>20</v>
      </c>
      <c r="AB17" s="170" t="s">
        <v>12</v>
      </c>
      <c r="AC17" s="170">
        <v>39.6</v>
      </c>
      <c r="AD17" s="177"/>
      <c r="AG17" s="178"/>
      <c r="AL17" s="177"/>
      <c r="AO17" s="178"/>
      <c r="AP17" s="177"/>
      <c r="AS17" s="178"/>
      <c r="AW17" s="178"/>
      <c r="BA17" s="179"/>
    </row>
    <row r="18" spans="1:53" s="170" customFormat="1" x14ac:dyDescent="0.15">
      <c r="A18" s="215">
        <v>1965</v>
      </c>
      <c r="B18" s="281"/>
      <c r="C18" s="369" t="s">
        <v>1181</v>
      </c>
      <c r="D18" s="369"/>
      <c r="E18" s="170">
        <v>208</v>
      </c>
      <c r="G18" s="232"/>
      <c r="H18" s="170">
        <v>10</v>
      </c>
      <c r="I18" s="170">
        <v>7</v>
      </c>
      <c r="J18" s="240">
        <v>17</v>
      </c>
      <c r="K18" s="213">
        <f t="shared" si="5"/>
        <v>0</v>
      </c>
      <c r="L18" s="213">
        <f t="shared" si="6"/>
        <v>58.82352941176471</v>
      </c>
      <c r="M18" s="213">
        <f t="shared" si="7"/>
        <v>41.17647058823529</v>
      </c>
      <c r="N18" s="234">
        <f t="shared" si="0"/>
        <v>100</v>
      </c>
      <c r="O18" s="212"/>
      <c r="P18" s="213">
        <v>45.3</v>
      </c>
      <c r="Q18" s="213">
        <v>39.6</v>
      </c>
      <c r="R18" s="214">
        <f t="shared" si="4"/>
        <v>84.9</v>
      </c>
      <c r="S18" s="170">
        <v>2</v>
      </c>
      <c r="T18" s="283"/>
      <c r="U18" s="281"/>
      <c r="V18" s="177" t="s">
        <v>80</v>
      </c>
      <c r="W18" s="170" t="s">
        <v>17</v>
      </c>
      <c r="X18" s="170" t="s">
        <v>18</v>
      </c>
      <c r="Y18" s="178">
        <v>45.3</v>
      </c>
      <c r="Z18" s="170" t="s">
        <v>83</v>
      </c>
      <c r="AA18" s="170" t="s">
        <v>20</v>
      </c>
      <c r="AB18" s="170" t="s">
        <v>12</v>
      </c>
      <c r="AC18" s="170">
        <v>39.6</v>
      </c>
      <c r="AD18" s="177"/>
      <c r="AG18" s="178"/>
      <c r="AL18" s="177"/>
      <c r="AO18" s="178"/>
      <c r="AP18" s="177"/>
      <c r="AS18" s="178"/>
      <c r="AW18" s="178"/>
      <c r="BA18" s="179"/>
    </row>
    <row r="19" spans="1:53" s="28" customFormat="1" x14ac:dyDescent="0.15">
      <c r="A19" s="51">
        <v>1965</v>
      </c>
      <c r="B19" s="293">
        <v>23951</v>
      </c>
      <c r="C19" s="370" t="s">
        <v>195</v>
      </c>
      <c r="D19" s="370"/>
      <c r="E19" s="28">
        <v>157</v>
      </c>
      <c r="F19" s="28">
        <v>1</v>
      </c>
      <c r="G19" s="65"/>
      <c r="H19" s="28">
        <v>12</v>
      </c>
      <c r="I19" s="28">
        <v>8</v>
      </c>
      <c r="J19" s="72">
        <v>20</v>
      </c>
      <c r="K19" s="46">
        <f t="shared" si="5"/>
        <v>0</v>
      </c>
      <c r="L19" s="46">
        <f t="shared" si="6"/>
        <v>60</v>
      </c>
      <c r="M19" s="46">
        <f t="shared" si="7"/>
        <v>40</v>
      </c>
      <c r="N19" s="67">
        <f t="shared" si="0"/>
        <v>100</v>
      </c>
      <c r="O19" s="45"/>
      <c r="P19" s="46">
        <v>36.299999999999997</v>
      </c>
      <c r="Q19" s="46">
        <v>30.2</v>
      </c>
      <c r="R19" s="47">
        <f t="shared" si="4"/>
        <v>66.5</v>
      </c>
      <c r="S19" s="28">
        <v>2</v>
      </c>
      <c r="T19" s="284">
        <v>23885</v>
      </c>
      <c r="U19" s="293">
        <v>23951</v>
      </c>
      <c r="V19" s="37" t="s">
        <v>80</v>
      </c>
      <c r="W19" s="28" t="s">
        <v>17</v>
      </c>
      <c r="X19" s="28" t="s">
        <v>18</v>
      </c>
      <c r="Y19" s="38">
        <v>36.299999999999997</v>
      </c>
      <c r="Z19" s="28" t="s">
        <v>83</v>
      </c>
      <c r="AA19" s="28" t="s">
        <v>20</v>
      </c>
      <c r="AB19" s="28" t="s">
        <v>12</v>
      </c>
      <c r="AC19" s="28">
        <v>30.2</v>
      </c>
      <c r="AD19" s="37"/>
      <c r="AG19" s="38"/>
      <c r="AL19" s="37"/>
      <c r="AO19" s="38"/>
      <c r="AP19" s="37"/>
      <c r="AS19" s="38"/>
      <c r="AW19" s="38"/>
      <c r="BA19" s="39"/>
    </row>
    <row r="20" spans="1:53" s="28" customFormat="1" x14ac:dyDescent="0.15">
      <c r="A20" s="51">
        <v>1966</v>
      </c>
      <c r="B20" s="293"/>
      <c r="C20" s="370" t="s">
        <v>195</v>
      </c>
      <c r="D20" s="370"/>
      <c r="E20" s="28">
        <v>78</v>
      </c>
      <c r="G20" s="65"/>
      <c r="H20" s="28">
        <v>12</v>
      </c>
      <c r="I20" s="28">
        <v>8</v>
      </c>
      <c r="J20" s="72">
        <v>20</v>
      </c>
      <c r="K20" s="46">
        <f t="shared" si="5"/>
        <v>0</v>
      </c>
      <c r="L20" s="46">
        <f t="shared" si="6"/>
        <v>60</v>
      </c>
      <c r="M20" s="46">
        <f t="shared" si="7"/>
        <v>40</v>
      </c>
      <c r="N20" s="67">
        <f t="shared" si="0"/>
        <v>100</v>
      </c>
      <c r="O20" s="45"/>
      <c r="P20" s="46">
        <v>36.299999999999997</v>
      </c>
      <c r="Q20" s="46">
        <v>30.2</v>
      </c>
      <c r="R20" s="47">
        <f t="shared" si="4"/>
        <v>66.5</v>
      </c>
      <c r="S20" s="28">
        <v>2</v>
      </c>
      <c r="T20" s="284"/>
      <c r="U20" s="293"/>
      <c r="V20" s="37" t="s">
        <v>80</v>
      </c>
      <c r="W20" s="28" t="s">
        <v>17</v>
      </c>
      <c r="X20" s="28" t="s">
        <v>18</v>
      </c>
      <c r="Y20" s="38">
        <v>36.299999999999997</v>
      </c>
      <c r="Z20" s="28" t="s">
        <v>83</v>
      </c>
      <c r="AA20" s="28" t="s">
        <v>20</v>
      </c>
      <c r="AB20" s="28" t="s">
        <v>12</v>
      </c>
      <c r="AC20" s="28">
        <v>30.2</v>
      </c>
      <c r="AD20" s="37"/>
      <c r="AG20" s="38"/>
      <c r="AL20" s="37"/>
      <c r="AO20" s="38"/>
      <c r="AP20" s="37"/>
      <c r="AS20" s="38"/>
      <c r="AW20" s="38"/>
      <c r="BA20" s="39"/>
    </row>
    <row r="21" spans="1:53" s="170" customFormat="1" x14ac:dyDescent="0.15">
      <c r="A21" s="215">
        <v>1966</v>
      </c>
      <c r="B21" s="281">
        <v>24186</v>
      </c>
      <c r="C21" s="369" t="s">
        <v>1182</v>
      </c>
      <c r="D21" s="369"/>
      <c r="E21" s="170">
        <v>287</v>
      </c>
      <c r="F21" s="170">
        <v>4</v>
      </c>
      <c r="G21" s="232">
        <v>7</v>
      </c>
      <c r="H21" s="170">
        <v>12</v>
      </c>
      <c r="J21" s="240">
        <v>19</v>
      </c>
      <c r="K21" s="213">
        <f t="shared" si="5"/>
        <v>36.84210526315789</v>
      </c>
      <c r="L21" s="213">
        <f t="shared" si="6"/>
        <v>63.157894736842103</v>
      </c>
      <c r="M21" s="213">
        <f t="shared" si="7"/>
        <v>0</v>
      </c>
      <c r="N21" s="234">
        <f t="shared" si="0"/>
        <v>100</v>
      </c>
      <c r="O21" s="212">
        <v>22.6</v>
      </c>
      <c r="P21" s="213">
        <v>36.299999999999997</v>
      </c>
      <c r="Q21" s="213"/>
      <c r="R21" s="214">
        <f t="shared" si="4"/>
        <v>58.9</v>
      </c>
      <c r="S21" s="170">
        <v>2</v>
      </c>
      <c r="T21" s="283"/>
      <c r="U21" s="281">
        <v>24186</v>
      </c>
      <c r="V21" s="177" t="s">
        <v>80</v>
      </c>
      <c r="W21" s="170" t="s">
        <v>17</v>
      </c>
      <c r="X21" s="170" t="s">
        <v>18</v>
      </c>
      <c r="Y21" s="178">
        <v>36.299999999999997</v>
      </c>
      <c r="Z21" s="170" t="s">
        <v>82</v>
      </c>
      <c r="AA21" s="170" t="s">
        <v>22</v>
      </c>
      <c r="AB21" s="170" t="s">
        <v>11</v>
      </c>
      <c r="AC21" s="170">
        <v>22.6</v>
      </c>
      <c r="AD21" s="177"/>
      <c r="AG21" s="178"/>
      <c r="AL21" s="177"/>
      <c r="AO21" s="178"/>
      <c r="AP21" s="177"/>
      <c r="AS21" s="178"/>
      <c r="AW21" s="178"/>
      <c r="BA21" s="179"/>
    </row>
    <row r="22" spans="1:53" s="170" customFormat="1" x14ac:dyDescent="0.15">
      <c r="A22" s="215">
        <v>1967</v>
      </c>
      <c r="B22" s="281"/>
      <c r="C22" s="369" t="s">
        <v>1182</v>
      </c>
      <c r="D22" s="369"/>
      <c r="E22" s="170">
        <v>0</v>
      </c>
      <c r="G22" s="232">
        <v>7</v>
      </c>
      <c r="H22" s="170">
        <v>12</v>
      </c>
      <c r="J22" s="240">
        <v>19</v>
      </c>
      <c r="K22" s="213">
        <f>G22/J22*100</f>
        <v>36.84210526315789</v>
      </c>
      <c r="L22" s="213">
        <f>H22/J22*100</f>
        <v>63.157894736842103</v>
      </c>
      <c r="M22" s="213">
        <f>I22/J22*100</f>
        <v>0</v>
      </c>
      <c r="N22" s="234">
        <f t="shared" si="0"/>
        <v>100</v>
      </c>
      <c r="O22" s="212">
        <v>22.6</v>
      </c>
      <c r="P22" s="213">
        <v>36.299999999999997</v>
      </c>
      <c r="Q22" s="213"/>
      <c r="R22" s="214">
        <f t="shared" si="4"/>
        <v>58.9</v>
      </c>
      <c r="S22" s="170">
        <v>2</v>
      </c>
      <c r="T22" s="283"/>
      <c r="U22" s="281"/>
      <c r="V22" s="177" t="s">
        <v>80</v>
      </c>
      <c r="W22" s="170" t="s">
        <v>17</v>
      </c>
      <c r="X22" s="170" t="s">
        <v>18</v>
      </c>
      <c r="Y22" s="178">
        <v>36.299999999999997</v>
      </c>
      <c r="Z22" s="170" t="s">
        <v>82</v>
      </c>
      <c r="AA22" s="170" t="s">
        <v>22</v>
      </c>
      <c r="AB22" s="170" t="s">
        <v>11</v>
      </c>
      <c r="AC22" s="170">
        <v>22.6</v>
      </c>
      <c r="AD22" s="177"/>
      <c r="AG22" s="178"/>
      <c r="AL22" s="177"/>
      <c r="AO22" s="178"/>
      <c r="AP22" s="177"/>
      <c r="AS22" s="178"/>
      <c r="AW22" s="178"/>
      <c r="BA22" s="179"/>
    </row>
    <row r="23" spans="1:53" s="170" customFormat="1" x14ac:dyDescent="0.15">
      <c r="A23" s="215">
        <v>1967</v>
      </c>
      <c r="B23" s="281"/>
      <c r="C23" s="369" t="s">
        <v>1182</v>
      </c>
      <c r="D23" s="369"/>
      <c r="E23" s="170">
        <v>365</v>
      </c>
      <c r="G23" s="232">
        <v>7</v>
      </c>
      <c r="H23" s="170">
        <v>12</v>
      </c>
      <c r="J23" s="240">
        <v>19</v>
      </c>
      <c r="K23" s="213">
        <f t="shared" ref="K23:K28" si="8">G23/J23*100</f>
        <v>36.84210526315789</v>
      </c>
      <c r="L23" s="213">
        <f t="shared" ref="L23:L28" si="9">H23/J23*100</f>
        <v>63.157894736842103</v>
      </c>
      <c r="M23" s="213">
        <f t="shared" ref="M23:M28" si="10">I23/J23*100</f>
        <v>0</v>
      </c>
      <c r="N23" s="234">
        <f t="shared" si="0"/>
        <v>100</v>
      </c>
      <c r="O23" s="212">
        <v>22.6</v>
      </c>
      <c r="P23" s="213">
        <v>36.299999999999997</v>
      </c>
      <c r="Q23" s="213"/>
      <c r="R23" s="214">
        <f t="shared" si="4"/>
        <v>58.9</v>
      </c>
      <c r="S23" s="170">
        <v>2</v>
      </c>
      <c r="T23" s="283"/>
      <c r="U23" s="281"/>
      <c r="V23" s="177" t="s">
        <v>80</v>
      </c>
      <c r="W23" s="170" t="s">
        <v>17</v>
      </c>
      <c r="X23" s="170" t="s">
        <v>18</v>
      </c>
      <c r="Y23" s="178">
        <v>36.299999999999997</v>
      </c>
      <c r="Z23" s="170" t="s">
        <v>82</v>
      </c>
      <c r="AA23" s="170" t="s">
        <v>22</v>
      </c>
      <c r="AB23" s="170" t="s">
        <v>11</v>
      </c>
      <c r="AC23" s="170">
        <v>22.6</v>
      </c>
      <c r="AD23" s="177"/>
      <c r="AG23" s="178"/>
      <c r="AL23" s="177"/>
      <c r="AO23" s="178"/>
      <c r="AP23" s="177"/>
      <c r="AS23" s="178"/>
      <c r="AW23" s="178"/>
      <c r="BA23" s="179"/>
    </row>
    <row r="24" spans="1:53" s="170" customFormat="1" x14ac:dyDescent="0.15">
      <c r="A24" s="215">
        <v>1968</v>
      </c>
      <c r="B24" s="281"/>
      <c r="C24" s="369" t="s">
        <v>1182</v>
      </c>
      <c r="D24" s="369"/>
      <c r="E24" s="170">
        <v>169</v>
      </c>
      <c r="G24" s="232">
        <v>7</v>
      </c>
      <c r="H24" s="170">
        <v>12</v>
      </c>
      <c r="J24" s="240">
        <v>19</v>
      </c>
      <c r="K24" s="213">
        <f t="shared" si="8"/>
        <v>36.84210526315789</v>
      </c>
      <c r="L24" s="213">
        <f t="shared" si="9"/>
        <v>63.157894736842103</v>
      </c>
      <c r="M24" s="213">
        <f t="shared" si="10"/>
        <v>0</v>
      </c>
      <c r="N24" s="234">
        <f t="shared" si="0"/>
        <v>100</v>
      </c>
      <c r="O24" s="212">
        <v>22.6</v>
      </c>
      <c r="P24" s="213">
        <v>36.299999999999997</v>
      </c>
      <c r="Q24" s="213"/>
      <c r="R24" s="214">
        <f t="shared" si="4"/>
        <v>58.9</v>
      </c>
      <c r="S24" s="170">
        <v>2</v>
      </c>
      <c r="T24" s="283"/>
      <c r="U24" s="281"/>
      <c r="V24" s="177" t="s">
        <v>80</v>
      </c>
      <c r="W24" s="170" t="s">
        <v>17</v>
      </c>
      <c r="X24" s="170" t="s">
        <v>18</v>
      </c>
      <c r="Y24" s="178">
        <v>36.299999999999997</v>
      </c>
      <c r="Z24" s="170" t="s">
        <v>82</v>
      </c>
      <c r="AA24" s="170" t="s">
        <v>22</v>
      </c>
      <c r="AB24" s="170" t="s">
        <v>11</v>
      </c>
      <c r="AC24" s="170">
        <v>22.6</v>
      </c>
      <c r="AD24" s="177"/>
      <c r="AG24" s="178"/>
      <c r="AL24" s="177"/>
      <c r="AO24" s="178"/>
      <c r="AP24" s="177"/>
      <c r="AS24" s="178"/>
      <c r="AW24" s="178"/>
      <c r="BA24" s="179"/>
    </row>
    <row r="25" spans="1:53" s="28" customFormat="1" x14ac:dyDescent="0.15">
      <c r="A25" s="51">
        <v>1968</v>
      </c>
      <c r="B25" s="293">
        <v>25007</v>
      </c>
      <c r="C25" s="394" t="s">
        <v>194</v>
      </c>
      <c r="D25" s="394"/>
      <c r="E25" s="28">
        <v>197</v>
      </c>
      <c r="F25" s="28">
        <v>6</v>
      </c>
      <c r="G25" s="65"/>
      <c r="H25" s="28">
        <v>16</v>
      </c>
      <c r="I25" s="28">
        <v>11</v>
      </c>
      <c r="J25" s="72">
        <v>27</v>
      </c>
      <c r="K25" s="46">
        <f t="shared" si="8"/>
        <v>0</v>
      </c>
      <c r="L25" s="46">
        <f t="shared" si="9"/>
        <v>59.259259259259252</v>
      </c>
      <c r="M25" s="46">
        <f t="shared" si="10"/>
        <v>40.74074074074074</v>
      </c>
      <c r="N25" s="67">
        <f t="shared" si="0"/>
        <v>100</v>
      </c>
      <c r="O25" s="45"/>
      <c r="P25" s="46">
        <v>32.6</v>
      </c>
      <c r="Q25" s="46">
        <v>27.8</v>
      </c>
      <c r="R25" s="47">
        <f t="shared" si="4"/>
        <v>60.400000000000006</v>
      </c>
      <c r="S25" s="28">
        <v>2</v>
      </c>
      <c r="T25" s="284">
        <v>24928</v>
      </c>
      <c r="U25" s="293">
        <v>25007</v>
      </c>
      <c r="V25" s="37" t="s">
        <v>80</v>
      </c>
      <c r="W25" s="28" t="s">
        <v>81</v>
      </c>
      <c r="X25" s="28" t="s">
        <v>18</v>
      </c>
      <c r="Y25" s="38">
        <v>23.6</v>
      </c>
      <c r="Z25" s="28" t="s">
        <v>84</v>
      </c>
      <c r="AA25" s="28" t="s">
        <v>85</v>
      </c>
      <c r="AB25" s="28" t="s">
        <v>18</v>
      </c>
      <c r="AC25" s="28">
        <v>9</v>
      </c>
      <c r="AD25" s="37" t="s">
        <v>83</v>
      </c>
      <c r="AE25" s="28" t="s">
        <v>20</v>
      </c>
      <c r="AF25" s="28" t="s">
        <v>12</v>
      </c>
      <c r="AG25" s="38">
        <v>27.8</v>
      </c>
      <c r="AL25" s="37"/>
      <c r="AO25" s="38"/>
      <c r="AP25" s="37"/>
      <c r="AS25" s="38"/>
      <c r="AW25" s="38"/>
      <c r="BA25" s="39"/>
    </row>
    <row r="26" spans="1:53" s="28" customFormat="1" x14ac:dyDescent="0.15">
      <c r="A26" s="51">
        <v>1969</v>
      </c>
      <c r="B26" s="293"/>
      <c r="C26" s="394" t="s">
        <v>194</v>
      </c>
      <c r="D26" s="394"/>
      <c r="E26" s="28">
        <v>0</v>
      </c>
      <c r="G26" s="65"/>
      <c r="H26" s="28">
        <v>16</v>
      </c>
      <c r="I26" s="28">
        <v>11</v>
      </c>
      <c r="J26" s="72">
        <v>27</v>
      </c>
      <c r="K26" s="46">
        <f t="shared" si="8"/>
        <v>0</v>
      </c>
      <c r="L26" s="46">
        <f t="shared" si="9"/>
        <v>59.259259259259252</v>
      </c>
      <c r="M26" s="46">
        <f t="shared" si="10"/>
        <v>40.74074074074074</v>
      </c>
      <c r="N26" s="67">
        <f t="shared" si="0"/>
        <v>100</v>
      </c>
      <c r="O26" s="45"/>
      <c r="P26" s="46">
        <v>32.6</v>
      </c>
      <c r="Q26" s="46">
        <v>27.8</v>
      </c>
      <c r="R26" s="47">
        <f t="shared" si="4"/>
        <v>60.400000000000006</v>
      </c>
      <c r="S26" s="28">
        <v>2</v>
      </c>
      <c r="T26" s="284"/>
      <c r="U26" s="293"/>
      <c r="V26" s="37" t="s">
        <v>80</v>
      </c>
      <c r="W26" s="28" t="s">
        <v>81</v>
      </c>
      <c r="X26" s="28" t="s">
        <v>18</v>
      </c>
      <c r="Y26" s="38">
        <v>23.6</v>
      </c>
      <c r="Z26" s="28" t="s">
        <v>84</v>
      </c>
      <c r="AA26" s="28" t="s">
        <v>85</v>
      </c>
      <c r="AB26" s="28" t="s">
        <v>18</v>
      </c>
      <c r="AC26" s="28">
        <v>9</v>
      </c>
      <c r="AD26" s="37" t="s">
        <v>83</v>
      </c>
      <c r="AE26" s="28" t="s">
        <v>20</v>
      </c>
      <c r="AF26" s="28" t="s">
        <v>12</v>
      </c>
      <c r="AG26" s="38">
        <v>27.8</v>
      </c>
      <c r="AL26" s="37"/>
      <c r="AO26" s="38"/>
      <c r="AP26" s="37"/>
      <c r="AS26" s="38"/>
      <c r="AW26" s="38"/>
      <c r="BA26" s="39"/>
    </row>
    <row r="27" spans="1:53" s="28" customFormat="1" x14ac:dyDescent="0.15">
      <c r="A27" s="51">
        <v>1969</v>
      </c>
      <c r="B27" s="293"/>
      <c r="C27" s="394" t="s">
        <v>194</v>
      </c>
      <c r="D27" s="394"/>
      <c r="E27" s="28">
        <v>365</v>
      </c>
      <c r="G27" s="65"/>
      <c r="H27" s="28">
        <v>16</v>
      </c>
      <c r="I27" s="28">
        <v>11</v>
      </c>
      <c r="J27" s="72">
        <v>27</v>
      </c>
      <c r="K27" s="46">
        <f t="shared" si="8"/>
        <v>0</v>
      </c>
      <c r="L27" s="46">
        <f t="shared" si="9"/>
        <v>59.259259259259252</v>
      </c>
      <c r="M27" s="46">
        <f t="shared" si="10"/>
        <v>40.74074074074074</v>
      </c>
      <c r="N27" s="67">
        <f t="shared" si="0"/>
        <v>100</v>
      </c>
      <c r="O27" s="45"/>
      <c r="P27" s="46">
        <v>32.6</v>
      </c>
      <c r="Q27" s="46">
        <v>27.8</v>
      </c>
      <c r="R27" s="47">
        <f t="shared" si="4"/>
        <v>60.400000000000006</v>
      </c>
      <c r="S27" s="28">
        <v>2</v>
      </c>
      <c r="T27" s="284"/>
      <c r="U27" s="293"/>
      <c r="V27" s="37" t="s">
        <v>80</v>
      </c>
      <c r="W27" s="28" t="s">
        <v>81</v>
      </c>
      <c r="X27" s="28" t="s">
        <v>18</v>
      </c>
      <c r="Y27" s="38">
        <v>23.6</v>
      </c>
      <c r="Z27" s="28" t="s">
        <v>84</v>
      </c>
      <c r="AA27" s="28" t="s">
        <v>85</v>
      </c>
      <c r="AB27" s="28" t="s">
        <v>18</v>
      </c>
      <c r="AC27" s="28">
        <v>9</v>
      </c>
      <c r="AD27" s="37" t="s">
        <v>83</v>
      </c>
      <c r="AE27" s="28" t="s">
        <v>20</v>
      </c>
      <c r="AF27" s="28" t="s">
        <v>12</v>
      </c>
      <c r="AG27" s="38">
        <v>27.8</v>
      </c>
      <c r="AL27" s="37"/>
      <c r="AO27" s="38"/>
      <c r="AP27" s="37"/>
      <c r="AS27" s="38"/>
      <c r="AW27" s="38"/>
      <c r="BA27" s="39"/>
    </row>
    <row r="28" spans="1:53" s="28" customFormat="1" x14ac:dyDescent="0.15">
      <c r="A28" s="51">
        <v>1970</v>
      </c>
      <c r="B28" s="293"/>
      <c r="C28" s="394" t="s">
        <v>194</v>
      </c>
      <c r="D28" s="394"/>
      <c r="E28" s="28">
        <v>0</v>
      </c>
      <c r="G28" s="65"/>
      <c r="H28" s="28">
        <v>16</v>
      </c>
      <c r="I28" s="28">
        <v>11</v>
      </c>
      <c r="J28" s="72">
        <v>27</v>
      </c>
      <c r="K28" s="46">
        <f t="shared" si="8"/>
        <v>0</v>
      </c>
      <c r="L28" s="46">
        <f t="shared" si="9"/>
        <v>59.259259259259252</v>
      </c>
      <c r="M28" s="46">
        <f t="shared" si="10"/>
        <v>40.74074074074074</v>
      </c>
      <c r="N28" s="67">
        <f t="shared" si="0"/>
        <v>100</v>
      </c>
      <c r="O28" s="45"/>
      <c r="P28" s="46">
        <v>32.6</v>
      </c>
      <c r="Q28" s="46">
        <v>27.8</v>
      </c>
      <c r="R28" s="47">
        <f t="shared" si="4"/>
        <v>60.400000000000006</v>
      </c>
      <c r="S28" s="28">
        <v>2</v>
      </c>
      <c r="T28" s="284"/>
      <c r="U28" s="293"/>
      <c r="V28" s="37" t="s">
        <v>80</v>
      </c>
      <c r="W28" s="28" t="s">
        <v>81</v>
      </c>
      <c r="X28" s="28" t="s">
        <v>18</v>
      </c>
      <c r="Y28" s="38">
        <v>23.6</v>
      </c>
      <c r="Z28" s="28" t="s">
        <v>84</v>
      </c>
      <c r="AA28" s="28" t="s">
        <v>85</v>
      </c>
      <c r="AB28" s="28" t="s">
        <v>18</v>
      </c>
      <c r="AC28" s="28">
        <v>9</v>
      </c>
      <c r="AD28" s="37" t="s">
        <v>83</v>
      </c>
      <c r="AE28" s="28" t="s">
        <v>20</v>
      </c>
      <c r="AF28" s="28" t="s">
        <v>12</v>
      </c>
      <c r="AG28" s="38">
        <v>27.8</v>
      </c>
      <c r="AL28" s="37"/>
      <c r="AO28" s="38"/>
      <c r="AP28" s="37"/>
      <c r="AS28" s="38"/>
      <c r="AW28" s="38"/>
      <c r="BA28" s="39"/>
    </row>
    <row r="29" spans="1:53" s="28" customFormat="1" x14ac:dyDescent="0.15">
      <c r="A29" s="51">
        <v>1970</v>
      </c>
      <c r="B29" s="293"/>
      <c r="C29" s="394" t="s">
        <v>194</v>
      </c>
      <c r="D29" s="394"/>
      <c r="E29" s="28">
        <v>365</v>
      </c>
      <c r="G29" s="65"/>
      <c r="H29" s="28">
        <v>16</v>
      </c>
      <c r="I29" s="28">
        <v>11</v>
      </c>
      <c r="J29" s="72">
        <v>27</v>
      </c>
      <c r="K29" s="46">
        <f>G29/J29*100</f>
        <v>0</v>
      </c>
      <c r="L29" s="46">
        <f>H29/J29*100</f>
        <v>59.259259259259252</v>
      </c>
      <c r="M29" s="46">
        <f>I29/J29*100</f>
        <v>40.74074074074074</v>
      </c>
      <c r="N29" s="67">
        <f t="shared" si="0"/>
        <v>100</v>
      </c>
      <c r="O29" s="45"/>
      <c r="P29" s="46">
        <v>32.6</v>
      </c>
      <c r="Q29" s="46">
        <v>27.8</v>
      </c>
      <c r="R29" s="47">
        <f t="shared" si="4"/>
        <v>60.400000000000006</v>
      </c>
      <c r="S29" s="28">
        <v>2</v>
      </c>
      <c r="T29" s="284"/>
      <c r="U29" s="293"/>
      <c r="V29" s="37" t="s">
        <v>80</v>
      </c>
      <c r="W29" s="28" t="s">
        <v>81</v>
      </c>
      <c r="X29" s="28" t="s">
        <v>18</v>
      </c>
      <c r="Y29" s="38">
        <v>23.6</v>
      </c>
      <c r="Z29" s="28" t="s">
        <v>84</v>
      </c>
      <c r="AA29" s="28" t="s">
        <v>85</v>
      </c>
      <c r="AB29" s="28" t="s">
        <v>18</v>
      </c>
      <c r="AC29" s="28">
        <v>9</v>
      </c>
      <c r="AD29" s="37" t="s">
        <v>83</v>
      </c>
      <c r="AE29" s="28" t="s">
        <v>20</v>
      </c>
      <c r="AF29" s="28" t="s">
        <v>12</v>
      </c>
      <c r="AG29" s="38">
        <v>27.8</v>
      </c>
      <c r="AL29" s="37"/>
      <c r="AO29" s="38"/>
      <c r="AP29" s="37"/>
      <c r="AS29" s="38"/>
      <c r="AW29" s="38"/>
      <c r="BA29" s="39"/>
    </row>
    <row r="30" spans="1:53" s="28" customFormat="1" x14ac:dyDescent="0.15">
      <c r="A30" s="51">
        <v>1971</v>
      </c>
      <c r="B30" s="293"/>
      <c r="C30" s="394" t="s">
        <v>194</v>
      </c>
      <c r="D30" s="394"/>
      <c r="E30" s="28">
        <v>0</v>
      </c>
      <c r="G30" s="65"/>
      <c r="H30" s="28">
        <v>16</v>
      </c>
      <c r="I30" s="28">
        <v>11</v>
      </c>
      <c r="J30" s="72">
        <v>27</v>
      </c>
      <c r="K30" s="46">
        <f t="shared" ref="K30:K35" si="11">G30/J30*100</f>
        <v>0</v>
      </c>
      <c r="L30" s="46">
        <f t="shared" ref="L30:L35" si="12">H30/J30*100</f>
        <v>59.259259259259252</v>
      </c>
      <c r="M30" s="46">
        <f t="shared" ref="M30:M35" si="13">I30/J30*100</f>
        <v>40.74074074074074</v>
      </c>
      <c r="N30" s="67">
        <f t="shared" si="0"/>
        <v>100</v>
      </c>
      <c r="O30" s="45"/>
      <c r="P30" s="46">
        <v>32.6</v>
      </c>
      <c r="Q30" s="46">
        <v>27.8</v>
      </c>
      <c r="R30" s="47">
        <f t="shared" si="4"/>
        <v>60.400000000000006</v>
      </c>
      <c r="S30" s="28">
        <v>2</v>
      </c>
      <c r="T30" s="284"/>
      <c r="U30" s="293"/>
      <c r="V30" s="37" t="s">
        <v>80</v>
      </c>
      <c r="W30" s="28" t="s">
        <v>81</v>
      </c>
      <c r="X30" s="28" t="s">
        <v>18</v>
      </c>
      <c r="Y30" s="38">
        <v>23.6</v>
      </c>
      <c r="Z30" s="28" t="s">
        <v>84</v>
      </c>
      <c r="AA30" s="28" t="s">
        <v>85</v>
      </c>
      <c r="AB30" s="28" t="s">
        <v>18</v>
      </c>
      <c r="AC30" s="28">
        <v>9</v>
      </c>
      <c r="AD30" s="37" t="s">
        <v>83</v>
      </c>
      <c r="AE30" s="28" t="s">
        <v>20</v>
      </c>
      <c r="AF30" s="28" t="s">
        <v>12</v>
      </c>
      <c r="AG30" s="38">
        <v>27.8</v>
      </c>
      <c r="AL30" s="37"/>
      <c r="AO30" s="38"/>
      <c r="AP30" s="37"/>
      <c r="AS30" s="38"/>
      <c r="AW30" s="38"/>
      <c r="BA30" s="39"/>
    </row>
    <row r="31" spans="1:53" s="28" customFormat="1" x14ac:dyDescent="0.15">
      <c r="A31" s="51">
        <v>1971</v>
      </c>
      <c r="B31" s="293"/>
      <c r="C31" s="394" t="s">
        <v>194</v>
      </c>
      <c r="D31" s="394"/>
      <c r="E31" s="28">
        <v>365</v>
      </c>
      <c r="G31" s="65"/>
      <c r="H31" s="28">
        <v>16</v>
      </c>
      <c r="I31" s="28">
        <v>11</v>
      </c>
      <c r="J31" s="72">
        <v>27</v>
      </c>
      <c r="K31" s="46">
        <f t="shared" si="11"/>
        <v>0</v>
      </c>
      <c r="L31" s="46">
        <f t="shared" si="12"/>
        <v>59.259259259259252</v>
      </c>
      <c r="M31" s="46">
        <f t="shared" si="13"/>
        <v>40.74074074074074</v>
      </c>
      <c r="N31" s="67">
        <f t="shared" si="0"/>
        <v>100</v>
      </c>
      <c r="O31" s="45"/>
      <c r="P31" s="46">
        <v>32.6</v>
      </c>
      <c r="Q31" s="46">
        <v>27.8</v>
      </c>
      <c r="R31" s="47">
        <f t="shared" si="4"/>
        <v>60.400000000000006</v>
      </c>
      <c r="S31" s="28">
        <v>2</v>
      </c>
      <c r="T31" s="284">
        <v>26244</v>
      </c>
      <c r="U31" s="293"/>
      <c r="V31" s="37" t="s">
        <v>80</v>
      </c>
      <c r="W31" s="28" t="s">
        <v>81</v>
      </c>
      <c r="X31" s="28" t="s">
        <v>18</v>
      </c>
      <c r="Y31" s="38">
        <v>23.6</v>
      </c>
      <c r="Z31" s="28" t="s">
        <v>84</v>
      </c>
      <c r="AA31" s="28" t="s">
        <v>85</v>
      </c>
      <c r="AB31" s="28" t="s">
        <v>18</v>
      </c>
      <c r="AC31" s="28">
        <v>9</v>
      </c>
      <c r="AD31" s="37" t="s">
        <v>83</v>
      </c>
      <c r="AE31" s="28" t="s">
        <v>20</v>
      </c>
      <c r="AF31" s="28" t="s">
        <v>12</v>
      </c>
      <c r="AG31" s="38">
        <v>27.8</v>
      </c>
      <c r="AL31" s="37"/>
      <c r="AO31" s="38"/>
      <c r="AP31" s="37"/>
      <c r="AS31" s="38"/>
      <c r="AW31" s="38"/>
      <c r="BA31" s="39"/>
    </row>
    <row r="32" spans="1:53" s="28" customFormat="1" x14ac:dyDescent="0.15">
      <c r="A32" s="51">
        <v>1972</v>
      </c>
      <c r="B32" s="293"/>
      <c r="C32" s="394" t="s">
        <v>194</v>
      </c>
      <c r="D32" s="394"/>
      <c r="E32" s="28">
        <v>20</v>
      </c>
      <c r="G32" s="65"/>
      <c r="H32" s="28">
        <v>16</v>
      </c>
      <c r="I32" s="28">
        <v>11</v>
      </c>
      <c r="J32" s="72">
        <v>27</v>
      </c>
      <c r="K32" s="46">
        <f t="shared" si="11"/>
        <v>0</v>
      </c>
      <c r="L32" s="46">
        <f t="shared" si="12"/>
        <v>59.259259259259252</v>
      </c>
      <c r="M32" s="46">
        <f t="shared" si="13"/>
        <v>40.74074074074074</v>
      </c>
      <c r="N32" s="67">
        <f t="shared" si="0"/>
        <v>100</v>
      </c>
      <c r="O32" s="45"/>
      <c r="P32" s="46">
        <v>32.6</v>
      </c>
      <c r="Q32" s="46">
        <v>27.8</v>
      </c>
      <c r="R32" s="47">
        <f t="shared" si="4"/>
        <v>60.400000000000006</v>
      </c>
      <c r="S32" s="28">
        <v>2</v>
      </c>
      <c r="T32" s="284"/>
      <c r="U32" s="293"/>
      <c r="V32" s="37" t="s">
        <v>80</v>
      </c>
      <c r="W32" s="28" t="s">
        <v>81</v>
      </c>
      <c r="X32" s="28" t="s">
        <v>18</v>
      </c>
      <c r="Y32" s="38">
        <v>23.6</v>
      </c>
      <c r="Z32" s="28" t="s">
        <v>84</v>
      </c>
      <c r="AA32" s="28" t="s">
        <v>85</v>
      </c>
      <c r="AB32" s="28" t="s">
        <v>18</v>
      </c>
      <c r="AC32" s="28">
        <v>9</v>
      </c>
      <c r="AD32" s="37" t="s">
        <v>83</v>
      </c>
      <c r="AE32" s="28" t="s">
        <v>20</v>
      </c>
      <c r="AF32" s="28" t="s">
        <v>12</v>
      </c>
      <c r="AG32" s="38">
        <v>27.8</v>
      </c>
      <c r="AL32" s="37"/>
      <c r="AO32" s="38"/>
      <c r="AP32" s="37"/>
      <c r="AS32" s="38"/>
      <c r="AW32" s="38"/>
      <c r="BA32" s="39"/>
    </row>
    <row r="33" spans="1:53" s="28" customFormat="1" x14ac:dyDescent="0.15">
      <c r="A33" s="51">
        <v>1972</v>
      </c>
      <c r="B33" s="298">
        <v>26319</v>
      </c>
      <c r="C33" s="394" t="s">
        <v>194</v>
      </c>
      <c r="D33" s="394"/>
      <c r="E33" s="28">
        <v>346</v>
      </c>
      <c r="F33" s="69">
        <v>0</v>
      </c>
      <c r="G33" s="65"/>
      <c r="H33" s="28">
        <v>10</v>
      </c>
      <c r="I33" s="28">
        <v>9</v>
      </c>
      <c r="J33" s="72">
        <v>19</v>
      </c>
      <c r="K33" s="46">
        <f t="shared" si="11"/>
        <v>0</v>
      </c>
      <c r="L33" s="46">
        <f t="shared" si="12"/>
        <v>52.631578947368418</v>
      </c>
      <c r="M33" s="46">
        <f t="shared" si="13"/>
        <v>47.368421052631575</v>
      </c>
      <c r="N33" s="67">
        <f t="shared" si="0"/>
        <v>100</v>
      </c>
      <c r="O33" s="45"/>
      <c r="P33" s="46">
        <v>32.6</v>
      </c>
      <c r="Q33" s="46">
        <v>27.8</v>
      </c>
      <c r="R33" s="47">
        <f t="shared" si="4"/>
        <v>60.400000000000006</v>
      </c>
      <c r="S33" s="28">
        <v>2</v>
      </c>
      <c r="T33" s="284"/>
      <c r="U33" s="293"/>
      <c r="V33" s="37" t="s">
        <v>80</v>
      </c>
      <c r="W33" s="28" t="s">
        <v>81</v>
      </c>
      <c r="X33" s="28" t="s">
        <v>18</v>
      </c>
      <c r="Y33" s="38">
        <v>23.6</v>
      </c>
      <c r="Z33" s="28" t="s">
        <v>84</v>
      </c>
      <c r="AA33" s="28" t="s">
        <v>85</v>
      </c>
      <c r="AB33" s="28" t="s">
        <v>18</v>
      </c>
      <c r="AC33" s="28">
        <v>9</v>
      </c>
      <c r="AD33" s="37" t="s">
        <v>83</v>
      </c>
      <c r="AE33" s="28" t="s">
        <v>20</v>
      </c>
      <c r="AF33" s="28" t="s">
        <v>12</v>
      </c>
      <c r="AG33" s="38">
        <v>27.8</v>
      </c>
      <c r="AL33" s="37"/>
      <c r="AO33" s="38"/>
      <c r="AP33" s="37"/>
      <c r="AS33" s="38"/>
      <c r="AW33" s="38"/>
      <c r="BA33" s="39"/>
    </row>
    <row r="34" spans="1:53" s="28" customFormat="1" x14ac:dyDescent="0.15">
      <c r="A34" s="51">
        <v>1973</v>
      </c>
      <c r="B34" s="293"/>
      <c r="C34" s="394" t="s">
        <v>194</v>
      </c>
      <c r="D34" s="394"/>
      <c r="E34" s="28">
        <v>25</v>
      </c>
      <c r="G34" s="65"/>
      <c r="H34" s="28">
        <v>10</v>
      </c>
      <c r="I34" s="28">
        <v>9</v>
      </c>
      <c r="J34" s="72">
        <v>19</v>
      </c>
      <c r="K34" s="46">
        <f t="shared" si="11"/>
        <v>0</v>
      </c>
      <c r="L34" s="46">
        <f t="shared" si="12"/>
        <v>52.631578947368418</v>
      </c>
      <c r="M34" s="46">
        <f t="shared" si="13"/>
        <v>47.368421052631575</v>
      </c>
      <c r="N34" s="67">
        <f t="shared" si="0"/>
        <v>100</v>
      </c>
      <c r="O34" s="45"/>
      <c r="P34" s="46">
        <v>32.6</v>
      </c>
      <c r="Q34" s="46">
        <v>27.8</v>
      </c>
      <c r="R34" s="47">
        <f t="shared" si="4"/>
        <v>60.400000000000006</v>
      </c>
      <c r="S34" s="28">
        <v>2</v>
      </c>
      <c r="T34" s="284"/>
      <c r="U34" s="293"/>
      <c r="V34" s="37" t="s">
        <v>80</v>
      </c>
      <c r="W34" s="28" t="s">
        <v>81</v>
      </c>
      <c r="X34" s="28" t="s">
        <v>18</v>
      </c>
      <c r="Y34" s="38">
        <v>23.6</v>
      </c>
      <c r="Z34" s="28" t="s">
        <v>84</v>
      </c>
      <c r="AA34" s="28" t="s">
        <v>85</v>
      </c>
      <c r="AB34" s="28" t="s">
        <v>18</v>
      </c>
      <c r="AC34" s="28">
        <v>9</v>
      </c>
      <c r="AD34" s="37" t="s">
        <v>83</v>
      </c>
      <c r="AE34" s="28" t="s">
        <v>20</v>
      </c>
      <c r="AF34" s="28" t="s">
        <v>12</v>
      </c>
      <c r="AG34" s="38">
        <v>27.8</v>
      </c>
      <c r="AL34" s="37"/>
      <c r="AO34" s="38"/>
      <c r="AP34" s="37"/>
      <c r="AS34" s="38"/>
      <c r="AW34" s="38"/>
      <c r="BA34" s="39"/>
    </row>
    <row r="35" spans="1:53" s="170" customFormat="1" x14ac:dyDescent="0.15">
      <c r="A35" s="215">
        <v>1973</v>
      </c>
      <c r="B35" s="281">
        <v>26690</v>
      </c>
      <c r="C35" s="369" t="s">
        <v>196</v>
      </c>
      <c r="D35" s="369"/>
      <c r="E35" s="170">
        <v>340</v>
      </c>
      <c r="F35" s="170">
        <v>7</v>
      </c>
      <c r="G35" s="232">
        <v>4</v>
      </c>
      <c r="H35" s="170">
        <v>9</v>
      </c>
      <c r="I35" s="170">
        <v>9</v>
      </c>
      <c r="J35" s="240">
        <v>22</v>
      </c>
      <c r="K35" s="213">
        <f t="shared" si="11"/>
        <v>18.181818181818183</v>
      </c>
      <c r="L35" s="213">
        <f t="shared" si="12"/>
        <v>40.909090909090914</v>
      </c>
      <c r="M35" s="213">
        <f t="shared" si="13"/>
        <v>40.909090909090914</v>
      </c>
      <c r="N35" s="234">
        <f t="shared" si="0"/>
        <v>100</v>
      </c>
      <c r="O35" s="212">
        <v>9.4</v>
      </c>
      <c r="P35" s="213">
        <v>31.6</v>
      </c>
      <c r="Q35" s="213">
        <v>28.8</v>
      </c>
      <c r="R35" s="214">
        <f t="shared" si="4"/>
        <v>69.8</v>
      </c>
      <c r="S35" s="170">
        <v>3</v>
      </c>
      <c r="T35" s="283"/>
      <c r="U35" s="281">
        <v>26690</v>
      </c>
      <c r="V35" s="177" t="s">
        <v>80</v>
      </c>
      <c r="W35" s="170" t="s">
        <v>81</v>
      </c>
      <c r="X35" s="170" t="s">
        <v>18</v>
      </c>
      <c r="Y35" s="178">
        <v>22.2</v>
      </c>
      <c r="Z35" s="170" t="s">
        <v>84</v>
      </c>
      <c r="AA35" s="170" t="s">
        <v>85</v>
      </c>
      <c r="AB35" s="170" t="s">
        <v>18</v>
      </c>
      <c r="AC35" s="170">
        <v>9.4</v>
      </c>
      <c r="AD35" s="177" t="s">
        <v>83</v>
      </c>
      <c r="AE35" s="170" t="s">
        <v>20</v>
      </c>
      <c r="AF35" s="170" t="s">
        <v>12</v>
      </c>
      <c r="AG35" s="178">
        <v>28.8</v>
      </c>
      <c r="AH35" s="170" t="s">
        <v>86</v>
      </c>
      <c r="AI35" s="170" t="s">
        <v>87</v>
      </c>
      <c r="AJ35" s="170" t="s">
        <v>11</v>
      </c>
      <c r="AK35" s="170">
        <v>9.4</v>
      </c>
      <c r="AL35" s="177"/>
      <c r="AO35" s="178"/>
      <c r="AP35" s="177"/>
      <c r="AS35" s="178"/>
      <c r="AW35" s="178"/>
      <c r="BA35" s="179"/>
    </row>
    <row r="36" spans="1:53" s="170" customFormat="1" x14ac:dyDescent="0.15">
      <c r="A36" s="215">
        <v>1974</v>
      </c>
      <c r="B36" s="281"/>
      <c r="C36" s="369" t="s">
        <v>196</v>
      </c>
      <c r="D36" s="369"/>
      <c r="E36" s="170">
        <v>114</v>
      </c>
      <c r="G36" s="232">
        <v>4</v>
      </c>
      <c r="H36" s="170">
        <v>9</v>
      </c>
      <c r="I36" s="170">
        <v>9</v>
      </c>
      <c r="J36" s="240">
        <v>22</v>
      </c>
      <c r="K36" s="213">
        <f>G36/J36*100</f>
        <v>18.181818181818183</v>
      </c>
      <c r="L36" s="213">
        <f>H36/J36*100</f>
        <v>40.909090909090914</v>
      </c>
      <c r="M36" s="213">
        <f>I36/J36*100</f>
        <v>40.909090909090914</v>
      </c>
      <c r="N36" s="234">
        <f t="shared" si="0"/>
        <v>100</v>
      </c>
      <c r="O36" s="212">
        <v>9.4</v>
      </c>
      <c r="P36" s="213">
        <v>31.6</v>
      </c>
      <c r="Q36" s="213">
        <v>28.8</v>
      </c>
      <c r="R36" s="214">
        <f t="shared" si="4"/>
        <v>69.8</v>
      </c>
      <c r="S36" s="170">
        <v>3</v>
      </c>
      <c r="T36" s="283"/>
      <c r="U36" s="281"/>
      <c r="V36" s="177" t="s">
        <v>80</v>
      </c>
      <c r="W36" s="170" t="s">
        <v>81</v>
      </c>
      <c r="X36" s="170" t="s">
        <v>18</v>
      </c>
      <c r="Y36" s="178">
        <v>22.2</v>
      </c>
      <c r="Z36" s="170" t="s">
        <v>84</v>
      </c>
      <c r="AA36" s="170" t="s">
        <v>85</v>
      </c>
      <c r="AB36" s="170" t="s">
        <v>18</v>
      </c>
      <c r="AC36" s="170">
        <v>9.4</v>
      </c>
      <c r="AD36" s="177" t="s">
        <v>83</v>
      </c>
      <c r="AE36" s="170" t="s">
        <v>20</v>
      </c>
      <c r="AF36" s="170" t="s">
        <v>12</v>
      </c>
      <c r="AG36" s="178">
        <v>28.8</v>
      </c>
      <c r="AH36" s="170" t="s">
        <v>86</v>
      </c>
      <c r="AI36" s="170" t="s">
        <v>87</v>
      </c>
      <c r="AJ36" s="170" t="s">
        <v>11</v>
      </c>
      <c r="AK36" s="170">
        <v>9.4</v>
      </c>
      <c r="AL36" s="177"/>
      <c r="AO36" s="178"/>
      <c r="AP36" s="177"/>
      <c r="AS36" s="178"/>
      <c r="AW36" s="178"/>
      <c r="BA36" s="179"/>
    </row>
    <row r="37" spans="1:53" s="28" customFormat="1" x14ac:dyDescent="0.15">
      <c r="A37" s="51">
        <v>1974</v>
      </c>
      <c r="B37" s="293">
        <v>27144</v>
      </c>
      <c r="C37" s="370" t="s">
        <v>197</v>
      </c>
      <c r="D37" s="370"/>
      <c r="E37" s="28">
        <v>48</v>
      </c>
      <c r="F37" s="28">
        <v>5</v>
      </c>
      <c r="G37" s="65">
        <v>6</v>
      </c>
      <c r="H37" s="28">
        <v>13</v>
      </c>
      <c r="J37" s="72">
        <v>19</v>
      </c>
      <c r="K37" s="46">
        <f>G37/J37*100</f>
        <v>31.578947368421051</v>
      </c>
      <c r="L37" s="46">
        <f>H37/J37*100</f>
        <v>68.421052631578945</v>
      </c>
      <c r="M37" s="46">
        <f>I37/J37*100</f>
        <v>0</v>
      </c>
      <c r="N37" s="67">
        <f t="shared" si="0"/>
        <v>100</v>
      </c>
      <c r="O37" s="45">
        <v>9.1999999999999993</v>
      </c>
      <c r="P37" s="46">
        <v>44.4</v>
      </c>
      <c r="Q37" s="46"/>
      <c r="R37" s="47">
        <f t="shared" si="4"/>
        <v>53.599999999999994</v>
      </c>
      <c r="S37" s="28">
        <v>2</v>
      </c>
      <c r="T37" s="284">
        <v>27098</v>
      </c>
      <c r="U37" s="293">
        <v>27144</v>
      </c>
      <c r="V37" s="37" t="s">
        <v>80</v>
      </c>
      <c r="W37" s="28" t="s">
        <v>81</v>
      </c>
      <c r="X37" s="28" t="s">
        <v>18</v>
      </c>
      <c r="Y37" s="38">
        <v>23.6</v>
      </c>
      <c r="Z37" s="28" t="s">
        <v>84</v>
      </c>
      <c r="AA37" s="28" t="s">
        <v>85</v>
      </c>
      <c r="AB37" s="28" t="s">
        <v>18</v>
      </c>
      <c r="AC37" s="28">
        <v>10.4</v>
      </c>
      <c r="AD37" s="37" t="s">
        <v>86</v>
      </c>
      <c r="AE37" s="28" t="s">
        <v>87</v>
      </c>
      <c r="AF37" s="28" t="s">
        <v>11</v>
      </c>
      <c r="AG37" s="38">
        <v>9.1999999999999993</v>
      </c>
      <c r="AH37" s="28" t="s">
        <v>88</v>
      </c>
      <c r="AI37" s="28" t="s">
        <v>89</v>
      </c>
      <c r="AJ37" s="28" t="s">
        <v>18</v>
      </c>
      <c r="AK37" s="28">
        <v>10.4</v>
      </c>
      <c r="AL37" s="37"/>
      <c r="AO37" s="38"/>
      <c r="AP37" s="37"/>
      <c r="AS37" s="38"/>
      <c r="AW37" s="38"/>
      <c r="BA37" s="39"/>
    </row>
    <row r="38" spans="1:53" s="170" customFormat="1" x14ac:dyDescent="0.15">
      <c r="A38" s="215">
        <v>1974</v>
      </c>
      <c r="B38" s="281">
        <v>27192</v>
      </c>
      <c r="C38" s="369" t="s">
        <v>198</v>
      </c>
      <c r="D38" s="369"/>
      <c r="E38" s="170">
        <v>203</v>
      </c>
      <c r="F38" s="170">
        <v>7</v>
      </c>
      <c r="G38" s="232">
        <v>6</v>
      </c>
      <c r="H38" s="170">
        <v>15</v>
      </c>
      <c r="J38" s="240">
        <v>21</v>
      </c>
      <c r="K38" s="213">
        <f t="shared" ref="K38:K43" si="14">G38/J38*100</f>
        <v>28.571428571428569</v>
      </c>
      <c r="L38" s="213">
        <f t="shared" ref="L38:L43" si="15">H38/J38*100</f>
        <v>71.428571428571431</v>
      </c>
      <c r="M38" s="213">
        <f t="shared" ref="M38:M43" si="16">I38/J38*100</f>
        <v>0</v>
      </c>
      <c r="N38" s="234">
        <f t="shared" si="0"/>
        <v>100</v>
      </c>
      <c r="O38" s="212">
        <v>9.1999999999999993</v>
      </c>
      <c r="P38" s="213">
        <v>50.5</v>
      </c>
      <c r="Q38" s="213"/>
      <c r="R38" s="214">
        <f t="shared" si="4"/>
        <v>59.7</v>
      </c>
      <c r="S38" s="170">
        <v>3</v>
      </c>
      <c r="T38" s="283"/>
      <c r="U38" s="281">
        <v>27192</v>
      </c>
      <c r="V38" s="177" t="s">
        <v>80</v>
      </c>
      <c r="W38" s="170" t="s">
        <v>81</v>
      </c>
      <c r="X38" s="170" t="s">
        <v>18</v>
      </c>
      <c r="Y38" s="178">
        <v>23.6</v>
      </c>
      <c r="Z38" s="170" t="s">
        <v>84</v>
      </c>
      <c r="AA38" s="170" t="s">
        <v>85</v>
      </c>
      <c r="AB38" s="170" t="s">
        <v>18</v>
      </c>
      <c r="AC38" s="170">
        <v>10.4</v>
      </c>
      <c r="AD38" s="177" t="s">
        <v>86</v>
      </c>
      <c r="AE38" s="170" t="s">
        <v>87</v>
      </c>
      <c r="AF38" s="170" t="s">
        <v>11</v>
      </c>
      <c r="AG38" s="178">
        <v>9.1999999999999993</v>
      </c>
      <c r="AH38" s="170" t="s">
        <v>88</v>
      </c>
      <c r="AI38" s="170" t="s">
        <v>89</v>
      </c>
      <c r="AJ38" s="170" t="s">
        <v>18</v>
      </c>
      <c r="AK38" s="170">
        <v>10.4</v>
      </c>
      <c r="AL38" s="177" t="s">
        <v>90</v>
      </c>
      <c r="AM38" s="170" t="s">
        <v>91</v>
      </c>
      <c r="AN38" s="170" t="s">
        <v>18</v>
      </c>
      <c r="AO38" s="178">
        <v>6.1</v>
      </c>
      <c r="AP38" s="177"/>
      <c r="AS38" s="178"/>
      <c r="AW38" s="178"/>
      <c r="BA38" s="179"/>
    </row>
    <row r="39" spans="1:53" s="170" customFormat="1" x14ac:dyDescent="0.15">
      <c r="A39" s="215">
        <v>1975</v>
      </c>
      <c r="B39" s="281"/>
      <c r="C39" s="369" t="s">
        <v>198</v>
      </c>
      <c r="D39" s="369"/>
      <c r="E39" s="170">
        <v>0</v>
      </c>
      <c r="G39" s="232">
        <v>6</v>
      </c>
      <c r="H39" s="170">
        <v>15</v>
      </c>
      <c r="J39" s="240">
        <v>21</v>
      </c>
      <c r="K39" s="213">
        <f t="shared" si="14"/>
        <v>28.571428571428569</v>
      </c>
      <c r="L39" s="213">
        <f t="shared" si="15"/>
        <v>71.428571428571431</v>
      </c>
      <c r="M39" s="213">
        <f t="shared" si="16"/>
        <v>0</v>
      </c>
      <c r="N39" s="234">
        <f t="shared" si="0"/>
        <v>100</v>
      </c>
      <c r="O39" s="212">
        <v>9.1999999999999993</v>
      </c>
      <c r="P39" s="213">
        <v>50.5</v>
      </c>
      <c r="Q39" s="213"/>
      <c r="R39" s="214">
        <f t="shared" si="4"/>
        <v>59.7</v>
      </c>
      <c r="S39" s="170">
        <v>3</v>
      </c>
      <c r="T39" s="283"/>
      <c r="U39" s="281"/>
      <c r="V39" s="177" t="s">
        <v>80</v>
      </c>
      <c r="W39" s="170" t="s">
        <v>81</v>
      </c>
      <c r="X39" s="170" t="s">
        <v>18</v>
      </c>
      <c r="Y39" s="178">
        <v>23.6</v>
      </c>
      <c r="Z39" s="170" t="s">
        <v>84</v>
      </c>
      <c r="AA39" s="170" t="s">
        <v>85</v>
      </c>
      <c r="AB39" s="170" t="s">
        <v>18</v>
      </c>
      <c r="AC39" s="170">
        <v>10.4</v>
      </c>
      <c r="AD39" s="177" t="s">
        <v>86</v>
      </c>
      <c r="AE39" s="170" t="s">
        <v>87</v>
      </c>
      <c r="AF39" s="170" t="s">
        <v>11</v>
      </c>
      <c r="AG39" s="178">
        <v>9.1999999999999993</v>
      </c>
      <c r="AH39" s="170" t="s">
        <v>88</v>
      </c>
      <c r="AI39" s="170" t="s">
        <v>89</v>
      </c>
      <c r="AJ39" s="170" t="s">
        <v>18</v>
      </c>
      <c r="AK39" s="170">
        <v>10.4</v>
      </c>
      <c r="AL39" s="177" t="s">
        <v>90</v>
      </c>
      <c r="AM39" s="170" t="s">
        <v>91</v>
      </c>
      <c r="AN39" s="170" t="s">
        <v>18</v>
      </c>
      <c r="AO39" s="178">
        <v>6.1</v>
      </c>
      <c r="AP39" s="177"/>
      <c r="AS39" s="178"/>
      <c r="AW39" s="178"/>
      <c r="BA39" s="179"/>
    </row>
    <row r="40" spans="1:53" s="170" customFormat="1" x14ac:dyDescent="0.15">
      <c r="A40" s="215">
        <v>1975</v>
      </c>
      <c r="B40" s="281"/>
      <c r="C40" s="369" t="s">
        <v>198</v>
      </c>
      <c r="D40" s="369"/>
      <c r="E40" s="170">
        <v>365</v>
      </c>
      <c r="G40" s="232">
        <v>6</v>
      </c>
      <c r="H40" s="170">
        <v>15</v>
      </c>
      <c r="J40" s="240">
        <v>21</v>
      </c>
      <c r="K40" s="213">
        <f t="shared" si="14"/>
        <v>28.571428571428569</v>
      </c>
      <c r="L40" s="213">
        <f t="shared" si="15"/>
        <v>71.428571428571431</v>
      </c>
      <c r="M40" s="213">
        <f t="shared" si="16"/>
        <v>0</v>
      </c>
      <c r="N40" s="234">
        <f t="shared" si="0"/>
        <v>100</v>
      </c>
      <c r="O40" s="212">
        <v>9.1999999999999993</v>
      </c>
      <c r="P40" s="213">
        <v>50.5</v>
      </c>
      <c r="Q40" s="213"/>
      <c r="R40" s="214">
        <f t="shared" si="4"/>
        <v>59.7</v>
      </c>
      <c r="S40" s="170">
        <v>3</v>
      </c>
      <c r="T40" s="283"/>
      <c r="U40" s="281"/>
      <c r="V40" s="177" t="s">
        <v>80</v>
      </c>
      <c r="W40" s="170" t="s">
        <v>81</v>
      </c>
      <c r="X40" s="170" t="s">
        <v>18</v>
      </c>
      <c r="Y40" s="178">
        <v>23.6</v>
      </c>
      <c r="Z40" s="170" t="s">
        <v>84</v>
      </c>
      <c r="AA40" s="170" t="s">
        <v>85</v>
      </c>
      <c r="AB40" s="170" t="s">
        <v>18</v>
      </c>
      <c r="AC40" s="170">
        <v>10.4</v>
      </c>
      <c r="AD40" s="177" t="s">
        <v>86</v>
      </c>
      <c r="AE40" s="170" t="s">
        <v>87</v>
      </c>
      <c r="AF40" s="170" t="s">
        <v>11</v>
      </c>
      <c r="AG40" s="178">
        <v>9.1999999999999993</v>
      </c>
      <c r="AH40" s="170" t="s">
        <v>88</v>
      </c>
      <c r="AI40" s="170" t="s">
        <v>89</v>
      </c>
      <c r="AJ40" s="170" t="s">
        <v>18</v>
      </c>
      <c r="AK40" s="170">
        <v>10.4</v>
      </c>
      <c r="AL40" s="177" t="s">
        <v>90</v>
      </c>
      <c r="AM40" s="170" t="s">
        <v>91</v>
      </c>
      <c r="AN40" s="170" t="s">
        <v>18</v>
      </c>
      <c r="AO40" s="178">
        <v>6.1</v>
      </c>
      <c r="AP40" s="177"/>
      <c r="AS40" s="178"/>
      <c r="AW40" s="178"/>
      <c r="BA40" s="179"/>
    </row>
    <row r="41" spans="1:53" s="170" customFormat="1" x14ac:dyDescent="0.15">
      <c r="A41" s="215">
        <v>1976</v>
      </c>
      <c r="B41" s="281"/>
      <c r="C41" s="369" t="s">
        <v>198</v>
      </c>
      <c r="D41" s="369"/>
      <c r="E41" s="170">
        <v>343</v>
      </c>
      <c r="G41" s="232">
        <v>6</v>
      </c>
      <c r="H41" s="170">
        <v>15</v>
      </c>
      <c r="J41" s="240">
        <v>21</v>
      </c>
      <c r="K41" s="213">
        <f t="shared" si="14"/>
        <v>28.571428571428569</v>
      </c>
      <c r="L41" s="213">
        <f t="shared" si="15"/>
        <v>71.428571428571431</v>
      </c>
      <c r="M41" s="213">
        <f t="shared" si="16"/>
        <v>0</v>
      </c>
      <c r="N41" s="234">
        <f t="shared" si="0"/>
        <v>100</v>
      </c>
      <c r="O41" s="212">
        <v>9.1999999999999993</v>
      </c>
      <c r="P41" s="213">
        <v>50.5</v>
      </c>
      <c r="Q41" s="213"/>
      <c r="R41" s="214">
        <f t="shared" si="4"/>
        <v>59.7</v>
      </c>
      <c r="S41" s="170">
        <v>3</v>
      </c>
      <c r="T41" s="283"/>
      <c r="U41" s="281"/>
      <c r="V41" s="177" t="s">
        <v>80</v>
      </c>
      <c r="W41" s="170" t="s">
        <v>81</v>
      </c>
      <c r="X41" s="170" t="s">
        <v>18</v>
      </c>
      <c r="Y41" s="178">
        <v>23.6</v>
      </c>
      <c r="Z41" s="170" t="s">
        <v>84</v>
      </c>
      <c r="AA41" s="170" t="s">
        <v>85</v>
      </c>
      <c r="AB41" s="170" t="s">
        <v>18</v>
      </c>
      <c r="AC41" s="170">
        <v>10.4</v>
      </c>
      <c r="AD41" s="177" t="s">
        <v>86</v>
      </c>
      <c r="AE41" s="170" t="s">
        <v>87</v>
      </c>
      <c r="AF41" s="170" t="s">
        <v>11</v>
      </c>
      <c r="AG41" s="178">
        <v>9.1999999999999993</v>
      </c>
      <c r="AH41" s="170" t="s">
        <v>88</v>
      </c>
      <c r="AI41" s="170" t="s">
        <v>89</v>
      </c>
      <c r="AJ41" s="170" t="s">
        <v>18</v>
      </c>
      <c r="AK41" s="170">
        <v>10.4</v>
      </c>
      <c r="AL41" s="177" t="s">
        <v>90</v>
      </c>
      <c r="AM41" s="170" t="s">
        <v>91</v>
      </c>
      <c r="AN41" s="170" t="s">
        <v>18</v>
      </c>
      <c r="AO41" s="178">
        <v>6.1</v>
      </c>
      <c r="AP41" s="177"/>
      <c r="AS41" s="178"/>
      <c r="AW41" s="178"/>
      <c r="BA41" s="179"/>
    </row>
    <row r="42" spans="1:53" s="170" customFormat="1" x14ac:dyDescent="0.15">
      <c r="A42" s="215">
        <v>1976</v>
      </c>
      <c r="B42" s="299">
        <v>28103</v>
      </c>
      <c r="C42" s="369" t="s">
        <v>198</v>
      </c>
      <c r="D42" s="369"/>
      <c r="E42" s="170">
        <v>23</v>
      </c>
      <c r="F42" s="191">
        <v>0</v>
      </c>
      <c r="G42" s="232">
        <v>8</v>
      </c>
      <c r="H42" s="170">
        <v>17</v>
      </c>
      <c r="J42" s="240">
        <v>25</v>
      </c>
      <c r="K42" s="213">
        <f t="shared" si="14"/>
        <v>32</v>
      </c>
      <c r="L42" s="213">
        <f t="shared" si="15"/>
        <v>68</v>
      </c>
      <c r="M42" s="213">
        <f t="shared" si="16"/>
        <v>0</v>
      </c>
      <c r="N42" s="234">
        <f t="shared" si="0"/>
        <v>100</v>
      </c>
      <c r="O42" s="212">
        <v>9.1999999999999993</v>
      </c>
      <c r="P42" s="213">
        <v>50.5</v>
      </c>
      <c r="Q42" s="213"/>
      <c r="R42" s="214">
        <f t="shared" si="4"/>
        <v>59.7</v>
      </c>
      <c r="S42" s="170">
        <v>3</v>
      </c>
      <c r="T42" s="283"/>
      <c r="U42" s="281"/>
      <c r="V42" s="177" t="s">
        <v>80</v>
      </c>
      <c r="W42" s="170" t="s">
        <v>81</v>
      </c>
      <c r="X42" s="170" t="s">
        <v>18</v>
      </c>
      <c r="Y42" s="178">
        <v>23.6</v>
      </c>
      <c r="Z42" s="170" t="s">
        <v>84</v>
      </c>
      <c r="AA42" s="170" t="s">
        <v>85</v>
      </c>
      <c r="AB42" s="170" t="s">
        <v>18</v>
      </c>
      <c r="AC42" s="170">
        <v>10.4</v>
      </c>
      <c r="AD42" s="177" t="s">
        <v>86</v>
      </c>
      <c r="AE42" s="170" t="s">
        <v>87</v>
      </c>
      <c r="AF42" s="170" t="s">
        <v>11</v>
      </c>
      <c r="AG42" s="178">
        <v>9.1999999999999993</v>
      </c>
      <c r="AH42" s="170" t="s">
        <v>88</v>
      </c>
      <c r="AI42" s="170" t="s">
        <v>89</v>
      </c>
      <c r="AJ42" s="170" t="s">
        <v>18</v>
      </c>
      <c r="AK42" s="170">
        <v>10.4</v>
      </c>
      <c r="AL42" s="177" t="s">
        <v>90</v>
      </c>
      <c r="AM42" s="170" t="s">
        <v>91</v>
      </c>
      <c r="AN42" s="170" t="s">
        <v>18</v>
      </c>
      <c r="AO42" s="178">
        <v>6.1</v>
      </c>
      <c r="AP42" s="177"/>
      <c r="AS42" s="178"/>
      <c r="AW42" s="178"/>
      <c r="BA42" s="179"/>
    </row>
    <row r="43" spans="1:53" s="170" customFormat="1" x14ac:dyDescent="0.15">
      <c r="A43" s="215">
        <v>1977</v>
      </c>
      <c r="B43" s="281"/>
      <c r="C43" s="369" t="s">
        <v>198</v>
      </c>
      <c r="D43" s="369"/>
      <c r="E43" s="170">
        <v>153</v>
      </c>
      <c r="G43" s="232">
        <v>8</v>
      </c>
      <c r="H43" s="170">
        <v>17</v>
      </c>
      <c r="J43" s="240">
        <v>25</v>
      </c>
      <c r="K43" s="213">
        <f t="shared" si="14"/>
        <v>32</v>
      </c>
      <c r="L43" s="213">
        <f t="shared" si="15"/>
        <v>68</v>
      </c>
      <c r="M43" s="213">
        <f t="shared" si="16"/>
        <v>0</v>
      </c>
      <c r="N43" s="234">
        <f t="shared" si="0"/>
        <v>100</v>
      </c>
      <c r="O43" s="212">
        <v>9.1999999999999993</v>
      </c>
      <c r="P43" s="213">
        <v>50.5</v>
      </c>
      <c r="Q43" s="213"/>
      <c r="R43" s="214">
        <f t="shared" si="4"/>
        <v>59.7</v>
      </c>
      <c r="S43" s="170">
        <v>3</v>
      </c>
      <c r="T43" s="283"/>
      <c r="U43" s="281"/>
      <c r="V43" s="177" t="s">
        <v>80</v>
      </c>
      <c r="W43" s="170" t="s">
        <v>81</v>
      </c>
      <c r="X43" s="170" t="s">
        <v>18</v>
      </c>
      <c r="Y43" s="178">
        <v>23.6</v>
      </c>
      <c r="Z43" s="170" t="s">
        <v>84</v>
      </c>
      <c r="AA43" s="170" t="s">
        <v>85</v>
      </c>
      <c r="AB43" s="170" t="s">
        <v>18</v>
      </c>
      <c r="AC43" s="170">
        <v>10.4</v>
      </c>
      <c r="AD43" s="177" t="s">
        <v>86</v>
      </c>
      <c r="AE43" s="170" t="s">
        <v>87</v>
      </c>
      <c r="AF43" s="170" t="s">
        <v>11</v>
      </c>
      <c r="AG43" s="178">
        <v>9.1999999999999993</v>
      </c>
      <c r="AH43" s="170" t="s">
        <v>88</v>
      </c>
      <c r="AI43" s="170" t="s">
        <v>89</v>
      </c>
      <c r="AJ43" s="170" t="s">
        <v>18</v>
      </c>
      <c r="AK43" s="170">
        <v>10.4</v>
      </c>
      <c r="AL43" s="177" t="s">
        <v>90</v>
      </c>
      <c r="AM43" s="170" t="s">
        <v>91</v>
      </c>
      <c r="AN43" s="170" t="s">
        <v>18</v>
      </c>
      <c r="AO43" s="178">
        <v>6.1</v>
      </c>
      <c r="AP43" s="177"/>
      <c r="AS43" s="178"/>
      <c r="AW43" s="178"/>
      <c r="BA43" s="179"/>
    </row>
    <row r="44" spans="1:53" s="28" customFormat="1" x14ac:dyDescent="0.15">
      <c r="A44" s="51">
        <v>1977</v>
      </c>
      <c r="B44" s="293">
        <v>28279</v>
      </c>
      <c r="C44" s="370" t="s">
        <v>199</v>
      </c>
      <c r="D44" s="370"/>
      <c r="E44" s="28">
        <v>212</v>
      </c>
      <c r="F44" s="28">
        <v>5</v>
      </c>
      <c r="G44" s="65"/>
      <c r="H44" s="28">
        <v>14</v>
      </c>
      <c r="I44" s="28">
        <v>9</v>
      </c>
      <c r="J44" s="72">
        <v>23</v>
      </c>
      <c r="K44" s="46">
        <f>G44/J44*100</f>
        <v>0</v>
      </c>
      <c r="L44" s="46">
        <f>H44/J44*100</f>
        <v>60.869565217391312</v>
      </c>
      <c r="M44" s="46">
        <f>I44/J44*100</f>
        <v>39.130434782608695</v>
      </c>
      <c r="N44" s="67">
        <f t="shared" si="0"/>
        <v>100</v>
      </c>
      <c r="O44" s="45"/>
      <c r="P44" s="46">
        <v>51.8</v>
      </c>
      <c r="Q44" s="46">
        <v>29.2</v>
      </c>
      <c r="R44" s="47">
        <f t="shared" si="4"/>
        <v>81</v>
      </c>
      <c r="S44" s="28">
        <v>3</v>
      </c>
      <c r="T44" s="284">
        <v>28232</v>
      </c>
      <c r="U44" s="293">
        <v>28279</v>
      </c>
      <c r="V44" s="37" t="s">
        <v>80</v>
      </c>
      <c r="W44" s="28" t="s">
        <v>81</v>
      </c>
      <c r="X44" s="28" t="s">
        <v>18</v>
      </c>
      <c r="Y44" s="38">
        <v>26.4</v>
      </c>
      <c r="Z44" s="28" t="s">
        <v>84</v>
      </c>
      <c r="AA44" s="28" t="s">
        <v>85</v>
      </c>
      <c r="AB44" s="28" t="s">
        <v>18</v>
      </c>
      <c r="AC44" s="28">
        <v>11.3</v>
      </c>
      <c r="AD44" s="37" t="s">
        <v>83</v>
      </c>
      <c r="AE44" s="28" t="s">
        <v>20</v>
      </c>
      <c r="AF44" s="28" t="s">
        <v>12</v>
      </c>
      <c r="AG44" s="38">
        <v>29.2</v>
      </c>
      <c r="AH44" s="28" t="s">
        <v>88</v>
      </c>
      <c r="AI44" s="28" t="s">
        <v>89</v>
      </c>
      <c r="AJ44" s="28" t="s">
        <v>18</v>
      </c>
      <c r="AK44" s="28">
        <v>9.4</v>
      </c>
      <c r="AL44" s="37" t="s">
        <v>92</v>
      </c>
      <c r="AM44" s="28" t="s">
        <v>93</v>
      </c>
      <c r="AN44" s="28" t="s">
        <v>18</v>
      </c>
      <c r="AO44" s="38">
        <v>4.7</v>
      </c>
      <c r="AP44" s="37"/>
      <c r="AS44" s="38"/>
      <c r="AW44" s="38"/>
      <c r="BA44" s="39"/>
    </row>
    <row r="45" spans="1:53" s="28" customFormat="1" x14ac:dyDescent="0.15">
      <c r="A45" s="51">
        <v>1978</v>
      </c>
      <c r="B45" s="293"/>
      <c r="C45" s="370" t="s">
        <v>199</v>
      </c>
      <c r="D45" s="370"/>
      <c r="E45" s="28">
        <v>292</v>
      </c>
      <c r="G45" s="65"/>
      <c r="H45" s="28">
        <v>14</v>
      </c>
      <c r="I45" s="28">
        <v>9</v>
      </c>
      <c r="J45" s="72">
        <v>23</v>
      </c>
      <c r="K45" s="46">
        <f t="shared" ref="K45:K52" si="17">G45/J45*100</f>
        <v>0</v>
      </c>
      <c r="L45" s="46">
        <f t="shared" ref="L45:L52" si="18">H45/J45*100</f>
        <v>60.869565217391312</v>
      </c>
      <c r="M45" s="46">
        <f t="shared" ref="M45:M52" si="19">I45/J45*100</f>
        <v>39.130434782608695</v>
      </c>
      <c r="N45" s="67">
        <f t="shared" si="0"/>
        <v>100</v>
      </c>
      <c r="O45" s="45"/>
      <c r="P45" s="46">
        <v>51.8</v>
      </c>
      <c r="Q45" s="46">
        <v>29.2</v>
      </c>
      <c r="R45" s="47">
        <f t="shared" si="4"/>
        <v>81</v>
      </c>
      <c r="S45" s="28">
        <v>3</v>
      </c>
      <c r="T45" s="284"/>
      <c r="U45" s="293"/>
      <c r="V45" s="37" t="s">
        <v>80</v>
      </c>
      <c r="W45" s="28" t="s">
        <v>81</v>
      </c>
      <c r="X45" s="28" t="s">
        <v>18</v>
      </c>
      <c r="Y45" s="38">
        <v>26.4</v>
      </c>
      <c r="Z45" s="28" t="s">
        <v>84</v>
      </c>
      <c r="AA45" s="28" t="s">
        <v>85</v>
      </c>
      <c r="AB45" s="28" t="s">
        <v>18</v>
      </c>
      <c r="AC45" s="28">
        <v>11.3</v>
      </c>
      <c r="AD45" s="37" t="s">
        <v>83</v>
      </c>
      <c r="AE45" s="28" t="s">
        <v>20</v>
      </c>
      <c r="AF45" s="28" t="s">
        <v>12</v>
      </c>
      <c r="AG45" s="38">
        <v>29.2</v>
      </c>
      <c r="AH45" s="28" t="s">
        <v>88</v>
      </c>
      <c r="AI45" s="28" t="s">
        <v>89</v>
      </c>
      <c r="AJ45" s="28" t="s">
        <v>18</v>
      </c>
      <c r="AK45" s="28">
        <v>9.4</v>
      </c>
      <c r="AL45" s="37" t="s">
        <v>92</v>
      </c>
      <c r="AM45" s="28" t="s">
        <v>93</v>
      </c>
      <c r="AN45" s="28" t="s">
        <v>18</v>
      </c>
      <c r="AO45" s="38">
        <v>4.7</v>
      </c>
      <c r="AP45" s="37"/>
      <c r="AS45" s="38"/>
      <c r="AW45" s="38"/>
      <c r="BA45" s="39"/>
    </row>
    <row r="46" spans="1:53" s="170" customFormat="1" x14ac:dyDescent="0.15">
      <c r="A46" s="215">
        <v>1978</v>
      </c>
      <c r="B46" s="281">
        <v>28783</v>
      </c>
      <c r="C46" s="369" t="s">
        <v>1183</v>
      </c>
      <c r="D46" s="369"/>
      <c r="E46" s="170">
        <v>73</v>
      </c>
      <c r="F46" s="170">
        <v>2</v>
      </c>
      <c r="G46" s="232"/>
      <c r="H46" s="170">
        <v>13</v>
      </c>
      <c r="I46" s="170">
        <v>9</v>
      </c>
      <c r="J46" s="240">
        <v>22</v>
      </c>
      <c r="K46" s="213">
        <f t="shared" si="17"/>
        <v>0</v>
      </c>
      <c r="L46" s="213">
        <f t="shared" si="18"/>
        <v>59.090909090909093</v>
      </c>
      <c r="M46" s="213">
        <f t="shared" si="19"/>
        <v>40.909090909090914</v>
      </c>
      <c r="N46" s="234">
        <f t="shared" si="0"/>
        <v>100</v>
      </c>
      <c r="O46" s="212"/>
      <c r="P46" s="213">
        <v>51.8</v>
      </c>
      <c r="Q46" s="213">
        <v>29.2</v>
      </c>
      <c r="R46" s="214">
        <f t="shared" si="4"/>
        <v>81</v>
      </c>
      <c r="S46" s="170">
        <v>6</v>
      </c>
      <c r="T46" s="283"/>
      <c r="U46" s="281">
        <v>28783</v>
      </c>
      <c r="V46" s="177" t="s">
        <v>80</v>
      </c>
      <c r="W46" s="170" t="s">
        <v>81</v>
      </c>
      <c r="X46" s="170" t="s">
        <v>18</v>
      </c>
      <c r="Y46" s="178">
        <v>26.4</v>
      </c>
      <c r="Z46" s="170" t="s">
        <v>84</v>
      </c>
      <c r="AA46" s="170" t="s">
        <v>85</v>
      </c>
      <c r="AB46" s="170" t="s">
        <v>18</v>
      </c>
      <c r="AC46" s="170">
        <v>11.3</v>
      </c>
      <c r="AD46" s="177" t="s">
        <v>83</v>
      </c>
      <c r="AE46" s="170" t="s">
        <v>20</v>
      </c>
      <c r="AF46" s="170" t="s">
        <v>12</v>
      </c>
      <c r="AG46" s="178">
        <v>29.2</v>
      </c>
      <c r="AH46" s="170" t="s">
        <v>88</v>
      </c>
      <c r="AI46" s="170" t="s">
        <v>89</v>
      </c>
      <c r="AJ46" s="170" t="s">
        <v>18</v>
      </c>
      <c r="AK46" s="170">
        <v>9.4</v>
      </c>
      <c r="AL46" s="177" t="s">
        <v>92</v>
      </c>
      <c r="AM46" s="170" t="s">
        <v>93</v>
      </c>
      <c r="AN46" s="170" t="s">
        <v>18</v>
      </c>
      <c r="AO46" s="178">
        <v>4.7</v>
      </c>
      <c r="AP46" s="177"/>
      <c r="AS46" s="178"/>
      <c r="AW46" s="178"/>
      <c r="BA46" s="179"/>
    </row>
    <row r="47" spans="1:53" s="170" customFormat="1" x14ac:dyDescent="0.15">
      <c r="A47" s="215">
        <v>1979</v>
      </c>
      <c r="B47" s="281"/>
      <c r="C47" s="369" t="s">
        <v>1183</v>
      </c>
      <c r="D47" s="369"/>
      <c r="E47" s="170">
        <v>92</v>
      </c>
      <c r="G47" s="232"/>
      <c r="H47" s="170">
        <v>13</v>
      </c>
      <c r="I47" s="170">
        <v>9</v>
      </c>
      <c r="J47" s="240">
        <v>22</v>
      </c>
      <c r="K47" s="213">
        <f t="shared" si="17"/>
        <v>0</v>
      </c>
      <c r="L47" s="213">
        <f t="shared" si="18"/>
        <v>59.090909090909093</v>
      </c>
      <c r="M47" s="213">
        <f t="shared" si="19"/>
        <v>40.909090909090914</v>
      </c>
      <c r="N47" s="234">
        <f t="shared" si="0"/>
        <v>100</v>
      </c>
      <c r="O47" s="212"/>
      <c r="P47" s="213">
        <v>51.8</v>
      </c>
      <c r="Q47" s="213">
        <v>29.2</v>
      </c>
      <c r="R47" s="214">
        <f t="shared" si="4"/>
        <v>81</v>
      </c>
      <c r="S47" s="170">
        <v>6</v>
      </c>
      <c r="T47" s="283">
        <v>28841</v>
      </c>
      <c r="U47" s="281"/>
      <c r="V47" s="177" t="s">
        <v>80</v>
      </c>
      <c r="W47" s="170" t="s">
        <v>81</v>
      </c>
      <c r="X47" s="170" t="s">
        <v>18</v>
      </c>
      <c r="Y47" s="178">
        <v>26.4</v>
      </c>
      <c r="Z47" s="170" t="s">
        <v>84</v>
      </c>
      <c r="AA47" s="170" t="s">
        <v>85</v>
      </c>
      <c r="AB47" s="170" t="s">
        <v>18</v>
      </c>
      <c r="AC47" s="170">
        <v>11.3</v>
      </c>
      <c r="AD47" s="177" t="s">
        <v>83</v>
      </c>
      <c r="AE47" s="170" t="s">
        <v>20</v>
      </c>
      <c r="AF47" s="170" t="s">
        <v>12</v>
      </c>
      <c r="AG47" s="178">
        <v>29.2</v>
      </c>
      <c r="AH47" s="170" t="s">
        <v>88</v>
      </c>
      <c r="AI47" s="170" t="s">
        <v>89</v>
      </c>
      <c r="AJ47" s="170" t="s">
        <v>18</v>
      </c>
      <c r="AK47" s="170">
        <v>9.4</v>
      </c>
      <c r="AL47" s="177" t="s">
        <v>92</v>
      </c>
      <c r="AM47" s="170" t="s">
        <v>93</v>
      </c>
      <c r="AN47" s="170" t="s">
        <v>18</v>
      </c>
      <c r="AO47" s="178">
        <v>4.7</v>
      </c>
      <c r="AP47" s="177"/>
      <c r="AS47" s="178"/>
      <c r="AW47" s="178"/>
      <c r="BA47" s="179"/>
    </row>
    <row r="48" spans="1:53" s="28" customFormat="1" x14ac:dyDescent="0.15">
      <c r="A48" s="51">
        <v>1979</v>
      </c>
      <c r="B48" s="293">
        <v>28948</v>
      </c>
      <c r="C48" s="370" t="s">
        <v>200</v>
      </c>
      <c r="D48" s="370"/>
      <c r="E48" s="28">
        <v>273</v>
      </c>
      <c r="F48" s="28">
        <v>1</v>
      </c>
      <c r="G48" s="65"/>
      <c r="H48" s="28">
        <v>15</v>
      </c>
      <c r="I48" s="28">
        <v>10</v>
      </c>
      <c r="J48" s="72">
        <v>25</v>
      </c>
      <c r="K48" s="46">
        <f t="shared" si="17"/>
        <v>0</v>
      </c>
      <c r="L48" s="46">
        <f t="shared" si="18"/>
        <v>60</v>
      </c>
      <c r="M48" s="46">
        <f t="shared" si="19"/>
        <v>40</v>
      </c>
      <c r="N48" s="67">
        <f t="shared" si="0"/>
        <v>100</v>
      </c>
      <c r="O48" s="45"/>
      <c r="P48" s="46">
        <v>43.9</v>
      </c>
      <c r="Q48" s="46">
        <v>27.4</v>
      </c>
      <c r="R48" s="47">
        <f t="shared" si="4"/>
        <v>71.3</v>
      </c>
      <c r="S48" s="28">
        <v>3</v>
      </c>
      <c r="T48" s="284"/>
      <c r="U48" s="293">
        <v>28948</v>
      </c>
      <c r="V48" s="37" t="s">
        <v>80</v>
      </c>
      <c r="W48" s="28" t="s">
        <v>81</v>
      </c>
      <c r="X48" s="28" t="s">
        <v>18</v>
      </c>
      <c r="Y48" s="38">
        <v>26.9</v>
      </c>
      <c r="Z48" s="28" t="s">
        <v>84</v>
      </c>
      <c r="AA48" s="28" t="s">
        <v>85</v>
      </c>
      <c r="AB48" s="28" t="s">
        <v>18</v>
      </c>
      <c r="AC48" s="28">
        <v>11.8</v>
      </c>
      <c r="AD48" s="37" t="s">
        <v>95</v>
      </c>
      <c r="AE48" s="28" t="s">
        <v>96</v>
      </c>
      <c r="AF48" s="28" t="s">
        <v>12</v>
      </c>
      <c r="AG48" s="38">
        <v>15.1</v>
      </c>
      <c r="AH48" s="37" t="s">
        <v>94</v>
      </c>
      <c r="AI48" s="28" t="s">
        <v>97</v>
      </c>
      <c r="AJ48" s="28" t="s">
        <v>12</v>
      </c>
      <c r="AK48" s="28">
        <v>12.3</v>
      </c>
      <c r="AL48" s="37" t="s">
        <v>92</v>
      </c>
      <c r="AM48" s="28" t="s">
        <v>93</v>
      </c>
      <c r="AN48" s="28" t="s">
        <v>18</v>
      </c>
      <c r="AO48" s="38">
        <v>5.2</v>
      </c>
      <c r="AP48" s="37"/>
      <c r="AS48" s="38"/>
      <c r="AW48" s="38"/>
      <c r="BA48" s="39"/>
    </row>
    <row r="49" spans="1:53" s="28" customFormat="1" x14ac:dyDescent="0.15">
      <c r="A49" s="51">
        <v>1980</v>
      </c>
      <c r="B49" s="293"/>
      <c r="C49" s="370" t="s">
        <v>200</v>
      </c>
      <c r="D49" s="370"/>
      <c r="E49" s="28">
        <v>22</v>
      </c>
      <c r="G49" s="65"/>
      <c r="H49" s="28">
        <v>15</v>
      </c>
      <c r="I49" s="28">
        <v>10</v>
      </c>
      <c r="J49" s="72">
        <v>25</v>
      </c>
      <c r="K49" s="46">
        <f t="shared" si="17"/>
        <v>0</v>
      </c>
      <c r="L49" s="46">
        <f t="shared" si="18"/>
        <v>60</v>
      </c>
      <c r="M49" s="46">
        <f t="shared" si="19"/>
        <v>40</v>
      </c>
      <c r="N49" s="67">
        <f t="shared" si="0"/>
        <v>100</v>
      </c>
      <c r="O49" s="45"/>
      <c r="P49" s="46">
        <v>43.9</v>
      </c>
      <c r="Q49" s="46">
        <v>27.4</v>
      </c>
      <c r="R49" s="47">
        <f t="shared" si="4"/>
        <v>71.3</v>
      </c>
      <c r="S49" s="28">
        <v>3</v>
      </c>
      <c r="T49" s="284"/>
      <c r="U49" s="293"/>
      <c r="V49" s="37" t="s">
        <v>80</v>
      </c>
      <c r="W49" s="28" t="s">
        <v>81</v>
      </c>
      <c r="X49" s="28" t="s">
        <v>18</v>
      </c>
      <c r="Y49" s="38">
        <v>26.9</v>
      </c>
      <c r="Z49" s="28" t="s">
        <v>84</v>
      </c>
      <c r="AA49" s="28" t="s">
        <v>85</v>
      </c>
      <c r="AB49" s="28" t="s">
        <v>18</v>
      </c>
      <c r="AC49" s="28">
        <v>11.8</v>
      </c>
      <c r="AD49" s="37" t="s">
        <v>95</v>
      </c>
      <c r="AE49" s="28" t="s">
        <v>96</v>
      </c>
      <c r="AF49" s="28" t="s">
        <v>12</v>
      </c>
      <c r="AG49" s="38">
        <v>15.1</v>
      </c>
      <c r="AH49" s="28" t="s">
        <v>94</v>
      </c>
      <c r="AI49" s="28" t="s">
        <v>97</v>
      </c>
      <c r="AJ49" s="28" t="s">
        <v>12</v>
      </c>
      <c r="AK49" s="28">
        <v>12.3</v>
      </c>
      <c r="AL49" s="37" t="s">
        <v>92</v>
      </c>
      <c r="AM49" s="28" t="s">
        <v>93</v>
      </c>
      <c r="AN49" s="28" t="s">
        <v>18</v>
      </c>
      <c r="AO49" s="38">
        <v>5.2</v>
      </c>
      <c r="AP49" s="37"/>
      <c r="AS49" s="38"/>
      <c r="AW49" s="38"/>
      <c r="BA49" s="39"/>
    </row>
    <row r="50" spans="1:53" s="170" customFormat="1" x14ac:dyDescent="0.15">
      <c r="A50" s="215">
        <v>1980</v>
      </c>
      <c r="B50" s="281">
        <v>29243</v>
      </c>
      <c r="C50" s="369" t="s">
        <v>201</v>
      </c>
      <c r="D50" s="369"/>
      <c r="E50" s="170">
        <v>116</v>
      </c>
      <c r="F50" s="170">
        <v>4</v>
      </c>
      <c r="G50" s="232"/>
      <c r="H50" s="170">
        <v>12</v>
      </c>
      <c r="I50" s="170">
        <v>12</v>
      </c>
      <c r="J50" s="240">
        <v>24</v>
      </c>
      <c r="K50" s="213">
        <f>G50/J50*100</f>
        <v>0</v>
      </c>
      <c r="L50" s="213">
        <f>H50/J50*100</f>
        <v>50</v>
      </c>
      <c r="M50" s="213">
        <f>I50/J50*100</f>
        <v>50</v>
      </c>
      <c r="N50" s="234">
        <f t="shared" si="0"/>
        <v>100</v>
      </c>
      <c r="O50" s="212"/>
      <c r="P50" s="213">
        <v>38.700000000000003</v>
      </c>
      <c r="Q50" s="213">
        <v>27.4</v>
      </c>
      <c r="R50" s="214">
        <f t="shared" si="4"/>
        <v>66.099999999999994</v>
      </c>
      <c r="S50" s="170">
        <v>3</v>
      </c>
      <c r="T50" s="283"/>
      <c r="U50" s="281">
        <v>29243</v>
      </c>
      <c r="V50" s="177" t="s">
        <v>80</v>
      </c>
      <c r="W50" s="170" t="s">
        <v>81</v>
      </c>
      <c r="X50" s="170" t="s">
        <v>18</v>
      </c>
      <c r="Y50" s="178">
        <v>26.9</v>
      </c>
      <c r="Z50" s="170" t="s">
        <v>84</v>
      </c>
      <c r="AA50" s="170" t="s">
        <v>85</v>
      </c>
      <c r="AB50" s="170" t="s">
        <v>18</v>
      </c>
      <c r="AC50" s="170">
        <v>11.8</v>
      </c>
      <c r="AD50" s="177" t="s">
        <v>95</v>
      </c>
      <c r="AE50" s="170" t="s">
        <v>96</v>
      </c>
      <c r="AF50" s="170" t="s">
        <v>12</v>
      </c>
      <c r="AG50" s="178">
        <v>15.1</v>
      </c>
      <c r="AH50" s="177" t="s">
        <v>94</v>
      </c>
      <c r="AI50" s="170" t="s">
        <v>97</v>
      </c>
      <c r="AJ50" s="170" t="s">
        <v>12</v>
      </c>
      <c r="AK50" s="170">
        <v>12.3</v>
      </c>
      <c r="AL50" s="177"/>
      <c r="AO50" s="178"/>
      <c r="AP50" s="177"/>
      <c r="AS50" s="178"/>
      <c r="AW50" s="178"/>
      <c r="BA50" s="179"/>
    </row>
    <row r="51" spans="1:53" s="28" customFormat="1" x14ac:dyDescent="0.15">
      <c r="A51" s="51">
        <v>1980</v>
      </c>
      <c r="B51" s="293">
        <v>29359</v>
      </c>
      <c r="C51" s="370" t="s">
        <v>202</v>
      </c>
      <c r="D51" s="370"/>
      <c r="E51" s="28">
        <v>157</v>
      </c>
      <c r="F51" s="28">
        <v>5</v>
      </c>
      <c r="G51" s="65">
        <v>5</v>
      </c>
      <c r="H51" s="28">
        <v>12</v>
      </c>
      <c r="I51" s="28">
        <v>10</v>
      </c>
      <c r="J51" s="72">
        <v>27</v>
      </c>
      <c r="K51" s="46">
        <f>G51/J51*100</f>
        <v>18.518518518518519</v>
      </c>
      <c r="L51" s="46">
        <f>H51/J51*100</f>
        <v>44.444444444444443</v>
      </c>
      <c r="M51" s="46">
        <f>I51/J51*100</f>
        <v>37.037037037037038</v>
      </c>
      <c r="N51" s="67">
        <f t="shared" si="0"/>
        <v>100</v>
      </c>
      <c r="O51" s="45">
        <v>10.4</v>
      </c>
      <c r="P51" s="46">
        <v>38.700000000000003</v>
      </c>
      <c r="Q51" s="46">
        <v>27.4</v>
      </c>
      <c r="R51" s="47">
        <f t="shared" si="4"/>
        <v>76.5</v>
      </c>
      <c r="S51" s="28">
        <v>3</v>
      </c>
      <c r="T51" s="284"/>
      <c r="U51" s="293">
        <v>29359</v>
      </c>
      <c r="V51" s="37" t="s">
        <v>80</v>
      </c>
      <c r="W51" s="28" t="s">
        <v>81</v>
      </c>
      <c r="X51" s="28" t="s">
        <v>18</v>
      </c>
      <c r="Y51" s="38">
        <v>26.9</v>
      </c>
      <c r="Z51" s="28" t="s">
        <v>84</v>
      </c>
      <c r="AA51" s="28" t="s">
        <v>85</v>
      </c>
      <c r="AB51" s="28" t="s">
        <v>18</v>
      </c>
      <c r="AC51" s="28">
        <v>11.8</v>
      </c>
      <c r="AD51" s="37" t="s">
        <v>95</v>
      </c>
      <c r="AE51" s="28" t="s">
        <v>96</v>
      </c>
      <c r="AF51" s="28" t="s">
        <v>12</v>
      </c>
      <c r="AG51" s="38">
        <v>15.1</v>
      </c>
      <c r="AH51" s="28" t="s">
        <v>94</v>
      </c>
      <c r="AI51" s="28" t="s">
        <v>97</v>
      </c>
      <c r="AJ51" s="28" t="s">
        <v>12</v>
      </c>
      <c r="AK51" s="28">
        <v>12.3</v>
      </c>
      <c r="AL51" s="37" t="s">
        <v>86</v>
      </c>
      <c r="AM51" s="28" t="s">
        <v>87</v>
      </c>
      <c r="AN51" s="28" t="s">
        <v>11</v>
      </c>
      <c r="AO51" s="38">
        <v>10.4</v>
      </c>
      <c r="AP51" s="37"/>
      <c r="AS51" s="38"/>
      <c r="AW51" s="38"/>
      <c r="BA51" s="39"/>
    </row>
    <row r="52" spans="1:53" s="170" customFormat="1" x14ac:dyDescent="0.15">
      <c r="A52" s="215">
        <v>1980</v>
      </c>
      <c r="B52" s="281">
        <v>29516</v>
      </c>
      <c r="C52" s="369" t="s">
        <v>203</v>
      </c>
      <c r="D52" s="369"/>
      <c r="E52" s="170">
        <v>71</v>
      </c>
      <c r="F52" s="170">
        <v>4</v>
      </c>
      <c r="G52" s="232"/>
      <c r="H52" s="170">
        <v>13</v>
      </c>
      <c r="I52" s="170">
        <v>12</v>
      </c>
      <c r="J52" s="240">
        <v>25</v>
      </c>
      <c r="K52" s="213">
        <f t="shared" si="17"/>
        <v>0</v>
      </c>
      <c r="L52" s="213">
        <f t="shared" si="18"/>
        <v>52</v>
      </c>
      <c r="M52" s="213">
        <f t="shared" si="19"/>
        <v>48</v>
      </c>
      <c r="N52" s="234">
        <f t="shared" si="0"/>
        <v>100</v>
      </c>
      <c r="O52" s="212"/>
      <c r="P52" s="213">
        <v>38.700000000000003</v>
      </c>
      <c r="Q52" s="213">
        <v>27.4</v>
      </c>
      <c r="R52" s="214">
        <f t="shared" si="4"/>
        <v>66.099999999999994</v>
      </c>
      <c r="S52" s="170">
        <v>3</v>
      </c>
      <c r="T52" s="283"/>
      <c r="U52" s="281">
        <v>29516</v>
      </c>
      <c r="V52" s="177" t="s">
        <v>80</v>
      </c>
      <c r="W52" s="170" t="s">
        <v>81</v>
      </c>
      <c r="X52" s="170" t="s">
        <v>18</v>
      </c>
      <c r="Y52" s="178">
        <v>26.9</v>
      </c>
      <c r="Z52" s="170" t="s">
        <v>84</v>
      </c>
      <c r="AA52" s="170" t="s">
        <v>85</v>
      </c>
      <c r="AB52" s="170" t="s">
        <v>18</v>
      </c>
      <c r="AC52" s="170">
        <v>11.8</v>
      </c>
      <c r="AD52" s="177" t="s">
        <v>95</v>
      </c>
      <c r="AE52" s="170" t="s">
        <v>96</v>
      </c>
      <c r="AF52" s="170" t="s">
        <v>12</v>
      </c>
      <c r="AG52" s="178">
        <v>15.1</v>
      </c>
      <c r="AH52" s="170" t="s">
        <v>94</v>
      </c>
      <c r="AI52" s="170" t="s">
        <v>97</v>
      </c>
      <c r="AJ52" s="170" t="s">
        <v>12</v>
      </c>
      <c r="AK52" s="170">
        <v>12.3</v>
      </c>
      <c r="AL52" s="177"/>
      <c r="AO52" s="178"/>
      <c r="AP52" s="177"/>
      <c r="AS52" s="178"/>
      <c r="AW52" s="178"/>
      <c r="BA52" s="179"/>
    </row>
    <row r="53" spans="1:53" s="170" customFormat="1" x14ac:dyDescent="0.15">
      <c r="A53" s="215">
        <v>1981</v>
      </c>
      <c r="B53" s="281"/>
      <c r="C53" s="369" t="s">
        <v>203</v>
      </c>
      <c r="D53" s="369"/>
      <c r="E53" s="170">
        <v>95</v>
      </c>
      <c r="G53" s="232"/>
      <c r="H53" s="170">
        <v>13</v>
      </c>
      <c r="I53" s="170">
        <v>12</v>
      </c>
      <c r="J53" s="240">
        <v>25</v>
      </c>
      <c r="K53" s="213">
        <f>G53/J53*100</f>
        <v>0</v>
      </c>
      <c r="L53" s="213">
        <f>H53/J53*100</f>
        <v>52</v>
      </c>
      <c r="M53" s="213">
        <f>I53/J53*100</f>
        <v>48</v>
      </c>
      <c r="N53" s="234">
        <f t="shared" si="0"/>
        <v>100</v>
      </c>
      <c r="O53" s="212"/>
      <c r="P53" s="213">
        <v>38.700000000000003</v>
      </c>
      <c r="Q53" s="213">
        <v>27.4</v>
      </c>
      <c r="R53" s="214">
        <f t="shared" si="4"/>
        <v>66.099999999999994</v>
      </c>
      <c r="S53" s="170">
        <v>3</v>
      </c>
      <c r="T53" s="283"/>
      <c r="U53" s="281"/>
      <c r="V53" s="177" t="s">
        <v>80</v>
      </c>
      <c r="W53" s="170" t="s">
        <v>81</v>
      </c>
      <c r="X53" s="170" t="s">
        <v>18</v>
      </c>
      <c r="Y53" s="178">
        <v>26.9</v>
      </c>
      <c r="Z53" s="170" t="s">
        <v>84</v>
      </c>
      <c r="AA53" s="170" t="s">
        <v>85</v>
      </c>
      <c r="AB53" s="170" t="s">
        <v>18</v>
      </c>
      <c r="AC53" s="170">
        <v>11.8</v>
      </c>
      <c r="AD53" s="177" t="s">
        <v>95</v>
      </c>
      <c r="AE53" s="170" t="s">
        <v>96</v>
      </c>
      <c r="AF53" s="170" t="s">
        <v>12</v>
      </c>
      <c r="AG53" s="178">
        <v>15.1</v>
      </c>
      <c r="AH53" s="177" t="s">
        <v>94</v>
      </c>
      <c r="AI53" s="170" t="s">
        <v>97</v>
      </c>
      <c r="AJ53" s="170" t="s">
        <v>12</v>
      </c>
      <c r="AK53" s="170">
        <v>12.3</v>
      </c>
      <c r="AL53" s="177"/>
      <c r="AO53" s="178"/>
      <c r="AP53" s="177"/>
      <c r="AS53" s="178"/>
      <c r="AW53" s="178"/>
      <c r="BA53" s="179"/>
    </row>
    <row r="54" spans="1:53" s="28" customFormat="1" x14ac:dyDescent="0.15">
      <c r="A54" s="51">
        <v>1981</v>
      </c>
      <c r="B54" s="293">
        <v>29682</v>
      </c>
      <c r="C54" s="370" t="s">
        <v>204</v>
      </c>
      <c r="D54" s="370"/>
      <c r="E54" s="28">
        <v>255</v>
      </c>
      <c r="F54" s="28">
        <v>4</v>
      </c>
      <c r="G54" s="65"/>
      <c r="H54" s="28">
        <v>13</v>
      </c>
      <c r="I54" s="28">
        <v>12</v>
      </c>
      <c r="J54" s="72">
        <v>25</v>
      </c>
      <c r="K54" s="46">
        <f>G54/J54*100</f>
        <v>0</v>
      </c>
      <c r="L54" s="46">
        <f>H54/J54*100</f>
        <v>52</v>
      </c>
      <c r="M54" s="46">
        <f>I54/J54*100</f>
        <v>48</v>
      </c>
      <c r="N54" s="67">
        <f t="shared" si="0"/>
        <v>100</v>
      </c>
      <c r="O54" s="45"/>
      <c r="P54" s="46">
        <v>38.700000000000003</v>
      </c>
      <c r="Q54" s="46">
        <v>27.4</v>
      </c>
      <c r="R54" s="47">
        <f t="shared" si="4"/>
        <v>66.099999999999994</v>
      </c>
      <c r="S54" s="28">
        <v>3</v>
      </c>
      <c r="T54" s="284"/>
      <c r="U54" s="293">
        <v>29682</v>
      </c>
      <c r="V54" s="37" t="s">
        <v>80</v>
      </c>
      <c r="W54" s="28" t="s">
        <v>81</v>
      </c>
      <c r="X54" s="28" t="s">
        <v>18</v>
      </c>
      <c r="Y54" s="38">
        <v>26.9</v>
      </c>
      <c r="Z54" s="28" t="s">
        <v>84</v>
      </c>
      <c r="AA54" s="28" t="s">
        <v>85</v>
      </c>
      <c r="AB54" s="28" t="s">
        <v>18</v>
      </c>
      <c r="AC54" s="28">
        <v>11.8</v>
      </c>
      <c r="AD54" s="37" t="s">
        <v>95</v>
      </c>
      <c r="AE54" s="28" t="s">
        <v>96</v>
      </c>
      <c r="AF54" s="28" t="s">
        <v>12</v>
      </c>
      <c r="AG54" s="38">
        <v>15.1</v>
      </c>
      <c r="AH54" s="28" t="s">
        <v>94</v>
      </c>
      <c r="AI54" s="28" t="s">
        <v>97</v>
      </c>
      <c r="AJ54" s="28" t="s">
        <v>12</v>
      </c>
      <c r="AK54" s="28">
        <v>12.3</v>
      </c>
      <c r="AL54" s="37"/>
      <c r="AO54" s="38"/>
      <c r="AP54" s="37"/>
      <c r="AS54" s="38"/>
      <c r="AW54" s="38"/>
      <c r="BA54" s="39"/>
    </row>
    <row r="55" spans="1:53" s="170" customFormat="1" x14ac:dyDescent="0.15">
      <c r="A55" s="215">
        <v>1981</v>
      </c>
      <c r="B55" s="281">
        <v>29937</v>
      </c>
      <c r="C55" s="369" t="s">
        <v>205</v>
      </c>
      <c r="D55" s="369"/>
      <c r="E55" s="170">
        <v>15</v>
      </c>
      <c r="F55" s="170">
        <v>4</v>
      </c>
      <c r="G55" s="232">
        <v>8</v>
      </c>
      <c r="H55" s="170">
        <v>8</v>
      </c>
      <c r="J55" s="240">
        <v>16</v>
      </c>
      <c r="K55" s="213">
        <f t="shared" ref="K55:K60" si="20">G55/J55*100</f>
        <v>50</v>
      </c>
      <c r="L55" s="213">
        <f t="shared" ref="L55:L60" si="21">H55/J55*100</f>
        <v>50</v>
      </c>
      <c r="M55" s="213">
        <f t="shared" ref="M55:M60" si="22">I55/J55*100</f>
        <v>0</v>
      </c>
      <c r="N55" s="234">
        <f t="shared" si="0"/>
        <v>100</v>
      </c>
      <c r="O55" s="212">
        <v>24.5</v>
      </c>
      <c r="P55" s="213">
        <v>28.8</v>
      </c>
      <c r="Q55" s="213"/>
      <c r="R55" s="214">
        <f t="shared" si="4"/>
        <v>53.3</v>
      </c>
      <c r="S55" s="170">
        <v>2</v>
      </c>
      <c r="T55" s="283">
        <v>29898</v>
      </c>
      <c r="U55" s="281">
        <v>29937</v>
      </c>
      <c r="V55" s="177" t="s">
        <v>80</v>
      </c>
      <c r="W55" s="170" t="s">
        <v>81</v>
      </c>
      <c r="X55" s="170" t="s">
        <v>18</v>
      </c>
      <c r="Y55" s="178">
        <v>20.3</v>
      </c>
      <c r="Z55" s="170" t="s">
        <v>84</v>
      </c>
      <c r="AA55" s="170" t="s">
        <v>85</v>
      </c>
      <c r="AB55" s="170" t="s">
        <v>18</v>
      </c>
      <c r="AC55" s="170">
        <v>8.5</v>
      </c>
      <c r="AD55" s="177" t="s">
        <v>86</v>
      </c>
      <c r="AE55" s="170" t="s">
        <v>87</v>
      </c>
      <c r="AF55" s="170" t="s">
        <v>11</v>
      </c>
      <c r="AG55" s="178">
        <v>13.2</v>
      </c>
      <c r="AH55" s="177" t="s">
        <v>98</v>
      </c>
      <c r="AI55" s="170" t="s">
        <v>99</v>
      </c>
      <c r="AJ55" s="170" t="s">
        <v>11</v>
      </c>
      <c r="AK55" s="170">
        <v>11.3</v>
      </c>
      <c r="AL55" s="177"/>
      <c r="AO55" s="178"/>
      <c r="AP55" s="177"/>
      <c r="AS55" s="178"/>
      <c r="AW55" s="178"/>
      <c r="BA55" s="179"/>
    </row>
    <row r="56" spans="1:53" s="170" customFormat="1" x14ac:dyDescent="0.15">
      <c r="A56" s="215">
        <v>1982</v>
      </c>
      <c r="B56" s="281"/>
      <c r="C56" s="369" t="s">
        <v>205</v>
      </c>
      <c r="D56" s="369"/>
      <c r="E56" s="170">
        <v>0</v>
      </c>
      <c r="G56" s="232">
        <v>8</v>
      </c>
      <c r="H56" s="170">
        <v>8</v>
      </c>
      <c r="J56" s="240">
        <v>16</v>
      </c>
      <c r="K56" s="213">
        <f t="shared" si="20"/>
        <v>50</v>
      </c>
      <c r="L56" s="213">
        <f t="shared" si="21"/>
        <v>50</v>
      </c>
      <c r="M56" s="213">
        <f t="shared" si="22"/>
        <v>0</v>
      </c>
      <c r="N56" s="234">
        <f t="shared" si="0"/>
        <v>100</v>
      </c>
      <c r="O56" s="212">
        <v>24.5</v>
      </c>
      <c r="P56" s="213">
        <v>28.8</v>
      </c>
      <c r="Q56" s="213"/>
      <c r="R56" s="214">
        <f t="shared" si="4"/>
        <v>53.3</v>
      </c>
      <c r="S56" s="170">
        <v>2</v>
      </c>
      <c r="T56" s="283"/>
      <c r="U56" s="281"/>
      <c r="V56" s="177" t="s">
        <v>80</v>
      </c>
      <c r="W56" s="170" t="s">
        <v>81</v>
      </c>
      <c r="X56" s="170" t="s">
        <v>18</v>
      </c>
      <c r="Y56" s="178">
        <v>20.3</v>
      </c>
      <c r="Z56" s="170" t="s">
        <v>84</v>
      </c>
      <c r="AA56" s="170" t="s">
        <v>85</v>
      </c>
      <c r="AB56" s="170" t="s">
        <v>18</v>
      </c>
      <c r="AC56" s="170">
        <v>8.5</v>
      </c>
      <c r="AD56" s="177" t="s">
        <v>86</v>
      </c>
      <c r="AE56" s="170" t="s">
        <v>87</v>
      </c>
      <c r="AF56" s="170" t="s">
        <v>11</v>
      </c>
      <c r="AG56" s="178">
        <v>13.2</v>
      </c>
      <c r="AH56" s="177" t="s">
        <v>98</v>
      </c>
      <c r="AI56" s="170" t="s">
        <v>99</v>
      </c>
      <c r="AJ56" s="170" t="s">
        <v>11</v>
      </c>
      <c r="AK56" s="170">
        <v>11.3</v>
      </c>
      <c r="AL56" s="177"/>
      <c r="AO56" s="178"/>
      <c r="AP56" s="177"/>
      <c r="AS56" s="178"/>
      <c r="AW56" s="178"/>
      <c r="BA56" s="179"/>
    </row>
    <row r="57" spans="1:53" s="170" customFormat="1" x14ac:dyDescent="0.15">
      <c r="A57" s="215">
        <v>1982</v>
      </c>
      <c r="B57" s="281"/>
      <c r="C57" s="369" t="s">
        <v>205</v>
      </c>
      <c r="D57" s="369"/>
      <c r="E57" s="170">
        <v>365</v>
      </c>
      <c r="G57" s="232">
        <v>8</v>
      </c>
      <c r="H57" s="170">
        <v>8</v>
      </c>
      <c r="J57" s="240">
        <v>16</v>
      </c>
      <c r="K57" s="213">
        <f t="shared" si="20"/>
        <v>50</v>
      </c>
      <c r="L57" s="213">
        <f t="shared" si="21"/>
        <v>50</v>
      </c>
      <c r="M57" s="213">
        <f t="shared" si="22"/>
        <v>0</v>
      </c>
      <c r="N57" s="234">
        <f t="shared" si="0"/>
        <v>100</v>
      </c>
      <c r="O57" s="212">
        <v>24.5</v>
      </c>
      <c r="P57" s="213">
        <v>28.8</v>
      </c>
      <c r="Q57" s="213"/>
      <c r="R57" s="214">
        <f t="shared" si="4"/>
        <v>53.3</v>
      </c>
      <c r="S57" s="170">
        <v>2</v>
      </c>
      <c r="T57" s="283"/>
      <c r="U57" s="281"/>
      <c r="V57" s="177" t="s">
        <v>80</v>
      </c>
      <c r="W57" s="170" t="s">
        <v>81</v>
      </c>
      <c r="X57" s="170" t="s">
        <v>18</v>
      </c>
      <c r="Y57" s="178">
        <v>20.3</v>
      </c>
      <c r="Z57" s="170" t="s">
        <v>84</v>
      </c>
      <c r="AA57" s="170" t="s">
        <v>85</v>
      </c>
      <c r="AB57" s="170" t="s">
        <v>18</v>
      </c>
      <c r="AC57" s="170">
        <v>8.5</v>
      </c>
      <c r="AD57" s="177" t="s">
        <v>86</v>
      </c>
      <c r="AE57" s="170" t="s">
        <v>87</v>
      </c>
      <c r="AF57" s="170" t="s">
        <v>11</v>
      </c>
      <c r="AG57" s="178">
        <v>13.2</v>
      </c>
      <c r="AH57" s="177" t="s">
        <v>98</v>
      </c>
      <c r="AI57" s="170" t="s">
        <v>99</v>
      </c>
      <c r="AJ57" s="170" t="s">
        <v>11</v>
      </c>
      <c r="AK57" s="170">
        <v>11.3</v>
      </c>
      <c r="AL57" s="177"/>
      <c r="AO57" s="178"/>
      <c r="AP57" s="177"/>
      <c r="AS57" s="178"/>
      <c r="AW57" s="178"/>
      <c r="BA57" s="179"/>
    </row>
    <row r="58" spans="1:53" s="170" customFormat="1" x14ac:dyDescent="0.15">
      <c r="A58" s="215">
        <v>1983</v>
      </c>
      <c r="B58" s="281"/>
      <c r="C58" s="369" t="s">
        <v>205</v>
      </c>
      <c r="D58" s="369"/>
      <c r="E58" s="170">
        <v>0</v>
      </c>
      <c r="G58" s="232">
        <v>8</v>
      </c>
      <c r="H58" s="170">
        <v>8</v>
      </c>
      <c r="J58" s="240">
        <v>16</v>
      </c>
      <c r="K58" s="213">
        <f t="shared" si="20"/>
        <v>50</v>
      </c>
      <c r="L58" s="213">
        <f t="shared" si="21"/>
        <v>50</v>
      </c>
      <c r="M58" s="213">
        <f t="shared" si="22"/>
        <v>0</v>
      </c>
      <c r="N58" s="234">
        <f t="shared" si="0"/>
        <v>100</v>
      </c>
      <c r="O58" s="212">
        <v>24.5</v>
      </c>
      <c r="P58" s="213">
        <v>28.8</v>
      </c>
      <c r="Q58" s="213"/>
      <c r="R58" s="214">
        <f t="shared" si="4"/>
        <v>53.3</v>
      </c>
      <c r="S58" s="170">
        <v>2</v>
      </c>
      <c r="T58" s="283"/>
      <c r="U58" s="281"/>
      <c r="V58" s="177" t="s">
        <v>80</v>
      </c>
      <c r="W58" s="170" t="s">
        <v>81</v>
      </c>
      <c r="X58" s="170" t="s">
        <v>18</v>
      </c>
      <c r="Y58" s="178">
        <v>20.3</v>
      </c>
      <c r="Z58" s="170" t="s">
        <v>84</v>
      </c>
      <c r="AA58" s="170" t="s">
        <v>85</v>
      </c>
      <c r="AB58" s="170" t="s">
        <v>18</v>
      </c>
      <c r="AC58" s="170">
        <v>8.5</v>
      </c>
      <c r="AD58" s="177" t="s">
        <v>86</v>
      </c>
      <c r="AE58" s="170" t="s">
        <v>87</v>
      </c>
      <c r="AF58" s="170" t="s">
        <v>11</v>
      </c>
      <c r="AG58" s="178">
        <v>13.2</v>
      </c>
      <c r="AH58" s="177" t="s">
        <v>98</v>
      </c>
      <c r="AI58" s="170" t="s">
        <v>99</v>
      </c>
      <c r="AJ58" s="170" t="s">
        <v>11</v>
      </c>
      <c r="AK58" s="170">
        <v>11.3</v>
      </c>
      <c r="AL58" s="177"/>
      <c r="AO58" s="178"/>
      <c r="AP58" s="177"/>
      <c r="AS58" s="178"/>
      <c r="AW58" s="178"/>
      <c r="BA58" s="179"/>
    </row>
    <row r="59" spans="1:53" s="170" customFormat="1" x14ac:dyDescent="0.15">
      <c r="A59" s="215">
        <v>1983</v>
      </c>
      <c r="B59" s="281"/>
      <c r="C59" s="369" t="s">
        <v>205</v>
      </c>
      <c r="D59" s="369"/>
      <c r="E59" s="170">
        <v>365</v>
      </c>
      <c r="G59" s="232">
        <v>8</v>
      </c>
      <c r="H59" s="170">
        <v>8</v>
      </c>
      <c r="J59" s="240">
        <v>16</v>
      </c>
      <c r="K59" s="213">
        <f t="shared" si="20"/>
        <v>50</v>
      </c>
      <c r="L59" s="213">
        <f t="shared" si="21"/>
        <v>50</v>
      </c>
      <c r="M59" s="213">
        <f t="shared" si="22"/>
        <v>0</v>
      </c>
      <c r="N59" s="234">
        <f t="shared" si="0"/>
        <v>100</v>
      </c>
      <c r="O59" s="212">
        <v>24.5</v>
      </c>
      <c r="P59" s="213">
        <v>28.8</v>
      </c>
      <c r="Q59" s="213"/>
      <c r="R59" s="214">
        <f t="shared" si="4"/>
        <v>53.3</v>
      </c>
      <c r="S59" s="170">
        <v>2</v>
      </c>
      <c r="T59" s="283"/>
      <c r="U59" s="281"/>
      <c r="V59" s="177" t="s">
        <v>80</v>
      </c>
      <c r="W59" s="170" t="s">
        <v>81</v>
      </c>
      <c r="X59" s="170" t="s">
        <v>18</v>
      </c>
      <c r="Y59" s="178">
        <v>20.3</v>
      </c>
      <c r="Z59" s="170" t="s">
        <v>84</v>
      </c>
      <c r="AA59" s="170" t="s">
        <v>85</v>
      </c>
      <c r="AB59" s="170" t="s">
        <v>18</v>
      </c>
      <c r="AC59" s="170">
        <v>8.5</v>
      </c>
      <c r="AD59" s="177" t="s">
        <v>86</v>
      </c>
      <c r="AE59" s="170" t="s">
        <v>87</v>
      </c>
      <c r="AF59" s="170" t="s">
        <v>11</v>
      </c>
      <c r="AG59" s="178">
        <v>13.2</v>
      </c>
      <c r="AH59" s="177" t="s">
        <v>98</v>
      </c>
      <c r="AI59" s="170" t="s">
        <v>99</v>
      </c>
      <c r="AJ59" s="170" t="s">
        <v>11</v>
      </c>
      <c r="AK59" s="170">
        <v>11.3</v>
      </c>
      <c r="AL59" s="177"/>
      <c r="AO59" s="178"/>
      <c r="AP59" s="177"/>
      <c r="AS59" s="178"/>
      <c r="AW59" s="178"/>
      <c r="BA59" s="179"/>
    </row>
    <row r="60" spans="1:53" s="170" customFormat="1" x14ac:dyDescent="0.15">
      <c r="A60" s="215">
        <v>1984</v>
      </c>
      <c r="B60" s="281"/>
      <c r="C60" s="369" t="s">
        <v>205</v>
      </c>
      <c r="D60" s="369"/>
      <c r="E60" s="170">
        <v>0</v>
      </c>
      <c r="G60" s="232">
        <v>8</v>
      </c>
      <c r="H60" s="170">
        <v>8</v>
      </c>
      <c r="J60" s="240">
        <v>16</v>
      </c>
      <c r="K60" s="213">
        <f t="shared" si="20"/>
        <v>50</v>
      </c>
      <c r="L60" s="213">
        <f t="shared" si="21"/>
        <v>50</v>
      </c>
      <c r="M60" s="213">
        <f t="shared" si="22"/>
        <v>0</v>
      </c>
      <c r="N60" s="234">
        <f t="shared" si="0"/>
        <v>100</v>
      </c>
      <c r="O60" s="212">
        <v>24.5</v>
      </c>
      <c r="P60" s="213">
        <v>28.8</v>
      </c>
      <c r="Q60" s="213"/>
      <c r="R60" s="214">
        <f t="shared" si="4"/>
        <v>53.3</v>
      </c>
      <c r="S60" s="170">
        <v>2</v>
      </c>
      <c r="T60" s="283"/>
      <c r="U60" s="281"/>
      <c r="V60" s="177" t="s">
        <v>80</v>
      </c>
      <c r="W60" s="170" t="s">
        <v>81</v>
      </c>
      <c r="X60" s="170" t="s">
        <v>18</v>
      </c>
      <c r="Y60" s="178">
        <v>20.3</v>
      </c>
      <c r="Z60" s="170" t="s">
        <v>84</v>
      </c>
      <c r="AA60" s="170" t="s">
        <v>85</v>
      </c>
      <c r="AB60" s="170" t="s">
        <v>18</v>
      </c>
      <c r="AC60" s="170">
        <v>8.5</v>
      </c>
      <c r="AD60" s="177" t="s">
        <v>86</v>
      </c>
      <c r="AE60" s="170" t="s">
        <v>87</v>
      </c>
      <c r="AF60" s="170" t="s">
        <v>11</v>
      </c>
      <c r="AG60" s="178">
        <v>13.2</v>
      </c>
      <c r="AH60" s="177" t="s">
        <v>98</v>
      </c>
      <c r="AI60" s="170" t="s">
        <v>99</v>
      </c>
      <c r="AJ60" s="170" t="s">
        <v>11</v>
      </c>
      <c r="AK60" s="170">
        <v>11.3</v>
      </c>
      <c r="AL60" s="177"/>
      <c r="AO60" s="178"/>
      <c r="AP60" s="177"/>
      <c r="AS60" s="178"/>
      <c r="AW60" s="178"/>
      <c r="BA60" s="179"/>
    </row>
    <row r="61" spans="1:53" s="170" customFormat="1" x14ac:dyDescent="0.15">
      <c r="A61" s="215">
        <v>1984</v>
      </c>
      <c r="B61" s="281"/>
      <c r="C61" s="369" t="s">
        <v>205</v>
      </c>
      <c r="D61" s="369"/>
      <c r="E61" s="170">
        <v>366</v>
      </c>
      <c r="G61" s="232">
        <v>8</v>
      </c>
      <c r="H61" s="170">
        <v>8</v>
      </c>
      <c r="J61" s="240">
        <v>16</v>
      </c>
      <c r="K61" s="213">
        <f>G61/J61*100</f>
        <v>50</v>
      </c>
      <c r="L61" s="213">
        <f>H61/J61*100</f>
        <v>50</v>
      </c>
      <c r="M61" s="213">
        <f>I61/J61*100</f>
        <v>0</v>
      </c>
      <c r="N61" s="234">
        <f t="shared" si="0"/>
        <v>100</v>
      </c>
      <c r="O61" s="212">
        <v>24.5</v>
      </c>
      <c r="P61" s="213">
        <v>28.8</v>
      </c>
      <c r="Q61" s="213"/>
      <c r="R61" s="214">
        <f t="shared" si="4"/>
        <v>53.3</v>
      </c>
      <c r="S61" s="170">
        <v>2</v>
      </c>
      <c r="T61" s="283"/>
      <c r="U61" s="281"/>
      <c r="V61" s="177" t="s">
        <v>80</v>
      </c>
      <c r="W61" s="170" t="s">
        <v>81</v>
      </c>
      <c r="X61" s="170" t="s">
        <v>18</v>
      </c>
      <c r="Y61" s="178">
        <v>20.3</v>
      </c>
      <c r="Z61" s="170" t="s">
        <v>84</v>
      </c>
      <c r="AA61" s="170" t="s">
        <v>85</v>
      </c>
      <c r="AB61" s="170" t="s">
        <v>18</v>
      </c>
      <c r="AC61" s="170">
        <v>8.5</v>
      </c>
      <c r="AD61" s="177" t="s">
        <v>86</v>
      </c>
      <c r="AE61" s="170" t="s">
        <v>87</v>
      </c>
      <c r="AF61" s="170" t="s">
        <v>11</v>
      </c>
      <c r="AG61" s="178">
        <v>13.2</v>
      </c>
      <c r="AH61" s="177" t="s">
        <v>98</v>
      </c>
      <c r="AI61" s="170" t="s">
        <v>99</v>
      </c>
      <c r="AJ61" s="170" t="s">
        <v>11</v>
      </c>
      <c r="AK61" s="170">
        <v>11.3</v>
      </c>
      <c r="AL61" s="177"/>
      <c r="AO61" s="178"/>
      <c r="AP61" s="177"/>
      <c r="AS61" s="178"/>
      <c r="AW61" s="178"/>
      <c r="BA61" s="179"/>
    </row>
    <row r="62" spans="1:53" s="170" customFormat="1" x14ac:dyDescent="0.15">
      <c r="A62" s="215">
        <v>1985</v>
      </c>
      <c r="B62" s="281"/>
      <c r="C62" s="369" t="s">
        <v>205</v>
      </c>
      <c r="D62" s="369"/>
      <c r="E62" s="170">
        <v>331</v>
      </c>
      <c r="G62" s="232">
        <v>8</v>
      </c>
      <c r="H62" s="170">
        <v>8</v>
      </c>
      <c r="J62" s="240">
        <v>16</v>
      </c>
      <c r="K62" s="213">
        <f>G62/J62*100</f>
        <v>50</v>
      </c>
      <c r="L62" s="213">
        <f>H62/J62*100</f>
        <v>50</v>
      </c>
      <c r="M62" s="213">
        <f>I62/J62*100</f>
        <v>0</v>
      </c>
      <c r="N62" s="234">
        <f t="shared" si="0"/>
        <v>100</v>
      </c>
      <c r="O62" s="212">
        <v>24.5</v>
      </c>
      <c r="P62" s="213">
        <v>28.8</v>
      </c>
      <c r="Q62" s="213"/>
      <c r="R62" s="214">
        <f t="shared" si="4"/>
        <v>53.3</v>
      </c>
      <c r="S62" s="170">
        <v>2</v>
      </c>
      <c r="T62" s="283"/>
      <c r="U62" s="281"/>
      <c r="V62" s="177" t="s">
        <v>80</v>
      </c>
      <c r="W62" s="170" t="s">
        <v>81</v>
      </c>
      <c r="X62" s="170" t="s">
        <v>18</v>
      </c>
      <c r="Y62" s="178">
        <v>20.3</v>
      </c>
      <c r="Z62" s="170" t="s">
        <v>84</v>
      </c>
      <c r="AA62" s="170" t="s">
        <v>85</v>
      </c>
      <c r="AB62" s="170" t="s">
        <v>18</v>
      </c>
      <c r="AC62" s="170">
        <v>8.5</v>
      </c>
      <c r="AD62" s="177" t="s">
        <v>86</v>
      </c>
      <c r="AE62" s="170" t="s">
        <v>87</v>
      </c>
      <c r="AF62" s="170" t="s">
        <v>11</v>
      </c>
      <c r="AG62" s="178">
        <v>13.2</v>
      </c>
      <c r="AH62" s="177" t="s">
        <v>98</v>
      </c>
      <c r="AI62" s="170" t="s">
        <v>99</v>
      </c>
      <c r="AJ62" s="170" t="s">
        <v>11</v>
      </c>
      <c r="AK62" s="170">
        <v>11.3</v>
      </c>
      <c r="AL62" s="177"/>
      <c r="AO62" s="178"/>
      <c r="AP62" s="177"/>
      <c r="AS62" s="178"/>
      <c r="AW62" s="178"/>
      <c r="BA62" s="179"/>
    </row>
    <row r="63" spans="1:53" s="28" customFormat="1" x14ac:dyDescent="0.15">
      <c r="A63" s="51">
        <v>1985</v>
      </c>
      <c r="B63" s="293">
        <v>31379</v>
      </c>
      <c r="C63" s="370" t="s">
        <v>206</v>
      </c>
      <c r="D63" s="370"/>
      <c r="E63" s="28">
        <v>34</v>
      </c>
      <c r="F63" s="28">
        <v>4</v>
      </c>
      <c r="G63" s="65">
        <v>7</v>
      </c>
      <c r="H63" s="28">
        <v>8</v>
      </c>
      <c r="J63" s="72">
        <v>15</v>
      </c>
      <c r="K63" s="46">
        <f>G63/J63*100</f>
        <v>46.666666666666664</v>
      </c>
      <c r="L63" s="46">
        <f>H63/J63*100</f>
        <v>53.333333333333336</v>
      </c>
      <c r="M63" s="46">
        <f>I63/J63*100</f>
        <v>0</v>
      </c>
      <c r="N63" s="67">
        <f t="shared" si="0"/>
        <v>100</v>
      </c>
      <c r="O63" s="45">
        <v>21.7</v>
      </c>
      <c r="P63" s="46">
        <v>32.5</v>
      </c>
      <c r="Q63" s="46"/>
      <c r="R63" s="47">
        <f t="shared" si="4"/>
        <v>54.2</v>
      </c>
      <c r="S63" s="28">
        <v>2</v>
      </c>
      <c r="T63" s="284">
        <v>31333</v>
      </c>
      <c r="U63" s="293">
        <v>31379</v>
      </c>
      <c r="V63" s="37" t="s">
        <v>80</v>
      </c>
      <c r="W63" s="28" t="s">
        <v>81</v>
      </c>
      <c r="X63" s="28" t="s">
        <v>18</v>
      </c>
      <c r="Y63" s="38">
        <v>23.1</v>
      </c>
      <c r="Z63" s="28" t="s">
        <v>84</v>
      </c>
      <c r="AA63" s="28" t="s">
        <v>85</v>
      </c>
      <c r="AB63" s="28" t="s">
        <v>18</v>
      </c>
      <c r="AC63" s="28">
        <v>9.4</v>
      </c>
      <c r="AD63" s="37" t="s">
        <v>86</v>
      </c>
      <c r="AE63" s="28" t="s">
        <v>87</v>
      </c>
      <c r="AF63" s="28" t="s">
        <v>11</v>
      </c>
      <c r="AG63" s="38">
        <v>10.4</v>
      </c>
      <c r="AH63" s="37" t="s">
        <v>98</v>
      </c>
      <c r="AI63" s="28" t="s">
        <v>99</v>
      </c>
      <c r="AJ63" s="28" t="s">
        <v>11</v>
      </c>
      <c r="AK63" s="28">
        <v>11.3</v>
      </c>
      <c r="AL63" s="37"/>
      <c r="AO63" s="38"/>
      <c r="AP63" s="37"/>
      <c r="AS63" s="38"/>
      <c r="AW63" s="38"/>
      <c r="BA63" s="39"/>
    </row>
    <row r="64" spans="1:53" s="28" customFormat="1" x14ac:dyDescent="0.15">
      <c r="A64" s="28">
        <v>1986</v>
      </c>
      <c r="B64" s="293"/>
      <c r="C64" s="370" t="s">
        <v>206</v>
      </c>
      <c r="D64" s="370"/>
      <c r="E64" s="28">
        <v>0</v>
      </c>
      <c r="G64" s="65">
        <v>7</v>
      </c>
      <c r="H64" s="28">
        <v>8</v>
      </c>
      <c r="J64" s="72">
        <v>15</v>
      </c>
      <c r="K64" s="46">
        <f>G64/J64*100</f>
        <v>46.666666666666664</v>
      </c>
      <c r="L64" s="46">
        <f>H64/J64*100</f>
        <v>53.333333333333336</v>
      </c>
      <c r="M64" s="46">
        <f>I64/J64*100</f>
        <v>0</v>
      </c>
      <c r="N64" s="67">
        <f t="shared" si="0"/>
        <v>100</v>
      </c>
      <c r="O64" s="45">
        <v>21.7</v>
      </c>
      <c r="P64" s="46">
        <v>32.5</v>
      </c>
      <c r="Q64" s="46"/>
      <c r="R64" s="47">
        <f t="shared" si="4"/>
        <v>54.2</v>
      </c>
      <c r="S64" s="28">
        <v>2</v>
      </c>
      <c r="T64" s="284"/>
      <c r="U64" s="293"/>
      <c r="V64" s="37" t="s">
        <v>80</v>
      </c>
      <c r="W64" s="28" t="s">
        <v>81</v>
      </c>
      <c r="X64" s="28" t="s">
        <v>18</v>
      </c>
      <c r="Y64" s="38">
        <v>23.1</v>
      </c>
      <c r="Z64" s="28" t="s">
        <v>84</v>
      </c>
      <c r="AA64" s="28" t="s">
        <v>85</v>
      </c>
      <c r="AB64" s="28" t="s">
        <v>18</v>
      </c>
      <c r="AC64" s="28">
        <v>9.4</v>
      </c>
      <c r="AD64" s="37" t="s">
        <v>86</v>
      </c>
      <c r="AE64" s="28" t="s">
        <v>87</v>
      </c>
      <c r="AF64" s="28" t="s">
        <v>11</v>
      </c>
      <c r="AG64" s="38">
        <v>10.4</v>
      </c>
      <c r="AH64" s="37" t="s">
        <v>98</v>
      </c>
      <c r="AI64" s="28" t="s">
        <v>99</v>
      </c>
      <c r="AJ64" s="28" t="s">
        <v>11</v>
      </c>
      <c r="AK64" s="28">
        <v>11.3</v>
      </c>
      <c r="AL64" s="37"/>
      <c r="AO64" s="38"/>
      <c r="AP64" s="37"/>
      <c r="AS64" s="38"/>
      <c r="AW64" s="38"/>
      <c r="BA64" s="39"/>
    </row>
    <row r="65" spans="1:53" s="28" customFormat="1" x14ac:dyDescent="0.15">
      <c r="A65" s="28">
        <v>1986</v>
      </c>
      <c r="B65" s="293"/>
      <c r="C65" s="370" t="s">
        <v>206</v>
      </c>
      <c r="D65" s="370"/>
      <c r="E65" s="28">
        <f>365-E64</f>
        <v>365</v>
      </c>
      <c r="G65" s="65">
        <v>7</v>
      </c>
      <c r="H65" s="28">
        <v>8</v>
      </c>
      <c r="J65" s="72">
        <v>15</v>
      </c>
      <c r="K65" s="46">
        <f t="shared" ref="K65:K72" si="23">G65/J65*100</f>
        <v>46.666666666666664</v>
      </c>
      <c r="L65" s="46">
        <f t="shared" ref="L65:L72" si="24">H65/J65*100</f>
        <v>53.333333333333336</v>
      </c>
      <c r="M65" s="46">
        <f t="shared" ref="M65:M72" si="25">I65/J65*100</f>
        <v>0</v>
      </c>
      <c r="N65" s="67">
        <f t="shared" si="0"/>
        <v>100</v>
      </c>
      <c r="O65" s="45">
        <v>21.7</v>
      </c>
      <c r="P65" s="46">
        <v>32.5</v>
      </c>
      <c r="Q65" s="46"/>
      <c r="R65" s="47">
        <f t="shared" si="4"/>
        <v>54.2</v>
      </c>
      <c r="S65" s="28">
        <v>2</v>
      </c>
      <c r="T65" s="284"/>
      <c r="U65" s="293"/>
      <c r="V65" s="37" t="s">
        <v>80</v>
      </c>
      <c r="W65" s="28" t="s">
        <v>81</v>
      </c>
      <c r="X65" s="28" t="s">
        <v>18</v>
      </c>
      <c r="Y65" s="38">
        <v>23.1</v>
      </c>
      <c r="Z65" s="28" t="s">
        <v>84</v>
      </c>
      <c r="AA65" s="28" t="s">
        <v>85</v>
      </c>
      <c r="AB65" s="28" t="s">
        <v>18</v>
      </c>
      <c r="AC65" s="28">
        <v>9.4</v>
      </c>
      <c r="AD65" s="37" t="s">
        <v>86</v>
      </c>
      <c r="AE65" s="28" t="s">
        <v>87</v>
      </c>
      <c r="AF65" s="28" t="s">
        <v>11</v>
      </c>
      <c r="AG65" s="38">
        <v>10.4</v>
      </c>
      <c r="AH65" s="37" t="s">
        <v>98</v>
      </c>
      <c r="AI65" s="28" t="s">
        <v>99</v>
      </c>
      <c r="AJ65" s="28" t="s">
        <v>11</v>
      </c>
      <c r="AK65" s="28">
        <v>11.3</v>
      </c>
      <c r="AL65" s="37"/>
      <c r="AO65" s="38"/>
      <c r="AP65" s="37"/>
      <c r="AS65" s="38"/>
      <c r="AW65" s="38"/>
      <c r="BA65" s="39"/>
    </row>
    <row r="66" spans="1:53" s="28" customFormat="1" x14ac:dyDescent="0.15">
      <c r="A66" s="28">
        <v>1987</v>
      </c>
      <c r="B66" s="293"/>
      <c r="C66" s="370" t="s">
        <v>206</v>
      </c>
      <c r="D66" s="370"/>
      <c r="E66" s="28">
        <v>292</v>
      </c>
      <c r="G66" s="65">
        <v>7</v>
      </c>
      <c r="H66" s="28">
        <v>8</v>
      </c>
      <c r="J66" s="72">
        <v>15</v>
      </c>
      <c r="K66" s="46">
        <f t="shared" si="23"/>
        <v>46.666666666666664</v>
      </c>
      <c r="L66" s="46">
        <f t="shared" si="24"/>
        <v>53.333333333333336</v>
      </c>
      <c r="M66" s="46">
        <f t="shared" si="25"/>
        <v>0</v>
      </c>
      <c r="N66" s="67">
        <f t="shared" si="0"/>
        <v>100</v>
      </c>
      <c r="O66" s="45">
        <v>21.7</v>
      </c>
      <c r="P66" s="46">
        <v>32.5</v>
      </c>
      <c r="Q66" s="46"/>
      <c r="R66" s="47">
        <f t="shared" si="4"/>
        <v>54.2</v>
      </c>
      <c r="S66" s="28">
        <v>2</v>
      </c>
      <c r="T66" s="284"/>
      <c r="U66" s="293"/>
      <c r="V66" s="37" t="s">
        <v>80</v>
      </c>
      <c r="W66" s="28" t="s">
        <v>81</v>
      </c>
      <c r="X66" s="28" t="s">
        <v>18</v>
      </c>
      <c r="Y66" s="38">
        <v>23.1</v>
      </c>
      <c r="Z66" s="28" t="s">
        <v>84</v>
      </c>
      <c r="AA66" s="28" t="s">
        <v>85</v>
      </c>
      <c r="AB66" s="28" t="s">
        <v>18</v>
      </c>
      <c r="AC66" s="28">
        <v>9.4</v>
      </c>
      <c r="AD66" s="37" t="s">
        <v>86</v>
      </c>
      <c r="AE66" s="28" t="s">
        <v>87</v>
      </c>
      <c r="AF66" s="28" t="s">
        <v>11</v>
      </c>
      <c r="AG66" s="38">
        <v>10.4</v>
      </c>
      <c r="AH66" s="37" t="s">
        <v>98</v>
      </c>
      <c r="AI66" s="28" t="s">
        <v>99</v>
      </c>
      <c r="AJ66" s="28" t="s">
        <v>11</v>
      </c>
      <c r="AK66" s="28">
        <v>11.3</v>
      </c>
      <c r="AL66" s="37"/>
      <c r="AO66" s="38"/>
      <c r="AP66" s="37"/>
      <c r="AS66" s="38"/>
      <c r="AW66" s="38"/>
      <c r="BA66" s="39"/>
    </row>
    <row r="67" spans="1:53" s="170" customFormat="1" x14ac:dyDescent="0.15">
      <c r="A67" s="170">
        <v>1987</v>
      </c>
      <c r="B67" s="281">
        <v>32070</v>
      </c>
      <c r="C67" s="369" t="s">
        <v>207</v>
      </c>
      <c r="D67" s="369"/>
      <c r="E67" s="170">
        <v>73</v>
      </c>
      <c r="F67" s="170">
        <v>4</v>
      </c>
      <c r="G67" s="232">
        <v>7</v>
      </c>
      <c r="H67" s="170">
        <v>9</v>
      </c>
      <c r="J67" s="240">
        <v>16</v>
      </c>
      <c r="K67" s="213">
        <f t="shared" si="23"/>
        <v>43.75</v>
      </c>
      <c r="L67" s="213">
        <f t="shared" si="24"/>
        <v>56.25</v>
      </c>
      <c r="M67" s="213">
        <f t="shared" si="25"/>
        <v>0</v>
      </c>
      <c r="N67" s="234">
        <f t="shared" si="0"/>
        <v>100</v>
      </c>
      <c r="O67" s="212">
        <v>22.6</v>
      </c>
      <c r="P67" s="213">
        <v>29.3</v>
      </c>
      <c r="Q67" s="213"/>
      <c r="R67" s="214">
        <f t="shared" si="4"/>
        <v>51.900000000000006</v>
      </c>
      <c r="S67" s="170">
        <v>6</v>
      </c>
      <c r="T67" s="283"/>
      <c r="U67" s="281">
        <v>32070</v>
      </c>
      <c r="V67" s="177" t="s">
        <v>80</v>
      </c>
      <c r="W67" s="170" t="s">
        <v>81</v>
      </c>
      <c r="X67" s="170" t="s">
        <v>18</v>
      </c>
      <c r="Y67" s="178">
        <v>23.1</v>
      </c>
      <c r="Z67" s="170" t="s">
        <v>84</v>
      </c>
      <c r="AA67" s="170" t="s">
        <v>85</v>
      </c>
      <c r="AB67" s="170" t="s">
        <v>18</v>
      </c>
      <c r="AC67" s="170">
        <v>9.4</v>
      </c>
      <c r="AD67" s="177" t="s">
        <v>86</v>
      </c>
      <c r="AE67" s="170" t="s">
        <v>87</v>
      </c>
      <c r="AF67" s="170" t="s">
        <v>11</v>
      </c>
      <c r="AG67" s="178">
        <v>10.4</v>
      </c>
      <c r="AH67" s="177" t="s">
        <v>98</v>
      </c>
      <c r="AI67" s="170" t="s">
        <v>99</v>
      </c>
      <c r="AJ67" s="170" t="s">
        <v>11</v>
      </c>
      <c r="AK67" s="170">
        <v>11.3</v>
      </c>
      <c r="AL67" s="177"/>
      <c r="AO67" s="178"/>
      <c r="AP67" s="177"/>
      <c r="AS67" s="178"/>
      <c r="AW67" s="178"/>
      <c r="BA67" s="179"/>
    </row>
    <row r="68" spans="1:53" s="170" customFormat="1" x14ac:dyDescent="0.15">
      <c r="A68" s="170">
        <v>1988</v>
      </c>
      <c r="B68" s="281"/>
      <c r="C68" s="369" t="s">
        <v>207</v>
      </c>
      <c r="D68" s="369"/>
      <c r="E68" s="170">
        <v>160</v>
      </c>
      <c r="G68" s="232">
        <v>7</v>
      </c>
      <c r="H68" s="170">
        <v>9</v>
      </c>
      <c r="J68" s="240">
        <v>16</v>
      </c>
      <c r="K68" s="213">
        <f t="shared" si="23"/>
        <v>43.75</v>
      </c>
      <c r="L68" s="213">
        <f t="shared" si="24"/>
        <v>56.25</v>
      </c>
      <c r="M68" s="213">
        <f t="shared" si="25"/>
        <v>0</v>
      </c>
      <c r="N68" s="234">
        <f t="shared" si="0"/>
        <v>100</v>
      </c>
      <c r="O68" s="212">
        <v>22.6</v>
      </c>
      <c r="P68" s="213">
        <v>29.3</v>
      </c>
      <c r="Q68" s="213"/>
      <c r="R68" s="214">
        <f t="shared" si="4"/>
        <v>51.900000000000006</v>
      </c>
      <c r="S68" s="170">
        <v>6</v>
      </c>
      <c r="T68" s="283">
        <v>32124</v>
      </c>
      <c r="U68" s="281"/>
      <c r="V68" s="177" t="s">
        <v>80</v>
      </c>
      <c r="W68" s="170" t="s">
        <v>81</v>
      </c>
      <c r="X68" s="170" t="s">
        <v>18</v>
      </c>
      <c r="Y68" s="178">
        <v>23.1</v>
      </c>
      <c r="Z68" s="170" t="s">
        <v>84</v>
      </c>
      <c r="AA68" s="170" t="s">
        <v>85</v>
      </c>
      <c r="AB68" s="170" t="s">
        <v>18</v>
      </c>
      <c r="AC68" s="170">
        <v>9.4</v>
      </c>
      <c r="AD68" s="177" t="s">
        <v>86</v>
      </c>
      <c r="AE68" s="170" t="s">
        <v>87</v>
      </c>
      <c r="AF68" s="170" t="s">
        <v>11</v>
      </c>
      <c r="AG68" s="178">
        <v>10.4</v>
      </c>
      <c r="AH68" s="177" t="s">
        <v>98</v>
      </c>
      <c r="AI68" s="170" t="s">
        <v>99</v>
      </c>
      <c r="AJ68" s="170" t="s">
        <v>11</v>
      </c>
      <c r="AK68" s="170">
        <v>11.3</v>
      </c>
      <c r="AL68" s="177"/>
      <c r="AO68" s="178"/>
      <c r="AP68" s="177"/>
      <c r="AS68" s="178"/>
      <c r="AW68" s="178"/>
      <c r="BA68" s="179"/>
    </row>
    <row r="69" spans="1:53" s="28" customFormat="1" x14ac:dyDescent="0.15">
      <c r="A69" s="28">
        <v>1988</v>
      </c>
      <c r="B69" s="293">
        <v>32303</v>
      </c>
      <c r="C69" s="370" t="s">
        <v>208</v>
      </c>
      <c r="D69" s="370"/>
      <c r="E69" s="28">
        <v>206</v>
      </c>
      <c r="F69" s="28">
        <v>1</v>
      </c>
      <c r="G69" s="65"/>
      <c r="H69" s="28">
        <v>9</v>
      </c>
      <c r="I69" s="28">
        <v>8</v>
      </c>
      <c r="J69" s="72">
        <v>17</v>
      </c>
      <c r="K69" s="46">
        <f t="shared" si="23"/>
        <v>0</v>
      </c>
      <c r="L69" s="46">
        <f t="shared" si="24"/>
        <v>52.941176470588239</v>
      </c>
      <c r="M69" s="46">
        <f t="shared" si="25"/>
        <v>47.058823529411761</v>
      </c>
      <c r="N69" s="67">
        <f t="shared" si="0"/>
        <v>100</v>
      </c>
      <c r="O69" s="45"/>
      <c r="P69" s="46">
        <v>36.799999999999997</v>
      </c>
      <c r="Q69" s="46">
        <v>34</v>
      </c>
      <c r="R69" s="47">
        <f t="shared" si="4"/>
        <v>70.8</v>
      </c>
      <c r="S69" s="28">
        <v>3</v>
      </c>
      <c r="T69" s="284"/>
      <c r="U69" s="293">
        <v>32303</v>
      </c>
      <c r="V69" s="37" t="s">
        <v>80</v>
      </c>
      <c r="W69" s="28" t="s">
        <v>81</v>
      </c>
      <c r="X69" s="28" t="s">
        <v>18</v>
      </c>
      <c r="Y69" s="38">
        <v>20.3</v>
      </c>
      <c r="Z69" s="28" t="s">
        <v>84</v>
      </c>
      <c r="AA69" s="28" t="s">
        <v>85</v>
      </c>
      <c r="AB69" s="28" t="s">
        <v>18</v>
      </c>
      <c r="AC69" s="28">
        <v>9</v>
      </c>
      <c r="AD69" s="37" t="s">
        <v>95</v>
      </c>
      <c r="AE69" s="28" t="s">
        <v>96</v>
      </c>
      <c r="AF69" s="28" t="s">
        <v>12</v>
      </c>
      <c r="AG69" s="38">
        <v>18.899999999999999</v>
      </c>
      <c r="AH69" s="28" t="s">
        <v>94</v>
      </c>
      <c r="AI69" s="28" t="s">
        <v>97</v>
      </c>
      <c r="AJ69" s="28" t="s">
        <v>12</v>
      </c>
      <c r="AK69" s="28">
        <v>15.1</v>
      </c>
      <c r="AL69" s="37" t="s">
        <v>88</v>
      </c>
      <c r="AM69" s="28" t="s">
        <v>89</v>
      </c>
      <c r="AN69" s="28" t="s">
        <v>18</v>
      </c>
      <c r="AO69" s="38">
        <v>7.5</v>
      </c>
      <c r="AP69" s="37"/>
      <c r="AS69" s="38"/>
      <c r="AW69" s="38"/>
      <c r="BA69" s="39"/>
    </row>
    <row r="70" spans="1:53" s="28" customFormat="1" x14ac:dyDescent="0.15">
      <c r="A70" s="28">
        <v>1989</v>
      </c>
      <c r="B70" s="293"/>
      <c r="C70" s="370" t="s">
        <v>208</v>
      </c>
      <c r="D70" s="370"/>
      <c r="E70" s="28">
        <v>0</v>
      </c>
      <c r="G70" s="65"/>
      <c r="H70" s="28">
        <v>9</v>
      </c>
      <c r="I70" s="28">
        <v>8</v>
      </c>
      <c r="J70" s="72">
        <v>17</v>
      </c>
      <c r="K70" s="46">
        <f t="shared" si="23"/>
        <v>0</v>
      </c>
      <c r="L70" s="46">
        <f t="shared" si="24"/>
        <v>52.941176470588239</v>
      </c>
      <c r="M70" s="46">
        <f t="shared" si="25"/>
        <v>47.058823529411761</v>
      </c>
      <c r="N70" s="67">
        <f t="shared" si="0"/>
        <v>100</v>
      </c>
      <c r="O70" s="45"/>
      <c r="P70" s="46">
        <v>36.799999999999997</v>
      </c>
      <c r="Q70" s="46">
        <v>34</v>
      </c>
      <c r="R70" s="47">
        <f t="shared" si="4"/>
        <v>70.8</v>
      </c>
      <c r="S70" s="28">
        <v>3</v>
      </c>
      <c r="T70" s="284"/>
      <c r="U70" s="293"/>
      <c r="V70" s="37" t="s">
        <v>80</v>
      </c>
      <c r="W70" s="28" t="s">
        <v>81</v>
      </c>
      <c r="X70" s="28" t="s">
        <v>18</v>
      </c>
      <c r="Y70" s="38">
        <v>20.3</v>
      </c>
      <c r="Z70" s="28" t="s">
        <v>84</v>
      </c>
      <c r="AA70" s="28" t="s">
        <v>85</v>
      </c>
      <c r="AB70" s="28" t="s">
        <v>18</v>
      </c>
      <c r="AC70" s="28">
        <v>9</v>
      </c>
      <c r="AD70" s="37" t="s">
        <v>95</v>
      </c>
      <c r="AE70" s="28" t="s">
        <v>96</v>
      </c>
      <c r="AF70" s="28" t="s">
        <v>12</v>
      </c>
      <c r="AG70" s="38">
        <v>18.899999999999999</v>
      </c>
      <c r="AH70" s="28" t="s">
        <v>94</v>
      </c>
      <c r="AI70" s="28" t="s">
        <v>97</v>
      </c>
      <c r="AJ70" s="28" t="s">
        <v>12</v>
      </c>
      <c r="AK70" s="28">
        <v>15.1</v>
      </c>
      <c r="AL70" s="37" t="s">
        <v>88</v>
      </c>
      <c r="AM70" s="28" t="s">
        <v>89</v>
      </c>
      <c r="AN70" s="28" t="s">
        <v>18</v>
      </c>
      <c r="AO70" s="38">
        <v>7.5</v>
      </c>
      <c r="AP70" s="37"/>
      <c r="AS70" s="38"/>
      <c r="AW70" s="38"/>
      <c r="BA70" s="39"/>
    </row>
    <row r="71" spans="1:53" s="73" customFormat="1" x14ac:dyDescent="0.15">
      <c r="A71" s="73">
        <v>1989</v>
      </c>
      <c r="B71" s="300"/>
      <c r="C71" s="401" t="s">
        <v>208</v>
      </c>
      <c r="D71" s="401"/>
      <c r="E71" s="73">
        <f>365-E70</f>
        <v>365</v>
      </c>
      <c r="G71" s="74"/>
      <c r="H71" s="73">
        <v>9</v>
      </c>
      <c r="I71" s="73">
        <v>8</v>
      </c>
      <c r="J71" s="75">
        <v>17</v>
      </c>
      <c r="K71" s="76">
        <f t="shared" si="23"/>
        <v>0</v>
      </c>
      <c r="L71" s="76">
        <f t="shared" si="24"/>
        <v>52.941176470588239</v>
      </c>
      <c r="M71" s="76">
        <f t="shared" si="25"/>
        <v>47.058823529411761</v>
      </c>
      <c r="N71" s="77">
        <f t="shared" si="0"/>
        <v>100</v>
      </c>
      <c r="O71" s="78"/>
      <c r="P71" s="76">
        <v>36.799999999999997</v>
      </c>
      <c r="Q71" s="76">
        <v>34</v>
      </c>
      <c r="R71" s="79">
        <f t="shared" si="4"/>
        <v>70.8</v>
      </c>
      <c r="S71" s="73">
        <v>3</v>
      </c>
      <c r="T71" s="302"/>
      <c r="U71" s="300"/>
      <c r="V71" s="80" t="s">
        <v>80</v>
      </c>
      <c r="W71" s="73" t="s">
        <v>81</v>
      </c>
      <c r="X71" s="73" t="s">
        <v>18</v>
      </c>
      <c r="Y71" s="81">
        <v>20.3</v>
      </c>
      <c r="Z71" s="73" t="s">
        <v>84</v>
      </c>
      <c r="AA71" s="73" t="s">
        <v>85</v>
      </c>
      <c r="AB71" s="73" t="s">
        <v>18</v>
      </c>
      <c r="AC71" s="73">
        <v>9</v>
      </c>
      <c r="AD71" s="80" t="s">
        <v>95</v>
      </c>
      <c r="AE71" s="73" t="s">
        <v>96</v>
      </c>
      <c r="AF71" s="73" t="s">
        <v>12</v>
      </c>
      <c r="AG71" s="81">
        <v>18.899999999999999</v>
      </c>
      <c r="AH71" s="73" t="s">
        <v>94</v>
      </c>
      <c r="AI71" s="73" t="s">
        <v>97</v>
      </c>
      <c r="AJ71" s="73" t="s">
        <v>12</v>
      </c>
      <c r="AK71" s="73">
        <v>15.1</v>
      </c>
      <c r="AL71" s="80" t="s">
        <v>88</v>
      </c>
      <c r="AM71" s="73" t="s">
        <v>89</v>
      </c>
      <c r="AN71" s="73" t="s">
        <v>18</v>
      </c>
      <c r="AO71" s="81">
        <v>7.5</v>
      </c>
      <c r="AP71" s="80"/>
      <c r="AS71" s="81"/>
      <c r="AW71" s="81"/>
      <c r="BA71" s="82"/>
    </row>
    <row r="72" spans="1:53" s="28" customFormat="1" x14ac:dyDescent="0.15">
      <c r="A72" s="28">
        <v>1990</v>
      </c>
      <c r="B72" s="293"/>
      <c r="C72" s="370" t="s">
        <v>208</v>
      </c>
      <c r="D72" s="370"/>
      <c r="E72" s="28">
        <v>0</v>
      </c>
      <c r="G72" s="65"/>
      <c r="H72" s="28">
        <v>9</v>
      </c>
      <c r="I72" s="28">
        <v>8</v>
      </c>
      <c r="J72" s="72">
        <v>17</v>
      </c>
      <c r="K72" s="46">
        <f t="shared" si="23"/>
        <v>0</v>
      </c>
      <c r="L72" s="46">
        <f t="shared" si="24"/>
        <v>52.941176470588239</v>
      </c>
      <c r="M72" s="46">
        <f t="shared" si="25"/>
        <v>47.058823529411761</v>
      </c>
      <c r="N72" s="67">
        <f t="shared" ref="N72:N118" si="26">SUM(K72:M72)</f>
        <v>100</v>
      </c>
      <c r="O72" s="45"/>
      <c r="P72" s="46">
        <v>36.799999999999997</v>
      </c>
      <c r="Q72" s="46">
        <v>34</v>
      </c>
      <c r="R72" s="47">
        <f t="shared" si="4"/>
        <v>70.8</v>
      </c>
      <c r="S72" s="28">
        <v>3</v>
      </c>
      <c r="T72" s="284"/>
      <c r="U72" s="293"/>
      <c r="V72" s="37" t="s">
        <v>80</v>
      </c>
      <c r="W72" s="28" t="s">
        <v>81</v>
      </c>
      <c r="X72" s="28" t="s">
        <v>18</v>
      </c>
      <c r="Y72" s="38">
        <v>20.3</v>
      </c>
      <c r="Z72" s="28" t="s">
        <v>84</v>
      </c>
      <c r="AA72" s="28" t="s">
        <v>85</v>
      </c>
      <c r="AB72" s="28" t="s">
        <v>18</v>
      </c>
      <c r="AC72" s="28">
        <v>9</v>
      </c>
      <c r="AD72" s="37" t="s">
        <v>95</v>
      </c>
      <c r="AE72" s="28" t="s">
        <v>96</v>
      </c>
      <c r="AF72" s="28" t="s">
        <v>12</v>
      </c>
      <c r="AG72" s="38">
        <v>18.899999999999999</v>
      </c>
      <c r="AH72" s="28" t="s">
        <v>94</v>
      </c>
      <c r="AI72" s="28" t="s">
        <v>97</v>
      </c>
      <c r="AJ72" s="28" t="s">
        <v>12</v>
      </c>
      <c r="AK72" s="28">
        <v>15.1</v>
      </c>
      <c r="AL72" s="37" t="s">
        <v>88</v>
      </c>
      <c r="AM72" s="28" t="s">
        <v>89</v>
      </c>
      <c r="AN72" s="28" t="s">
        <v>18</v>
      </c>
      <c r="AO72" s="38">
        <v>7.5</v>
      </c>
      <c r="AP72" s="37"/>
      <c r="AS72" s="38"/>
      <c r="AW72" s="38"/>
      <c r="BA72" s="39"/>
    </row>
    <row r="73" spans="1:53" s="28" customFormat="1" x14ac:dyDescent="0.15">
      <c r="A73" s="28">
        <v>1990</v>
      </c>
      <c r="B73" s="293"/>
      <c r="C73" s="370" t="s">
        <v>208</v>
      </c>
      <c r="D73" s="370"/>
      <c r="E73" s="28">
        <f>365-E72</f>
        <v>365</v>
      </c>
      <c r="G73" s="65"/>
      <c r="H73" s="28">
        <v>9</v>
      </c>
      <c r="I73" s="28">
        <v>8</v>
      </c>
      <c r="J73" s="72">
        <v>17</v>
      </c>
      <c r="K73" s="46">
        <f>G73/J73*100</f>
        <v>0</v>
      </c>
      <c r="L73" s="46">
        <f>H73/J73*100</f>
        <v>52.941176470588239</v>
      </c>
      <c r="M73" s="46">
        <f>I73/J73*100</f>
        <v>47.058823529411761</v>
      </c>
      <c r="N73" s="67">
        <f t="shared" si="26"/>
        <v>100</v>
      </c>
      <c r="O73" s="45"/>
      <c r="P73" s="46">
        <v>36.799999999999997</v>
      </c>
      <c r="Q73" s="46">
        <v>34</v>
      </c>
      <c r="R73" s="47">
        <f t="shared" ref="R73:R120" si="27">SUM(O73:Q73)</f>
        <v>70.8</v>
      </c>
      <c r="S73" s="28">
        <v>3</v>
      </c>
      <c r="T73" s="284"/>
      <c r="U73" s="293"/>
      <c r="V73" s="37" t="s">
        <v>80</v>
      </c>
      <c r="W73" s="28" t="s">
        <v>81</v>
      </c>
      <c r="X73" s="28" t="s">
        <v>18</v>
      </c>
      <c r="Y73" s="38">
        <v>20.3</v>
      </c>
      <c r="Z73" s="28" t="s">
        <v>84</v>
      </c>
      <c r="AA73" s="28" t="s">
        <v>85</v>
      </c>
      <c r="AB73" s="28" t="s">
        <v>18</v>
      </c>
      <c r="AC73" s="28">
        <v>9</v>
      </c>
      <c r="AD73" s="37" t="s">
        <v>95</v>
      </c>
      <c r="AE73" s="28" t="s">
        <v>96</v>
      </c>
      <c r="AF73" s="28" t="s">
        <v>12</v>
      </c>
      <c r="AG73" s="38">
        <v>18.899999999999999</v>
      </c>
      <c r="AH73" s="28" t="s">
        <v>94</v>
      </c>
      <c r="AI73" s="28" t="s">
        <v>97</v>
      </c>
      <c r="AJ73" s="28" t="s">
        <v>12</v>
      </c>
      <c r="AK73" s="28">
        <v>15.1</v>
      </c>
      <c r="AL73" s="37" t="s">
        <v>88</v>
      </c>
      <c r="AM73" s="28" t="s">
        <v>89</v>
      </c>
      <c r="AN73" s="28" t="s">
        <v>18</v>
      </c>
      <c r="AO73" s="38">
        <v>7.5</v>
      </c>
      <c r="AP73" s="37"/>
      <c r="AS73" s="38"/>
      <c r="AW73" s="38"/>
      <c r="BA73" s="39"/>
    </row>
    <row r="74" spans="1:53" s="28" customFormat="1" x14ac:dyDescent="0.15">
      <c r="A74" s="28">
        <v>1991</v>
      </c>
      <c r="B74" s="293"/>
      <c r="C74" s="370" t="s">
        <v>208</v>
      </c>
      <c r="D74" s="370"/>
      <c r="E74" s="28">
        <v>275</v>
      </c>
      <c r="G74" s="65"/>
      <c r="H74" s="28">
        <v>9</v>
      </c>
      <c r="I74" s="28">
        <v>8</v>
      </c>
      <c r="J74" s="72">
        <v>17</v>
      </c>
      <c r="K74" s="46">
        <f>G74/J74*100</f>
        <v>0</v>
      </c>
      <c r="L74" s="46">
        <f>H74/J74*100</f>
        <v>52.941176470588239</v>
      </c>
      <c r="M74" s="46">
        <f>I74/J74*100</f>
        <v>47.058823529411761</v>
      </c>
      <c r="N74" s="67">
        <f t="shared" si="26"/>
        <v>100</v>
      </c>
      <c r="O74" s="45"/>
      <c r="P74" s="46">
        <v>36.799999999999997</v>
      </c>
      <c r="Q74" s="46">
        <v>34</v>
      </c>
      <c r="R74" s="47">
        <f t="shared" si="27"/>
        <v>70.8</v>
      </c>
      <c r="S74" s="28">
        <v>3</v>
      </c>
      <c r="T74" s="284"/>
      <c r="U74" s="293"/>
      <c r="V74" s="37" t="s">
        <v>80</v>
      </c>
      <c r="W74" s="28" t="s">
        <v>81</v>
      </c>
      <c r="X74" s="28" t="s">
        <v>18</v>
      </c>
      <c r="Y74" s="38">
        <v>20.3</v>
      </c>
      <c r="Z74" s="28" t="s">
        <v>84</v>
      </c>
      <c r="AA74" s="28" t="s">
        <v>85</v>
      </c>
      <c r="AB74" s="28" t="s">
        <v>18</v>
      </c>
      <c r="AC74" s="28">
        <v>9</v>
      </c>
      <c r="AD74" s="37" t="s">
        <v>95</v>
      </c>
      <c r="AE74" s="28" t="s">
        <v>96</v>
      </c>
      <c r="AF74" s="28" t="s">
        <v>12</v>
      </c>
      <c r="AG74" s="38">
        <v>18.899999999999999</v>
      </c>
      <c r="AH74" s="28" t="s">
        <v>94</v>
      </c>
      <c r="AI74" s="28" t="s">
        <v>97</v>
      </c>
      <c r="AJ74" s="28" t="s">
        <v>12</v>
      </c>
      <c r="AK74" s="28">
        <v>15.1</v>
      </c>
      <c r="AL74" s="37" t="s">
        <v>88</v>
      </c>
      <c r="AM74" s="28" t="s">
        <v>89</v>
      </c>
      <c r="AN74" s="28" t="s">
        <v>18</v>
      </c>
      <c r="AO74" s="38">
        <v>7.5</v>
      </c>
      <c r="AP74" s="37"/>
      <c r="AS74" s="38"/>
      <c r="AW74" s="38"/>
      <c r="BA74" s="39"/>
    </row>
    <row r="75" spans="1:53" s="170" customFormat="1" x14ac:dyDescent="0.15">
      <c r="A75" s="170">
        <v>1991</v>
      </c>
      <c r="B75" s="281">
        <v>33514</v>
      </c>
      <c r="C75" s="369" t="s">
        <v>209</v>
      </c>
      <c r="D75" s="369"/>
      <c r="E75" s="170">
        <f>365-E74</f>
        <v>90</v>
      </c>
      <c r="F75" s="170">
        <v>1</v>
      </c>
      <c r="G75" s="232"/>
      <c r="H75" s="170">
        <v>8</v>
      </c>
      <c r="I75" s="170">
        <v>9</v>
      </c>
      <c r="J75" s="240">
        <v>17</v>
      </c>
      <c r="K75" s="213">
        <f>G75/J75*100</f>
        <v>0</v>
      </c>
      <c r="L75" s="213">
        <f>H75/J75*100</f>
        <v>47.058823529411761</v>
      </c>
      <c r="M75" s="213">
        <f>I75/J75*100</f>
        <v>52.941176470588239</v>
      </c>
      <c r="N75" s="234">
        <f t="shared" si="26"/>
        <v>100</v>
      </c>
      <c r="O75" s="212"/>
      <c r="P75" s="213">
        <v>36.799999999999997</v>
      </c>
      <c r="Q75" s="213">
        <v>34</v>
      </c>
      <c r="R75" s="214">
        <f t="shared" si="27"/>
        <v>70.8</v>
      </c>
      <c r="S75" s="170">
        <v>3</v>
      </c>
      <c r="T75" s="283"/>
      <c r="U75" s="281">
        <v>33514</v>
      </c>
      <c r="V75" s="177" t="s">
        <v>80</v>
      </c>
      <c r="W75" s="170" t="s">
        <v>81</v>
      </c>
      <c r="X75" s="170" t="s">
        <v>18</v>
      </c>
      <c r="Y75" s="178">
        <v>20.3</v>
      </c>
      <c r="Z75" s="170" t="s">
        <v>84</v>
      </c>
      <c r="AA75" s="170" t="s">
        <v>85</v>
      </c>
      <c r="AB75" s="170" t="s">
        <v>18</v>
      </c>
      <c r="AC75" s="170">
        <v>9</v>
      </c>
      <c r="AD75" s="177" t="s">
        <v>95</v>
      </c>
      <c r="AE75" s="170" t="s">
        <v>96</v>
      </c>
      <c r="AF75" s="170" t="s">
        <v>12</v>
      </c>
      <c r="AG75" s="178">
        <v>18.899999999999999</v>
      </c>
      <c r="AH75" s="170" t="s">
        <v>94</v>
      </c>
      <c r="AI75" s="170" t="s">
        <v>97</v>
      </c>
      <c r="AJ75" s="170" t="s">
        <v>12</v>
      </c>
      <c r="AK75" s="170">
        <v>15.1</v>
      </c>
      <c r="AL75" s="177" t="s">
        <v>88</v>
      </c>
      <c r="AM75" s="170" t="s">
        <v>89</v>
      </c>
      <c r="AN75" s="170" t="s">
        <v>18</v>
      </c>
      <c r="AO75" s="178">
        <v>7.5</v>
      </c>
      <c r="AP75" s="177"/>
      <c r="AS75" s="178"/>
      <c r="AW75" s="178"/>
      <c r="BA75" s="179"/>
    </row>
    <row r="76" spans="1:53" s="170" customFormat="1" x14ac:dyDescent="0.15">
      <c r="A76" s="170">
        <v>1992</v>
      </c>
      <c r="B76" s="281"/>
      <c r="C76" s="369" t="s">
        <v>209</v>
      </c>
      <c r="D76" s="369"/>
      <c r="E76" s="170">
        <v>72</v>
      </c>
      <c r="G76" s="232"/>
      <c r="H76" s="170">
        <v>8</v>
      </c>
      <c r="I76" s="170">
        <v>9</v>
      </c>
      <c r="J76" s="240">
        <v>17</v>
      </c>
      <c r="K76" s="213">
        <f>G76/J76*100</f>
        <v>0</v>
      </c>
      <c r="L76" s="213">
        <f>H76/J76*100</f>
        <v>47.058823529411761</v>
      </c>
      <c r="M76" s="213">
        <f>I76/J76*100</f>
        <v>52.941176470588239</v>
      </c>
      <c r="N76" s="234">
        <f t="shared" si="26"/>
        <v>100</v>
      </c>
      <c r="O76" s="212"/>
      <c r="P76" s="213">
        <v>36.799999999999997</v>
      </c>
      <c r="Q76" s="213">
        <v>34</v>
      </c>
      <c r="R76" s="214">
        <f t="shared" si="27"/>
        <v>70.8</v>
      </c>
      <c r="S76" s="170">
        <v>3</v>
      </c>
      <c r="T76" s="283">
        <v>33566</v>
      </c>
      <c r="U76" s="281"/>
      <c r="V76" s="177" t="s">
        <v>80</v>
      </c>
      <c r="W76" s="170" t="s">
        <v>81</v>
      </c>
      <c r="X76" s="170" t="s">
        <v>18</v>
      </c>
      <c r="Y76" s="178">
        <v>20.3</v>
      </c>
      <c r="Z76" s="170" t="s">
        <v>84</v>
      </c>
      <c r="AA76" s="170" t="s">
        <v>85</v>
      </c>
      <c r="AB76" s="170" t="s">
        <v>18</v>
      </c>
      <c r="AC76" s="170">
        <v>9</v>
      </c>
      <c r="AD76" s="177" t="s">
        <v>95</v>
      </c>
      <c r="AE76" s="170" t="s">
        <v>96</v>
      </c>
      <c r="AF76" s="170" t="s">
        <v>12</v>
      </c>
      <c r="AG76" s="178">
        <v>18.899999999999999</v>
      </c>
      <c r="AH76" s="170" t="s">
        <v>94</v>
      </c>
      <c r="AI76" s="170" t="s">
        <v>97</v>
      </c>
      <c r="AJ76" s="170" t="s">
        <v>12</v>
      </c>
      <c r="AK76" s="170">
        <v>15.1</v>
      </c>
      <c r="AL76" s="177" t="s">
        <v>88</v>
      </c>
      <c r="AM76" s="170" t="s">
        <v>89</v>
      </c>
      <c r="AN76" s="170" t="s">
        <v>18</v>
      </c>
      <c r="AO76" s="178">
        <v>7.5</v>
      </c>
      <c r="AP76" s="177"/>
      <c r="AS76" s="178"/>
      <c r="AW76" s="178"/>
      <c r="BA76" s="179"/>
    </row>
    <row r="77" spans="1:53" s="28" customFormat="1" x14ac:dyDescent="0.15">
      <c r="A77" s="28">
        <v>1992</v>
      </c>
      <c r="B77" s="293">
        <v>33676</v>
      </c>
      <c r="C77" s="394" t="s">
        <v>210</v>
      </c>
      <c r="D77" s="394"/>
      <c r="E77" s="28">
        <v>294</v>
      </c>
      <c r="F77" s="28">
        <v>5</v>
      </c>
      <c r="G77" s="65"/>
      <c r="H77" s="28">
        <v>7</v>
      </c>
      <c r="I77" s="28">
        <v>8</v>
      </c>
      <c r="J77" s="72">
        <v>15</v>
      </c>
      <c r="K77" s="46">
        <f>G77/J77*100</f>
        <v>0</v>
      </c>
      <c r="L77" s="46">
        <f>H77/J77*100</f>
        <v>46.666666666666664</v>
      </c>
      <c r="M77" s="46">
        <f>I77/J77*100</f>
        <v>53.333333333333336</v>
      </c>
      <c r="N77" s="67">
        <f t="shared" si="26"/>
        <v>100</v>
      </c>
      <c r="O77" s="45"/>
      <c r="P77" s="46">
        <v>26.9</v>
      </c>
      <c r="Q77" s="46">
        <v>29.7</v>
      </c>
      <c r="R77" s="47">
        <f t="shared" si="27"/>
        <v>56.599999999999994</v>
      </c>
      <c r="S77" s="28">
        <v>2</v>
      </c>
      <c r="T77" s="284"/>
      <c r="U77" s="293">
        <v>33676</v>
      </c>
      <c r="V77" s="37" t="s">
        <v>80</v>
      </c>
      <c r="W77" s="28" t="s">
        <v>81</v>
      </c>
      <c r="X77" s="28" t="s">
        <v>18</v>
      </c>
      <c r="Y77" s="38">
        <v>18.399999999999999</v>
      </c>
      <c r="Z77" s="28" t="s">
        <v>84</v>
      </c>
      <c r="AA77" s="28" t="s">
        <v>85</v>
      </c>
      <c r="AB77" s="28" t="s">
        <v>18</v>
      </c>
      <c r="AC77" s="28">
        <v>8.5</v>
      </c>
      <c r="AD77" s="37" t="s">
        <v>95</v>
      </c>
      <c r="AE77" s="28" t="s">
        <v>96</v>
      </c>
      <c r="AF77" s="28" t="s">
        <v>12</v>
      </c>
      <c r="AG77" s="38">
        <v>16.5</v>
      </c>
      <c r="AH77" s="28" t="s">
        <v>94</v>
      </c>
      <c r="AI77" s="28" t="s">
        <v>97</v>
      </c>
      <c r="AJ77" s="28" t="s">
        <v>12</v>
      </c>
      <c r="AK77" s="28">
        <v>13.2</v>
      </c>
      <c r="AL77" s="37"/>
      <c r="AO77" s="38"/>
      <c r="AP77" s="37"/>
      <c r="AS77" s="38"/>
      <c r="AW77" s="38"/>
      <c r="BA77" s="39"/>
    </row>
    <row r="78" spans="1:53" s="28" customFormat="1" x14ac:dyDescent="0.15">
      <c r="A78" s="28">
        <v>1993</v>
      </c>
      <c r="B78" s="293"/>
      <c r="C78" s="394" t="s">
        <v>210</v>
      </c>
      <c r="D78" s="394"/>
      <c r="E78" s="28">
        <v>0</v>
      </c>
      <c r="G78" s="65"/>
      <c r="H78" s="28">
        <v>7</v>
      </c>
      <c r="I78" s="28">
        <v>8</v>
      </c>
      <c r="J78" s="72">
        <v>15</v>
      </c>
      <c r="K78" s="46">
        <f t="shared" ref="K78:K101" si="28">G78/J78*100</f>
        <v>0</v>
      </c>
      <c r="L78" s="46">
        <f t="shared" ref="L78:L101" si="29">H78/J78*100</f>
        <v>46.666666666666664</v>
      </c>
      <c r="M78" s="46">
        <f t="shared" ref="M78:M101" si="30">I78/J78*100</f>
        <v>53.333333333333336</v>
      </c>
      <c r="N78" s="67">
        <f t="shared" si="26"/>
        <v>100</v>
      </c>
      <c r="O78" s="45"/>
      <c r="P78" s="46">
        <v>26.9</v>
      </c>
      <c r="Q78" s="46">
        <v>29.7</v>
      </c>
      <c r="R78" s="47">
        <f t="shared" si="27"/>
        <v>56.599999999999994</v>
      </c>
      <c r="S78" s="28">
        <v>2</v>
      </c>
      <c r="T78" s="284"/>
      <c r="U78" s="293"/>
      <c r="V78" s="37" t="s">
        <v>80</v>
      </c>
      <c r="W78" s="28" t="s">
        <v>81</v>
      </c>
      <c r="X78" s="28" t="s">
        <v>18</v>
      </c>
      <c r="Y78" s="38">
        <v>18.399999999999999</v>
      </c>
      <c r="Z78" s="28" t="s">
        <v>84</v>
      </c>
      <c r="AA78" s="28" t="s">
        <v>85</v>
      </c>
      <c r="AB78" s="28" t="s">
        <v>18</v>
      </c>
      <c r="AC78" s="28">
        <v>8.5</v>
      </c>
      <c r="AD78" s="37" t="s">
        <v>95</v>
      </c>
      <c r="AE78" s="28" t="s">
        <v>96</v>
      </c>
      <c r="AF78" s="28" t="s">
        <v>12</v>
      </c>
      <c r="AG78" s="38">
        <v>16.5</v>
      </c>
      <c r="AH78" s="28" t="s">
        <v>94</v>
      </c>
      <c r="AI78" s="28" t="s">
        <v>97</v>
      </c>
      <c r="AJ78" s="28" t="s">
        <v>12</v>
      </c>
      <c r="AK78" s="28">
        <v>13.2</v>
      </c>
      <c r="AL78" s="37"/>
      <c r="AO78" s="38"/>
      <c r="AP78" s="37"/>
      <c r="AS78" s="38"/>
      <c r="AW78" s="38"/>
      <c r="BA78" s="39"/>
    </row>
    <row r="79" spans="1:53" s="28" customFormat="1" x14ac:dyDescent="0.15">
      <c r="A79" s="28">
        <v>1993</v>
      </c>
      <c r="B79" s="293"/>
      <c r="C79" s="394" t="s">
        <v>210</v>
      </c>
      <c r="D79" s="394"/>
      <c r="E79" s="28">
        <f>365-E78</f>
        <v>365</v>
      </c>
      <c r="G79" s="65"/>
      <c r="H79" s="28">
        <v>7</v>
      </c>
      <c r="I79" s="28">
        <v>8</v>
      </c>
      <c r="J79" s="72">
        <v>15</v>
      </c>
      <c r="K79" s="46">
        <f t="shared" si="28"/>
        <v>0</v>
      </c>
      <c r="L79" s="46">
        <f t="shared" si="29"/>
        <v>46.666666666666664</v>
      </c>
      <c r="M79" s="46">
        <f t="shared" si="30"/>
        <v>53.333333333333336</v>
      </c>
      <c r="N79" s="67">
        <f t="shared" si="26"/>
        <v>100</v>
      </c>
      <c r="O79" s="45"/>
      <c r="P79" s="46">
        <v>26.9</v>
      </c>
      <c r="Q79" s="46">
        <v>29.7</v>
      </c>
      <c r="R79" s="47">
        <f t="shared" si="27"/>
        <v>56.599999999999994</v>
      </c>
      <c r="S79" s="28">
        <v>2</v>
      </c>
      <c r="T79" s="284"/>
      <c r="U79" s="293"/>
      <c r="V79" s="37" t="s">
        <v>80</v>
      </c>
      <c r="W79" s="28" t="s">
        <v>81</v>
      </c>
      <c r="X79" s="28" t="s">
        <v>18</v>
      </c>
      <c r="Y79" s="38">
        <v>18.399999999999999</v>
      </c>
      <c r="Z79" s="28" t="s">
        <v>84</v>
      </c>
      <c r="AA79" s="28" t="s">
        <v>85</v>
      </c>
      <c r="AB79" s="28" t="s">
        <v>18</v>
      </c>
      <c r="AC79" s="28">
        <v>8.5</v>
      </c>
      <c r="AD79" s="37" t="s">
        <v>95</v>
      </c>
      <c r="AE79" s="28" t="s">
        <v>96</v>
      </c>
      <c r="AF79" s="28" t="s">
        <v>12</v>
      </c>
      <c r="AG79" s="38">
        <v>16.5</v>
      </c>
      <c r="AH79" s="28" t="s">
        <v>94</v>
      </c>
      <c r="AI79" s="28" t="s">
        <v>97</v>
      </c>
      <c r="AJ79" s="28" t="s">
        <v>12</v>
      </c>
      <c r="AK79" s="28">
        <v>13.2</v>
      </c>
      <c r="AL79" s="37"/>
      <c r="AO79" s="38"/>
      <c r="AP79" s="37"/>
      <c r="AS79" s="38"/>
      <c r="AW79" s="38"/>
      <c r="BA79" s="39"/>
    </row>
    <row r="80" spans="1:53" s="28" customFormat="1" x14ac:dyDescent="0.15">
      <c r="A80" s="28">
        <v>1994</v>
      </c>
      <c r="B80" s="293"/>
      <c r="C80" s="394" t="s">
        <v>210</v>
      </c>
      <c r="D80" s="394"/>
      <c r="E80" s="28">
        <v>0</v>
      </c>
      <c r="G80" s="65"/>
      <c r="H80" s="28">
        <v>7</v>
      </c>
      <c r="I80" s="28">
        <v>8</v>
      </c>
      <c r="J80" s="72">
        <v>15</v>
      </c>
      <c r="K80" s="46">
        <f t="shared" si="28"/>
        <v>0</v>
      </c>
      <c r="L80" s="46">
        <f t="shared" si="29"/>
        <v>46.666666666666664</v>
      </c>
      <c r="M80" s="46">
        <f t="shared" si="30"/>
        <v>53.333333333333336</v>
      </c>
      <c r="N80" s="67">
        <f t="shared" si="26"/>
        <v>100</v>
      </c>
      <c r="O80" s="45"/>
      <c r="P80" s="46">
        <v>26.9</v>
      </c>
      <c r="Q80" s="46">
        <v>29.7</v>
      </c>
      <c r="R80" s="47">
        <f t="shared" si="27"/>
        <v>56.599999999999994</v>
      </c>
      <c r="S80" s="28">
        <v>2</v>
      </c>
      <c r="T80" s="284"/>
      <c r="U80" s="293"/>
      <c r="V80" s="37" t="s">
        <v>80</v>
      </c>
      <c r="W80" s="28" t="s">
        <v>81</v>
      </c>
      <c r="X80" s="28" t="s">
        <v>18</v>
      </c>
      <c r="Y80" s="38">
        <v>18.399999999999999</v>
      </c>
      <c r="Z80" s="28" t="s">
        <v>84</v>
      </c>
      <c r="AA80" s="28" t="s">
        <v>85</v>
      </c>
      <c r="AB80" s="28" t="s">
        <v>18</v>
      </c>
      <c r="AC80" s="28">
        <v>8.5</v>
      </c>
      <c r="AD80" s="37" t="s">
        <v>95</v>
      </c>
      <c r="AE80" s="28" t="s">
        <v>96</v>
      </c>
      <c r="AF80" s="28" t="s">
        <v>12</v>
      </c>
      <c r="AG80" s="38">
        <v>16.5</v>
      </c>
      <c r="AH80" s="28" t="s">
        <v>94</v>
      </c>
      <c r="AI80" s="28" t="s">
        <v>97</v>
      </c>
      <c r="AJ80" s="28" t="s">
        <v>12</v>
      </c>
      <c r="AK80" s="28">
        <v>13.2</v>
      </c>
      <c r="AL80" s="37"/>
      <c r="AO80" s="38"/>
      <c r="AP80" s="37"/>
      <c r="AS80" s="38"/>
      <c r="AW80" s="38"/>
      <c r="BA80" s="39"/>
    </row>
    <row r="81" spans="1:53" s="28" customFormat="1" x14ac:dyDescent="0.15">
      <c r="A81" s="28">
        <v>1994</v>
      </c>
      <c r="B81" s="293"/>
      <c r="C81" s="394" t="s">
        <v>210</v>
      </c>
      <c r="D81" s="394"/>
      <c r="E81" s="28">
        <f>365-E80</f>
        <v>365</v>
      </c>
      <c r="G81" s="65"/>
      <c r="H81" s="28">
        <v>7</v>
      </c>
      <c r="I81" s="28">
        <v>8</v>
      </c>
      <c r="J81" s="72">
        <v>15</v>
      </c>
      <c r="K81" s="46">
        <f t="shared" si="28"/>
        <v>0</v>
      </c>
      <c r="L81" s="46">
        <f t="shared" si="29"/>
        <v>46.666666666666664</v>
      </c>
      <c r="M81" s="46">
        <f t="shared" si="30"/>
        <v>53.333333333333336</v>
      </c>
      <c r="N81" s="67">
        <f t="shared" si="26"/>
        <v>100</v>
      </c>
      <c r="O81" s="45"/>
      <c r="P81" s="46">
        <v>26.9</v>
      </c>
      <c r="Q81" s="46">
        <v>29.7</v>
      </c>
      <c r="R81" s="47">
        <f t="shared" si="27"/>
        <v>56.599999999999994</v>
      </c>
      <c r="S81" s="28">
        <v>2</v>
      </c>
      <c r="T81" s="284"/>
      <c r="U81" s="293"/>
      <c r="V81" s="37" t="s">
        <v>80</v>
      </c>
      <c r="W81" s="28" t="s">
        <v>81</v>
      </c>
      <c r="X81" s="28" t="s">
        <v>18</v>
      </c>
      <c r="Y81" s="38">
        <v>18.399999999999999</v>
      </c>
      <c r="Z81" s="28" t="s">
        <v>84</v>
      </c>
      <c r="AA81" s="28" t="s">
        <v>85</v>
      </c>
      <c r="AB81" s="28" t="s">
        <v>18</v>
      </c>
      <c r="AC81" s="28">
        <v>8.5</v>
      </c>
      <c r="AD81" s="37" t="s">
        <v>95</v>
      </c>
      <c r="AE81" s="28" t="s">
        <v>96</v>
      </c>
      <c r="AF81" s="28" t="s">
        <v>12</v>
      </c>
      <c r="AG81" s="38">
        <v>16.5</v>
      </c>
      <c r="AH81" s="28" t="s">
        <v>94</v>
      </c>
      <c r="AI81" s="28" t="s">
        <v>97</v>
      </c>
      <c r="AJ81" s="28" t="s">
        <v>12</v>
      </c>
      <c r="AK81" s="28">
        <v>13.2</v>
      </c>
      <c r="AL81" s="37"/>
      <c r="AO81" s="38"/>
      <c r="AP81" s="37"/>
      <c r="AS81" s="38"/>
      <c r="AW81" s="38"/>
      <c r="BA81" s="39"/>
    </row>
    <row r="82" spans="1:53" s="28" customFormat="1" x14ac:dyDescent="0.15">
      <c r="A82" s="28">
        <v>1995</v>
      </c>
      <c r="B82" s="293"/>
      <c r="C82" s="394" t="s">
        <v>210</v>
      </c>
      <c r="D82" s="394"/>
      <c r="E82" s="28">
        <v>173</v>
      </c>
      <c r="G82" s="65"/>
      <c r="H82" s="28">
        <v>7</v>
      </c>
      <c r="I82" s="28">
        <v>8</v>
      </c>
      <c r="J82" s="72">
        <v>15</v>
      </c>
      <c r="K82" s="46">
        <f t="shared" si="28"/>
        <v>0</v>
      </c>
      <c r="L82" s="46">
        <f t="shared" si="29"/>
        <v>46.666666666666664</v>
      </c>
      <c r="M82" s="46">
        <f t="shared" si="30"/>
        <v>53.333333333333336</v>
      </c>
      <c r="N82" s="67">
        <f t="shared" si="26"/>
        <v>100</v>
      </c>
      <c r="O82" s="45"/>
      <c r="P82" s="46">
        <v>26.9</v>
      </c>
      <c r="Q82" s="46">
        <v>29.7</v>
      </c>
      <c r="R82" s="47">
        <f t="shared" si="27"/>
        <v>56.599999999999994</v>
      </c>
      <c r="S82" s="28">
        <v>2</v>
      </c>
      <c r="T82" s="284"/>
      <c r="U82" s="293"/>
      <c r="V82" s="37" t="s">
        <v>80</v>
      </c>
      <c r="W82" s="28" t="s">
        <v>81</v>
      </c>
      <c r="X82" s="28" t="s">
        <v>18</v>
      </c>
      <c r="Y82" s="38">
        <v>18.399999999999999</v>
      </c>
      <c r="Z82" s="28" t="s">
        <v>84</v>
      </c>
      <c r="AA82" s="28" t="s">
        <v>85</v>
      </c>
      <c r="AB82" s="28" t="s">
        <v>18</v>
      </c>
      <c r="AC82" s="28">
        <v>8.5</v>
      </c>
      <c r="AD82" s="37" t="s">
        <v>95</v>
      </c>
      <c r="AE82" s="28" t="s">
        <v>96</v>
      </c>
      <c r="AF82" s="28" t="s">
        <v>12</v>
      </c>
      <c r="AG82" s="38">
        <v>16.5</v>
      </c>
      <c r="AH82" s="28" t="s">
        <v>94</v>
      </c>
      <c r="AI82" s="28" t="s">
        <v>97</v>
      </c>
      <c r="AJ82" s="28" t="s">
        <v>12</v>
      </c>
      <c r="AK82" s="28">
        <v>13.2</v>
      </c>
      <c r="AL82" s="37"/>
      <c r="AO82" s="38"/>
      <c r="AP82" s="37"/>
      <c r="AS82" s="38"/>
      <c r="AW82" s="38"/>
      <c r="BA82" s="39"/>
    </row>
    <row r="83" spans="1:53" s="170" customFormat="1" x14ac:dyDescent="0.15">
      <c r="A83" s="170">
        <v>1995</v>
      </c>
      <c r="B83" s="281">
        <v>34873</v>
      </c>
      <c r="C83" s="395" t="s">
        <v>211</v>
      </c>
      <c r="D83" s="395"/>
      <c r="E83" s="170">
        <f>365-E82</f>
        <v>192</v>
      </c>
      <c r="F83" s="170">
        <v>1</v>
      </c>
      <c r="G83" s="232"/>
      <c r="H83" s="170">
        <v>7</v>
      </c>
      <c r="I83" s="170">
        <v>8</v>
      </c>
      <c r="J83" s="240">
        <v>15</v>
      </c>
      <c r="K83" s="213">
        <f t="shared" si="28"/>
        <v>0</v>
      </c>
      <c r="L83" s="213">
        <f t="shared" si="29"/>
        <v>46.666666666666664</v>
      </c>
      <c r="M83" s="213">
        <f t="shared" si="30"/>
        <v>53.333333333333336</v>
      </c>
      <c r="N83" s="234">
        <f t="shared" si="26"/>
        <v>100</v>
      </c>
      <c r="O83" s="212"/>
      <c r="P83" s="213">
        <v>27.3</v>
      </c>
      <c r="Q83" s="213">
        <v>27.3</v>
      </c>
      <c r="R83" s="214">
        <f t="shared" si="27"/>
        <v>54.6</v>
      </c>
      <c r="S83" s="170">
        <v>2</v>
      </c>
      <c r="T83" s="283">
        <v>34840</v>
      </c>
      <c r="U83" s="281">
        <v>34873</v>
      </c>
      <c r="V83" s="177" t="s">
        <v>80</v>
      </c>
      <c r="W83" s="170" t="s">
        <v>81</v>
      </c>
      <c r="X83" s="170" t="s">
        <v>18</v>
      </c>
      <c r="Y83" s="178">
        <v>19.3</v>
      </c>
      <c r="Z83" s="170" t="s">
        <v>84</v>
      </c>
      <c r="AA83" s="170" t="s">
        <v>85</v>
      </c>
      <c r="AB83" s="170" t="s">
        <v>18</v>
      </c>
      <c r="AC83" s="170">
        <v>8</v>
      </c>
      <c r="AD83" s="177" t="s">
        <v>95</v>
      </c>
      <c r="AE83" s="170" t="s">
        <v>96</v>
      </c>
      <c r="AF83" s="170" t="s">
        <v>12</v>
      </c>
      <c r="AG83" s="178">
        <v>14</v>
      </c>
      <c r="AH83" s="170" t="s">
        <v>94</v>
      </c>
      <c r="AI83" s="170" t="s">
        <v>97</v>
      </c>
      <c r="AJ83" s="170" t="s">
        <v>12</v>
      </c>
      <c r="AK83" s="170">
        <v>13.3</v>
      </c>
      <c r="AL83" s="177"/>
      <c r="AO83" s="178"/>
      <c r="AP83" s="177"/>
      <c r="AS83" s="178"/>
      <c r="AW83" s="178"/>
      <c r="BA83" s="179"/>
    </row>
    <row r="84" spans="1:53" s="170" customFormat="1" x14ac:dyDescent="0.15">
      <c r="A84" s="170">
        <v>1996</v>
      </c>
      <c r="B84" s="281"/>
      <c r="C84" s="395" t="s">
        <v>211</v>
      </c>
      <c r="D84" s="395"/>
      <c r="E84" s="170">
        <v>0</v>
      </c>
      <c r="G84" s="232"/>
      <c r="H84" s="170">
        <v>7</v>
      </c>
      <c r="I84" s="170">
        <v>8</v>
      </c>
      <c r="J84" s="240">
        <v>15</v>
      </c>
      <c r="K84" s="213">
        <f t="shared" si="28"/>
        <v>0</v>
      </c>
      <c r="L84" s="213">
        <f t="shared" si="29"/>
        <v>46.666666666666664</v>
      </c>
      <c r="M84" s="213">
        <f t="shared" si="30"/>
        <v>53.333333333333336</v>
      </c>
      <c r="N84" s="234">
        <f t="shared" si="26"/>
        <v>100</v>
      </c>
      <c r="O84" s="212"/>
      <c r="P84" s="213">
        <v>27.3</v>
      </c>
      <c r="Q84" s="213">
        <v>27.3</v>
      </c>
      <c r="R84" s="214">
        <f t="shared" si="27"/>
        <v>54.6</v>
      </c>
      <c r="S84" s="170">
        <v>2</v>
      </c>
      <c r="T84" s="283"/>
      <c r="U84" s="281"/>
      <c r="V84" s="177" t="s">
        <v>80</v>
      </c>
      <c r="W84" s="170" t="s">
        <v>81</v>
      </c>
      <c r="X84" s="170" t="s">
        <v>18</v>
      </c>
      <c r="Y84" s="178">
        <v>19.3</v>
      </c>
      <c r="Z84" s="170" t="s">
        <v>84</v>
      </c>
      <c r="AA84" s="170" t="s">
        <v>85</v>
      </c>
      <c r="AB84" s="170" t="s">
        <v>18</v>
      </c>
      <c r="AC84" s="170">
        <v>8</v>
      </c>
      <c r="AD84" s="177" t="s">
        <v>95</v>
      </c>
      <c r="AE84" s="170" t="s">
        <v>96</v>
      </c>
      <c r="AF84" s="170" t="s">
        <v>12</v>
      </c>
      <c r="AG84" s="178">
        <v>14</v>
      </c>
      <c r="AH84" s="170" t="s">
        <v>94</v>
      </c>
      <c r="AI84" s="170" t="s">
        <v>97</v>
      </c>
      <c r="AJ84" s="170" t="s">
        <v>12</v>
      </c>
      <c r="AK84" s="170">
        <v>13.3</v>
      </c>
      <c r="AL84" s="177"/>
      <c r="AO84" s="178"/>
      <c r="AP84" s="177"/>
      <c r="AS84" s="178"/>
      <c r="AW84" s="178"/>
      <c r="BA84" s="179"/>
    </row>
    <row r="85" spans="1:53" s="170" customFormat="1" x14ac:dyDescent="0.15">
      <c r="A85" s="170">
        <v>1996</v>
      </c>
      <c r="B85" s="281"/>
      <c r="C85" s="395" t="s">
        <v>211</v>
      </c>
      <c r="D85" s="395"/>
      <c r="E85" s="170">
        <v>366</v>
      </c>
      <c r="G85" s="232"/>
      <c r="H85" s="170">
        <v>7</v>
      </c>
      <c r="I85" s="170">
        <v>8</v>
      </c>
      <c r="J85" s="240">
        <v>15</v>
      </c>
      <c r="K85" s="213">
        <f t="shared" si="28"/>
        <v>0</v>
      </c>
      <c r="L85" s="213">
        <f t="shared" si="29"/>
        <v>46.666666666666664</v>
      </c>
      <c r="M85" s="213">
        <f t="shared" si="30"/>
        <v>53.333333333333336</v>
      </c>
      <c r="N85" s="234">
        <f t="shared" si="26"/>
        <v>100</v>
      </c>
      <c r="O85" s="212"/>
      <c r="P85" s="213">
        <v>27.3</v>
      </c>
      <c r="Q85" s="213">
        <v>27.3</v>
      </c>
      <c r="R85" s="214">
        <f t="shared" si="27"/>
        <v>54.6</v>
      </c>
      <c r="S85" s="170">
        <v>2</v>
      </c>
      <c r="T85" s="283"/>
      <c r="U85" s="281"/>
      <c r="V85" s="177" t="s">
        <v>80</v>
      </c>
      <c r="W85" s="170" t="s">
        <v>81</v>
      </c>
      <c r="X85" s="170" t="s">
        <v>18</v>
      </c>
      <c r="Y85" s="178">
        <v>19.3</v>
      </c>
      <c r="Z85" s="170" t="s">
        <v>84</v>
      </c>
      <c r="AA85" s="170" t="s">
        <v>85</v>
      </c>
      <c r="AB85" s="170" t="s">
        <v>18</v>
      </c>
      <c r="AC85" s="170">
        <v>8</v>
      </c>
      <c r="AD85" s="177" t="s">
        <v>95</v>
      </c>
      <c r="AE85" s="170" t="s">
        <v>96</v>
      </c>
      <c r="AF85" s="170" t="s">
        <v>12</v>
      </c>
      <c r="AG85" s="178">
        <v>14</v>
      </c>
      <c r="AH85" s="170" t="s">
        <v>94</v>
      </c>
      <c r="AI85" s="170" t="s">
        <v>97</v>
      </c>
      <c r="AJ85" s="170" t="s">
        <v>12</v>
      </c>
      <c r="AK85" s="170">
        <v>13.3</v>
      </c>
      <c r="AL85" s="177"/>
      <c r="AO85" s="178"/>
      <c r="AP85" s="177"/>
      <c r="AS85" s="178"/>
      <c r="AW85" s="178"/>
      <c r="BA85" s="179"/>
    </row>
    <row r="86" spans="1:53" s="170" customFormat="1" x14ac:dyDescent="0.15">
      <c r="A86" s="170">
        <v>1997</v>
      </c>
      <c r="B86" s="281"/>
      <c r="C86" s="395" t="s">
        <v>211</v>
      </c>
      <c r="D86" s="395"/>
      <c r="E86" s="170">
        <v>0</v>
      </c>
      <c r="G86" s="232"/>
      <c r="H86" s="170">
        <v>7</v>
      </c>
      <c r="I86" s="170">
        <v>8</v>
      </c>
      <c r="J86" s="240">
        <v>15</v>
      </c>
      <c r="K86" s="213">
        <f t="shared" si="28"/>
        <v>0</v>
      </c>
      <c r="L86" s="213">
        <f t="shared" si="29"/>
        <v>46.666666666666664</v>
      </c>
      <c r="M86" s="213">
        <f t="shared" si="30"/>
        <v>53.333333333333336</v>
      </c>
      <c r="N86" s="234">
        <f t="shared" si="26"/>
        <v>100</v>
      </c>
      <c r="O86" s="212"/>
      <c r="P86" s="213">
        <v>27.3</v>
      </c>
      <c r="Q86" s="213">
        <v>27.3</v>
      </c>
      <c r="R86" s="214">
        <f t="shared" si="27"/>
        <v>54.6</v>
      </c>
      <c r="S86" s="170">
        <v>2</v>
      </c>
      <c r="T86" s="283"/>
      <c r="U86" s="281"/>
      <c r="V86" s="177" t="s">
        <v>80</v>
      </c>
      <c r="W86" s="170" t="s">
        <v>81</v>
      </c>
      <c r="X86" s="170" t="s">
        <v>18</v>
      </c>
      <c r="Y86" s="178">
        <v>19.3</v>
      </c>
      <c r="Z86" s="170" t="s">
        <v>84</v>
      </c>
      <c r="AA86" s="170" t="s">
        <v>85</v>
      </c>
      <c r="AB86" s="170" t="s">
        <v>18</v>
      </c>
      <c r="AC86" s="170">
        <v>8</v>
      </c>
      <c r="AD86" s="177" t="s">
        <v>95</v>
      </c>
      <c r="AE86" s="170" t="s">
        <v>96</v>
      </c>
      <c r="AF86" s="170" t="s">
        <v>12</v>
      </c>
      <c r="AG86" s="178">
        <v>14</v>
      </c>
      <c r="AH86" s="170" t="s">
        <v>94</v>
      </c>
      <c r="AI86" s="170" t="s">
        <v>97</v>
      </c>
      <c r="AJ86" s="170" t="s">
        <v>12</v>
      </c>
      <c r="AK86" s="170">
        <v>13.3</v>
      </c>
      <c r="AL86" s="177"/>
      <c r="AO86" s="178"/>
      <c r="AP86" s="177"/>
      <c r="AS86" s="178"/>
      <c r="AW86" s="178"/>
      <c r="BA86" s="179"/>
    </row>
    <row r="87" spans="1:53" s="170" customFormat="1" x14ac:dyDescent="0.15">
      <c r="A87" s="170">
        <v>1997</v>
      </c>
      <c r="B87" s="281"/>
      <c r="C87" s="395" t="s">
        <v>211</v>
      </c>
      <c r="D87" s="395"/>
      <c r="E87" s="170">
        <f>365-E86</f>
        <v>365</v>
      </c>
      <c r="G87" s="232"/>
      <c r="H87" s="170">
        <v>7</v>
      </c>
      <c r="I87" s="170">
        <v>8</v>
      </c>
      <c r="J87" s="240">
        <v>15</v>
      </c>
      <c r="K87" s="213">
        <f t="shared" si="28"/>
        <v>0</v>
      </c>
      <c r="L87" s="213">
        <f t="shared" si="29"/>
        <v>46.666666666666664</v>
      </c>
      <c r="M87" s="213">
        <f t="shared" si="30"/>
        <v>53.333333333333336</v>
      </c>
      <c r="N87" s="234">
        <f t="shared" si="26"/>
        <v>100</v>
      </c>
      <c r="O87" s="212"/>
      <c r="P87" s="213">
        <v>27.3</v>
      </c>
      <c r="Q87" s="213">
        <v>27.3</v>
      </c>
      <c r="R87" s="214">
        <f t="shared" si="27"/>
        <v>54.6</v>
      </c>
      <c r="S87" s="170">
        <v>2</v>
      </c>
      <c r="T87" s="283"/>
      <c r="U87" s="281"/>
      <c r="V87" s="177" t="s">
        <v>80</v>
      </c>
      <c r="W87" s="170" t="s">
        <v>81</v>
      </c>
      <c r="X87" s="170" t="s">
        <v>18</v>
      </c>
      <c r="Y87" s="178">
        <v>19.3</v>
      </c>
      <c r="Z87" s="170" t="s">
        <v>84</v>
      </c>
      <c r="AA87" s="170" t="s">
        <v>85</v>
      </c>
      <c r="AB87" s="170" t="s">
        <v>18</v>
      </c>
      <c r="AC87" s="170">
        <v>8</v>
      </c>
      <c r="AD87" s="177" t="s">
        <v>95</v>
      </c>
      <c r="AE87" s="170" t="s">
        <v>96</v>
      </c>
      <c r="AF87" s="170" t="s">
        <v>12</v>
      </c>
      <c r="AG87" s="178">
        <v>14</v>
      </c>
      <c r="AH87" s="170" t="s">
        <v>94</v>
      </c>
      <c r="AI87" s="170" t="s">
        <v>97</v>
      </c>
      <c r="AJ87" s="170" t="s">
        <v>12</v>
      </c>
      <c r="AK87" s="170">
        <v>13.3</v>
      </c>
      <c r="AL87" s="177"/>
      <c r="AO87" s="178"/>
      <c r="AP87" s="177"/>
      <c r="AS87" s="178"/>
      <c r="AW87" s="178"/>
      <c r="BA87" s="179"/>
    </row>
    <row r="88" spans="1:53" s="170" customFormat="1" x14ac:dyDescent="0.15">
      <c r="A88" s="170">
        <v>1998</v>
      </c>
      <c r="B88" s="281"/>
      <c r="C88" s="395" t="s">
        <v>211</v>
      </c>
      <c r="D88" s="395"/>
      <c r="E88" s="170">
        <v>0</v>
      </c>
      <c r="G88" s="232"/>
      <c r="H88" s="170">
        <v>7</v>
      </c>
      <c r="I88" s="170">
        <v>8</v>
      </c>
      <c r="J88" s="240">
        <v>15</v>
      </c>
      <c r="K88" s="213">
        <f t="shared" si="28"/>
        <v>0</v>
      </c>
      <c r="L88" s="213">
        <f t="shared" si="29"/>
        <v>46.666666666666664</v>
      </c>
      <c r="M88" s="213">
        <f t="shared" si="30"/>
        <v>53.333333333333336</v>
      </c>
      <c r="N88" s="234">
        <f t="shared" si="26"/>
        <v>100</v>
      </c>
      <c r="O88" s="212"/>
      <c r="P88" s="213">
        <v>27.3</v>
      </c>
      <c r="Q88" s="213">
        <v>27.3</v>
      </c>
      <c r="R88" s="214">
        <f t="shared" si="27"/>
        <v>54.6</v>
      </c>
      <c r="S88" s="170">
        <v>2</v>
      </c>
      <c r="T88" s="283"/>
      <c r="U88" s="281"/>
      <c r="V88" s="177" t="s">
        <v>80</v>
      </c>
      <c r="W88" s="170" t="s">
        <v>81</v>
      </c>
      <c r="X88" s="170" t="s">
        <v>18</v>
      </c>
      <c r="Y88" s="178">
        <v>19.3</v>
      </c>
      <c r="Z88" s="170" t="s">
        <v>84</v>
      </c>
      <c r="AA88" s="170" t="s">
        <v>85</v>
      </c>
      <c r="AB88" s="170" t="s">
        <v>18</v>
      </c>
      <c r="AC88" s="170">
        <v>8</v>
      </c>
      <c r="AD88" s="177" t="s">
        <v>95</v>
      </c>
      <c r="AE88" s="170" t="s">
        <v>96</v>
      </c>
      <c r="AF88" s="170" t="s">
        <v>12</v>
      </c>
      <c r="AG88" s="178">
        <v>14</v>
      </c>
      <c r="AH88" s="170" t="s">
        <v>94</v>
      </c>
      <c r="AI88" s="170" t="s">
        <v>97</v>
      </c>
      <c r="AJ88" s="170" t="s">
        <v>12</v>
      </c>
      <c r="AK88" s="170">
        <v>13.3</v>
      </c>
      <c r="AL88" s="177"/>
      <c r="AO88" s="178"/>
      <c r="AP88" s="177"/>
      <c r="AS88" s="178"/>
      <c r="AW88" s="178"/>
      <c r="BA88" s="179"/>
    </row>
    <row r="89" spans="1:53" s="170" customFormat="1" x14ac:dyDescent="0.15">
      <c r="A89" s="170">
        <v>1998</v>
      </c>
      <c r="B89" s="281"/>
      <c r="C89" s="395" t="s">
        <v>211</v>
      </c>
      <c r="D89" s="395"/>
      <c r="E89" s="170">
        <f>365-E88</f>
        <v>365</v>
      </c>
      <c r="G89" s="232"/>
      <c r="H89" s="170">
        <v>7</v>
      </c>
      <c r="I89" s="170">
        <v>8</v>
      </c>
      <c r="J89" s="240">
        <v>15</v>
      </c>
      <c r="K89" s="213">
        <f t="shared" si="28"/>
        <v>0</v>
      </c>
      <c r="L89" s="213">
        <f t="shared" si="29"/>
        <v>46.666666666666664</v>
      </c>
      <c r="M89" s="213">
        <f t="shared" si="30"/>
        <v>53.333333333333336</v>
      </c>
      <c r="N89" s="234">
        <f t="shared" si="26"/>
        <v>100</v>
      </c>
      <c r="O89" s="212"/>
      <c r="P89" s="213">
        <v>27.3</v>
      </c>
      <c r="Q89" s="213">
        <v>27.3</v>
      </c>
      <c r="R89" s="214">
        <f t="shared" si="27"/>
        <v>54.6</v>
      </c>
      <c r="S89" s="170">
        <v>2</v>
      </c>
      <c r="T89" s="283"/>
      <c r="U89" s="281"/>
      <c r="V89" s="177" t="s">
        <v>80</v>
      </c>
      <c r="W89" s="170" t="s">
        <v>81</v>
      </c>
      <c r="X89" s="170" t="s">
        <v>18</v>
      </c>
      <c r="Y89" s="178">
        <v>19.3</v>
      </c>
      <c r="Z89" s="170" t="s">
        <v>84</v>
      </c>
      <c r="AA89" s="170" t="s">
        <v>85</v>
      </c>
      <c r="AB89" s="170" t="s">
        <v>18</v>
      </c>
      <c r="AC89" s="170">
        <v>8</v>
      </c>
      <c r="AD89" s="177" t="s">
        <v>95</v>
      </c>
      <c r="AE89" s="170" t="s">
        <v>96</v>
      </c>
      <c r="AF89" s="170" t="s">
        <v>12</v>
      </c>
      <c r="AG89" s="178">
        <v>14</v>
      </c>
      <c r="AH89" s="170" t="s">
        <v>94</v>
      </c>
      <c r="AI89" s="170" t="s">
        <v>97</v>
      </c>
      <c r="AJ89" s="170" t="s">
        <v>12</v>
      </c>
      <c r="AK89" s="170">
        <v>13.3</v>
      </c>
      <c r="AL89" s="177"/>
      <c r="AO89" s="178"/>
      <c r="AP89" s="177"/>
      <c r="AS89" s="178"/>
      <c r="AW89" s="178"/>
      <c r="BA89" s="179"/>
    </row>
    <row r="90" spans="1:53" s="170" customFormat="1" x14ac:dyDescent="0.15">
      <c r="A90" s="170">
        <v>1999</v>
      </c>
      <c r="B90" s="281"/>
      <c r="C90" s="395" t="s">
        <v>211</v>
      </c>
      <c r="D90" s="395"/>
      <c r="E90" s="170">
        <v>193</v>
      </c>
      <c r="G90" s="232"/>
      <c r="H90" s="170">
        <v>7</v>
      </c>
      <c r="I90" s="170">
        <v>8</v>
      </c>
      <c r="J90" s="240">
        <v>15</v>
      </c>
      <c r="K90" s="213">
        <f t="shared" si="28"/>
        <v>0</v>
      </c>
      <c r="L90" s="213">
        <f t="shared" si="29"/>
        <v>46.666666666666664</v>
      </c>
      <c r="M90" s="213">
        <f t="shared" si="30"/>
        <v>53.333333333333336</v>
      </c>
      <c r="N90" s="234">
        <f t="shared" si="26"/>
        <v>100</v>
      </c>
      <c r="O90" s="212"/>
      <c r="P90" s="213">
        <v>27.3</v>
      </c>
      <c r="Q90" s="213">
        <v>27.3</v>
      </c>
      <c r="R90" s="214">
        <f t="shared" si="27"/>
        <v>54.6</v>
      </c>
      <c r="S90" s="170">
        <v>2</v>
      </c>
      <c r="T90" s="283"/>
      <c r="U90" s="281"/>
      <c r="V90" s="177" t="s">
        <v>80</v>
      </c>
      <c r="W90" s="170" t="s">
        <v>81</v>
      </c>
      <c r="X90" s="170" t="s">
        <v>18</v>
      </c>
      <c r="Y90" s="178">
        <v>19.3</v>
      </c>
      <c r="Z90" s="170" t="s">
        <v>84</v>
      </c>
      <c r="AA90" s="170" t="s">
        <v>85</v>
      </c>
      <c r="AB90" s="170" t="s">
        <v>18</v>
      </c>
      <c r="AC90" s="170">
        <v>8</v>
      </c>
      <c r="AD90" s="177" t="s">
        <v>95</v>
      </c>
      <c r="AE90" s="170" t="s">
        <v>96</v>
      </c>
      <c r="AF90" s="170" t="s">
        <v>12</v>
      </c>
      <c r="AG90" s="178">
        <v>14</v>
      </c>
      <c r="AH90" s="170" t="s">
        <v>94</v>
      </c>
      <c r="AI90" s="170" t="s">
        <v>97</v>
      </c>
      <c r="AJ90" s="170" t="s">
        <v>12</v>
      </c>
      <c r="AK90" s="170">
        <v>13.3</v>
      </c>
      <c r="AL90" s="177"/>
      <c r="AO90" s="178"/>
      <c r="AP90" s="177"/>
      <c r="AS90" s="178"/>
      <c r="AW90" s="178"/>
      <c r="BA90" s="179"/>
    </row>
    <row r="91" spans="1:53" s="28" customFormat="1" x14ac:dyDescent="0.15">
      <c r="A91" s="28">
        <v>1999</v>
      </c>
      <c r="B91" s="293">
        <v>36354</v>
      </c>
      <c r="C91" s="394" t="s">
        <v>212</v>
      </c>
      <c r="D91" s="394"/>
      <c r="E91" s="28">
        <f>365-E90</f>
        <v>172</v>
      </c>
      <c r="F91" s="28">
        <v>1</v>
      </c>
      <c r="G91" s="65">
        <v>7</v>
      </c>
      <c r="I91" s="28">
        <v>8</v>
      </c>
      <c r="J91" s="72">
        <v>15</v>
      </c>
      <c r="K91" s="46">
        <f t="shared" si="28"/>
        <v>46.666666666666664</v>
      </c>
      <c r="L91" s="46">
        <f t="shared" si="29"/>
        <v>0</v>
      </c>
      <c r="M91" s="46">
        <f t="shared" si="30"/>
        <v>53.333333333333336</v>
      </c>
      <c r="N91" s="67">
        <f t="shared" si="26"/>
        <v>100</v>
      </c>
      <c r="O91" s="45">
        <v>27.3</v>
      </c>
      <c r="P91" s="46"/>
      <c r="Q91" s="46">
        <v>35.299999999999997</v>
      </c>
      <c r="R91" s="47">
        <f t="shared" si="27"/>
        <v>62.599999999999994</v>
      </c>
      <c r="S91" s="28">
        <v>3</v>
      </c>
      <c r="T91" s="284">
        <v>36324</v>
      </c>
      <c r="U91" s="293">
        <v>36354</v>
      </c>
      <c r="V91" s="37" t="s">
        <v>213</v>
      </c>
      <c r="W91" s="28" t="s">
        <v>87</v>
      </c>
      <c r="X91" s="28" t="s">
        <v>11</v>
      </c>
      <c r="Y91" s="38">
        <v>15.3</v>
      </c>
      <c r="Z91" s="28" t="s">
        <v>95</v>
      </c>
      <c r="AA91" s="28" t="s">
        <v>96</v>
      </c>
      <c r="AB91" s="28" t="s">
        <v>12</v>
      </c>
      <c r="AC91" s="28">
        <v>12.7</v>
      </c>
      <c r="AD91" s="37" t="s">
        <v>98</v>
      </c>
      <c r="AE91" s="28" t="s">
        <v>99</v>
      </c>
      <c r="AF91" s="28" t="s">
        <v>11</v>
      </c>
      <c r="AG91" s="38">
        <v>12</v>
      </c>
      <c r="AH91" s="28" t="s">
        <v>94</v>
      </c>
      <c r="AI91" s="28" t="s">
        <v>97</v>
      </c>
      <c r="AJ91" s="28" t="s">
        <v>12</v>
      </c>
      <c r="AK91" s="28">
        <v>9.3000000000000007</v>
      </c>
      <c r="AL91" s="37" t="s">
        <v>214</v>
      </c>
      <c r="AM91" s="28" t="s">
        <v>216</v>
      </c>
      <c r="AN91" s="28" t="s">
        <v>12</v>
      </c>
      <c r="AO91" s="38">
        <v>7.3</v>
      </c>
      <c r="AP91" s="37" t="s">
        <v>215</v>
      </c>
      <c r="AQ91" s="28" t="s">
        <v>217</v>
      </c>
      <c r="AR91" s="28" t="s">
        <v>12</v>
      </c>
      <c r="AS91" s="38">
        <v>6</v>
      </c>
      <c r="AW91" s="38"/>
      <c r="BA91" s="39"/>
    </row>
    <row r="92" spans="1:53" s="28" customFormat="1" x14ac:dyDescent="0.15">
      <c r="A92" s="28">
        <v>2000</v>
      </c>
      <c r="B92" s="293"/>
      <c r="C92" s="394" t="s">
        <v>212</v>
      </c>
      <c r="D92" s="394"/>
      <c r="E92" s="28">
        <v>0</v>
      </c>
      <c r="G92" s="65">
        <v>7</v>
      </c>
      <c r="I92" s="28">
        <v>8</v>
      </c>
      <c r="J92" s="72">
        <v>15</v>
      </c>
      <c r="K92" s="46">
        <f t="shared" si="28"/>
        <v>46.666666666666664</v>
      </c>
      <c r="L92" s="46">
        <f t="shared" si="29"/>
        <v>0</v>
      </c>
      <c r="M92" s="46">
        <f t="shared" si="30"/>
        <v>53.333333333333336</v>
      </c>
      <c r="N92" s="67">
        <f t="shared" si="26"/>
        <v>100</v>
      </c>
      <c r="O92" s="45">
        <v>27.3</v>
      </c>
      <c r="P92" s="46"/>
      <c r="Q92" s="46">
        <v>35.299999999999997</v>
      </c>
      <c r="R92" s="47">
        <f t="shared" si="27"/>
        <v>62.599999999999994</v>
      </c>
      <c r="S92" s="28">
        <v>3</v>
      </c>
      <c r="T92" s="284"/>
      <c r="U92" s="293"/>
      <c r="V92" s="37" t="s">
        <v>213</v>
      </c>
      <c r="W92" s="28" t="s">
        <v>87</v>
      </c>
      <c r="X92" s="28" t="s">
        <v>11</v>
      </c>
      <c r="Y92" s="38">
        <v>15.3</v>
      </c>
      <c r="Z92" s="28" t="s">
        <v>95</v>
      </c>
      <c r="AA92" s="28" t="s">
        <v>96</v>
      </c>
      <c r="AB92" s="28" t="s">
        <v>12</v>
      </c>
      <c r="AC92" s="28">
        <v>12.7</v>
      </c>
      <c r="AD92" s="37" t="s">
        <v>98</v>
      </c>
      <c r="AE92" s="28" t="s">
        <v>99</v>
      </c>
      <c r="AF92" s="28" t="s">
        <v>11</v>
      </c>
      <c r="AG92" s="38">
        <v>12</v>
      </c>
      <c r="AH92" s="28" t="s">
        <v>94</v>
      </c>
      <c r="AI92" s="28" t="s">
        <v>97</v>
      </c>
      <c r="AJ92" s="28" t="s">
        <v>12</v>
      </c>
      <c r="AK92" s="28">
        <v>9.3000000000000007</v>
      </c>
      <c r="AL92" s="37" t="s">
        <v>214</v>
      </c>
      <c r="AM92" s="28" t="s">
        <v>216</v>
      </c>
      <c r="AN92" s="28" t="s">
        <v>12</v>
      </c>
      <c r="AO92" s="38">
        <v>7.3</v>
      </c>
      <c r="AP92" s="37" t="s">
        <v>215</v>
      </c>
      <c r="AQ92" s="28" t="s">
        <v>217</v>
      </c>
      <c r="AR92" s="28" t="s">
        <v>12</v>
      </c>
      <c r="AS92" s="38">
        <v>6</v>
      </c>
      <c r="AW92" s="38"/>
      <c r="BA92" s="39"/>
    </row>
    <row r="93" spans="1:53" s="28" customFormat="1" x14ac:dyDescent="0.15">
      <c r="A93" s="28">
        <v>2000</v>
      </c>
      <c r="B93" s="293"/>
      <c r="C93" s="394" t="s">
        <v>212</v>
      </c>
      <c r="D93" s="394"/>
      <c r="E93" s="28">
        <v>366</v>
      </c>
      <c r="G93" s="65">
        <v>7</v>
      </c>
      <c r="I93" s="28">
        <v>8</v>
      </c>
      <c r="J93" s="72">
        <v>15</v>
      </c>
      <c r="K93" s="46">
        <f t="shared" si="28"/>
        <v>46.666666666666664</v>
      </c>
      <c r="L93" s="46">
        <f t="shared" si="29"/>
        <v>0</v>
      </c>
      <c r="M93" s="46">
        <f t="shared" si="30"/>
        <v>53.333333333333336</v>
      </c>
      <c r="N93" s="67">
        <f t="shared" si="26"/>
        <v>100</v>
      </c>
      <c r="O93" s="45">
        <v>27.3</v>
      </c>
      <c r="P93" s="46"/>
      <c r="Q93" s="46">
        <v>35.299999999999997</v>
      </c>
      <c r="R93" s="47">
        <f t="shared" si="27"/>
        <v>62.599999999999994</v>
      </c>
      <c r="S93" s="28">
        <v>3</v>
      </c>
      <c r="T93" s="284"/>
      <c r="U93" s="293"/>
      <c r="V93" s="37" t="s">
        <v>213</v>
      </c>
      <c r="W93" s="28" t="s">
        <v>87</v>
      </c>
      <c r="X93" s="28" t="s">
        <v>11</v>
      </c>
      <c r="Y93" s="38">
        <v>15.3</v>
      </c>
      <c r="Z93" s="28" t="s">
        <v>95</v>
      </c>
      <c r="AA93" s="28" t="s">
        <v>96</v>
      </c>
      <c r="AB93" s="28" t="s">
        <v>12</v>
      </c>
      <c r="AC93" s="28">
        <v>12.7</v>
      </c>
      <c r="AD93" s="37" t="s">
        <v>98</v>
      </c>
      <c r="AE93" s="28" t="s">
        <v>99</v>
      </c>
      <c r="AF93" s="28" t="s">
        <v>11</v>
      </c>
      <c r="AG93" s="38">
        <v>12</v>
      </c>
      <c r="AH93" s="28" t="s">
        <v>94</v>
      </c>
      <c r="AI93" s="28" t="s">
        <v>97</v>
      </c>
      <c r="AJ93" s="28" t="s">
        <v>12</v>
      </c>
      <c r="AK93" s="28">
        <v>9.3000000000000007</v>
      </c>
      <c r="AL93" s="37" t="s">
        <v>214</v>
      </c>
      <c r="AM93" s="28" t="s">
        <v>216</v>
      </c>
      <c r="AN93" s="28" t="s">
        <v>12</v>
      </c>
      <c r="AO93" s="38">
        <v>7.3</v>
      </c>
      <c r="AP93" s="37" t="s">
        <v>215</v>
      </c>
      <c r="AQ93" s="28" t="s">
        <v>217</v>
      </c>
      <c r="AR93" s="28" t="s">
        <v>12</v>
      </c>
      <c r="AS93" s="38">
        <v>6</v>
      </c>
      <c r="AW93" s="38"/>
      <c r="BA93" s="39"/>
    </row>
    <row r="94" spans="1:53" s="28" customFormat="1" x14ac:dyDescent="0.15">
      <c r="A94" s="28">
        <v>2001</v>
      </c>
      <c r="B94" s="293"/>
      <c r="C94" s="394" t="s">
        <v>212</v>
      </c>
      <c r="D94" s="394"/>
      <c r="E94" s="28">
        <v>0</v>
      </c>
      <c r="G94" s="65">
        <v>7</v>
      </c>
      <c r="I94" s="28">
        <v>8</v>
      </c>
      <c r="J94" s="72">
        <v>15</v>
      </c>
      <c r="K94" s="46">
        <f t="shared" si="28"/>
        <v>46.666666666666664</v>
      </c>
      <c r="L94" s="46">
        <f t="shared" si="29"/>
        <v>0</v>
      </c>
      <c r="M94" s="46">
        <f t="shared" si="30"/>
        <v>53.333333333333336</v>
      </c>
      <c r="N94" s="67">
        <f t="shared" si="26"/>
        <v>100</v>
      </c>
      <c r="O94" s="45">
        <v>27.3</v>
      </c>
      <c r="P94" s="46"/>
      <c r="Q94" s="46">
        <v>35.299999999999997</v>
      </c>
      <c r="R94" s="47">
        <f t="shared" si="27"/>
        <v>62.599999999999994</v>
      </c>
      <c r="S94" s="28">
        <v>3</v>
      </c>
      <c r="T94" s="284"/>
      <c r="U94" s="293"/>
      <c r="V94" s="37" t="s">
        <v>213</v>
      </c>
      <c r="W94" s="28" t="s">
        <v>87</v>
      </c>
      <c r="X94" s="28" t="s">
        <v>11</v>
      </c>
      <c r="Y94" s="38">
        <v>15.3</v>
      </c>
      <c r="Z94" s="28" t="s">
        <v>95</v>
      </c>
      <c r="AA94" s="28" t="s">
        <v>96</v>
      </c>
      <c r="AB94" s="28" t="s">
        <v>12</v>
      </c>
      <c r="AC94" s="28">
        <v>12.7</v>
      </c>
      <c r="AD94" s="37" t="s">
        <v>98</v>
      </c>
      <c r="AE94" s="28" t="s">
        <v>99</v>
      </c>
      <c r="AF94" s="28" t="s">
        <v>11</v>
      </c>
      <c r="AG94" s="38">
        <v>12</v>
      </c>
      <c r="AH94" s="28" t="s">
        <v>94</v>
      </c>
      <c r="AI94" s="28" t="s">
        <v>97</v>
      </c>
      <c r="AJ94" s="28" t="s">
        <v>12</v>
      </c>
      <c r="AK94" s="28">
        <v>9.3000000000000007</v>
      </c>
      <c r="AL94" s="37" t="s">
        <v>214</v>
      </c>
      <c r="AM94" s="28" t="s">
        <v>216</v>
      </c>
      <c r="AN94" s="28" t="s">
        <v>12</v>
      </c>
      <c r="AO94" s="38">
        <v>7.3</v>
      </c>
      <c r="AP94" s="37" t="s">
        <v>215</v>
      </c>
      <c r="AQ94" s="28" t="s">
        <v>217</v>
      </c>
      <c r="AR94" s="28" t="s">
        <v>12</v>
      </c>
      <c r="AS94" s="38">
        <v>6</v>
      </c>
      <c r="AW94" s="38"/>
      <c r="BA94" s="39"/>
    </row>
    <row r="95" spans="1:53" s="28" customFormat="1" x14ac:dyDescent="0.15">
      <c r="A95" s="28">
        <v>2001</v>
      </c>
      <c r="B95" s="293"/>
      <c r="C95" s="394" t="s">
        <v>212</v>
      </c>
      <c r="D95" s="394"/>
      <c r="E95" s="28">
        <f>365-E94</f>
        <v>365</v>
      </c>
      <c r="G95" s="65">
        <v>7</v>
      </c>
      <c r="I95" s="28">
        <v>8</v>
      </c>
      <c r="J95" s="72">
        <v>15</v>
      </c>
      <c r="K95" s="46">
        <f t="shared" si="28"/>
        <v>46.666666666666664</v>
      </c>
      <c r="L95" s="46">
        <f t="shared" si="29"/>
        <v>0</v>
      </c>
      <c r="M95" s="46">
        <f t="shared" si="30"/>
        <v>53.333333333333336</v>
      </c>
      <c r="N95" s="67">
        <f t="shared" si="26"/>
        <v>100</v>
      </c>
      <c r="O95" s="45">
        <v>27.3</v>
      </c>
      <c r="P95" s="46"/>
      <c r="Q95" s="46">
        <v>35.299999999999997</v>
      </c>
      <c r="R95" s="47">
        <f t="shared" si="27"/>
        <v>62.599999999999994</v>
      </c>
      <c r="S95" s="28">
        <v>3</v>
      </c>
      <c r="T95" s="284"/>
      <c r="U95" s="293"/>
      <c r="V95" s="37" t="s">
        <v>213</v>
      </c>
      <c r="W95" s="28" t="s">
        <v>87</v>
      </c>
      <c r="X95" s="28" t="s">
        <v>11</v>
      </c>
      <c r="Y95" s="38">
        <v>15.3</v>
      </c>
      <c r="Z95" s="28" t="s">
        <v>95</v>
      </c>
      <c r="AA95" s="28" t="s">
        <v>96</v>
      </c>
      <c r="AB95" s="28" t="s">
        <v>12</v>
      </c>
      <c r="AC95" s="28">
        <v>12.7</v>
      </c>
      <c r="AD95" s="37" t="s">
        <v>98</v>
      </c>
      <c r="AE95" s="28" t="s">
        <v>99</v>
      </c>
      <c r="AF95" s="28" t="s">
        <v>11</v>
      </c>
      <c r="AG95" s="38">
        <v>12</v>
      </c>
      <c r="AH95" s="28" t="s">
        <v>94</v>
      </c>
      <c r="AI95" s="28" t="s">
        <v>97</v>
      </c>
      <c r="AJ95" s="28" t="s">
        <v>12</v>
      </c>
      <c r="AK95" s="28">
        <v>9.3000000000000007</v>
      </c>
      <c r="AL95" s="37" t="s">
        <v>214</v>
      </c>
      <c r="AM95" s="28" t="s">
        <v>216</v>
      </c>
      <c r="AN95" s="28" t="s">
        <v>12</v>
      </c>
      <c r="AO95" s="38">
        <v>7.3</v>
      </c>
      <c r="AP95" s="37" t="s">
        <v>215</v>
      </c>
      <c r="AQ95" s="28" t="s">
        <v>217</v>
      </c>
      <c r="AR95" s="28" t="s">
        <v>12</v>
      </c>
      <c r="AS95" s="38">
        <v>6</v>
      </c>
      <c r="AW95" s="38"/>
      <c r="BA95" s="39"/>
    </row>
    <row r="96" spans="1:53" s="28" customFormat="1" x14ac:dyDescent="0.15">
      <c r="A96" s="28">
        <v>2002</v>
      </c>
      <c r="B96" s="293"/>
      <c r="C96" s="394" t="s">
        <v>212</v>
      </c>
      <c r="D96" s="394"/>
      <c r="E96" s="28">
        <v>0</v>
      </c>
      <c r="G96" s="65">
        <v>7</v>
      </c>
      <c r="I96" s="28">
        <v>8</v>
      </c>
      <c r="J96" s="72">
        <v>15</v>
      </c>
      <c r="K96" s="46">
        <f t="shared" si="28"/>
        <v>46.666666666666664</v>
      </c>
      <c r="L96" s="46">
        <f t="shared" si="29"/>
        <v>0</v>
      </c>
      <c r="M96" s="46">
        <f t="shared" si="30"/>
        <v>53.333333333333336</v>
      </c>
      <c r="N96" s="67">
        <f t="shared" si="26"/>
        <v>100</v>
      </c>
      <c r="O96" s="45">
        <v>27.3</v>
      </c>
      <c r="P96" s="46"/>
      <c r="Q96" s="46">
        <v>35.299999999999997</v>
      </c>
      <c r="R96" s="47">
        <f t="shared" si="27"/>
        <v>62.599999999999994</v>
      </c>
      <c r="S96" s="28">
        <v>3</v>
      </c>
      <c r="T96" s="284"/>
      <c r="U96" s="293"/>
      <c r="V96" s="37" t="s">
        <v>213</v>
      </c>
      <c r="W96" s="28" t="s">
        <v>87</v>
      </c>
      <c r="X96" s="28" t="s">
        <v>11</v>
      </c>
      <c r="Y96" s="38">
        <v>15.3</v>
      </c>
      <c r="Z96" s="28" t="s">
        <v>95</v>
      </c>
      <c r="AA96" s="28" t="s">
        <v>96</v>
      </c>
      <c r="AB96" s="28" t="s">
        <v>12</v>
      </c>
      <c r="AC96" s="28">
        <v>12.7</v>
      </c>
      <c r="AD96" s="37" t="s">
        <v>98</v>
      </c>
      <c r="AE96" s="28" t="s">
        <v>99</v>
      </c>
      <c r="AF96" s="28" t="s">
        <v>11</v>
      </c>
      <c r="AG96" s="38">
        <v>12</v>
      </c>
      <c r="AH96" s="28" t="s">
        <v>94</v>
      </c>
      <c r="AI96" s="28" t="s">
        <v>97</v>
      </c>
      <c r="AJ96" s="28" t="s">
        <v>12</v>
      </c>
      <c r="AK96" s="28">
        <v>9.3000000000000007</v>
      </c>
      <c r="AL96" s="37" t="s">
        <v>214</v>
      </c>
      <c r="AM96" s="28" t="s">
        <v>216</v>
      </c>
      <c r="AN96" s="28" t="s">
        <v>12</v>
      </c>
      <c r="AO96" s="38">
        <v>7.3</v>
      </c>
      <c r="AP96" s="37" t="s">
        <v>215</v>
      </c>
      <c r="AQ96" s="28" t="s">
        <v>217</v>
      </c>
      <c r="AR96" s="28" t="s">
        <v>12</v>
      </c>
      <c r="AS96" s="38">
        <v>6</v>
      </c>
      <c r="AW96" s="38"/>
      <c r="BA96" s="39"/>
    </row>
    <row r="97" spans="1:53" s="28" customFormat="1" x14ac:dyDescent="0.15">
      <c r="A97" s="28">
        <v>2002</v>
      </c>
      <c r="B97" s="293"/>
      <c r="C97" s="394" t="s">
        <v>212</v>
      </c>
      <c r="D97" s="394"/>
      <c r="E97" s="28">
        <f>365-E96</f>
        <v>365</v>
      </c>
      <c r="G97" s="65">
        <v>7</v>
      </c>
      <c r="I97" s="28">
        <v>8</v>
      </c>
      <c r="J97" s="72">
        <v>15</v>
      </c>
      <c r="K97" s="46">
        <f t="shared" si="28"/>
        <v>46.666666666666664</v>
      </c>
      <c r="L97" s="46">
        <f t="shared" si="29"/>
        <v>0</v>
      </c>
      <c r="M97" s="46">
        <f t="shared" si="30"/>
        <v>53.333333333333336</v>
      </c>
      <c r="N97" s="67">
        <f t="shared" si="26"/>
        <v>100</v>
      </c>
      <c r="O97" s="45">
        <v>27.3</v>
      </c>
      <c r="P97" s="46"/>
      <c r="Q97" s="46">
        <v>35.299999999999997</v>
      </c>
      <c r="R97" s="47">
        <f t="shared" si="27"/>
        <v>62.599999999999994</v>
      </c>
      <c r="S97" s="28">
        <v>3</v>
      </c>
      <c r="T97" s="284"/>
      <c r="U97" s="293"/>
      <c r="V97" s="37" t="s">
        <v>213</v>
      </c>
      <c r="W97" s="28" t="s">
        <v>87</v>
      </c>
      <c r="X97" s="28" t="s">
        <v>11</v>
      </c>
      <c r="Y97" s="38">
        <v>15.3</v>
      </c>
      <c r="Z97" s="28" t="s">
        <v>95</v>
      </c>
      <c r="AA97" s="28" t="s">
        <v>96</v>
      </c>
      <c r="AB97" s="28" t="s">
        <v>12</v>
      </c>
      <c r="AC97" s="28">
        <v>12.7</v>
      </c>
      <c r="AD97" s="37" t="s">
        <v>98</v>
      </c>
      <c r="AE97" s="28" t="s">
        <v>99</v>
      </c>
      <c r="AF97" s="28" t="s">
        <v>11</v>
      </c>
      <c r="AG97" s="38">
        <v>12</v>
      </c>
      <c r="AH97" s="28" t="s">
        <v>94</v>
      </c>
      <c r="AI97" s="28" t="s">
        <v>97</v>
      </c>
      <c r="AJ97" s="28" t="s">
        <v>12</v>
      </c>
      <c r="AK97" s="28">
        <v>9.3000000000000007</v>
      </c>
      <c r="AL97" s="37" t="s">
        <v>214</v>
      </c>
      <c r="AM97" s="28" t="s">
        <v>216</v>
      </c>
      <c r="AN97" s="28" t="s">
        <v>12</v>
      </c>
      <c r="AO97" s="38">
        <v>7.3</v>
      </c>
      <c r="AP97" s="37" t="s">
        <v>215</v>
      </c>
      <c r="AQ97" s="28" t="s">
        <v>217</v>
      </c>
      <c r="AR97" s="28" t="s">
        <v>12</v>
      </c>
      <c r="AS97" s="38">
        <v>6</v>
      </c>
      <c r="AW97" s="38"/>
      <c r="BA97" s="39"/>
    </row>
    <row r="98" spans="1:53" s="28" customFormat="1" x14ac:dyDescent="0.15">
      <c r="A98" s="28">
        <v>2003</v>
      </c>
      <c r="B98" s="293"/>
      <c r="C98" s="394" t="s">
        <v>212</v>
      </c>
      <c r="D98" s="394"/>
      <c r="E98" s="28">
        <v>192</v>
      </c>
      <c r="G98" s="65">
        <v>7</v>
      </c>
      <c r="I98" s="28">
        <v>8</v>
      </c>
      <c r="J98" s="72">
        <v>15</v>
      </c>
      <c r="K98" s="46">
        <f t="shared" si="28"/>
        <v>46.666666666666664</v>
      </c>
      <c r="L98" s="46">
        <f t="shared" si="29"/>
        <v>0</v>
      </c>
      <c r="M98" s="46">
        <f t="shared" si="30"/>
        <v>53.333333333333336</v>
      </c>
      <c r="N98" s="67">
        <f t="shared" si="26"/>
        <v>100</v>
      </c>
      <c r="O98" s="45">
        <v>27.3</v>
      </c>
      <c r="P98" s="46"/>
      <c r="Q98" s="46">
        <v>35.299999999999997</v>
      </c>
      <c r="R98" s="47">
        <f t="shared" si="27"/>
        <v>62.599999999999994</v>
      </c>
      <c r="S98" s="28">
        <v>3</v>
      </c>
      <c r="T98" s="284"/>
      <c r="U98" s="293"/>
      <c r="V98" s="37" t="s">
        <v>213</v>
      </c>
      <c r="W98" s="28" t="s">
        <v>87</v>
      </c>
      <c r="X98" s="28" t="s">
        <v>11</v>
      </c>
      <c r="Y98" s="38">
        <v>15.3</v>
      </c>
      <c r="Z98" s="28" t="s">
        <v>95</v>
      </c>
      <c r="AA98" s="28" t="s">
        <v>96</v>
      </c>
      <c r="AB98" s="28" t="s">
        <v>12</v>
      </c>
      <c r="AC98" s="28">
        <v>12.7</v>
      </c>
      <c r="AD98" s="37" t="s">
        <v>98</v>
      </c>
      <c r="AE98" s="28" t="s">
        <v>99</v>
      </c>
      <c r="AF98" s="28" t="s">
        <v>11</v>
      </c>
      <c r="AG98" s="38">
        <v>12</v>
      </c>
      <c r="AH98" s="28" t="s">
        <v>94</v>
      </c>
      <c r="AI98" s="28" t="s">
        <v>97</v>
      </c>
      <c r="AJ98" s="28" t="s">
        <v>12</v>
      </c>
      <c r="AK98" s="28">
        <v>9.3000000000000007</v>
      </c>
      <c r="AL98" s="37" t="s">
        <v>214</v>
      </c>
      <c r="AM98" s="28" t="s">
        <v>216</v>
      </c>
      <c r="AN98" s="28" t="s">
        <v>12</v>
      </c>
      <c r="AO98" s="38">
        <v>7.3</v>
      </c>
      <c r="AP98" s="37" t="s">
        <v>215</v>
      </c>
      <c r="AQ98" s="28" t="s">
        <v>217</v>
      </c>
      <c r="AR98" s="28" t="s">
        <v>12</v>
      </c>
      <c r="AS98" s="38">
        <v>6</v>
      </c>
      <c r="AW98" s="38"/>
      <c r="BA98" s="39"/>
    </row>
    <row r="99" spans="1:53" s="170" customFormat="1" x14ac:dyDescent="0.15">
      <c r="A99" s="170">
        <v>2003</v>
      </c>
      <c r="B99" s="281">
        <v>37814</v>
      </c>
      <c r="C99" s="395" t="s">
        <v>218</v>
      </c>
      <c r="D99" s="395"/>
      <c r="E99" s="170">
        <v>173</v>
      </c>
      <c r="F99" s="170">
        <v>1</v>
      </c>
      <c r="G99" s="232">
        <v>7</v>
      </c>
      <c r="I99" s="170">
        <v>8</v>
      </c>
      <c r="J99" s="240">
        <v>15</v>
      </c>
      <c r="K99" s="213">
        <f t="shared" si="28"/>
        <v>46.666666666666664</v>
      </c>
      <c r="L99" s="213">
        <f t="shared" si="29"/>
        <v>0</v>
      </c>
      <c r="M99" s="213">
        <f t="shared" si="30"/>
        <v>53.333333333333336</v>
      </c>
      <c r="N99" s="234">
        <f t="shared" si="26"/>
        <v>100</v>
      </c>
      <c r="O99" s="212">
        <v>32.700000000000003</v>
      </c>
      <c r="P99" s="213"/>
      <c r="Q99" s="213">
        <v>32</v>
      </c>
      <c r="R99" s="214">
        <f t="shared" si="27"/>
        <v>64.7</v>
      </c>
      <c r="S99" s="170">
        <v>2</v>
      </c>
      <c r="T99" s="283">
        <v>37759</v>
      </c>
      <c r="U99" s="281">
        <v>37814</v>
      </c>
      <c r="V99" s="177" t="s">
        <v>213</v>
      </c>
      <c r="W99" s="170" t="s">
        <v>87</v>
      </c>
      <c r="X99" s="170" t="s">
        <v>11</v>
      </c>
      <c r="Y99" s="178">
        <v>16.7</v>
      </c>
      <c r="Z99" s="170" t="s">
        <v>95</v>
      </c>
      <c r="AA99" s="170" t="s">
        <v>96</v>
      </c>
      <c r="AB99" s="170" t="s">
        <v>12</v>
      </c>
      <c r="AC99" s="170">
        <v>16.7</v>
      </c>
      <c r="AD99" s="177" t="s">
        <v>219</v>
      </c>
      <c r="AE99" s="170" t="s">
        <v>99</v>
      </c>
      <c r="AF99" s="170" t="s">
        <v>11</v>
      </c>
      <c r="AG99" s="178">
        <v>16</v>
      </c>
      <c r="AH99" s="170" t="s">
        <v>94</v>
      </c>
      <c r="AI99" s="170" t="s">
        <v>97</v>
      </c>
      <c r="AJ99" s="170" t="s">
        <v>12</v>
      </c>
      <c r="AK99" s="170">
        <v>15.3</v>
      </c>
      <c r="AL99" s="177"/>
      <c r="AO99" s="178"/>
      <c r="AP99" s="177"/>
      <c r="AS99" s="178"/>
      <c r="AW99" s="178"/>
      <c r="BA99" s="179"/>
    </row>
    <row r="100" spans="1:53" s="170" customFormat="1" x14ac:dyDescent="0.15">
      <c r="A100" s="170">
        <v>2004</v>
      </c>
      <c r="B100" s="281"/>
      <c r="C100" s="395" t="s">
        <v>218</v>
      </c>
      <c r="D100" s="395"/>
      <c r="E100" s="170">
        <v>0</v>
      </c>
      <c r="G100" s="232">
        <v>7</v>
      </c>
      <c r="I100" s="170">
        <v>8</v>
      </c>
      <c r="J100" s="240">
        <v>15</v>
      </c>
      <c r="K100" s="213">
        <f t="shared" si="28"/>
        <v>46.666666666666664</v>
      </c>
      <c r="L100" s="213">
        <f t="shared" si="29"/>
        <v>0</v>
      </c>
      <c r="M100" s="213">
        <f t="shared" si="30"/>
        <v>53.333333333333336</v>
      </c>
      <c r="N100" s="234">
        <f t="shared" si="26"/>
        <v>100</v>
      </c>
      <c r="O100" s="212">
        <v>32.700000000000003</v>
      </c>
      <c r="P100" s="213"/>
      <c r="Q100" s="213">
        <v>32</v>
      </c>
      <c r="R100" s="214">
        <f t="shared" si="27"/>
        <v>64.7</v>
      </c>
      <c r="S100" s="170">
        <v>2</v>
      </c>
      <c r="T100" s="283"/>
      <c r="U100" s="281"/>
      <c r="V100" s="177" t="s">
        <v>213</v>
      </c>
      <c r="W100" s="170" t="s">
        <v>87</v>
      </c>
      <c r="X100" s="170" t="s">
        <v>11</v>
      </c>
      <c r="Y100" s="178">
        <v>16.7</v>
      </c>
      <c r="Z100" s="170" t="s">
        <v>95</v>
      </c>
      <c r="AA100" s="170" t="s">
        <v>96</v>
      </c>
      <c r="AB100" s="170" t="s">
        <v>12</v>
      </c>
      <c r="AC100" s="170">
        <v>16.7</v>
      </c>
      <c r="AD100" s="177" t="s">
        <v>219</v>
      </c>
      <c r="AE100" s="170" t="s">
        <v>99</v>
      </c>
      <c r="AF100" s="170" t="s">
        <v>11</v>
      </c>
      <c r="AG100" s="178">
        <v>16</v>
      </c>
      <c r="AH100" s="170" t="s">
        <v>94</v>
      </c>
      <c r="AI100" s="170" t="s">
        <v>97</v>
      </c>
      <c r="AJ100" s="170" t="s">
        <v>12</v>
      </c>
      <c r="AK100" s="170">
        <v>15.3</v>
      </c>
      <c r="AL100" s="177"/>
      <c r="AO100" s="178"/>
      <c r="AP100" s="177"/>
      <c r="AS100" s="178"/>
      <c r="AW100" s="178"/>
      <c r="BA100" s="179"/>
    </row>
    <row r="101" spans="1:53" s="170" customFormat="1" x14ac:dyDescent="0.15">
      <c r="A101" s="170">
        <v>2004</v>
      </c>
      <c r="B101" s="281"/>
      <c r="C101" s="395" t="s">
        <v>218</v>
      </c>
      <c r="D101" s="395"/>
      <c r="E101" s="170">
        <v>366</v>
      </c>
      <c r="G101" s="232">
        <v>7</v>
      </c>
      <c r="I101" s="170">
        <v>8</v>
      </c>
      <c r="J101" s="240">
        <v>15</v>
      </c>
      <c r="K101" s="213">
        <f t="shared" si="28"/>
        <v>46.666666666666664</v>
      </c>
      <c r="L101" s="213">
        <f t="shared" si="29"/>
        <v>0</v>
      </c>
      <c r="M101" s="213">
        <f t="shared" si="30"/>
        <v>53.333333333333336</v>
      </c>
      <c r="N101" s="234">
        <f t="shared" si="26"/>
        <v>100</v>
      </c>
      <c r="O101" s="212">
        <v>32.700000000000003</v>
      </c>
      <c r="P101" s="213"/>
      <c r="Q101" s="213">
        <v>32</v>
      </c>
      <c r="R101" s="214">
        <f t="shared" si="27"/>
        <v>64.7</v>
      </c>
      <c r="S101" s="170">
        <v>2</v>
      </c>
      <c r="T101" s="283"/>
      <c r="U101" s="281"/>
      <c r="V101" s="177" t="s">
        <v>213</v>
      </c>
      <c r="W101" s="170" t="s">
        <v>87</v>
      </c>
      <c r="X101" s="170" t="s">
        <v>11</v>
      </c>
      <c r="Y101" s="178">
        <v>16.7</v>
      </c>
      <c r="Z101" s="170" t="s">
        <v>95</v>
      </c>
      <c r="AA101" s="170" t="s">
        <v>96</v>
      </c>
      <c r="AB101" s="170" t="s">
        <v>12</v>
      </c>
      <c r="AC101" s="170">
        <v>16.7</v>
      </c>
      <c r="AD101" s="177" t="s">
        <v>219</v>
      </c>
      <c r="AE101" s="170" t="s">
        <v>99</v>
      </c>
      <c r="AF101" s="170" t="s">
        <v>11</v>
      </c>
      <c r="AG101" s="178">
        <v>16</v>
      </c>
      <c r="AH101" s="170" t="s">
        <v>94</v>
      </c>
      <c r="AI101" s="170" t="s">
        <v>97</v>
      </c>
      <c r="AJ101" s="170" t="s">
        <v>12</v>
      </c>
      <c r="AK101" s="170">
        <v>15.3</v>
      </c>
      <c r="AL101" s="177"/>
      <c r="AO101" s="178"/>
      <c r="AP101" s="177"/>
      <c r="AS101" s="178"/>
      <c r="AW101" s="178"/>
      <c r="BA101" s="179"/>
    </row>
    <row r="102" spans="1:53" s="170" customFormat="1" x14ac:dyDescent="0.15">
      <c r="A102" s="170">
        <v>2005</v>
      </c>
      <c r="B102" s="281"/>
      <c r="C102" s="395" t="s">
        <v>218</v>
      </c>
      <c r="D102" s="395"/>
      <c r="E102" s="170">
        <v>0</v>
      </c>
      <c r="G102" s="232">
        <v>7</v>
      </c>
      <c r="I102" s="170">
        <v>8</v>
      </c>
      <c r="J102" s="240">
        <v>15</v>
      </c>
      <c r="K102" s="213">
        <f t="shared" ref="K102:K108" si="31">G102/J102*100</f>
        <v>46.666666666666664</v>
      </c>
      <c r="L102" s="213">
        <f t="shared" ref="L102:L108" si="32">H102/J102*100</f>
        <v>0</v>
      </c>
      <c r="M102" s="213">
        <f t="shared" ref="M102:M108" si="33">I102/J102*100</f>
        <v>53.333333333333336</v>
      </c>
      <c r="N102" s="234">
        <f t="shared" si="26"/>
        <v>100</v>
      </c>
      <c r="O102" s="212">
        <v>32.700000000000003</v>
      </c>
      <c r="P102" s="213"/>
      <c r="Q102" s="213">
        <v>32</v>
      </c>
      <c r="R102" s="214">
        <f t="shared" si="27"/>
        <v>64.7</v>
      </c>
      <c r="S102" s="170">
        <v>2</v>
      </c>
      <c r="T102" s="283"/>
      <c r="U102" s="281"/>
      <c r="V102" s="177" t="s">
        <v>213</v>
      </c>
      <c r="W102" s="170" t="s">
        <v>87</v>
      </c>
      <c r="X102" s="170" t="s">
        <v>11</v>
      </c>
      <c r="Y102" s="178">
        <v>16.7</v>
      </c>
      <c r="Z102" s="170" t="s">
        <v>95</v>
      </c>
      <c r="AA102" s="170" t="s">
        <v>96</v>
      </c>
      <c r="AB102" s="170" t="s">
        <v>12</v>
      </c>
      <c r="AC102" s="170">
        <v>16.7</v>
      </c>
      <c r="AD102" s="177" t="s">
        <v>219</v>
      </c>
      <c r="AE102" s="170" t="s">
        <v>99</v>
      </c>
      <c r="AF102" s="170" t="s">
        <v>11</v>
      </c>
      <c r="AG102" s="178">
        <v>16</v>
      </c>
      <c r="AH102" s="170" t="s">
        <v>94</v>
      </c>
      <c r="AI102" s="170" t="s">
        <v>97</v>
      </c>
      <c r="AJ102" s="170" t="s">
        <v>12</v>
      </c>
      <c r="AK102" s="170">
        <v>15.3</v>
      </c>
      <c r="AL102" s="177"/>
      <c r="AO102" s="178"/>
      <c r="AP102" s="177"/>
      <c r="AS102" s="178"/>
      <c r="AW102" s="178"/>
      <c r="BA102" s="179"/>
    </row>
    <row r="103" spans="1:53" s="170" customFormat="1" x14ac:dyDescent="0.15">
      <c r="A103" s="170">
        <v>2005</v>
      </c>
      <c r="B103" s="281"/>
      <c r="C103" s="395" t="s">
        <v>218</v>
      </c>
      <c r="D103" s="395"/>
      <c r="E103" s="170">
        <f>365-E102</f>
        <v>365</v>
      </c>
      <c r="G103" s="232">
        <v>7</v>
      </c>
      <c r="I103" s="170">
        <v>8</v>
      </c>
      <c r="J103" s="240">
        <v>15</v>
      </c>
      <c r="K103" s="213">
        <f t="shared" si="31"/>
        <v>46.666666666666664</v>
      </c>
      <c r="L103" s="213">
        <f t="shared" si="32"/>
        <v>0</v>
      </c>
      <c r="M103" s="213">
        <f t="shared" si="33"/>
        <v>53.333333333333336</v>
      </c>
      <c r="N103" s="234">
        <f t="shared" si="26"/>
        <v>100</v>
      </c>
      <c r="O103" s="212">
        <v>32.700000000000003</v>
      </c>
      <c r="P103" s="213"/>
      <c r="Q103" s="213">
        <v>32</v>
      </c>
      <c r="R103" s="214">
        <f t="shared" si="27"/>
        <v>64.7</v>
      </c>
      <c r="S103" s="170">
        <v>2</v>
      </c>
      <c r="T103" s="283"/>
      <c r="U103" s="281"/>
      <c r="V103" s="177" t="s">
        <v>213</v>
      </c>
      <c r="W103" s="170" t="s">
        <v>87</v>
      </c>
      <c r="X103" s="170" t="s">
        <v>11</v>
      </c>
      <c r="Y103" s="178">
        <v>16.7</v>
      </c>
      <c r="Z103" s="170" t="s">
        <v>95</v>
      </c>
      <c r="AA103" s="170" t="s">
        <v>96</v>
      </c>
      <c r="AB103" s="170" t="s">
        <v>12</v>
      </c>
      <c r="AC103" s="170">
        <v>16.7</v>
      </c>
      <c r="AD103" s="177" t="s">
        <v>219</v>
      </c>
      <c r="AE103" s="170" t="s">
        <v>99</v>
      </c>
      <c r="AF103" s="170" t="s">
        <v>11</v>
      </c>
      <c r="AG103" s="178">
        <v>16</v>
      </c>
      <c r="AH103" s="170" t="s">
        <v>94</v>
      </c>
      <c r="AI103" s="170" t="s">
        <v>97</v>
      </c>
      <c r="AJ103" s="170" t="s">
        <v>12</v>
      </c>
      <c r="AK103" s="170">
        <v>15.3</v>
      </c>
      <c r="AL103" s="177"/>
      <c r="AO103" s="178"/>
      <c r="AP103" s="177"/>
      <c r="AS103" s="178"/>
      <c r="AW103" s="178"/>
      <c r="BA103" s="179"/>
    </row>
    <row r="104" spans="1:53" s="170" customFormat="1" x14ac:dyDescent="0.15">
      <c r="A104" s="170">
        <v>2006</v>
      </c>
      <c r="B104" s="281"/>
      <c r="C104" s="395" t="s">
        <v>218</v>
      </c>
      <c r="D104" s="395"/>
      <c r="E104" s="170">
        <v>0</v>
      </c>
      <c r="G104" s="232">
        <v>7</v>
      </c>
      <c r="I104" s="170">
        <v>8</v>
      </c>
      <c r="J104" s="240">
        <v>15</v>
      </c>
      <c r="K104" s="213">
        <f>G104/J104*100</f>
        <v>46.666666666666664</v>
      </c>
      <c r="L104" s="213">
        <f t="shared" si="32"/>
        <v>0</v>
      </c>
      <c r="M104" s="213">
        <f t="shared" si="33"/>
        <v>53.333333333333336</v>
      </c>
      <c r="N104" s="234">
        <f t="shared" si="26"/>
        <v>100</v>
      </c>
      <c r="O104" s="212">
        <v>32.700000000000003</v>
      </c>
      <c r="P104" s="213"/>
      <c r="Q104" s="213">
        <v>32</v>
      </c>
      <c r="R104" s="214">
        <f t="shared" si="27"/>
        <v>64.7</v>
      </c>
      <c r="S104" s="170">
        <v>2</v>
      </c>
      <c r="T104" s="283"/>
      <c r="U104" s="281"/>
      <c r="V104" s="177" t="s">
        <v>213</v>
      </c>
      <c r="W104" s="170" t="s">
        <v>87</v>
      </c>
      <c r="X104" s="170" t="s">
        <v>11</v>
      </c>
      <c r="Y104" s="178">
        <v>16.7</v>
      </c>
      <c r="Z104" s="170" t="s">
        <v>95</v>
      </c>
      <c r="AA104" s="170" t="s">
        <v>96</v>
      </c>
      <c r="AB104" s="170" t="s">
        <v>12</v>
      </c>
      <c r="AC104" s="170">
        <v>16.7</v>
      </c>
      <c r="AD104" s="177" t="s">
        <v>219</v>
      </c>
      <c r="AE104" s="170" t="s">
        <v>99</v>
      </c>
      <c r="AF104" s="170" t="s">
        <v>11</v>
      </c>
      <c r="AG104" s="178">
        <v>16</v>
      </c>
      <c r="AH104" s="170" t="s">
        <v>94</v>
      </c>
      <c r="AI104" s="170" t="s">
        <v>97</v>
      </c>
      <c r="AJ104" s="170" t="s">
        <v>12</v>
      </c>
      <c r="AK104" s="170">
        <v>15.3</v>
      </c>
      <c r="AL104" s="177"/>
      <c r="AO104" s="178"/>
      <c r="AP104" s="177"/>
      <c r="AS104" s="178"/>
      <c r="AW104" s="178"/>
      <c r="BA104" s="179"/>
    </row>
    <row r="105" spans="1:53" s="170" customFormat="1" x14ac:dyDescent="0.15">
      <c r="A105" s="170">
        <v>2006</v>
      </c>
      <c r="B105" s="281"/>
      <c r="C105" s="395" t="s">
        <v>218</v>
      </c>
      <c r="D105" s="395"/>
      <c r="E105" s="170">
        <f>365-E104</f>
        <v>365</v>
      </c>
      <c r="G105" s="232">
        <v>7</v>
      </c>
      <c r="I105" s="170">
        <v>8</v>
      </c>
      <c r="J105" s="240">
        <v>15</v>
      </c>
      <c r="K105" s="213">
        <f t="shared" si="31"/>
        <v>46.666666666666664</v>
      </c>
      <c r="L105" s="213">
        <f t="shared" si="32"/>
        <v>0</v>
      </c>
      <c r="M105" s="213">
        <f t="shared" si="33"/>
        <v>53.333333333333336</v>
      </c>
      <c r="N105" s="234">
        <f t="shared" si="26"/>
        <v>100</v>
      </c>
      <c r="O105" s="212">
        <v>32.700000000000003</v>
      </c>
      <c r="P105" s="213"/>
      <c r="Q105" s="213">
        <v>32</v>
      </c>
      <c r="R105" s="214">
        <f t="shared" si="27"/>
        <v>64.7</v>
      </c>
      <c r="S105" s="170">
        <v>2</v>
      </c>
      <c r="T105" s="283"/>
      <c r="U105" s="281"/>
      <c r="V105" s="177" t="s">
        <v>213</v>
      </c>
      <c r="W105" s="170" t="s">
        <v>87</v>
      </c>
      <c r="X105" s="170" t="s">
        <v>11</v>
      </c>
      <c r="Y105" s="178">
        <v>16.7</v>
      </c>
      <c r="Z105" s="170" t="s">
        <v>95</v>
      </c>
      <c r="AA105" s="170" t="s">
        <v>96</v>
      </c>
      <c r="AB105" s="170" t="s">
        <v>12</v>
      </c>
      <c r="AC105" s="170">
        <v>16.7</v>
      </c>
      <c r="AD105" s="177" t="s">
        <v>219</v>
      </c>
      <c r="AE105" s="170" t="s">
        <v>99</v>
      </c>
      <c r="AF105" s="170" t="s">
        <v>11</v>
      </c>
      <c r="AG105" s="178">
        <v>16</v>
      </c>
      <c r="AH105" s="170" t="s">
        <v>94</v>
      </c>
      <c r="AI105" s="170" t="s">
        <v>97</v>
      </c>
      <c r="AJ105" s="170" t="s">
        <v>12</v>
      </c>
      <c r="AK105" s="170">
        <v>15.3</v>
      </c>
      <c r="AL105" s="177"/>
      <c r="AO105" s="178"/>
      <c r="AP105" s="177"/>
      <c r="AS105" s="178"/>
      <c r="AW105" s="178"/>
      <c r="BA105" s="179"/>
    </row>
    <row r="106" spans="1:53" s="170" customFormat="1" x14ac:dyDescent="0.15">
      <c r="A106" s="170">
        <v>2007</v>
      </c>
      <c r="B106" s="281"/>
      <c r="C106" s="395" t="s">
        <v>218</v>
      </c>
      <c r="D106" s="395"/>
      <c r="E106" s="170">
        <v>354</v>
      </c>
      <c r="G106" s="232">
        <v>7</v>
      </c>
      <c r="I106" s="170">
        <v>8</v>
      </c>
      <c r="J106" s="240">
        <v>15</v>
      </c>
      <c r="K106" s="213">
        <f t="shared" si="31"/>
        <v>46.666666666666664</v>
      </c>
      <c r="L106" s="213">
        <f t="shared" si="32"/>
        <v>0</v>
      </c>
      <c r="M106" s="213">
        <f t="shared" si="33"/>
        <v>53.333333333333336</v>
      </c>
      <c r="N106" s="234">
        <f t="shared" si="26"/>
        <v>100</v>
      </c>
      <c r="O106" s="212">
        <v>32.700000000000003</v>
      </c>
      <c r="P106" s="213"/>
      <c r="Q106" s="213">
        <v>32</v>
      </c>
      <c r="R106" s="214">
        <f t="shared" si="27"/>
        <v>64.7</v>
      </c>
      <c r="S106" s="170">
        <v>2</v>
      </c>
      <c r="T106" s="283"/>
      <c r="U106" s="281"/>
      <c r="V106" s="177" t="s">
        <v>213</v>
      </c>
      <c r="W106" s="170" t="s">
        <v>87</v>
      </c>
      <c r="X106" s="170" t="s">
        <v>11</v>
      </c>
      <c r="Y106" s="178">
        <v>16.7</v>
      </c>
      <c r="Z106" s="170" t="s">
        <v>95</v>
      </c>
      <c r="AA106" s="170" t="s">
        <v>96</v>
      </c>
      <c r="AB106" s="170" t="s">
        <v>12</v>
      </c>
      <c r="AC106" s="170">
        <v>16.7</v>
      </c>
      <c r="AD106" s="177" t="s">
        <v>219</v>
      </c>
      <c r="AE106" s="170" t="s">
        <v>99</v>
      </c>
      <c r="AF106" s="170" t="s">
        <v>11</v>
      </c>
      <c r="AG106" s="178">
        <v>16</v>
      </c>
      <c r="AH106" s="170" t="s">
        <v>94</v>
      </c>
      <c r="AI106" s="170" t="s">
        <v>97</v>
      </c>
      <c r="AJ106" s="170" t="s">
        <v>12</v>
      </c>
      <c r="AK106" s="170">
        <v>15.3</v>
      </c>
      <c r="AL106" s="177"/>
      <c r="AO106" s="178"/>
      <c r="AP106" s="177"/>
      <c r="AS106" s="178"/>
      <c r="AW106" s="178"/>
      <c r="BA106" s="179"/>
    </row>
    <row r="107" spans="1:53" s="28" customFormat="1" x14ac:dyDescent="0.15">
      <c r="A107" s="28">
        <v>2007</v>
      </c>
      <c r="B107" s="293">
        <v>39437</v>
      </c>
      <c r="C107" s="394" t="s">
        <v>220</v>
      </c>
      <c r="D107" s="394"/>
      <c r="E107" s="28">
        <f>365-E106</f>
        <v>11</v>
      </c>
      <c r="F107" s="28">
        <v>1</v>
      </c>
      <c r="G107" s="65">
        <v>6</v>
      </c>
      <c r="H107" s="28">
        <v>5</v>
      </c>
      <c r="I107" s="28">
        <v>3</v>
      </c>
      <c r="J107" s="72">
        <v>14</v>
      </c>
      <c r="K107" s="46">
        <f t="shared" si="31"/>
        <v>42.857142857142854</v>
      </c>
      <c r="L107" s="46">
        <f t="shared" si="32"/>
        <v>35.714285714285715</v>
      </c>
      <c r="M107" s="46">
        <f t="shared" si="33"/>
        <v>21.428571428571427</v>
      </c>
      <c r="N107" s="67">
        <f t="shared" si="26"/>
        <v>100</v>
      </c>
      <c r="O107" s="45">
        <v>27.3</v>
      </c>
      <c r="P107" s="46">
        <v>26.7</v>
      </c>
      <c r="Q107" s="46">
        <v>13.3</v>
      </c>
      <c r="R107" s="47">
        <f t="shared" si="27"/>
        <v>67.3</v>
      </c>
      <c r="S107" s="28">
        <v>3</v>
      </c>
      <c r="T107" s="284">
        <v>39243</v>
      </c>
      <c r="U107" s="293">
        <v>39437</v>
      </c>
      <c r="V107" s="37" t="s">
        <v>213</v>
      </c>
      <c r="W107" s="28" t="s">
        <v>87</v>
      </c>
      <c r="X107" s="28" t="s">
        <v>11</v>
      </c>
      <c r="Y107" s="38">
        <v>12</v>
      </c>
      <c r="Z107" s="28" t="s">
        <v>221</v>
      </c>
      <c r="AA107" s="28" t="s">
        <v>81</v>
      </c>
      <c r="AB107" s="28" t="s">
        <v>18</v>
      </c>
      <c r="AC107" s="28">
        <v>20</v>
      </c>
      <c r="AD107" s="37" t="s">
        <v>219</v>
      </c>
      <c r="AE107" s="28" t="s">
        <v>99</v>
      </c>
      <c r="AF107" s="28" t="s">
        <v>11</v>
      </c>
      <c r="AG107" s="38">
        <v>15.3</v>
      </c>
      <c r="AH107" s="28" t="s">
        <v>95</v>
      </c>
      <c r="AI107" s="28" t="s">
        <v>96</v>
      </c>
      <c r="AJ107" s="28" t="s">
        <v>12</v>
      </c>
      <c r="AK107" s="28">
        <v>13.3</v>
      </c>
      <c r="AL107" s="37" t="s">
        <v>222</v>
      </c>
      <c r="AM107" s="28" t="s">
        <v>85</v>
      </c>
      <c r="AN107" s="28" t="s">
        <v>18</v>
      </c>
      <c r="AO107" s="38">
        <v>6.7</v>
      </c>
      <c r="AP107" s="37"/>
      <c r="AS107" s="38"/>
      <c r="AW107" s="38"/>
      <c r="BA107" s="39"/>
    </row>
    <row r="108" spans="1:53" s="28" customFormat="1" x14ac:dyDescent="0.15">
      <c r="A108" s="28">
        <v>2008</v>
      </c>
      <c r="B108" s="293"/>
      <c r="C108" s="394" t="s">
        <v>220</v>
      </c>
      <c r="D108" s="394"/>
      <c r="E108" s="28">
        <v>79</v>
      </c>
      <c r="G108" s="65">
        <v>6</v>
      </c>
      <c r="H108" s="28">
        <v>5</v>
      </c>
      <c r="I108" s="28">
        <v>3</v>
      </c>
      <c r="J108" s="72">
        <v>14</v>
      </c>
      <c r="K108" s="46">
        <f t="shared" si="31"/>
        <v>42.857142857142854</v>
      </c>
      <c r="L108" s="46">
        <f t="shared" si="32"/>
        <v>35.714285714285715</v>
      </c>
      <c r="M108" s="46">
        <f t="shared" si="33"/>
        <v>21.428571428571427</v>
      </c>
      <c r="N108" s="67">
        <f t="shared" si="26"/>
        <v>100</v>
      </c>
      <c r="O108" s="45">
        <v>27.3</v>
      </c>
      <c r="P108" s="46">
        <v>26.7</v>
      </c>
      <c r="Q108" s="46">
        <v>13.3</v>
      </c>
      <c r="R108" s="47">
        <f t="shared" si="27"/>
        <v>67.3</v>
      </c>
      <c r="S108" s="28">
        <v>3</v>
      </c>
      <c r="T108" s="284"/>
      <c r="U108" s="293"/>
      <c r="V108" s="37" t="s">
        <v>213</v>
      </c>
      <c r="W108" s="28" t="s">
        <v>87</v>
      </c>
      <c r="X108" s="28" t="s">
        <v>11</v>
      </c>
      <c r="Y108" s="38">
        <v>12</v>
      </c>
      <c r="Z108" s="28" t="s">
        <v>221</v>
      </c>
      <c r="AA108" s="28" t="s">
        <v>81</v>
      </c>
      <c r="AB108" s="28" t="s">
        <v>18</v>
      </c>
      <c r="AC108" s="28">
        <v>20</v>
      </c>
      <c r="AD108" s="37" t="s">
        <v>219</v>
      </c>
      <c r="AE108" s="28" t="s">
        <v>99</v>
      </c>
      <c r="AF108" s="28" t="s">
        <v>11</v>
      </c>
      <c r="AG108" s="38">
        <v>15.3</v>
      </c>
      <c r="AH108" s="28" t="s">
        <v>95</v>
      </c>
      <c r="AI108" s="28" t="s">
        <v>96</v>
      </c>
      <c r="AJ108" s="28" t="s">
        <v>12</v>
      </c>
      <c r="AK108" s="28">
        <v>13.3</v>
      </c>
      <c r="AL108" s="37" t="s">
        <v>222</v>
      </c>
      <c r="AM108" s="28" t="s">
        <v>85</v>
      </c>
      <c r="AN108" s="28" t="s">
        <v>18</v>
      </c>
      <c r="AO108" s="38">
        <v>6.7</v>
      </c>
      <c r="AP108" s="37"/>
      <c r="AS108" s="38"/>
      <c r="AW108" s="38"/>
      <c r="BA108" s="39"/>
    </row>
    <row r="109" spans="1:53" s="170" customFormat="1" x14ac:dyDescent="0.15">
      <c r="A109" s="170">
        <v>2008</v>
      </c>
      <c r="B109" s="281">
        <v>39527</v>
      </c>
      <c r="C109" s="395" t="s">
        <v>223</v>
      </c>
      <c r="D109" s="395"/>
      <c r="E109" s="170">
        <v>285</v>
      </c>
      <c r="F109" s="170">
        <v>2</v>
      </c>
      <c r="G109" s="232">
        <v>7</v>
      </c>
      <c r="H109" s="170">
        <v>5</v>
      </c>
      <c r="I109" s="170">
        <v>3</v>
      </c>
      <c r="J109" s="240">
        <f>G109+H109+I109</f>
        <v>15</v>
      </c>
      <c r="K109" s="213">
        <f t="shared" ref="K109:K115" si="34">G109/J109*100</f>
        <v>46.666666666666664</v>
      </c>
      <c r="L109" s="213">
        <f t="shared" ref="L109:L115" si="35">H109/J109*100</f>
        <v>33.333333333333329</v>
      </c>
      <c r="M109" s="213">
        <f t="shared" ref="M109:M115" si="36">I109/J109*100</f>
        <v>20</v>
      </c>
      <c r="N109" s="234">
        <f t="shared" si="26"/>
        <v>100</v>
      </c>
      <c r="O109" s="212">
        <v>27.3</v>
      </c>
      <c r="P109" s="213">
        <v>26.7</v>
      </c>
      <c r="Q109" s="213">
        <v>13.3</v>
      </c>
      <c r="R109" s="214">
        <f t="shared" si="27"/>
        <v>67.3</v>
      </c>
      <c r="S109" s="170">
        <v>3</v>
      </c>
      <c r="T109" s="283"/>
      <c r="U109" s="281">
        <v>39527</v>
      </c>
      <c r="V109" s="177" t="s">
        <v>221</v>
      </c>
      <c r="W109" s="170" t="s">
        <v>81</v>
      </c>
      <c r="X109" s="170" t="s">
        <v>18</v>
      </c>
      <c r="Y109" s="178">
        <v>20</v>
      </c>
      <c r="Z109" s="170" t="s">
        <v>213</v>
      </c>
      <c r="AA109" s="170" t="s">
        <v>87</v>
      </c>
      <c r="AB109" s="170" t="s">
        <v>11</v>
      </c>
      <c r="AC109" s="170">
        <v>12</v>
      </c>
      <c r="AD109" s="177" t="s">
        <v>219</v>
      </c>
      <c r="AE109" s="170" t="s">
        <v>99</v>
      </c>
      <c r="AF109" s="170" t="s">
        <v>11</v>
      </c>
      <c r="AG109" s="178">
        <v>15.3</v>
      </c>
      <c r="AH109" s="170" t="s">
        <v>95</v>
      </c>
      <c r="AI109" s="170" t="s">
        <v>96</v>
      </c>
      <c r="AJ109" s="170" t="s">
        <v>12</v>
      </c>
      <c r="AK109" s="170">
        <v>13.3</v>
      </c>
      <c r="AL109" s="177" t="s">
        <v>222</v>
      </c>
      <c r="AM109" s="170" t="s">
        <v>85</v>
      </c>
      <c r="AN109" s="170" t="s">
        <v>18</v>
      </c>
      <c r="AO109" s="178">
        <v>6.7</v>
      </c>
      <c r="AP109" s="177"/>
      <c r="AS109" s="178"/>
      <c r="AW109" s="178"/>
      <c r="BA109" s="179"/>
    </row>
    <row r="110" spans="1:53" s="28" customFormat="1" x14ac:dyDescent="0.15">
      <c r="A110" s="28">
        <v>2008</v>
      </c>
      <c r="B110" s="293">
        <v>39812</v>
      </c>
      <c r="C110" s="394" t="s">
        <v>224</v>
      </c>
      <c r="D110" s="394"/>
      <c r="E110" s="28">
        <v>2</v>
      </c>
      <c r="F110" s="28">
        <v>2</v>
      </c>
      <c r="G110" s="65">
        <v>7</v>
      </c>
      <c r="H110" s="28">
        <v>5</v>
      </c>
      <c r="I110" s="28">
        <v>3</v>
      </c>
      <c r="J110" s="72">
        <v>15</v>
      </c>
      <c r="K110" s="46">
        <f t="shared" si="34"/>
        <v>46.666666666666664</v>
      </c>
      <c r="L110" s="46">
        <f t="shared" si="35"/>
        <v>33.333333333333329</v>
      </c>
      <c r="M110" s="46">
        <f t="shared" si="36"/>
        <v>20</v>
      </c>
      <c r="N110" s="67">
        <f t="shared" si="26"/>
        <v>100</v>
      </c>
      <c r="O110" s="45">
        <v>27.3</v>
      </c>
      <c r="P110" s="46">
        <v>26.7</v>
      </c>
      <c r="Q110" s="46">
        <v>13.3</v>
      </c>
      <c r="R110" s="47">
        <f t="shared" si="27"/>
        <v>67.3</v>
      </c>
      <c r="S110" s="28">
        <v>3</v>
      </c>
      <c r="T110" s="284"/>
      <c r="U110" s="293">
        <v>39812</v>
      </c>
      <c r="V110" s="37" t="s">
        <v>221</v>
      </c>
      <c r="W110" s="28" t="s">
        <v>81</v>
      </c>
      <c r="X110" s="28" t="s">
        <v>18</v>
      </c>
      <c r="Y110" s="38">
        <v>20</v>
      </c>
      <c r="Z110" s="28" t="s">
        <v>213</v>
      </c>
      <c r="AA110" s="28" t="s">
        <v>87</v>
      </c>
      <c r="AB110" s="28" t="s">
        <v>11</v>
      </c>
      <c r="AC110" s="28">
        <v>12</v>
      </c>
      <c r="AD110" s="37" t="s">
        <v>219</v>
      </c>
      <c r="AE110" s="28" t="s">
        <v>99</v>
      </c>
      <c r="AF110" s="28" t="s">
        <v>11</v>
      </c>
      <c r="AG110" s="38">
        <v>15.3</v>
      </c>
      <c r="AH110" s="28" t="s">
        <v>95</v>
      </c>
      <c r="AI110" s="28" t="s">
        <v>96</v>
      </c>
      <c r="AJ110" s="28" t="s">
        <v>12</v>
      </c>
      <c r="AK110" s="28">
        <v>13.3</v>
      </c>
      <c r="AL110" s="37" t="s">
        <v>222</v>
      </c>
      <c r="AM110" s="28" t="s">
        <v>85</v>
      </c>
      <c r="AN110" s="28" t="s">
        <v>18</v>
      </c>
      <c r="AO110" s="38">
        <v>6.7</v>
      </c>
      <c r="AP110" s="37"/>
      <c r="AS110" s="38"/>
      <c r="AW110" s="38"/>
      <c r="BA110" s="39"/>
    </row>
    <row r="111" spans="1:53" s="28" customFormat="1" x14ac:dyDescent="0.15">
      <c r="A111" s="28">
        <v>2009</v>
      </c>
      <c r="B111" s="293"/>
      <c r="C111" s="394" t="s">
        <v>224</v>
      </c>
      <c r="D111" s="394"/>
      <c r="E111" s="28">
        <v>197</v>
      </c>
      <c r="G111" s="65">
        <v>7</v>
      </c>
      <c r="H111" s="28">
        <v>5</v>
      </c>
      <c r="I111" s="28">
        <v>3</v>
      </c>
      <c r="J111" s="72">
        <v>15</v>
      </c>
      <c r="K111" s="46">
        <f t="shared" si="34"/>
        <v>46.666666666666664</v>
      </c>
      <c r="L111" s="46">
        <f t="shared" si="35"/>
        <v>33.333333333333329</v>
      </c>
      <c r="M111" s="46">
        <f t="shared" si="36"/>
        <v>20</v>
      </c>
      <c r="N111" s="67">
        <f t="shared" si="26"/>
        <v>100</v>
      </c>
      <c r="O111" s="45">
        <v>27.3</v>
      </c>
      <c r="P111" s="46">
        <v>26.7</v>
      </c>
      <c r="Q111" s="46">
        <v>13.3</v>
      </c>
      <c r="R111" s="47">
        <f t="shared" si="27"/>
        <v>67.3</v>
      </c>
      <c r="S111" s="28">
        <v>3</v>
      </c>
      <c r="T111" s="284"/>
      <c r="U111" s="293"/>
      <c r="V111" s="37" t="s">
        <v>221</v>
      </c>
      <c r="W111" s="28" t="s">
        <v>81</v>
      </c>
      <c r="X111" s="28" t="s">
        <v>18</v>
      </c>
      <c r="Y111" s="38">
        <v>20</v>
      </c>
      <c r="Z111" s="28" t="s">
        <v>213</v>
      </c>
      <c r="AA111" s="28" t="s">
        <v>87</v>
      </c>
      <c r="AB111" s="28" t="s">
        <v>11</v>
      </c>
      <c r="AC111" s="28">
        <v>12</v>
      </c>
      <c r="AD111" s="37" t="s">
        <v>219</v>
      </c>
      <c r="AE111" s="28" t="s">
        <v>99</v>
      </c>
      <c r="AF111" s="28" t="s">
        <v>11</v>
      </c>
      <c r="AG111" s="38">
        <v>15.3</v>
      </c>
      <c r="AH111" s="28" t="s">
        <v>95</v>
      </c>
      <c r="AI111" s="28" t="s">
        <v>96</v>
      </c>
      <c r="AJ111" s="28" t="s">
        <v>12</v>
      </c>
      <c r="AK111" s="28">
        <v>13.3</v>
      </c>
      <c r="AL111" s="37" t="s">
        <v>222</v>
      </c>
      <c r="AM111" s="28" t="s">
        <v>85</v>
      </c>
      <c r="AN111" s="28" t="s">
        <v>18</v>
      </c>
      <c r="AO111" s="38">
        <v>6.7</v>
      </c>
      <c r="AP111" s="37"/>
      <c r="AS111" s="38"/>
      <c r="AW111" s="38"/>
      <c r="BA111" s="39"/>
    </row>
    <row r="112" spans="1:53" s="28" customFormat="1" x14ac:dyDescent="0.15">
      <c r="A112" s="28">
        <v>2009</v>
      </c>
      <c r="B112" s="301">
        <v>40011</v>
      </c>
      <c r="C112" s="394" t="s">
        <v>224</v>
      </c>
      <c r="D112" s="394"/>
      <c r="E112" s="28">
        <v>131</v>
      </c>
      <c r="F112" s="83">
        <v>0</v>
      </c>
      <c r="G112" s="65">
        <v>6</v>
      </c>
      <c r="H112" s="28">
        <v>6</v>
      </c>
      <c r="I112" s="28">
        <v>3</v>
      </c>
      <c r="J112" s="72">
        <v>15</v>
      </c>
      <c r="K112" s="46">
        <f t="shared" si="34"/>
        <v>40</v>
      </c>
      <c r="L112" s="46">
        <f t="shared" si="35"/>
        <v>40</v>
      </c>
      <c r="M112" s="46">
        <f t="shared" si="36"/>
        <v>20</v>
      </c>
      <c r="N112" s="67">
        <f t="shared" si="26"/>
        <v>100</v>
      </c>
      <c r="O112" s="45">
        <v>27.3</v>
      </c>
      <c r="P112" s="46">
        <v>26.7</v>
      </c>
      <c r="Q112" s="46">
        <v>13.3</v>
      </c>
      <c r="R112" s="47">
        <f t="shared" si="27"/>
        <v>67.3</v>
      </c>
      <c r="S112" s="28">
        <v>3</v>
      </c>
      <c r="T112" s="284"/>
      <c r="U112" s="293"/>
      <c r="V112" s="37" t="s">
        <v>221</v>
      </c>
      <c r="W112" s="28" t="s">
        <v>81</v>
      </c>
      <c r="X112" s="28" t="s">
        <v>18</v>
      </c>
      <c r="Y112" s="38">
        <v>20</v>
      </c>
      <c r="Z112" s="28" t="s">
        <v>213</v>
      </c>
      <c r="AA112" s="28" t="s">
        <v>87</v>
      </c>
      <c r="AB112" s="28" t="s">
        <v>11</v>
      </c>
      <c r="AC112" s="28">
        <v>12</v>
      </c>
      <c r="AD112" s="37" t="s">
        <v>219</v>
      </c>
      <c r="AE112" s="28" t="s">
        <v>99</v>
      </c>
      <c r="AF112" s="28" t="s">
        <v>11</v>
      </c>
      <c r="AG112" s="38">
        <v>15.3</v>
      </c>
      <c r="AH112" s="28" t="s">
        <v>95</v>
      </c>
      <c r="AI112" s="28" t="s">
        <v>96</v>
      </c>
      <c r="AJ112" s="28" t="s">
        <v>12</v>
      </c>
      <c r="AK112" s="28">
        <v>13.3</v>
      </c>
      <c r="AL112" s="37" t="s">
        <v>222</v>
      </c>
      <c r="AM112" s="28" t="s">
        <v>85</v>
      </c>
      <c r="AN112" s="28" t="s">
        <v>18</v>
      </c>
      <c r="AO112" s="38">
        <v>6.7</v>
      </c>
      <c r="AP112" s="37"/>
      <c r="AS112" s="38"/>
      <c r="AW112" s="38"/>
      <c r="BA112" s="39"/>
    </row>
    <row r="113" spans="1:53" s="170" customFormat="1" x14ac:dyDescent="0.15">
      <c r="A113" s="170">
        <v>2009</v>
      </c>
      <c r="B113" s="281">
        <v>40142</v>
      </c>
      <c r="C113" s="395" t="s">
        <v>225</v>
      </c>
      <c r="D113" s="395"/>
      <c r="E113" s="170">
        <v>37</v>
      </c>
      <c r="F113" s="170">
        <v>2</v>
      </c>
      <c r="G113" s="232">
        <v>6</v>
      </c>
      <c r="H113" s="170">
        <v>6</v>
      </c>
      <c r="I113" s="170">
        <v>3</v>
      </c>
      <c r="J113" s="240">
        <v>15</v>
      </c>
      <c r="K113" s="213">
        <f>G113/J113*100</f>
        <v>40</v>
      </c>
      <c r="L113" s="213">
        <f t="shared" si="35"/>
        <v>40</v>
      </c>
      <c r="M113" s="213">
        <f t="shared" si="36"/>
        <v>20</v>
      </c>
      <c r="N113" s="234">
        <f t="shared" si="26"/>
        <v>100</v>
      </c>
      <c r="O113" s="212">
        <v>27.3</v>
      </c>
      <c r="P113" s="213">
        <v>26.7</v>
      </c>
      <c r="Q113" s="213">
        <v>13.3</v>
      </c>
      <c r="R113" s="214">
        <f t="shared" si="27"/>
        <v>67.3</v>
      </c>
      <c r="S113" s="170">
        <v>3</v>
      </c>
      <c r="T113" s="283"/>
      <c r="U113" s="281">
        <v>40142</v>
      </c>
      <c r="V113" s="177" t="s">
        <v>221</v>
      </c>
      <c r="W113" s="170" t="s">
        <v>81</v>
      </c>
      <c r="X113" s="170" t="s">
        <v>18</v>
      </c>
      <c r="Y113" s="178">
        <v>20</v>
      </c>
      <c r="Z113" s="170" t="s">
        <v>213</v>
      </c>
      <c r="AA113" s="170" t="s">
        <v>87</v>
      </c>
      <c r="AB113" s="170" t="s">
        <v>11</v>
      </c>
      <c r="AC113" s="170">
        <v>12</v>
      </c>
      <c r="AD113" s="177" t="s">
        <v>219</v>
      </c>
      <c r="AE113" s="170" t="s">
        <v>99</v>
      </c>
      <c r="AF113" s="170" t="s">
        <v>11</v>
      </c>
      <c r="AG113" s="178">
        <v>15.3</v>
      </c>
      <c r="AH113" s="170" t="s">
        <v>95</v>
      </c>
      <c r="AI113" s="170" t="s">
        <v>96</v>
      </c>
      <c r="AJ113" s="170" t="s">
        <v>12</v>
      </c>
      <c r="AK113" s="170">
        <v>13.3</v>
      </c>
      <c r="AL113" s="177" t="s">
        <v>222</v>
      </c>
      <c r="AM113" s="170" t="s">
        <v>85</v>
      </c>
      <c r="AN113" s="170" t="s">
        <v>18</v>
      </c>
      <c r="AO113" s="178">
        <v>6.7</v>
      </c>
      <c r="AP113" s="177"/>
      <c r="AS113" s="178"/>
      <c r="AW113" s="178"/>
      <c r="BA113" s="179"/>
    </row>
    <row r="114" spans="1:53" s="170" customFormat="1" x14ac:dyDescent="0.15">
      <c r="A114" s="170">
        <v>2010</v>
      </c>
      <c r="B114" s="281"/>
      <c r="C114" s="395" t="s">
        <v>225</v>
      </c>
      <c r="D114" s="395"/>
      <c r="E114" s="170">
        <v>163</v>
      </c>
      <c r="G114" s="232">
        <v>6</v>
      </c>
      <c r="H114" s="170">
        <v>6</v>
      </c>
      <c r="I114" s="170">
        <v>3</v>
      </c>
      <c r="J114" s="240">
        <v>15</v>
      </c>
      <c r="K114" s="213">
        <f t="shared" si="34"/>
        <v>40</v>
      </c>
      <c r="L114" s="213">
        <f t="shared" si="35"/>
        <v>40</v>
      </c>
      <c r="M114" s="213">
        <f t="shared" si="36"/>
        <v>20</v>
      </c>
      <c r="N114" s="234">
        <f t="shared" si="26"/>
        <v>100</v>
      </c>
      <c r="O114" s="212">
        <v>27.3</v>
      </c>
      <c r="P114" s="213">
        <v>26.7</v>
      </c>
      <c r="Q114" s="213">
        <v>13.3</v>
      </c>
      <c r="R114" s="214">
        <f t="shared" si="27"/>
        <v>67.3</v>
      </c>
      <c r="S114" s="170">
        <v>3</v>
      </c>
      <c r="T114" s="283"/>
      <c r="U114" s="281"/>
      <c r="V114" s="177" t="s">
        <v>221</v>
      </c>
      <c r="W114" s="170" t="s">
        <v>81</v>
      </c>
      <c r="X114" s="170" t="s">
        <v>18</v>
      </c>
      <c r="Y114" s="178">
        <v>20</v>
      </c>
      <c r="Z114" s="170" t="s">
        <v>213</v>
      </c>
      <c r="AA114" s="170" t="s">
        <v>87</v>
      </c>
      <c r="AB114" s="170" t="s">
        <v>11</v>
      </c>
      <c r="AC114" s="170">
        <v>12</v>
      </c>
      <c r="AD114" s="177" t="s">
        <v>219</v>
      </c>
      <c r="AE114" s="170" t="s">
        <v>99</v>
      </c>
      <c r="AF114" s="170" t="s">
        <v>11</v>
      </c>
      <c r="AG114" s="178">
        <v>15.3</v>
      </c>
      <c r="AH114" s="170" t="s">
        <v>95</v>
      </c>
      <c r="AI114" s="170" t="s">
        <v>96</v>
      </c>
      <c r="AJ114" s="170" t="s">
        <v>12</v>
      </c>
      <c r="AK114" s="170">
        <v>13.3</v>
      </c>
      <c r="AL114" s="177" t="s">
        <v>222</v>
      </c>
      <c r="AM114" s="170" t="s">
        <v>85</v>
      </c>
      <c r="AN114" s="170" t="s">
        <v>18</v>
      </c>
      <c r="AO114" s="178">
        <v>6.7</v>
      </c>
      <c r="AP114" s="177"/>
      <c r="AS114" s="178"/>
      <c r="AW114" s="178"/>
      <c r="BA114" s="179"/>
    </row>
    <row r="115" spans="1:53" s="28" customFormat="1" x14ac:dyDescent="0.15">
      <c r="A115" s="28">
        <v>2010</v>
      </c>
      <c r="B115" s="293">
        <v>40342</v>
      </c>
      <c r="C115" s="394" t="s">
        <v>1436</v>
      </c>
      <c r="D115" s="394"/>
      <c r="E115" s="28">
        <f>365-E114</f>
        <v>202</v>
      </c>
      <c r="F115" s="28">
        <v>1</v>
      </c>
      <c r="G115" s="65">
        <v>6</v>
      </c>
      <c r="H115" s="28">
        <v>6</v>
      </c>
      <c r="I115" s="28">
        <v>3</v>
      </c>
      <c r="J115" s="72">
        <v>15</v>
      </c>
      <c r="K115" s="46">
        <f t="shared" si="34"/>
        <v>40</v>
      </c>
      <c r="L115" s="46">
        <f t="shared" si="35"/>
        <v>40</v>
      </c>
      <c r="M115" s="46">
        <f t="shared" si="36"/>
        <v>20</v>
      </c>
      <c r="N115" s="67">
        <f t="shared" si="26"/>
        <v>100</v>
      </c>
      <c r="O115" s="45">
        <v>20.7</v>
      </c>
      <c r="P115" s="46">
        <v>17.3</v>
      </c>
      <c r="Q115" s="46">
        <v>17.3</v>
      </c>
      <c r="R115" s="47">
        <f t="shared" si="27"/>
        <v>55.3</v>
      </c>
      <c r="S115" s="28">
        <v>6</v>
      </c>
      <c r="T115" s="284">
        <v>40342</v>
      </c>
      <c r="U115" s="293">
        <v>40342</v>
      </c>
      <c r="V115" s="37" t="s">
        <v>221</v>
      </c>
      <c r="W115" s="28" t="s">
        <v>81</v>
      </c>
      <c r="X115" s="28" t="s">
        <v>18</v>
      </c>
      <c r="Y115" s="38">
        <v>11.3</v>
      </c>
      <c r="Z115" s="28" t="s">
        <v>213</v>
      </c>
      <c r="AA115" s="28" t="s">
        <v>87</v>
      </c>
      <c r="AB115" s="28" t="s">
        <v>11</v>
      </c>
      <c r="AC115" s="28">
        <v>8.6999999999999993</v>
      </c>
      <c r="AD115" s="37" t="s">
        <v>219</v>
      </c>
      <c r="AE115" s="28" t="s">
        <v>99</v>
      </c>
      <c r="AF115" s="28" t="s">
        <v>11</v>
      </c>
      <c r="AG115" s="38">
        <v>12</v>
      </c>
      <c r="AH115" s="28" t="s">
        <v>95</v>
      </c>
      <c r="AI115" s="28" t="s">
        <v>96</v>
      </c>
      <c r="AJ115" s="28" t="s">
        <v>12</v>
      </c>
      <c r="AK115" s="28">
        <v>17.3</v>
      </c>
      <c r="AL115" s="37" t="s">
        <v>222</v>
      </c>
      <c r="AM115" s="28" t="s">
        <v>85</v>
      </c>
      <c r="AN115" s="28" t="s">
        <v>18</v>
      </c>
      <c r="AO115" s="38">
        <v>6</v>
      </c>
      <c r="AP115" s="37"/>
      <c r="AS115" s="38"/>
      <c r="AW115" s="38"/>
      <c r="BA115" s="39"/>
    </row>
    <row r="116" spans="1:53" s="28" customFormat="1" x14ac:dyDescent="0.15">
      <c r="A116" s="28">
        <v>2011</v>
      </c>
      <c r="B116" s="293"/>
      <c r="C116" s="394" t="s">
        <v>1436</v>
      </c>
      <c r="D116" s="394"/>
      <c r="E116" s="28">
        <v>339</v>
      </c>
      <c r="G116" s="65">
        <v>6</v>
      </c>
      <c r="H116" s="28">
        <v>6</v>
      </c>
      <c r="I116" s="28">
        <v>3</v>
      </c>
      <c r="J116" s="72">
        <v>15</v>
      </c>
      <c r="K116" s="46">
        <f t="shared" ref="K116:K121" si="37">G116/J116*100</f>
        <v>40</v>
      </c>
      <c r="L116" s="46">
        <f t="shared" ref="L116:L122" si="38">H116/J116*100</f>
        <v>40</v>
      </c>
      <c r="M116" s="46">
        <f t="shared" ref="M116:M122" si="39">I116/J116*100</f>
        <v>20</v>
      </c>
      <c r="N116" s="67">
        <f t="shared" si="26"/>
        <v>100</v>
      </c>
      <c r="O116" s="45">
        <v>20.7</v>
      </c>
      <c r="P116" s="46">
        <v>17.3</v>
      </c>
      <c r="Q116" s="46">
        <v>17.3</v>
      </c>
      <c r="R116" s="47">
        <f t="shared" si="27"/>
        <v>55.3</v>
      </c>
      <c r="S116" s="28">
        <v>6</v>
      </c>
      <c r="T116" s="284"/>
      <c r="U116" s="293"/>
      <c r="V116" s="37" t="s">
        <v>221</v>
      </c>
      <c r="W116" s="28" t="s">
        <v>81</v>
      </c>
      <c r="X116" s="28" t="s">
        <v>18</v>
      </c>
      <c r="Y116" s="38">
        <v>11.3</v>
      </c>
      <c r="Z116" s="28" t="s">
        <v>213</v>
      </c>
      <c r="AA116" s="28" t="s">
        <v>87</v>
      </c>
      <c r="AB116" s="28" t="s">
        <v>11</v>
      </c>
      <c r="AC116" s="28">
        <v>8.6999999999999993</v>
      </c>
      <c r="AD116" s="37" t="s">
        <v>219</v>
      </c>
      <c r="AE116" s="28" t="s">
        <v>99</v>
      </c>
      <c r="AF116" s="28" t="s">
        <v>11</v>
      </c>
      <c r="AG116" s="38">
        <v>12</v>
      </c>
      <c r="AH116" s="28" t="s">
        <v>95</v>
      </c>
      <c r="AI116" s="28" t="s">
        <v>96</v>
      </c>
      <c r="AJ116" s="28" t="s">
        <v>12</v>
      </c>
      <c r="AK116" s="28">
        <v>17.3</v>
      </c>
      <c r="AL116" s="37" t="s">
        <v>222</v>
      </c>
      <c r="AM116" s="28" t="s">
        <v>85</v>
      </c>
      <c r="AN116" s="28" t="s">
        <v>18</v>
      </c>
      <c r="AO116" s="38">
        <v>6</v>
      </c>
      <c r="AP116" s="37"/>
      <c r="AS116" s="38"/>
      <c r="AW116" s="38"/>
      <c r="BA116" s="39"/>
    </row>
    <row r="117" spans="1:53" s="170" customFormat="1" x14ac:dyDescent="0.15">
      <c r="A117" s="170">
        <v>2011</v>
      </c>
      <c r="B117" s="281">
        <v>40883</v>
      </c>
      <c r="C117" s="395" t="s">
        <v>226</v>
      </c>
      <c r="D117" s="395"/>
      <c r="E117" s="170">
        <v>26</v>
      </c>
      <c r="F117" s="170">
        <v>1</v>
      </c>
      <c r="G117" s="232">
        <v>5</v>
      </c>
      <c r="H117" s="170">
        <v>3</v>
      </c>
      <c r="I117" s="170">
        <v>5</v>
      </c>
      <c r="J117" s="240">
        <v>13</v>
      </c>
      <c r="K117" s="213">
        <f t="shared" si="37"/>
        <v>38.461538461538467</v>
      </c>
      <c r="L117" s="213">
        <f t="shared" si="38"/>
        <v>23.076923076923077</v>
      </c>
      <c r="M117" s="213">
        <f t="shared" si="39"/>
        <v>38.461538461538467</v>
      </c>
      <c r="N117" s="234">
        <f t="shared" si="26"/>
        <v>100.00000000000001</v>
      </c>
      <c r="O117" s="212">
        <v>20.7</v>
      </c>
      <c r="P117" s="213">
        <v>17.3</v>
      </c>
      <c r="Q117" s="213">
        <v>26</v>
      </c>
      <c r="R117" s="214">
        <f t="shared" si="27"/>
        <v>64</v>
      </c>
      <c r="S117" s="170">
        <v>3</v>
      </c>
      <c r="T117" s="283"/>
      <c r="U117" s="281">
        <v>40883</v>
      </c>
      <c r="V117" s="177" t="s">
        <v>95</v>
      </c>
      <c r="W117" s="170" t="s">
        <v>96</v>
      </c>
      <c r="X117" s="170" t="s">
        <v>12</v>
      </c>
      <c r="Y117" s="178">
        <v>17.3</v>
      </c>
      <c r="Z117" s="170" t="s">
        <v>221</v>
      </c>
      <c r="AA117" s="170" t="s">
        <v>81</v>
      </c>
      <c r="AB117" s="170" t="s">
        <v>18</v>
      </c>
      <c r="AC117" s="170">
        <v>11.3</v>
      </c>
      <c r="AD117" s="177" t="s">
        <v>219</v>
      </c>
      <c r="AE117" s="170" t="s">
        <v>99</v>
      </c>
      <c r="AF117" s="170" t="s">
        <v>11</v>
      </c>
      <c r="AG117" s="178">
        <v>12</v>
      </c>
      <c r="AH117" s="170" t="s">
        <v>213</v>
      </c>
      <c r="AI117" s="170" t="s">
        <v>87</v>
      </c>
      <c r="AJ117" s="170" t="s">
        <v>11</v>
      </c>
      <c r="AK117" s="170">
        <v>8.6999999999999993</v>
      </c>
      <c r="AL117" s="177" t="s">
        <v>94</v>
      </c>
      <c r="AM117" s="170" t="s">
        <v>97</v>
      </c>
      <c r="AN117" s="170" t="s">
        <v>12</v>
      </c>
      <c r="AO117" s="178">
        <v>8.6999999999999993</v>
      </c>
      <c r="AP117" s="177" t="s">
        <v>222</v>
      </c>
      <c r="AQ117" s="170" t="s">
        <v>85</v>
      </c>
      <c r="AR117" s="170" t="s">
        <v>18</v>
      </c>
      <c r="AS117" s="178">
        <v>6</v>
      </c>
      <c r="AW117" s="178"/>
      <c r="BA117" s="179"/>
    </row>
    <row r="118" spans="1:53" s="170" customFormat="1" x14ac:dyDescent="0.15">
      <c r="A118" s="170">
        <v>2012</v>
      </c>
      <c r="B118" s="281"/>
      <c r="C118" s="395" t="s">
        <v>226</v>
      </c>
      <c r="D118" s="395"/>
      <c r="E118" s="170">
        <v>0</v>
      </c>
      <c r="G118" s="232">
        <v>5</v>
      </c>
      <c r="H118" s="170">
        <v>3</v>
      </c>
      <c r="I118" s="170">
        <v>5</v>
      </c>
      <c r="J118" s="240">
        <v>13</v>
      </c>
      <c r="K118" s="213">
        <f t="shared" si="37"/>
        <v>38.461538461538467</v>
      </c>
      <c r="L118" s="213">
        <f t="shared" si="38"/>
        <v>23.076923076923077</v>
      </c>
      <c r="M118" s="213">
        <f t="shared" si="39"/>
        <v>38.461538461538467</v>
      </c>
      <c r="N118" s="234">
        <f t="shared" si="26"/>
        <v>100.00000000000001</v>
      </c>
      <c r="O118" s="212">
        <v>20.7</v>
      </c>
      <c r="P118" s="213">
        <v>17.3</v>
      </c>
      <c r="Q118" s="213">
        <v>26</v>
      </c>
      <c r="R118" s="214">
        <f t="shared" si="27"/>
        <v>64</v>
      </c>
      <c r="S118" s="170">
        <v>3</v>
      </c>
      <c r="T118" s="283"/>
      <c r="U118" s="281"/>
      <c r="V118" s="177" t="s">
        <v>95</v>
      </c>
      <c r="W118" s="170" t="s">
        <v>96</v>
      </c>
      <c r="X118" s="170" t="s">
        <v>12</v>
      </c>
      <c r="Y118" s="178">
        <v>17.3</v>
      </c>
      <c r="Z118" s="170" t="s">
        <v>221</v>
      </c>
      <c r="AA118" s="170" t="s">
        <v>81</v>
      </c>
      <c r="AB118" s="170" t="s">
        <v>18</v>
      </c>
      <c r="AC118" s="170">
        <v>11.3</v>
      </c>
      <c r="AD118" s="177" t="s">
        <v>219</v>
      </c>
      <c r="AE118" s="170" t="s">
        <v>99</v>
      </c>
      <c r="AF118" s="170" t="s">
        <v>11</v>
      </c>
      <c r="AG118" s="178">
        <v>12</v>
      </c>
      <c r="AH118" s="170" t="s">
        <v>213</v>
      </c>
      <c r="AI118" s="170" t="s">
        <v>87</v>
      </c>
      <c r="AJ118" s="170" t="s">
        <v>11</v>
      </c>
      <c r="AK118" s="170">
        <v>8.6999999999999993</v>
      </c>
      <c r="AL118" s="177" t="s">
        <v>94</v>
      </c>
      <c r="AM118" s="170" t="s">
        <v>97</v>
      </c>
      <c r="AN118" s="170" t="s">
        <v>12</v>
      </c>
      <c r="AO118" s="178">
        <v>8.6999999999999993</v>
      </c>
      <c r="AP118" s="177" t="s">
        <v>222</v>
      </c>
      <c r="AQ118" s="170" t="s">
        <v>85</v>
      </c>
      <c r="AR118" s="170" t="s">
        <v>18</v>
      </c>
      <c r="AS118" s="178">
        <v>6</v>
      </c>
      <c r="AW118" s="178"/>
      <c r="BA118" s="179"/>
    </row>
    <row r="119" spans="1:53" s="170" customFormat="1" x14ac:dyDescent="0.15">
      <c r="A119" s="170">
        <v>2012</v>
      </c>
      <c r="B119" s="281"/>
      <c r="C119" s="395" t="s">
        <v>226</v>
      </c>
      <c r="D119" s="395"/>
      <c r="E119" s="170">
        <v>366</v>
      </c>
      <c r="G119" s="232">
        <v>5</v>
      </c>
      <c r="H119" s="170">
        <v>3</v>
      </c>
      <c r="I119" s="170">
        <v>5</v>
      </c>
      <c r="J119" s="240">
        <v>13</v>
      </c>
      <c r="K119" s="213">
        <f t="shared" si="37"/>
        <v>38.461538461538467</v>
      </c>
      <c r="L119" s="213">
        <f t="shared" si="38"/>
        <v>23.076923076923077</v>
      </c>
      <c r="M119" s="213">
        <f t="shared" si="39"/>
        <v>38.461538461538467</v>
      </c>
      <c r="N119" s="234">
        <f t="shared" ref="N119:N124" si="40">SUM(K119:M119)</f>
        <v>100.00000000000001</v>
      </c>
      <c r="O119" s="212">
        <v>20.7</v>
      </c>
      <c r="P119" s="213">
        <v>17.3</v>
      </c>
      <c r="Q119" s="213">
        <v>26</v>
      </c>
      <c r="R119" s="214">
        <f t="shared" si="27"/>
        <v>64</v>
      </c>
      <c r="S119" s="170">
        <v>3</v>
      </c>
      <c r="T119" s="283"/>
      <c r="U119" s="281"/>
      <c r="V119" s="177" t="s">
        <v>95</v>
      </c>
      <c r="W119" s="170" t="s">
        <v>96</v>
      </c>
      <c r="X119" s="170" t="s">
        <v>12</v>
      </c>
      <c r="Y119" s="178">
        <v>17.3</v>
      </c>
      <c r="Z119" s="170" t="s">
        <v>221</v>
      </c>
      <c r="AA119" s="170" t="s">
        <v>81</v>
      </c>
      <c r="AB119" s="170" t="s">
        <v>18</v>
      </c>
      <c r="AC119" s="170">
        <v>11.3</v>
      </c>
      <c r="AD119" s="177" t="s">
        <v>219</v>
      </c>
      <c r="AE119" s="170" t="s">
        <v>99</v>
      </c>
      <c r="AF119" s="170" t="s">
        <v>11</v>
      </c>
      <c r="AG119" s="178">
        <v>12</v>
      </c>
      <c r="AH119" s="170" t="s">
        <v>213</v>
      </c>
      <c r="AI119" s="170" t="s">
        <v>87</v>
      </c>
      <c r="AJ119" s="170" t="s">
        <v>11</v>
      </c>
      <c r="AK119" s="170">
        <v>8.6999999999999993</v>
      </c>
      <c r="AL119" s="177" t="s">
        <v>94</v>
      </c>
      <c r="AM119" s="170" t="s">
        <v>97</v>
      </c>
      <c r="AN119" s="170" t="s">
        <v>12</v>
      </c>
      <c r="AO119" s="178">
        <v>8.6999999999999993</v>
      </c>
      <c r="AP119" s="177" t="s">
        <v>222</v>
      </c>
      <c r="AQ119" s="170" t="s">
        <v>85</v>
      </c>
      <c r="AR119" s="170" t="s">
        <v>18</v>
      </c>
      <c r="AS119" s="178">
        <v>6</v>
      </c>
      <c r="AW119" s="178"/>
      <c r="BA119" s="179"/>
    </row>
    <row r="120" spans="1:53" s="170" customFormat="1" x14ac:dyDescent="0.15">
      <c r="A120" s="170">
        <v>2013</v>
      </c>
      <c r="B120" s="281"/>
      <c r="C120" s="395" t="s">
        <v>226</v>
      </c>
      <c r="D120" s="395"/>
      <c r="E120" s="170">
        <v>0</v>
      </c>
      <c r="G120" s="232">
        <v>5</v>
      </c>
      <c r="H120" s="170">
        <v>3</v>
      </c>
      <c r="I120" s="170">
        <v>5</v>
      </c>
      <c r="J120" s="240">
        <v>13</v>
      </c>
      <c r="K120" s="213">
        <f t="shared" si="37"/>
        <v>38.461538461538467</v>
      </c>
      <c r="L120" s="213">
        <f t="shared" si="38"/>
        <v>23.076923076923077</v>
      </c>
      <c r="M120" s="213">
        <f t="shared" si="39"/>
        <v>38.461538461538467</v>
      </c>
      <c r="N120" s="234">
        <f t="shared" si="40"/>
        <v>100.00000000000001</v>
      </c>
      <c r="O120" s="212">
        <v>20.7</v>
      </c>
      <c r="P120" s="213">
        <v>17.3</v>
      </c>
      <c r="Q120" s="213">
        <v>26</v>
      </c>
      <c r="R120" s="214">
        <f t="shared" si="27"/>
        <v>64</v>
      </c>
      <c r="S120" s="170">
        <v>3</v>
      </c>
      <c r="T120" s="283"/>
      <c r="U120" s="281"/>
      <c r="V120" s="177" t="s">
        <v>95</v>
      </c>
      <c r="W120" s="170" t="s">
        <v>96</v>
      </c>
      <c r="X120" s="170" t="s">
        <v>12</v>
      </c>
      <c r="Y120" s="178">
        <v>17.3</v>
      </c>
      <c r="Z120" s="170" t="s">
        <v>221</v>
      </c>
      <c r="AA120" s="170" t="s">
        <v>81</v>
      </c>
      <c r="AB120" s="170" t="s">
        <v>18</v>
      </c>
      <c r="AC120" s="170">
        <v>11.3</v>
      </c>
      <c r="AD120" s="177" t="s">
        <v>219</v>
      </c>
      <c r="AE120" s="170" t="s">
        <v>99</v>
      </c>
      <c r="AF120" s="170" t="s">
        <v>11</v>
      </c>
      <c r="AG120" s="178">
        <v>12</v>
      </c>
      <c r="AH120" s="170" t="s">
        <v>213</v>
      </c>
      <c r="AI120" s="170" t="s">
        <v>87</v>
      </c>
      <c r="AJ120" s="170" t="s">
        <v>11</v>
      </c>
      <c r="AK120" s="170">
        <v>8.6999999999999993</v>
      </c>
      <c r="AL120" s="177" t="s">
        <v>94</v>
      </c>
      <c r="AM120" s="170" t="s">
        <v>97</v>
      </c>
      <c r="AN120" s="170" t="s">
        <v>12</v>
      </c>
      <c r="AO120" s="178">
        <v>8.6999999999999993</v>
      </c>
      <c r="AP120" s="177" t="s">
        <v>222</v>
      </c>
      <c r="AQ120" s="170" t="s">
        <v>85</v>
      </c>
      <c r="AR120" s="170" t="s">
        <v>18</v>
      </c>
      <c r="AS120" s="178">
        <v>6</v>
      </c>
      <c r="AW120" s="178"/>
      <c r="BA120" s="179"/>
    </row>
    <row r="121" spans="1:53" s="170" customFormat="1" x14ac:dyDescent="0.15">
      <c r="A121" s="170">
        <v>2013</v>
      </c>
      <c r="B121" s="281"/>
      <c r="C121" s="395" t="s">
        <v>226</v>
      </c>
      <c r="D121" s="395"/>
      <c r="E121" s="170">
        <v>365</v>
      </c>
      <c r="G121" s="232">
        <v>5</v>
      </c>
      <c r="H121" s="170">
        <v>3</v>
      </c>
      <c r="I121" s="170">
        <v>5</v>
      </c>
      <c r="J121" s="240">
        <v>13</v>
      </c>
      <c r="K121" s="213">
        <f t="shared" si="37"/>
        <v>38.461538461538467</v>
      </c>
      <c r="L121" s="213">
        <f t="shared" si="38"/>
        <v>23.076923076923077</v>
      </c>
      <c r="M121" s="213">
        <f t="shared" si="39"/>
        <v>38.461538461538467</v>
      </c>
      <c r="N121" s="234">
        <f t="shared" si="40"/>
        <v>100.00000000000001</v>
      </c>
      <c r="O121" s="212">
        <v>20.7</v>
      </c>
      <c r="P121" s="213">
        <v>17.3</v>
      </c>
      <c r="Q121" s="213">
        <v>26</v>
      </c>
      <c r="R121" s="214">
        <f>SUM(O121:Q121)</f>
        <v>64</v>
      </c>
      <c r="S121" s="170">
        <v>3</v>
      </c>
      <c r="T121" s="283"/>
      <c r="U121" s="281"/>
      <c r="V121" s="177" t="s">
        <v>95</v>
      </c>
      <c r="W121" s="170" t="s">
        <v>96</v>
      </c>
      <c r="X121" s="170" t="s">
        <v>12</v>
      </c>
      <c r="Y121" s="178">
        <v>17.3</v>
      </c>
      <c r="Z121" s="170" t="s">
        <v>221</v>
      </c>
      <c r="AA121" s="170" t="s">
        <v>81</v>
      </c>
      <c r="AB121" s="170" t="s">
        <v>18</v>
      </c>
      <c r="AC121" s="170">
        <v>11.3</v>
      </c>
      <c r="AD121" s="177" t="s">
        <v>219</v>
      </c>
      <c r="AE121" s="170" t="s">
        <v>99</v>
      </c>
      <c r="AF121" s="170" t="s">
        <v>11</v>
      </c>
      <c r="AG121" s="178">
        <v>12</v>
      </c>
      <c r="AH121" s="170" t="s">
        <v>213</v>
      </c>
      <c r="AI121" s="170" t="s">
        <v>87</v>
      </c>
      <c r="AJ121" s="170" t="s">
        <v>11</v>
      </c>
      <c r="AK121" s="170">
        <v>8.6999999999999993</v>
      </c>
      <c r="AL121" s="177" t="s">
        <v>94</v>
      </c>
      <c r="AM121" s="170" t="s">
        <v>97</v>
      </c>
      <c r="AN121" s="170" t="s">
        <v>12</v>
      </c>
      <c r="AO121" s="178">
        <v>8.6999999999999993</v>
      </c>
      <c r="AP121" s="177" t="s">
        <v>222</v>
      </c>
      <c r="AQ121" s="170" t="s">
        <v>85</v>
      </c>
      <c r="AR121" s="170" t="s">
        <v>18</v>
      </c>
      <c r="AS121" s="178">
        <v>6</v>
      </c>
      <c r="AW121" s="178"/>
      <c r="BA121" s="179"/>
    </row>
    <row r="122" spans="1:53" s="170" customFormat="1" x14ac:dyDescent="0.15">
      <c r="A122" s="170">
        <v>2014</v>
      </c>
      <c r="B122" s="281"/>
      <c r="C122" s="395" t="s">
        <v>226</v>
      </c>
      <c r="D122" s="395"/>
      <c r="E122" s="170">
        <v>145</v>
      </c>
      <c r="G122" s="232">
        <v>5</v>
      </c>
      <c r="H122" s="170">
        <v>3</v>
      </c>
      <c r="I122" s="170">
        <v>5</v>
      </c>
      <c r="J122" s="240">
        <v>13</v>
      </c>
      <c r="K122" s="213">
        <f>G122/J122*100</f>
        <v>38.461538461538467</v>
      </c>
      <c r="L122" s="213">
        <f t="shared" si="38"/>
        <v>23.076923076923077</v>
      </c>
      <c r="M122" s="213">
        <f t="shared" si="39"/>
        <v>38.461538461538467</v>
      </c>
      <c r="N122" s="234">
        <f t="shared" si="40"/>
        <v>100.00000000000001</v>
      </c>
      <c r="O122" s="212">
        <v>20.7</v>
      </c>
      <c r="P122" s="213">
        <v>17.3</v>
      </c>
      <c r="Q122" s="213">
        <v>26</v>
      </c>
      <c r="R122" s="214">
        <f>SUM(O122:Q122)</f>
        <v>64</v>
      </c>
      <c r="S122" s="170">
        <v>3</v>
      </c>
      <c r="T122" s="283"/>
      <c r="U122" s="281"/>
      <c r="V122" s="177" t="s">
        <v>95</v>
      </c>
      <c r="W122" s="170" t="s">
        <v>96</v>
      </c>
      <c r="X122" s="170" t="s">
        <v>12</v>
      </c>
      <c r="Y122" s="178">
        <v>17.3</v>
      </c>
      <c r="Z122" s="170" t="s">
        <v>221</v>
      </c>
      <c r="AA122" s="170" t="s">
        <v>81</v>
      </c>
      <c r="AB122" s="170" t="s">
        <v>18</v>
      </c>
      <c r="AC122" s="170">
        <v>11.3</v>
      </c>
      <c r="AD122" s="177" t="s">
        <v>219</v>
      </c>
      <c r="AE122" s="170" t="s">
        <v>99</v>
      </c>
      <c r="AF122" s="170" t="s">
        <v>11</v>
      </c>
      <c r="AG122" s="178">
        <v>12</v>
      </c>
      <c r="AH122" s="170" t="s">
        <v>213</v>
      </c>
      <c r="AI122" s="170" t="s">
        <v>87</v>
      </c>
      <c r="AJ122" s="170" t="s">
        <v>11</v>
      </c>
      <c r="AK122" s="170">
        <v>8.6999999999999993</v>
      </c>
      <c r="AL122" s="177" t="s">
        <v>94</v>
      </c>
      <c r="AM122" s="170" t="s">
        <v>97</v>
      </c>
      <c r="AN122" s="170" t="s">
        <v>12</v>
      </c>
      <c r="AO122" s="178">
        <v>8.6999999999999993</v>
      </c>
      <c r="AP122" s="177" t="s">
        <v>222</v>
      </c>
      <c r="AQ122" s="170" t="s">
        <v>85</v>
      </c>
      <c r="AR122" s="170" t="s">
        <v>18</v>
      </c>
      <c r="AS122" s="178">
        <v>6</v>
      </c>
      <c r="AW122" s="178"/>
      <c r="BA122" s="179"/>
    </row>
    <row r="123" spans="1:53" s="28" customFormat="1" x14ac:dyDescent="0.15">
      <c r="A123" s="28">
        <v>2014</v>
      </c>
      <c r="B123" s="293">
        <v>41785</v>
      </c>
      <c r="C123" s="394" t="s">
        <v>1437</v>
      </c>
      <c r="D123" s="394"/>
      <c r="E123" s="28">
        <v>138</v>
      </c>
      <c r="F123" s="28">
        <v>1</v>
      </c>
      <c r="G123" s="65">
        <v>5</v>
      </c>
      <c r="H123" s="28">
        <v>3</v>
      </c>
      <c r="I123" s="28">
        <v>5</v>
      </c>
      <c r="J123" s="72">
        <v>13</v>
      </c>
      <c r="K123" s="46">
        <f>G123/J123*100</f>
        <v>38.461538461538467</v>
      </c>
      <c r="L123" s="46">
        <f>H123/J123*100</f>
        <v>23.076923076923077</v>
      </c>
      <c r="M123" s="46">
        <f>I123/J123*100</f>
        <v>38.461538461538467</v>
      </c>
      <c r="N123" s="67">
        <f t="shared" si="40"/>
        <v>100.00000000000001</v>
      </c>
      <c r="O123" s="45">
        <v>22.6</v>
      </c>
      <c r="P123" s="46">
        <v>18</v>
      </c>
      <c r="Q123" s="46">
        <v>24</v>
      </c>
      <c r="R123" s="47">
        <f>SUM(O123:Q123)</f>
        <v>64.599999999999994</v>
      </c>
      <c r="S123" s="28">
        <v>6</v>
      </c>
      <c r="T123" s="284">
        <v>41784</v>
      </c>
      <c r="U123" s="293">
        <v>41785</v>
      </c>
      <c r="V123" s="37" t="s">
        <v>95</v>
      </c>
      <c r="W123" s="28" t="s">
        <v>96</v>
      </c>
      <c r="X123" s="28" t="s">
        <v>12</v>
      </c>
      <c r="Y123" s="38">
        <v>15.3</v>
      </c>
      <c r="Z123" s="28" t="s">
        <v>221</v>
      </c>
      <c r="AA123" s="28" t="s">
        <v>81</v>
      </c>
      <c r="AB123" s="28" t="s">
        <v>18</v>
      </c>
      <c r="AC123" s="28">
        <v>12</v>
      </c>
      <c r="AD123" s="37" t="s">
        <v>219</v>
      </c>
      <c r="AE123" s="28" t="s">
        <v>99</v>
      </c>
      <c r="AF123" s="28" t="s">
        <v>11</v>
      </c>
      <c r="AG123" s="38">
        <v>13.3</v>
      </c>
      <c r="AH123" s="28" t="s">
        <v>213</v>
      </c>
      <c r="AI123" s="28" t="s">
        <v>87</v>
      </c>
      <c r="AJ123" s="28" t="s">
        <v>11</v>
      </c>
      <c r="AK123" s="28">
        <v>9.3000000000000007</v>
      </c>
      <c r="AL123" s="37" t="s">
        <v>94</v>
      </c>
      <c r="AM123" s="28" t="s">
        <v>97</v>
      </c>
      <c r="AN123" s="28" t="s">
        <v>12</v>
      </c>
      <c r="AO123" s="38">
        <v>8.6999999999999993</v>
      </c>
      <c r="AP123" s="37" t="s">
        <v>222</v>
      </c>
      <c r="AQ123" s="28" t="s">
        <v>85</v>
      </c>
      <c r="AR123" s="28" t="s">
        <v>18</v>
      </c>
      <c r="AS123" s="38">
        <v>6</v>
      </c>
      <c r="AW123" s="38"/>
      <c r="BA123" s="39"/>
    </row>
    <row r="124" spans="1:53" s="170" customFormat="1" x14ac:dyDescent="0.15">
      <c r="A124" s="170">
        <v>2014</v>
      </c>
      <c r="B124" s="281">
        <v>41923</v>
      </c>
      <c r="C124" s="395" t="s">
        <v>1276</v>
      </c>
      <c r="D124" s="395"/>
      <c r="E124" s="170">
        <v>82</v>
      </c>
      <c r="F124" s="170">
        <v>1</v>
      </c>
      <c r="G124" s="232">
        <v>9</v>
      </c>
      <c r="H124" s="170">
        <v>5</v>
      </c>
      <c r="J124" s="240">
        <v>14</v>
      </c>
      <c r="K124" s="213">
        <f>G124/J124*100</f>
        <v>64.285714285714292</v>
      </c>
      <c r="L124" s="213">
        <f>H124/J124*100</f>
        <v>35.714285714285715</v>
      </c>
      <c r="M124" s="213">
        <f>I124/J124*100</f>
        <v>0</v>
      </c>
      <c r="N124" s="234">
        <f t="shared" si="40"/>
        <v>100</v>
      </c>
      <c r="O124" s="212">
        <v>22.6</v>
      </c>
      <c r="P124" s="213">
        <v>34</v>
      </c>
      <c r="Q124" s="213"/>
      <c r="R124" s="214">
        <f>SUM(O124:Q124)</f>
        <v>56.6</v>
      </c>
      <c r="S124" s="170">
        <v>2</v>
      </c>
      <c r="T124" s="283"/>
      <c r="U124" s="281">
        <v>41923</v>
      </c>
      <c r="V124" s="177" t="s">
        <v>219</v>
      </c>
      <c r="W124" s="170" t="s">
        <v>99</v>
      </c>
      <c r="X124" s="170" t="s">
        <v>11</v>
      </c>
      <c r="Y124" s="178">
        <v>13.3</v>
      </c>
      <c r="Z124" s="170" t="s">
        <v>1277</v>
      </c>
      <c r="AA124" s="170" t="s">
        <v>89</v>
      </c>
      <c r="AB124" s="170" t="s">
        <v>18</v>
      </c>
      <c r="AC124" s="170">
        <v>22</v>
      </c>
      <c r="AD124" s="177" t="s">
        <v>221</v>
      </c>
      <c r="AE124" s="170" t="s">
        <v>81</v>
      </c>
      <c r="AF124" s="170" t="s">
        <v>18</v>
      </c>
      <c r="AG124" s="178">
        <v>12</v>
      </c>
      <c r="AH124" s="170" t="s">
        <v>213</v>
      </c>
      <c r="AI124" s="170" t="s">
        <v>87</v>
      </c>
      <c r="AJ124" s="170" t="s">
        <v>11</v>
      </c>
      <c r="AK124" s="170">
        <v>9.3000000000000007</v>
      </c>
      <c r="AL124" s="177"/>
      <c r="AO124" s="178"/>
      <c r="AP124" s="177"/>
      <c r="AS124" s="178"/>
      <c r="AW124" s="178"/>
      <c r="BA124" s="179"/>
    </row>
    <row r="125" spans="1:53" s="170" customFormat="1" x14ac:dyDescent="0.15">
      <c r="A125" s="170">
        <v>2015</v>
      </c>
      <c r="B125" s="281"/>
      <c r="C125" s="395" t="s">
        <v>1276</v>
      </c>
      <c r="D125" s="395"/>
      <c r="E125" s="170">
        <v>0</v>
      </c>
      <c r="G125" s="232">
        <v>9</v>
      </c>
      <c r="H125" s="170">
        <v>5</v>
      </c>
      <c r="J125" s="240">
        <v>14</v>
      </c>
      <c r="K125" s="213">
        <f t="shared" ref="K125:K127" si="41">G125/J125*100</f>
        <v>64.285714285714292</v>
      </c>
      <c r="L125" s="213">
        <f t="shared" ref="L125:L127" si="42">H125/J125*100</f>
        <v>35.714285714285715</v>
      </c>
      <c r="M125" s="213">
        <f t="shared" ref="M125:M127" si="43">I125/J125*100</f>
        <v>0</v>
      </c>
      <c r="N125" s="234">
        <f t="shared" ref="N125:N127" si="44">SUM(K125:M125)</f>
        <v>100</v>
      </c>
      <c r="O125" s="212">
        <v>22.6</v>
      </c>
      <c r="P125" s="213">
        <v>34</v>
      </c>
      <c r="Q125" s="213"/>
      <c r="R125" s="214">
        <f t="shared" ref="R125:R126" si="45">SUM(O125:Q125)</f>
        <v>56.6</v>
      </c>
      <c r="S125" s="170">
        <v>2</v>
      </c>
      <c r="T125" s="283"/>
      <c r="U125" s="281"/>
      <c r="V125" s="177" t="s">
        <v>219</v>
      </c>
      <c r="W125" s="170" t="s">
        <v>99</v>
      </c>
      <c r="X125" s="170" t="s">
        <v>11</v>
      </c>
      <c r="Y125" s="178">
        <v>13.3</v>
      </c>
      <c r="Z125" s="170" t="s">
        <v>1277</v>
      </c>
      <c r="AA125" s="170" t="s">
        <v>89</v>
      </c>
      <c r="AB125" s="170" t="s">
        <v>18</v>
      </c>
      <c r="AC125" s="170">
        <v>22</v>
      </c>
      <c r="AD125" s="177" t="s">
        <v>221</v>
      </c>
      <c r="AE125" s="170" t="s">
        <v>81</v>
      </c>
      <c r="AF125" s="170" t="s">
        <v>18</v>
      </c>
      <c r="AG125" s="178">
        <v>12</v>
      </c>
      <c r="AH125" s="170" t="s">
        <v>213</v>
      </c>
      <c r="AI125" s="170" t="s">
        <v>87</v>
      </c>
      <c r="AJ125" s="170" t="s">
        <v>11</v>
      </c>
      <c r="AK125" s="170">
        <v>9.3000000000000007</v>
      </c>
      <c r="AL125" s="177"/>
      <c r="AO125" s="178"/>
      <c r="AP125" s="177"/>
      <c r="AS125" s="178"/>
      <c r="AW125" s="178"/>
      <c r="BA125" s="179"/>
    </row>
    <row r="126" spans="1:53" s="170" customFormat="1" x14ac:dyDescent="0.15">
      <c r="A126" s="170">
        <v>2015</v>
      </c>
      <c r="B126" s="281"/>
      <c r="C126" s="395" t="s">
        <v>1276</v>
      </c>
      <c r="D126" s="395"/>
      <c r="E126" s="170">
        <v>365</v>
      </c>
      <c r="G126" s="232">
        <v>9</v>
      </c>
      <c r="H126" s="170">
        <v>5</v>
      </c>
      <c r="J126" s="240">
        <v>14</v>
      </c>
      <c r="K126" s="213">
        <f t="shared" si="41"/>
        <v>64.285714285714292</v>
      </c>
      <c r="L126" s="213">
        <f t="shared" si="42"/>
        <v>35.714285714285715</v>
      </c>
      <c r="M126" s="213">
        <f t="shared" si="43"/>
        <v>0</v>
      </c>
      <c r="N126" s="234">
        <f t="shared" si="44"/>
        <v>100</v>
      </c>
      <c r="O126" s="212">
        <v>22.6</v>
      </c>
      <c r="P126" s="213">
        <v>34</v>
      </c>
      <c r="Q126" s="213"/>
      <c r="R126" s="214">
        <f t="shared" si="45"/>
        <v>56.6</v>
      </c>
      <c r="S126" s="170">
        <v>2</v>
      </c>
      <c r="T126" s="283"/>
      <c r="U126" s="281"/>
      <c r="V126" s="177" t="s">
        <v>219</v>
      </c>
      <c r="W126" s="170" t="s">
        <v>99</v>
      </c>
      <c r="X126" s="170" t="s">
        <v>11</v>
      </c>
      <c r="Y126" s="178">
        <v>13.3</v>
      </c>
      <c r="Z126" s="170" t="s">
        <v>1277</v>
      </c>
      <c r="AA126" s="170" t="s">
        <v>89</v>
      </c>
      <c r="AB126" s="170" t="s">
        <v>18</v>
      </c>
      <c r="AC126" s="170">
        <v>22</v>
      </c>
      <c r="AD126" s="177" t="s">
        <v>221</v>
      </c>
      <c r="AE126" s="170" t="s">
        <v>81</v>
      </c>
      <c r="AF126" s="170" t="s">
        <v>18</v>
      </c>
      <c r="AG126" s="178">
        <v>12</v>
      </c>
      <c r="AH126" s="170" t="s">
        <v>213</v>
      </c>
      <c r="AI126" s="170" t="s">
        <v>87</v>
      </c>
      <c r="AJ126" s="170" t="s">
        <v>11</v>
      </c>
      <c r="AK126" s="170">
        <v>9.3000000000000007</v>
      </c>
      <c r="AL126" s="177"/>
      <c r="AO126" s="178"/>
      <c r="AP126" s="177"/>
      <c r="AS126" s="178"/>
      <c r="AW126" s="178"/>
      <c r="BA126" s="179"/>
    </row>
    <row r="127" spans="1:53" s="170" customFormat="1" x14ac:dyDescent="0.15">
      <c r="A127" s="170">
        <v>2016</v>
      </c>
      <c r="B127" s="281"/>
      <c r="C127" s="395" t="s">
        <v>1276</v>
      </c>
      <c r="D127" s="395"/>
      <c r="E127" s="170">
        <v>0</v>
      </c>
      <c r="G127" s="232">
        <v>9</v>
      </c>
      <c r="H127" s="170">
        <v>5</v>
      </c>
      <c r="J127" s="240">
        <v>14</v>
      </c>
      <c r="K127" s="213">
        <f t="shared" si="41"/>
        <v>64.285714285714292</v>
      </c>
      <c r="L127" s="213">
        <f t="shared" si="42"/>
        <v>35.714285714285715</v>
      </c>
      <c r="M127" s="213">
        <f t="shared" si="43"/>
        <v>0</v>
      </c>
      <c r="N127" s="234">
        <f t="shared" si="44"/>
        <v>100</v>
      </c>
      <c r="O127" s="212">
        <v>22.6</v>
      </c>
      <c r="P127" s="213">
        <v>34</v>
      </c>
      <c r="Q127" s="213"/>
      <c r="R127" s="214">
        <f t="shared" ref="R127" si="46">SUM(O127:Q127)</f>
        <v>56.6</v>
      </c>
      <c r="S127" s="170">
        <v>2</v>
      </c>
      <c r="T127" s="283"/>
      <c r="U127" s="281"/>
      <c r="V127" s="177" t="s">
        <v>219</v>
      </c>
      <c r="W127" s="170" t="s">
        <v>99</v>
      </c>
      <c r="X127" s="170" t="s">
        <v>11</v>
      </c>
      <c r="Y127" s="178">
        <v>13.3</v>
      </c>
      <c r="Z127" s="170" t="s">
        <v>1277</v>
      </c>
      <c r="AA127" s="170" t="s">
        <v>89</v>
      </c>
      <c r="AB127" s="170" t="s">
        <v>18</v>
      </c>
      <c r="AC127" s="170">
        <v>22</v>
      </c>
      <c r="AD127" s="177" t="s">
        <v>221</v>
      </c>
      <c r="AE127" s="170" t="s">
        <v>81</v>
      </c>
      <c r="AF127" s="170" t="s">
        <v>18</v>
      </c>
      <c r="AG127" s="178">
        <v>12</v>
      </c>
      <c r="AH127" s="170" t="s">
        <v>213</v>
      </c>
      <c r="AI127" s="170" t="s">
        <v>87</v>
      </c>
      <c r="AJ127" s="170" t="s">
        <v>11</v>
      </c>
      <c r="AK127" s="170">
        <v>9.3000000000000007</v>
      </c>
      <c r="AL127" s="177"/>
      <c r="AO127" s="178"/>
      <c r="AP127" s="177"/>
      <c r="AS127" s="178"/>
      <c r="AW127" s="178"/>
      <c r="BA127" s="179"/>
    </row>
    <row r="128" spans="1:53" s="170" customFormat="1" x14ac:dyDescent="0.15">
      <c r="A128" s="170">
        <v>2016</v>
      </c>
      <c r="B128" s="281"/>
      <c r="C128" s="395" t="s">
        <v>1276</v>
      </c>
      <c r="D128" s="395"/>
      <c r="E128" s="170">
        <v>366</v>
      </c>
      <c r="G128" s="232">
        <v>9</v>
      </c>
      <c r="H128" s="170">
        <v>5</v>
      </c>
      <c r="J128" s="240">
        <v>14</v>
      </c>
      <c r="K128" s="213">
        <f t="shared" ref="K128:K132" si="47">G128/J128*100</f>
        <v>64.285714285714292</v>
      </c>
      <c r="L128" s="213">
        <f t="shared" ref="L128:L132" si="48">H128/J128*100</f>
        <v>35.714285714285715</v>
      </c>
      <c r="M128" s="213">
        <f t="shared" ref="M128:M132" si="49">I128/J128*100</f>
        <v>0</v>
      </c>
      <c r="N128" s="234">
        <f t="shared" ref="N128:N132" si="50">SUM(K128:M128)</f>
        <v>100</v>
      </c>
      <c r="O128" s="212">
        <v>22.6</v>
      </c>
      <c r="P128" s="213">
        <v>34</v>
      </c>
      <c r="Q128" s="213"/>
      <c r="R128" s="214">
        <f t="shared" ref="R128:R130" si="51">SUM(O128:Q128)</f>
        <v>56.6</v>
      </c>
      <c r="S128" s="170">
        <v>2</v>
      </c>
      <c r="T128" s="283"/>
      <c r="U128" s="281"/>
      <c r="V128" s="177" t="s">
        <v>219</v>
      </c>
      <c r="W128" s="170" t="s">
        <v>99</v>
      </c>
      <c r="X128" s="170" t="s">
        <v>11</v>
      </c>
      <c r="Y128" s="178">
        <v>13.3</v>
      </c>
      <c r="Z128" s="170" t="s">
        <v>1277</v>
      </c>
      <c r="AA128" s="170" t="s">
        <v>89</v>
      </c>
      <c r="AB128" s="170" t="s">
        <v>18</v>
      </c>
      <c r="AC128" s="170">
        <v>22</v>
      </c>
      <c r="AD128" s="177" t="s">
        <v>221</v>
      </c>
      <c r="AE128" s="170" t="s">
        <v>81</v>
      </c>
      <c r="AF128" s="170" t="s">
        <v>18</v>
      </c>
      <c r="AG128" s="178">
        <v>12</v>
      </c>
      <c r="AH128" s="170" t="s">
        <v>213</v>
      </c>
      <c r="AI128" s="170" t="s">
        <v>87</v>
      </c>
      <c r="AJ128" s="170" t="s">
        <v>11</v>
      </c>
      <c r="AK128" s="170">
        <v>9.3000000000000007</v>
      </c>
      <c r="AL128" s="177"/>
      <c r="AO128" s="178"/>
      <c r="AP128" s="177"/>
      <c r="AS128" s="178"/>
      <c r="AW128" s="178"/>
      <c r="BA128" s="179"/>
    </row>
    <row r="129" spans="1:53" s="170" customFormat="1" x14ac:dyDescent="0.15">
      <c r="A129" s="170">
        <v>2017</v>
      </c>
      <c r="B129" s="281"/>
      <c r="C129" s="395" t="s">
        <v>1276</v>
      </c>
      <c r="D129" s="395"/>
      <c r="E129" s="170">
        <v>0</v>
      </c>
      <c r="G129" s="232">
        <v>9</v>
      </c>
      <c r="H129" s="170">
        <v>5</v>
      </c>
      <c r="J129" s="240">
        <v>14</v>
      </c>
      <c r="K129" s="213">
        <f t="shared" si="47"/>
        <v>64.285714285714292</v>
      </c>
      <c r="L129" s="213">
        <f t="shared" si="48"/>
        <v>35.714285714285715</v>
      </c>
      <c r="M129" s="213">
        <f t="shared" si="49"/>
        <v>0</v>
      </c>
      <c r="N129" s="234">
        <f t="shared" si="50"/>
        <v>100</v>
      </c>
      <c r="O129" s="212">
        <v>22.6</v>
      </c>
      <c r="P129" s="213">
        <v>34</v>
      </c>
      <c r="Q129" s="213"/>
      <c r="R129" s="214">
        <f t="shared" si="51"/>
        <v>56.6</v>
      </c>
      <c r="S129" s="170">
        <v>2</v>
      </c>
      <c r="T129" s="283"/>
      <c r="U129" s="281"/>
      <c r="V129" s="177" t="s">
        <v>219</v>
      </c>
      <c r="W129" s="170" t="s">
        <v>99</v>
      </c>
      <c r="X129" s="170" t="s">
        <v>11</v>
      </c>
      <c r="Y129" s="178">
        <v>13.3</v>
      </c>
      <c r="Z129" s="170" t="s">
        <v>1277</v>
      </c>
      <c r="AA129" s="170" t="s">
        <v>89</v>
      </c>
      <c r="AB129" s="170" t="s">
        <v>18</v>
      </c>
      <c r="AC129" s="170">
        <v>22</v>
      </c>
      <c r="AD129" s="177" t="s">
        <v>221</v>
      </c>
      <c r="AE129" s="170" t="s">
        <v>81</v>
      </c>
      <c r="AF129" s="170" t="s">
        <v>18</v>
      </c>
      <c r="AG129" s="178">
        <v>12</v>
      </c>
      <c r="AH129" s="170" t="s">
        <v>213</v>
      </c>
      <c r="AI129" s="170" t="s">
        <v>87</v>
      </c>
      <c r="AJ129" s="170" t="s">
        <v>11</v>
      </c>
      <c r="AK129" s="170">
        <v>9.3000000000000007</v>
      </c>
      <c r="AL129" s="177"/>
      <c r="AO129" s="178"/>
      <c r="AP129" s="177"/>
      <c r="AS129" s="178"/>
      <c r="AW129" s="178"/>
      <c r="BA129" s="179"/>
    </row>
    <row r="130" spans="1:53" s="170" customFormat="1" x14ac:dyDescent="0.15">
      <c r="A130" s="170">
        <v>2017</v>
      </c>
      <c r="B130" s="281"/>
      <c r="C130" s="395" t="s">
        <v>1276</v>
      </c>
      <c r="D130" s="395"/>
      <c r="E130" s="170">
        <v>365</v>
      </c>
      <c r="G130" s="232">
        <v>9</v>
      </c>
      <c r="H130" s="170">
        <v>5</v>
      </c>
      <c r="J130" s="240">
        <v>14</v>
      </c>
      <c r="K130" s="213">
        <f t="shared" si="47"/>
        <v>64.285714285714292</v>
      </c>
      <c r="L130" s="213">
        <f t="shared" si="48"/>
        <v>35.714285714285715</v>
      </c>
      <c r="M130" s="213">
        <f t="shared" si="49"/>
        <v>0</v>
      </c>
      <c r="N130" s="234">
        <f t="shared" si="50"/>
        <v>100</v>
      </c>
      <c r="O130" s="212">
        <v>22.6</v>
      </c>
      <c r="P130" s="213">
        <v>34</v>
      </c>
      <c r="Q130" s="213"/>
      <c r="R130" s="214">
        <f t="shared" si="51"/>
        <v>56.6</v>
      </c>
      <c r="S130" s="170">
        <v>2</v>
      </c>
      <c r="T130" s="283"/>
      <c r="U130" s="281"/>
      <c r="V130" s="177" t="s">
        <v>219</v>
      </c>
      <c r="W130" s="170" t="s">
        <v>99</v>
      </c>
      <c r="X130" s="170" t="s">
        <v>11</v>
      </c>
      <c r="Y130" s="178">
        <v>13.3</v>
      </c>
      <c r="Z130" s="170" t="s">
        <v>1277</v>
      </c>
      <c r="AA130" s="170" t="s">
        <v>89</v>
      </c>
      <c r="AB130" s="170" t="s">
        <v>18</v>
      </c>
      <c r="AC130" s="170">
        <v>22</v>
      </c>
      <c r="AD130" s="177" t="s">
        <v>221</v>
      </c>
      <c r="AE130" s="170" t="s">
        <v>81</v>
      </c>
      <c r="AF130" s="170" t="s">
        <v>18</v>
      </c>
      <c r="AG130" s="178">
        <v>12</v>
      </c>
      <c r="AH130" s="170" t="s">
        <v>213</v>
      </c>
      <c r="AI130" s="170" t="s">
        <v>87</v>
      </c>
      <c r="AJ130" s="170" t="s">
        <v>11</v>
      </c>
      <c r="AK130" s="170">
        <v>9.3000000000000007</v>
      </c>
      <c r="AL130" s="177"/>
      <c r="AO130" s="178"/>
      <c r="AP130" s="177"/>
      <c r="AS130" s="178"/>
      <c r="AW130" s="178"/>
      <c r="BA130" s="179"/>
    </row>
    <row r="131" spans="1:53" s="170" customFormat="1" x14ac:dyDescent="0.15">
      <c r="A131" s="170">
        <v>2018</v>
      </c>
      <c r="B131" s="281"/>
      <c r="C131" s="395" t="s">
        <v>1276</v>
      </c>
      <c r="D131" s="395"/>
      <c r="E131" s="170">
        <v>342</v>
      </c>
      <c r="G131" s="232">
        <v>9</v>
      </c>
      <c r="H131" s="170">
        <v>5</v>
      </c>
      <c r="J131" s="240">
        <v>14</v>
      </c>
      <c r="K131" s="213">
        <f t="shared" si="47"/>
        <v>64.285714285714292</v>
      </c>
      <c r="L131" s="213">
        <f t="shared" si="48"/>
        <v>35.714285714285715</v>
      </c>
      <c r="M131" s="213">
        <f t="shared" si="49"/>
        <v>0</v>
      </c>
      <c r="N131" s="234">
        <f t="shared" si="50"/>
        <v>100</v>
      </c>
      <c r="O131" s="212">
        <v>22.6</v>
      </c>
      <c r="P131" s="213">
        <v>34</v>
      </c>
      <c r="Q131" s="213"/>
      <c r="R131" s="214">
        <f t="shared" ref="R131:R132" si="52">SUM(O131:Q131)</f>
        <v>56.6</v>
      </c>
      <c r="S131" s="170">
        <v>2</v>
      </c>
      <c r="T131" s="283"/>
      <c r="U131" s="281"/>
      <c r="V131" s="177" t="s">
        <v>219</v>
      </c>
      <c r="W131" s="170" t="s">
        <v>99</v>
      </c>
      <c r="X131" s="170" t="s">
        <v>11</v>
      </c>
      <c r="Y131" s="178">
        <v>13.3</v>
      </c>
      <c r="Z131" s="170" t="s">
        <v>1277</v>
      </c>
      <c r="AA131" s="170" t="s">
        <v>89</v>
      </c>
      <c r="AB131" s="170" t="s">
        <v>18</v>
      </c>
      <c r="AC131" s="170">
        <v>22</v>
      </c>
      <c r="AD131" s="177" t="s">
        <v>221</v>
      </c>
      <c r="AE131" s="170" t="s">
        <v>81</v>
      </c>
      <c r="AF131" s="170" t="s">
        <v>18</v>
      </c>
      <c r="AG131" s="178">
        <v>12</v>
      </c>
      <c r="AH131" s="170" t="s">
        <v>213</v>
      </c>
      <c r="AI131" s="170" t="s">
        <v>87</v>
      </c>
      <c r="AJ131" s="170" t="s">
        <v>11</v>
      </c>
      <c r="AK131" s="170">
        <v>9.3000000000000007</v>
      </c>
      <c r="AL131" s="177"/>
      <c r="AO131" s="178"/>
      <c r="AP131" s="177"/>
      <c r="AS131" s="178"/>
      <c r="AW131" s="178"/>
      <c r="BA131" s="179"/>
    </row>
    <row r="132" spans="1:53" s="28" customFormat="1" x14ac:dyDescent="0.15">
      <c r="A132" s="28">
        <v>2018</v>
      </c>
      <c r="B132" s="293">
        <v>43443</v>
      </c>
      <c r="C132" s="394" t="s">
        <v>1387</v>
      </c>
      <c r="D132" s="394"/>
      <c r="E132" s="28">
        <v>12</v>
      </c>
      <c r="F132" s="28">
        <v>4</v>
      </c>
      <c r="G132" s="65">
        <v>10</v>
      </c>
      <c r="H132" s="28">
        <v>3</v>
      </c>
      <c r="J132" s="72">
        <v>13</v>
      </c>
      <c r="K132" s="46">
        <f t="shared" si="47"/>
        <v>76.923076923076934</v>
      </c>
      <c r="L132" s="46">
        <f t="shared" si="48"/>
        <v>23.076923076923077</v>
      </c>
      <c r="M132" s="46">
        <f t="shared" si="49"/>
        <v>0</v>
      </c>
      <c r="N132" s="67">
        <f t="shared" si="50"/>
        <v>100.00000000000001</v>
      </c>
      <c r="O132" s="45">
        <v>22.6</v>
      </c>
      <c r="P132" s="46">
        <v>12</v>
      </c>
      <c r="Q132" s="46"/>
      <c r="R132" s="47">
        <f t="shared" si="52"/>
        <v>34.6</v>
      </c>
      <c r="S132" s="28">
        <v>5</v>
      </c>
      <c r="T132" s="284"/>
      <c r="U132" s="293">
        <v>43443</v>
      </c>
      <c r="V132" s="37" t="s">
        <v>219</v>
      </c>
      <c r="W132" s="28" t="s">
        <v>99</v>
      </c>
      <c r="X132" s="28" t="s">
        <v>11</v>
      </c>
      <c r="Y132" s="38">
        <v>13.3</v>
      </c>
      <c r="Z132" s="28" t="s">
        <v>221</v>
      </c>
      <c r="AA132" s="28" t="s">
        <v>81</v>
      </c>
      <c r="AB132" s="28" t="s">
        <v>18</v>
      </c>
      <c r="AC132" s="28">
        <v>12</v>
      </c>
      <c r="AD132" s="37" t="s">
        <v>213</v>
      </c>
      <c r="AE132" s="28" t="s">
        <v>87</v>
      </c>
      <c r="AF132" s="28" t="s">
        <v>11</v>
      </c>
      <c r="AG132" s="38">
        <v>9.3000000000000007</v>
      </c>
      <c r="AL132" s="37"/>
      <c r="AO132" s="38"/>
      <c r="AP132" s="37"/>
      <c r="AS132" s="38"/>
      <c r="AW132" s="38"/>
      <c r="BA132" s="39"/>
    </row>
    <row r="133" spans="1:53" s="170" customFormat="1" x14ac:dyDescent="0.15">
      <c r="A133" s="170">
        <v>2018</v>
      </c>
      <c r="B133" s="281">
        <v>43455</v>
      </c>
      <c r="C133" s="395" t="s">
        <v>1453</v>
      </c>
      <c r="D133" s="395"/>
      <c r="E133" s="170">
        <v>11</v>
      </c>
      <c r="F133" s="170">
        <v>2</v>
      </c>
      <c r="G133" s="232">
        <v>10</v>
      </c>
      <c r="H133" s="170">
        <v>3</v>
      </c>
      <c r="J133" s="240">
        <v>13</v>
      </c>
      <c r="K133" s="213">
        <f t="shared" ref="K133:K137" si="53">G133/J133*100</f>
        <v>76.923076923076934</v>
      </c>
      <c r="L133" s="213">
        <f t="shared" ref="L133:L145" si="54">H133/J133*100</f>
        <v>23.076923076923077</v>
      </c>
      <c r="M133" s="213">
        <f t="shared" ref="M133:M145" si="55">I133/J133*100</f>
        <v>0</v>
      </c>
      <c r="N133" s="234">
        <f t="shared" ref="N133:N145" si="56">SUM(K133:M133)</f>
        <v>100.00000000000001</v>
      </c>
      <c r="O133" s="212">
        <v>22.6</v>
      </c>
      <c r="P133" s="213">
        <v>12</v>
      </c>
      <c r="Q133" s="213"/>
      <c r="R133" s="214">
        <f t="shared" ref="R133:R141" si="57">SUM(O133:Q133)</f>
        <v>34.6</v>
      </c>
      <c r="S133" s="170">
        <v>6</v>
      </c>
      <c r="T133" s="283"/>
      <c r="U133" s="281">
        <v>43455</v>
      </c>
      <c r="V133" s="177" t="s">
        <v>219</v>
      </c>
      <c r="W133" s="170" t="s">
        <v>99</v>
      </c>
      <c r="X133" s="170" t="s">
        <v>11</v>
      </c>
      <c r="Y133" s="178">
        <v>13.3</v>
      </c>
      <c r="Z133" s="170" t="s">
        <v>221</v>
      </c>
      <c r="AA133" s="170" t="s">
        <v>81</v>
      </c>
      <c r="AB133" s="170" t="s">
        <v>18</v>
      </c>
      <c r="AC133" s="170">
        <v>12</v>
      </c>
      <c r="AD133" s="177" t="s">
        <v>213</v>
      </c>
      <c r="AE133" s="170" t="s">
        <v>87</v>
      </c>
      <c r="AF133" s="170" t="s">
        <v>11</v>
      </c>
      <c r="AG133" s="178">
        <v>9.3000000000000007</v>
      </c>
      <c r="AL133" s="177"/>
      <c r="AO133" s="178"/>
      <c r="AP133" s="177"/>
      <c r="AS133" s="178"/>
      <c r="AW133" s="178"/>
      <c r="BA133" s="179"/>
    </row>
    <row r="134" spans="1:53" s="170" customFormat="1" x14ac:dyDescent="0.15">
      <c r="A134" s="170">
        <v>2019</v>
      </c>
      <c r="B134" s="281"/>
      <c r="C134" s="395" t="s">
        <v>1453</v>
      </c>
      <c r="D134" s="395"/>
      <c r="E134" s="170">
        <v>299</v>
      </c>
      <c r="G134" s="232">
        <v>10</v>
      </c>
      <c r="H134" s="170">
        <v>3</v>
      </c>
      <c r="J134" s="240">
        <v>13</v>
      </c>
      <c r="K134" s="213">
        <f t="shared" si="53"/>
        <v>76.923076923076934</v>
      </c>
      <c r="L134" s="213">
        <f t="shared" si="54"/>
        <v>23.076923076923077</v>
      </c>
      <c r="M134" s="213">
        <f t="shared" si="55"/>
        <v>0</v>
      </c>
      <c r="N134" s="234">
        <f t="shared" si="56"/>
        <v>100.00000000000001</v>
      </c>
      <c r="O134" s="212">
        <v>22.6</v>
      </c>
      <c r="P134" s="213">
        <v>12</v>
      </c>
      <c r="Q134" s="213"/>
      <c r="R134" s="214">
        <f t="shared" si="57"/>
        <v>34.6</v>
      </c>
      <c r="S134" s="170">
        <v>6</v>
      </c>
      <c r="T134" s="283"/>
      <c r="U134" s="281"/>
      <c r="V134" s="177" t="s">
        <v>219</v>
      </c>
      <c r="W134" s="170" t="s">
        <v>99</v>
      </c>
      <c r="X134" s="170" t="s">
        <v>11</v>
      </c>
      <c r="Y134" s="178">
        <v>13.3</v>
      </c>
      <c r="Z134" s="170" t="s">
        <v>221</v>
      </c>
      <c r="AA134" s="170" t="s">
        <v>81</v>
      </c>
      <c r="AB134" s="170" t="s">
        <v>18</v>
      </c>
      <c r="AC134" s="170">
        <v>12</v>
      </c>
      <c r="AD134" s="177" t="s">
        <v>213</v>
      </c>
      <c r="AE134" s="170" t="s">
        <v>87</v>
      </c>
      <c r="AF134" s="170" t="s">
        <v>11</v>
      </c>
      <c r="AG134" s="178">
        <v>9.3000000000000007</v>
      </c>
      <c r="AL134" s="177"/>
      <c r="AO134" s="178"/>
      <c r="AP134" s="177"/>
      <c r="AS134" s="178"/>
      <c r="AW134" s="178"/>
      <c r="BA134" s="179"/>
    </row>
    <row r="135" spans="1:53" s="28" customFormat="1" x14ac:dyDescent="0.15">
      <c r="A135" s="28">
        <v>2019</v>
      </c>
      <c r="B135" s="293">
        <v>43765</v>
      </c>
      <c r="C135" s="394" t="s">
        <v>1457</v>
      </c>
      <c r="D135" s="394"/>
      <c r="E135" s="28">
        <v>66</v>
      </c>
      <c r="F135" s="28">
        <v>1</v>
      </c>
      <c r="G135" s="65">
        <v>10</v>
      </c>
      <c r="H135" s="28">
        <v>3</v>
      </c>
      <c r="J135" s="72">
        <v>13</v>
      </c>
      <c r="K135" s="46">
        <f t="shared" si="53"/>
        <v>76.923076923076934</v>
      </c>
      <c r="L135" s="46">
        <f t="shared" si="54"/>
        <v>23.076923076923077</v>
      </c>
      <c r="M135" s="46">
        <f t="shared" si="55"/>
        <v>0</v>
      </c>
      <c r="N135" s="67">
        <f t="shared" si="56"/>
        <v>100.00000000000001</v>
      </c>
      <c r="O135" s="45">
        <v>17.3</v>
      </c>
      <c r="P135" s="46">
        <v>8</v>
      </c>
      <c r="Q135" s="46"/>
      <c r="R135" s="47">
        <f t="shared" si="57"/>
        <v>25.3</v>
      </c>
      <c r="S135" s="28">
        <v>6</v>
      </c>
      <c r="T135" s="284">
        <v>43611</v>
      </c>
      <c r="U135" s="293">
        <v>43765</v>
      </c>
      <c r="V135" s="37" t="s">
        <v>219</v>
      </c>
      <c r="W135" s="28" t="s">
        <v>99</v>
      </c>
      <c r="X135" s="28" t="s">
        <v>11</v>
      </c>
      <c r="Y135" s="38">
        <v>9.3000000000000007</v>
      </c>
      <c r="Z135" s="28" t="s">
        <v>221</v>
      </c>
      <c r="AA135" s="28" t="s">
        <v>81</v>
      </c>
      <c r="AB135" s="28" t="s">
        <v>18</v>
      </c>
      <c r="AC135" s="46">
        <v>8</v>
      </c>
      <c r="AD135" s="37" t="s">
        <v>213</v>
      </c>
      <c r="AE135" s="28" t="s">
        <v>87</v>
      </c>
      <c r="AF135" s="28" t="s">
        <v>11</v>
      </c>
      <c r="AG135" s="87">
        <v>8</v>
      </c>
      <c r="AL135" s="37"/>
      <c r="AO135" s="38"/>
      <c r="AP135" s="37"/>
      <c r="AS135" s="327"/>
      <c r="AW135" s="327"/>
      <c r="BA135" s="39"/>
    </row>
    <row r="136" spans="1:53" s="28" customFormat="1" x14ac:dyDescent="0.15">
      <c r="A136" s="28">
        <v>2020</v>
      </c>
      <c r="C136" s="394" t="s">
        <v>1457</v>
      </c>
      <c r="D136" s="394"/>
      <c r="E136" s="28">
        <v>77</v>
      </c>
      <c r="F136" s="39"/>
      <c r="G136" s="28">
        <v>10</v>
      </c>
      <c r="H136" s="28">
        <v>3</v>
      </c>
      <c r="J136" s="39">
        <v>13</v>
      </c>
      <c r="K136" s="46">
        <f t="shared" si="53"/>
        <v>76.923076923076934</v>
      </c>
      <c r="L136" s="46">
        <f t="shared" si="54"/>
        <v>23.076923076923077</v>
      </c>
      <c r="M136" s="46">
        <f t="shared" si="55"/>
        <v>0</v>
      </c>
      <c r="N136" s="330">
        <f t="shared" si="56"/>
        <v>100.00000000000001</v>
      </c>
      <c r="O136" s="28">
        <v>17.3</v>
      </c>
      <c r="P136" s="46">
        <v>8</v>
      </c>
      <c r="R136" s="39">
        <f t="shared" si="57"/>
        <v>25.3</v>
      </c>
      <c r="S136" s="36">
        <v>6</v>
      </c>
      <c r="T136" s="36"/>
      <c r="U136" s="331"/>
      <c r="V136" s="28" t="s">
        <v>219</v>
      </c>
      <c r="W136" s="28" t="s">
        <v>99</v>
      </c>
      <c r="X136" s="28" t="s">
        <v>11</v>
      </c>
      <c r="Y136" s="327">
        <v>9.3000000000000007</v>
      </c>
      <c r="Z136" s="28" t="s">
        <v>221</v>
      </c>
      <c r="AA136" s="28" t="s">
        <v>81</v>
      </c>
      <c r="AB136" s="28" t="s">
        <v>18</v>
      </c>
      <c r="AC136" s="46">
        <v>8</v>
      </c>
      <c r="AD136" s="325" t="s">
        <v>213</v>
      </c>
      <c r="AE136" s="28" t="s">
        <v>87</v>
      </c>
      <c r="AF136" s="28" t="s">
        <v>11</v>
      </c>
      <c r="AG136" s="332">
        <v>8</v>
      </c>
      <c r="AK136" s="327"/>
      <c r="AO136" s="327"/>
      <c r="AS136" s="327"/>
      <c r="AW136" s="327"/>
      <c r="BA136" s="334"/>
    </row>
    <row r="137" spans="1:53" s="170" customFormat="1" x14ac:dyDescent="0.15">
      <c r="A137" s="170">
        <v>2020</v>
      </c>
      <c r="B137" s="281">
        <v>43907</v>
      </c>
      <c r="C137" s="395" t="s">
        <v>1458</v>
      </c>
      <c r="D137" s="395"/>
      <c r="E137" s="170">
        <v>197</v>
      </c>
      <c r="F137" s="179" t="s">
        <v>335</v>
      </c>
      <c r="G137" s="170">
        <v>10</v>
      </c>
      <c r="H137" s="170">
        <v>3</v>
      </c>
      <c r="J137" s="179">
        <v>13</v>
      </c>
      <c r="K137" s="213">
        <f t="shared" si="53"/>
        <v>76.923076923076934</v>
      </c>
      <c r="L137" s="213">
        <f t="shared" si="54"/>
        <v>23.076923076923077</v>
      </c>
      <c r="M137" s="213">
        <f t="shared" si="55"/>
        <v>0</v>
      </c>
      <c r="N137" s="329">
        <f t="shared" si="56"/>
        <v>100.00000000000001</v>
      </c>
      <c r="O137" s="170">
        <v>17.3</v>
      </c>
      <c r="P137" s="213">
        <v>8</v>
      </c>
      <c r="R137" s="179">
        <f t="shared" si="57"/>
        <v>25.3</v>
      </c>
      <c r="S137" s="189">
        <v>5</v>
      </c>
      <c r="T137" s="189"/>
      <c r="U137" s="281">
        <v>43907</v>
      </c>
      <c r="V137" s="326" t="s">
        <v>219</v>
      </c>
      <c r="W137" s="170" t="s">
        <v>99</v>
      </c>
      <c r="X137" s="170" t="s">
        <v>11</v>
      </c>
      <c r="Y137" s="324">
        <v>9.3000000000000007</v>
      </c>
      <c r="Z137" s="326" t="s">
        <v>221</v>
      </c>
      <c r="AA137" s="170" t="s">
        <v>81</v>
      </c>
      <c r="AB137" s="170" t="s">
        <v>18</v>
      </c>
      <c r="AC137" s="213">
        <v>8</v>
      </c>
      <c r="AD137" s="326" t="s">
        <v>213</v>
      </c>
      <c r="AE137" s="170" t="s">
        <v>87</v>
      </c>
      <c r="AF137" s="170" t="s">
        <v>11</v>
      </c>
      <c r="AG137" s="333">
        <v>8</v>
      </c>
      <c r="AK137" s="324"/>
      <c r="AO137" s="324"/>
      <c r="AS137" s="324"/>
      <c r="AW137" s="324"/>
      <c r="BA137" s="335"/>
    </row>
    <row r="138" spans="1:53" s="28" customFormat="1" x14ac:dyDescent="0.15">
      <c r="A138" s="28">
        <v>2020</v>
      </c>
      <c r="B138" s="293">
        <v>44105</v>
      </c>
      <c r="C138" s="394" t="s">
        <v>1514</v>
      </c>
      <c r="D138" s="394"/>
      <c r="E138" s="28">
        <v>92</v>
      </c>
      <c r="F138" s="39">
        <v>1</v>
      </c>
      <c r="G138" s="28">
        <v>6</v>
      </c>
      <c r="H138" s="28">
        <v>3</v>
      </c>
      <c r="I138" s="28">
        <v>11</v>
      </c>
      <c r="J138" s="39">
        <v>20</v>
      </c>
      <c r="K138" s="46">
        <f t="shared" ref="K138:K145" si="58">G138/J138*100</f>
        <v>30</v>
      </c>
      <c r="L138" s="46">
        <f t="shared" si="54"/>
        <v>15</v>
      </c>
      <c r="M138" s="46">
        <f t="shared" si="55"/>
        <v>55.000000000000007</v>
      </c>
      <c r="N138" s="330">
        <f t="shared" si="56"/>
        <v>100</v>
      </c>
      <c r="O138" s="28">
        <v>17.3</v>
      </c>
      <c r="P138" s="46">
        <v>8</v>
      </c>
      <c r="Q138" s="28">
        <v>32.5</v>
      </c>
      <c r="R138" s="39">
        <f t="shared" si="57"/>
        <v>57.8</v>
      </c>
      <c r="S138" s="357">
        <v>3</v>
      </c>
      <c r="T138" s="36"/>
      <c r="U138" s="356">
        <v>44105</v>
      </c>
      <c r="V138" s="325" t="s">
        <v>95</v>
      </c>
      <c r="W138" s="28" t="s">
        <v>96</v>
      </c>
      <c r="X138" s="28" t="s">
        <v>12</v>
      </c>
      <c r="Y138" s="327">
        <v>12.6</v>
      </c>
      <c r="Z138" s="28" t="s">
        <v>219</v>
      </c>
      <c r="AA138" s="28" t="s">
        <v>99</v>
      </c>
      <c r="AB138" s="28" t="s">
        <v>11</v>
      </c>
      <c r="AC138" s="327">
        <v>9.3000000000000007</v>
      </c>
      <c r="AD138" s="28" t="s">
        <v>214</v>
      </c>
      <c r="AE138" s="28" t="s">
        <v>216</v>
      </c>
      <c r="AF138" s="28" t="s">
        <v>12</v>
      </c>
      <c r="AG138" s="28">
        <v>8.6</v>
      </c>
      <c r="AH138" s="325" t="s">
        <v>221</v>
      </c>
      <c r="AI138" s="28" t="s">
        <v>81</v>
      </c>
      <c r="AJ138" s="28" t="s">
        <v>18</v>
      </c>
      <c r="AK138" s="28">
        <v>8</v>
      </c>
      <c r="AL138" s="325" t="s">
        <v>213</v>
      </c>
      <c r="AM138" s="28" t="s">
        <v>87</v>
      </c>
      <c r="AN138" s="28" t="s">
        <v>11</v>
      </c>
      <c r="AO138" s="327">
        <v>8</v>
      </c>
      <c r="AP138" s="28" t="s">
        <v>94</v>
      </c>
      <c r="AQ138" s="28" t="s">
        <v>97</v>
      </c>
      <c r="AR138" s="28" t="s">
        <v>12</v>
      </c>
      <c r="AS138" s="327">
        <v>6</v>
      </c>
      <c r="AT138" s="28" t="s">
        <v>215</v>
      </c>
      <c r="AU138" s="28" t="s">
        <v>217</v>
      </c>
      <c r="AV138" s="28" t="s">
        <v>12</v>
      </c>
      <c r="AW138" s="28">
        <v>5.3</v>
      </c>
      <c r="AX138" s="325"/>
      <c r="BA138" s="334"/>
    </row>
    <row r="139" spans="1:53" s="28" customFormat="1" x14ac:dyDescent="0.15">
      <c r="A139" s="28">
        <v>2021</v>
      </c>
      <c r="B139" s="293"/>
      <c r="C139" s="394" t="s">
        <v>1514</v>
      </c>
      <c r="D139" s="394"/>
      <c r="E139" s="28">
        <v>0</v>
      </c>
      <c r="F139" s="39"/>
      <c r="G139" s="28">
        <v>6</v>
      </c>
      <c r="H139" s="28">
        <v>3</v>
      </c>
      <c r="I139" s="28">
        <v>11</v>
      </c>
      <c r="J139" s="39">
        <v>20</v>
      </c>
      <c r="K139" s="46">
        <f t="shared" si="58"/>
        <v>30</v>
      </c>
      <c r="L139" s="46">
        <f t="shared" si="54"/>
        <v>15</v>
      </c>
      <c r="M139" s="46">
        <f t="shared" si="55"/>
        <v>55.000000000000007</v>
      </c>
      <c r="N139" s="330">
        <f t="shared" si="56"/>
        <v>100</v>
      </c>
      <c r="O139" s="28">
        <v>17.3</v>
      </c>
      <c r="P139" s="46">
        <v>8</v>
      </c>
      <c r="Q139" s="28">
        <v>32.5</v>
      </c>
      <c r="R139" s="39">
        <f t="shared" si="57"/>
        <v>57.8</v>
      </c>
      <c r="S139" s="357">
        <v>3</v>
      </c>
      <c r="T139" s="36"/>
      <c r="U139" s="356"/>
      <c r="V139" s="325" t="s">
        <v>95</v>
      </c>
      <c r="W139" s="28" t="s">
        <v>96</v>
      </c>
      <c r="X139" s="28" t="s">
        <v>12</v>
      </c>
      <c r="Y139" s="327">
        <v>12.6</v>
      </c>
      <c r="Z139" s="28" t="s">
        <v>219</v>
      </c>
      <c r="AA139" s="28" t="s">
        <v>99</v>
      </c>
      <c r="AB139" s="28" t="s">
        <v>11</v>
      </c>
      <c r="AC139" s="327">
        <v>9.3000000000000007</v>
      </c>
      <c r="AD139" s="28" t="s">
        <v>214</v>
      </c>
      <c r="AE139" s="28" t="s">
        <v>216</v>
      </c>
      <c r="AF139" s="28" t="s">
        <v>12</v>
      </c>
      <c r="AG139" s="28">
        <v>8.6</v>
      </c>
      <c r="AH139" s="325" t="s">
        <v>221</v>
      </c>
      <c r="AI139" s="28" t="s">
        <v>81</v>
      </c>
      <c r="AJ139" s="28" t="s">
        <v>18</v>
      </c>
      <c r="AK139" s="28">
        <v>8</v>
      </c>
      <c r="AL139" s="325" t="s">
        <v>213</v>
      </c>
      <c r="AM139" s="28" t="s">
        <v>87</v>
      </c>
      <c r="AN139" s="28" t="s">
        <v>11</v>
      </c>
      <c r="AO139" s="327">
        <v>8</v>
      </c>
      <c r="AP139" s="28" t="s">
        <v>1488</v>
      </c>
      <c r="AQ139" s="28" t="s">
        <v>97</v>
      </c>
      <c r="AR139" s="28" t="s">
        <v>12</v>
      </c>
      <c r="AS139" s="327">
        <v>6</v>
      </c>
      <c r="AT139" s="28" t="s">
        <v>215</v>
      </c>
      <c r="AU139" s="28" t="s">
        <v>217</v>
      </c>
      <c r="AV139" s="28" t="s">
        <v>12</v>
      </c>
      <c r="AW139" s="28">
        <v>5.3</v>
      </c>
      <c r="AX139" s="325"/>
      <c r="BA139" s="334"/>
    </row>
    <row r="140" spans="1:53" s="28" customFormat="1" x14ac:dyDescent="0.15">
      <c r="A140" s="28">
        <v>2021</v>
      </c>
      <c r="B140" s="293"/>
      <c r="C140" s="394" t="s">
        <v>1514</v>
      </c>
      <c r="D140" s="394"/>
      <c r="E140" s="28">
        <v>365</v>
      </c>
      <c r="F140" s="39"/>
      <c r="G140" s="28">
        <v>6</v>
      </c>
      <c r="H140" s="28">
        <v>3</v>
      </c>
      <c r="I140" s="28">
        <v>11</v>
      </c>
      <c r="J140" s="39">
        <v>20</v>
      </c>
      <c r="K140" s="46">
        <f t="shared" si="58"/>
        <v>30</v>
      </c>
      <c r="L140" s="46">
        <f t="shared" si="54"/>
        <v>15</v>
      </c>
      <c r="M140" s="46">
        <f t="shared" si="55"/>
        <v>55.000000000000007</v>
      </c>
      <c r="N140" s="330">
        <f t="shared" si="56"/>
        <v>100</v>
      </c>
      <c r="O140" s="28">
        <v>17.3</v>
      </c>
      <c r="P140" s="46">
        <v>8</v>
      </c>
      <c r="Q140" s="28">
        <v>32.5</v>
      </c>
      <c r="R140" s="39">
        <f t="shared" si="57"/>
        <v>57.8</v>
      </c>
      <c r="S140" s="357">
        <v>3</v>
      </c>
      <c r="T140" s="36"/>
      <c r="U140" s="356"/>
      <c r="V140" s="325" t="s">
        <v>95</v>
      </c>
      <c r="W140" s="28" t="s">
        <v>96</v>
      </c>
      <c r="X140" s="28" t="s">
        <v>12</v>
      </c>
      <c r="Y140" s="327">
        <v>12.6</v>
      </c>
      <c r="Z140" s="28" t="s">
        <v>219</v>
      </c>
      <c r="AA140" s="28" t="s">
        <v>99</v>
      </c>
      <c r="AB140" s="28" t="s">
        <v>11</v>
      </c>
      <c r="AC140" s="327">
        <v>9.3000000000000007</v>
      </c>
      <c r="AD140" s="28" t="s">
        <v>214</v>
      </c>
      <c r="AE140" s="28" t="s">
        <v>216</v>
      </c>
      <c r="AF140" s="28" t="s">
        <v>12</v>
      </c>
      <c r="AG140" s="28">
        <v>8.6</v>
      </c>
      <c r="AH140" s="325" t="s">
        <v>221</v>
      </c>
      <c r="AI140" s="28" t="s">
        <v>81</v>
      </c>
      <c r="AJ140" s="28" t="s">
        <v>18</v>
      </c>
      <c r="AK140" s="28">
        <v>8</v>
      </c>
      <c r="AL140" s="325" t="s">
        <v>213</v>
      </c>
      <c r="AM140" s="28" t="s">
        <v>87</v>
      </c>
      <c r="AN140" s="28" t="s">
        <v>11</v>
      </c>
      <c r="AO140" s="327">
        <v>8</v>
      </c>
      <c r="AP140" s="28" t="s">
        <v>1488</v>
      </c>
      <c r="AQ140" s="28" t="s">
        <v>97</v>
      </c>
      <c r="AR140" s="28" t="s">
        <v>12</v>
      </c>
      <c r="AS140" s="327">
        <v>6</v>
      </c>
      <c r="AT140" s="28" t="s">
        <v>215</v>
      </c>
      <c r="AU140" s="28" t="s">
        <v>217</v>
      </c>
      <c r="AV140" s="28" t="s">
        <v>12</v>
      </c>
      <c r="AW140" s="28">
        <v>5.3</v>
      </c>
      <c r="AX140" s="325"/>
      <c r="BA140" s="334"/>
    </row>
    <row r="141" spans="1:53" s="28" customFormat="1" x14ac:dyDescent="0.15">
      <c r="A141" s="28">
        <v>2022</v>
      </c>
      <c r="B141" s="293"/>
      <c r="C141" s="394" t="s">
        <v>1514</v>
      </c>
      <c r="D141" s="394"/>
      <c r="E141" s="28">
        <v>112</v>
      </c>
      <c r="F141" s="39"/>
      <c r="G141" s="28">
        <v>6</v>
      </c>
      <c r="H141" s="28">
        <v>3</v>
      </c>
      <c r="I141" s="28">
        <v>11</v>
      </c>
      <c r="J141" s="39">
        <v>20</v>
      </c>
      <c r="K141" s="46">
        <f t="shared" si="58"/>
        <v>30</v>
      </c>
      <c r="L141" s="46">
        <f t="shared" si="54"/>
        <v>15</v>
      </c>
      <c r="M141" s="46">
        <f t="shared" si="55"/>
        <v>55.000000000000007</v>
      </c>
      <c r="N141" s="330">
        <f t="shared" si="56"/>
        <v>100</v>
      </c>
      <c r="O141" s="28">
        <v>17.3</v>
      </c>
      <c r="P141" s="46">
        <v>8</v>
      </c>
      <c r="Q141" s="28">
        <v>32.5</v>
      </c>
      <c r="R141" s="39">
        <f t="shared" si="57"/>
        <v>57.8</v>
      </c>
      <c r="S141" s="357">
        <v>3</v>
      </c>
      <c r="T141" s="36"/>
      <c r="U141" s="356"/>
      <c r="V141" s="325" t="s">
        <v>95</v>
      </c>
      <c r="W141" s="28" t="s">
        <v>96</v>
      </c>
      <c r="X141" s="28" t="s">
        <v>12</v>
      </c>
      <c r="Y141" s="327">
        <v>12.6</v>
      </c>
      <c r="Z141" s="28" t="s">
        <v>219</v>
      </c>
      <c r="AA141" s="28" t="s">
        <v>99</v>
      </c>
      <c r="AB141" s="28" t="s">
        <v>11</v>
      </c>
      <c r="AC141" s="327">
        <v>9.3000000000000007</v>
      </c>
      <c r="AD141" s="28" t="s">
        <v>214</v>
      </c>
      <c r="AE141" s="28" t="s">
        <v>216</v>
      </c>
      <c r="AF141" s="28" t="s">
        <v>12</v>
      </c>
      <c r="AG141" s="28">
        <v>8.6</v>
      </c>
      <c r="AH141" s="325" t="s">
        <v>221</v>
      </c>
      <c r="AI141" s="28" t="s">
        <v>81</v>
      </c>
      <c r="AJ141" s="28" t="s">
        <v>18</v>
      </c>
      <c r="AK141" s="28">
        <v>8</v>
      </c>
      <c r="AL141" s="325" t="s">
        <v>213</v>
      </c>
      <c r="AM141" s="28" t="s">
        <v>87</v>
      </c>
      <c r="AN141" s="28" t="s">
        <v>11</v>
      </c>
      <c r="AO141" s="327">
        <v>8</v>
      </c>
      <c r="AP141" s="28" t="s">
        <v>1488</v>
      </c>
      <c r="AQ141" s="28" t="s">
        <v>97</v>
      </c>
      <c r="AR141" s="28" t="s">
        <v>12</v>
      </c>
      <c r="AS141" s="327">
        <v>6</v>
      </c>
      <c r="AT141" s="28" t="s">
        <v>215</v>
      </c>
      <c r="AU141" s="28" t="s">
        <v>217</v>
      </c>
      <c r="AV141" s="28" t="s">
        <v>12</v>
      </c>
      <c r="AW141" s="28">
        <v>5.3</v>
      </c>
      <c r="AX141" s="325"/>
      <c r="BA141" s="334"/>
    </row>
    <row r="142" spans="1:53" s="28" customFormat="1" x14ac:dyDescent="0.15">
      <c r="A142" s="28">
        <v>2022</v>
      </c>
      <c r="B142" s="298">
        <v>44673</v>
      </c>
      <c r="C142" s="394" t="s">
        <v>1514</v>
      </c>
      <c r="D142" s="394"/>
      <c r="E142" s="28">
        <v>84</v>
      </c>
      <c r="F142" s="361">
        <v>0</v>
      </c>
      <c r="G142" s="28">
        <v>5</v>
      </c>
      <c r="H142" s="28">
        <v>3</v>
      </c>
      <c r="I142" s="28">
        <v>11</v>
      </c>
      <c r="J142" s="39">
        <v>19</v>
      </c>
      <c r="K142" s="46">
        <f t="shared" si="58"/>
        <v>26.315789473684209</v>
      </c>
      <c r="L142" s="46">
        <f t="shared" si="54"/>
        <v>15.789473684210526</v>
      </c>
      <c r="M142" s="46">
        <f t="shared" si="55"/>
        <v>57.894736842105267</v>
      </c>
      <c r="N142" s="330">
        <f t="shared" si="56"/>
        <v>100</v>
      </c>
      <c r="O142" s="28">
        <v>17.3</v>
      </c>
      <c r="P142" s="46">
        <v>8</v>
      </c>
      <c r="Q142" s="28">
        <v>32.5</v>
      </c>
      <c r="R142" s="39">
        <f t="shared" ref="R142:R145" si="59">SUM(O142:Q142)</f>
        <v>57.8</v>
      </c>
      <c r="S142" s="357">
        <v>3</v>
      </c>
      <c r="T142" s="36"/>
      <c r="U142" s="356"/>
      <c r="V142" s="325" t="s">
        <v>95</v>
      </c>
      <c r="W142" s="28" t="s">
        <v>96</v>
      </c>
      <c r="X142" s="28" t="s">
        <v>12</v>
      </c>
      <c r="Y142" s="327">
        <v>12.6</v>
      </c>
      <c r="Z142" s="28" t="s">
        <v>219</v>
      </c>
      <c r="AA142" s="28" t="s">
        <v>99</v>
      </c>
      <c r="AB142" s="28" t="s">
        <v>11</v>
      </c>
      <c r="AC142" s="327">
        <v>9.3000000000000007</v>
      </c>
      <c r="AD142" s="28" t="s">
        <v>214</v>
      </c>
      <c r="AE142" s="28" t="s">
        <v>216</v>
      </c>
      <c r="AF142" s="28" t="s">
        <v>12</v>
      </c>
      <c r="AG142" s="28">
        <v>8.6</v>
      </c>
      <c r="AH142" s="325" t="s">
        <v>221</v>
      </c>
      <c r="AI142" s="28" t="s">
        <v>81</v>
      </c>
      <c r="AJ142" s="28" t="s">
        <v>18</v>
      </c>
      <c r="AK142" s="28">
        <v>8</v>
      </c>
      <c r="AL142" s="325" t="s">
        <v>213</v>
      </c>
      <c r="AM142" s="28" t="s">
        <v>87</v>
      </c>
      <c r="AN142" s="28" t="s">
        <v>11</v>
      </c>
      <c r="AO142" s="327">
        <v>8</v>
      </c>
      <c r="AP142" s="28" t="s">
        <v>1488</v>
      </c>
      <c r="AQ142" s="28" t="s">
        <v>97</v>
      </c>
      <c r="AR142" s="28" t="s">
        <v>12</v>
      </c>
      <c r="AS142" s="327">
        <v>6</v>
      </c>
      <c r="AT142" s="28" t="s">
        <v>215</v>
      </c>
      <c r="AU142" s="28" t="s">
        <v>217</v>
      </c>
      <c r="AV142" s="28" t="s">
        <v>12</v>
      </c>
      <c r="AW142" s="28">
        <v>5.3</v>
      </c>
      <c r="AX142" s="325"/>
      <c r="BA142" s="334"/>
    </row>
    <row r="143" spans="1:53" s="28" customFormat="1" x14ac:dyDescent="0.15">
      <c r="A143" s="28">
        <v>2022</v>
      </c>
      <c r="B143" s="298">
        <v>44757</v>
      </c>
      <c r="C143" s="394" t="s">
        <v>1514</v>
      </c>
      <c r="D143" s="394"/>
      <c r="E143" s="28">
        <v>97</v>
      </c>
      <c r="F143" s="361">
        <v>0</v>
      </c>
      <c r="G143" s="28">
        <v>6</v>
      </c>
      <c r="H143" s="28">
        <v>3</v>
      </c>
      <c r="I143" s="28">
        <v>11</v>
      </c>
      <c r="J143" s="39">
        <v>20</v>
      </c>
      <c r="K143" s="46">
        <f t="shared" si="58"/>
        <v>30</v>
      </c>
      <c r="L143" s="46">
        <f t="shared" si="54"/>
        <v>15</v>
      </c>
      <c r="M143" s="46">
        <f t="shared" si="55"/>
        <v>55.000000000000007</v>
      </c>
      <c r="N143" s="330">
        <f t="shared" si="56"/>
        <v>100</v>
      </c>
      <c r="O143" s="28">
        <v>17.3</v>
      </c>
      <c r="P143" s="46">
        <v>8</v>
      </c>
      <c r="Q143" s="28">
        <v>32.5</v>
      </c>
      <c r="R143" s="39">
        <f t="shared" si="59"/>
        <v>57.8</v>
      </c>
      <c r="S143" s="357">
        <v>3</v>
      </c>
      <c r="T143" s="36"/>
      <c r="U143" s="356"/>
      <c r="V143" s="325" t="s">
        <v>95</v>
      </c>
      <c r="W143" s="28" t="s">
        <v>96</v>
      </c>
      <c r="X143" s="28" t="s">
        <v>12</v>
      </c>
      <c r="Y143" s="327">
        <v>12.6</v>
      </c>
      <c r="Z143" s="28" t="s">
        <v>219</v>
      </c>
      <c r="AA143" s="28" t="s">
        <v>99</v>
      </c>
      <c r="AB143" s="28" t="s">
        <v>11</v>
      </c>
      <c r="AC143" s="327">
        <v>9.3000000000000007</v>
      </c>
      <c r="AD143" s="28" t="s">
        <v>214</v>
      </c>
      <c r="AE143" s="28" t="s">
        <v>216</v>
      </c>
      <c r="AF143" s="28" t="s">
        <v>12</v>
      </c>
      <c r="AG143" s="28">
        <v>8.6</v>
      </c>
      <c r="AH143" s="325" t="s">
        <v>221</v>
      </c>
      <c r="AI143" s="28" t="s">
        <v>81</v>
      </c>
      <c r="AJ143" s="28" t="s">
        <v>18</v>
      </c>
      <c r="AK143" s="28">
        <v>8</v>
      </c>
      <c r="AL143" s="325" t="s">
        <v>213</v>
      </c>
      <c r="AM143" s="28" t="s">
        <v>87</v>
      </c>
      <c r="AN143" s="28" t="s">
        <v>11</v>
      </c>
      <c r="AO143" s="327">
        <v>8</v>
      </c>
      <c r="AP143" s="28" t="s">
        <v>1488</v>
      </c>
      <c r="AQ143" s="28" t="s">
        <v>97</v>
      </c>
      <c r="AR143" s="28" t="s">
        <v>12</v>
      </c>
      <c r="AS143" s="327">
        <v>6</v>
      </c>
      <c r="AT143" s="28" t="s">
        <v>215</v>
      </c>
      <c r="AU143" s="28" t="s">
        <v>217</v>
      </c>
      <c r="AV143" s="28" t="s">
        <v>12</v>
      </c>
      <c r="AW143" s="28">
        <v>5.3</v>
      </c>
      <c r="AX143" s="325"/>
      <c r="BA143" s="334"/>
    </row>
    <row r="144" spans="1:53" s="28" customFormat="1" x14ac:dyDescent="0.15">
      <c r="A144" s="28">
        <v>2022</v>
      </c>
      <c r="B144" s="298">
        <v>44854</v>
      </c>
      <c r="C144" s="394" t="s">
        <v>1514</v>
      </c>
      <c r="D144" s="394"/>
      <c r="E144" s="28">
        <v>58</v>
      </c>
      <c r="F144" s="361">
        <v>0</v>
      </c>
      <c r="G144" s="28">
        <v>6</v>
      </c>
      <c r="H144" s="28">
        <v>3</v>
      </c>
      <c r="I144" s="28">
        <v>10</v>
      </c>
      <c r="J144" s="39">
        <v>19</v>
      </c>
      <c r="K144" s="46">
        <f t="shared" si="58"/>
        <v>31.578947368421051</v>
      </c>
      <c r="L144" s="46">
        <f t="shared" si="54"/>
        <v>15.789473684210526</v>
      </c>
      <c r="M144" s="46">
        <f t="shared" si="55"/>
        <v>52.631578947368418</v>
      </c>
      <c r="N144" s="330">
        <f t="shared" si="56"/>
        <v>100</v>
      </c>
      <c r="O144" s="28">
        <v>17.3</v>
      </c>
      <c r="P144" s="46">
        <v>8</v>
      </c>
      <c r="Q144" s="28">
        <v>32.5</v>
      </c>
      <c r="R144" s="39">
        <f t="shared" si="59"/>
        <v>57.8</v>
      </c>
      <c r="S144" s="357">
        <v>3</v>
      </c>
      <c r="T144" s="36"/>
      <c r="U144" s="356"/>
      <c r="V144" s="325" t="s">
        <v>95</v>
      </c>
      <c r="W144" s="28" t="s">
        <v>96</v>
      </c>
      <c r="X144" s="28" t="s">
        <v>12</v>
      </c>
      <c r="Y144" s="327">
        <v>12.6</v>
      </c>
      <c r="Z144" s="28" t="s">
        <v>219</v>
      </c>
      <c r="AA144" s="28" t="s">
        <v>99</v>
      </c>
      <c r="AB144" s="28" t="s">
        <v>11</v>
      </c>
      <c r="AC144" s="327">
        <v>9.3000000000000007</v>
      </c>
      <c r="AD144" s="28" t="s">
        <v>214</v>
      </c>
      <c r="AE144" s="28" t="s">
        <v>216</v>
      </c>
      <c r="AF144" s="28" t="s">
        <v>12</v>
      </c>
      <c r="AG144" s="28">
        <v>8.6</v>
      </c>
      <c r="AH144" s="325" t="s">
        <v>221</v>
      </c>
      <c r="AI144" s="28" t="s">
        <v>81</v>
      </c>
      <c r="AJ144" s="28" t="s">
        <v>18</v>
      </c>
      <c r="AK144" s="28">
        <v>8</v>
      </c>
      <c r="AL144" s="325" t="s">
        <v>213</v>
      </c>
      <c r="AM144" s="28" t="s">
        <v>87</v>
      </c>
      <c r="AN144" s="28" t="s">
        <v>11</v>
      </c>
      <c r="AO144" s="327">
        <v>8</v>
      </c>
      <c r="AP144" s="28" t="s">
        <v>1488</v>
      </c>
      <c r="AQ144" s="28" t="s">
        <v>97</v>
      </c>
      <c r="AR144" s="28" t="s">
        <v>12</v>
      </c>
      <c r="AS144" s="327">
        <v>6</v>
      </c>
      <c r="AT144" s="28" t="s">
        <v>215</v>
      </c>
      <c r="AU144" s="28" t="s">
        <v>217</v>
      </c>
      <c r="AV144" s="28" t="s">
        <v>12</v>
      </c>
      <c r="AW144" s="28">
        <v>5.3</v>
      </c>
      <c r="AX144" s="325"/>
      <c r="BA144" s="334"/>
    </row>
    <row r="145" spans="1:53" s="28" customFormat="1" x14ac:dyDescent="0.15">
      <c r="A145" s="28">
        <v>2022</v>
      </c>
      <c r="B145" s="298">
        <v>44912</v>
      </c>
      <c r="C145" s="394" t="s">
        <v>1514</v>
      </c>
      <c r="D145" s="394"/>
      <c r="E145" s="28">
        <v>14</v>
      </c>
      <c r="F145" s="361">
        <v>0</v>
      </c>
      <c r="G145" s="28">
        <v>6</v>
      </c>
      <c r="H145" s="28">
        <v>3</v>
      </c>
      <c r="I145" s="28">
        <v>11</v>
      </c>
      <c r="J145" s="39">
        <v>20</v>
      </c>
      <c r="K145" s="46">
        <f t="shared" si="58"/>
        <v>30</v>
      </c>
      <c r="L145" s="46">
        <f t="shared" si="54"/>
        <v>15</v>
      </c>
      <c r="M145" s="46">
        <f t="shared" si="55"/>
        <v>55.000000000000007</v>
      </c>
      <c r="N145" s="330">
        <f t="shared" si="56"/>
        <v>100</v>
      </c>
      <c r="O145" s="28">
        <v>17.3</v>
      </c>
      <c r="P145" s="46">
        <v>8</v>
      </c>
      <c r="Q145" s="28">
        <v>32.5</v>
      </c>
      <c r="R145" s="39">
        <f t="shared" si="59"/>
        <v>57.8</v>
      </c>
      <c r="S145" s="357">
        <v>3</v>
      </c>
      <c r="T145" s="36"/>
      <c r="U145" s="356"/>
      <c r="V145" s="325" t="s">
        <v>95</v>
      </c>
      <c r="W145" s="28" t="s">
        <v>96</v>
      </c>
      <c r="X145" s="28" t="s">
        <v>12</v>
      </c>
      <c r="Y145" s="327">
        <v>12.6</v>
      </c>
      <c r="Z145" s="28" t="s">
        <v>219</v>
      </c>
      <c r="AA145" s="28" t="s">
        <v>99</v>
      </c>
      <c r="AB145" s="28" t="s">
        <v>11</v>
      </c>
      <c r="AC145" s="327">
        <v>9.3000000000000007</v>
      </c>
      <c r="AD145" s="28" t="s">
        <v>214</v>
      </c>
      <c r="AE145" s="28" t="s">
        <v>216</v>
      </c>
      <c r="AF145" s="28" t="s">
        <v>12</v>
      </c>
      <c r="AG145" s="28">
        <v>8.6</v>
      </c>
      <c r="AH145" s="325" t="s">
        <v>221</v>
      </c>
      <c r="AI145" s="28" t="s">
        <v>81</v>
      </c>
      <c r="AJ145" s="28" t="s">
        <v>18</v>
      </c>
      <c r="AK145" s="28">
        <v>8</v>
      </c>
      <c r="AL145" s="325" t="s">
        <v>213</v>
      </c>
      <c r="AM145" s="28" t="s">
        <v>87</v>
      </c>
      <c r="AN145" s="28" t="s">
        <v>11</v>
      </c>
      <c r="AO145" s="327">
        <v>8</v>
      </c>
      <c r="AP145" s="28" t="s">
        <v>1488</v>
      </c>
      <c r="AQ145" s="28" t="s">
        <v>97</v>
      </c>
      <c r="AR145" s="28" t="s">
        <v>12</v>
      </c>
      <c r="AS145" s="327">
        <v>6</v>
      </c>
      <c r="AT145" s="28" t="s">
        <v>215</v>
      </c>
      <c r="AU145" s="28" t="s">
        <v>217</v>
      </c>
      <c r="AV145" s="28" t="s">
        <v>12</v>
      </c>
      <c r="AW145" s="28">
        <v>5.3</v>
      </c>
      <c r="AX145" s="325"/>
      <c r="BA145" s="334"/>
    </row>
    <row r="147" spans="1:53" ht="18" customHeight="1" x14ac:dyDescent="0.15">
      <c r="B147" s="15" t="s">
        <v>1262</v>
      </c>
    </row>
    <row r="148" spans="1:53" ht="9" customHeight="1" x14ac:dyDescent="0.15"/>
    <row r="149" spans="1:53" s="194" customFormat="1" ht="9" customHeight="1" x14ac:dyDescent="0.15">
      <c r="A149" s="192"/>
      <c r="B149" s="193" t="s">
        <v>1213</v>
      </c>
      <c r="C149" s="193"/>
      <c r="D149" s="193"/>
      <c r="E149" s="193"/>
      <c r="F149" s="193"/>
      <c r="G149" s="193" t="s">
        <v>1214</v>
      </c>
      <c r="H149" s="193"/>
      <c r="I149" s="193"/>
      <c r="J149" s="193"/>
      <c r="K149" s="193"/>
      <c r="L149" s="193"/>
      <c r="M149" s="193"/>
      <c r="N149" s="193"/>
      <c r="R149" s="386" t="s">
        <v>1215</v>
      </c>
      <c r="S149" s="386"/>
      <c r="T149" s="386"/>
      <c r="U149" s="386"/>
      <c r="V149" s="386"/>
      <c r="W149" s="386"/>
      <c r="X149" s="195"/>
      <c r="Y149" s="195"/>
      <c r="AA149" s="195"/>
      <c r="AB149" s="195"/>
      <c r="AC149" s="195"/>
      <c r="AD149" s="195"/>
    </row>
    <row r="150" spans="1:53" s="199" customFormat="1" ht="9" customHeight="1" x14ac:dyDescent="0.15">
      <c r="A150" s="196"/>
      <c r="B150" s="197" t="s">
        <v>1217</v>
      </c>
      <c r="C150" s="198"/>
      <c r="D150" s="198"/>
      <c r="E150" s="198"/>
      <c r="F150" s="198"/>
      <c r="G150" s="197" t="s">
        <v>1216</v>
      </c>
      <c r="H150" s="198"/>
      <c r="I150" s="198"/>
      <c r="J150" s="198"/>
      <c r="K150" s="198"/>
      <c r="L150" s="198"/>
      <c r="M150" s="198"/>
      <c r="N150" s="198"/>
      <c r="R150" s="200" t="s">
        <v>1218</v>
      </c>
      <c r="S150" s="201"/>
      <c r="T150" s="202"/>
      <c r="U150" s="202"/>
      <c r="V150" s="202"/>
      <c r="W150" s="200" t="s">
        <v>1219</v>
      </c>
      <c r="X150" s="202"/>
      <c r="Y150" s="202"/>
      <c r="AA150" s="202"/>
      <c r="AB150" s="202"/>
      <c r="AC150" s="202"/>
      <c r="AD150" s="202"/>
    </row>
    <row r="151" spans="1:53" s="185" customFormat="1" ht="12" customHeight="1" x14ac:dyDescent="0.15">
      <c r="A151" s="203" t="s">
        <v>3</v>
      </c>
      <c r="B151" s="204" t="s">
        <v>8</v>
      </c>
      <c r="C151" s="204" t="s">
        <v>9</v>
      </c>
      <c r="D151" s="204" t="s">
        <v>10</v>
      </c>
      <c r="E151" s="205" t="s">
        <v>1193</v>
      </c>
      <c r="F151" s="204"/>
      <c r="G151" s="185" t="s">
        <v>3</v>
      </c>
      <c r="H151" s="387" t="s">
        <v>0</v>
      </c>
      <c r="I151" s="387"/>
      <c r="J151" s="387" t="s">
        <v>1</v>
      </c>
      <c r="K151" s="387"/>
      <c r="L151" s="387" t="s">
        <v>2</v>
      </c>
      <c r="M151" s="387"/>
      <c r="N151" s="388" t="s">
        <v>1193</v>
      </c>
      <c r="O151" s="388"/>
      <c r="P151" s="206"/>
      <c r="Q151" s="206"/>
      <c r="R151" s="207" t="s">
        <v>3</v>
      </c>
      <c r="S151" s="208" t="s">
        <v>135</v>
      </c>
      <c r="T151" s="206" t="s">
        <v>133</v>
      </c>
      <c r="U151" s="204" t="s">
        <v>134</v>
      </c>
      <c r="V151" s="206"/>
      <c r="W151" s="209" t="s">
        <v>26</v>
      </c>
    </row>
    <row r="152" spans="1:53" s="139" customFormat="1" x14ac:dyDescent="0.15">
      <c r="A152" s="145">
        <v>1959</v>
      </c>
      <c r="B152" s="142">
        <f>(K6*($E6/365))+(K7*($E7/365))</f>
        <v>33.333333333333329</v>
      </c>
      <c r="C152" s="142">
        <f>(L6*($E6/365))+(L7*($E7/365))</f>
        <v>66.666666666666657</v>
      </c>
      <c r="D152" s="142">
        <f>(M6*($E6/365))+(M7*($E7/365))</f>
        <v>0</v>
      </c>
      <c r="E152" s="143">
        <f>B152+C152+D152</f>
        <v>99.999999999999986</v>
      </c>
      <c r="G152" s="145">
        <v>1959</v>
      </c>
      <c r="H152" s="396">
        <f xml:space="preserve"> (O6/$R6*100*($E6/365))+(O7/$R7*100*($E7/365))</f>
        <v>16.779661016949156</v>
      </c>
      <c r="I152" s="396"/>
      <c r="J152" s="396">
        <f xml:space="preserve"> (P6/$R6*100*($E6/365))+(P7/$R7*100*($E7/365))</f>
        <v>83.220338983050851</v>
      </c>
      <c r="K152" s="396"/>
      <c r="L152" s="396">
        <f xml:space="preserve"> (Q6/$R6*100*($E6/365))+(Q7/$R7*100*($E7/365))</f>
        <v>0</v>
      </c>
      <c r="M152" s="396"/>
      <c r="N152" s="400">
        <f>H152+J152+K152</f>
        <v>100</v>
      </c>
      <c r="O152" s="400"/>
      <c r="R152" s="145">
        <v>1959</v>
      </c>
      <c r="S152" s="142">
        <f>(O6*($E6/365))+(O7*($E7/365))</f>
        <v>9.9</v>
      </c>
      <c r="T152" s="142">
        <f>(P6*($E6/365))+(P7*($E7/365))</f>
        <v>49.1</v>
      </c>
      <c r="U152" s="142">
        <f>(Q6*($E6/365))+(Q7*($E7/365))</f>
        <v>0</v>
      </c>
      <c r="V152" s="142"/>
      <c r="W152" s="142">
        <f>S152+T152+U152</f>
        <v>59</v>
      </c>
    </row>
    <row r="153" spans="1:53" x14ac:dyDescent="0.15">
      <c r="A153" s="13">
        <v>1960</v>
      </c>
      <c r="B153" s="5">
        <f>(K8*($E8/366))+(K9*($E9/366))</f>
        <v>33.884335154826957</v>
      </c>
      <c r="C153" s="5">
        <f>(L8*($E8/366))+(L9*($E9/366))</f>
        <v>66.115664845173029</v>
      </c>
      <c r="D153" s="5">
        <f>(M8*($E8/366))+(M9*($E9/366))</f>
        <v>0</v>
      </c>
      <c r="E153" s="17">
        <f t="shared" ref="E153:E184" si="60">SUM(B153:D153)</f>
        <v>99.999999999999986</v>
      </c>
      <c r="G153" s="13">
        <v>1960</v>
      </c>
      <c r="H153" s="392">
        <f>(O8/$R8*100*($E8/366))+(O9/$R9*100*($E9/366))</f>
        <v>16.779661016949156</v>
      </c>
      <c r="I153" s="392"/>
      <c r="J153" s="362">
        <f>(P8/$R8*100*($E8/366))+(P9/$R9*100*($E9/366))</f>
        <v>83.220338983050851</v>
      </c>
      <c r="K153" s="362"/>
      <c r="L153" s="362">
        <f>(Q8/$R8*100*($E8/366))+(Q9/$R9*100*($E9/366))</f>
        <v>0</v>
      </c>
      <c r="M153" s="362"/>
      <c r="N153" s="363">
        <f>SUM(H153:L153)</f>
        <v>100</v>
      </c>
      <c r="O153" s="363"/>
      <c r="R153" s="13">
        <v>1960</v>
      </c>
      <c r="S153" s="5">
        <f>(O8*($E8/366))+(O9*($E9/366))</f>
        <v>9.8999999999999986</v>
      </c>
      <c r="T153" s="5">
        <f>(P8*($E8/366))+(P9*($E9/366))</f>
        <v>49.099999999999994</v>
      </c>
      <c r="U153" s="5">
        <f>(Q8*($E8/366))+(Q9*($E9/366))</f>
        <v>0</v>
      </c>
      <c r="V153" s="5"/>
      <c r="W153" s="5">
        <f>R8*(E8/366) + R9*(E9/366)</f>
        <v>59</v>
      </c>
    </row>
    <row r="154" spans="1:53" x14ac:dyDescent="0.15">
      <c r="A154" s="13">
        <v>1961</v>
      </c>
      <c r="B154" s="5">
        <f>(K10*($E10/365))+(K11*($E11/365))</f>
        <v>10.931506849315069</v>
      </c>
      <c r="C154" s="5">
        <f>(L10*($E10/365))+(L11*($E11/365))</f>
        <v>60.752618855761483</v>
      </c>
      <c r="D154" s="5">
        <f>(M10*($E10/365))+(M11*($E11/365))</f>
        <v>28.315874294923443</v>
      </c>
      <c r="E154" s="17">
        <f t="shared" si="60"/>
        <v>100</v>
      </c>
      <c r="G154" s="13">
        <v>1961</v>
      </c>
      <c r="H154" s="392">
        <f>(O10/$R10*100*($E10/365))+(O11/$R11*100*($E11/365))</f>
        <v>5.2407708381704214</v>
      </c>
      <c r="I154" s="392"/>
      <c r="J154" s="362">
        <f>(P10/$R10*100*($E10/365))+(P11/$R11*100*($E11/365))</f>
        <v>62.684104518816838</v>
      </c>
      <c r="K154" s="362"/>
      <c r="L154" s="362">
        <f>(Q10/$R10*100*($E10/365))+(Q11/$R11*100*($E11/365))</f>
        <v>32.075124643012728</v>
      </c>
      <c r="M154" s="362"/>
      <c r="N154" s="363">
        <f>SUM(H154:L154)</f>
        <v>99.999999999999986</v>
      </c>
      <c r="O154" s="363"/>
      <c r="R154" s="13">
        <v>1961</v>
      </c>
      <c r="S154" s="5">
        <f>(O10*($E10/365))+(O11*($E11/365))</f>
        <v>3.0920547945205481</v>
      </c>
      <c r="T154" s="5">
        <f>(P10*($E10/365))+(P11*($E11/365))</f>
        <v>46.48684931506849</v>
      </c>
      <c r="U154" s="5">
        <f>(Q10*($E10/365))+(Q11*($E11/365))</f>
        <v>27.231780821917809</v>
      </c>
      <c r="V154" s="5"/>
      <c r="W154" s="5">
        <f>R10*(E10/365) + R11*(E11/365)</f>
        <v>76.810684931506856</v>
      </c>
    </row>
    <row r="155" spans="1:53" x14ac:dyDescent="0.15">
      <c r="A155" s="13">
        <v>1962</v>
      </c>
      <c r="B155" s="5">
        <f>(K12*($E12/365))+(K13*($E13/365))</f>
        <v>0</v>
      </c>
      <c r="C155" s="5">
        <f>(L12*($E12/365))+(L13*($E13/365))</f>
        <v>58.82352941176471</v>
      </c>
      <c r="D155" s="5">
        <f>(M12*($E12/365))+(M13*($E13/365))</f>
        <v>41.17647058823529</v>
      </c>
      <c r="E155" s="17">
        <f t="shared" si="60"/>
        <v>100</v>
      </c>
      <c r="G155" s="13">
        <v>1962</v>
      </c>
      <c r="H155" s="392">
        <f>(O12/$R12*100*($E12/365))+(O13/$R13*100*($E13/365))</f>
        <v>0</v>
      </c>
      <c r="I155" s="392"/>
      <c r="J155" s="362">
        <f>(P12/$R12*100*($E12/365))+(P13/$R13*100*($E13/365))</f>
        <v>53.356890459363946</v>
      </c>
      <c r="K155" s="362"/>
      <c r="L155" s="362">
        <f>(Q12/$R12*100*($E12/365))+(Q13/$R13*100*($E13/365))</f>
        <v>46.64310954063604</v>
      </c>
      <c r="M155" s="362"/>
      <c r="N155" s="363">
        <f>SUM(H155:L155)</f>
        <v>99.999999999999986</v>
      </c>
      <c r="O155" s="363"/>
      <c r="R155" s="13">
        <v>1962</v>
      </c>
      <c r="S155" s="5">
        <f>(O12*($E12/365))+(O13*($E13/365))</f>
        <v>0</v>
      </c>
      <c r="T155" s="5">
        <f>(P12*($E12/365))+(P13*($E13/365))</f>
        <v>45.3</v>
      </c>
      <c r="U155" s="5">
        <f>(Q12*($E12/365))+(Q13*($E13/365))</f>
        <v>39.6</v>
      </c>
      <c r="V155" s="5"/>
      <c r="W155" s="5">
        <f>R12*(E12/365) + R13*(E13/365)</f>
        <v>84.9</v>
      </c>
    </row>
    <row r="156" spans="1:53" x14ac:dyDescent="0.15">
      <c r="A156" s="13">
        <v>1963</v>
      </c>
      <c r="B156" s="5">
        <f>(K14*($E14/365))+(K15*($E15/365))</f>
        <v>0</v>
      </c>
      <c r="C156" s="5">
        <f>(L14*($E14/365))+(L15*($E15/365))</f>
        <v>58.82352941176471</v>
      </c>
      <c r="D156" s="5">
        <f>(M14*($E14/365))+(M15*($E15/365))</f>
        <v>41.17647058823529</v>
      </c>
      <c r="E156" s="17">
        <f t="shared" si="60"/>
        <v>100</v>
      </c>
      <c r="G156" s="13">
        <v>1963</v>
      </c>
      <c r="H156" s="392">
        <f>(O14/$R14*100*($E14/365))+(O15/$R15*100*($E15/365))</f>
        <v>0</v>
      </c>
      <c r="I156" s="392"/>
      <c r="J156" s="362">
        <f>(P14/$R14*100*($E14/365))+(P15/$R15*100*($E15/365))</f>
        <v>53.356890459363946</v>
      </c>
      <c r="K156" s="362"/>
      <c r="L156" s="362">
        <f>(Q14/$R14*100*($E14/365))+(Q15/$R15*100*($E15/365))</f>
        <v>46.64310954063604</v>
      </c>
      <c r="M156" s="362"/>
      <c r="N156" s="363">
        <f t="shared" ref="N156:N205" si="61">SUM(H156:L156)</f>
        <v>99.999999999999986</v>
      </c>
      <c r="O156" s="363"/>
      <c r="R156" s="13">
        <v>1963</v>
      </c>
      <c r="S156" s="5">
        <f>(O14*($E14/365))+(O15*($E15/365))</f>
        <v>0</v>
      </c>
      <c r="T156" s="5">
        <f>(P14*($E14/365))+(P15*($E15/365))</f>
        <v>45.3</v>
      </c>
      <c r="U156" s="5">
        <f>(Q14*($E14/365))+(Q15*($E15/365))</f>
        <v>39.6</v>
      </c>
      <c r="V156" s="5"/>
      <c r="W156" s="5">
        <f>R14*(E14/365) + R15*(E15/365)</f>
        <v>84.9</v>
      </c>
    </row>
    <row r="157" spans="1:53" x14ac:dyDescent="0.15">
      <c r="A157" s="13">
        <v>1964</v>
      </c>
      <c r="B157" s="5">
        <f>(K16*($E16/366))+(K17*($E17/366))</f>
        <v>0</v>
      </c>
      <c r="C157" s="5">
        <f>(L16*($E16/366))+(L17*($E17/366))</f>
        <v>58.82352941176471</v>
      </c>
      <c r="D157" s="5">
        <f>(M16*($E16/366))+(M17*($E17/366))</f>
        <v>41.17647058823529</v>
      </c>
      <c r="E157" s="17">
        <f t="shared" si="60"/>
        <v>100</v>
      </c>
      <c r="G157" s="13">
        <v>1964</v>
      </c>
      <c r="H157" s="392">
        <f>(O16/$R16*100*($E16/366))+(O17/$R17*100*($E17/366))</f>
        <v>0</v>
      </c>
      <c r="I157" s="392"/>
      <c r="J157" s="362">
        <f>(P16/$R16*100*($E16/366))+(P17/$R17*100*($E17/366))</f>
        <v>53.356890459363946</v>
      </c>
      <c r="K157" s="362"/>
      <c r="L157" s="362">
        <f>(Q16/$R16*100*($E16/366))+(Q17/$R17*100*($E17/366))</f>
        <v>46.64310954063604</v>
      </c>
      <c r="M157" s="362"/>
      <c r="N157" s="363">
        <f t="shared" si="61"/>
        <v>99.999999999999986</v>
      </c>
      <c r="O157" s="363"/>
      <c r="R157" s="13">
        <v>1964</v>
      </c>
      <c r="S157" s="5">
        <f>(O16*($E16/366))+(O17*($E17/366))</f>
        <v>0</v>
      </c>
      <c r="T157" s="5">
        <f>(P16*($E16/366))+(P17*($E17/366))</f>
        <v>45.3</v>
      </c>
      <c r="U157" s="5">
        <f>(Q16*($E16/366))+(Q17*($E17/366))</f>
        <v>39.6</v>
      </c>
      <c r="V157" s="5"/>
      <c r="W157" s="5">
        <f>R16*(E16/366) + R17*(E17/366)</f>
        <v>84.9</v>
      </c>
    </row>
    <row r="158" spans="1:53" x14ac:dyDescent="0.15">
      <c r="A158" s="13">
        <v>1965</v>
      </c>
      <c r="B158" s="5">
        <f>(K18*($E18/365))+(K19*($E19/365))</f>
        <v>0</v>
      </c>
      <c r="C158" s="5">
        <f>(L18*($E18/365))+(L19*($E19/365))</f>
        <v>59.329572925060432</v>
      </c>
      <c r="D158" s="5">
        <f>(M18*($E18/365))+(M19*($E19/365))</f>
        <v>40.670427074939568</v>
      </c>
      <c r="E158" s="17">
        <f t="shared" si="60"/>
        <v>100</v>
      </c>
      <c r="G158" s="13">
        <v>1965</v>
      </c>
      <c r="H158" s="392">
        <f>(O18/$R18*100*($E18/365))+(O19/$R19*100*($E19/365))</f>
        <v>0</v>
      </c>
      <c r="I158" s="392"/>
      <c r="J158" s="362">
        <f>(P18/$R18*100*($E18/365))+(P19/$R19*100*($E19/365))</f>
        <v>53.885776447993493</v>
      </c>
      <c r="K158" s="362"/>
      <c r="L158" s="362">
        <f>(Q18/$R18*100*($E18/365))+(Q19/$R19*100*($E19/365))</f>
        <v>46.1142235520065</v>
      </c>
      <c r="M158" s="362"/>
      <c r="N158" s="363">
        <f t="shared" si="61"/>
        <v>100</v>
      </c>
      <c r="O158" s="363"/>
      <c r="R158" s="13">
        <v>1965</v>
      </c>
      <c r="S158" s="5">
        <f>(O18*($E18/365))+(O19*($E19/365))</f>
        <v>0</v>
      </c>
      <c r="T158" s="5">
        <f>(P18*($E18/365))+(P19*($E19/365))</f>
        <v>41.42876712328767</v>
      </c>
      <c r="U158" s="5">
        <f>(Q18*($E18/365))+(Q19*($E19/365))</f>
        <v>35.556712328767119</v>
      </c>
      <c r="V158" s="5"/>
      <c r="W158" s="5">
        <f>R18*(E18/365) + R19*(E19/365)</f>
        <v>76.985479452054804</v>
      </c>
    </row>
    <row r="159" spans="1:53" x14ac:dyDescent="0.15">
      <c r="A159" s="13">
        <v>1966</v>
      </c>
      <c r="B159" s="5">
        <f>(K20*($E20/365))+(K21*($E21/365))</f>
        <v>28.968997837058396</v>
      </c>
      <c r="C159" s="5">
        <f>(L20*($E20/365))+(L21*($E21/365))</f>
        <v>62.483056957462153</v>
      </c>
      <c r="D159" s="5">
        <f>(M20*($E20/365))+(M21*($E21/365))</f>
        <v>8.5479452054794525</v>
      </c>
      <c r="E159" s="17">
        <f t="shared" si="60"/>
        <v>100</v>
      </c>
      <c r="G159" s="13">
        <v>1966</v>
      </c>
      <c r="H159" s="392">
        <f>(O20/$R20*100*($E20/365))+(O21/$R21*100*($E21/365))</f>
        <v>30.170477010023955</v>
      </c>
      <c r="I159" s="392"/>
      <c r="J159" s="362">
        <f>(P20/$R20*100*($E20/365))+(P21/$R21*100*($E21/365))</f>
        <v>60.124713019845231</v>
      </c>
      <c r="K159" s="362"/>
      <c r="L159" s="362">
        <f>(Q20/$R20*100*($E20/365))+(Q21/$R21*100*($E21/365))</f>
        <v>9.7048099701308068</v>
      </c>
      <c r="M159" s="362"/>
      <c r="N159" s="363">
        <f t="shared" si="61"/>
        <v>100</v>
      </c>
      <c r="O159" s="363"/>
      <c r="R159" s="13">
        <v>1966</v>
      </c>
      <c r="S159" s="5">
        <f>(O20*($E20/365))+(O21*($E21/365))</f>
        <v>17.770410958904112</v>
      </c>
      <c r="T159" s="5">
        <f>(P20*($E20/365))+(P21*($E21/365))</f>
        <v>36.299999999999997</v>
      </c>
      <c r="U159" s="5">
        <f>(Q20*($E20/365))+(Q21*($E21/365))</f>
        <v>6.4536986301369863</v>
      </c>
      <c r="V159" s="5"/>
      <c r="W159" s="5">
        <f>R20*(E20/365) + R21*(E21/365)</f>
        <v>60.524109589041096</v>
      </c>
    </row>
    <row r="160" spans="1:53" x14ac:dyDescent="0.15">
      <c r="A160" s="13">
        <v>1967</v>
      </c>
      <c r="B160" s="5">
        <f>(K22*($E22/365))+(K23*($E23/365))</f>
        <v>36.84210526315789</v>
      </c>
      <c r="C160" s="5">
        <f>(L22*($E22/365))+(L23*($E23/365))</f>
        <v>63.157894736842103</v>
      </c>
      <c r="D160" s="5">
        <f>(M22*($E22/365))+(M23*($E23/365))</f>
        <v>0</v>
      </c>
      <c r="E160" s="17">
        <f t="shared" si="60"/>
        <v>100</v>
      </c>
      <c r="G160" s="13">
        <v>1967</v>
      </c>
      <c r="H160" s="392">
        <f>(O22/$R22*100*($E22/365))+(O23/$R23*100*($E23/365))</f>
        <v>38.370118845500848</v>
      </c>
      <c r="I160" s="392"/>
      <c r="J160" s="362">
        <f>(P22/$R22*100*($E22/365))+(P23/$R23*100*($E23/365))</f>
        <v>61.629881154499145</v>
      </c>
      <c r="K160" s="362"/>
      <c r="L160" s="362">
        <f>(Q22/$R22*100*($E22/365))+(Q23/$R23*100*($E23/365))</f>
        <v>0</v>
      </c>
      <c r="M160" s="362"/>
      <c r="N160" s="363">
        <f t="shared" si="61"/>
        <v>100</v>
      </c>
      <c r="O160" s="363"/>
      <c r="R160" s="13">
        <v>1967</v>
      </c>
      <c r="S160" s="5">
        <f>(O22*($E22/365))+(O23*($E23/365))</f>
        <v>22.6</v>
      </c>
      <c r="T160" s="5">
        <f>(P22*($E22/365))+(P23*($E23/365))</f>
        <v>36.299999999999997</v>
      </c>
      <c r="U160" s="5">
        <f>(Q22*($E22/365))+(Q23*($E23/365))</f>
        <v>0</v>
      </c>
      <c r="V160" s="5"/>
      <c r="W160" s="5">
        <f>R22*(E22/365) + R23*(E23/365)</f>
        <v>58.9</v>
      </c>
    </row>
    <row r="161" spans="1:23" x14ac:dyDescent="0.15">
      <c r="A161" s="13">
        <v>1968</v>
      </c>
      <c r="B161" s="5">
        <f>(K24*($E24/366))+(K25*($E25/366))</f>
        <v>17.011791774518262</v>
      </c>
      <c r="C161" s="5">
        <f>(L24*($E24/366))+(L25*($E25/366))</f>
        <v>61.059448865028386</v>
      </c>
      <c r="D161" s="5">
        <f>(M24*($E24/366))+(M25*($E25/366))</f>
        <v>21.928759360453352</v>
      </c>
      <c r="E161" s="17">
        <f t="shared" si="60"/>
        <v>100</v>
      </c>
      <c r="G161" s="13">
        <v>1968</v>
      </c>
      <c r="H161" s="392">
        <f>(O24/$R24*100*($E24/366))+(O25/$R25*100*($E25/366))</f>
        <v>17.717349958714873</v>
      </c>
      <c r="I161" s="392"/>
      <c r="J161" s="362">
        <f>(P24/$R24*100*($E24/366))+(P25/$R25*100*($E25/366))</f>
        <v>57.508828885420769</v>
      </c>
      <c r="K161" s="362"/>
      <c r="L161" s="362">
        <f>(Q24/$R24*100*($E24/366))+(Q25/$R25*100*($E25/366))</f>
        <v>24.773821155864368</v>
      </c>
      <c r="M161" s="362"/>
      <c r="N161" s="363">
        <f t="shared" si="61"/>
        <v>100.00000000000001</v>
      </c>
      <c r="O161" s="363"/>
      <c r="R161" s="13">
        <v>1968</v>
      </c>
      <c r="S161" s="5">
        <f>(O24*($E24/366))+(O25*($E25/366))</f>
        <v>10.435519125683062</v>
      </c>
      <c r="T161" s="5">
        <f>(P24*($E24/366))+(P25*($E25/366))</f>
        <v>34.308469945355199</v>
      </c>
      <c r="U161" s="5">
        <f>(Q24*($E24/366))+(Q25*($E25/366))</f>
        <v>14.963387978142078</v>
      </c>
      <c r="V161" s="5"/>
      <c r="W161" s="5">
        <f>R24*(E24/366) + R25*(E25/366)</f>
        <v>59.70737704918033</v>
      </c>
    </row>
    <row r="162" spans="1:23" x14ac:dyDescent="0.15">
      <c r="A162" s="13">
        <v>1969</v>
      </c>
      <c r="B162" s="5">
        <f>(K26*($E26/365))+(K27*($E27/365))</f>
        <v>0</v>
      </c>
      <c r="C162" s="5">
        <f>(L26*($E26/365))+(L27*($E27/365))</f>
        <v>59.259259259259252</v>
      </c>
      <c r="D162" s="5">
        <f>(M26*($E26/365))+(M27*($E27/365))</f>
        <v>40.74074074074074</v>
      </c>
      <c r="E162" s="17">
        <f t="shared" si="60"/>
        <v>100</v>
      </c>
      <c r="G162" s="13">
        <v>1969</v>
      </c>
      <c r="H162" s="392">
        <f>(O26/$R26*100*($E26/365))+(O27/$R27*100*($E27/365))</f>
        <v>0</v>
      </c>
      <c r="I162" s="392"/>
      <c r="J162" s="362">
        <f>(P26/$R26*100*($E26/365))+(P27/$R27*100*($E27/365))</f>
        <v>53.973509933774835</v>
      </c>
      <c r="K162" s="362"/>
      <c r="L162" s="362">
        <f>(Q26/$R26*100*($E26/365))+(Q27/$R27*100*($E27/365))</f>
        <v>46.026490066225165</v>
      </c>
      <c r="M162" s="362"/>
      <c r="N162" s="363">
        <f t="shared" si="61"/>
        <v>100</v>
      </c>
      <c r="O162" s="363"/>
      <c r="R162" s="13">
        <v>1969</v>
      </c>
      <c r="S162" s="5">
        <f>(O26*($E26/365))+(O27*($E27/365))</f>
        <v>0</v>
      </c>
      <c r="T162" s="5">
        <f>(P26*($E26/365))+(P27*($E27/365))</f>
        <v>32.6</v>
      </c>
      <c r="U162" s="5">
        <f>(Q26*($E26/365))+(Q27*($E27/365))</f>
        <v>27.8</v>
      </c>
      <c r="V162" s="5"/>
      <c r="W162" s="5">
        <f>R26*(E26/365) + R27*(E27/365)</f>
        <v>60.400000000000006</v>
      </c>
    </row>
    <row r="163" spans="1:23" x14ac:dyDescent="0.15">
      <c r="A163" s="13">
        <v>1970</v>
      </c>
      <c r="B163" s="5">
        <f>(K28*($E28/365))+(K29*($E29/365))</f>
        <v>0</v>
      </c>
      <c r="C163" s="5">
        <f>(L28*($E28/365))+(L29*($E29/365))</f>
        <v>59.259259259259252</v>
      </c>
      <c r="D163" s="5">
        <f>(M28*($E28/365))+(M29*($E29/365))</f>
        <v>40.74074074074074</v>
      </c>
      <c r="E163" s="17">
        <f t="shared" si="60"/>
        <v>100</v>
      </c>
      <c r="G163" s="13">
        <v>1970</v>
      </c>
      <c r="H163" s="392">
        <f>(O28/$R28*100*($E28/365))+(O29/$R29*100*($E29/365))</f>
        <v>0</v>
      </c>
      <c r="I163" s="392"/>
      <c r="J163" s="362">
        <f>(P28/$R28*100*($E28/365))+(P29/$R29*100*($E29/365))</f>
        <v>53.973509933774835</v>
      </c>
      <c r="K163" s="362"/>
      <c r="L163" s="362">
        <f>(Q28/$R28*100*($E28/365))+(Q29/$R29*100*($E29/365))</f>
        <v>46.026490066225165</v>
      </c>
      <c r="M163" s="362"/>
      <c r="N163" s="363">
        <f t="shared" si="61"/>
        <v>100</v>
      </c>
      <c r="O163" s="363"/>
      <c r="R163" s="13">
        <v>1970</v>
      </c>
      <c r="S163" s="5">
        <f>(O28*($E28/365))+(O29*($E29/365))</f>
        <v>0</v>
      </c>
      <c r="T163" s="5">
        <f>(P28*($E28/365))+(P29*($E29/365))</f>
        <v>32.6</v>
      </c>
      <c r="U163" s="5">
        <f>(Q28*($E28/365))+(Q29*($E29/365))</f>
        <v>27.8</v>
      </c>
      <c r="V163" s="5"/>
      <c r="W163" s="5">
        <f>R28*(E28/365) + R29*(E29/365)</f>
        <v>60.400000000000006</v>
      </c>
    </row>
    <row r="164" spans="1:23" x14ac:dyDescent="0.15">
      <c r="A164" s="13">
        <v>1971</v>
      </c>
      <c r="B164" s="5">
        <f>(K30*($E30/365))+(K31*($E31/365))</f>
        <v>0</v>
      </c>
      <c r="C164" s="5">
        <f>(L30*($E30/365))+(L31*($E31/365))</f>
        <v>59.259259259259252</v>
      </c>
      <c r="D164" s="5">
        <f>(M30*($E30/365))+(M31*($E31/365))</f>
        <v>40.74074074074074</v>
      </c>
      <c r="E164" s="17">
        <f t="shared" si="60"/>
        <v>100</v>
      </c>
      <c r="G164" s="13">
        <v>1971</v>
      </c>
      <c r="H164" s="392">
        <f>(O30/$R30*100*($E30/365))+(O31/$R31*100*($E31/365))</f>
        <v>0</v>
      </c>
      <c r="I164" s="392"/>
      <c r="J164" s="362">
        <f>(P30/$R30*100*($E30/365))+(P31/$R31*100*($E31/365))</f>
        <v>53.973509933774835</v>
      </c>
      <c r="K164" s="362"/>
      <c r="L164" s="362">
        <f>(Q30/$R30*100*($E30/365))+(Q31/$R31*100*($E31/365))</f>
        <v>46.026490066225165</v>
      </c>
      <c r="M164" s="362"/>
      <c r="N164" s="363">
        <f t="shared" si="61"/>
        <v>100</v>
      </c>
      <c r="O164" s="363"/>
      <c r="R164" s="13">
        <v>1971</v>
      </c>
      <c r="S164" s="5">
        <f>(O30*($E30/365))+(O31*($E31/365))</f>
        <v>0</v>
      </c>
      <c r="T164" s="5">
        <f>(P30*($E30/365))+(P31*($E31/365))</f>
        <v>32.6</v>
      </c>
      <c r="U164" s="5">
        <f>(Q30*($E30/365))+(Q31*($E31/365))</f>
        <v>27.8</v>
      </c>
      <c r="V164" s="5"/>
      <c r="W164" s="5">
        <f>R30*(E30/365) + R31*(E31/365)</f>
        <v>60.400000000000006</v>
      </c>
    </row>
    <row r="165" spans="1:23" x14ac:dyDescent="0.15">
      <c r="A165" s="13">
        <v>1972</v>
      </c>
      <c r="B165" s="5">
        <f>(K32*($E32/366))+(K33*($E33/366))</f>
        <v>0</v>
      </c>
      <c r="C165" s="5">
        <f>(L32*($E32/366))+(L33*($E33/366))</f>
        <v>52.993747270422567</v>
      </c>
      <c r="D165" s="5">
        <f>(M32*($E32/366))+(M33*($E33/366))</f>
        <v>47.006252729577433</v>
      </c>
      <c r="E165" s="17">
        <f t="shared" si="60"/>
        <v>100</v>
      </c>
      <c r="G165" s="13">
        <v>1972</v>
      </c>
      <c r="H165" s="392">
        <f>(O32/$R32*100*($E32/366))+(O33/$R33*100*($E33/366))</f>
        <v>0</v>
      </c>
      <c r="I165" s="392"/>
      <c r="J165" s="362">
        <f>(P32/$R32*100*($E32/366))+(P33/$R33*100*($E33/366))</f>
        <v>53.973509933774835</v>
      </c>
      <c r="K165" s="362"/>
      <c r="L165" s="362">
        <f>(Q32/$R32*100*($E32/366))+(Q33/$R33*100*($E33/366))</f>
        <v>46.026490066225165</v>
      </c>
      <c r="M165" s="362"/>
      <c r="N165" s="363">
        <f t="shared" si="61"/>
        <v>100</v>
      </c>
      <c r="O165" s="363"/>
      <c r="R165" s="13">
        <v>1972</v>
      </c>
      <c r="S165" s="5">
        <f>(O32*($E32/366))+(O33*($E33/366))</f>
        <v>0</v>
      </c>
      <c r="T165" s="5">
        <f>(P32*($E32/366))+(P33*($E33/366))</f>
        <v>32.6</v>
      </c>
      <c r="U165" s="5">
        <f>(Q32*($E32/366))+(Q33*($E33/366))</f>
        <v>27.800000000000004</v>
      </c>
      <c r="V165" s="5"/>
      <c r="W165" s="5">
        <f>R32*(E32/366) + R33*(E33/366)</f>
        <v>60.400000000000006</v>
      </c>
    </row>
    <row r="166" spans="1:23" x14ac:dyDescent="0.15">
      <c r="A166" s="13">
        <v>1973</v>
      </c>
      <c r="B166" s="5">
        <f>(K34*($E34/365))+(K35*($E35/365))</f>
        <v>16.936488169364882</v>
      </c>
      <c r="C166" s="5">
        <f>(L34*($E34/365))+(L35*($E35/365))</f>
        <v>41.712001048698959</v>
      </c>
      <c r="D166" s="5">
        <f>(M34*($E34/365))+(M35*($E35/365))</f>
        <v>41.351510781936156</v>
      </c>
      <c r="E166" s="17">
        <f t="shared" si="60"/>
        <v>100</v>
      </c>
      <c r="G166" s="13">
        <v>1973</v>
      </c>
      <c r="H166" s="392">
        <f>(O34/$R34*100*($E34/365))+(O35/$R35*100*($E35/365))</f>
        <v>12.544648113985163</v>
      </c>
      <c r="I166" s="392"/>
      <c r="J166" s="362">
        <f>(P34/$R34*100*($E34/365))+(P35/$R35*100*($E35/365))</f>
        <v>45.868186004413282</v>
      </c>
      <c r="K166" s="362"/>
      <c r="L166" s="362">
        <f>(Q34/$R34*100*($E34/365))+(Q35/$R35*100*($E35/365))</f>
        <v>41.587165881601564</v>
      </c>
      <c r="M166" s="362"/>
      <c r="N166" s="363">
        <f t="shared" si="61"/>
        <v>100</v>
      </c>
      <c r="O166" s="363"/>
      <c r="R166" s="13">
        <v>1973</v>
      </c>
      <c r="S166" s="5">
        <f>(O34*($E34/365))+(O35*($E35/365))</f>
        <v>8.7561643835616429</v>
      </c>
      <c r="T166" s="5">
        <f>(P34*($E34/365))+(P35*($E35/365))</f>
        <v>31.668493150684931</v>
      </c>
      <c r="U166" s="5">
        <f>(Q34*($E34/365))+(Q35*($E35/365))</f>
        <v>28.731506849315068</v>
      </c>
      <c r="V166" s="5"/>
      <c r="W166" s="5">
        <f>R34*(E34/365) + R35*(E35/365)</f>
        <v>69.156164383561631</v>
      </c>
    </row>
    <row r="167" spans="1:23" x14ac:dyDescent="0.15">
      <c r="A167" s="13">
        <v>1974</v>
      </c>
      <c r="B167" s="5">
        <f>(K36*($E36/365))+(K37*($E37/365))+(K38*($E38/365))</f>
        <v>25.721963688798585</v>
      </c>
      <c r="C167" s="5">
        <f>(L36*($E36/365))+(L37*($E37/365))+(L38*($E38/365))</f>
        <v>61.500950383430563</v>
      </c>
      <c r="D167" s="5">
        <f>(M36*($E36/365))+(M37*($E37/365))+(M38*($E38/365))</f>
        <v>12.777085927770861</v>
      </c>
      <c r="E167" s="17">
        <f t="shared" si="60"/>
        <v>100</v>
      </c>
      <c r="G167" s="13">
        <v>1974</v>
      </c>
      <c r="H167" s="392">
        <f>(O36/$R36*100*($E36/365))+(O37/$R37*100*($E37/365))+(O38/$R38*100*($E38/365))</f>
        <v>15.034061254051272</v>
      </c>
      <c r="I167" s="392"/>
      <c r="J167" s="362">
        <f>(P36/$R36*100*($E36/365))+(P37/$R37*100*($E37/365))+(P38/$R38*100*($E38/365))</f>
        <v>72.079021133984995</v>
      </c>
      <c r="K167" s="362"/>
      <c r="L167" s="362">
        <f>(Q36/$R36*100*($E36/365))+(Q37/$R37*100*($E37/365))+(Q38/$R38*100*($E38/365))</f>
        <v>12.886917611963733</v>
      </c>
      <c r="M167" s="362"/>
      <c r="N167" s="363">
        <f t="shared" si="61"/>
        <v>100</v>
      </c>
      <c r="O167" s="363"/>
      <c r="R167" s="13">
        <v>1974</v>
      </c>
      <c r="S167" s="5">
        <f>(O36*($E36/365))+(O37*($E37/365))+(O38*($E38/365))</f>
        <v>9.2624657534246566</v>
      </c>
      <c r="T167" s="5">
        <f>(P36*($E36/365))+(P37*($E37/365))+(P38*($E38/365))</f>
        <v>43.794794520547946</v>
      </c>
      <c r="U167" s="5">
        <f>(Q36*($E36/365))+(Q37*($E37/365))+(Q38*($E38/365))</f>
        <v>8.9950684931506846</v>
      </c>
      <c r="V167" s="5"/>
      <c r="W167" s="5">
        <f>R36*(E36/365) + R37*(E37/365)+R38*(E38/365)</f>
        <v>62.052328767123292</v>
      </c>
    </row>
    <row r="168" spans="1:23" x14ac:dyDescent="0.15">
      <c r="A168" s="13">
        <v>1975</v>
      </c>
      <c r="B168" s="5">
        <f>(K39*($E39/365))+(K40*($E40/365))</f>
        <v>28.571428571428569</v>
      </c>
      <c r="C168" s="5">
        <f>(L39*($E39/365))+(L40*($E40/365))</f>
        <v>71.428571428571431</v>
      </c>
      <c r="D168" s="5">
        <f>(M39*($E39/365))+(M40*($E40/365))</f>
        <v>0</v>
      </c>
      <c r="E168" s="17">
        <f t="shared" si="60"/>
        <v>100</v>
      </c>
      <c r="G168" s="13">
        <v>1975</v>
      </c>
      <c r="H168" s="392">
        <f>(O39/$R39*100*($E39/365))+(O40/$R40*100*($E40/365))</f>
        <v>15.410385259631489</v>
      </c>
      <c r="I168" s="392"/>
      <c r="J168" s="362">
        <f>(P39/$R39*100*($E39/365))+(P40/$R40*100*($E40/365))</f>
        <v>84.589614740368503</v>
      </c>
      <c r="K168" s="362"/>
      <c r="L168" s="362">
        <f>(Q39/$R39*100*($E39/365))+(Q40/$R40*100*($E40/365))</f>
        <v>0</v>
      </c>
      <c r="M168" s="362"/>
      <c r="N168" s="363">
        <f t="shared" si="61"/>
        <v>100</v>
      </c>
      <c r="O168" s="363"/>
      <c r="R168" s="13">
        <v>1975</v>
      </c>
      <c r="S168" s="5">
        <f>(O39*($E39/365))+(O40*($E40/365))</f>
        <v>9.1999999999999993</v>
      </c>
      <c r="T168" s="5">
        <f>(P39*($E39/365))+(P40*($E40/365))</f>
        <v>50.5</v>
      </c>
      <c r="U168" s="5">
        <f>(Q39*($E39/365))+(Q40*($E40/365))</f>
        <v>0</v>
      </c>
      <c r="V168" s="5"/>
      <c r="W168" s="5">
        <f>R39*(E39/365) + R40*(E40/365)</f>
        <v>59.7</v>
      </c>
    </row>
    <row r="169" spans="1:23" x14ac:dyDescent="0.15">
      <c r="A169" s="13">
        <v>1976</v>
      </c>
      <c r="B169" s="5">
        <f>(K41*($E41/366))+(K42*($E42/366))</f>
        <v>28.786885245901637</v>
      </c>
      <c r="C169" s="5">
        <f>(L41*($E41/366))+(L42*($E42/366))</f>
        <v>71.213114754098356</v>
      </c>
      <c r="D169" s="5">
        <f>(M41*($E41/366))+(M42*($E42/366))</f>
        <v>0</v>
      </c>
      <c r="E169" s="17">
        <f t="shared" si="60"/>
        <v>100</v>
      </c>
      <c r="G169" s="13">
        <v>1976</v>
      </c>
      <c r="H169" s="392">
        <f>(O41/$R41*100*($E41/366))+(O42/$R42*100*($E42/366))</f>
        <v>15.410385259631489</v>
      </c>
      <c r="I169" s="392"/>
      <c r="J169" s="362">
        <f>(P41/$R41*100*($E41/366))+(P42/$R42*100*($E42/366))</f>
        <v>84.589614740368518</v>
      </c>
      <c r="K169" s="362"/>
      <c r="L169" s="362">
        <f>(Q41/$R41*100*($E41/366))+(Q42/$R42*100*($E42/366))</f>
        <v>0</v>
      </c>
      <c r="M169" s="362"/>
      <c r="N169" s="363">
        <f t="shared" si="61"/>
        <v>100</v>
      </c>
      <c r="O169" s="363"/>
      <c r="R169" s="13">
        <v>1976</v>
      </c>
      <c r="S169" s="5">
        <f>(O41*($E41/366))+(O42*($E42/366))</f>
        <v>9.2000000000000011</v>
      </c>
      <c r="T169" s="5">
        <f>(P41*($E41/366))+(P42*($E42/366))</f>
        <v>50.500000000000007</v>
      </c>
      <c r="U169" s="5">
        <f>(Q41*($E41/366))+(Q42*($E42/366))</f>
        <v>0</v>
      </c>
      <c r="V169" s="5"/>
      <c r="W169" s="5">
        <f>R41*(E41/366) + R42*(E42/366)</f>
        <v>59.7</v>
      </c>
    </row>
    <row r="170" spans="1:23" x14ac:dyDescent="0.15">
      <c r="A170" s="13">
        <v>1977</v>
      </c>
      <c r="B170" s="5">
        <f>(K43*($E43/365))+(K44*($E44/365))</f>
        <v>13.413698630136986</v>
      </c>
      <c r="C170" s="5">
        <f>(L43*($E43/365))+(L44*($E44/365))</f>
        <v>63.85848719475878</v>
      </c>
      <c r="D170" s="5">
        <f>(M43*($E43/365))+(M44*($E44/365))</f>
        <v>22.727814175104225</v>
      </c>
      <c r="E170" s="17">
        <f t="shared" si="60"/>
        <v>100</v>
      </c>
      <c r="G170" s="13">
        <v>1977</v>
      </c>
      <c r="H170" s="392">
        <f>(O43/$R43*100*($E43/365))+(O44/$R44*100*($E44/365))</f>
        <v>6.4596957389688159</v>
      </c>
      <c r="I170" s="392"/>
      <c r="J170" s="362">
        <f>(P43/$R43*100*($E43/365))+(P44/$R44*100*($E44/365))</f>
        <v>72.602032656092916</v>
      </c>
      <c r="K170" s="362"/>
      <c r="L170" s="362">
        <f>(Q43/$R43*100*($E43/365))+(Q44/$R44*100*($E44/365))</f>
        <v>20.938271604938269</v>
      </c>
      <c r="M170" s="362"/>
      <c r="N170" s="363">
        <f t="shared" si="61"/>
        <v>100</v>
      </c>
      <c r="O170" s="363"/>
      <c r="R170" s="13">
        <v>1977</v>
      </c>
      <c r="S170" s="5">
        <f>(O43*($E43/365))+(O44*($E44/365))</f>
        <v>3.8564383561643831</v>
      </c>
      <c r="T170" s="5">
        <f>(P43*($E43/365))+(P44*($E44/365))</f>
        <v>51.255068493150681</v>
      </c>
      <c r="U170" s="5">
        <f>(Q43*($E43/365))+(Q44*($E44/365))</f>
        <v>16.959999999999997</v>
      </c>
      <c r="V170" s="5"/>
      <c r="W170" s="5">
        <f>R43*(E43/365) + R44*(E44/365)</f>
        <v>72.071506849315071</v>
      </c>
    </row>
    <row r="171" spans="1:23" x14ac:dyDescent="0.15">
      <c r="A171" s="13">
        <v>1978</v>
      </c>
      <c r="B171" s="5">
        <f>(K45*($E45/365))+(K46*($E46/365))</f>
        <v>0</v>
      </c>
      <c r="C171" s="5">
        <f>(L45*($E45/365))+(L46*($E46/365))</f>
        <v>60.513833992094874</v>
      </c>
      <c r="D171" s="5">
        <f>(M45*($E45/365))+(M46*($E46/365))</f>
        <v>39.48616600790514</v>
      </c>
      <c r="E171" s="17">
        <f t="shared" si="60"/>
        <v>100.00000000000001</v>
      </c>
      <c r="G171" s="13">
        <v>1978</v>
      </c>
      <c r="H171" s="392">
        <f>(O45/$R45*100*($E45/365))+(O46/$R46*100*($E46/365))</f>
        <v>0</v>
      </c>
      <c r="I171" s="392"/>
      <c r="J171" s="362">
        <f>(P45/$R45*100*($E45/365))+(P46/$R46*100*($E46/365))</f>
        <v>63.950617283950628</v>
      </c>
      <c r="K171" s="362"/>
      <c r="L171" s="362">
        <f>(Q45/$R45*100*($E45/365))+(Q46/$R46*100*($E46/365))</f>
        <v>36.049382716049379</v>
      </c>
      <c r="M171" s="362"/>
      <c r="N171" s="363">
        <f t="shared" si="61"/>
        <v>100</v>
      </c>
      <c r="O171" s="363"/>
      <c r="R171" s="13">
        <v>1978</v>
      </c>
      <c r="S171" s="5">
        <f>(O45*($E45/365))+(O46*($E46/365))</f>
        <v>0</v>
      </c>
      <c r="T171" s="5">
        <f>(P45*($E45/365))+(P46*($E46/365))</f>
        <v>51.8</v>
      </c>
      <c r="U171" s="5">
        <f>(Q45*($E45/365))+(Q46*($E46/365))</f>
        <v>29.2</v>
      </c>
      <c r="V171" s="5"/>
      <c r="W171" s="5">
        <f>R45*(E45/365) + R46*(E46/365)</f>
        <v>81</v>
      </c>
    </row>
    <row r="172" spans="1:23" x14ac:dyDescent="0.15">
      <c r="A172" s="13">
        <v>1979</v>
      </c>
      <c r="B172" s="5">
        <f>(K47*($E47/365))+(K48*($E48/365))</f>
        <v>0</v>
      </c>
      <c r="C172" s="5">
        <f>(L47*($E47/365))+(L48*($E48/365))</f>
        <v>59.770859277708595</v>
      </c>
      <c r="D172" s="5">
        <f>(M47*($E47/365))+(M48*($E48/365))</f>
        <v>40.229140722291412</v>
      </c>
      <c r="E172" s="17">
        <f t="shared" si="60"/>
        <v>100</v>
      </c>
      <c r="G172" s="13">
        <v>1979</v>
      </c>
      <c r="H172" s="392">
        <f>(O47/$R47*100*($E47/365))+(O48/$R48*100*($E48/365))</f>
        <v>0</v>
      </c>
      <c r="I172" s="392"/>
      <c r="J172" s="362">
        <f>(P47/$R47*100*($E47/365))+(P48/$R48*100*($E48/365))</f>
        <v>62.170664917128185</v>
      </c>
      <c r="K172" s="362"/>
      <c r="L172" s="362">
        <f>(Q47/$R47*100*($E47/365))+(Q48/$R48*100*($E48/365))</f>
        <v>37.829335082871815</v>
      </c>
      <c r="M172" s="362"/>
      <c r="N172" s="363">
        <f t="shared" si="61"/>
        <v>100</v>
      </c>
      <c r="O172" s="363"/>
      <c r="R172" s="13">
        <v>1979</v>
      </c>
      <c r="S172" s="5">
        <f>(O47*($E47/365))+(O48*($E48/365))</f>
        <v>0</v>
      </c>
      <c r="T172" s="5">
        <f>(P47*($E47/365))+(P48*($E48/365))</f>
        <v>45.89123287671233</v>
      </c>
      <c r="U172" s="5">
        <f>(Q47*($E47/365))+(Q48*($E48/365))</f>
        <v>27.853698630136986</v>
      </c>
      <c r="V172" s="5"/>
      <c r="W172" s="5">
        <f>R47*(E47/365) + R48*(E48/365)</f>
        <v>73.744931506849326</v>
      </c>
    </row>
    <row r="173" spans="1:23" x14ac:dyDescent="0.15">
      <c r="A173" s="13">
        <v>1980</v>
      </c>
      <c r="B173" s="5">
        <f>(K49*($E49/366))+(K50*($E50/366))+(K51*($E51/366))+(K52*($E52/366))</f>
        <v>7.9437360858125885</v>
      </c>
      <c r="C173" s="5">
        <f>(L49*($E49/366))+(L50*($E50/366))+(L51*($E51/366))+(L52*($E52/366))</f>
        <v>48.605950212507594</v>
      </c>
      <c r="D173" s="5">
        <f>(M49*($E49/366))+(M50*($E50/366))+(M51*($E51/366))+(M52*($E52/366))</f>
        <v>43.450313701679818</v>
      </c>
      <c r="E173" s="17">
        <f t="shared" si="60"/>
        <v>100</v>
      </c>
      <c r="G173" s="13">
        <v>1980</v>
      </c>
      <c r="H173" s="392">
        <f>(O49/$R49*100*($E49/366))+(O50/$R50*100*($E50/366))+(O51/$R51*100*($E51/366))+(O52/$R52*100*($E52/366))</f>
        <v>5.8316368441730067</v>
      </c>
      <c r="I173" s="392"/>
      <c r="J173" s="362">
        <f>(P49/$R49*100*($E49/366))+(P50/$R50*100*($E50/366))+(P51/$R51*100*($E51/366))+(P52/$R52*100*($E52/366))</f>
        <v>55.315089190370955</v>
      </c>
      <c r="K173" s="362"/>
      <c r="L173" s="362">
        <f>(Q49/$R49*100*($E49/366))+(Q50/$R50*100*($E50/366))+(Q51/$R51*100*($E51/366))+(Q52/$R52*100*($E52/366))</f>
        <v>38.853273965456047</v>
      </c>
      <c r="M173" s="362"/>
      <c r="N173" s="363">
        <f t="shared" si="61"/>
        <v>100</v>
      </c>
      <c r="O173" s="363"/>
      <c r="R173" s="13">
        <v>1980</v>
      </c>
      <c r="S173" s="5">
        <f>(O49*($E49/366))+(O50*($E50/366))+(O51*($E51/366))+(O52*($E52/366))</f>
        <v>4.4612021857923496</v>
      </c>
      <c r="T173" s="5">
        <f>(P49*($E49/366))+(P50*($E50/366))+(P51*($E51/366))+(P52*($E52/366))</f>
        <v>39.012568306010934</v>
      </c>
      <c r="U173" s="5">
        <f>(Q49*($E49/366))+(Q50*($E50/366))+(Q51*($E51/366))+(Q52*($E52/366))</f>
        <v>27.4</v>
      </c>
      <c r="V173" s="5"/>
      <c r="W173" s="5">
        <f>R49*(E49/366) + R50*(E50/366) + R51*(E51/366) + R52*(E52/366)</f>
        <v>70.87377049180327</v>
      </c>
    </row>
    <row r="174" spans="1:23" x14ac:dyDescent="0.15">
      <c r="A174" s="13">
        <v>1981</v>
      </c>
      <c r="B174" s="5">
        <f>(K53*($E53/365))+(K54*($E54/365))+(K55*($E55/365))</f>
        <v>2.054794520547945</v>
      </c>
      <c r="C174" s="5">
        <f>(L53*($E53/365))+(L54*($E54/365))+(L55*($E55/365))</f>
        <v>51.917808219178077</v>
      </c>
      <c r="D174" s="5">
        <f>(M53*($E53/365))+(M54*($E54/365))+(M55*($E55/365))</f>
        <v>46.027397260273972</v>
      </c>
      <c r="E174" s="17">
        <f t="shared" si="60"/>
        <v>100</v>
      </c>
      <c r="G174" s="13">
        <v>1981</v>
      </c>
      <c r="H174" s="392">
        <f>(O53/$R53*100*($E53/365))+(O54/$R54*100*($E54/365))+(O55/$R55*100*($E55/365))</f>
        <v>1.889023105194171</v>
      </c>
      <c r="I174" s="392"/>
      <c r="J174" s="362">
        <f>(P53/$R53*100*($E53/365))+(P54/$R54*100*($E54/365))+(P55/$R55*100*($E55/365))</f>
        <v>58.362152987484009</v>
      </c>
      <c r="K174" s="362"/>
      <c r="L174" s="362">
        <f>(Q53/$R53*100*($E53/365))+(Q54/$R54*100*($E54/365))+(Q55/$R55*100*($E55/365))</f>
        <v>39.748823907321821</v>
      </c>
      <c r="M174" s="362"/>
      <c r="N174" s="363">
        <f t="shared" si="61"/>
        <v>100</v>
      </c>
      <c r="O174" s="363"/>
      <c r="R174" s="13">
        <v>1981</v>
      </c>
      <c r="S174" s="5">
        <f>(O53*($E53/365))+(O54*($E54/365))+(O55*($E55/365))</f>
        <v>1.0068493150684932</v>
      </c>
      <c r="T174" s="5">
        <f>(P53*($E53/365))+(P54*($E54/365))+(P55*($E55/365))</f>
        <v>38.293150684931511</v>
      </c>
      <c r="U174" s="5">
        <f>(Q53*($E53/365))+(Q54*($E54/365))+(Q55*($E55/365))</f>
        <v>26.273972602739725</v>
      </c>
      <c r="V174" s="5"/>
      <c r="W174" s="5">
        <f>R53*(E53/365) + R54*(E54/365) + R55*(E55/365)</f>
        <v>65.573972602739715</v>
      </c>
    </row>
    <row r="175" spans="1:23" x14ac:dyDescent="0.15">
      <c r="A175" s="13">
        <v>1982</v>
      </c>
      <c r="B175" s="5">
        <f>(K56*($E56/365))+(K57*($E57/365))</f>
        <v>50</v>
      </c>
      <c r="C175" s="5">
        <f>(L56*($E56/365))+(L57*($E57/365))</f>
        <v>50</v>
      </c>
      <c r="D175" s="5">
        <f>(M56*($E56/365))+(M57*($E57/365))</f>
        <v>0</v>
      </c>
      <c r="E175" s="17">
        <f t="shared" si="60"/>
        <v>100</v>
      </c>
      <c r="G175" s="13">
        <v>1982</v>
      </c>
      <c r="H175" s="392">
        <f>(O56/$R56*100*($E56/365))+(O57/$R57*100*($E57/365))</f>
        <v>45.966228893058165</v>
      </c>
      <c r="I175" s="392"/>
      <c r="J175" s="362">
        <f>(P56/$R56*100*($E56/365))+(P57/$R57*100*($E57/365))</f>
        <v>54.033771106941842</v>
      </c>
      <c r="K175" s="362"/>
      <c r="L175" s="362">
        <f>(Q56/$R56*100*($E56/365))+(Q57/$R57*100*($E57/365))</f>
        <v>0</v>
      </c>
      <c r="M175" s="362"/>
      <c r="N175" s="363">
        <f t="shared" si="61"/>
        <v>100</v>
      </c>
      <c r="O175" s="363"/>
      <c r="R175" s="13">
        <v>1982</v>
      </c>
      <c r="S175" s="5">
        <f>(O56*($E56/365))+(O57*($E57/365))</f>
        <v>24.5</v>
      </c>
      <c r="T175" s="5">
        <f>(P56*($E56/365))+(P57*($E57/365))</f>
        <v>28.8</v>
      </c>
      <c r="U175" s="5">
        <f>(Q56*($E56/365))+(Q57*($E57/365))</f>
        <v>0</v>
      </c>
      <c r="V175" s="5"/>
      <c r="W175" s="5">
        <f>R56*(E56/365) + R57*(E57/365)</f>
        <v>53.3</v>
      </c>
    </row>
    <row r="176" spans="1:23" x14ac:dyDescent="0.15">
      <c r="A176" s="13">
        <v>1983</v>
      </c>
      <c r="B176" s="5">
        <f>(K58*($E58/365))+(K59*($E59/365))</f>
        <v>50</v>
      </c>
      <c r="C176" s="5">
        <f>(L58*($E58/365))+(L59*($E59/365))</f>
        <v>50</v>
      </c>
      <c r="D176" s="5">
        <f>(M58*($E58/365))+(M59*($E59/365))</f>
        <v>0</v>
      </c>
      <c r="E176" s="17">
        <f t="shared" si="60"/>
        <v>100</v>
      </c>
      <c r="G176" s="13">
        <v>1983</v>
      </c>
      <c r="H176" s="392">
        <f>(O58/$R58*100*($E58/365))+(O59/$R59*100*($E59/365))</f>
        <v>45.966228893058165</v>
      </c>
      <c r="I176" s="392"/>
      <c r="J176" s="362">
        <f>(P58/$R58*100*($E58/365))+(P59/$R59*100*($E59/365))</f>
        <v>54.033771106941842</v>
      </c>
      <c r="K176" s="362"/>
      <c r="L176" s="362">
        <f>(Q58/$R58*100*($E58/365))+(Q59/$R59*100*($E59/365))</f>
        <v>0</v>
      </c>
      <c r="M176" s="362"/>
      <c r="N176" s="363">
        <f t="shared" si="61"/>
        <v>100</v>
      </c>
      <c r="O176" s="363"/>
      <c r="R176" s="13">
        <v>1983</v>
      </c>
      <c r="S176" s="5">
        <f>(O58*($E58/365))+(O59*($E59/365))</f>
        <v>24.5</v>
      </c>
      <c r="T176" s="5">
        <f>(P58*($E58/365))+(P59*($E59/365))</f>
        <v>28.8</v>
      </c>
      <c r="U176" s="5">
        <f>(Q58*($E58/365))+(Q59*($E59/365))</f>
        <v>0</v>
      </c>
      <c r="V176" s="5"/>
      <c r="W176" s="5">
        <f>R58*(E58/365) + R59*(E59/365)</f>
        <v>53.3</v>
      </c>
    </row>
    <row r="177" spans="1:23" x14ac:dyDescent="0.15">
      <c r="A177" s="13">
        <v>1984</v>
      </c>
      <c r="B177" s="5">
        <f>(K60*($E60/366))+(K61*($E61/366))</f>
        <v>50</v>
      </c>
      <c r="C177" s="5">
        <f>(L60*($E60/366))+(L61*($E61/366))</f>
        <v>50</v>
      </c>
      <c r="D177" s="5">
        <f>(M60*($E60/366))+(M61*($E61/366))</f>
        <v>0</v>
      </c>
      <c r="E177" s="17">
        <f t="shared" si="60"/>
        <v>100</v>
      </c>
      <c r="G177" s="13">
        <v>1984</v>
      </c>
      <c r="H177" s="392">
        <f>(O60/$R60*100*($E60/366))+(O61/$R61*100*($E61/366))</f>
        <v>45.966228893058165</v>
      </c>
      <c r="I177" s="392"/>
      <c r="J177" s="362">
        <f>(P60/$R60*100*($E60/366))+(P61/$R61*100*($E61/366))</f>
        <v>54.033771106941842</v>
      </c>
      <c r="K177" s="362"/>
      <c r="L177" s="362">
        <f>(Q60/$R60*100*($E60/366))+(Q61/$R61*100*($E61/366))</f>
        <v>0</v>
      </c>
      <c r="M177" s="362"/>
      <c r="N177" s="363">
        <f t="shared" si="61"/>
        <v>100</v>
      </c>
      <c r="O177" s="363"/>
      <c r="R177" s="13">
        <v>1984</v>
      </c>
      <c r="S177" s="5">
        <f>(O60*($E60/366))+(O61*($E61/366))</f>
        <v>24.5</v>
      </c>
      <c r="T177" s="5">
        <f>(P60*($E60/366))+(P61*($E61/366))</f>
        <v>28.8</v>
      </c>
      <c r="U177" s="5">
        <f>(Q60*($E60/366))+(Q61*($E61/366))</f>
        <v>0</v>
      </c>
      <c r="V177" s="5"/>
      <c r="W177" s="5">
        <f>R60*(E60/366) + R61*(E61/366)</f>
        <v>53.3</v>
      </c>
    </row>
    <row r="178" spans="1:23" x14ac:dyDescent="0.15">
      <c r="A178" s="13">
        <v>1985</v>
      </c>
      <c r="B178" s="5">
        <f>(K62*($E62/365))+(K63*($E63/365))</f>
        <v>49.689497716894984</v>
      </c>
      <c r="C178" s="5">
        <f>(L62*($E62/365))+(L63*($E63/365))</f>
        <v>50.310502283105031</v>
      </c>
      <c r="D178" s="5">
        <f>(M62*($E62/365))+(M63*($E63/365))</f>
        <v>0</v>
      </c>
      <c r="E178" s="17">
        <f t="shared" si="60"/>
        <v>100.00000000000001</v>
      </c>
      <c r="G178" s="13">
        <v>1985</v>
      </c>
      <c r="H178" s="392">
        <f>(O62/$R62*100*($E62/365))+(O63/$R63*100*($E63/365))</f>
        <v>45.41390787985857</v>
      </c>
      <c r="I178" s="392"/>
      <c r="J178" s="362">
        <f>(P62/$R62*100*($E62/365))+(P63/$R63*100*($E63/365))</f>
        <v>54.586092120141437</v>
      </c>
      <c r="K178" s="362"/>
      <c r="L178" s="362">
        <f>(Q62/$R62*100*($E62/365))+(Q63/$R63*100*($E63/365))</f>
        <v>0</v>
      </c>
      <c r="M178" s="362"/>
      <c r="N178" s="363">
        <f t="shared" si="61"/>
        <v>100</v>
      </c>
      <c r="O178" s="363"/>
      <c r="R178" s="13">
        <v>1985</v>
      </c>
      <c r="S178" s="5">
        <f>(O62*($E62/365))+(O63*($E63/365))</f>
        <v>24.239178082191781</v>
      </c>
      <c r="T178" s="5">
        <f>(P62*($E62/365))+(P63*($E63/365))</f>
        <v>29.144657534246576</v>
      </c>
      <c r="U178" s="5">
        <f>(Q62*($E62/365))+(Q63*($E63/365))</f>
        <v>0</v>
      </c>
      <c r="V178" s="5"/>
      <c r="W178" s="5">
        <f>R62*(E62/365) + R63*(E63/365)</f>
        <v>53.383835616438361</v>
      </c>
    </row>
    <row r="179" spans="1:23" x14ac:dyDescent="0.15">
      <c r="A179" s="13">
        <v>1986</v>
      </c>
      <c r="B179" s="5">
        <f>(K64*($E64/365))+(K65*($E65/365))</f>
        <v>46.666666666666664</v>
      </c>
      <c r="C179" s="5">
        <f>(L64*($E64/365))+(L65*($E65/365))</f>
        <v>53.333333333333336</v>
      </c>
      <c r="D179" s="5">
        <f>(M64*($E64/365))+(M65*($E65/365))</f>
        <v>0</v>
      </c>
      <c r="E179" s="17">
        <f t="shared" si="60"/>
        <v>100</v>
      </c>
      <c r="G179" s="13">
        <v>1986</v>
      </c>
      <c r="H179" s="392">
        <f>(O64/$R64*100*($E64/365))+(O65/$R65*100*($E65/365))</f>
        <v>40.036900369003689</v>
      </c>
      <c r="I179" s="392"/>
      <c r="J179" s="362">
        <f>(P64/$R64*100*($E64/365))+(P65/$R65*100*($E65/365))</f>
        <v>59.963099630996311</v>
      </c>
      <c r="K179" s="362"/>
      <c r="L179" s="362">
        <f>(Q64/$R64*100*($E64/365))+(Q65/$R65*100*($E65/365))</f>
        <v>0</v>
      </c>
      <c r="M179" s="362"/>
      <c r="N179" s="363">
        <f t="shared" si="61"/>
        <v>100</v>
      </c>
      <c r="O179" s="363"/>
      <c r="R179" s="13">
        <v>1986</v>
      </c>
      <c r="S179" s="5">
        <f>(O64*($E64/365))+(O65*($E65/365))</f>
        <v>21.7</v>
      </c>
      <c r="T179" s="5">
        <f>(P64*($E64/365))+(P65*($E65/365))</f>
        <v>32.5</v>
      </c>
      <c r="U179" s="5">
        <f>(Q64*($E64/365))+(Q65*($E65/365))</f>
        <v>0</v>
      </c>
      <c r="V179" s="5"/>
      <c r="W179" s="5">
        <f>R64*(E64/365) + R65*(E65/365)</f>
        <v>54.2</v>
      </c>
    </row>
    <row r="180" spans="1:23" x14ac:dyDescent="0.15">
      <c r="A180" s="13">
        <v>1987</v>
      </c>
      <c r="B180" s="5">
        <f>(K66*($E66/365))+(K67*($E67/365))</f>
        <v>46.083333333333336</v>
      </c>
      <c r="C180" s="5">
        <f>(L66*($E66/365))+(L67*($E67/365))</f>
        <v>53.916666666666671</v>
      </c>
      <c r="D180" s="5">
        <f>(M66*($E66/365))+(M67*($E67/365))</f>
        <v>0</v>
      </c>
      <c r="E180" s="17">
        <f t="shared" si="60"/>
        <v>100</v>
      </c>
      <c r="G180" s="13">
        <v>1987</v>
      </c>
      <c r="H180" s="392">
        <f>(O66/$R66*100*($E66/365))+(O67/$R67*100*($E67/365))</f>
        <v>40.738576171888887</v>
      </c>
      <c r="I180" s="392"/>
      <c r="J180" s="362">
        <f>(P66/$R66*100*($E66/365))+(P67/$R67*100*($E67/365))</f>
        <v>59.261423828111113</v>
      </c>
      <c r="K180" s="362"/>
      <c r="L180" s="362">
        <f>(Q66/$R66*100*($E66/365))+(Q67/$R67*100*($E67/365))</f>
        <v>0</v>
      </c>
      <c r="M180" s="362"/>
      <c r="N180" s="363">
        <f t="shared" si="61"/>
        <v>100</v>
      </c>
      <c r="O180" s="363"/>
      <c r="R180" s="13">
        <v>1987</v>
      </c>
      <c r="S180" s="5">
        <f>(O66*($E66/365))+(O67*($E67/365))</f>
        <v>21.88</v>
      </c>
      <c r="T180" s="5">
        <f>(P66*($E66/365))+(P67*($E67/365))</f>
        <v>31.86</v>
      </c>
      <c r="U180" s="5">
        <f>(Q66*($E66/365))+(Q67*($E67/365))</f>
        <v>0</v>
      </c>
      <c r="V180" s="5"/>
      <c r="W180" s="5">
        <f>R66*(E66/365) + R67*(E67/365)</f>
        <v>53.740000000000009</v>
      </c>
    </row>
    <row r="181" spans="1:23" x14ac:dyDescent="0.15">
      <c r="A181" s="1">
        <v>1988</v>
      </c>
      <c r="B181" s="5">
        <f>(K68*($E68/366))+(K69*($E69/366))</f>
        <v>19.125683060109289</v>
      </c>
      <c r="C181" s="5">
        <f>(L68*($E68/366))+(L69*($E69/366))</f>
        <v>54.387656702025069</v>
      </c>
      <c r="D181" s="5">
        <f>(M68*($E68/366))+(M69*($E69/366))</f>
        <v>26.486660237865635</v>
      </c>
      <c r="E181" s="17">
        <f t="shared" si="60"/>
        <v>100</v>
      </c>
      <c r="F181" s="4"/>
      <c r="G181" s="1">
        <v>1988</v>
      </c>
      <c r="H181" s="392">
        <f>(O68/$R68*100*($E68/366))+(O69/$R69*100*($E69/366))</f>
        <v>19.036187708603133</v>
      </c>
      <c r="I181" s="392"/>
      <c r="J181" s="362">
        <f>(P68/$R68*100*($E68/366))+(P69/$R69*100*($E69/366))</f>
        <v>53.934699266173808</v>
      </c>
      <c r="K181" s="362"/>
      <c r="L181" s="362">
        <f>(Q68/$R68*100*($E68/366))+(Q69/$R69*100*($E69/366))</f>
        <v>27.029113025223054</v>
      </c>
      <c r="M181" s="362"/>
      <c r="N181" s="363">
        <f t="shared" si="61"/>
        <v>100</v>
      </c>
      <c r="O181" s="363"/>
      <c r="R181" s="1">
        <v>1988</v>
      </c>
      <c r="S181" s="5">
        <f>(O68*($E68/366))+(O69*($E69/366))</f>
        <v>9.8797814207650276</v>
      </c>
      <c r="T181" s="5">
        <f>(P68*($E68/366))+(P69*($E69/366))</f>
        <v>33.521311475409831</v>
      </c>
      <c r="U181" s="5">
        <f>(Q68*($E68/366))+(Q69*($E69/366))</f>
        <v>19.136612021857921</v>
      </c>
      <c r="V181" s="5"/>
      <c r="W181" s="5">
        <f>R68*(E68/366) + R69*(E69/366)</f>
        <v>62.537704918032787</v>
      </c>
    </row>
    <row r="182" spans="1:23" s="3" customFormat="1" x14ac:dyDescent="0.15">
      <c r="A182" s="3">
        <v>1989</v>
      </c>
      <c r="B182" s="8">
        <f>(K70*($E70/365))+(K71*($E71/365))</f>
        <v>0</v>
      </c>
      <c r="C182" s="8">
        <f>(L70*($E70/365))+(L71*($E71/365))</f>
        <v>52.941176470588239</v>
      </c>
      <c r="D182" s="8">
        <f>(M70*($E70/365))+(M71*($E71/365))</f>
        <v>47.058823529411761</v>
      </c>
      <c r="E182" s="18">
        <f t="shared" si="60"/>
        <v>100</v>
      </c>
      <c r="G182" s="3">
        <v>1989</v>
      </c>
      <c r="H182" s="393">
        <f>(O70*100*($E70/365)/($R70))+(O71*100*($E71/365)/($R71))</f>
        <v>0</v>
      </c>
      <c r="I182" s="393"/>
      <c r="J182" s="364">
        <f>(P70*100*($E70/365)/($R70))+(P71*100*($E71/365)/($R71))</f>
        <v>51.977401129943502</v>
      </c>
      <c r="K182" s="364"/>
      <c r="L182" s="364">
        <f>(Q70*100*($E70/365)/($R70))+(Q71*100*($E71/365)/($R71))</f>
        <v>48.022598870056498</v>
      </c>
      <c r="M182" s="364"/>
      <c r="N182" s="391">
        <f t="shared" si="61"/>
        <v>100</v>
      </c>
      <c r="O182" s="391"/>
      <c r="R182" s="3">
        <v>1989</v>
      </c>
      <c r="S182" s="8">
        <f>(O70*($E70/365))+(O71*($E71/365))</f>
        <v>0</v>
      </c>
      <c r="T182" s="8">
        <f>(P70*($E70/365))+(P71*($E71/365))</f>
        <v>36.799999999999997</v>
      </c>
      <c r="U182" s="8">
        <f>(Q70*($E70/365))+(Q71*($E71/365))</f>
        <v>34</v>
      </c>
      <c r="V182" s="8"/>
      <c r="W182" s="8">
        <f>R70*(E70/365) + R71*(E71/365)</f>
        <v>70.8</v>
      </c>
    </row>
    <row r="183" spans="1:23" x14ac:dyDescent="0.15">
      <c r="A183" s="1">
        <v>1990</v>
      </c>
      <c r="B183" s="5">
        <f>(K72*($E72/365))+(K73*($E73/365))</f>
        <v>0</v>
      </c>
      <c r="C183" s="5">
        <f>(L72*($E72/365))+(L73*($E73/365))</f>
        <v>52.941176470588239</v>
      </c>
      <c r="D183" s="5">
        <f>(M72*($E72/365))+(M73*($E73/365))</f>
        <v>47.058823529411761</v>
      </c>
      <c r="E183" s="17">
        <f t="shared" si="60"/>
        <v>100</v>
      </c>
      <c r="G183" s="1">
        <v>1990</v>
      </c>
      <c r="H183" s="392">
        <f>(O72*100*($E72/365)/($R72))+(O73*100*($E73/365)/($R73))</f>
        <v>0</v>
      </c>
      <c r="I183" s="392"/>
      <c r="J183" s="362">
        <f>(P72*100*($E72/365)/($R72))+(P73*100*($E73/365)/($R73))</f>
        <v>51.977401129943502</v>
      </c>
      <c r="K183" s="362"/>
      <c r="L183" s="362">
        <f>(Q72*100*($E72/365)/($R72))+(Q73*100*($E73/365)/($R73))</f>
        <v>48.022598870056498</v>
      </c>
      <c r="M183" s="362"/>
      <c r="N183" s="363">
        <f t="shared" si="61"/>
        <v>100</v>
      </c>
      <c r="O183" s="363"/>
      <c r="R183" s="1">
        <v>1990</v>
      </c>
      <c r="S183" s="5">
        <f>(O72*($E72/365))+(O73*($E73/365))</f>
        <v>0</v>
      </c>
      <c r="T183" s="5">
        <f>(P72*($E72/365))+(P73*($E73/365))</f>
        <v>36.799999999999997</v>
      </c>
      <c r="U183" s="5">
        <f>(Q72*($E72/365))+(Q73*($E73/365))</f>
        <v>34</v>
      </c>
      <c r="V183" s="5"/>
      <c r="W183" s="5">
        <f>R72*(E72/365) + R73*(E73/365)</f>
        <v>70.8</v>
      </c>
    </row>
    <row r="184" spans="1:23" x14ac:dyDescent="0.15">
      <c r="A184" s="1">
        <v>1991</v>
      </c>
      <c r="B184" s="5">
        <f>(K74*($E74/365))+(K75*($E75/365))</f>
        <v>0</v>
      </c>
      <c r="C184" s="5">
        <f>(L74*($E74/365))+(L75*($E75/365))</f>
        <v>51.490733279613217</v>
      </c>
      <c r="D184" s="5">
        <f>(M74*($E74/365))+(M75*($E75/365))</f>
        <v>48.509266720386783</v>
      </c>
      <c r="E184" s="17">
        <f t="shared" si="60"/>
        <v>100</v>
      </c>
      <c r="G184" s="1">
        <v>1991</v>
      </c>
      <c r="H184" s="392">
        <f>(O74*100*($E74/365)/($R74))+(O75*100*($E75/365)/($R75))</f>
        <v>0</v>
      </c>
      <c r="I184" s="392"/>
      <c r="J184" s="362">
        <f>(P74*100*($E74/365)/($R74))+(P75*100*($E75/365)/($R75))</f>
        <v>51.977401129943502</v>
      </c>
      <c r="K184" s="362"/>
      <c r="L184" s="362">
        <f>(Q74*100*($E74/365)/($R74))+(Q75*100*($E75/365)/($R75))</f>
        <v>48.022598870056498</v>
      </c>
      <c r="M184" s="362"/>
      <c r="N184" s="363">
        <f t="shared" si="61"/>
        <v>100</v>
      </c>
      <c r="O184" s="363"/>
      <c r="R184" s="1">
        <v>1991</v>
      </c>
      <c r="S184" s="5">
        <f>(O74*($E74/365))+(O75*($E75/365))</f>
        <v>0</v>
      </c>
      <c r="T184" s="5">
        <f>(P74*($E74/365))+(P75*($E75/365))</f>
        <v>36.799999999999997</v>
      </c>
      <c r="U184" s="5">
        <f>(Q74*($E74/365))+(Q75*($E75/365))</f>
        <v>34</v>
      </c>
      <c r="V184" s="5"/>
      <c r="W184" s="5">
        <f>R74*(E74/365) + R75*(E75/365)</f>
        <v>70.8</v>
      </c>
    </row>
    <row r="185" spans="1:23" x14ac:dyDescent="0.15">
      <c r="A185" s="1">
        <v>1992</v>
      </c>
      <c r="B185" s="5">
        <f>(K76*($E76/366))+(K77*($E77/366))</f>
        <v>0</v>
      </c>
      <c r="C185" s="5">
        <f>(L76*($E76/366))+(L77*($E77/366))</f>
        <v>46.743812279009958</v>
      </c>
      <c r="D185" s="5">
        <f>(M76*($E76/366))+(M77*($E77/366))</f>
        <v>53.256187720990042</v>
      </c>
      <c r="E185" s="17">
        <f t="shared" ref="E185:E204" si="62">SUM(B185:D185)</f>
        <v>100</v>
      </c>
      <c r="G185" s="1">
        <v>1992</v>
      </c>
      <c r="H185" s="392">
        <f>(O76*100*($E76/366)/($R76))+(O77*100*($E77/366)/($R77))</f>
        <v>0</v>
      </c>
      <c r="I185" s="392"/>
      <c r="J185" s="362">
        <f>(P76*100*($E76/366)/($R76))+(P77*100*($E77/366)/($R77))</f>
        <v>48.40208852675017</v>
      </c>
      <c r="K185" s="362"/>
      <c r="L185" s="362">
        <f>(Q76*100*($E76/366)/($R76))+(Q77*100*($E77/366)/($R77))</f>
        <v>51.597911473249837</v>
      </c>
      <c r="M185" s="362"/>
      <c r="N185" s="363">
        <f t="shared" si="61"/>
        <v>100</v>
      </c>
      <c r="O185" s="363"/>
      <c r="R185" s="1">
        <v>1992</v>
      </c>
      <c r="S185" s="5">
        <f>(O76*($E76/366))+(O77*($E77/366))</f>
        <v>0</v>
      </c>
      <c r="T185" s="5">
        <f>(P76*($E76/366))+(P77*($E77/366))</f>
        <v>28.847540983606557</v>
      </c>
      <c r="U185" s="5">
        <f>(Q76*($E76/366))+(Q77*($E77/366))</f>
        <v>30.545901639344265</v>
      </c>
      <c r="V185" s="5"/>
      <c r="W185" s="5">
        <f>R76*(E76/366) + R77*(E77/366)</f>
        <v>59.393442622950815</v>
      </c>
    </row>
    <row r="186" spans="1:23" x14ac:dyDescent="0.15">
      <c r="A186" s="1">
        <v>1993</v>
      </c>
      <c r="B186" s="5">
        <f>(K78*($E78/365))+(K79*($E79/365))</f>
        <v>0</v>
      </c>
      <c r="C186" s="5">
        <f>(L78*($E78/365))+(L79*($E79/365))</f>
        <v>46.666666666666664</v>
      </c>
      <c r="D186" s="5">
        <f>(M78*($E78/365))+(M79*($E79/365))</f>
        <v>53.333333333333336</v>
      </c>
      <c r="E186" s="17">
        <f t="shared" si="62"/>
        <v>100</v>
      </c>
      <c r="G186" s="1">
        <v>1993</v>
      </c>
      <c r="H186" s="392">
        <f>(O78*100*($E78/365)/($R78))+(O79*100*($E79/365)/($R79))</f>
        <v>0</v>
      </c>
      <c r="I186" s="392"/>
      <c r="J186" s="362">
        <f>(P78*100*($E78/365)/($R78))+(P79*100*($E79/365)/($R79))</f>
        <v>47.526501766784456</v>
      </c>
      <c r="K186" s="362"/>
      <c r="L186" s="362">
        <f>(Q78*100*($E78/365)/($R78))+(Q79*100*($E79/365)/($R79))</f>
        <v>52.473498233215551</v>
      </c>
      <c r="M186" s="362"/>
      <c r="N186" s="363">
        <f t="shared" si="61"/>
        <v>100</v>
      </c>
      <c r="O186" s="363"/>
      <c r="R186" s="1">
        <v>1993</v>
      </c>
      <c r="S186" s="5">
        <f>(O78*($E78/365))+(O79*($E79/365))</f>
        <v>0</v>
      </c>
      <c r="T186" s="5">
        <f>(P78*($E78/365))+(P79*($E79/365))</f>
        <v>26.9</v>
      </c>
      <c r="U186" s="5">
        <f>(Q78*($E78/365))+(Q79*($E79/365))</f>
        <v>29.7</v>
      </c>
      <c r="V186" s="5"/>
      <c r="W186" s="5">
        <f>R78*(E78/365) + R79*(E79/365)</f>
        <v>56.599999999999994</v>
      </c>
    </row>
    <row r="187" spans="1:23" x14ac:dyDescent="0.15">
      <c r="A187" s="1">
        <v>1994</v>
      </c>
      <c r="B187" s="5">
        <f>(K80*($E80/365))+(K81*($E81/365))</f>
        <v>0</v>
      </c>
      <c r="C187" s="5">
        <f>(L80*($E80/365))+(L81*($E81/365))</f>
        <v>46.666666666666664</v>
      </c>
      <c r="D187" s="5">
        <f>(M80*($E80/365))+(M81*($E81/365))</f>
        <v>53.333333333333336</v>
      </c>
      <c r="E187" s="17">
        <f t="shared" si="62"/>
        <v>100</v>
      </c>
      <c r="G187" s="1">
        <v>1994</v>
      </c>
      <c r="H187" s="392">
        <f>(O80*100*($E80/365)/($R80))+(O81*100*($E81/365)/($R81))</f>
        <v>0</v>
      </c>
      <c r="I187" s="392"/>
      <c r="J187" s="362">
        <f>(P80*100*($E80/365)/($R80))+(P81*100*($E81/365)/($R81))</f>
        <v>47.526501766784456</v>
      </c>
      <c r="K187" s="362"/>
      <c r="L187" s="362">
        <f>(Q80*100*($E80/365)/($R80))+(Q81*100*($E81/365)/($R81))</f>
        <v>52.473498233215551</v>
      </c>
      <c r="M187" s="362"/>
      <c r="N187" s="363">
        <f t="shared" si="61"/>
        <v>100</v>
      </c>
      <c r="O187" s="363"/>
      <c r="R187" s="1">
        <v>1994</v>
      </c>
      <c r="S187" s="5">
        <f>(O80*($E80/365))+(O81*($E81/365))</f>
        <v>0</v>
      </c>
      <c r="T187" s="5">
        <f>(P80*($E80/365))+(P81*($E81/365))</f>
        <v>26.9</v>
      </c>
      <c r="U187" s="5">
        <f>(Q80*($E80/365))+(Q81*($E81/365))</f>
        <v>29.7</v>
      </c>
      <c r="V187" s="5"/>
      <c r="W187" s="5">
        <f>R80*(E80/365) + R81*(E81/365)</f>
        <v>56.599999999999994</v>
      </c>
    </row>
    <row r="188" spans="1:23" x14ac:dyDescent="0.15">
      <c r="A188" s="1">
        <v>1995</v>
      </c>
      <c r="B188" s="5">
        <f>(K82*($E82/365))+(K83*($E83/365))</f>
        <v>0</v>
      </c>
      <c r="C188" s="5">
        <f>(L82*($E82/365))+(L83*($E83/365))</f>
        <v>46.666666666666657</v>
      </c>
      <c r="D188" s="5">
        <f>(M82*($E82/365))+(M83*($E83/365))</f>
        <v>53.333333333333329</v>
      </c>
      <c r="E188" s="17">
        <f t="shared" si="62"/>
        <v>99.999999999999986</v>
      </c>
      <c r="G188" s="1">
        <v>1995</v>
      </c>
      <c r="H188" s="392">
        <f>(O82*100*($E82/365)/($R82))+(O83*100*($E83/365)/($R83))</f>
        <v>0</v>
      </c>
      <c r="I188" s="392"/>
      <c r="J188" s="362">
        <f>(P82*100*($E82/365)/($R82))+(P83*100*($E83/365)/($R83))</f>
        <v>48.827629604530713</v>
      </c>
      <c r="K188" s="362"/>
      <c r="L188" s="362">
        <f>(Q82*100*($E82/365)/($R82))+(Q83*100*($E83/365)/($R83))</f>
        <v>51.172370395469287</v>
      </c>
      <c r="M188" s="362"/>
      <c r="N188" s="363">
        <f t="shared" si="61"/>
        <v>100</v>
      </c>
      <c r="O188" s="363"/>
      <c r="R188" s="1">
        <v>1995</v>
      </c>
      <c r="S188" s="5">
        <f>(O82*($E82/365))+(O83*($E83/365))</f>
        <v>0</v>
      </c>
      <c r="T188" s="5">
        <f>(P82*($E82/365))+(P83*($E83/365))</f>
        <v>27.110410958904108</v>
      </c>
      <c r="U188" s="5">
        <f>(Q82*($E82/365))+(Q83*($E83/365))</f>
        <v>28.437534246575339</v>
      </c>
      <c r="V188" s="5"/>
      <c r="W188" s="5">
        <f>R82*(E82/365) + R83*(E83/365)</f>
        <v>55.547945205479451</v>
      </c>
    </row>
    <row r="189" spans="1:23" x14ac:dyDescent="0.15">
      <c r="A189" s="1">
        <v>1996</v>
      </c>
      <c r="B189" s="5">
        <f>(K84*($E84/366))+(K85*($E85/366))</f>
        <v>0</v>
      </c>
      <c r="C189" s="5">
        <f>(L84*($E84/366))+(L85*($E85/366))</f>
        <v>46.666666666666664</v>
      </c>
      <c r="D189" s="5">
        <f>(M84*($E84/366))+(M85*($E85/366))</f>
        <v>53.333333333333336</v>
      </c>
      <c r="E189" s="17">
        <f t="shared" si="62"/>
        <v>100</v>
      </c>
      <c r="G189" s="1">
        <v>1996</v>
      </c>
      <c r="H189" s="392">
        <f>(O84*100*($E84/366)/($R84))+(O85*100*($E85/366)/($R85))</f>
        <v>0</v>
      </c>
      <c r="I189" s="392"/>
      <c r="J189" s="362">
        <f>(P84*100*($E84/366)/($R84))+(P85*100*($E85/366)/($R85))</f>
        <v>50</v>
      </c>
      <c r="K189" s="362"/>
      <c r="L189" s="362">
        <f>(Q84*100*($E84/366)/($R84))+(Q85*100*($E85/366)/($R85))</f>
        <v>50</v>
      </c>
      <c r="M189" s="362"/>
      <c r="N189" s="363">
        <f t="shared" si="61"/>
        <v>100</v>
      </c>
      <c r="O189" s="363"/>
      <c r="R189" s="1">
        <v>1996</v>
      </c>
      <c r="S189" s="5">
        <f>(O84*($E84/366))+(O85*($E85/366))</f>
        <v>0</v>
      </c>
      <c r="T189" s="5">
        <f>(P84*($E84/366))+(P85*($E85/366))</f>
        <v>27.3</v>
      </c>
      <c r="U189" s="5">
        <f>(Q84*($E84/366))+(Q85*($E85/366))</f>
        <v>27.3</v>
      </c>
      <c r="V189" s="5"/>
      <c r="W189" s="5">
        <f>R84*(E84/366) + R85*(E85/366)</f>
        <v>54.6</v>
      </c>
    </row>
    <row r="190" spans="1:23" x14ac:dyDescent="0.15">
      <c r="A190" s="1">
        <v>1997</v>
      </c>
      <c r="B190" s="5">
        <f>(K86*($E86/365))+(K87*($E87/365))</f>
        <v>0</v>
      </c>
      <c r="C190" s="5">
        <f>(L86*($E86/365))+(L87*($E87/365))</f>
        <v>46.666666666666664</v>
      </c>
      <c r="D190" s="5">
        <f>(M86*($E86/365))+(M87*($E87/365))</f>
        <v>53.333333333333336</v>
      </c>
      <c r="E190" s="17">
        <f t="shared" si="62"/>
        <v>100</v>
      </c>
      <c r="G190" s="1">
        <v>1997</v>
      </c>
      <c r="H190" s="392">
        <f>(O86*100*($E86/365)/($R86))+(O87*100*($E87/365)/($R87))</f>
        <v>0</v>
      </c>
      <c r="I190" s="392"/>
      <c r="J190" s="362">
        <f>(P86*100*($E86/365)/($R86))+(P87*100*($E87/365)/($R87))</f>
        <v>50</v>
      </c>
      <c r="K190" s="362"/>
      <c r="L190" s="362">
        <f>(Q86*100*($E86/365)/($R86))+(Q87*100*($E87/365)/($R87))</f>
        <v>50</v>
      </c>
      <c r="M190" s="362"/>
      <c r="N190" s="363">
        <f t="shared" si="61"/>
        <v>100</v>
      </c>
      <c r="O190" s="363"/>
      <c r="R190" s="1">
        <v>1997</v>
      </c>
      <c r="S190" s="5">
        <f>(O86*($E86/365))+(O87*($E87/365))</f>
        <v>0</v>
      </c>
      <c r="T190" s="5">
        <f>(P86*($E86/365))+(P87*($E87/365))</f>
        <v>27.3</v>
      </c>
      <c r="U190" s="5">
        <f>(Q86*($E86/365))+(Q87*($E87/365))</f>
        <v>27.3</v>
      </c>
      <c r="V190" s="5"/>
      <c r="W190" s="5">
        <f>R86*(E86/365) + R87*(E87/365)</f>
        <v>54.6</v>
      </c>
    </row>
    <row r="191" spans="1:23" x14ac:dyDescent="0.15">
      <c r="A191" s="1">
        <v>1998</v>
      </c>
      <c r="B191" s="5">
        <f>(K88*($E88/365))+(K89*($E89/365))</f>
        <v>0</v>
      </c>
      <c r="C191" s="5">
        <f>(L88*($E88/365))+(L89*($E89/365))</f>
        <v>46.666666666666664</v>
      </c>
      <c r="D191" s="5">
        <f>(M88*($E88/365))+(M89*($E89/365))</f>
        <v>53.333333333333336</v>
      </c>
      <c r="E191" s="17">
        <f t="shared" si="62"/>
        <v>100</v>
      </c>
      <c r="G191" s="1">
        <v>1998</v>
      </c>
      <c r="H191" s="392">
        <f>(O88*100*($E88/365)/($R88))+(O89*100*($E89/365)/($R89))</f>
        <v>0</v>
      </c>
      <c r="I191" s="392"/>
      <c r="J191" s="362">
        <f>(P88*100*($E88/365)/($R88))+(P89*100*($E89/365)/($R89))</f>
        <v>50</v>
      </c>
      <c r="K191" s="362"/>
      <c r="L191" s="362">
        <f>(Q88*100*($E88/365)/($R88))+(Q89*100*($E89/365)/($R89))</f>
        <v>50</v>
      </c>
      <c r="M191" s="362"/>
      <c r="N191" s="363">
        <f t="shared" si="61"/>
        <v>100</v>
      </c>
      <c r="O191" s="363"/>
      <c r="R191" s="1">
        <v>1998</v>
      </c>
      <c r="S191" s="5">
        <f>(O88*($E88/365))+(O89*($E89/365))</f>
        <v>0</v>
      </c>
      <c r="T191" s="5">
        <f>(P88*($E88/365))+(P89*($E89/365))</f>
        <v>27.3</v>
      </c>
      <c r="U191" s="5">
        <f>(Q88*($E88/365))+(Q89*($E89/365))</f>
        <v>27.3</v>
      </c>
      <c r="V191" s="5"/>
      <c r="W191" s="5">
        <f>R88*(E88/365) + R89*(E89/365)</f>
        <v>54.6</v>
      </c>
    </row>
    <row r="192" spans="1:23" x14ac:dyDescent="0.15">
      <c r="A192" s="1">
        <v>1999</v>
      </c>
      <c r="B192" s="5">
        <f>(K90*($E90/365))+(K91*($E91/365))</f>
        <v>21.990867579908674</v>
      </c>
      <c r="C192" s="5">
        <f>(L90*($E90/365))+(L91*($E91/365))</f>
        <v>24.675799086757991</v>
      </c>
      <c r="D192" s="5">
        <f>(M90*($E90/365))+(M91*($E91/365))</f>
        <v>53.333333333333343</v>
      </c>
      <c r="E192" s="17">
        <f t="shared" si="62"/>
        <v>100</v>
      </c>
      <c r="G192" s="1">
        <v>1999</v>
      </c>
      <c r="H192" s="392">
        <f>(O90*100*($E90/365)/($R90))+(O91*100*($E91/365)/($R91))</f>
        <v>20.550571140968973</v>
      </c>
      <c r="I192" s="392"/>
      <c r="J192" s="362">
        <f>(P90*100*($E90/365)/($R90))+(P91*100*($E91/365)/($R91))</f>
        <v>26.438356164383563</v>
      </c>
      <c r="K192" s="362"/>
      <c r="L192" s="362">
        <f>(Q90*100*($E90/365)/($R90))+(Q91*100*($E91/365)/($R91))</f>
        <v>53.011072694647467</v>
      </c>
      <c r="M192" s="362"/>
      <c r="N192" s="363">
        <f t="shared" si="61"/>
        <v>100</v>
      </c>
      <c r="O192" s="363"/>
      <c r="R192" s="1">
        <v>1999</v>
      </c>
      <c r="S192" s="5">
        <f>(O90*($E90/365))+(O91*($E91/365))</f>
        <v>12.864657534246575</v>
      </c>
      <c r="T192" s="5">
        <f>(P90*($E90/365))+(P91*($E91/365))</f>
        <v>14.435342465753426</v>
      </c>
      <c r="U192" s="5">
        <f>(Q90*($E90/365))+(Q91*($E91/365))</f>
        <v>31.06986301369863</v>
      </c>
      <c r="V192" s="5"/>
      <c r="W192" s="5">
        <f>R90*(E90/365) + R91*(E91/365)</f>
        <v>58.369863013698634</v>
      </c>
    </row>
    <row r="193" spans="1:23" x14ac:dyDescent="0.15">
      <c r="A193" s="1">
        <v>2000</v>
      </c>
      <c r="B193" s="5">
        <f>(K92*($E92/366))+(K93*($E93/366))</f>
        <v>46.666666666666664</v>
      </c>
      <c r="C193" s="5">
        <f>(L92*($E92/366))+(L93*($E93/366))</f>
        <v>0</v>
      </c>
      <c r="D193" s="5">
        <f>(M92*($E92/366))+(M93*($E93/366))</f>
        <v>53.333333333333336</v>
      </c>
      <c r="E193" s="17">
        <f t="shared" si="62"/>
        <v>100</v>
      </c>
      <c r="G193" s="1">
        <v>2000</v>
      </c>
      <c r="H193" s="392">
        <f>(O92*100*($E92/366)/($R92))+(O93*100*($E93/366)/($R93))</f>
        <v>43.610223642172528</v>
      </c>
      <c r="I193" s="392"/>
      <c r="J193" s="362">
        <f>(P92*100*($E92/366)/($R92))+(P93*100*($E93/366)/($R93))</f>
        <v>0</v>
      </c>
      <c r="K193" s="362"/>
      <c r="L193" s="362">
        <f>(Q92*100*($E92/366)/($R92))+(Q93*100*($E93/366)/($R93))</f>
        <v>56.389776357827472</v>
      </c>
      <c r="M193" s="362"/>
      <c r="N193" s="363">
        <f t="shared" si="61"/>
        <v>100</v>
      </c>
      <c r="O193" s="363"/>
      <c r="R193" s="1">
        <v>2000</v>
      </c>
      <c r="S193" s="5">
        <f>(O92*($E92/366))+(O93*($E93/366))</f>
        <v>27.3</v>
      </c>
      <c r="T193" s="5">
        <f>(P92*($E92/366))+(P93*($E93/366))</f>
        <v>0</v>
      </c>
      <c r="U193" s="5">
        <f>(Q92*($E92/366))+(Q93*($E93/366))</f>
        <v>35.299999999999997</v>
      </c>
      <c r="V193" s="5"/>
      <c r="W193" s="5">
        <f>R92*(E92/366) + R93*(E93/366)</f>
        <v>62.599999999999994</v>
      </c>
    </row>
    <row r="194" spans="1:23" x14ac:dyDescent="0.15">
      <c r="A194" s="1">
        <v>2001</v>
      </c>
      <c r="B194" s="5">
        <f>(K94*($E94/365))+(K95*($E95/365))</f>
        <v>46.666666666666664</v>
      </c>
      <c r="C194" s="5">
        <f>(L94*($E94/365))+(L95*($E95/365))</f>
        <v>0</v>
      </c>
      <c r="D194" s="5">
        <f>(M94*($E94/365))+(M95*($E95/365))</f>
        <v>53.333333333333336</v>
      </c>
      <c r="E194" s="17">
        <f t="shared" si="62"/>
        <v>100</v>
      </c>
      <c r="G194" s="1">
        <v>2001</v>
      </c>
      <c r="H194" s="392">
        <f>(O94*100*($E94/365)/($R94))+(O95*100*($E95/365)/($R95))</f>
        <v>43.610223642172528</v>
      </c>
      <c r="I194" s="392"/>
      <c r="J194" s="362">
        <f>(P94*100*($E94/365)/($R94))+(P95*100*($E95/365)/($R95))</f>
        <v>0</v>
      </c>
      <c r="K194" s="362"/>
      <c r="L194" s="362">
        <f>(Q94*100*($E94/365)/($R94))+(Q95*100*($E95/365)/($R95))</f>
        <v>56.389776357827472</v>
      </c>
      <c r="M194" s="362"/>
      <c r="N194" s="363">
        <f t="shared" si="61"/>
        <v>100</v>
      </c>
      <c r="O194" s="363"/>
      <c r="R194" s="1">
        <v>2001</v>
      </c>
      <c r="S194" s="5">
        <f>(O94*($E94/365))+(O95*($E95/365))</f>
        <v>27.3</v>
      </c>
      <c r="T194" s="5">
        <f>(P94*($E94/365))+(P95*($E95/365))</f>
        <v>0</v>
      </c>
      <c r="U194" s="5">
        <f>(Q94*($E94/365))+(Q95*($E95/365))</f>
        <v>35.299999999999997</v>
      </c>
      <c r="V194" s="5"/>
      <c r="W194" s="5">
        <f>R94*(E94/365) + R95*(E95/365)</f>
        <v>62.599999999999994</v>
      </c>
    </row>
    <row r="195" spans="1:23" x14ac:dyDescent="0.15">
      <c r="A195" s="1">
        <v>2002</v>
      </c>
      <c r="B195" s="5">
        <f>(K96*($E96/365))+(K97*($E97/365))</f>
        <v>46.666666666666664</v>
      </c>
      <c r="C195" s="5">
        <f>(L96*($E96/365))+(L97*($E97/365))</f>
        <v>0</v>
      </c>
      <c r="D195" s="5">
        <f>(M96*($E96/365))+(M97*($E97/365))</f>
        <v>53.333333333333336</v>
      </c>
      <c r="E195" s="17">
        <f t="shared" si="62"/>
        <v>100</v>
      </c>
      <c r="G195" s="1">
        <v>2002</v>
      </c>
      <c r="H195" s="392">
        <f>(O96*100*($E96/365)/($R96))+(O97*100*($E97/365)/($R97))</f>
        <v>43.610223642172528</v>
      </c>
      <c r="I195" s="392"/>
      <c r="J195" s="362">
        <f>(P96*100*($E96/365)/($R96))+(P97*100*($E97/365)/($R97))</f>
        <v>0</v>
      </c>
      <c r="K195" s="362"/>
      <c r="L195" s="362">
        <f>(Q96*100*($E96/365)/($R96))+(Q97*100*($E97/365)/($R97))</f>
        <v>56.389776357827472</v>
      </c>
      <c r="M195" s="362"/>
      <c r="N195" s="363">
        <f t="shared" si="61"/>
        <v>100</v>
      </c>
      <c r="O195" s="363"/>
      <c r="R195" s="1">
        <v>2002</v>
      </c>
      <c r="S195" s="5">
        <f>(O96*($E96/365))+(O97*($E97/365))</f>
        <v>27.3</v>
      </c>
      <c r="T195" s="5">
        <f>(P96*($E96/365))+(P97*($E97/365))</f>
        <v>0</v>
      </c>
      <c r="U195" s="5">
        <f>(Q96*($E96/365))+(Q97*($E97/365))</f>
        <v>35.299999999999997</v>
      </c>
      <c r="V195" s="5"/>
      <c r="W195" s="5">
        <f>R96*(E96/365) + R97*(E97/365)</f>
        <v>62.599999999999994</v>
      </c>
    </row>
    <row r="196" spans="1:23" x14ac:dyDescent="0.15">
      <c r="A196" s="1">
        <v>2003</v>
      </c>
      <c r="B196" s="5">
        <f>(K98*($E98/365))+(K99*($E99/365))</f>
        <v>46.666666666666657</v>
      </c>
      <c r="C196" s="5">
        <f>(L98*($E98/365))+(L99*($E99/365))</f>
        <v>0</v>
      </c>
      <c r="D196" s="5">
        <f>(M98*($E98/365))+(M99*($E99/365))</f>
        <v>53.333333333333329</v>
      </c>
      <c r="E196" s="17">
        <f t="shared" si="62"/>
        <v>99.999999999999986</v>
      </c>
      <c r="G196" s="1">
        <v>2003</v>
      </c>
      <c r="H196" s="392">
        <f>(O98*100*($E98/365)/($R98))+(O99*100*($E99/365)/($R99))</f>
        <v>46.895201972116794</v>
      </c>
      <c r="I196" s="392"/>
      <c r="J196" s="362">
        <f>(P98*100*($E98/365)/($R98))+(P99*100*($E99/365)/($R99))</f>
        <v>0</v>
      </c>
      <c r="K196" s="362"/>
      <c r="L196" s="362">
        <f>(Q98*100*($E98/365)/($R98))+(Q99*100*($E99/365)/($R99))</f>
        <v>53.104798027883206</v>
      </c>
      <c r="M196" s="362"/>
      <c r="N196" s="363">
        <f t="shared" si="61"/>
        <v>100</v>
      </c>
      <c r="O196" s="363"/>
      <c r="R196" s="1">
        <v>2003</v>
      </c>
      <c r="S196" s="5">
        <f>(O98*($E98/365))+(O99*($E99/365))</f>
        <v>29.859452054794524</v>
      </c>
      <c r="T196" s="5">
        <f>(P98*($E98/365))+(P99*($E99/365))</f>
        <v>0</v>
      </c>
      <c r="U196" s="5">
        <f>(Q98*($E98/365))+(Q99*($E99/365))</f>
        <v>33.735890410958902</v>
      </c>
      <c r="V196" s="5"/>
      <c r="W196" s="5">
        <f>R98*(E98/365) + R99*(E99/365)</f>
        <v>63.595342465753419</v>
      </c>
    </row>
    <row r="197" spans="1:23" x14ac:dyDescent="0.15">
      <c r="A197" s="1">
        <v>2004</v>
      </c>
      <c r="B197" s="5">
        <f>(K100*($E100/366))+(K101*($E101/366))</f>
        <v>46.666666666666664</v>
      </c>
      <c r="C197" s="5">
        <f>(L100*($E100/366))+(L101*($E101/366))</f>
        <v>0</v>
      </c>
      <c r="D197" s="5">
        <f>(M100*($E100/366))+(M101*($E101/366))</f>
        <v>53.333333333333336</v>
      </c>
      <c r="E197" s="17">
        <f t="shared" si="62"/>
        <v>100</v>
      </c>
      <c r="G197" s="1">
        <v>2004</v>
      </c>
      <c r="H197" s="392">
        <f>(O100*100*($E100/366)/($R100))+(O101*100*($E101/366)/($R101))</f>
        <v>50.540958268933544</v>
      </c>
      <c r="I197" s="392"/>
      <c r="J197" s="362">
        <f>(P100*100*($E100/366)/($R100))+(P101*100*($E101/366)/($R101))</f>
        <v>0</v>
      </c>
      <c r="K197" s="362"/>
      <c r="L197" s="362">
        <f>(Q100*100*($E100/366)/($R100))+(Q101*100*($E101/366)/($R101))</f>
        <v>49.459041731066456</v>
      </c>
      <c r="M197" s="362"/>
      <c r="N197" s="363">
        <f t="shared" si="61"/>
        <v>100</v>
      </c>
      <c r="O197" s="363"/>
      <c r="R197" s="1">
        <v>2004</v>
      </c>
      <c r="S197" s="5">
        <f>(O100*($E100/366))+(O101*($E101/366))</f>
        <v>32.700000000000003</v>
      </c>
      <c r="T197" s="5">
        <f>(P100*($E100/366))+(P101*($E101/366))</f>
        <v>0</v>
      </c>
      <c r="U197" s="5">
        <f>(Q100*($E100/366))+(Q101*($E101/366))</f>
        <v>32</v>
      </c>
      <c r="V197" s="5"/>
      <c r="W197" s="5">
        <f>R100*(E100/366) + R101*(E101/366)</f>
        <v>64.7</v>
      </c>
    </row>
    <row r="198" spans="1:23" x14ac:dyDescent="0.15">
      <c r="A198" s="1">
        <v>2005</v>
      </c>
      <c r="B198" s="5">
        <f>(K102*($E102/365))+(K103*($E103/365))</f>
        <v>46.666666666666664</v>
      </c>
      <c r="C198" s="5">
        <f>(L102*($E102/365))+(L103*($E103/365))</f>
        <v>0</v>
      </c>
      <c r="D198" s="5">
        <f>(M102*($E102/365))+(M103*($E103/365))</f>
        <v>53.333333333333336</v>
      </c>
      <c r="E198" s="17">
        <f t="shared" si="62"/>
        <v>100</v>
      </c>
      <c r="G198" s="1">
        <v>2005</v>
      </c>
      <c r="H198" s="392">
        <f>(O102*100*($E102/365)/($R102))+(O103*100*($E103/365)/($R103))</f>
        <v>50.540958268933544</v>
      </c>
      <c r="I198" s="392"/>
      <c r="J198" s="362">
        <f>(P102*100*($E102/365)/($R102))+(P103*100*($E103/365)/($R103))</f>
        <v>0</v>
      </c>
      <c r="K198" s="362"/>
      <c r="L198" s="362">
        <f>(Q102*100*($E102/365)/($R102))+(Q103*100*($E103/365)/($R103))</f>
        <v>49.459041731066456</v>
      </c>
      <c r="M198" s="362"/>
      <c r="N198" s="363">
        <f t="shared" si="61"/>
        <v>100</v>
      </c>
      <c r="O198" s="363"/>
      <c r="R198" s="1">
        <v>2005</v>
      </c>
      <c r="S198" s="5">
        <f>(O102*($E102/365))+(O103*($E103/365))</f>
        <v>32.700000000000003</v>
      </c>
      <c r="T198" s="5">
        <f>(P102*($E102/365))+(P103*($E103/365))</f>
        <v>0</v>
      </c>
      <c r="U198" s="5">
        <f>(Q102*($E102/365))+(Q103*($E103/365))</f>
        <v>32</v>
      </c>
      <c r="V198" s="5"/>
      <c r="W198" s="5">
        <f>R102*(E102/365) + R103*(E103/365)</f>
        <v>64.7</v>
      </c>
    </row>
    <row r="199" spans="1:23" x14ac:dyDescent="0.15">
      <c r="A199" s="1">
        <v>2006</v>
      </c>
      <c r="B199" s="5">
        <f>(K104*($E104/365))+(K105*($E105/365))</f>
        <v>46.666666666666664</v>
      </c>
      <c r="C199" s="5">
        <f>(L104*($E104/365))+(L105*($E105/365))</f>
        <v>0</v>
      </c>
      <c r="D199" s="5">
        <f>(M104*($E104/365))+(M105*($E105/365))</f>
        <v>53.333333333333336</v>
      </c>
      <c r="E199" s="17">
        <f t="shared" si="62"/>
        <v>100</v>
      </c>
      <c r="G199" s="1">
        <v>2006</v>
      </c>
      <c r="H199" s="392">
        <f>(O104*100*($E104/365)/($R104))+(O105*100*($E105/365)/($R105))</f>
        <v>50.540958268933544</v>
      </c>
      <c r="I199" s="392"/>
      <c r="J199" s="362">
        <f>(P104*100*($E104/365)/($R104))+(P105*100*($E105/365)/($R105))</f>
        <v>0</v>
      </c>
      <c r="K199" s="362"/>
      <c r="L199" s="362">
        <f>(Q104*100*($E104/365)/($R104))+(Q105*100*($E105/365)/($R105))</f>
        <v>49.459041731066456</v>
      </c>
      <c r="M199" s="362"/>
      <c r="N199" s="363">
        <f t="shared" si="61"/>
        <v>100</v>
      </c>
      <c r="O199" s="363"/>
      <c r="R199" s="1">
        <v>2006</v>
      </c>
      <c r="S199" s="5">
        <f>(O104*($E104/365))+(O105*($E105/365))</f>
        <v>32.700000000000003</v>
      </c>
      <c r="T199" s="5">
        <f>(P104*($E104/365))+(P105*($E105/365))</f>
        <v>0</v>
      </c>
      <c r="U199" s="5">
        <f>(Q104*($E104/365))+(Q105*($E105/365))</f>
        <v>32</v>
      </c>
      <c r="V199" s="5"/>
      <c r="W199" s="5">
        <f>R104*(E104/365) + R105*(E105/365)</f>
        <v>64.7</v>
      </c>
    </row>
    <row r="200" spans="1:23" x14ac:dyDescent="0.15">
      <c r="A200" s="1">
        <v>2007</v>
      </c>
      <c r="B200" s="5">
        <f>(K106*($E106/365))+(K107*($E107/365))</f>
        <v>46.551859099804304</v>
      </c>
      <c r="C200" s="5">
        <f>(L106*($E106/365))+(L107*($E107/365))</f>
        <v>1.076320939334638</v>
      </c>
      <c r="D200" s="5">
        <f>(M106*($E106/365))+(M107*($E107/365))</f>
        <v>52.37181996086106</v>
      </c>
      <c r="E200" s="17">
        <f t="shared" si="62"/>
        <v>100</v>
      </c>
      <c r="G200" s="1">
        <v>2007</v>
      </c>
      <c r="H200" s="392">
        <f>(O106*100*($E106/365)/($R106))+(O107*100*($E107/365)/($R107))</f>
        <v>50.240301980122801</v>
      </c>
      <c r="I200" s="392"/>
      <c r="J200" s="362">
        <f>(P106*100*($E106/365)/($R106))+(P107*100*($E107/365)/($R107))</f>
        <v>1.1956278369191313</v>
      </c>
      <c r="K200" s="362"/>
      <c r="L200" s="362">
        <f>(Q106*100*($E106/365)/($R106))+(Q107*100*($E107/365)/($R107))</f>
        <v>48.564070182958069</v>
      </c>
      <c r="M200" s="362"/>
      <c r="N200" s="363">
        <f t="shared" si="61"/>
        <v>100</v>
      </c>
      <c r="O200" s="363"/>
      <c r="R200" s="1">
        <v>2007</v>
      </c>
      <c r="S200" s="5">
        <f>(O106*($E106/365))+(O107*($E107/365))</f>
        <v>32.537260273972606</v>
      </c>
      <c r="T200" s="5">
        <f>(P106*($E106/365))+(P107*($E107/365))</f>
        <v>0.80465753424657538</v>
      </c>
      <c r="U200" s="5">
        <f>(Q106*($E106/365))+(Q107*($E107/365))</f>
        <v>31.436438356164384</v>
      </c>
      <c r="V200" s="5"/>
      <c r="W200" s="5">
        <f>R106*(E106/365) + R107*(E107/365)</f>
        <v>64.778356164383567</v>
      </c>
    </row>
    <row r="201" spans="1:23" x14ac:dyDescent="0.15">
      <c r="A201" s="1">
        <v>2008</v>
      </c>
      <c r="B201" s="5">
        <f>(K108*($E108/366))+(K109*($E109/366))+(K110*($E110/366))</f>
        <v>45.844392401769447</v>
      </c>
      <c r="C201" s="5">
        <f>(L108*($E108/366))+(L109*($E109/366))+(L110*($E110/366))</f>
        <v>33.847254748894088</v>
      </c>
      <c r="D201" s="5">
        <f>(M108*($E108/366))+(M109*($E109/366))+(M110*($E110/366))</f>
        <v>20.308352849336458</v>
      </c>
      <c r="E201" s="17">
        <f t="shared" si="62"/>
        <v>99.999999999999986</v>
      </c>
      <c r="G201" s="1">
        <v>2008</v>
      </c>
      <c r="H201" s="392">
        <f>(O108*100*($E108/366)/($R108))+(O109*100*($E109/366)/($R109))+(O110*100*($E110/366)/($R110))</f>
        <v>40.564635958395243</v>
      </c>
      <c r="I201" s="392"/>
      <c r="J201" s="362">
        <f>(P108*100*($E108/366)/($R108))+(P109*100*($E109/366)/($R109))+(P110*100*($E110/366)/($R110))</f>
        <v>39.673105497771168</v>
      </c>
      <c r="K201" s="362"/>
      <c r="L201" s="362">
        <f>(Q108*100*($E108/366)/($R108))+(Q109*100*($E109/366)/($R109))+(Q110*100*($E110/366)/($R110))</f>
        <v>19.762258543833578</v>
      </c>
      <c r="M201" s="362"/>
      <c r="N201" s="363">
        <f t="shared" si="61"/>
        <v>100</v>
      </c>
      <c r="O201" s="363"/>
      <c r="R201" s="1">
        <v>2008</v>
      </c>
      <c r="S201" s="5">
        <f>(O108*($E108/366))+(O109*($E109/366))+(O110*($E110/366))</f>
        <v>27.299999999999997</v>
      </c>
      <c r="T201" s="5">
        <f>(P108*($E108/366))+(P109*($E109/366))+(P110*($E110/366))</f>
        <v>26.7</v>
      </c>
      <c r="U201" s="5">
        <f>(Q108*($E108/366))+(Q109*($E109/366))+(Q110*($E110/366))</f>
        <v>13.299999999999999</v>
      </c>
      <c r="V201" s="5"/>
      <c r="W201" s="5">
        <f>R108*(E108/366) + R109*(E109/366) + R110*(E110/366)</f>
        <v>67.3</v>
      </c>
    </row>
    <row r="202" spans="1:23" x14ac:dyDescent="0.15">
      <c r="A202" s="1">
        <v>2009</v>
      </c>
      <c r="B202" s="5">
        <f>(K111*($E111/365))+(K112*($E112/365))+(K113*($E113/365))</f>
        <v>43.598173515981735</v>
      </c>
      <c r="C202" s="5">
        <f>(L111*($E111/365))+(L112*($E112/365))+(L113*($E113/365))</f>
        <v>36.401826484018258</v>
      </c>
      <c r="D202" s="5">
        <f>(M111*($E111/365))+(M112*($E112/365))+(M113*($E113/365))</f>
        <v>20</v>
      </c>
      <c r="E202" s="17">
        <f t="shared" si="62"/>
        <v>100</v>
      </c>
      <c r="G202" s="1">
        <v>2009</v>
      </c>
      <c r="H202" s="392">
        <f>(O111*100*($E111/365)/($R111))+(O112*100*($E112/365)/($R112))+(O113*100*($E113/365)/($R113))</f>
        <v>40.564635958395243</v>
      </c>
      <c r="I202" s="392"/>
      <c r="J202" s="362">
        <f>(P111*100*($E111/365)/($R111))+(P112*100*($E112/365)/($R112))+(P113*100*($E113/365)/($R113))</f>
        <v>39.673105497771175</v>
      </c>
      <c r="K202" s="362"/>
      <c r="L202" s="362">
        <f>(Q111*100*($E111/365)/($R111))+(Q112*100*($E112/365)/($R112))+(Q113*100*($E113/365)/($R113))</f>
        <v>19.762258543833582</v>
      </c>
      <c r="M202" s="362"/>
      <c r="N202" s="363">
        <f t="shared" si="61"/>
        <v>100</v>
      </c>
      <c r="O202" s="363"/>
      <c r="R202" s="1">
        <v>2009</v>
      </c>
      <c r="S202" s="5">
        <f>(O111*($E111/365))+(O112*($E112/365))+(O113*($E113/365))</f>
        <v>27.300000000000004</v>
      </c>
      <c r="T202" s="5">
        <f>(P111*($E111/365))+(P112*($E112/365))+(P113*($E113/365))</f>
        <v>26.700000000000003</v>
      </c>
      <c r="U202" s="5">
        <f>(Q111*($E111/365))+(Q112*($E112/365))+(Q113*($E113/365))</f>
        <v>13.3</v>
      </c>
      <c r="V202" s="5"/>
      <c r="W202" s="5">
        <f>R111*(E111/365) + R112*(E112/365) + R113*(E113/365)</f>
        <v>67.300000000000011</v>
      </c>
    </row>
    <row r="203" spans="1:23" x14ac:dyDescent="0.15">
      <c r="A203" s="1">
        <v>2010</v>
      </c>
      <c r="B203" s="5">
        <f>(K114*($E114/365))+(K115*($E115/365))</f>
        <v>40</v>
      </c>
      <c r="C203" s="5">
        <f>(L114*($E114/365))+(L115*($E115/365))</f>
        <v>40</v>
      </c>
      <c r="D203" s="5">
        <f>(M114*($E114/365))+(M115*($E115/365))</f>
        <v>20</v>
      </c>
      <c r="E203" s="17">
        <f t="shared" si="62"/>
        <v>100</v>
      </c>
      <c r="G203" s="1">
        <v>2010</v>
      </c>
      <c r="H203" s="392">
        <f>(O114*100*($E114/365)/($R114))+(O115*100*($E115/365)/($R115))</f>
        <v>38.831062055804153</v>
      </c>
      <c r="I203" s="392"/>
      <c r="J203" s="392">
        <f>(P114*100*($E114/365)/($R114))+(P115*100*($E115/365)/($R115))</f>
        <v>35.030315620716863</v>
      </c>
      <c r="K203" s="392"/>
      <c r="L203" s="392">
        <f>(Q114*100*($E114/365)/($R114))+(Q115*100*($E115/365)/($R115))</f>
        <v>26.13862232347898</v>
      </c>
      <c r="M203" s="392"/>
      <c r="N203" s="363">
        <f t="shared" si="61"/>
        <v>100</v>
      </c>
      <c r="O203" s="363"/>
      <c r="R203" s="1">
        <v>2010</v>
      </c>
      <c r="S203" s="5">
        <f>(O114*($E114/365))+(O115*($E115/365))</f>
        <v>23.647397260273969</v>
      </c>
      <c r="T203" s="5">
        <f>(P114*($E114/365))+(P115*($E115/365))</f>
        <v>21.497808219178083</v>
      </c>
      <c r="U203" s="5">
        <f>(Q114*($E114/365))+(Q115*($E115/365))</f>
        <v>15.513698630136986</v>
      </c>
      <c r="V203" s="5"/>
      <c r="W203" s="5">
        <f>R114*(E114/365) + R115*(E115/365)</f>
        <v>60.658904109589038</v>
      </c>
    </row>
    <row r="204" spans="1:23" x14ac:dyDescent="0.15">
      <c r="A204" s="1">
        <v>2011</v>
      </c>
      <c r="B204" s="5">
        <f>(K116*($E116/365))+(K117*($E117/365))</f>
        <v>39.890410958904106</v>
      </c>
      <c r="C204" s="5">
        <f>(L116*($E116/365))+(L117*($E117/365))</f>
        <v>38.794520547945204</v>
      </c>
      <c r="D204" s="5">
        <f>(M116*($E116/365))+(M117*($E117/365))</f>
        <v>21.315068493150683</v>
      </c>
      <c r="E204" s="17">
        <f t="shared" si="62"/>
        <v>100</v>
      </c>
      <c r="G204" s="1">
        <v>2011</v>
      </c>
      <c r="H204" s="392">
        <f>(O116*100*($E116/365)/($R116))+(O117*100*($E117/365)/($R117))</f>
        <v>37.069723983749903</v>
      </c>
      <c r="I204" s="392"/>
      <c r="J204" s="392">
        <f>(P116*100*($E116/365)/($R116))+(P117*100*($E117/365)/($R117))</f>
        <v>30.98097704922094</v>
      </c>
      <c r="K204" s="392"/>
      <c r="L204" s="392">
        <f>(Q116*100*($E116/365)/($R116))+(Q117*100*($E117/365)/($R117))</f>
        <v>31.949298967029158</v>
      </c>
      <c r="M204" s="392"/>
      <c r="N204" s="363">
        <f t="shared" si="61"/>
        <v>100</v>
      </c>
      <c r="O204" s="363"/>
      <c r="R204" s="1">
        <v>2011</v>
      </c>
      <c r="S204" s="5">
        <f>(O116*($E116/365))+(O117*($E117/365))</f>
        <v>20.699999999999996</v>
      </c>
      <c r="T204" s="5">
        <f>(P116*($E116/365))+(P117*($E117/365))</f>
        <v>17.3</v>
      </c>
      <c r="U204" s="5">
        <f>(Q116*($E116/365))+(Q117*($E117/365))</f>
        <v>17.91972602739726</v>
      </c>
      <c r="V204" s="5"/>
      <c r="W204" s="5">
        <f>R116*(E116/365) + R117*(E117/365)</f>
        <v>55.91972602739726</v>
      </c>
    </row>
    <row r="205" spans="1:23" x14ac:dyDescent="0.15">
      <c r="A205" s="1">
        <v>2012</v>
      </c>
      <c r="B205" s="5">
        <f>(K118*($E118/366))+(K119*($E119/366))</f>
        <v>38.461538461538467</v>
      </c>
      <c r="C205" s="5">
        <f>(L118*($E118/366))+(L119*($E119/366))</f>
        <v>23.076923076923077</v>
      </c>
      <c r="D205" s="5">
        <f>(M118*($E118/366))+(M119*($E119/366))</f>
        <v>38.461538461538467</v>
      </c>
      <c r="E205" s="17">
        <f t="shared" ref="E205:E211" si="63">SUM(B205:D205)</f>
        <v>100.00000000000001</v>
      </c>
      <c r="G205" s="1">
        <v>2012</v>
      </c>
      <c r="H205" s="392">
        <f>(O118*100*($E118/366)/($R118))+(O119*100*($E119/366)/($R119))</f>
        <v>32.34375</v>
      </c>
      <c r="I205" s="392"/>
      <c r="J205" s="362">
        <f>(P118*100*($E118/366)/($R118))+(P119*100*($E119/366)/($R119))</f>
        <v>27.03125</v>
      </c>
      <c r="K205" s="362"/>
      <c r="L205" s="362">
        <f>(Q118*100*($E118/366)/($R118))+(Q119*100*($E119/366)/($R119))</f>
        <v>40.625</v>
      </c>
      <c r="M205" s="362"/>
      <c r="N205" s="363">
        <f t="shared" si="61"/>
        <v>100</v>
      </c>
      <c r="O205" s="363"/>
      <c r="R205" s="1">
        <v>2012</v>
      </c>
      <c r="S205" s="5">
        <f>(O118*($E118/366))+(O119*($E119/366))</f>
        <v>20.7</v>
      </c>
      <c r="T205" s="5">
        <f>(P118*($E118/366))+(P119*($E119/366))</f>
        <v>17.3</v>
      </c>
      <c r="U205" s="5">
        <f>(Q118*($E118/366))+(Q119*($E119/366))</f>
        <v>26</v>
      </c>
      <c r="V205" s="5"/>
      <c r="W205" s="5">
        <f>R118*(E118/366) + R119*(E119/366)</f>
        <v>64</v>
      </c>
    </row>
    <row r="206" spans="1:23" x14ac:dyDescent="0.15">
      <c r="A206" s="1">
        <v>2013</v>
      </c>
      <c r="B206" s="5">
        <f>(K120*($E120/365))+(K121*($E121/365))</f>
        <v>38.461538461538467</v>
      </c>
      <c r="C206" s="5">
        <f>(L120*($E120/365))+(L121*($E121/365))</f>
        <v>23.076923076923077</v>
      </c>
      <c r="D206" s="5">
        <f>(M120*($E120/365))+(M121*($E121/365))</f>
        <v>38.461538461538467</v>
      </c>
      <c r="E206" s="17">
        <f t="shared" si="63"/>
        <v>100.00000000000001</v>
      </c>
      <c r="G206" s="1">
        <v>2013</v>
      </c>
      <c r="H206" s="392">
        <f>(O120*100*($E120/365)/($R120))+(O121*100*($E121/365)/($R121))</f>
        <v>32.34375</v>
      </c>
      <c r="I206" s="392"/>
      <c r="J206" s="362">
        <f>(P120*100*($E120/365)/($R120))+(P121*100*($E121/365)/($R121))</f>
        <v>27.03125</v>
      </c>
      <c r="K206" s="362"/>
      <c r="L206" s="362">
        <f>(Q120*100*($E120/365)/($R120))+(Q121*100*($E121/365)/($R121))</f>
        <v>40.625</v>
      </c>
      <c r="M206" s="362"/>
      <c r="N206" s="363">
        <f t="shared" ref="N206:N211" si="64">SUM(H206:L206)</f>
        <v>100</v>
      </c>
      <c r="O206" s="363"/>
      <c r="R206" s="1">
        <v>2013</v>
      </c>
      <c r="S206" s="5">
        <f>(O120*($E120/365))+(O121*($E121/365))</f>
        <v>20.7</v>
      </c>
      <c r="T206" s="5">
        <f>(P120*($E120/365))+(P121*($E121/365))</f>
        <v>17.3</v>
      </c>
      <c r="U206" s="5">
        <f>(Q120*($E120/365))+(Q121*($E121/365))</f>
        <v>26</v>
      </c>
      <c r="W206" s="5">
        <f>R120*(E120/365) + R121*(E121/365)</f>
        <v>64</v>
      </c>
    </row>
    <row r="207" spans="1:23" x14ac:dyDescent="0.15">
      <c r="A207" s="1">
        <v>2014</v>
      </c>
      <c r="B207" s="5">
        <f>(K122*($E122/365))+(K123*($E123/365))+(K124*($E124/365))</f>
        <v>44.263134126147833</v>
      </c>
      <c r="C207" s="5">
        <f>(L122*($E122/365))+(L123*($E123/365))+(L124*($E124/365))</f>
        <v>25.916001806412766</v>
      </c>
      <c r="D207" s="5">
        <f>(M122*($E122/365))+(M123*($E123/365))+(M124*($E124/365))</f>
        <v>29.820864067439413</v>
      </c>
      <c r="E207" s="17">
        <f t="shared" si="63"/>
        <v>100.00000000000001</v>
      </c>
      <c r="G207" s="1">
        <v>2014</v>
      </c>
      <c r="H207" s="392">
        <f>(O122*100*($E122/365)/($R122))+(O123*100*($E123/365)/($R123))+(O124*100*($E124/365)/($R124))</f>
        <v>35.046335545441778</v>
      </c>
      <c r="I207" s="392"/>
      <c r="J207" s="362">
        <f>(P122*100*($E122/365)/($R122))+(P123*100*($E123/365)/($R123))+(P124*100*($E124/365)/($R124))</f>
        <v>34.768568606557878</v>
      </c>
      <c r="K207" s="362"/>
      <c r="L207" s="362">
        <f>(Q122*100*($E122/365)/($R122))+(Q123*100*($E123/365)/($R123))+(Q124*100*($E124/365)/($R124))</f>
        <v>30.185095848000341</v>
      </c>
      <c r="M207" s="362"/>
      <c r="N207" s="363">
        <f t="shared" si="64"/>
        <v>100</v>
      </c>
      <c r="O207" s="363"/>
      <c r="R207" s="1">
        <v>2014</v>
      </c>
      <c r="S207" s="5">
        <f>(O122*($E122/365))+(O123*($E123/365))+(O124*($E124/365))</f>
        <v>21.845205479452055</v>
      </c>
      <c r="T207" s="5">
        <f>(P122*($E122/365))+(P123*($E123/365))+(P124*($E124/365))</f>
        <v>21.316438356164383</v>
      </c>
      <c r="U207" s="5">
        <f>(Q122*($E122/365))+(Q123*($E123/365))+(Q124*($E124/365))</f>
        <v>19.402739726027399</v>
      </c>
      <c r="W207" s="5">
        <f>R122*(E122/365) + R123*(E123/365) + R124*(E124/365)</f>
        <v>62.564383561643837</v>
      </c>
    </row>
    <row r="208" spans="1:23" x14ac:dyDescent="0.15">
      <c r="A208" s="1">
        <v>2015</v>
      </c>
      <c r="B208" s="5">
        <f>(K125*($E125/365))+(K126*($E126/365))</f>
        <v>64.285714285714292</v>
      </c>
      <c r="C208" s="5">
        <f>(L125*($E125/365))+(L126*($E126/365))</f>
        <v>35.714285714285715</v>
      </c>
      <c r="D208" s="5">
        <f>(M125*($E125/365))+(M126*($E126/365))</f>
        <v>0</v>
      </c>
      <c r="E208" s="17">
        <f t="shared" si="63"/>
        <v>100</v>
      </c>
      <c r="G208" s="1">
        <v>2015</v>
      </c>
      <c r="H208" s="392">
        <f>(O125*100*($E125/365)/($R125))+(O126*100*($E126/365)/($R126))</f>
        <v>39.929328621908127</v>
      </c>
      <c r="I208" s="392"/>
      <c r="J208" s="362">
        <f>(P125*100*($E125/365)/($R125))+(P126*100*($E126/365)/($R126))</f>
        <v>60.070671378091873</v>
      </c>
      <c r="K208" s="362"/>
      <c r="L208" s="362">
        <f>(Q125*100*($E125/365)/($R125))+(Q126*100*($E126/365)/($R126))</f>
        <v>0</v>
      </c>
      <c r="M208" s="362"/>
      <c r="N208" s="363">
        <f t="shared" si="64"/>
        <v>100</v>
      </c>
      <c r="O208" s="363"/>
      <c r="R208" s="1">
        <v>2015</v>
      </c>
      <c r="S208" s="5">
        <f>(O125*($E125/365))+(O126*($E126/365))</f>
        <v>22.6</v>
      </c>
      <c r="T208" s="5">
        <f>(P125*($E125/365))+(P126*($E126/365))</f>
        <v>34</v>
      </c>
      <c r="U208" s="5">
        <f>(Q125*($E125/365))+(Q126*($E126/365))</f>
        <v>0</v>
      </c>
      <c r="W208" s="5">
        <f>R125*(E125/365) + R126*(E126/365)</f>
        <v>56.6</v>
      </c>
    </row>
    <row r="209" spans="1:23" x14ac:dyDescent="0.15">
      <c r="A209" s="1">
        <v>2016</v>
      </c>
      <c r="B209" s="5">
        <f>(K126*($E127/366))+(K128*($E128/366))</f>
        <v>64.285714285714292</v>
      </c>
      <c r="C209" s="5">
        <f>(L127*($E127/366))+(L128*($E128/366))</f>
        <v>35.714285714285715</v>
      </c>
      <c r="D209" s="5">
        <f>(M127*($E127/366))+(M128*($E128/366))</f>
        <v>0</v>
      </c>
      <c r="E209" s="17">
        <f t="shared" si="63"/>
        <v>100</v>
      </c>
      <c r="G209" s="1">
        <v>2016</v>
      </c>
      <c r="H209" s="392">
        <f>(O127*100*($E127/366)/($R127))+(O128*100*($E128/366)/($R128))</f>
        <v>39.929328621908127</v>
      </c>
      <c r="I209" s="392"/>
      <c r="J209" s="362">
        <f>(P127*100*($E127/366)/($R127))+(P128*100*($E128/366)/($R128))</f>
        <v>60.070671378091873</v>
      </c>
      <c r="K209" s="362"/>
      <c r="L209" s="362">
        <f>(Q127*100*($E127/366)/($R127))+(Q128*100*($E128/366)/($R128))</f>
        <v>0</v>
      </c>
      <c r="M209" s="362"/>
      <c r="N209" s="363">
        <f t="shared" si="64"/>
        <v>100</v>
      </c>
      <c r="O209" s="363"/>
      <c r="R209" s="1">
        <v>2016</v>
      </c>
      <c r="S209" s="5">
        <f>(O127*($E127/366))+(O128*($E128/366))</f>
        <v>22.6</v>
      </c>
      <c r="T209" s="5">
        <f>(P127*($E127/366))+(P128*($E128/366))</f>
        <v>34</v>
      </c>
      <c r="U209" s="5">
        <f>(Q127*($E127/366))+(Q128*($E128/366))</f>
        <v>0</v>
      </c>
      <c r="W209" s="5">
        <f>R127*(E127/366) + R128*(E128/366)</f>
        <v>56.6</v>
      </c>
    </row>
    <row r="210" spans="1:23" x14ac:dyDescent="0.15">
      <c r="A210" s="1">
        <v>2017</v>
      </c>
      <c r="B210" s="5">
        <f>(K129*($E129/365))+(K130*($E130/365))</f>
        <v>64.285714285714292</v>
      </c>
      <c r="C210" s="5">
        <f>(L129*($E129/365))+(L130*($E130/365))</f>
        <v>35.714285714285715</v>
      </c>
      <c r="D210" s="5">
        <f>(M129*($E129/365))+(M130*($E130/365))</f>
        <v>0</v>
      </c>
      <c r="E210" s="17">
        <f t="shared" si="63"/>
        <v>100</v>
      </c>
      <c r="G210" s="1">
        <v>2017</v>
      </c>
      <c r="H210" s="392">
        <f>(O129*100*($E129/365)/($R129))+(O130*100*($E130/365)/($R130))</f>
        <v>39.929328621908127</v>
      </c>
      <c r="I210" s="392"/>
      <c r="J210" s="392">
        <f>(P129*100*($E129/365)/($R129))+(P130*100*($E130/365)/($R130))</f>
        <v>60.070671378091873</v>
      </c>
      <c r="K210" s="392"/>
      <c r="L210" s="392">
        <f>(Q129*100*($E129/365)/($R129))+(Q130*100*($E130/365)/($R130))</f>
        <v>0</v>
      </c>
      <c r="M210" s="392"/>
      <c r="N210" s="363">
        <f t="shared" si="64"/>
        <v>100</v>
      </c>
      <c r="O210" s="363"/>
      <c r="R210" s="1">
        <v>2017</v>
      </c>
      <c r="S210" s="5">
        <f>(O129*($E129/365))+(O130*($E130/365))</f>
        <v>22.6</v>
      </c>
      <c r="T210" s="5">
        <f>(P129*($E129/365))+(P130*($E130/365))</f>
        <v>34</v>
      </c>
      <c r="U210" s="5">
        <f>(Q129*($E129/365))+(Q130*($E130/365))</f>
        <v>0</v>
      </c>
      <c r="W210" s="5">
        <f>R129*(E129/365) + R130*(E130/365)</f>
        <v>56.6</v>
      </c>
    </row>
    <row r="211" spans="1:23" x14ac:dyDescent="0.15">
      <c r="A211" s="1">
        <v>2018</v>
      </c>
      <c r="B211" s="5">
        <f>(K131*($E131/365))+(K132*($E132/365))+(K133*($E133/365))</f>
        <v>65.082041246424808</v>
      </c>
      <c r="C211" s="5">
        <f>(L131*($E131/365))+(L132*($E132/365))+(L133*($E133/365))</f>
        <v>34.917958753575192</v>
      </c>
      <c r="D211" s="5">
        <f>(M131*($E131/365))+(M132*($E132/365))+(M133*($E133/365))</f>
        <v>0</v>
      </c>
      <c r="E211" s="17">
        <f t="shared" si="63"/>
        <v>100</v>
      </c>
      <c r="G211" s="1">
        <v>2018</v>
      </c>
      <c r="H211" s="392">
        <f>(O131*100*($E131/365)/($R131))+(O132*100*($E132/365)/($R132))+(O133*100*($E133/365)/($R133))</f>
        <v>41.529157609372334</v>
      </c>
      <c r="I211" s="392"/>
      <c r="J211" s="392">
        <f>(P131*100*($E131/365)/($R131))+(P132*100*($E132/365)/($R132))+(P133*100*($E133/365)/($R133))</f>
        <v>58.470842390627659</v>
      </c>
      <c r="K211" s="392"/>
      <c r="L211" s="392">
        <f>(Q131*100*($E131/365)/($R131))+(Q132*100*($E132/365)/($R132))+(Q133*100*($E133/365)/($R133))</f>
        <v>0</v>
      </c>
      <c r="M211" s="392"/>
      <c r="N211" s="363">
        <f t="shared" si="64"/>
        <v>100</v>
      </c>
      <c r="O211" s="363"/>
      <c r="R211" s="1">
        <v>2018</v>
      </c>
      <c r="S211" s="5">
        <f>(O131*($E131/365))+(O132*($E132/365))+(O133*($E133/365))</f>
        <v>22.6</v>
      </c>
      <c r="T211" s="5">
        <f>(P131*($E131/365))+(P132*($E132/365))+(P133*($E133/365))</f>
        <v>32.613698630136987</v>
      </c>
      <c r="U211" s="5">
        <f>(Q131*($E131/365))+(Q132*($E132/365))+(Q133*($E133/365))</f>
        <v>0</v>
      </c>
      <c r="W211" s="5">
        <f>R131*(E131/365) + R132*(E132/365)</f>
        <v>54.17095890410959</v>
      </c>
    </row>
    <row r="212" spans="1:23" x14ac:dyDescent="0.15">
      <c r="A212" s="1">
        <v>2019</v>
      </c>
      <c r="B212" s="5">
        <f>(K134*($E134/365))+(K135*($E135/365))</f>
        <v>76.923076923076934</v>
      </c>
      <c r="C212" s="5">
        <f>(L134*($E134/365))+(L135*($E135/365))</f>
        <v>23.076923076923077</v>
      </c>
      <c r="D212" s="5">
        <f>(M134*($E134/365))+(M135*($E135/365))</f>
        <v>0</v>
      </c>
      <c r="E212" s="17">
        <f t="shared" ref="E212:E213" si="65">SUM(B212:D212)</f>
        <v>100.00000000000001</v>
      </c>
      <c r="G212" s="1">
        <v>2019</v>
      </c>
      <c r="H212" s="392">
        <f>(O134*100*($E134/365)/($R134))+(O135*100*($E135/365)/($R135))</f>
        <v>65.871510360901581</v>
      </c>
      <c r="I212" s="392"/>
      <c r="J212" s="392">
        <f>(P134*100*($E134/365)/($R134))+(P135*100*($E135/365)/($R135))</f>
        <v>34.128489639098412</v>
      </c>
      <c r="K212" s="392"/>
      <c r="L212" s="392">
        <f>(Q133*100*($E133/365)/($R133))+(Q134*100*($E134/365)/($R134))+(Q135*100*($E135/365)/($R135))</f>
        <v>0</v>
      </c>
      <c r="M212" s="392"/>
      <c r="N212" s="363">
        <f t="shared" ref="N212" si="66">SUM(H212:L212)</f>
        <v>100</v>
      </c>
      <c r="O212" s="363"/>
      <c r="R212" s="1">
        <v>2019</v>
      </c>
      <c r="S212" s="5">
        <f>(O134*($E134/365))+(O135*($E135/365))</f>
        <v>21.641643835616442</v>
      </c>
      <c r="T212" s="5">
        <f>(P134*($E134/365))+(P135*($E135/365))</f>
        <v>11.276712328767122</v>
      </c>
      <c r="U212" s="5">
        <f>(Q134*($E134/365))+(Q135*($E135/365))</f>
        <v>0</v>
      </c>
      <c r="W212" s="5">
        <f>R133*(E133/365) + R134*(E134/365)</f>
        <v>29.386301369863013</v>
      </c>
    </row>
    <row r="213" spans="1:23" x14ac:dyDescent="0.15">
      <c r="A213" s="1">
        <v>2020</v>
      </c>
      <c r="B213" s="5">
        <f>(K136*($E136/366))+(K137*($E137/366))+(K138*($E138/366))</f>
        <v>65.128205128205138</v>
      </c>
      <c r="C213" s="5">
        <f>(L136*($E136/366))+(L137*($E137/366))+(L138*($E138/366))</f>
        <v>21.046658259773015</v>
      </c>
      <c r="D213" s="5">
        <f>(M136*($E136/366))+(M137*($E137/366))+(M138*($E138/366))</f>
        <v>13.82513661202186</v>
      </c>
      <c r="E213" s="17">
        <f t="shared" si="65"/>
        <v>100.00000000000001</v>
      </c>
      <c r="G213" s="1">
        <v>2020</v>
      </c>
      <c r="H213" s="392">
        <f>(O136*100*($E136/366)/($R136))+(O137*100*($E137/366)/($R137))+(O138*100*($E138/366)/($R138))</f>
        <v>58.714758462950059</v>
      </c>
      <c r="I213" s="392"/>
      <c r="J213" s="392">
        <f>(P136*100*($E136/366)/($R136))+(P137*100*($E137/366)/($R137))+(P138*100*($E138/366)/($R138))</f>
        <v>27.151333393271706</v>
      </c>
      <c r="K213" s="392"/>
      <c r="L213" s="392">
        <f>(Q135*100*($E135/366)/($R135))+(Q136*100*($E136/366)/($R136))+(Q137*100*($E137/366)/($R137))+(Q138*100*($E138/366)/($R138))</f>
        <v>14.133908143778246</v>
      </c>
      <c r="M213" s="392"/>
      <c r="N213" s="363">
        <f t="shared" ref="N213" si="67">SUM(H213:L213)</f>
        <v>100.00000000000001</v>
      </c>
      <c r="O213" s="363"/>
      <c r="R213" s="1">
        <v>2020</v>
      </c>
      <c r="S213" s="5">
        <f>(O136*($E136/366))+(O137*($E137/366))+(O138*($E138/366))</f>
        <v>17.3</v>
      </c>
      <c r="T213" s="5">
        <f>(P136*($E136/366))+(P137*($E137/366))+(P138*($E138/366))</f>
        <v>8</v>
      </c>
      <c r="U213" s="5">
        <f>(Q136*($E136/366))+(Q137*($E137/366))+(Q138*($E138/366))</f>
        <v>8.169398907103826</v>
      </c>
      <c r="W213" s="5">
        <f>R136*(E136/366)+ R137*(E137/366)+ R138*(E138/366)</f>
        <v>33.469398907103823</v>
      </c>
    </row>
    <row r="214" spans="1:23" x14ac:dyDescent="0.15">
      <c r="A214" s="1">
        <v>2021</v>
      </c>
      <c r="B214" s="5">
        <f>(K139*($E139/365))+(K140*($E140/365))</f>
        <v>30</v>
      </c>
      <c r="C214" s="5">
        <f>(L140*($E140/365))+(L139*($E139/365))</f>
        <v>15</v>
      </c>
      <c r="D214" s="5">
        <f>(M140*($E140/365))+(M139*($E139/365))</f>
        <v>55.000000000000007</v>
      </c>
      <c r="E214" s="17">
        <f>SUM(B214:D214)</f>
        <v>100</v>
      </c>
      <c r="G214" s="1">
        <v>2021</v>
      </c>
      <c r="H214" s="392">
        <f>(O139*100*($E139/365)/($R139))+(O140*100*($E140/365)/($R140))</f>
        <v>29.930795847750865</v>
      </c>
      <c r="I214" s="392" t="e">
        <f>(O140*100*($E140/366)/($R140))+(O146*100*($E146/365)/($R146))</f>
        <v>#DIV/0!</v>
      </c>
      <c r="J214" s="392">
        <f>(P139*100*($E139/365)/($R139))+(P140*100*($E140/365)/($R140))</f>
        <v>13.84083044982699</v>
      </c>
      <c r="K214" s="392" t="e">
        <f>(P140*100*($E140/365)/($R140))+(P146*100*($E146/365)/($R146))</f>
        <v>#DIV/0!</v>
      </c>
      <c r="L214" s="392">
        <f>(Q139*100*($E139/365)/($R139))+(Q140*100*($E140/365)/($R140))</f>
        <v>56.228373702422147</v>
      </c>
      <c r="M214" s="392" t="e">
        <f>(Q139*100*($E139/365)/($R139))+(Q140*100*($E140/365)/($R140))+(Q146*100*($E146/365)/($R146))</f>
        <v>#DIV/0!</v>
      </c>
      <c r="N214" s="363">
        <f>H214+J214+L214</f>
        <v>100</v>
      </c>
      <c r="O214" s="363"/>
      <c r="R214" s="1">
        <v>2021</v>
      </c>
      <c r="S214" s="5">
        <f>(O140*($E140/365))+(O139*($E139/365))</f>
        <v>17.3</v>
      </c>
      <c r="T214" s="5">
        <f>(P140*($E140/365))+(P139*($E139/365))</f>
        <v>8</v>
      </c>
      <c r="U214" s="5">
        <f>(Q140*($E140/365))+(Q139*($E139/365))</f>
        <v>32.5</v>
      </c>
      <c r="W214" s="5">
        <f>R140*(E140/365) + R139*(E139/365)</f>
        <v>57.8</v>
      </c>
    </row>
    <row r="215" spans="1:23" x14ac:dyDescent="0.15">
      <c r="A215" s="1">
        <v>2022</v>
      </c>
      <c r="B215" s="5">
        <f>(K141*($E141/365))+(K142*($E142/365))+(K143*($E143/365))+(K144*($E144/365))+(K145*($E145/365))</f>
        <v>29.403028118240808</v>
      </c>
      <c r="C215" s="5">
        <f>(L141*($E141/365))+(L142*($E142/365))+(L143*($E143/365))+(L144*($E144/365))+(L145*($E145/365))</f>
        <v>15.307137707281905</v>
      </c>
      <c r="D215" s="5">
        <f>(M141*($E141/365))+(M142*($E142/365))+(M143*($E143/365))+(M144*($E144/365))+(M145*($E145/365))</f>
        <v>55.289834174477292</v>
      </c>
      <c r="E215" s="17">
        <f>SUM(B215:D215)</f>
        <v>100</v>
      </c>
      <c r="G215" s="1">
        <v>2022</v>
      </c>
      <c r="H215" s="392">
        <f>(O141*100*($E141/365)/($R141))+(O142*100*($E142/365)/($R142))+(O143*100*($E143/365)/($R143))+(O144*100*($E144/365)/($R144))+(O145*100*($E145/365)/($R145))</f>
        <v>29.930795847750868</v>
      </c>
      <c r="I215" s="392" t="e">
        <f>(O141*100*($E141/366)/($R141))+(O147*100*($E147/365)/($R147))</f>
        <v>#DIV/0!</v>
      </c>
      <c r="J215" s="392">
        <f>(P141*100*($E141/365)/($R141))+(P142*100*($E142/365)/($R142))+(P143*100*($E143/365)/($R143))+(P144*100*($E144/365)/($R144))+(P145*100*($E145/365)/($R145))</f>
        <v>13.84083044982699</v>
      </c>
      <c r="K215" s="392" t="e">
        <f>(P141*100*($E141/365)/($R141))+(P147*100*($E147/365)/($R147))</f>
        <v>#DIV/0!</v>
      </c>
      <c r="L215" s="392">
        <f>(Q141*100*($E141/365)/($R141))+(Q142*100*($E142/365)/($R142))+(Q143*100*($E143/365)/($R143))+(Q144*100*($E144/365)/($R144))+(Q145*100*($E145/365)/($R145))</f>
        <v>56.228373702422147</v>
      </c>
      <c r="M215" s="392" t="e">
        <f>(Q140*100*($E140/365)/($R140))+(Q141*100*($E141/365)/($R141))+(Q147*100*($E147/365)/($R147))</f>
        <v>#DIV/0!</v>
      </c>
      <c r="N215" s="363">
        <f>H215+J215+L215</f>
        <v>100</v>
      </c>
      <c r="O215" s="363"/>
      <c r="R215" s="1">
        <v>2022</v>
      </c>
      <c r="S215" s="5">
        <f>(O141*($E141/365))+(O142*($E142/365))+(O143*($E143/365))+(O144*($E144/365))+(O145*($E145/365))</f>
        <v>17.300000000000004</v>
      </c>
      <c r="T215" s="5">
        <f>(P141*($E141/365))+(P142*($E142/365))+(P143*($E143/365))+(P144*($E144/365))+(P145*($E145/365))</f>
        <v>8</v>
      </c>
      <c r="U215" s="5">
        <f>(Q141*($E141/365))+(Q142*($E142/365))+(Q143*($E143/365))+(Q144*($E144/365))+(Q145*($E145/365))</f>
        <v>32.500000000000007</v>
      </c>
      <c r="W215" s="5">
        <f>R141*(E141/365) + R142*(E142/365)+ R143*(E143/365)+ R144*(E144/365)+ R145*(E145/365)</f>
        <v>57.800000000000004</v>
      </c>
    </row>
  </sheetData>
  <mergeCells count="422">
    <mergeCell ref="N207:O207"/>
    <mergeCell ref="H207:I207"/>
    <mergeCell ref="H211:I211"/>
    <mergeCell ref="J211:K211"/>
    <mergeCell ref="L211:M211"/>
    <mergeCell ref="N211:O211"/>
    <mergeCell ref="H212:I212"/>
    <mergeCell ref="J212:K212"/>
    <mergeCell ref="L212:M212"/>
    <mergeCell ref="N212:O212"/>
    <mergeCell ref="H208:I208"/>
    <mergeCell ref="J208:K208"/>
    <mergeCell ref="L208:M208"/>
    <mergeCell ref="N208:O208"/>
    <mergeCell ref="H210:I210"/>
    <mergeCell ref="J210:K210"/>
    <mergeCell ref="L210:M210"/>
    <mergeCell ref="N210:O210"/>
    <mergeCell ref="J207:K207"/>
    <mergeCell ref="L207:M207"/>
    <mergeCell ref="H209:I209"/>
    <mergeCell ref="J209:K209"/>
    <mergeCell ref="L209:M209"/>
    <mergeCell ref="N209:O209"/>
    <mergeCell ref="AT4:AW4"/>
    <mergeCell ref="N198:O198"/>
    <mergeCell ref="N199:O199"/>
    <mergeCell ref="N200:O200"/>
    <mergeCell ref="N201:O201"/>
    <mergeCell ref="N179:O179"/>
    <mergeCell ref="N180:O180"/>
    <mergeCell ref="N181:O181"/>
    <mergeCell ref="N182:O182"/>
    <mergeCell ref="N183:O183"/>
    <mergeCell ref="N172:O172"/>
    <mergeCell ref="N173:O173"/>
    <mergeCell ref="N174:O174"/>
    <mergeCell ref="N175:O175"/>
    <mergeCell ref="N176:O176"/>
    <mergeCell ref="N177:O177"/>
    <mergeCell ref="N166:O166"/>
    <mergeCell ref="N167:O167"/>
    <mergeCell ref="N189:O189"/>
    <mergeCell ref="N178:O178"/>
    <mergeCell ref="N162:O162"/>
    <mergeCell ref="N163:O163"/>
    <mergeCell ref="N164:O164"/>
    <mergeCell ref="N165:O165"/>
    <mergeCell ref="AX4:BA4"/>
    <mergeCell ref="N206:O206"/>
    <mergeCell ref="C120:D120"/>
    <mergeCell ref="C121:D121"/>
    <mergeCell ref="H206:I206"/>
    <mergeCell ref="N196:O196"/>
    <mergeCell ref="N203:O203"/>
    <mergeCell ref="N204:O204"/>
    <mergeCell ref="N205:O205"/>
    <mergeCell ref="N197:O197"/>
    <mergeCell ref="N202:O202"/>
    <mergeCell ref="N190:O190"/>
    <mergeCell ref="N191:O191"/>
    <mergeCell ref="N192:O192"/>
    <mergeCell ref="N193:O193"/>
    <mergeCell ref="N194:O194"/>
    <mergeCell ref="N195:O195"/>
    <mergeCell ref="N184:O184"/>
    <mergeCell ref="C137:D137"/>
    <mergeCell ref="C138:D138"/>
    <mergeCell ref="N185:O185"/>
    <mergeCell ref="N186:O186"/>
    <mergeCell ref="N187:O187"/>
    <mergeCell ref="N188:O188"/>
    <mergeCell ref="N168:O168"/>
    <mergeCell ref="N169:O169"/>
    <mergeCell ref="N170:O170"/>
    <mergeCell ref="N171:O171"/>
    <mergeCell ref="L206:M206"/>
    <mergeCell ref="L197:M197"/>
    <mergeCell ref="L198:M198"/>
    <mergeCell ref="L199:M199"/>
    <mergeCell ref="L200:M200"/>
    <mergeCell ref="L201:M201"/>
    <mergeCell ref="L183:M183"/>
    <mergeCell ref="L184:M184"/>
    <mergeCell ref="L190:M190"/>
    <mergeCell ref="L191:M191"/>
    <mergeCell ref="L204:M204"/>
    <mergeCell ref="L205:M205"/>
    <mergeCell ref="L202:M202"/>
    <mergeCell ref="L203:M203"/>
    <mergeCell ref="L185:M185"/>
    <mergeCell ref="L186:M186"/>
    <mergeCell ref="L194:M194"/>
    <mergeCell ref="L195:M195"/>
    <mergeCell ref="L196:M196"/>
    <mergeCell ref="L188:M188"/>
    <mergeCell ref="L159:M159"/>
    <mergeCell ref="L160:M160"/>
    <mergeCell ref="L161:M161"/>
    <mergeCell ref="L162:M162"/>
    <mergeCell ref="L163:M163"/>
    <mergeCell ref="N153:O153"/>
    <mergeCell ref="N154:O154"/>
    <mergeCell ref="N155:O155"/>
    <mergeCell ref="N156:O156"/>
    <mergeCell ref="N157:O157"/>
    <mergeCell ref="N158:O158"/>
    <mergeCell ref="N159:O159"/>
    <mergeCell ref="L158:M158"/>
    <mergeCell ref="N160:O160"/>
    <mergeCell ref="N161:O161"/>
    <mergeCell ref="L164:M164"/>
    <mergeCell ref="L165:M165"/>
    <mergeCell ref="L166:M166"/>
    <mergeCell ref="L167:M167"/>
    <mergeCell ref="L168:M168"/>
    <mergeCell ref="L169:M169"/>
    <mergeCell ref="L187:M187"/>
    <mergeCell ref="L171:M171"/>
    <mergeCell ref="L172:M172"/>
    <mergeCell ref="L173:M173"/>
    <mergeCell ref="L174:M174"/>
    <mergeCell ref="L175:M175"/>
    <mergeCell ref="L176:M176"/>
    <mergeCell ref="L177:M177"/>
    <mergeCell ref="L178:M178"/>
    <mergeCell ref="L170:M170"/>
    <mergeCell ref="L189:M189"/>
    <mergeCell ref="L179:M179"/>
    <mergeCell ref="L180:M180"/>
    <mergeCell ref="L181:M181"/>
    <mergeCell ref="L182:M182"/>
    <mergeCell ref="L192:M192"/>
    <mergeCell ref="L193:M193"/>
    <mergeCell ref="J206:K206"/>
    <mergeCell ref="J194:K194"/>
    <mergeCell ref="J195:K195"/>
    <mergeCell ref="J196:K196"/>
    <mergeCell ref="J197:K197"/>
    <mergeCell ref="J198:K198"/>
    <mergeCell ref="J203:K203"/>
    <mergeCell ref="J204:K204"/>
    <mergeCell ref="J205:K205"/>
    <mergeCell ref="J199:K199"/>
    <mergeCell ref="J200:K200"/>
    <mergeCell ref="J201:K201"/>
    <mergeCell ref="J202:K202"/>
    <mergeCell ref="J176:K176"/>
    <mergeCell ref="J177:K177"/>
    <mergeCell ref="J178:K178"/>
    <mergeCell ref="J192:K192"/>
    <mergeCell ref="J193:K193"/>
    <mergeCell ref="J185:K185"/>
    <mergeCell ref="J186:K186"/>
    <mergeCell ref="J179:K179"/>
    <mergeCell ref="J180:K180"/>
    <mergeCell ref="J181:K181"/>
    <mergeCell ref="H204:I204"/>
    <mergeCell ref="H205:I205"/>
    <mergeCell ref="J168:K168"/>
    <mergeCell ref="J169:K169"/>
    <mergeCell ref="J170:K170"/>
    <mergeCell ref="J171:K171"/>
    <mergeCell ref="J172:K172"/>
    <mergeCell ref="J173:K173"/>
    <mergeCell ref="J187:K187"/>
    <mergeCell ref="J188:K188"/>
    <mergeCell ref="H198:I198"/>
    <mergeCell ref="H199:I199"/>
    <mergeCell ref="H196:I196"/>
    <mergeCell ref="H200:I200"/>
    <mergeCell ref="H201:I201"/>
    <mergeCell ref="H203:I203"/>
    <mergeCell ref="H202:I202"/>
    <mergeCell ref="H192:I192"/>
    <mergeCell ref="H193:I193"/>
    <mergeCell ref="H194:I194"/>
    <mergeCell ref="H195:I195"/>
    <mergeCell ref="H190:I190"/>
    <mergeCell ref="H197:I197"/>
    <mergeCell ref="H187:I187"/>
    <mergeCell ref="H188:I188"/>
    <mergeCell ref="H189:I189"/>
    <mergeCell ref="H191:I191"/>
    <mergeCell ref="J189:K189"/>
    <mergeCell ref="J190:K190"/>
    <mergeCell ref="J191:K191"/>
    <mergeCell ref="J174:K174"/>
    <mergeCell ref="J160:K160"/>
    <mergeCell ref="J161:K161"/>
    <mergeCell ref="J162:K162"/>
    <mergeCell ref="J163:K163"/>
    <mergeCell ref="J164:K164"/>
    <mergeCell ref="J165:K165"/>
    <mergeCell ref="H181:I181"/>
    <mergeCell ref="H182:I182"/>
    <mergeCell ref="H183:I183"/>
    <mergeCell ref="H184:I184"/>
    <mergeCell ref="J182:K182"/>
    <mergeCell ref="J183:K183"/>
    <mergeCell ref="J184:K184"/>
    <mergeCell ref="H185:I185"/>
    <mergeCell ref="H186:I186"/>
    <mergeCell ref="H163:I163"/>
    <mergeCell ref="H164:I164"/>
    <mergeCell ref="H170:I170"/>
    <mergeCell ref="H171:I171"/>
    <mergeCell ref="H160:I160"/>
    <mergeCell ref="H161:I161"/>
    <mergeCell ref="H162:I162"/>
    <mergeCell ref="H165:I165"/>
    <mergeCell ref="J166:K166"/>
    <mergeCell ref="J167:K167"/>
    <mergeCell ref="J175:K175"/>
    <mergeCell ref="R149:W149"/>
    <mergeCell ref="H151:I151"/>
    <mergeCell ref="J151:K151"/>
    <mergeCell ref="L151:M151"/>
    <mergeCell ref="N151:O151"/>
    <mergeCell ref="H153:I153"/>
    <mergeCell ref="J153:K153"/>
    <mergeCell ref="L153:M153"/>
    <mergeCell ref="H152:I152"/>
    <mergeCell ref="J152:K152"/>
    <mergeCell ref="N152:O152"/>
    <mergeCell ref="G3:M3"/>
    <mergeCell ref="O3:Q3"/>
    <mergeCell ref="C9:D9"/>
    <mergeCell ref="C10:D10"/>
    <mergeCell ref="A4:A5"/>
    <mergeCell ref="B4:B5"/>
    <mergeCell ref="C4:D5"/>
    <mergeCell ref="E4:E5"/>
    <mergeCell ref="F4:F5"/>
    <mergeCell ref="G4:J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13:D113"/>
    <mergeCell ref="C114:D114"/>
    <mergeCell ref="C115:D115"/>
    <mergeCell ref="C103:D103"/>
    <mergeCell ref="C104:D104"/>
    <mergeCell ref="C105:D105"/>
    <mergeCell ref="C106:D106"/>
    <mergeCell ref="C107:D107"/>
    <mergeCell ref="C108:D108"/>
    <mergeCell ref="C116:D116"/>
    <mergeCell ref="C109:D109"/>
    <mergeCell ref="C110:D110"/>
    <mergeCell ref="C117:D117"/>
    <mergeCell ref="C118:D118"/>
    <mergeCell ref="C119:D119"/>
    <mergeCell ref="C111:D111"/>
    <mergeCell ref="C112:D112"/>
    <mergeCell ref="L152:M152"/>
    <mergeCell ref="C125:D125"/>
    <mergeCell ref="C126:D126"/>
    <mergeCell ref="C122:D122"/>
    <mergeCell ref="C123:D123"/>
    <mergeCell ref="C124:D124"/>
    <mergeCell ref="C127:D127"/>
    <mergeCell ref="C128:D128"/>
    <mergeCell ref="C129:D129"/>
    <mergeCell ref="C130:D130"/>
    <mergeCell ref="C131:D131"/>
    <mergeCell ref="C132:D132"/>
    <mergeCell ref="C133:D133"/>
    <mergeCell ref="C134:D134"/>
    <mergeCell ref="C135:D135"/>
    <mergeCell ref="C136:D136"/>
    <mergeCell ref="C139:D139"/>
    <mergeCell ref="C140:D140"/>
    <mergeCell ref="H213:I213"/>
    <mergeCell ref="J213:K213"/>
    <mergeCell ref="L213:M213"/>
    <mergeCell ref="N213:O213"/>
    <mergeCell ref="H154:I154"/>
    <mergeCell ref="H155:I155"/>
    <mergeCell ref="H156:I156"/>
    <mergeCell ref="H157:I157"/>
    <mergeCell ref="H158:I158"/>
    <mergeCell ref="H159:I159"/>
    <mergeCell ref="L154:M154"/>
    <mergeCell ref="L155:M155"/>
    <mergeCell ref="L156:M156"/>
    <mergeCell ref="L157:M157"/>
    <mergeCell ref="J154:K154"/>
    <mergeCell ref="J155:K155"/>
    <mergeCell ref="J156:K156"/>
    <mergeCell ref="J157:K157"/>
    <mergeCell ref="J158:K158"/>
    <mergeCell ref="J159:K159"/>
    <mergeCell ref="H178:I178"/>
    <mergeCell ref="H179:I179"/>
    <mergeCell ref="C141:D141"/>
    <mergeCell ref="C142:D142"/>
    <mergeCell ref="C143:D143"/>
    <mergeCell ref="C144:D144"/>
    <mergeCell ref="C145:D145"/>
    <mergeCell ref="H215:I215"/>
    <mergeCell ref="J215:K215"/>
    <mergeCell ref="L215:M215"/>
    <mergeCell ref="N215:O215"/>
    <mergeCell ref="H214:I214"/>
    <mergeCell ref="J214:K214"/>
    <mergeCell ref="L214:M214"/>
    <mergeCell ref="N214:O214"/>
    <mergeCell ref="H180:I180"/>
    <mergeCell ref="H172:I172"/>
    <mergeCell ref="H173:I173"/>
    <mergeCell ref="H174:I174"/>
    <mergeCell ref="H175:I175"/>
    <mergeCell ref="H176:I176"/>
    <mergeCell ref="H177:I177"/>
    <mergeCell ref="H166:I166"/>
    <mergeCell ref="H167:I167"/>
    <mergeCell ref="H168:I168"/>
    <mergeCell ref="H169:I169"/>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A123"/>
  <sheetViews>
    <sheetView zoomScale="112" zoomScaleNormal="102" workbookViewId="0">
      <pane xSplit="1" ySplit="5" topLeftCell="AM74"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3" width="4.5" style="1" customWidth="1"/>
    <col min="14" max="14" width="5.5" style="1" customWidth="1"/>
    <col min="15" max="18" width="4.5" style="1" customWidth="1"/>
    <col min="19" max="19" width="7.83203125" style="1" customWidth="1"/>
    <col min="20" max="20" width="8.83203125" style="1" customWidth="1"/>
    <col min="21" max="21" width="8.5" style="1" customWidth="1"/>
    <col min="22" max="53" width="5.6640625" style="1" customWidth="1"/>
    <col min="54" max="16384" width="10.6640625" style="1"/>
  </cols>
  <sheetData>
    <row r="1" spans="1:53" ht="15" customHeight="1" x14ac:dyDescent="0.15">
      <c r="B1" s="15" t="s">
        <v>14</v>
      </c>
    </row>
    <row r="2" spans="1:53" ht="15" customHeight="1" x14ac:dyDescent="0.15">
      <c r="B2" s="15" t="s">
        <v>136</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28" customFormat="1" x14ac:dyDescent="0.15">
      <c r="A6" s="28">
        <v>1990</v>
      </c>
      <c r="B6" s="40"/>
      <c r="C6" s="405" t="s">
        <v>1261</v>
      </c>
      <c r="D6" s="405"/>
      <c r="E6" s="51">
        <v>262</v>
      </c>
      <c r="G6" s="65"/>
      <c r="J6" s="72"/>
      <c r="K6" s="46"/>
      <c r="L6" s="46"/>
      <c r="M6" s="46"/>
      <c r="N6" s="67"/>
      <c r="O6" s="45"/>
      <c r="P6" s="46"/>
      <c r="Q6" s="46"/>
      <c r="R6" s="47"/>
      <c r="T6" s="36"/>
      <c r="V6" s="37"/>
      <c r="Y6" s="38"/>
      <c r="AD6" s="37"/>
      <c r="AG6" s="38"/>
      <c r="AL6" s="37"/>
      <c r="AO6" s="38"/>
      <c r="AP6" s="37"/>
      <c r="AS6" s="38"/>
      <c r="AW6" s="38"/>
      <c r="BA6" s="39"/>
    </row>
    <row r="7" spans="1:53" s="170" customFormat="1" x14ac:dyDescent="0.15">
      <c r="A7" s="170">
        <v>1990</v>
      </c>
      <c r="B7" s="281">
        <v>33136</v>
      </c>
      <c r="C7" s="395" t="s">
        <v>969</v>
      </c>
      <c r="D7" s="395"/>
      <c r="E7" s="215">
        <v>78</v>
      </c>
      <c r="F7" s="170" t="s">
        <v>335</v>
      </c>
      <c r="G7" s="232"/>
      <c r="I7" s="170">
        <v>18</v>
      </c>
      <c r="J7" s="240">
        <v>18</v>
      </c>
      <c r="K7" s="213">
        <f>G7/J7*100</f>
        <v>0</v>
      </c>
      <c r="L7" s="213">
        <f>H7/J7*100</f>
        <v>0</v>
      </c>
      <c r="M7" s="213">
        <f>I7/J7*100</f>
        <v>100</v>
      </c>
      <c r="N7" s="234">
        <f>SUM(K7:M7)</f>
        <v>100</v>
      </c>
      <c r="O7" s="212"/>
      <c r="P7" s="213"/>
      <c r="Q7" s="213">
        <v>52.7</v>
      </c>
      <c r="R7" s="214">
        <f>SUM(O7:Q7)</f>
        <v>52.7</v>
      </c>
      <c r="S7" s="170">
        <v>1</v>
      </c>
      <c r="T7" s="283">
        <v>33041</v>
      </c>
      <c r="U7" s="281">
        <v>33136</v>
      </c>
      <c r="V7" s="177" t="s">
        <v>964</v>
      </c>
      <c r="W7" s="170" t="s">
        <v>979</v>
      </c>
      <c r="X7" s="170" t="s">
        <v>12</v>
      </c>
      <c r="Y7" s="178">
        <v>52.7</v>
      </c>
      <c r="AD7" s="177"/>
      <c r="AG7" s="178"/>
      <c r="AL7" s="177"/>
      <c r="AO7" s="178"/>
      <c r="AP7" s="177"/>
      <c r="AS7" s="178"/>
      <c r="AW7" s="178"/>
      <c r="BA7" s="179"/>
    </row>
    <row r="8" spans="1:53" s="28" customFormat="1" x14ac:dyDescent="0.15">
      <c r="A8" s="28">
        <v>1990</v>
      </c>
      <c r="B8" s="293">
        <v>33214</v>
      </c>
      <c r="C8" s="394" t="s">
        <v>963</v>
      </c>
      <c r="D8" s="394"/>
      <c r="E8" s="51">
        <v>25</v>
      </c>
      <c r="F8" s="28">
        <v>2</v>
      </c>
      <c r="G8" s="65">
        <v>5</v>
      </c>
      <c r="I8" s="28">
        <v>8</v>
      </c>
      <c r="J8" s="72">
        <v>18</v>
      </c>
      <c r="K8" s="46">
        <f t="shared" ref="K8:K52" si="0">G8/J8*100</f>
        <v>27.777777777777779</v>
      </c>
      <c r="L8" s="46">
        <f t="shared" ref="L8:L52" si="1">H8/J8*100</f>
        <v>0</v>
      </c>
      <c r="M8" s="46">
        <f t="shared" ref="M8:M52" si="2">I8/J8*100</f>
        <v>44.444444444444443</v>
      </c>
      <c r="N8" s="67">
        <f t="shared" ref="N8:N30" si="3">SUM(K8:M8)</f>
        <v>72.222222222222229</v>
      </c>
      <c r="O8" s="45">
        <v>40</v>
      </c>
      <c r="P8" s="46"/>
      <c r="Q8" s="46">
        <v>52.7</v>
      </c>
      <c r="R8" s="47">
        <f t="shared" ref="R8:R56" si="4">SUM(O8:Q8)</f>
        <v>92.7</v>
      </c>
      <c r="S8" s="28">
        <v>6</v>
      </c>
      <c r="T8" s="284"/>
      <c r="U8" s="293">
        <v>33214</v>
      </c>
      <c r="V8" s="37" t="s">
        <v>964</v>
      </c>
      <c r="W8" s="28" t="s">
        <v>979</v>
      </c>
      <c r="X8" s="28" t="s">
        <v>12</v>
      </c>
      <c r="Y8" s="38">
        <v>52.7</v>
      </c>
      <c r="Z8" s="28" t="s">
        <v>867</v>
      </c>
      <c r="AA8" s="28" t="s">
        <v>17</v>
      </c>
      <c r="AB8" s="28" t="s">
        <v>11</v>
      </c>
      <c r="AC8" s="28">
        <v>36</v>
      </c>
      <c r="AD8" s="37" t="s">
        <v>965</v>
      </c>
      <c r="AE8" s="28" t="s">
        <v>869</v>
      </c>
      <c r="AF8" s="28" t="s">
        <v>11</v>
      </c>
      <c r="AG8" s="38">
        <v>4</v>
      </c>
      <c r="AL8" s="37"/>
      <c r="AO8" s="38"/>
      <c r="AP8" s="37"/>
      <c r="AS8" s="38"/>
      <c r="AW8" s="38"/>
      <c r="BA8" s="39"/>
    </row>
    <row r="9" spans="1:53" s="28" customFormat="1" x14ac:dyDescent="0.15">
      <c r="A9" s="28">
        <v>1991</v>
      </c>
      <c r="B9" s="293"/>
      <c r="C9" s="394" t="s">
        <v>963</v>
      </c>
      <c r="D9" s="394"/>
      <c r="E9" s="51">
        <v>311</v>
      </c>
      <c r="G9" s="65">
        <v>5</v>
      </c>
      <c r="I9" s="28">
        <v>8</v>
      </c>
      <c r="J9" s="72">
        <v>18</v>
      </c>
      <c r="K9" s="46">
        <f t="shared" si="0"/>
        <v>27.777777777777779</v>
      </c>
      <c r="L9" s="46">
        <f t="shared" si="1"/>
        <v>0</v>
      </c>
      <c r="M9" s="46">
        <f t="shared" si="2"/>
        <v>44.444444444444443</v>
      </c>
      <c r="N9" s="67">
        <f t="shared" si="3"/>
        <v>72.222222222222229</v>
      </c>
      <c r="O9" s="45">
        <v>40</v>
      </c>
      <c r="P9" s="46"/>
      <c r="Q9" s="46">
        <v>52.7</v>
      </c>
      <c r="R9" s="47">
        <f t="shared" si="4"/>
        <v>92.7</v>
      </c>
      <c r="S9" s="28">
        <v>6</v>
      </c>
      <c r="T9" s="284"/>
      <c r="U9" s="293"/>
      <c r="V9" s="37" t="s">
        <v>964</v>
      </c>
      <c r="W9" s="28" t="s">
        <v>979</v>
      </c>
      <c r="X9" s="28" t="s">
        <v>12</v>
      </c>
      <c r="Y9" s="38">
        <v>52.7</v>
      </c>
      <c r="Z9" s="28" t="s">
        <v>867</v>
      </c>
      <c r="AA9" s="28" t="s">
        <v>17</v>
      </c>
      <c r="AB9" s="28" t="s">
        <v>11</v>
      </c>
      <c r="AC9" s="28">
        <v>36</v>
      </c>
      <c r="AD9" s="37" t="s">
        <v>965</v>
      </c>
      <c r="AE9" s="28" t="s">
        <v>869</v>
      </c>
      <c r="AF9" s="28" t="s">
        <v>11</v>
      </c>
      <c r="AG9" s="38">
        <v>4</v>
      </c>
      <c r="AL9" s="37"/>
      <c r="AO9" s="38"/>
      <c r="AP9" s="37"/>
      <c r="AS9" s="38"/>
      <c r="AW9" s="38"/>
      <c r="BA9" s="39"/>
    </row>
    <row r="10" spans="1:53" s="170" customFormat="1" x14ac:dyDescent="0.15">
      <c r="A10" s="170">
        <v>1991</v>
      </c>
      <c r="B10" s="281">
        <v>33550</v>
      </c>
      <c r="C10" s="395" t="s">
        <v>959</v>
      </c>
      <c r="D10" s="395"/>
      <c r="E10" s="215">
        <v>54</v>
      </c>
      <c r="F10" s="170">
        <v>1</v>
      </c>
      <c r="G10" s="232">
        <v>14</v>
      </c>
      <c r="J10" s="240">
        <v>14</v>
      </c>
      <c r="K10" s="213">
        <f t="shared" si="0"/>
        <v>100</v>
      </c>
      <c r="L10" s="213">
        <f t="shared" si="1"/>
        <v>0</v>
      </c>
      <c r="M10" s="213">
        <f t="shared" si="2"/>
        <v>0</v>
      </c>
      <c r="N10" s="234">
        <f t="shared" si="3"/>
        <v>100</v>
      </c>
      <c r="O10" s="212">
        <v>45.9</v>
      </c>
      <c r="P10" s="213"/>
      <c r="Q10" s="213"/>
      <c r="R10" s="214">
        <f t="shared" si="4"/>
        <v>45.9</v>
      </c>
      <c r="S10" s="170">
        <v>4</v>
      </c>
      <c r="T10" s="283">
        <v>33524</v>
      </c>
      <c r="U10" s="281">
        <v>33550</v>
      </c>
      <c r="V10" s="177" t="s">
        <v>867</v>
      </c>
      <c r="W10" s="170" t="s">
        <v>17</v>
      </c>
      <c r="X10" s="170" t="s">
        <v>11</v>
      </c>
      <c r="Y10" s="178">
        <v>45.9</v>
      </c>
      <c r="AD10" s="177"/>
      <c r="AG10" s="178"/>
      <c r="AL10" s="177"/>
      <c r="AO10" s="178"/>
      <c r="AP10" s="177"/>
      <c r="AS10" s="178"/>
      <c r="AW10" s="178"/>
      <c r="BA10" s="179"/>
    </row>
    <row r="11" spans="1:53" s="170" customFormat="1" x14ac:dyDescent="0.15">
      <c r="A11" s="170">
        <v>1992</v>
      </c>
      <c r="B11" s="281"/>
      <c r="C11" s="395" t="s">
        <v>959</v>
      </c>
      <c r="D11" s="395"/>
      <c r="E11" s="215">
        <v>364</v>
      </c>
      <c r="G11" s="232">
        <v>14</v>
      </c>
      <c r="J11" s="240">
        <v>14</v>
      </c>
      <c r="K11" s="213">
        <f t="shared" si="0"/>
        <v>100</v>
      </c>
      <c r="L11" s="213">
        <f t="shared" si="1"/>
        <v>0</v>
      </c>
      <c r="M11" s="213">
        <f t="shared" si="2"/>
        <v>0</v>
      </c>
      <c r="N11" s="234">
        <f t="shared" si="3"/>
        <v>100</v>
      </c>
      <c r="O11" s="212">
        <v>45.9</v>
      </c>
      <c r="P11" s="213"/>
      <c r="Q11" s="213"/>
      <c r="R11" s="214">
        <f t="shared" si="4"/>
        <v>45.9</v>
      </c>
      <c r="S11" s="170">
        <v>4</v>
      </c>
      <c r="T11" s="283"/>
      <c r="U11" s="281"/>
      <c r="V11" s="177" t="s">
        <v>867</v>
      </c>
      <c r="W11" s="170" t="s">
        <v>17</v>
      </c>
      <c r="X11" s="170" t="s">
        <v>11</v>
      </c>
      <c r="Y11" s="178">
        <v>45.9</v>
      </c>
      <c r="AD11" s="177"/>
      <c r="AG11" s="178"/>
      <c r="AL11" s="177"/>
      <c r="AO11" s="178"/>
      <c r="AP11" s="177"/>
      <c r="AS11" s="178"/>
      <c r="AW11" s="178"/>
      <c r="BA11" s="179"/>
    </row>
    <row r="12" spans="1:53" s="28" customFormat="1" x14ac:dyDescent="0.15">
      <c r="A12" s="28">
        <v>1992</v>
      </c>
      <c r="B12" s="293">
        <v>33968</v>
      </c>
      <c r="C12" s="394" t="s">
        <v>962</v>
      </c>
      <c r="D12" s="394"/>
      <c r="E12" s="51">
        <v>2</v>
      </c>
      <c r="F12" s="28">
        <v>5</v>
      </c>
      <c r="G12" s="65">
        <v>0</v>
      </c>
      <c r="H12" s="28">
        <v>0</v>
      </c>
      <c r="I12" s="28">
        <v>0</v>
      </c>
      <c r="J12" s="72">
        <v>14</v>
      </c>
      <c r="K12" s="46">
        <f t="shared" si="0"/>
        <v>0</v>
      </c>
      <c r="L12" s="46">
        <f t="shared" si="1"/>
        <v>0</v>
      </c>
      <c r="M12" s="46">
        <f t="shared" si="2"/>
        <v>0</v>
      </c>
      <c r="N12" s="67">
        <f t="shared" si="3"/>
        <v>0</v>
      </c>
      <c r="O12" s="45">
        <v>0</v>
      </c>
      <c r="P12" s="46">
        <v>0</v>
      </c>
      <c r="Q12" s="46">
        <v>0</v>
      </c>
      <c r="R12" s="47">
        <f t="shared" si="4"/>
        <v>0</v>
      </c>
      <c r="S12" s="28">
        <v>7</v>
      </c>
      <c r="T12" s="284"/>
      <c r="U12" s="293">
        <v>33968</v>
      </c>
      <c r="V12" s="85" t="s">
        <v>798</v>
      </c>
      <c r="Y12" s="38"/>
      <c r="AD12" s="37"/>
      <c r="AG12" s="38"/>
      <c r="AL12" s="37"/>
      <c r="AO12" s="38"/>
      <c r="AP12" s="37"/>
      <c r="AS12" s="38"/>
      <c r="AW12" s="38"/>
      <c r="BA12" s="39"/>
    </row>
    <row r="13" spans="1:53" s="28" customFormat="1" x14ac:dyDescent="0.15">
      <c r="A13" s="28">
        <v>1993</v>
      </c>
      <c r="B13" s="293"/>
      <c r="C13" s="394" t="s">
        <v>962</v>
      </c>
      <c r="D13" s="394"/>
      <c r="E13" s="51">
        <v>0</v>
      </c>
      <c r="G13" s="65">
        <v>0</v>
      </c>
      <c r="H13" s="28">
        <v>0</v>
      </c>
      <c r="I13" s="28">
        <v>0</v>
      </c>
      <c r="J13" s="72">
        <v>14</v>
      </c>
      <c r="K13" s="46">
        <f t="shared" si="0"/>
        <v>0</v>
      </c>
      <c r="L13" s="46">
        <f t="shared" si="1"/>
        <v>0</v>
      </c>
      <c r="M13" s="46">
        <f t="shared" si="2"/>
        <v>0</v>
      </c>
      <c r="N13" s="67">
        <f t="shared" si="3"/>
        <v>0</v>
      </c>
      <c r="O13" s="45">
        <v>0</v>
      </c>
      <c r="P13" s="46">
        <v>0</v>
      </c>
      <c r="Q13" s="46">
        <v>0</v>
      </c>
      <c r="R13" s="47">
        <f t="shared" si="4"/>
        <v>0</v>
      </c>
      <c r="S13" s="28">
        <v>7</v>
      </c>
      <c r="T13" s="284"/>
      <c r="U13" s="293"/>
      <c r="V13" s="85" t="s">
        <v>798</v>
      </c>
      <c r="Y13" s="38"/>
      <c r="AD13" s="37"/>
      <c r="AG13" s="38"/>
      <c r="AL13" s="37"/>
      <c r="AO13" s="38"/>
      <c r="AP13" s="37"/>
      <c r="AS13" s="38"/>
      <c r="AW13" s="38"/>
      <c r="BA13" s="39"/>
    </row>
    <row r="14" spans="1:53" s="28" customFormat="1" x14ac:dyDescent="0.15">
      <c r="A14" s="28">
        <v>1993</v>
      </c>
      <c r="B14" s="293"/>
      <c r="C14" s="394" t="s">
        <v>962</v>
      </c>
      <c r="D14" s="394"/>
      <c r="E14" s="51">
        <v>365</v>
      </c>
      <c r="G14" s="65">
        <v>0</v>
      </c>
      <c r="H14" s="28">
        <v>0</v>
      </c>
      <c r="I14" s="28">
        <v>0</v>
      </c>
      <c r="J14" s="72">
        <v>14</v>
      </c>
      <c r="K14" s="46">
        <f t="shared" si="0"/>
        <v>0</v>
      </c>
      <c r="L14" s="46">
        <f t="shared" si="1"/>
        <v>0</v>
      </c>
      <c r="M14" s="46">
        <f t="shared" si="2"/>
        <v>0</v>
      </c>
      <c r="N14" s="67">
        <f t="shared" si="3"/>
        <v>0</v>
      </c>
      <c r="O14" s="45">
        <v>0</v>
      </c>
      <c r="P14" s="46">
        <v>0</v>
      </c>
      <c r="Q14" s="46">
        <v>0</v>
      </c>
      <c r="R14" s="47">
        <f t="shared" si="4"/>
        <v>0</v>
      </c>
      <c r="S14" s="28">
        <v>7</v>
      </c>
      <c r="T14" s="284"/>
      <c r="U14" s="293"/>
      <c r="V14" s="85" t="s">
        <v>798</v>
      </c>
      <c r="Y14" s="38"/>
      <c r="AD14" s="37"/>
      <c r="AG14" s="38"/>
      <c r="AL14" s="37"/>
      <c r="AO14" s="38"/>
      <c r="AP14" s="37"/>
      <c r="AS14" s="38"/>
      <c r="AW14" s="38"/>
      <c r="BA14" s="39"/>
    </row>
    <row r="15" spans="1:53" s="28" customFormat="1" x14ac:dyDescent="0.15">
      <c r="A15" s="28">
        <v>1994</v>
      </c>
      <c r="B15" s="293"/>
      <c r="C15" s="394" t="s">
        <v>962</v>
      </c>
      <c r="D15" s="394"/>
      <c r="E15" s="51">
        <v>280</v>
      </c>
      <c r="G15" s="65">
        <v>0</v>
      </c>
      <c r="H15" s="28">
        <v>0</v>
      </c>
      <c r="I15" s="28">
        <v>0</v>
      </c>
      <c r="J15" s="72">
        <v>14</v>
      </c>
      <c r="K15" s="46">
        <f t="shared" si="0"/>
        <v>0</v>
      </c>
      <c r="L15" s="46">
        <f t="shared" si="1"/>
        <v>0</v>
      </c>
      <c r="M15" s="46">
        <f t="shared" si="2"/>
        <v>0</v>
      </c>
      <c r="N15" s="67">
        <f t="shared" si="3"/>
        <v>0</v>
      </c>
      <c r="O15" s="45">
        <v>0</v>
      </c>
      <c r="P15" s="46">
        <v>0</v>
      </c>
      <c r="Q15" s="46">
        <v>0</v>
      </c>
      <c r="R15" s="47">
        <f t="shared" si="4"/>
        <v>0</v>
      </c>
      <c r="S15" s="28">
        <v>7</v>
      </c>
      <c r="T15" s="284"/>
      <c r="U15" s="293"/>
      <c r="V15" s="85" t="s">
        <v>798</v>
      </c>
      <c r="Y15" s="38"/>
      <c r="AD15" s="37"/>
      <c r="AG15" s="38"/>
      <c r="AL15" s="37"/>
      <c r="AO15" s="38"/>
      <c r="AP15" s="37"/>
      <c r="AS15" s="38"/>
      <c r="AW15" s="38"/>
      <c r="BA15" s="39"/>
    </row>
    <row r="16" spans="1:53" s="170" customFormat="1" x14ac:dyDescent="0.15">
      <c r="A16" s="170">
        <v>1994</v>
      </c>
      <c r="B16" s="281">
        <v>34615</v>
      </c>
      <c r="C16" s="395" t="s">
        <v>966</v>
      </c>
      <c r="D16" s="395"/>
      <c r="E16" s="215">
        <v>85</v>
      </c>
      <c r="F16" s="170">
        <v>2</v>
      </c>
      <c r="G16" s="232">
        <v>0</v>
      </c>
      <c r="H16" s="170">
        <v>0</v>
      </c>
      <c r="I16" s="170">
        <v>0</v>
      </c>
      <c r="J16" s="240">
        <v>17</v>
      </c>
      <c r="K16" s="213">
        <f t="shared" si="0"/>
        <v>0</v>
      </c>
      <c r="L16" s="213">
        <f t="shared" si="1"/>
        <v>0</v>
      </c>
      <c r="M16" s="213">
        <f t="shared" si="2"/>
        <v>0</v>
      </c>
      <c r="N16" s="234">
        <f t="shared" si="3"/>
        <v>0</v>
      </c>
      <c r="O16" s="212">
        <v>0</v>
      </c>
      <c r="P16" s="213">
        <v>0</v>
      </c>
      <c r="Q16" s="213">
        <v>0</v>
      </c>
      <c r="R16" s="214">
        <f t="shared" si="4"/>
        <v>0</v>
      </c>
      <c r="S16" s="170">
        <v>6</v>
      </c>
      <c r="T16" s="283"/>
      <c r="U16" s="281">
        <v>34615</v>
      </c>
      <c r="V16" s="241" t="s">
        <v>797</v>
      </c>
      <c r="Y16" s="178"/>
      <c r="AD16" s="177"/>
      <c r="AG16" s="178"/>
      <c r="AL16" s="177"/>
      <c r="AO16" s="178"/>
      <c r="AP16" s="177"/>
      <c r="AS16" s="178"/>
      <c r="AW16" s="178"/>
      <c r="BA16" s="179"/>
    </row>
    <row r="17" spans="1:53" s="170" customFormat="1" x14ac:dyDescent="0.15">
      <c r="A17" s="170">
        <v>1995</v>
      </c>
      <c r="B17" s="281"/>
      <c r="C17" s="395" t="s">
        <v>966</v>
      </c>
      <c r="D17" s="395"/>
      <c r="E17" s="215">
        <v>24</v>
      </c>
      <c r="G17" s="232">
        <v>0</v>
      </c>
      <c r="H17" s="170">
        <v>0</v>
      </c>
      <c r="I17" s="170">
        <v>0</v>
      </c>
      <c r="J17" s="240">
        <v>17</v>
      </c>
      <c r="K17" s="213">
        <f t="shared" si="0"/>
        <v>0</v>
      </c>
      <c r="L17" s="213">
        <f t="shared" si="1"/>
        <v>0</v>
      </c>
      <c r="M17" s="213">
        <f t="shared" si="2"/>
        <v>0</v>
      </c>
      <c r="N17" s="234">
        <f t="shared" si="3"/>
        <v>0</v>
      </c>
      <c r="O17" s="212">
        <v>0</v>
      </c>
      <c r="P17" s="213">
        <v>0</v>
      </c>
      <c r="Q17" s="213">
        <v>0</v>
      </c>
      <c r="R17" s="214">
        <f t="shared" si="4"/>
        <v>0</v>
      </c>
      <c r="S17" s="170">
        <v>6</v>
      </c>
      <c r="T17" s="283">
        <v>34686</v>
      </c>
      <c r="U17" s="281"/>
      <c r="V17" s="241" t="s">
        <v>797</v>
      </c>
      <c r="Y17" s="178"/>
      <c r="AD17" s="177"/>
      <c r="AG17" s="178"/>
      <c r="AL17" s="177"/>
      <c r="AO17" s="178"/>
      <c r="AP17" s="177"/>
      <c r="AS17" s="178"/>
      <c r="AW17" s="178"/>
      <c r="BA17" s="179"/>
    </row>
    <row r="18" spans="1:53" s="28" customFormat="1" x14ac:dyDescent="0.15">
      <c r="A18" s="28">
        <v>1995</v>
      </c>
      <c r="B18" s="293">
        <v>34724</v>
      </c>
      <c r="C18" s="394" t="s">
        <v>968</v>
      </c>
      <c r="D18" s="394"/>
      <c r="E18" s="51">
        <v>341</v>
      </c>
      <c r="F18" s="28">
        <v>1</v>
      </c>
      <c r="G18" s="65"/>
      <c r="I18" s="28">
        <v>10</v>
      </c>
      <c r="J18" s="72">
        <v>18</v>
      </c>
      <c r="K18" s="46">
        <f t="shared" si="0"/>
        <v>0</v>
      </c>
      <c r="L18" s="46">
        <f t="shared" si="1"/>
        <v>0</v>
      </c>
      <c r="M18" s="46">
        <f t="shared" si="2"/>
        <v>55.555555555555557</v>
      </c>
      <c r="N18" s="67">
        <f t="shared" si="3"/>
        <v>55.555555555555557</v>
      </c>
      <c r="O18" s="45"/>
      <c r="P18" s="46"/>
      <c r="Q18" s="46">
        <v>52.1</v>
      </c>
      <c r="R18" s="47">
        <f t="shared" si="4"/>
        <v>52.1</v>
      </c>
      <c r="S18" s="28">
        <v>1</v>
      </c>
      <c r="T18" s="284"/>
      <c r="U18" s="293">
        <v>34724</v>
      </c>
      <c r="V18" s="37" t="s">
        <v>967</v>
      </c>
      <c r="W18" s="28" t="s">
        <v>97</v>
      </c>
      <c r="X18" s="28" t="s">
        <v>12</v>
      </c>
      <c r="Y18" s="38">
        <v>52.1</v>
      </c>
      <c r="AD18" s="37"/>
      <c r="AG18" s="38"/>
      <c r="AL18" s="37"/>
      <c r="AO18" s="38"/>
      <c r="AP18" s="37"/>
      <c r="AS18" s="38"/>
      <c r="AW18" s="38"/>
      <c r="BA18" s="39"/>
    </row>
    <row r="19" spans="1:53" s="28" customFormat="1" x14ac:dyDescent="0.15">
      <c r="A19" s="28">
        <v>1996</v>
      </c>
      <c r="B19" s="293"/>
      <c r="C19" s="394" t="s">
        <v>968</v>
      </c>
      <c r="D19" s="394"/>
      <c r="E19" s="51">
        <v>0</v>
      </c>
      <c r="G19" s="65"/>
      <c r="I19" s="28">
        <v>10</v>
      </c>
      <c r="J19" s="72">
        <v>18</v>
      </c>
      <c r="K19" s="46">
        <f t="shared" si="0"/>
        <v>0</v>
      </c>
      <c r="L19" s="46">
        <f t="shared" si="1"/>
        <v>0</v>
      </c>
      <c r="M19" s="46">
        <f t="shared" si="2"/>
        <v>55.555555555555557</v>
      </c>
      <c r="N19" s="67">
        <f t="shared" si="3"/>
        <v>55.555555555555557</v>
      </c>
      <c r="O19" s="45"/>
      <c r="P19" s="46"/>
      <c r="Q19" s="46">
        <v>52.1</v>
      </c>
      <c r="R19" s="47">
        <f t="shared" si="4"/>
        <v>52.1</v>
      </c>
      <c r="S19" s="28">
        <v>1</v>
      </c>
      <c r="T19" s="284"/>
      <c r="U19" s="293"/>
      <c r="V19" s="37" t="s">
        <v>967</v>
      </c>
      <c r="W19" s="28" t="s">
        <v>97</v>
      </c>
      <c r="X19" s="28" t="s">
        <v>12</v>
      </c>
      <c r="Y19" s="38">
        <v>52.1</v>
      </c>
      <c r="AD19" s="37"/>
      <c r="AG19" s="38"/>
      <c r="AL19" s="37"/>
      <c r="AO19" s="38"/>
      <c r="AP19" s="37"/>
      <c r="AS19" s="38"/>
      <c r="AW19" s="38"/>
      <c r="BA19" s="39"/>
    </row>
    <row r="20" spans="1:53" s="28" customFormat="1" x14ac:dyDescent="0.15">
      <c r="A20" s="28">
        <v>1996</v>
      </c>
      <c r="B20" s="293"/>
      <c r="C20" s="394" t="s">
        <v>968</v>
      </c>
      <c r="D20" s="394"/>
      <c r="E20" s="51">
        <v>366</v>
      </c>
      <c r="G20" s="65"/>
      <c r="I20" s="28">
        <v>10</v>
      </c>
      <c r="J20" s="72">
        <v>18</v>
      </c>
      <c r="K20" s="46">
        <f t="shared" si="0"/>
        <v>0</v>
      </c>
      <c r="L20" s="46">
        <f t="shared" si="1"/>
        <v>0</v>
      </c>
      <c r="M20" s="46">
        <f t="shared" si="2"/>
        <v>55.555555555555557</v>
      </c>
      <c r="N20" s="67">
        <f t="shared" si="3"/>
        <v>55.555555555555557</v>
      </c>
      <c r="O20" s="45"/>
      <c r="P20" s="46"/>
      <c r="Q20" s="46">
        <v>52.1</v>
      </c>
      <c r="R20" s="47">
        <f t="shared" si="4"/>
        <v>52.1</v>
      </c>
      <c r="S20" s="28">
        <v>1</v>
      </c>
      <c r="T20" s="284"/>
      <c r="U20" s="293"/>
      <c r="V20" s="37" t="s">
        <v>967</v>
      </c>
      <c r="W20" s="28" t="s">
        <v>97</v>
      </c>
      <c r="X20" s="28" t="s">
        <v>12</v>
      </c>
      <c r="Y20" s="38">
        <v>52.1</v>
      </c>
      <c r="AD20" s="37"/>
      <c r="AG20" s="38"/>
      <c r="AL20" s="37"/>
      <c r="AO20" s="38"/>
      <c r="AP20" s="37"/>
      <c r="AS20" s="38"/>
      <c r="AW20" s="38"/>
      <c r="BA20" s="39"/>
    </row>
    <row r="21" spans="1:53" s="28" customFormat="1" x14ac:dyDescent="0.15">
      <c r="A21" s="28">
        <v>1997</v>
      </c>
      <c r="B21" s="293"/>
      <c r="C21" s="394" t="s">
        <v>968</v>
      </c>
      <c r="D21" s="394"/>
      <c r="E21" s="51">
        <v>42</v>
      </c>
      <c r="G21" s="65"/>
      <c r="I21" s="28">
        <v>10</v>
      </c>
      <c r="J21" s="72">
        <v>18</v>
      </c>
      <c r="K21" s="46">
        <f t="shared" si="0"/>
        <v>0</v>
      </c>
      <c r="L21" s="46">
        <f t="shared" si="1"/>
        <v>0</v>
      </c>
      <c r="M21" s="46">
        <f t="shared" si="2"/>
        <v>55.555555555555557</v>
      </c>
      <c r="N21" s="67">
        <f t="shared" si="3"/>
        <v>55.555555555555557</v>
      </c>
      <c r="O21" s="45"/>
      <c r="P21" s="46"/>
      <c r="Q21" s="46">
        <v>52.1</v>
      </c>
      <c r="R21" s="47">
        <f t="shared" si="4"/>
        <v>52.1</v>
      </c>
      <c r="S21" s="28">
        <v>1</v>
      </c>
      <c r="T21" s="284"/>
      <c r="U21" s="293"/>
      <c r="V21" s="37" t="s">
        <v>967</v>
      </c>
      <c r="W21" s="28" t="s">
        <v>97</v>
      </c>
      <c r="X21" s="28" t="s">
        <v>12</v>
      </c>
      <c r="Y21" s="38">
        <v>52.1</v>
      </c>
      <c r="AD21" s="37"/>
      <c r="AG21" s="38"/>
      <c r="AL21" s="37"/>
      <c r="AO21" s="38"/>
      <c r="AP21" s="37"/>
      <c r="AS21" s="38"/>
      <c r="AW21" s="38"/>
      <c r="BA21" s="39"/>
    </row>
    <row r="22" spans="1:53" s="170" customFormat="1" x14ac:dyDescent="0.15">
      <c r="A22" s="170">
        <v>1997</v>
      </c>
      <c r="B22" s="281">
        <v>35473</v>
      </c>
      <c r="C22" s="395" t="s">
        <v>960</v>
      </c>
      <c r="D22" s="395"/>
      <c r="E22" s="215">
        <v>98</v>
      </c>
      <c r="F22" s="170">
        <v>4</v>
      </c>
      <c r="G22" s="232">
        <v>1</v>
      </c>
      <c r="J22" s="240">
        <v>17</v>
      </c>
      <c r="K22" s="213">
        <f>G22/J22*100</f>
        <v>5.8823529411764701</v>
      </c>
      <c r="L22" s="213">
        <f>H22/J22*100</f>
        <v>0</v>
      </c>
      <c r="M22" s="213">
        <f>I22/J22*100</f>
        <v>0</v>
      </c>
      <c r="N22" s="234">
        <f>SUM(K22:M22)</f>
        <v>5.8823529411764701</v>
      </c>
      <c r="O22" s="212">
        <v>28.8</v>
      </c>
      <c r="P22" s="213"/>
      <c r="Q22" s="213"/>
      <c r="R22" s="214">
        <f>SUM(O22:Q22)</f>
        <v>28.8</v>
      </c>
      <c r="S22" s="170">
        <v>6</v>
      </c>
      <c r="T22" s="283"/>
      <c r="U22" s="281">
        <v>35473</v>
      </c>
      <c r="V22" s="177" t="s">
        <v>867</v>
      </c>
      <c r="W22" s="170" t="s">
        <v>17</v>
      </c>
      <c r="X22" s="170" t="s">
        <v>11</v>
      </c>
      <c r="Y22" s="178">
        <v>28.8</v>
      </c>
      <c r="AD22" s="177"/>
      <c r="AG22" s="178"/>
      <c r="AL22" s="177"/>
      <c r="AO22" s="178"/>
      <c r="AP22" s="177"/>
      <c r="AS22" s="178"/>
      <c r="AW22" s="178"/>
      <c r="BA22" s="179"/>
    </row>
    <row r="23" spans="1:53" s="28" customFormat="1" x14ac:dyDescent="0.15">
      <c r="A23" s="28">
        <v>1997</v>
      </c>
      <c r="B23" s="293">
        <v>35571</v>
      </c>
      <c r="C23" s="394" t="s">
        <v>961</v>
      </c>
      <c r="D23" s="394"/>
      <c r="E23" s="51">
        <v>225</v>
      </c>
      <c r="F23" s="28">
        <v>1</v>
      </c>
      <c r="G23" s="65">
        <v>17</v>
      </c>
      <c r="J23" s="72">
        <v>17</v>
      </c>
      <c r="K23" s="46">
        <f t="shared" si="0"/>
        <v>100</v>
      </c>
      <c r="L23" s="46">
        <f t="shared" si="1"/>
        <v>0</v>
      </c>
      <c r="M23" s="46">
        <f t="shared" si="2"/>
        <v>0</v>
      </c>
      <c r="N23" s="67">
        <f t="shared" si="3"/>
        <v>100</v>
      </c>
      <c r="O23" s="45">
        <v>57</v>
      </c>
      <c r="P23" s="46"/>
      <c r="Q23" s="46"/>
      <c r="R23" s="47">
        <f t="shared" si="4"/>
        <v>57</v>
      </c>
      <c r="S23" s="28">
        <v>1</v>
      </c>
      <c r="T23" s="284">
        <v>35539</v>
      </c>
      <c r="U23" s="293">
        <v>35571</v>
      </c>
      <c r="V23" s="37" t="s">
        <v>867</v>
      </c>
      <c r="W23" s="28" t="s">
        <v>17</v>
      </c>
      <c r="X23" s="28" t="s">
        <v>11</v>
      </c>
      <c r="Y23" s="38">
        <v>57</v>
      </c>
      <c r="AD23" s="37"/>
      <c r="AG23" s="38"/>
      <c r="AL23" s="37"/>
      <c r="AO23" s="38"/>
      <c r="AP23" s="37"/>
      <c r="AS23" s="38"/>
      <c r="AW23" s="38"/>
      <c r="BA23" s="39"/>
    </row>
    <row r="24" spans="1:53" s="28" customFormat="1" x14ac:dyDescent="0.15">
      <c r="A24" s="28">
        <v>1998</v>
      </c>
      <c r="B24" s="293"/>
      <c r="C24" s="394" t="s">
        <v>961</v>
      </c>
      <c r="D24" s="394"/>
      <c r="E24" s="51">
        <v>0</v>
      </c>
      <c r="G24" s="65">
        <v>17</v>
      </c>
      <c r="J24" s="72">
        <v>17</v>
      </c>
      <c r="K24" s="46">
        <f t="shared" si="0"/>
        <v>100</v>
      </c>
      <c r="L24" s="46">
        <f t="shared" si="1"/>
        <v>0</v>
      </c>
      <c r="M24" s="46">
        <f t="shared" si="2"/>
        <v>0</v>
      </c>
      <c r="N24" s="67">
        <f t="shared" si="3"/>
        <v>100</v>
      </c>
      <c r="O24" s="45">
        <v>57</v>
      </c>
      <c r="P24" s="46"/>
      <c r="Q24" s="46"/>
      <c r="R24" s="47">
        <f t="shared" si="4"/>
        <v>57</v>
      </c>
      <c r="S24" s="28">
        <v>1</v>
      </c>
      <c r="T24" s="284"/>
      <c r="U24" s="293"/>
      <c r="V24" s="37" t="s">
        <v>867</v>
      </c>
      <c r="W24" s="28" t="s">
        <v>17</v>
      </c>
      <c r="X24" s="28" t="s">
        <v>11</v>
      </c>
      <c r="Y24" s="38">
        <v>57</v>
      </c>
      <c r="AD24" s="37"/>
      <c r="AG24" s="38"/>
      <c r="AL24" s="37"/>
      <c r="AO24" s="38"/>
      <c r="AP24" s="37"/>
      <c r="AS24" s="38"/>
      <c r="AW24" s="38"/>
      <c r="BA24" s="39"/>
    </row>
    <row r="25" spans="1:53" s="28" customFormat="1" x14ac:dyDescent="0.15">
      <c r="A25" s="28">
        <v>1998</v>
      </c>
      <c r="B25" s="293"/>
      <c r="C25" s="394" t="s">
        <v>961</v>
      </c>
      <c r="D25" s="394"/>
      <c r="E25" s="51">
        <v>365</v>
      </c>
      <c r="G25" s="65">
        <v>17</v>
      </c>
      <c r="J25" s="72">
        <v>17</v>
      </c>
      <c r="K25" s="46">
        <f t="shared" si="0"/>
        <v>100</v>
      </c>
      <c r="L25" s="46">
        <f t="shared" si="1"/>
        <v>0</v>
      </c>
      <c r="M25" s="46">
        <f t="shared" si="2"/>
        <v>0</v>
      </c>
      <c r="N25" s="67">
        <f t="shared" si="3"/>
        <v>100</v>
      </c>
      <c r="O25" s="45">
        <v>57</v>
      </c>
      <c r="P25" s="46"/>
      <c r="Q25" s="46"/>
      <c r="R25" s="47">
        <f t="shared" si="4"/>
        <v>57</v>
      </c>
      <c r="S25" s="28">
        <v>1</v>
      </c>
      <c r="T25" s="284"/>
      <c r="U25" s="293"/>
      <c r="V25" s="37" t="s">
        <v>867</v>
      </c>
      <c r="W25" s="28" t="s">
        <v>17</v>
      </c>
      <c r="X25" s="28" t="s">
        <v>11</v>
      </c>
      <c r="Y25" s="38">
        <v>57</v>
      </c>
      <c r="AD25" s="37"/>
      <c r="AG25" s="38"/>
      <c r="AL25" s="37"/>
      <c r="AO25" s="38"/>
      <c r="AP25" s="37"/>
      <c r="AS25" s="38"/>
      <c r="AW25" s="38"/>
      <c r="BA25" s="39"/>
    </row>
    <row r="26" spans="1:53" s="28" customFormat="1" x14ac:dyDescent="0.15">
      <c r="A26" s="28">
        <v>1999</v>
      </c>
      <c r="B26" s="293"/>
      <c r="C26" s="394" t="s">
        <v>961</v>
      </c>
      <c r="D26" s="394"/>
      <c r="E26" s="51">
        <v>354</v>
      </c>
      <c r="G26" s="65">
        <v>17</v>
      </c>
      <c r="J26" s="72">
        <v>17</v>
      </c>
      <c r="K26" s="46">
        <f t="shared" si="0"/>
        <v>100</v>
      </c>
      <c r="L26" s="46">
        <f t="shared" si="1"/>
        <v>0</v>
      </c>
      <c r="M26" s="46">
        <f t="shared" si="2"/>
        <v>0</v>
      </c>
      <c r="N26" s="67">
        <f t="shared" si="3"/>
        <v>100</v>
      </c>
      <c r="O26" s="45">
        <v>57</v>
      </c>
      <c r="P26" s="46"/>
      <c r="Q26" s="46"/>
      <c r="R26" s="47">
        <f t="shared" si="4"/>
        <v>57</v>
      </c>
      <c r="S26" s="28">
        <v>1</v>
      </c>
      <c r="T26" s="284"/>
      <c r="U26" s="293"/>
      <c r="V26" s="37" t="s">
        <v>867</v>
      </c>
      <c r="W26" s="28" t="s">
        <v>17</v>
      </c>
      <c r="X26" s="28" t="s">
        <v>11</v>
      </c>
      <c r="Y26" s="38">
        <v>57</v>
      </c>
      <c r="AD26" s="37"/>
      <c r="AG26" s="38"/>
      <c r="AL26" s="37"/>
      <c r="AO26" s="38"/>
      <c r="AP26" s="37"/>
      <c r="AS26" s="38"/>
      <c r="AW26" s="38"/>
      <c r="BA26" s="39"/>
    </row>
    <row r="27" spans="1:53" s="28" customFormat="1" x14ac:dyDescent="0.15">
      <c r="A27" s="28">
        <v>1999</v>
      </c>
      <c r="B27" s="301">
        <v>36515</v>
      </c>
      <c r="C27" s="394" t="s">
        <v>961</v>
      </c>
      <c r="D27" s="394"/>
      <c r="E27" s="51">
        <v>11</v>
      </c>
      <c r="F27" s="83">
        <v>0</v>
      </c>
      <c r="G27" s="65">
        <v>8</v>
      </c>
      <c r="H27" s="28">
        <v>2</v>
      </c>
      <c r="J27" s="72">
        <v>16</v>
      </c>
      <c r="K27" s="46">
        <f t="shared" si="0"/>
        <v>50</v>
      </c>
      <c r="L27" s="46">
        <f t="shared" si="1"/>
        <v>12.5</v>
      </c>
      <c r="M27" s="46">
        <f t="shared" si="2"/>
        <v>0</v>
      </c>
      <c r="N27" s="67">
        <f t="shared" si="3"/>
        <v>62.5</v>
      </c>
      <c r="O27" s="45">
        <v>57</v>
      </c>
      <c r="P27" s="46"/>
      <c r="Q27" s="46"/>
      <c r="R27" s="47">
        <f t="shared" si="4"/>
        <v>57</v>
      </c>
      <c r="S27" s="28">
        <v>1</v>
      </c>
      <c r="T27" s="284"/>
      <c r="U27" s="293"/>
      <c r="V27" s="37" t="s">
        <v>867</v>
      </c>
      <c r="W27" s="28" t="s">
        <v>17</v>
      </c>
      <c r="X27" s="28" t="s">
        <v>11</v>
      </c>
      <c r="Y27" s="38">
        <v>57</v>
      </c>
      <c r="AD27" s="37"/>
      <c r="AG27" s="38"/>
      <c r="AL27" s="37"/>
      <c r="AO27" s="38"/>
      <c r="AP27" s="37"/>
      <c r="AS27" s="38"/>
      <c r="AW27" s="38"/>
      <c r="BA27" s="39"/>
    </row>
    <row r="28" spans="1:53" s="28" customFormat="1" x14ac:dyDescent="0.15">
      <c r="A28" s="28">
        <v>2000</v>
      </c>
      <c r="B28" s="293"/>
      <c r="C28" s="394" t="s">
        <v>961</v>
      </c>
      <c r="D28" s="394"/>
      <c r="E28" s="51">
        <v>0</v>
      </c>
      <c r="G28" s="65">
        <v>8</v>
      </c>
      <c r="H28" s="28">
        <v>2</v>
      </c>
      <c r="J28" s="72">
        <v>16</v>
      </c>
      <c r="K28" s="46">
        <f t="shared" si="0"/>
        <v>50</v>
      </c>
      <c r="L28" s="46">
        <f t="shared" si="1"/>
        <v>12.5</v>
      </c>
      <c r="M28" s="46">
        <f t="shared" si="2"/>
        <v>0</v>
      </c>
      <c r="N28" s="67">
        <f t="shared" si="3"/>
        <v>62.5</v>
      </c>
      <c r="O28" s="45">
        <v>57</v>
      </c>
      <c r="P28" s="46"/>
      <c r="Q28" s="46"/>
      <c r="R28" s="47">
        <f t="shared" si="4"/>
        <v>57</v>
      </c>
      <c r="S28" s="28">
        <v>1</v>
      </c>
      <c r="T28" s="284"/>
      <c r="U28" s="293"/>
      <c r="V28" s="37" t="s">
        <v>867</v>
      </c>
      <c r="W28" s="28" t="s">
        <v>17</v>
      </c>
      <c r="X28" s="28" t="s">
        <v>11</v>
      </c>
      <c r="Y28" s="38">
        <v>57</v>
      </c>
      <c r="AD28" s="37"/>
      <c r="AG28" s="38"/>
      <c r="AL28" s="37"/>
      <c r="AO28" s="38"/>
      <c r="AP28" s="37"/>
      <c r="AS28" s="38"/>
      <c r="AW28" s="38"/>
      <c r="BA28" s="39"/>
    </row>
    <row r="29" spans="1:53" s="28" customFormat="1" x14ac:dyDescent="0.15">
      <c r="A29" s="28">
        <v>2000</v>
      </c>
      <c r="B29" s="293"/>
      <c r="C29" s="394" t="s">
        <v>961</v>
      </c>
      <c r="D29" s="394"/>
      <c r="E29" s="51">
        <v>366</v>
      </c>
      <c r="G29" s="65">
        <v>8</v>
      </c>
      <c r="H29" s="28">
        <v>2</v>
      </c>
      <c r="J29" s="72">
        <v>16</v>
      </c>
      <c r="K29" s="46">
        <f t="shared" si="0"/>
        <v>50</v>
      </c>
      <c r="L29" s="46">
        <f t="shared" si="1"/>
        <v>12.5</v>
      </c>
      <c r="M29" s="46">
        <f t="shared" si="2"/>
        <v>0</v>
      </c>
      <c r="N29" s="67">
        <f t="shared" si="3"/>
        <v>62.5</v>
      </c>
      <c r="O29" s="45">
        <v>57</v>
      </c>
      <c r="P29" s="46"/>
      <c r="Q29" s="46"/>
      <c r="R29" s="47">
        <f t="shared" si="4"/>
        <v>57</v>
      </c>
      <c r="S29" s="28">
        <v>1</v>
      </c>
      <c r="T29" s="284"/>
      <c r="U29" s="293"/>
      <c r="V29" s="37" t="s">
        <v>867</v>
      </c>
      <c r="W29" s="28" t="s">
        <v>17</v>
      </c>
      <c r="X29" s="28" t="s">
        <v>11</v>
      </c>
      <c r="Y29" s="38">
        <v>57</v>
      </c>
      <c r="AD29" s="37"/>
      <c r="AG29" s="38"/>
      <c r="AL29" s="37"/>
      <c r="AO29" s="38"/>
      <c r="AP29" s="37"/>
      <c r="AS29" s="38"/>
      <c r="AW29" s="38"/>
      <c r="BA29" s="39"/>
    </row>
    <row r="30" spans="1:53" s="28" customFormat="1" x14ac:dyDescent="0.15">
      <c r="A30" s="28">
        <v>2001</v>
      </c>
      <c r="B30" s="293"/>
      <c r="C30" s="394" t="s">
        <v>961</v>
      </c>
      <c r="D30" s="394"/>
      <c r="E30" s="51">
        <v>204</v>
      </c>
      <c r="G30" s="65">
        <v>8</v>
      </c>
      <c r="H30" s="28">
        <v>2</v>
      </c>
      <c r="J30" s="72">
        <v>16</v>
      </c>
      <c r="K30" s="46">
        <f t="shared" si="0"/>
        <v>50</v>
      </c>
      <c r="L30" s="46">
        <f t="shared" si="1"/>
        <v>12.5</v>
      </c>
      <c r="M30" s="46">
        <f t="shared" si="2"/>
        <v>0</v>
      </c>
      <c r="N30" s="67">
        <f t="shared" si="3"/>
        <v>62.5</v>
      </c>
      <c r="O30" s="45">
        <v>57</v>
      </c>
      <c r="P30" s="46"/>
      <c r="Q30" s="46"/>
      <c r="R30" s="47">
        <f t="shared" si="4"/>
        <v>57</v>
      </c>
      <c r="S30" s="28">
        <v>1</v>
      </c>
      <c r="T30" s="284"/>
      <c r="U30" s="293"/>
      <c r="V30" s="37" t="s">
        <v>867</v>
      </c>
      <c r="W30" s="28" t="s">
        <v>17</v>
      </c>
      <c r="X30" s="28" t="s">
        <v>11</v>
      </c>
      <c r="Y30" s="38">
        <v>57</v>
      </c>
      <c r="AD30" s="37"/>
      <c r="AG30" s="38"/>
      <c r="AL30" s="37"/>
      <c r="AO30" s="38"/>
      <c r="AP30" s="37"/>
      <c r="AS30" s="38"/>
      <c r="AW30" s="38"/>
      <c r="BA30" s="39"/>
    </row>
    <row r="31" spans="1:53" s="170" customFormat="1" x14ac:dyDescent="0.15">
      <c r="A31" s="170">
        <v>2001</v>
      </c>
      <c r="B31" s="281">
        <v>37096</v>
      </c>
      <c r="C31" s="395" t="s">
        <v>970</v>
      </c>
      <c r="D31" s="395"/>
      <c r="E31" s="215">
        <v>161</v>
      </c>
      <c r="F31" s="170">
        <v>1</v>
      </c>
      <c r="G31" s="232">
        <v>15</v>
      </c>
      <c r="I31" s="170">
        <v>2</v>
      </c>
      <c r="J31" s="240">
        <v>17</v>
      </c>
      <c r="K31" s="213">
        <f t="shared" si="0"/>
        <v>88.235294117647058</v>
      </c>
      <c r="L31" s="213">
        <f t="shared" si="1"/>
        <v>0</v>
      </c>
      <c r="M31" s="213">
        <f t="shared" si="2"/>
        <v>11.76470588235294</v>
      </c>
      <c r="N31" s="234">
        <f>SUM(K31:M31)</f>
        <v>100</v>
      </c>
      <c r="O31" s="212">
        <v>58.75</v>
      </c>
      <c r="P31" s="213"/>
      <c r="Q31" s="213">
        <v>20</v>
      </c>
      <c r="R31" s="214">
        <f t="shared" si="4"/>
        <v>78.75</v>
      </c>
      <c r="S31" s="170">
        <v>3</v>
      </c>
      <c r="T31" s="283">
        <v>37059</v>
      </c>
      <c r="U31" s="281">
        <v>37096</v>
      </c>
      <c r="V31" s="177" t="s">
        <v>971</v>
      </c>
      <c r="W31" s="170" t="s">
        <v>972</v>
      </c>
      <c r="X31" s="170" t="s">
        <v>11</v>
      </c>
      <c r="Y31" s="178">
        <v>50</v>
      </c>
      <c r="Z31" s="170" t="s">
        <v>973</v>
      </c>
      <c r="AA31" s="170" t="s">
        <v>89</v>
      </c>
      <c r="AB31" s="170" t="s">
        <v>11</v>
      </c>
      <c r="AC31" s="170">
        <v>8.8000000000000007</v>
      </c>
      <c r="AD31" s="177" t="s">
        <v>975</v>
      </c>
      <c r="AE31" s="170" t="s">
        <v>115</v>
      </c>
      <c r="AF31" s="170" t="s">
        <v>12</v>
      </c>
      <c r="AG31" s="178">
        <v>20</v>
      </c>
      <c r="AL31" s="177"/>
      <c r="AO31" s="178"/>
      <c r="AP31" s="177"/>
      <c r="AS31" s="178"/>
      <c r="AW31" s="178"/>
      <c r="BA31" s="179"/>
    </row>
    <row r="32" spans="1:53" s="170" customFormat="1" x14ac:dyDescent="0.15">
      <c r="A32" s="170">
        <v>2002</v>
      </c>
      <c r="B32" s="281"/>
      <c r="C32" s="395" t="s">
        <v>970</v>
      </c>
      <c r="D32" s="395"/>
      <c r="E32" s="242">
        <v>148</v>
      </c>
      <c r="G32" s="232">
        <v>15</v>
      </c>
      <c r="I32" s="170">
        <v>2</v>
      </c>
      <c r="J32" s="240">
        <v>17</v>
      </c>
      <c r="K32" s="213">
        <f t="shared" si="0"/>
        <v>88.235294117647058</v>
      </c>
      <c r="L32" s="213">
        <f t="shared" si="1"/>
        <v>0</v>
      </c>
      <c r="M32" s="213">
        <f t="shared" si="2"/>
        <v>11.76470588235294</v>
      </c>
      <c r="N32" s="234">
        <f t="shared" ref="N32:N60" si="5">SUM(K32:M32)</f>
        <v>100</v>
      </c>
      <c r="O32" s="212">
        <v>58.75</v>
      </c>
      <c r="P32" s="213"/>
      <c r="Q32" s="213">
        <v>20</v>
      </c>
      <c r="R32" s="214">
        <f t="shared" si="4"/>
        <v>78.75</v>
      </c>
      <c r="S32" s="170">
        <v>3</v>
      </c>
      <c r="T32" s="283"/>
      <c r="U32" s="281"/>
      <c r="V32" s="177" t="s">
        <v>971</v>
      </c>
      <c r="W32" s="170" t="s">
        <v>972</v>
      </c>
      <c r="X32" s="170" t="s">
        <v>11</v>
      </c>
      <c r="Y32" s="178">
        <v>50</v>
      </c>
      <c r="Z32" s="170" t="s">
        <v>973</v>
      </c>
      <c r="AA32" s="170" t="s">
        <v>89</v>
      </c>
      <c r="AB32" s="170" t="s">
        <v>11</v>
      </c>
      <c r="AC32" s="170">
        <v>8.8000000000000007</v>
      </c>
      <c r="AD32" s="177" t="s">
        <v>975</v>
      </c>
      <c r="AE32" s="170" t="s">
        <v>115</v>
      </c>
      <c r="AF32" s="170" t="s">
        <v>12</v>
      </c>
      <c r="AG32" s="178">
        <v>20</v>
      </c>
      <c r="AL32" s="177"/>
      <c r="AO32" s="178"/>
      <c r="AP32" s="177"/>
      <c r="AS32" s="178"/>
      <c r="AW32" s="178"/>
      <c r="BA32" s="179"/>
    </row>
    <row r="33" spans="1:53" s="170" customFormat="1" x14ac:dyDescent="0.15">
      <c r="A33" s="170">
        <v>2002</v>
      </c>
      <c r="B33" s="303">
        <v>37405</v>
      </c>
      <c r="C33" s="395" t="s">
        <v>970</v>
      </c>
      <c r="D33" s="395"/>
      <c r="E33" s="242">
        <f>365-E32</f>
        <v>217</v>
      </c>
      <c r="F33" s="243">
        <v>0</v>
      </c>
      <c r="G33" s="232">
        <v>16</v>
      </c>
      <c r="I33" s="170">
        <v>2</v>
      </c>
      <c r="J33" s="240">
        <v>18</v>
      </c>
      <c r="K33" s="213">
        <f t="shared" si="0"/>
        <v>88.888888888888886</v>
      </c>
      <c r="L33" s="213">
        <f t="shared" si="1"/>
        <v>0</v>
      </c>
      <c r="M33" s="213">
        <f t="shared" si="2"/>
        <v>11.111111111111111</v>
      </c>
      <c r="N33" s="234">
        <f t="shared" si="5"/>
        <v>100</v>
      </c>
      <c r="O33" s="212">
        <v>58.75</v>
      </c>
      <c r="P33" s="213"/>
      <c r="Q33" s="213">
        <v>20</v>
      </c>
      <c r="R33" s="214">
        <f t="shared" si="4"/>
        <v>78.75</v>
      </c>
      <c r="S33" s="170">
        <v>3</v>
      </c>
      <c r="T33" s="283"/>
      <c r="U33" s="281"/>
      <c r="V33" s="177" t="s">
        <v>971</v>
      </c>
      <c r="W33" s="170" t="s">
        <v>972</v>
      </c>
      <c r="X33" s="170" t="s">
        <v>11</v>
      </c>
      <c r="Y33" s="178">
        <v>50</v>
      </c>
      <c r="Z33" s="170" t="s">
        <v>973</v>
      </c>
      <c r="AA33" s="170" t="s">
        <v>89</v>
      </c>
      <c r="AB33" s="170" t="s">
        <v>11</v>
      </c>
      <c r="AC33" s="170">
        <v>8.8000000000000007</v>
      </c>
      <c r="AD33" s="177" t="s">
        <v>975</v>
      </c>
      <c r="AE33" s="170" t="s">
        <v>115</v>
      </c>
      <c r="AF33" s="170" t="s">
        <v>12</v>
      </c>
      <c r="AG33" s="178">
        <v>20</v>
      </c>
      <c r="AL33" s="177"/>
      <c r="AO33" s="178"/>
      <c r="AP33" s="177"/>
      <c r="AS33" s="178"/>
      <c r="AW33" s="178"/>
      <c r="BA33" s="179"/>
    </row>
    <row r="34" spans="1:53" s="170" customFormat="1" x14ac:dyDescent="0.15">
      <c r="A34" s="170">
        <v>2003</v>
      </c>
      <c r="B34" s="304"/>
      <c r="C34" s="395" t="s">
        <v>970</v>
      </c>
      <c r="D34" s="395"/>
      <c r="E34" s="242">
        <v>0</v>
      </c>
      <c r="G34" s="232">
        <v>16</v>
      </c>
      <c r="I34" s="170">
        <v>2</v>
      </c>
      <c r="J34" s="240">
        <v>18</v>
      </c>
      <c r="K34" s="213">
        <f t="shared" si="0"/>
        <v>88.888888888888886</v>
      </c>
      <c r="L34" s="213">
        <f t="shared" si="1"/>
        <v>0</v>
      </c>
      <c r="M34" s="213">
        <f t="shared" si="2"/>
        <v>11.111111111111111</v>
      </c>
      <c r="N34" s="234">
        <f t="shared" si="5"/>
        <v>100</v>
      </c>
      <c r="O34" s="212">
        <v>58.75</v>
      </c>
      <c r="P34" s="213"/>
      <c r="Q34" s="213">
        <v>20</v>
      </c>
      <c r="R34" s="214">
        <f t="shared" si="4"/>
        <v>78.75</v>
      </c>
      <c r="S34" s="170">
        <v>3</v>
      </c>
      <c r="T34" s="283"/>
      <c r="U34" s="281"/>
      <c r="V34" s="177" t="s">
        <v>971</v>
      </c>
      <c r="W34" s="170" t="s">
        <v>972</v>
      </c>
      <c r="X34" s="170" t="s">
        <v>11</v>
      </c>
      <c r="Y34" s="178">
        <v>50</v>
      </c>
      <c r="Z34" s="170" t="s">
        <v>973</v>
      </c>
      <c r="AA34" s="170" t="s">
        <v>89</v>
      </c>
      <c r="AB34" s="170" t="s">
        <v>11</v>
      </c>
      <c r="AC34" s="170">
        <v>8.8000000000000007</v>
      </c>
      <c r="AD34" s="177" t="s">
        <v>975</v>
      </c>
      <c r="AE34" s="170" t="s">
        <v>115</v>
      </c>
      <c r="AF34" s="170" t="s">
        <v>12</v>
      </c>
      <c r="AG34" s="178">
        <v>20</v>
      </c>
      <c r="AL34" s="177"/>
      <c r="AO34" s="178"/>
      <c r="AP34" s="177"/>
      <c r="AS34" s="178"/>
      <c r="AW34" s="178"/>
      <c r="BA34" s="179"/>
    </row>
    <row r="35" spans="1:53" s="170" customFormat="1" x14ac:dyDescent="0.15">
      <c r="A35" s="170">
        <v>2003</v>
      </c>
      <c r="B35" s="304"/>
      <c r="C35" s="395" t="s">
        <v>970</v>
      </c>
      <c r="D35" s="395"/>
      <c r="E35" s="242">
        <v>365</v>
      </c>
      <c r="G35" s="232">
        <v>16</v>
      </c>
      <c r="I35" s="170">
        <v>2</v>
      </c>
      <c r="J35" s="240">
        <v>18</v>
      </c>
      <c r="K35" s="213">
        <f t="shared" si="0"/>
        <v>88.888888888888886</v>
      </c>
      <c r="L35" s="213">
        <f t="shared" si="1"/>
        <v>0</v>
      </c>
      <c r="M35" s="213">
        <f t="shared" si="2"/>
        <v>11.111111111111111</v>
      </c>
      <c r="N35" s="234">
        <f t="shared" si="5"/>
        <v>100</v>
      </c>
      <c r="O35" s="212">
        <v>58.75</v>
      </c>
      <c r="P35" s="213"/>
      <c r="Q35" s="213">
        <v>20</v>
      </c>
      <c r="R35" s="214">
        <f t="shared" si="4"/>
        <v>78.75</v>
      </c>
      <c r="S35" s="170">
        <v>3</v>
      </c>
      <c r="T35" s="283"/>
      <c r="U35" s="281"/>
      <c r="V35" s="177" t="s">
        <v>971</v>
      </c>
      <c r="W35" s="170" t="s">
        <v>972</v>
      </c>
      <c r="X35" s="170" t="s">
        <v>11</v>
      </c>
      <c r="Y35" s="178">
        <v>50</v>
      </c>
      <c r="Z35" s="170" t="s">
        <v>973</v>
      </c>
      <c r="AA35" s="170" t="s">
        <v>89</v>
      </c>
      <c r="AB35" s="170" t="s">
        <v>11</v>
      </c>
      <c r="AC35" s="170">
        <v>8.8000000000000007</v>
      </c>
      <c r="AD35" s="177" t="s">
        <v>975</v>
      </c>
      <c r="AE35" s="170" t="s">
        <v>115</v>
      </c>
      <c r="AF35" s="170" t="s">
        <v>12</v>
      </c>
      <c r="AG35" s="178">
        <v>20</v>
      </c>
      <c r="AL35" s="177"/>
      <c r="AO35" s="178"/>
      <c r="AP35" s="177"/>
      <c r="AS35" s="178"/>
      <c r="AW35" s="178"/>
      <c r="BA35" s="179"/>
    </row>
    <row r="36" spans="1:53" s="170" customFormat="1" x14ac:dyDescent="0.15">
      <c r="A36" s="170">
        <v>2004</v>
      </c>
      <c r="B36" s="304"/>
      <c r="C36" s="395" t="s">
        <v>970</v>
      </c>
      <c r="D36" s="395"/>
      <c r="E36" s="242">
        <v>0</v>
      </c>
      <c r="G36" s="232">
        <v>16</v>
      </c>
      <c r="I36" s="170">
        <v>2</v>
      </c>
      <c r="J36" s="240">
        <v>18</v>
      </c>
      <c r="K36" s="213">
        <f t="shared" si="0"/>
        <v>88.888888888888886</v>
      </c>
      <c r="L36" s="213">
        <f t="shared" si="1"/>
        <v>0</v>
      </c>
      <c r="M36" s="213">
        <f t="shared" si="2"/>
        <v>11.111111111111111</v>
      </c>
      <c r="N36" s="234">
        <f t="shared" si="5"/>
        <v>100</v>
      </c>
      <c r="O36" s="212">
        <v>58.75</v>
      </c>
      <c r="P36" s="213"/>
      <c r="Q36" s="213">
        <v>20</v>
      </c>
      <c r="R36" s="214">
        <f t="shared" si="4"/>
        <v>78.75</v>
      </c>
      <c r="S36" s="170">
        <v>3</v>
      </c>
      <c r="T36" s="283"/>
      <c r="U36" s="281"/>
      <c r="V36" s="177" t="s">
        <v>971</v>
      </c>
      <c r="W36" s="170" t="s">
        <v>972</v>
      </c>
      <c r="X36" s="170" t="s">
        <v>11</v>
      </c>
      <c r="Y36" s="178">
        <v>50</v>
      </c>
      <c r="Z36" s="170" t="s">
        <v>973</v>
      </c>
      <c r="AA36" s="170" t="s">
        <v>89</v>
      </c>
      <c r="AB36" s="170" t="s">
        <v>11</v>
      </c>
      <c r="AC36" s="170">
        <v>8.8000000000000007</v>
      </c>
      <c r="AD36" s="177" t="s">
        <v>975</v>
      </c>
      <c r="AE36" s="170" t="s">
        <v>115</v>
      </c>
      <c r="AF36" s="170" t="s">
        <v>12</v>
      </c>
      <c r="AG36" s="178">
        <v>20</v>
      </c>
      <c r="AL36" s="177"/>
      <c r="AO36" s="178"/>
      <c r="AP36" s="177"/>
      <c r="AS36" s="178"/>
      <c r="AW36" s="178"/>
      <c r="BA36" s="179"/>
    </row>
    <row r="37" spans="1:53" s="170" customFormat="1" x14ac:dyDescent="0.15">
      <c r="A37" s="170">
        <v>2004</v>
      </c>
      <c r="B37" s="304"/>
      <c r="C37" s="395" t="s">
        <v>970</v>
      </c>
      <c r="D37" s="395"/>
      <c r="E37" s="242">
        <v>366</v>
      </c>
      <c r="G37" s="232">
        <v>16</v>
      </c>
      <c r="I37" s="170">
        <v>2</v>
      </c>
      <c r="J37" s="240">
        <v>18</v>
      </c>
      <c r="K37" s="213">
        <f t="shared" si="0"/>
        <v>88.888888888888886</v>
      </c>
      <c r="L37" s="213">
        <f t="shared" si="1"/>
        <v>0</v>
      </c>
      <c r="M37" s="213">
        <f t="shared" si="2"/>
        <v>11.111111111111111</v>
      </c>
      <c r="N37" s="234">
        <f t="shared" si="5"/>
        <v>100</v>
      </c>
      <c r="O37" s="212">
        <v>58.75</v>
      </c>
      <c r="P37" s="213"/>
      <c r="Q37" s="213">
        <v>20</v>
      </c>
      <c r="R37" s="214">
        <f t="shared" si="4"/>
        <v>78.75</v>
      </c>
      <c r="S37" s="170">
        <v>3</v>
      </c>
      <c r="T37" s="283"/>
      <c r="U37" s="281"/>
      <c r="V37" s="177" t="s">
        <v>971</v>
      </c>
      <c r="W37" s="170" t="s">
        <v>972</v>
      </c>
      <c r="X37" s="170" t="s">
        <v>11</v>
      </c>
      <c r="Y37" s="178">
        <v>50</v>
      </c>
      <c r="Z37" s="170" t="s">
        <v>973</v>
      </c>
      <c r="AA37" s="170" t="s">
        <v>89</v>
      </c>
      <c r="AB37" s="170" t="s">
        <v>11</v>
      </c>
      <c r="AC37" s="170">
        <v>8.8000000000000007</v>
      </c>
      <c r="AD37" s="177" t="s">
        <v>975</v>
      </c>
      <c r="AE37" s="170" t="s">
        <v>115</v>
      </c>
      <c r="AF37" s="170" t="s">
        <v>12</v>
      </c>
      <c r="AG37" s="178">
        <v>20</v>
      </c>
      <c r="AL37" s="177"/>
      <c r="AO37" s="178"/>
      <c r="AP37" s="177"/>
      <c r="AS37" s="178"/>
      <c r="AW37" s="178"/>
      <c r="BA37" s="179"/>
    </row>
    <row r="38" spans="1:53" s="170" customFormat="1" x14ac:dyDescent="0.15">
      <c r="A38" s="170">
        <v>2005</v>
      </c>
      <c r="B38" s="304"/>
      <c r="C38" s="395" t="s">
        <v>970</v>
      </c>
      <c r="D38" s="395"/>
      <c r="E38" s="244">
        <v>51</v>
      </c>
      <c r="G38" s="232">
        <v>16</v>
      </c>
      <c r="I38" s="170">
        <v>2</v>
      </c>
      <c r="J38" s="240">
        <v>18</v>
      </c>
      <c r="K38" s="213">
        <f t="shared" si="0"/>
        <v>88.888888888888886</v>
      </c>
      <c r="L38" s="213">
        <f t="shared" si="1"/>
        <v>0</v>
      </c>
      <c r="M38" s="213">
        <f t="shared" si="2"/>
        <v>11.111111111111111</v>
      </c>
      <c r="N38" s="234">
        <f t="shared" si="5"/>
        <v>100</v>
      </c>
      <c r="O38" s="212">
        <v>58.75</v>
      </c>
      <c r="P38" s="213"/>
      <c r="Q38" s="213">
        <v>20</v>
      </c>
      <c r="R38" s="214">
        <f t="shared" si="4"/>
        <v>78.75</v>
      </c>
      <c r="S38" s="170">
        <v>3</v>
      </c>
      <c r="T38" s="283"/>
      <c r="U38" s="281"/>
      <c r="V38" s="177" t="s">
        <v>971</v>
      </c>
      <c r="W38" s="170" t="s">
        <v>972</v>
      </c>
      <c r="X38" s="170" t="s">
        <v>11</v>
      </c>
      <c r="Y38" s="178">
        <v>50</v>
      </c>
      <c r="Z38" s="170" t="s">
        <v>973</v>
      </c>
      <c r="AA38" s="170" t="s">
        <v>89</v>
      </c>
      <c r="AB38" s="170" t="s">
        <v>11</v>
      </c>
      <c r="AC38" s="170">
        <v>8.8000000000000007</v>
      </c>
      <c r="AD38" s="177" t="s">
        <v>975</v>
      </c>
      <c r="AE38" s="170" t="s">
        <v>115</v>
      </c>
      <c r="AF38" s="170" t="s">
        <v>12</v>
      </c>
      <c r="AG38" s="178">
        <v>20</v>
      </c>
      <c r="AL38" s="177"/>
      <c r="AO38" s="178"/>
      <c r="AP38" s="177"/>
      <c r="AS38" s="178"/>
      <c r="AW38" s="178"/>
      <c r="BA38" s="179"/>
    </row>
    <row r="39" spans="1:53" s="170" customFormat="1" x14ac:dyDescent="0.15">
      <c r="A39" s="170">
        <v>2005</v>
      </c>
      <c r="B39" s="303">
        <v>38404</v>
      </c>
      <c r="C39" s="395" t="s">
        <v>970</v>
      </c>
      <c r="D39" s="395"/>
      <c r="E39" s="244">
        <f>365-E40-E38</f>
        <v>176</v>
      </c>
      <c r="F39" s="243">
        <v>0</v>
      </c>
      <c r="G39" s="232">
        <v>17</v>
      </c>
      <c r="I39" s="170">
        <v>2</v>
      </c>
      <c r="J39" s="240">
        <v>19</v>
      </c>
      <c r="K39" s="213">
        <f>G39/J39*100</f>
        <v>89.473684210526315</v>
      </c>
      <c r="L39" s="213">
        <f>H39/J39*100</f>
        <v>0</v>
      </c>
      <c r="M39" s="213">
        <f>I39/J39*100</f>
        <v>10.526315789473683</v>
      </c>
      <c r="N39" s="234">
        <f t="shared" si="5"/>
        <v>100</v>
      </c>
      <c r="O39" s="212">
        <v>58.75</v>
      </c>
      <c r="P39" s="213"/>
      <c r="Q39" s="213">
        <v>20</v>
      </c>
      <c r="R39" s="214">
        <f t="shared" si="4"/>
        <v>78.75</v>
      </c>
      <c r="S39" s="170">
        <v>3</v>
      </c>
      <c r="T39" s="283"/>
      <c r="U39" s="281"/>
      <c r="V39" s="177" t="s">
        <v>971</v>
      </c>
      <c r="W39" s="170" t="s">
        <v>972</v>
      </c>
      <c r="X39" s="170" t="s">
        <v>11</v>
      </c>
      <c r="Y39" s="178">
        <v>50</v>
      </c>
      <c r="Z39" s="170" t="s">
        <v>973</v>
      </c>
      <c r="AA39" s="170" t="s">
        <v>89</v>
      </c>
      <c r="AB39" s="170" t="s">
        <v>11</v>
      </c>
      <c r="AC39" s="170">
        <v>8.8000000000000007</v>
      </c>
      <c r="AD39" s="177" t="s">
        <v>975</v>
      </c>
      <c r="AE39" s="170" t="s">
        <v>115</v>
      </c>
      <c r="AF39" s="170" t="s">
        <v>12</v>
      </c>
      <c r="AG39" s="178">
        <v>20</v>
      </c>
      <c r="AL39" s="177"/>
      <c r="AO39" s="178"/>
      <c r="AP39" s="177"/>
      <c r="AS39" s="178"/>
      <c r="AW39" s="178"/>
      <c r="BA39" s="179"/>
    </row>
    <row r="40" spans="1:53" s="28" customFormat="1" x14ac:dyDescent="0.15">
      <c r="A40" s="28">
        <v>2005</v>
      </c>
      <c r="B40" s="275">
        <v>38580</v>
      </c>
      <c r="C40" s="394" t="s">
        <v>974</v>
      </c>
      <c r="D40" s="394"/>
      <c r="E40" s="86">
        <v>138</v>
      </c>
      <c r="F40" s="28">
        <v>1</v>
      </c>
      <c r="G40" s="65">
        <v>8</v>
      </c>
      <c r="I40" s="28">
        <v>9</v>
      </c>
      <c r="J40" s="72">
        <v>18</v>
      </c>
      <c r="K40" s="46">
        <f t="shared" si="0"/>
        <v>44.444444444444443</v>
      </c>
      <c r="L40" s="46">
        <f t="shared" si="1"/>
        <v>0</v>
      </c>
      <c r="M40" s="46">
        <f t="shared" si="2"/>
        <v>50</v>
      </c>
      <c r="N40" s="67">
        <f t="shared" si="5"/>
        <v>94.444444444444443</v>
      </c>
      <c r="O40" s="45">
        <v>35.869999999999997</v>
      </c>
      <c r="P40" s="46"/>
      <c r="Q40" s="46">
        <v>33.979999999999997</v>
      </c>
      <c r="R40" s="47">
        <f t="shared" si="4"/>
        <v>69.849999999999994</v>
      </c>
      <c r="S40" s="28">
        <v>3</v>
      </c>
      <c r="T40" s="284">
        <v>38528</v>
      </c>
      <c r="U40" s="293">
        <v>38580</v>
      </c>
      <c r="V40" s="37" t="s">
        <v>976</v>
      </c>
      <c r="W40" s="28" t="s">
        <v>115</v>
      </c>
      <c r="X40" s="28" t="s">
        <v>12</v>
      </c>
      <c r="Y40" s="38">
        <v>34</v>
      </c>
      <c r="Z40" s="28" t="s">
        <v>971</v>
      </c>
      <c r="AA40" s="28" t="s">
        <v>972</v>
      </c>
      <c r="AB40" s="28" t="s">
        <v>11</v>
      </c>
      <c r="AC40" s="28">
        <v>21.7</v>
      </c>
      <c r="AD40" s="37" t="s">
        <v>973</v>
      </c>
      <c r="AE40" s="28" t="s">
        <v>89</v>
      </c>
      <c r="AF40" s="28" t="s">
        <v>11</v>
      </c>
      <c r="AG40" s="38">
        <v>14.2</v>
      </c>
      <c r="AL40" s="37"/>
      <c r="AO40" s="38"/>
      <c r="AP40" s="37"/>
      <c r="AS40" s="38"/>
      <c r="AW40" s="38"/>
      <c r="BA40" s="39"/>
    </row>
    <row r="41" spans="1:53" s="28" customFormat="1" x14ac:dyDescent="0.15">
      <c r="A41" s="28">
        <v>2006</v>
      </c>
      <c r="B41" s="275"/>
      <c r="C41" s="394" t="s">
        <v>974</v>
      </c>
      <c r="D41" s="394"/>
      <c r="E41" s="86">
        <v>0</v>
      </c>
      <c r="G41" s="65">
        <v>8</v>
      </c>
      <c r="I41" s="28">
        <v>9</v>
      </c>
      <c r="J41" s="72">
        <v>18</v>
      </c>
      <c r="K41" s="46">
        <f t="shared" si="0"/>
        <v>44.444444444444443</v>
      </c>
      <c r="L41" s="46">
        <f t="shared" si="1"/>
        <v>0</v>
      </c>
      <c r="M41" s="46">
        <f t="shared" si="2"/>
        <v>50</v>
      </c>
      <c r="N41" s="67">
        <f t="shared" si="5"/>
        <v>94.444444444444443</v>
      </c>
      <c r="O41" s="45">
        <v>35.869999999999997</v>
      </c>
      <c r="P41" s="46"/>
      <c r="Q41" s="46">
        <v>33.979999999999997</v>
      </c>
      <c r="R41" s="47">
        <f t="shared" si="4"/>
        <v>69.849999999999994</v>
      </c>
      <c r="S41" s="28">
        <v>3</v>
      </c>
      <c r="T41" s="284"/>
      <c r="U41" s="293"/>
      <c r="V41" s="37" t="s">
        <v>976</v>
      </c>
      <c r="W41" s="28" t="s">
        <v>115</v>
      </c>
      <c r="X41" s="28" t="s">
        <v>12</v>
      </c>
      <c r="Y41" s="38">
        <v>34</v>
      </c>
      <c r="Z41" s="28" t="s">
        <v>971</v>
      </c>
      <c r="AA41" s="28" t="s">
        <v>972</v>
      </c>
      <c r="AB41" s="28" t="s">
        <v>11</v>
      </c>
      <c r="AC41" s="28">
        <v>21.7</v>
      </c>
      <c r="AD41" s="37" t="s">
        <v>973</v>
      </c>
      <c r="AE41" s="28" t="s">
        <v>89</v>
      </c>
      <c r="AF41" s="28" t="s">
        <v>11</v>
      </c>
      <c r="AG41" s="38">
        <v>14.2</v>
      </c>
      <c r="AL41" s="37"/>
      <c r="AO41" s="38"/>
      <c r="AP41" s="37"/>
      <c r="AS41" s="38"/>
      <c r="AW41" s="38"/>
      <c r="BA41" s="39"/>
    </row>
    <row r="42" spans="1:53" s="28" customFormat="1" x14ac:dyDescent="0.15">
      <c r="A42" s="28">
        <v>2006</v>
      </c>
      <c r="B42" s="275"/>
      <c r="C42" s="394" t="s">
        <v>974</v>
      </c>
      <c r="D42" s="394"/>
      <c r="E42" s="86">
        <v>365</v>
      </c>
      <c r="G42" s="65">
        <v>8</v>
      </c>
      <c r="I42" s="28">
        <v>9</v>
      </c>
      <c r="J42" s="72">
        <v>18</v>
      </c>
      <c r="K42" s="46">
        <f t="shared" si="0"/>
        <v>44.444444444444443</v>
      </c>
      <c r="L42" s="46">
        <f t="shared" si="1"/>
        <v>0</v>
      </c>
      <c r="M42" s="46">
        <f t="shared" si="2"/>
        <v>50</v>
      </c>
      <c r="N42" s="67">
        <f t="shared" si="5"/>
        <v>94.444444444444443</v>
      </c>
      <c r="O42" s="45">
        <v>35.869999999999997</v>
      </c>
      <c r="P42" s="46"/>
      <c r="Q42" s="46">
        <v>33.979999999999997</v>
      </c>
      <c r="R42" s="47">
        <f t="shared" si="4"/>
        <v>69.849999999999994</v>
      </c>
      <c r="S42" s="28">
        <v>3</v>
      </c>
      <c r="T42" s="284"/>
      <c r="U42" s="293"/>
      <c r="V42" s="37" t="s">
        <v>976</v>
      </c>
      <c r="W42" s="28" t="s">
        <v>115</v>
      </c>
      <c r="X42" s="28" t="s">
        <v>12</v>
      </c>
      <c r="Y42" s="38">
        <v>34</v>
      </c>
      <c r="Z42" s="28" t="s">
        <v>971</v>
      </c>
      <c r="AA42" s="28" t="s">
        <v>972</v>
      </c>
      <c r="AB42" s="28" t="s">
        <v>11</v>
      </c>
      <c r="AC42" s="28">
        <v>21.7</v>
      </c>
      <c r="AD42" s="37" t="s">
        <v>973</v>
      </c>
      <c r="AE42" s="28" t="s">
        <v>89</v>
      </c>
      <c r="AF42" s="28" t="s">
        <v>11</v>
      </c>
      <c r="AG42" s="38">
        <v>14.2</v>
      </c>
      <c r="AL42" s="37"/>
      <c r="AO42" s="38"/>
      <c r="AP42" s="37"/>
      <c r="AS42" s="38"/>
      <c r="AW42" s="38"/>
      <c r="BA42" s="39"/>
    </row>
    <row r="43" spans="1:53" s="28" customFormat="1" x14ac:dyDescent="0.15">
      <c r="A43" s="28">
        <v>2007</v>
      </c>
      <c r="B43" s="275"/>
      <c r="C43" s="394" t="s">
        <v>974</v>
      </c>
      <c r="D43" s="394"/>
      <c r="E43" s="86">
        <v>0</v>
      </c>
      <c r="G43" s="65">
        <v>8</v>
      </c>
      <c r="I43" s="28">
        <v>9</v>
      </c>
      <c r="J43" s="72">
        <v>18</v>
      </c>
      <c r="K43" s="46">
        <f t="shared" si="0"/>
        <v>44.444444444444443</v>
      </c>
      <c r="L43" s="46">
        <f t="shared" si="1"/>
        <v>0</v>
      </c>
      <c r="M43" s="46">
        <f t="shared" si="2"/>
        <v>50</v>
      </c>
      <c r="N43" s="67">
        <f t="shared" si="5"/>
        <v>94.444444444444443</v>
      </c>
      <c r="O43" s="45">
        <v>35.869999999999997</v>
      </c>
      <c r="P43" s="46"/>
      <c r="Q43" s="46">
        <v>33.979999999999997</v>
      </c>
      <c r="R43" s="47">
        <f t="shared" si="4"/>
        <v>69.849999999999994</v>
      </c>
      <c r="S43" s="28">
        <v>3</v>
      </c>
      <c r="T43" s="284"/>
      <c r="U43" s="293"/>
      <c r="V43" s="37" t="s">
        <v>976</v>
      </c>
      <c r="W43" s="28" t="s">
        <v>115</v>
      </c>
      <c r="X43" s="28" t="s">
        <v>12</v>
      </c>
      <c r="Y43" s="38">
        <v>34</v>
      </c>
      <c r="Z43" s="28" t="s">
        <v>971</v>
      </c>
      <c r="AA43" s="28" t="s">
        <v>972</v>
      </c>
      <c r="AB43" s="28" t="s">
        <v>11</v>
      </c>
      <c r="AC43" s="28">
        <v>21.7</v>
      </c>
      <c r="AD43" s="37" t="s">
        <v>973</v>
      </c>
      <c r="AE43" s="28" t="s">
        <v>89</v>
      </c>
      <c r="AF43" s="28" t="s">
        <v>11</v>
      </c>
      <c r="AG43" s="38">
        <v>14.2</v>
      </c>
      <c r="AL43" s="37"/>
      <c r="AO43" s="38"/>
      <c r="AP43" s="37"/>
      <c r="AS43" s="38"/>
      <c r="AW43" s="38"/>
      <c r="BA43" s="39"/>
    </row>
    <row r="44" spans="1:53" s="28" customFormat="1" x14ac:dyDescent="0.15">
      <c r="A44" s="28">
        <v>2007</v>
      </c>
      <c r="B44" s="275"/>
      <c r="C44" s="394" t="s">
        <v>974</v>
      </c>
      <c r="D44" s="394"/>
      <c r="E44" s="86">
        <v>365</v>
      </c>
      <c r="G44" s="65">
        <v>8</v>
      </c>
      <c r="I44" s="28">
        <v>9</v>
      </c>
      <c r="J44" s="72">
        <v>18</v>
      </c>
      <c r="K44" s="46">
        <f t="shared" si="0"/>
        <v>44.444444444444443</v>
      </c>
      <c r="L44" s="46">
        <f t="shared" si="1"/>
        <v>0</v>
      </c>
      <c r="M44" s="46">
        <f t="shared" si="2"/>
        <v>50</v>
      </c>
      <c r="N44" s="67">
        <f t="shared" si="5"/>
        <v>94.444444444444443</v>
      </c>
      <c r="O44" s="45">
        <v>35.869999999999997</v>
      </c>
      <c r="P44" s="46"/>
      <c r="Q44" s="46">
        <v>33.979999999999997</v>
      </c>
      <c r="R44" s="47">
        <f t="shared" si="4"/>
        <v>69.849999999999994</v>
      </c>
      <c r="S44" s="28">
        <v>3</v>
      </c>
      <c r="T44" s="284"/>
      <c r="U44" s="293"/>
      <c r="V44" s="37" t="s">
        <v>976</v>
      </c>
      <c r="W44" s="28" t="s">
        <v>115</v>
      </c>
      <c r="X44" s="28" t="s">
        <v>12</v>
      </c>
      <c r="Y44" s="38">
        <v>34</v>
      </c>
      <c r="Z44" s="28" t="s">
        <v>971</v>
      </c>
      <c r="AA44" s="28" t="s">
        <v>972</v>
      </c>
      <c r="AB44" s="28" t="s">
        <v>11</v>
      </c>
      <c r="AC44" s="28">
        <v>21.7</v>
      </c>
      <c r="AD44" s="37" t="s">
        <v>973</v>
      </c>
      <c r="AE44" s="28" t="s">
        <v>89</v>
      </c>
      <c r="AF44" s="28" t="s">
        <v>11</v>
      </c>
      <c r="AG44" s="38">
        <v>14.2</v>
      </c>
      <c r="AL44" s="37"/>
      <c r="AO44" s="38"/>
      <c r="AP44" s="37"/>
      <c r="AS44" s="38"/>
      <c r="AW44" s="38"/>
      <c r="BA44" s="39"/>
    </row>
    <row r="45" spans="1:53" s="28" customFormat="1" x14ac:dyDescent="0.15">
      <c r="A45" s="28">
        <v>2008</v>
      </c>
      <c r="B45" s="275"/>
      <c r="C45" s="394" t="s">
        <v>974</v>
      </c>
      <c r="D45" s="394"/>
      <c r="E45" s="86">
        <v>114</v>
      </c>
      <c r="G45" s="65">
        <v>8</v>
      </c>
      <c r="I45" s="28">
        <v>9</v>
      </c>
      <c r="J45" s="72">
        <v>18</v>
      </c>
      <c r="K45" s="46">
        <f t="shared" si="0"/>
        <v>44.444444444444443</v>
      </c>
      <c r="L45" s="46">
        <f t="shared" si="1"/>
        <v>0</v>
      </c>
      <c r="M45" s="46">
        <f t="shared" si="2"/>
        <v>50</v>
      </c>
      <c r="N45" s="67">
        <f t="shared" si="5"/>
        <v>94.444444444444443</v>
      </c>
      <c r="O45" s="45">
        <v>35.869999999999997</v>
      </c>
      <c r="P45" s="46"/>
      <c r="Q45" s="46">
        <v>33.979999999999997</v>
      </c>
      <c r="R45" s="47">
        <f t="shared" si="4"/>
        <v>69.849999999999994</v>
      </c>
      <c r="S45" s="28">
        <v>3</v>
      </c>
      <c r="T45" s="284"/>
      <c r="U45" s="293"/>
      <c r="V45" s="37" t="s">
        <v>976</v>
      </c>
      <c r="W45" s="28" t="s">
        <v>115</v>
      </c>
      <c r="X45" s="28" t="s">
        <v>12</v>
      </c>
      <c r="Y45" s="38">
        <v>34</v>
      </c>
      <c r="Z45" s="28" t="s">
        <v>971</v>
      </c>
      <c r="AA45" s="28" t="s">
        <v>972</v>
      </c>
      <c r="AB45" s="28" t="s">
        <v>11</v>
      </c>
      <c r="AC45" s="28">
        <v>21.7</v>
      </c>
      <c r="AD45" s="37" t="s">
        <v>973</v>
      </c>
      <c r="AE45" s="28" t="s">
        <v>89</v>
      </c>
      <c r="AF45" s="28" t="s">
        <v>11</v>
      </c>
      <c r="AG45" s="38">
        <v>14.2</v>
      </c>
      <c r="AL45" s="37"/>
      <c r="AO45" s="38"/>
      <c r="AP45" s="37"/>
      <c r="AS45" s="38"/>
      <c r="AW45" s="38"/>
      <c r="BA45" s="39"/>
    </row>
    <row r="46" spans="1:53" s="28" customFormat="1" x14ac:dyDescent="0.15">
      <c r="A46" s="28">
        <v>2008</v>
      </c>
      <c r="B46" s="301">
        <v>39562</v>
      </c>
      <c r="C46" s="394" t="s">
        <v>974</v>
      </c>
      <c r="D46" s="394"/>
      <c r="E46" s="86">
        <v>252</v>
      </c>
      <c r="F46" s="83">
        <v>0</v>
      </c>
      <c r="G46" s="65">
        <v>8</v>
      </c>
      <c r="I46" s="28">
        <v>10</v>
      </c>
      <c r="J46" s="72">
        <v>19</v>
      </c>
      <c r="K46" s="46">
        <f t="shared" si="0"/>
        <v>42.105263157894733</v>
      </c>
      <c r="L46" s="46">
        <f t="shared" si="1"/>
        <v>0</v>
      </c>
      <c r="M46" s="46">
        <f t="shared" si="2"/>
        <v>52.631578947368418</v>
      </c>
      <c r="N46" s="67">
        <f t="shared" si="5"/>
        <v>94.73684210526315</v>
      </c>
      <c r="O46" s="45">
        <v>35.869999999999997</v>
      </c>
      <c r="P46" s="46"/>
      <c r="Q46" s="46">
        <v>33.979999999999997</v>
      </c>
      <c r="R46" s="47">
        <f t="shared" si="4"/>
        <v>69.849999999999994</v>
      </c>
      <c r="S46" s="28">
        <v>3</v>
      </c>
      <c r="T46" s="284"/>
      <c r="U46" s="293"/>
      <c r="V46" s="37" t="s">
        <v>976</v>
      </c>
      <c r="W46" s="28" t="s">
        <v>115</v>
      </c>
      <c r="X46" s="28" t="s">
        <v>12</v>
      </c>
      <c r="Y46" s="38">
        <v>34</v>
      </c>
      <c r="Z46" s="28" t="s">
        <v>971</v>
      </c>
      <c r="AA46" s="28" t="s">
        <v>972</v>
      </c>
      <c r="AB46" s="28" t="s">
        <v>11</v>
      </c>
      <c r="AC46" s="28">
        <v>21.7</v>
      </c>
      <c r="AD46" s="37" t="s">
        <v>973</v>
      </c>
      <c r="AE46" s="28" t="s">
        <v>89</v>
      </c>
      <c r="AF46" s="28" t="s">
        <v>11</v>
      </c>
      <c r="AG46" s="38">
        <v>14.2</v>
      </c>
      <c r="AL46" s="37"/>
      <c r="AO46" s="38"/>
      <c r="AP46" s="37"/>
      <c r="AS46" s="38"/>
      <c r="AW46" s="38"/>
      <c r="BA46" s="39"/>
    </row>
    <row r="47" spans="1:53" s="28" customFormat="1" x14ac:dyDescent="0.15">
      <c r="A47" s="28">
        <v>2009</v>
      </c>
      <c r="B47" s="275"/>
      <c r="C47" s="394" t="s">
        <v>974</v>
      </c>
      <c r="D47" s="394"/>
      <c r="E47" s="86">
        <v>207</v>
      </c>
      <c r="G47" s="65">
        <v>8</v>
      </c>
      <c r="I47" s="28">
        <v>10</v>
      </c>
      <c r="J47" s="72">
        <v>19</v>
      </c>
      <c r="K47" s="46">
        <f t="shared" si="0"/>
        <v>42.105263157894733</v>
      </c>
      <c r="L47" s="46">
        <f t="shared" si="1"/>
        <v>0</v>
      </c>
      <c r="M47" s="46">
        <f t="shared" si="2"/>
        <v>52.631578947368418</v>
      </c>
      <c r="N47" s="67">
        <f t="shared" si="5"/>
        <v>94.73684210526315</v>
      </c>
      <c r="O47" s="45">
        <v>35.869999999999997</v>
      </c>
      <c r="P47" s="46"/>
      <c r="Q47" s="46">
        <v>33.979999999999997</v>
      </c>
      <c r="R47" s="47">
        <f t="shared" si="4"/>
        <v>69.849999999999994</v>
      </c>
      <c r="S47" s="28">
        <v>3</v>
      </c>
      <c r="T47" s="284"/>
      <c r="U47" s="293"/>
      <c r="V47" s="37" t="s">
        <v>976</v>
      </c>
      <c r="W47" s="28" t="s">
        <v>115</v>
      </c>
      <c r="X47" s="28" t="s">
        <v>12</v>
      </c>
      <c r="Y47" s="38">
        <v>34</v>
      </c>
      <c r="Z47" s="28" t="s">
        <v>971</v>
      </c>
      <c r="AA47" s="28" t="s">
        <v>972</v>
      </c>
      <c r="AB47" s="28" t="s">
        <v>11</v>
      </c>
      <c r="AC47" s="28">
        <v>21.7</v>
      </c>
      <c r="AD47" s="37" t="s">
        <v>973</v>
      </c>
      <c r="AE47" s="28" t="s">
        <v>89</v>
      </c>
      <c r="AF47" s="28" t="s">
        <v>11</v>
      </c>
      <c r="AG47" s="38">
        <v>14.2</v>
      </c>
      <c r="AL47" s="37"/>
      <c r="AO47" s="38"/>
      <c r="AP47" s="37"/>
      <c r="AS47" s="38"/>
      <c r="AW47" s="38"/>
      <c r="BA47" s="39"/>
    </row>
    <row r="48" spans="1:53" s="170" customFormat="1" x14ac:dyDescent="0.15">
      <c r="A48" s="170">
        <v>2009</v>
      </c>
      <c r="B48" s="304">
        <v>40021</v>
      </c>
      <c r="C48" s="395" t="s">
        <v>977</v>
      </c>
      <c r="D48" s="395"/>
      <c r="E48" s="245">
        <f>365-E47</f>
        <v>158</v>
      </c>
      <c r="F48" s="170">
        <v>1</v>
      </c>
      <c r="G48" s="232">
        <v>16</v>
      </c>
      <c r="J48" s="240">
        <v>17</v>
      </c>
      <c r="K48" s="213">
        <f t="shared" si="0"/>
        <v>94.117647058823522</v>
      </c>
      <c r="L48" s="213">
        <f t="shared" si="1"/>
        <v>0</v>
      </c>
      <c r="M48" s="213">
        <f t="shared" si="2"/>
        <v>0</v>
      </c>
      <c r="N48" s="234">
        <f t="shared" si="5"/>
        <v>94.117647058823522</v>
      </c>
      <c r="O48" s="212">
        <v>48.8</v>
      </c>
      <c r="P48" s="213"/>
      <c r="Q48" s="213"/>
      <c r="R48" s="214">
        <f t="shared" si="4"/>
        <v>48.8</v>
      </c>
      <c r="S48" s="170">
        <v>4</v>
      </c>
      <c r="T48" s="283">
        <v>39999</v>
      </c>
      <c r="U48" s="281">
        <v>40021</v>
      </c>
      <c r="V48" s="177" t="s">
        <v>978</v>
      </c>
      <c r="W48" s="170" t="s">
        <v>74</v>
      </c>
      <c r="X48" s="170" t="s">
        <v>11</v>
      </c>
      <c r="Y48" s="178">
        <v>48.8</v>
      </c>
      <c r="AD48" s="177"/>
      <c r="AG48" s="178"/>
      <c r="AL48" s="177"/>
      <c r="AO48" s="178"/>
      <c r="AP48" s="177"/>
      <c r="AS48" s="178"/>
      <c r="AW48" s="178"/>
      <c r="BA48" s="179"/>
    </row>
    <row r="49" spans="1:53" s="170" customFormat="1" x14ac:dyDescent="0.15">
      <c r="A49" s="170">
        <v>2010</v>
      </c>
      <c r="B49" s="304"/>
      <c r="C49" s="395" t="s">
        <v>977</v>
      </c>
      <c r="D49" s="395"/>
      <c r="E49" s="245">
        <v>76</v>
      </c>
      <c r="G49" s="232">
        <v>16</v>
      </c>
      <c r="J49" s="240">
        <v>17</v>
      </c>
      <c r="K49" s="213">
        <f>G49/J49*100</f>
        <v>94.117647058823522</v>
      </c>
      <c r="L49" s="213">
        <f>H49/J49*100</f>
        <v>0</v>
      </c>
      <c r="M49" s="213">
        <f>I49/J49*100</f>
        <v>0</v>
      </c>
      <c r="N49" s="234">
        <f t="shared" si="5"/>
        <v>94.117647058823522</v>
      </c>
      <c r="O49" s="212">
        <v>48.8</v>
      </c>
      <c r="P49" s="213"/>
      <c r="Q49" s="213"/>
      <c r="R49" s="214">
        <f t="shared" si="4"/>
        <v>48.8</v>
      </c>
      <c r="S49" s="170">
        <v>4</v>
      </c>
      <c r="T49" s="283"/>
      <c r="U49" s="281"/>
      <c r="V49" s="177" t="s">
        <v>978</v>
      </c>
      <c r="W49" s="170" t="s">
        <v>74</v>
      </c>
      <c r="X49" s="170" t="s">
        <v>11</v>
      </c>
      <c r="Y49" s="178">
        <v>48.8</v>
      </c>
      <c r="AD49" s="177"/>
      <c r="AG49" s="178"/>
      <c r="AL49" s="177"/>
      <c r="AO49" s="178"/>
      <c r="AP49" s="177"/>
      <c r="AS49" s="178"/>
      <c r="AW49" s="178"/>
      <c r="BA49" s="179"/>
    </row>
    <row r="50" spans="1:53" s="170" customFormat="1" x14ac:dyDescent="0.15">
      <c r="A50" s="170">
        <v>2010</v>
      </c>
      <c r="B50" s="303">
        <v>40255</v>
      </c>
      <c r="C50" s="395" t="s">
        <v>977</v>
      </c>
      <c r="D50" s="395"/>
      <c r="E50" s="245">
        <v>12</v>
      </c>
      <c r="F50" s="243">
        <v>0</v>
      </c>
      <c r="G50" s="232">
        <v>17</v>
      </c>
      <c r="J50" s="240">
        <v>18</v>
      </c>
      <c r="K50" s="213">
        <f>G50/J50*100</f>
        <v>94.444444444444443</v>
      </c>
      <c r="L50" s="213">
        <f>H50/J50*100</f>
        <v>0</v>
      </c>
      <c r="M50" s="213">
        <f>I50/J50*100</f>
        <v>0</v>
      </c>
      <c r="N50" s="234">
        <f t="shared" si="5"/>
        <v>94.444444444444443</v>
      </c>
      <c r="O50" s="212">
        <v>48.8</v>
      </c>
      <c r="P50" s="213"/>
      <c r="Q50" s="213"/>
      <c r="R50" s="214">
        <f t="shared" si="4"/>
        <v>48.8</v>
      </c>
      <c r="S50" s="170">
        <v>4</v>
      </c>
      <c r="T50" s="283"/>
      <c r="U50" s="281"/>
      <c r="V50" s="177" t="s">
        <v>978</v>
      </c>
      <c r="W50" s="170" t="s">
        <v>74</v>
      </c>
      <c r="X50" s="170" t="s">
        <v>11</v>
      </c>
      <c r="Y50" s="178">
        <v>48.8</v>
      </c>
      <c r="AD50" s="177"/>
      <c r="AG50" s="178"/>
      <c r="AL50" s="177"/>
      <c r="AO50" s="178"/>
      <c r="AP50" s="177"/>
      <c r="AS50" s="178"/>
      <c r="AW50" s="178"/>
      <c r="BA50" s="179"/>
    </row>
    <row r="51" spans="1:53" s="170" customFormat="1" x14ac:dyDescent="0.15">
      <c r="A51" s="170">
        <v>2010</v>
      </c>
      <c r="B51" s="303">
        <v>40267</v>
      </c>
      <c r="C51" s="395" t="s">
        <v>977</v>
      </c>
      <c r="D51" s="395"/>
      <c r="E51" s="245">
        <v>264</v>
      </c>
      <c r="F51" s="243">
        <v>0</v>
      </c>
      <c r="G51" s="232">
        <v>16</v>
      </c>
      <c r="J51" s="240">
        <v>18</v>
      </c>
      <c r="K51" s="213">
        <f t="shared" si="0"/>
        <v>88.888888888888886</v>
      </c>
      <c r="L51" s="213">
        <f t="shared" si="1"/>
        <v>0</v>
      </c>
      <c r="M51" s="213">
        <f t="shared" si="2"/>
        <v>0</v>
      </c>
      <c r="N51" s="234">
        <f t="shared" si="5"/>
        <v>88.888888888888886</v>
      </c>
      <c r="O51" s="212">
        <v>48.8</v>
      </c>
      <c r="P51" s="213"/>
      <c r="Q51" s="213"/>
      <c r="R51" s="214">
        <f t="shared" si="4"/>
        <v>48.8</v>
      </c>
      <c r="S51" s="170">
        <v>4</v>
      </c>
      <c r="T51" s="283"/>
      <c r="U51" s="281"/>
      <c r="V51" s="177" t="s">
        <v>978</v>
      </c>
      <c r="W51" s="170" t="s">
        <v>74</v>
      </c>
      <c r="X51" s="170" t="s">
        <v>11</v>
      </c>
      <c r="Y51" s="178">
        <v>48.8</v>
      </c>
      <c r="AD51" s="177"/>
      <c r="AG51" s="178"/>
      <c r="AL51" s="177"/>
      <c r="AO51" s="178"/>
      <c r="AP51" s="177"/>
      <c r="AS51" s="178"/>
      <c r="AW51" s="178"/>
      <c r="BA51" s="179"/>
    </row>
    <row r="52" spans="1:53" s="170" customFormat="1" x14ac:dyDescent="0.15">
      <c r="A52" s="170">
        <v>2010</v>
      </c>
      <c r="B52" s="303">
        <v>40531</v>
      </c>
      <c r="C52" s="395" t="s">
        <v>977</v>
      </c>
      <c r="D52" s="395"/>
      <c r="E52" s="245">
        <v>13</v>
      </c>
      <c r="F52" s="243">
        <v>0</v>
      </c>
      <c r="G52" s="232">
        <v>15</v>
      </c>
      <c r="J52" s="240">
        <v>17</v>
      </c>
      <c r="K52" s="213">
        <f t="shared" si="0"/>
        <v>88.235294117647058</v>
      </c>
      <c r="L52" s="213">
        <f t="shared" si="1"/>
        <v>0</v>
      </c>
      <c r="M52" s="213">
        <f t="shared" si="2"/>
        <v>0</v>
      </c>
      <c r="N52" s="234">
        <f t="shared" si="5"/>
        <v>88.235294117647058</v>
      </c>
      <c r="O52" s="212">
        <v>48.8</v>
      </c>
      <c r="P52" s="213"/>
      <c r="Q52" s="213"/>
      <c r="R52" s="214">
        <f t="shared" si="4"/>
        <v>48.8</v>
      </c>
      <c r="S52" s="170">
        <v>4</v>
      </c>
      <c r="T52" s="283"/>
      <c r="U52" s="281"/>
      <c r="V52" s="177" t="s">
        <v>978</v>
      </c>
      <c r="W52" s="170" t="s">
        <v>74</v>
      </c>
      <c r="X52" s="170" t="s">
        <v>11</v>
      </c>
      <c r="Y52" s="178">
        <v>48.8</v>
      </c>
      <c r="AD52" s="177"/>
      <c r="AG52" s="178"/>
      <c r="AL52" s="177"/>
      <c r="AO52" s="178"/>
      <c r="AP52" s="177"/>
      <c r="AS52" s="178"/>
      <c r="AW52" s="178"/>
      <c r="BA52" s="179"/>
    </row>
    <row r="53" spans="1:53" s="170" customFormat="1" x14ac:dyDescent="0.15">
      <c r="A53" s="170">
        <v>2011</v>
      </c>
      <c r="B53" s="303"/>
      <c r="C53" s="395" t="s">
        <v>977</v>
      </c>
      <c r="D53" s="395"/>
      <c r="E53" s="245">
        <v>0</v>
      </c>
      <c r="G53" s="232">
        <v>15</v>
      </c>
      <c r="J53" s="240">
        <v>17</v>
      </c>
      <c r="K53" s="213">
        <f t="shared" ref="K53:K60" si="6">G53/J53*100</f>
        <v>88.235294117647058</v>
      </c>
      <c r="L53" s="213">
        <f t="shared" ref="L53:L60" si="7">H53/J53*100</f>
        <v>0</v>
      </c>
      <c r="M53" s="213">
        <f t="shared" ref="M53:M60" si="8">I53/J53*100</f>
        <v>0</v>
      </c>
      <c r="N53" s="234">
        <f t="shared" si="5"/>
        <v>88.235294117647058</v>
      </c>
      <c r="O53" s="212">
        <v>48.8</v>
      </c>
      <c r="P53" s="213"/>
      <c r="Q53" s="213"/>
      <c r="R53" s="214">
        <f t="shared" si="4"/>
        <v>48.8</v>
      </c>
      <c r="S53" s="170">
        <v>4</v>
      </c>
      <c r="T53" s="283"/>
      <c r="U53" s="281"/>
      <c r="V53" s="177" t="s">
        <v>978</v>
      </c>
      <c r="W53" s="170" t="s">
        <v>74</v>
      </c>
      <c r="X53" s="170" t="s">
        <v>11</v>
      </c>
      <c r="Y53" s="178">
        <v>48.8</v>
      </c>
      <c r="AD53" s="177"/>
      <c r="AG53" s="178"/>
      <c r="AL53" s="177"/>
      <c r="AO53" s="178"/>
      <c r="AP53" s="177"/>
      <c r="AS53" s="178"/>
      <c r="AW53" s="178"/>
      <c r="BA53" s="179"/>
    </row>
    <row r="54" spans="1:53" s="170" customFormat="1" x14ac:dyDescent="0.15">
      <c r="A54" s="170">
        <v>2011</v>
      </c>
      <c r="B54" s="303"/>
      <c r="C54" s="395" t="s">
        <v>977</v>
      </c>
      <c r="D54" s="395"/>
      <c r="E54" s="245">
        <v>365</v>
      </c>
      <c r="F54" s="243"/>
      <c r="G54" s="232">
        <v>15</v>
      </c>
      <c r="J54" s="240">
        <v>17</v>
      </c>
      <c r="K54" s="213">
        <f t="shared" si="6"/>
        <v>88.235294117647058</v>
      </c>
      <c r="L54" s="213">
        <f t="shared" si="7"/>
        <v>0</v>
      </c>
      <c r="M54" s="213">
        <f t="shared" si="8"/>
        <v>0</v>
      </c>
      <c r="N54" s="234">
        <f t="shared" si="5"/>
        <v>88.235294117647058</v>
      </c>
      <c r="O54" s="212">
        <v>48.8</v>
      </c>
      <c r="P54" s="213"/>
      <c r="Q54" s="213"/>
      <c r="R54" s="214">
        <f t="shared" si="4"/>
        <v>48.8</v>
      </c>
      <c r="S54" s="170">
        <v>4</v>
      </c>
      <c r="T54" s="283"/>
      <c r="U54" s="281"/>
      <c r="V54" s="177" t="s">
        <v>978</v>
      </c>
      <c r="W54" s="170" t="s">
        <v>74</v>
      </c>
      <c r="X54" s="170" t="s">
        <v>11</v>
      </c>
      <c r="Y54" s="178">
        <v>48.8</v>
      </c>
      <c r="AD54" s="177"/>
      <c r="AG54" s="178"/>
      <c r="AL54" s="177"/>
      <c r="AO54" s="178"/>
      <c r="AP54" s="177"/>
      <c r="AS54" s="178"/>
      <c r="AW54" s="178"/>
      <c r="BA54" s="179"/>
    </row>
    <row r="55" spans="1:53" s="170" customFormat="1" x14ac:dyDescent="0.15">
      <c r="A55" s="170">
        <v>2012</v>
      </c>
      <c r="B55" s="303"/>
      <c r="C55" s="395" t="s">
        <v>977</v>
      </c>
      <c r="D55" s="395"/>
      <c r="E55" s="245">
        <v>80</v>
      </c>
      <c r="F55" s="179"/>
      <c r="G55" s="170">
        <v>15</v>
      </c>
      <c r="J55" s="240">
        <v>17</v>
      </c>
      <c r="K55" s="213">
        <f t="shared" si="6"/>
        <v>88.235294117647058</v>
      </c>
      <c r="L55" s="213">
        <f t="shared" si="7"/>
        <v>0</v>
      </c>
      <c r="M55" s="213">
        <f t="shared" si="8"/>
        <v>0</v>
      </c>
      <c r="N55" s="234">
        <f t="shared" si="5"/>
        <v>88.235294117647058</v>
      </c>
      <c r="O55" s="212">
        <v>48.8</v>
      </c>
      <c r="P55" s="213"/>
      <c r="Q55" s="213"/>
      <c r="R55" s="214">
        <f t="shared" si="4"/>
        <v>48.8</v>
      </c>
      <c r="S55" s="170">
        <v>4</v>
      </c>
      <c r="T55" s="283"/>
      <c r="U55" s="281"/>
      <c r="V55" s="177" t="s">
        <v>978</v>
      </c>
      <c r="W55" s="170" t="s">
        <v>74</v>
      </c>
      <c r="X55" s="170" t="s">
        <v>11</v>
      </c>
      <c r="Y55" s="178">
        <v>48.8</v>
      </c>
      <c r="AD55" s="177"/>
      <c r="AG55" s="178"/>
      <c r="AL55" s="177"/>
      <c r="AO55" s="178"/>
      <c r="AP55" s="177"/>
      <c r="AS55" s="178"/>
      <c r="AW55" s="178"/>
      <c r="BA55" s="179"/>
    </row>
    <row r="56" spans="1:53" s="170" customFormat="1" x14ac:dyDescent="0.15">
      <c r="A56" s="170">
        <v>2012</v>
      </c>
      <c r="B56" s="303">
        <v>40989</v>
      </c>
      <c r="C56" s="395" t="s">
        <v>977</v>
      </c>
      <c r="D56" s="395"/>
      <c r="E56" s="245">
        <v>286</v>
      </c>
      <c r="F56" s="246">
        <v>0</v>
      </c>
      <c r="G56" s="170">
        <v>16</v>
      </c>
      <c r="J56" s="240">
        <v>17</v>
      </c>
      <c r="K56" s="213">
        <f t="shared" si="6"/>
        <v>94.117647058823522</v>
      </c>
      <c r="L56" s="213">
        <f t="shared" si="7"/>
        <v>0</v>
      </c>
      <c r="M56" s="213">
        <f t="shared" si="8"/>
        <v>0</v>
      </c>
      <c r="N56" s="234">
        <f t="shared" si="5"/>
        <v>94.117647058823522</v>
      </c>
      <c r="O56" s="212">
        <v>48.8</v>
      </c>
      <c r="P56" s="213"/>
      <c r="Q56" s="213"/>
      <c r="R56" s="214">
        <f t="shared" si="4"/>
        <v>48.8</v>
      </c>
      <c r="S56" s="170">
        <v>4</v>
      </c>
      <c r="T56" s="283"/>
      <c r="U56" s="281"/>
      <c r="V56" s="177" t="s">
        <v>978</v>
      </c>
      <c r="W56" s="170" t="s">
        <v>74</v>
      </c>
      <c r="X56" s="170" t="s">
        <v>11</v>
      </c>
      <c r="Y56" s="178">
        <v>48.8</v>
      </c>
      <c r="AD56" s="177"/>
      <c r="AG56" s="178"/>
      <c r="AL56" s="177"/>
      <c r="AO56" s="178"/>
      <c r="AP56" s="177"/>
      <c r="AS56" s="178"/>
      <c r="AW56" s="178"/>
      <c r="BA56" s="179"/>
    </row>
    <row r="57" spans="1:53" s="170" customFormat="1" x14ac:dyDescent="0.15">
      <c r="A57" s="170">
        <v>2013</v>
      </c>
      <c r="B57" s="303"/>
      <c r="C57" s="395" t="s">
        <v>977</v>
      </c>
      <c r="D57" s="395"/>
      <c r="E57" s="245">
        <v>36</v>
      </c>
      <c r="F57" s="246"/>
      <c r="G57" s="170">
        <v>16</v>
      </c>
      <c r="J57" s="240">
        <v>17</v>
      </c>
      <c r="K57" s="213">
        <f t="shared" si="6"/>
        <v>94.117647058823522</v>
      </c>
      <c r="L57" s="213">
        <f t="shared" si="7"/>
        <v>0</v>
      </c>
      <c r="M57" s="213">
        <f t="shared" si="8"/>
        <v>0</v>
      </c>
      <c r="N57" s="234">
        <f t="shared" si="5"/>
        <v>94.117647058823522</v>
      </c>
      <c r="O57" s="212">
        <v>48.8</v>
      </c>
      <c r="P57" s="213"/>
      <c r="Q57" s="213"/>
      <c r="R57" s="214">
        <f t="shared" ref="R57:R64" si="9">SUM(O57:Q57)</f>
        <v>48.8</v>
      </c>
      <c r="S57" s="170">
        <v>4</v>
      </c>
      <c r="T57" s="283"/>
      <c r="U57" s="281"/>
      <c r="V57" s="177" t="s">
        <v>978</v>
      </c>
      <c r="W57" s="170" t="s">
        <v>74</v>
      </c>
      <c r="X57" s="170" t="s">
        <v>11</v>
      </c>
      <c r="Y57" s="178">
        <v>48.8</v>
      </c>
      <c r="AD57" s="177"/>
      <c r="AG57" s="178"/>
      <c r="AL57" s="177"/>
      <c r="AO57" s="178"/>
      <c r="AP57" s="177"/>
      <c r="AS57" s="178"/>
      <c r="AW57" s="178"/>
      <c r="BA57" s="179"/>
    </row>
    <row r="58" spans="1:53" s="170" customFormat="1" x14ac:dyDescent="0.15">
      <c r="A58" s="170">
        <v>2013</v>
      </c>
      <c r="B58" s="303">
        <v>41311</v>
      </c>
      <c r="C58" s="395" t="s">
        <v>977</v>
      </c>
      <c r="D58" s="395"/>
      <c r="E58" s="245">
        <v>35</v>
      </c>
      <c r="F58" s="246">
        <v>0</v>
      </c>
      <c r="G58" s="170">
        <v>15</v>
      </c>
      <c r="J58" s="240">
        <v>17</v>
      </c>
      <c r="K58" s="213">
        <f t="shared" si="6"/>
        <v>88.235294117647058</v>
      </c>
      <c r="L58" s="213">
        <f t="shared" si="7"/>
        <v>0</v>
      </c>
      <c r="M58" s="213">
        <f t="shared" si="8"/>
        <v>0</v>
      </c>
      <c r="N58" s="234">
        <f t="shared" si="5"/>
        <v>88.235294117647058</v>
      </c>
      <c r="O58" s="212">
        <v>48.8</v>
      </c>
      <c r="P58" s="213"/>
      <c r="Q58" s="213"/>
      <c r="R58" s="214">
        <f t="shared" si="9"/>
        <v>48.8</v>
      </c>
      <c r="S58" s="170">
        <v>4</v>
      </c>
      <c r="T58" s="283"/>
      <c r="U58" s="281"/>
      <c r="V58" s="177" t="s">
        <v>978</v>
      </c>
      <c r="W58" s="170" t="s">
        <v>74</v>
      </c>
      <c r="X58" s="170" t="s">
        <v>11</v>
      </c>
      <c r="Y58" s="178">
        <v>48.8</v>
      </c>
      <c r="AD58" s="177"/>
      <c r="AG58" s="178"/>
      <c r="AL58" s="177"/>
      <c r="AO58" s="178"/>
      <c r="AP58" s="177"/>
      <c r="AS58" s="178"/>
      <c r="AW58" s="178"/>
      <c r="BA58" s="179"/>
    </row>
    <row r="59" spans="1:53" s="28" customFormat="1" x14ac:dyDescent="0.15">
      <c r="A59" s="28">
        <v>2013</v>
      </c>
      <c r="B59" s="275">
        <v>41346</v>
      </c>
      <c r="C59" s="394" t="s">
        <v>1237</v>
      </c>
      <c r="D59" s="394"/>
      <c r="E59" s="86">
        <v>77</v>
      </c>
      <c r="F59" s="28">
        <v>2</v>
      </c>
      <c r="G59" s="65"/>
      <c r="J59" s="72">
        <v>17</v>
      </c>
      <c r="K59" s="46">
        <f t="shared" si="6"/>
        <v>0</v>
      </c>
      <c r="L59" s="46">
        <f t="shared" si="7"/>
        <v>0</v>
      </c>
      <c r="M59" s="46">
        <f t="shared" si="8"/>
        <v>0</v>
      </c>
      <c r="N59" s="67">
        <f t="shared" si="5"/>
        <v>0</v>
      </c>
      <c r="O59" s="45">
        <v>0</v>
      </c>
      <c r="P59" s="46">
        <v>0</v>
      </c>
      <c r="Q59" s="46">
        <v>0</v>
      </c>
      <c r="R59" s="47">
        <f t="shared" si="9"/>
        <v>0</v>
      </c>
      <c r="S59" s="28">
        <v>6</v>
      </c>
      <c r="T59" s="284"/>
      <c r="U59" s="293">
        <v>41346</v>
      </c>
      <c r="V59" s="88" t="s">
        <v>797</v>
      </c>
      <c r="Y59" s="38"/>
      <c r="AD59" s="37"/>
      <c r="AG59" s="38"/>
      <c r="AL59" s="37"/>
      <c r="AO59" s="38"/>
      <c r="AP59" s="37"/>
      <c r="AS59" s="38"/>
      <c r="AW59" s="38"/>
      <c r="BA59" s="39"/>
    </row>
    <row r="60" spans="1:53" s="170" customFormat="1" x14ac:dyDescent="0.15">
      <c r="A60" s="170">
        <v>2013</v>
      </c>
      <c r="B60" s="304">
        <v>41423</v>
      </c>
      <c r="C60" s="395" t="s">
        <v>1238</v>
      </c>
      <c r="D60" s="395"/>
      <c r="E60" s="245">
        <v>29</v>
      </c>
      <c r="F60" s="170">
        <v>1</v>
      </c>
      <c r="G60" s="232">
        <v>2</v>
      </c>
      <c r="I60" s="170">
        <v>4</v>
      </c>
      <c r="J60" s="240">
        <v>17</v>
      </c>
      <c r="K60" s="213">
        <f t="shared" si="6"/>
        <v>11.76470588235294</v>
      </c>
      <c r="L60" s="213">
        <f t="shared" si="7"/>
        <v>0</v>
      </c>
      <c r="M60" s="213">
        <f t="shared" si="8"/>
        <v>23.52941176470588</v>
      </c>
      <c r="N60" s="234">
        <f t="shared" si="5"/>
        <v>35.294117647058819</v>
      </c>
      <c r="O60" s="212">
        <v>15</v>
      </c>
      <c r="P60" s="213"/>
      <c r="Q60" s="213">
        <v>35</v>
      </c>
      <c r="R60" s="214">
        <f t="shared" si="9"/>
        <v>50</v>
      </c>
      <c r="S60" s="170">
        <v>5</v>
      </c>
      <c r="T60" s="283">
        <v>41406</v>
      </c>
      <c r="U60" s="281">
        <v>41423</v>
      </c>
      <c r="V60" s="177" t="s">
        <v>976</v>
      </c>
      <c r="W60" s="170" t="s">
        <v>115</v>
      </c>
      <c r="X60" s="170" t="s">
        <v>12</v>
      </c>
      <c r="Y60" s="178">
        <v>35</v>
      </c>
      <c r="Z60" s="170" t="s">
        <v>973</v>
      </c>
      <c r="AA60" s="170" t="s">
        <v>89</v>
      </c>
      <c r="AB60" s="170" t="s">
        <v>11</v>
      </c>
      <c r="AC60" s="170">
        <v>15</v>
      </c>
      <c r="AD60" s="177"/>
      <c r="AG60" s="178"/>
      <c r="AL60" s="177"/>
      <c r="AO60" s="178"/>
      <c r="AP60" s="177"/>
      <c r="AS60" s="178"/>
      <c r="AW60" s="178"/>
      <c r="BA60" s="179"/>
    </row>
    <row r="61" spans="1:53" s="170" customFormat="1" x14ac:dyDescent="0.15">
      <c r="A61" s="170">
        <v>2013</v>
      </c>
      <c r="B61" s="303">
        <v>41452</v>
      </c>
      <c r="C61" s="395" t="s">
        <v>1238</v>
      </c>
      <c r="D61" s="395"/>
      <c r="E61" s="245">
        <f>365-E60-E59-E58-E57</f>
        <v>188</v>
      </c>
      <c r="F61" s="243">
        <v>0</v>
      </c>
      <c r="G61" s="232">
        <v>2</v>
      </c>
      <c r="I61" s="170">
        <v>4</v>
      </c>
      <c r="J61" s="240">
        <v>18</v>
      </c>
      <c r="K61" s="213">
        <f t="shared" ref="K61:K67" si="10">G61/J61*100</f>
        <v>11.111111111111111</v>
      </c>
      <c r="L61" s="213">
        <f t="shared" ref="L61:L67" si="11">H61/J61*100</f>
        <v>0</v>
      </c>
      <c r="M61" s="213">
        <f t="shared" ref="M61:M67" si="12">I61/J61*100</f>
        <v>22.222222222222221</v>
      </c>
      <c r="N61" s="234">
        <f t="shared" ref="N61:N66" si="13">SUM(K61:M61)</f>
        <v>33.333333333333329</v>
      </c>
      <c r="O61" s="212">
        <v>15</v>
      </c>
      <c r="P61" s="213"/>
      <c r="Q61" s="213">
        <v>35</v>
      </c>
      <c r="R61" s="214">
        <f t="shared" si="9"/>
        <v>50</v>
      </c>
      <c r="S61" s="170">
        <v>5</v>
      </c>
      <c r="T61" s="283"/>
      <c r="U61" s="281"/>
      <c r="V61" s="177" t="s">
        <v>976</v>
      </c>
      <c r="W61" s="170" t="s">
        <v>115</v>
      </c>
      <c r="X61" s="170" t="s">
        <v>12</v>
      </c>
      <c r="Y61" s="178">
        <v>35</v>
      </c>
      <c r="Z61" s="170" t="s">
        <v>973</v>
      </c>
      <c r="AA61" s="170" t="s">
        <v>89</v>
      </c>
      <c r="AB61" s="170" t="s">
        <v>11</v>
      </c>
      <c r="AC61" s="170">
        <v>15</v>
      </c>
      <c r="AD61" s="177"/>
      <c r="AG61" s="178"/>
      <c r="AL61" s="177"/>
      <c r="AO61" s="178"/>
      <c r="AP61" s="177"/>
      <c r="AS61" s="178"/>
      <c r="AW61" s="178"/>
      <c r="BA61" s="179"/>
    </row>
    <row r="62" spans="1:53" s="170" customFormat="1" x14ac:dyDescent="0.15">
      <c r="A62" s="170">
        <v>2014</v>
      </c>
      <c r="B62" s="304"/>
      <c r="C62" s="395" t="s">
        <v>1238</v>
      </c>
      <c r="D62" s="395"/>
      <c r="E62" s="245">
        <v>217</v>
      </c>
      <c r="G62" s="232">
        <v>2</v>
      </c>
      <c r="I62" s="170">
        <v>4</v>
      </c>
      <c r="J62" s="240">
        <v>18</v>
      </c>
      <c r="K62" s="213">
        <f t="shared" si="10"/>
        <v>11.111111111111111</v>
      </c>
      <c r="L62" s="213">
        <f t="shared" si="11"/>
        <v>0</v>
      </c>
      <c r="M62" s="213">
        <f t="shared" si="12"/>
        <v>22.222222222222221</v>
      </c>
      <c r="N62" s="234">
        <f t="shared" si="13"/>
        <v>33.333333333333329</v>
      </c>
      <c r="O62" s="212">
        <v>15</v>
      </c>
      <c r="P62" s="213"/>
      <c r="Q62" s="213">
        <v>35</v>
      </c>
      <c r="R62" s="214">
        <f t="shared" si="9"/>
        <v>50</v>
      </c>
      <c r="S62" s="170">
        <v>5</v>
      </c>
      <c r="T62" s="283"/>
      <c r="U62" s="281"/>
      <c r="V62" s="177" t="s">
        <v>976</v>
      </c>
      <c r="W62" s="170" t="s">
        <v>115</v>
      </c>
      <c r="X62" s="170" t="s">
        <v>12</v>
      </c>
      <c r="Y62" s="178">
        <v>35</v>
      </c>
      <c r="Z62" s="170" t="s">
        <v>973</v>
      </c>
      <c r="AA62" s="170" t="s">
        <v>89</v>
      </c>
      <c r="AB62" s="170" t="s">
        <v>11</v>
      </c>
      <c r="AC62" s="170">
        <v>15</v>
      </c>
      <c r="AD62" s="177"/>
      <c r="AG62" s="178"/>
      <c r="AL62" s="177"/>
      <c r="AO62" s="178"/>
      <c r="AP62" s="177"/>
      <c r="AS62" s="178"/>
      <c r="AW62" s="178"/>
      <c r="BA62" s="179"/>
    </row>
    <row r="63" spans="1:53" s="28" customFormat="1" x14ac:dyDescent="0.15">
      <c r="A63" s="28">
        <v>2014</v>
      </c>
      <c r="B63" s="275"/>
      <c r="C63" s="394" t="s">
        <v>1278</v>
      </c>
      <c r="D63" s="394"/>
      <c r="E63" s="86">
        <v>93</v>
      </c>
      <c r="F63" s="28">
        <v>2</v>
      </c>
      <c r="G63" s="65"/>
      <c r="J63" s="72">
        <v>17</v>
      </c>
      <c r="K63" s="46">
        <f t="shared" si="10"/>
        <v>0</v>
      </c>
      <c r="L63" s="46">
        <f t="shared" si="11"/>
        <v>0</v>
      </c>
      <c r="M63" s="46">
        <f t="shared" si="12"/>
        <v>0</v>
      </c>
      <c r="N63" s="67">
        <f t="shared" si="13"/>
        <v>0</v>
      </c>
      <c r="O63" s="45">
        <v>0</v>
      </c>
      <c r="P63" s="46">
        <v>0</v>
      </c>
      <c r="Q63" s="46">
        <v>0</v>
      </c>
      <c r="R63" s="47">
        <f t="shared" si="9"/>
        <v>0</v>
      </c>
      <c r="S63" s="28">
        <v>6</v>
      </c>
      <c r="T63" s="284"/>
      <c r="U63" s="293">
        <v>41857</v>
      </c>
      <c r="V63" s="88" t="s">
        <v>797</v>
      </c>
      <c r="Y63" s="38"/>
      <c r="AD63" s="37"/>
      <c r="AG63" s="38"/>
      <c r="AL63" s="37"/>
      <c r="AO63" s="38"/>
      <c r="AP63" s="37"/>
      <c r="AS63" s="38"/>
      <c r="AW63" s="38"/>
      <c r="BA63" s="39"/>
    </row>
    <row r="64" spans="1:53" s="170" customFormat="1" x14ac:dyDescent="0.15">
      <c r="A64" s="170">
        <v>2014</v>
      </c>
      <c r="B64" s="304">
        <v>41950</v>
      </c>
      <c r="C64" s="395" t="s">
        <v>1279</v>
      </c>
      <c r="D64" s="395"/>
      <c r="E64" s="245">
        <v>55</v>
      </c>
      <c r="F64" s="170">
        <v>1</v>
      </c>
      <c r="G64" s="232">
        <v>19</v>
      </c>
      <c r="I64" s="170">
        <v>1</v>
      </c>
      <c r="J64" s="240">
        <v>20</v>
      </c>
      <c r="K64" s="213">
        <f t="shared" si="10"/>
        <v>95</v>
      </c>
      <c r="L64" s="213">
        <f t="shared" si="11"/>
        <v>0</v>
      </c>
      <c r="M64" s="213">
        <f t="shared" si="12"/>
        <v>5</v>
      </c>
      <c r="N64" s="234">
        <f t="shared" si="13"/>
        <v>100</v>
      </c>
      <c r="O64" s="212">
        <v>44.6</v>
      </c>
      <c r="P64" s="213"/>
      <c r="Q64" s="213">
        <v>4.5999999999999996</v>
      </c>
      <c r="R64" s="214">
        <f t="shared" si="9"/>
        <v>49.2</v>
      </c>
      <c r="S64" s="170">
        <v>5</v>
      </c>
      <c r="T64" s="283">
        <v>41917</v>
      </c>
      <c r="U64" s="281">
        <v>41950</v>
      </c>
      <c r="V64" s="177" t="s">
        <v>978</v>
      </c>
      <c r="W64" s="170" t="s">
        <v>74</v>
      </c>
      <c r="X64" s="170" t="s">
        <v>11</v>
      </c>
      <c r="Y64" s="178">
        <v>35</v>
      </c>
      <c r="Z64" s="170" t="s">
        <v>1280</v>
      </c>
      <c r="AA64" s="170" t="s">
        <v>79</v>
      </c>
      <c r="AB64" s="170" t="s">
        <v>11</v>
      </c>
      <c r="AC64" s="170">
        <v>9.6</v>
      </c>
      <c r="AD64" s="177" t="s">
        <v>1281</v>
      </c>
      <c r="AE64" s="170" t="s">
        <v>304</v>
      </c>
      <c r="AF64" s="170" t="s">
        <v>12</v>
      </c>
      <c r="AG64" s="178">
        <v>4.5999999999999996</v>
      </c>
      <c r="AL64" s="177"/>
      <c r="AO64" s="178"/>
      <c r="AP64" s="177"/>
      <c r="AS64" s="178"/>
      <c r="AW64" s="178"/>
      <c r="BA64" s="179"/>
    </row>
    <row r="65" spans="1:53" s="170" customFormat="1" x14ac:dyDescent="0.15">
      <c r="A65" s="170">
        <v>2015</v>
      </c>
      <c r="B65" s="304"/>
      <c r="C65" s="395" t="s">
        <v>1279</v>
      </c>
      <c r="D65" s="395"/>
      <c r="E65" s="245">
        <v>351</v>
      </c>
      <c r="G65" s="232">
        <v>19</v>
      </c>
      <c r="I65" s="170">
        <v>1</v>
      </c>
      <c r="J65" s="240">
        <v>20</v>
      </c>
      <c r="K65" s="213">
        <f t="shared" si="10"/>
        <v>95</v>
      </c>
      <c r="L65" s="213">
        <f t="shared" si="11"/>
        <v>0</v>
      </c>
      <c r="M65" s="213">
        <f t="shared" si="12"/>
        <v>5</v>
      </c>
      <c r="N65" s="234">
        <f t="shared" si="13"/>
        <v>100</v>
      </c>
      <c r="O65" s="212">
        <v>44.6</v>
      </c>
      <c r="P65" s="213"/>
      <c r="Q65" s="213">
        <v>4.5999999999999996</v>
      </c>
      <c r="R65" s="214">
        <f t="shared" ref="R65" si="14">SUM(O65:Q65)</f>
        <v>49.2</v>
      </c>
      <c r="S65" s="170">
        <v>5</v>
      </c>
      <c r="T65" s="283"/>
      <c r="U65" s="281"/>
      <c r="V65" s="177" t="s">
        <v>978</v>
      </c>
      <c r="W65" s="170" t="s">
        <v>74</v>
      </c>
      <c r="X65" s="170" t="s">
        <v>11</v>
      </c>
      <c r="Y65" s="178">
        <v>35</v>
      </c>
      <c r="Z65" s="170" t="s">
        <v>1280</v>
      </c>
      <c r="AA65" s="170" t="s">
        <v>79</v>
      </c>
      <c r="AB65" s="170" t="s">
        <v>11</v>
      </c>
      <c r="AC65" s="170">
        <v>9.6</v>
      </c>
      <c r="AD65" s="177" t="s">
        <v>1281</v>
      </c>
      <c r="AE65" s="170" t="s">
        <v>304</v>
      </c>
      <c r="AF65" s="170" t="s">
        <v>12</v>
      </c>
      <c r="AG65" s="178">
        <v>4.5999999999999996</v>
      </c>
      <c r="AL65" s="177"/>
      <c r="AO65" s="178"/>
      <c r="AP65" s="177"/>
      <c r="AS65" s="178"/>
      <c r="AW65" s="178"/>
      <c r="BA65" s="179"/>
    </row>
    <row r="66" spans="1:53" s="170" customFormat="1" x14ac:dyDescent="0.15">
      <c r="A66" s="170">
        <v>2015</v>
      </c>
      <c r="B66" s="303">
        <v>42356</v>
      </c>
      <c r="C66" s="395" t="s">
        <v>1279</v>
      </c>
      <c r="D66" s="395"/>
      <c r="E66" s="245">
        <v>14</v>
      </c>
      <c r="F66" s="243">
        <v>0</v>
      </c>
      <c r="G66" s="232">
        <v>18</v>
      </c>
      <c r="I66" s="170">
        <v>1</v>
      </c>
      <c r="J66" s="240">
        <v>20</v>
      </c>
      <c r="K66" s="213">
        <f t="shared" si="10"/>
        <v>90</v>
      </c>
      <c r="L66" s="213">
        <f t="shared" si="11"/>
        <v>0</v>
      </c>
      <c r="M66" s="213">
        <f t="shared" si="12"/>
        <v>5</v>
      </c>
      <c r="N66" s="234">
        <f t="shared" si="13"/>
        <v>95</v>
      </c>
      <c r="O66" s="212">
        <v>44.6</v>
      </c>
      <c r="P66" s="213"/>
      <c r="Q66" s="213">
        <v>4.5999999999999996</v>
      </c>
      <c r="R66" s="214">
        <f>SUM(O66:Q66)</f>
        <v>49.2</v>
      </c>
      <c r="S66" s="170">
        <v>5</v>
      </c>
      <c r="T66" s="283"/>
      <c r="U66" s="281"/>
      <c r="V66" s="177" t="s">
        <v>978</v>
      </c>
      <c r="W66" s="170" t="s">
        <v>74</v>
      </c>
      <c r="X66" s="170" t="s">
        <v>11</v>
      </c>
      <c r="Y66" s="178">
        <v>35</v>
      </c>
      <c r="Z66" s="170" t="s">
        <v>1280</v>
      </c>
      <c r="AA66" s="170" t="s">
        <v>79</v>
      </c>
      <c r="AB66" s="170" t="s">
        <v>11</v>
      </c>
      <c r="AC66" s="170">
        <v>9.6</v>
      </c>
      <c r="AD66" s="177" t="s">
        <v>1281</v>
      </c>
      <c r="AE66" s="170" t="s">
        <v>304</v>
      </c>
      <c r="AF66" s="170" t="s">
        <v>12</v>
      </c>
      <c r="AG66" s="178">
        <v>4.5999999999999996</v>
      </c>
      <c r="AL66" s="177"/>
      <c r="AO66" s="178"/>
      <c r="AP66" s="177"/>
      <c r="AS66" s="178"/>
      <c r="AW66" s="178"/>
      <c r="BA66" s="179"/>
    </row>
    <row r="67" spans="1:53" s="170" customFormat="1" x14ac:dyDescent="0.15">
      <c r="A67" s="170">
        <v>2016</v>
      </c>
      <c r="B67" s="281"/>
      <c r="C67" s="395" t="s">
        <v>1279</v>
      </c>
      <c r="D67" s="395"/>
      <c r="E67" s="245">
        <v>77</v>
      </c>
      <c r="F67" s="243"/>
      <c r="G67" s="232">
        <v>18</v>
      </c>
      <c r="I67" s="170">
        <v>1</v>
      </c>
      <c r="J67" s="240">
        <v>20</v>
      </c>
      <c r="K67" s="212">
        <f t="shared" si="10"/>
        <v>90</v>
      </c>
      <c r="L67" s="213">
        <f t="shared" si="11"/>
        <v>0</v>
      </c>
      <c r="M67" s="213">
        <f t="shared" si="12"/>
        <v>5</v>
      </c>
      <c r="N67" s="214">
        <f>SUM(K67:M67)</f>
        <v>95</v>
      </c>
      <c r="O67" s="212">
        <v>44.6</v>
      </c>
      <c r="P67" s="213"/>
      <c r="Q67" s="213">
        <v>4.5999999999999996</v>
      </c>
      <c r="R67" s="214">
        <f t="shared" ref="R67:R71" si="15">SUM(O67:Q67)</f>
        <v>49.2</v>
      </c>
      <c r="S67" s="170">
        <v>5</v>
      </c>
      <c r="T67" s="283"/>
      <c r="U67" s="281"/>
      <c r="V67" s="177" t="s">
        <v>978</v>
      </c>
      <c r="W67" s="170" t="s">
        <v>74</v>
      </c>
      <c r="X67" s="170" t="s">
        <v>11</v>
      </c>
      <c r="Y67" s="178">
        <v>35</v>
      </c>
      <c r="Z67" s="170" t="s">
        <v>1280</v>
      </c>
      <c r="AA67" s="170" t="s">
        <v>79</v>
      </c>
      <c r="AB67" s="170" t="s">
        <v>11</v>
      </c>
      <c r="AC67" s="170">
        <v>9.6</v>
      </c>
      <c r="AD67" s="177" t="s">
        <v>1281</v>
      </c>
      <c r="AE67" s="170" t="s">
        <v>304</v>
      </c>
      <c r="AF67" s="170" t="s">
        <v>12</v>
      </c>
      <c r="AG67" s="178">
        <v>4.5999999999999996</v>
      </c>
      <c r="AK67" s="178"/>
      <c r="AO67" s="178"/>
      <c r="AS67" s="178"/>
      <c r="AW67" s="178"/>
      <c r="BA67" s="179"/>
    </row>
    <row r="68" spans="1:53" s="170" customFormat="1" x14ac:dyDescent="0.15">
      <c r="A68" s="170">
        <v>2016</v>
      </c>
      <c r="B68" s="303">
        <v>42447</v>
      </c>
      <c r="C68" s="395" t="s">
        <v>1279</v>
      </c>
      <c r="D68" s="395"/>
      <c r="E68" s="245">
        <v>289</v>
      </c>
      <c r="F68" s="243">
        <v>0</v>
      </c>
      <c r="G68" s="232">
        <v>17</v>
      </c>
      <c r="J68" s="240">
        <v>18</v>
      </c>
      <c r="K68" s="212">
        <f t="shared" ref="K68:K69" si="16">G68/J68*100</f>
        <v>94.444444444444443</v>
      </c>
      <c r="L68" s="213">
        <f t="shared" ref="L68:L69" si="17">H68/J68*100</f>
        <v>0</v>
      </c>
      <c r="M68" s="213">
        <f t="shared" ref="M68:M69" si="18">I68/J68*100</f>
        <v>0</v>
      </c>
      <c r="N68" s="214">
        <f t="shared" ref="N68:N69" si="19">SUM(K68:M68)</f>
        <v>94.444444444444443</v>
      </c>
      <c r="O68" s="212">
        <v>44.6</v>
      </c>
      <c r="P68" s="213"/>
      <c r="Q68" s="213">
        <v>4.5999999999999996</v>
      </c>
      <c r="R68" s="214">
        <f t="shared" si="15"/>
        <v>49.2</v>
      </c>
      <c r="S68" s="170">
        <v>5</v>
      </c>
      <c r="T68" s="283"/>
      <c r="U68" s="281"/>
      <c r="V68" s="177" t="s">
        <v>978</v>
      </c>
      <c r="W68" s="170" t="s">
        <v>74</v>
      </c>
      <c r="X68" s="170" t="s">
        <v>11</v>
      </c>
      <c r="Y68" s="178">
        <v>35</v>
      </c>
      <c r="Z68" s="170" t="s">
        <v>1280</v>
      </c>
      <c r="AA68" s="170" t="s">
        <v>79</v>
      </c>
      <c r="AB68" s="170" t="s">
        <v>11</v>
      </c>
      <c r="AC68" s="170">
        <v>9.6</v>
      </c>
      <c r="AD68" s="177" t="s">
        <v>1281</v>
      </c>
      <c r="AE68" s="170" t="s">
        <v>304</v>
      </c>
      <c r="AF68" s="170" t="s">
        <v>12</v>
      </c>
      <c r="AG68" s="178">
        <v>4.5999999999999996</v>
      </c>
      <c r="AK68" s="178"/>
      <c r="AO68" s="178"/>
      <c r="AS68" s="178"/>
      <c r="AW68" s="178"/>
      <c r="BA68" s="179"/>
    </row>
    <row r="69" spans="1:53" s="170" customFormat="1" x14ac:dyDescent="0.15">
      <c r="A69" s="170">
        <v>2017</v>
      </c>
      <c r="B69" s="303"/>
      <c r="C69" s="395" t="s">
        <v>1279</v>
      </c>
      <c r="D69" s="395"/>
      <c r="E69" s="245">
        <v>26</v>
      </c>
      <c r="F69" s="170">
        <v>2</v>
      </c>
      <c r="G69" s="232">
        <v>17</v>
      </c>
      <c r="J69" s="240">
        <v>18</v>
      </c>
      <c r="K69" s="212">
        <f t="shared" si="16"/>
        <v>94.444444444444443</v>
      </c>
      <c r="L69" s="213">
        <f t="shared" si="17"/>
        <v>0</v>
      </c>
      <c r="M69" s="213">
        <f t="shared" si="18"/>
        <v>0</v>
      </c>
      <c r="N69" s="214">
        <f t="shared" si="19"/>
        <v>94.444444444444443</v>
      </c>
      <c r="O69" s="212">
        <v>44.6</v>
      </c>
      <c r="P69" s="213"/>
      <c r="Q69" s="213">
        <v>4.5999999999999996</v>
      </c>
      <c r="R69" s="214">
        <f t="shared" si="15"/>
        <v>49.2</v>
      </c>
      <c r="S69" s="170">
        <v>5</v>
      </c>
      <c r="T69" s="283"/>
      <c r="U69" s="281"/>
      <c r="V69" s="177" t="s">
        <v>978</v>
      </c>
      <c r="W69" s="170" t="s">
        <v>74</v>
      </c>
      <c r="X69" s="170" t="s">
        <v>11</v>
      </c>
      <c r="Y69" s="178">
        <v>35</v>
      </c>
      <c r="Z69" s="170" t="s">
        <v>1280</v>
      </c>
      <c r="AA69" s="170" t="s">
        <v>79</v>
      </c>
      <c r="AB69" s="170" t="s">
        <v>11</v>
      </c>
      <c r="AC69" s="170">
        <v>9.6</v>
      </c>
      <c r="AD69" s="177" t="s">
        <v>1281</v>
      </c>
      <c r="AE69" s="170" t="s">
        <v>304</v>
      </c>
      <c r="AF69" s="170" t="s">
        <v>12</v>
      </c>
      <c r="AG69" s="178">
        <v>4.5999999999999996</v>
      </c>
      <c r="AK69" s="178"/>
      <c r="AO69" s="178"/>
      <c r="AS69" s="178"/>
      <c r="AW69" s="178"/>
      <c r="BA69" s="179"/>
    </row>
    <row r="70" spans="1:53" s="28" customFormat="1" x14ac:dyDescent="0.15">
      <c r="A70" s="28">
        <v>2017</v>
      </c>
      <c r="B70" s="293">
        <v>42762</v>
      </c>
      <c r="C70" s="394" t="s">
        <v>1363</v>
      </c>
      <c r="D70" s="394"/>
      <c r="E70" s="86">
        <v>97</v>
      </c>
      <c r="F70" s="28">
        <v>2</v>
      </c>
      <c r="G70" s="65"/>
      <c r="I70" s="28">
        <v>1</v>
      </c>
      <c r="J70" s="72">
        <v>20</v>
      </c>
      <c r="K70" s="45">
        <f t="shared" ref="K70" si="20">G70/J70*100</f>
        <v>0</v>
      </c>
      <c r="L70" s="46">
        <f t="shared" ref="L70" si="21">H70/J70*100</f>
        <v>0</v>
      </c>
      <c r="M70" s="46">
        <f t="shared" ref="M70" si="22">I70/J70*100</f>
        <v>5</v>
      </c>
      <c r="N70" s="47">
        <f t="shared" ref="N70" si="23">SUM(K70:M70)</f>
        <v>5</v>
      </c>
      <c r="O70" s="45">
        <v>0</v>
      </c>
      <c r="P70" s="46">
        <v>0</v>
      </c>
      <c r="Q70" s="46">
        <v>0</v>
      </c>
      <c r="R70" s="47">
        <f t="shared" si="15"/>
        <v>0</v>
      </c>
      <c r="S70" s="28">
        <v>6</v>
      </c>
      <c r="T70" s="284"/>
      <c r="U70" s="293">
        <v>42762</v>
      </c>
      <c r="V70" s="37" t="s">
        <v>964</v>
      </c>
      <c r="W70" s="28" t="s">
        <v>97</v>
      </c>
      <c r="X70" s="28" t="s">
        <v>12</v>
      </c>
      <c r="Y70" s="38">
        <v>5</v>
      </c>
      <c r="AD70" s="37"/>
      <c r="AG70" s="38"/>
      <c r="AK70" s="38"/>
      <c r="AO70" s="38"/>
      <c r="AS70" s="38"/>
      <c r="AW70" s="38"/>
      <c r="BA70" s="39"/>
    </row>
    <row r="71" spans="1:53" s="170" customFormat="1" x14ac:dyDescent="0.15">
      <c r="A71" s="170">
        <v>2017</v>
      </c>
      <c r="B71" s="281">
        <v>42859</v>
      </c>
      <c r="C71" s="395" t="s">
        <v>1362</v>
      </c>
      <c r="D71" s="395"/>
      <c r="E71" s="245">
        <v>242</v>
      </c>
      <c r="F71" s="170">
        <v>1</v>
      </c>
      <c r="G71" s="232">
        <v>21</v>
      </c>
      <c r="J71" s="240">
        <v>21</v>
      </c>
      <c r="K71" s="212">
        <f t="shared" ref="K71:K73" si="24">G71/J71*100</f>
        <v>100</v>
      </c>
      <c r="L71" s="213">
        <f t="shared" ref="L71:L73" si="25">H71/J71*100</f>
        <v>0</v>
      </c>
      <c r="M71" s="213">
        <f t="shared" ref="M71:M73" si="26">I71/J71*100</f>
        <v>0</v>
      </c>
      <c r="N71" s="214">
        <f t="shared" ref="N71:N73" si="27">SUM(K71:M71)</f>
        <v>100</v>
      </c>
      <c r="O71" s="212">
        <v>50.9</v>
      </c>
      <c r="P71" s="213">
        <v>0</v>
      </c>
      <c r="Q71" s="213">
        <v>0</v>
      </c>
      <c r="R71" s="214">
        <f t="shared" si="15"/>
        <v>50.9</v>
      </c>
      <c r="S71" s="170">
        <v>2</v>
      </c>
      <c r="T71" s="283">
        <v>42820</v>
      </c>
      <c r="U71" s="281">
        <v>42859</v>
      </c>
      <c r="V71" s="177" t="s">
        <v>978</v>
      </c>
      <c r="W71" s="170" t="s">
        <v>74</v>
      </c>
      <c r="X71" s="170" t="s">
        <v>11</v>
      </c>
      <c r="Y71" s="178">
        <v>39.6</v>
      </c>
      <c r="Z71" s="170" t="s">
        <v>1364</v>
      </c>
      <c r="AA71" s="170" t="s">
        <v>1134</v>
      </c>
      <c r="AB71" s="170" t="s">
        <v>11</v>
      </c>
      <c r="AC71" s="170">
        <v>11.3</v>
      </c>
      <c r="AD71" s="177"/>
      <c r="AG71" s="178"/>
      <c r="AK71" s="178"/>
      <c r="AO71" s="178"/>
      <c r="AS71" s="178"/>
      <c r="AW71" s="178"/>
      <c r="BA71" s="179"/>
    </row>
    <row r="72" spans="1:53" s="170" customFormat="1" x14ac:dyDescent="0.15">
      <c r="A72" s="170">
        <v>2018</v>
      </c>
      <c r="B72" s="281"/>
      <c r="C72" s="395" t="s">
        <v>1362</v>
      </c>
      <c r="D72" s="395"/>
      <c r="E72" s="245">
        <v>354</v>
      </c>
      <c r="G72" s="232">
        <v>21</v>
      </c>
      <c r="J72" s="240">
        <v>21</v>
      </c>
      <c r="K72" s="212">
        <f t="shared" si="24"/>
        <v>100</v>
      </c>
      <c r="L72" s="213">
        <f t="shared" si="25"/>
        <v>0</v>
      </c>
      <c r="M72" s="213">
        <f t="shared" si="26"/>
        <v>0</v>
      </c>
      <c r="N72" s="214">
        <f t="shared" si="27"/>
        <v>100</v>
      </c>
      <c r="O72" s="212">
        <v>50.9</v>
      </c>
      <c r="P72" s="213">
        <v>0</v>
      </c>
      <c r="Q72" s="213">
        <v>0</v>
      </c>
      <c r="R72" s="214">
        <f t="shared" ref="R72:R73" si="28">SUM(O72:Q72)</f>
        <v>50.9</v>
      </c>
      <c r="S72" s="170">
        <v>2</v>
      </c>
      <c r="T72" s="283"/>
      <c r="U72" s="281"/>
      <c r="V72" s="177" t="s">
        <v>978</v>
      </c>
      <c r="W72" s="170" t="s">
        <v>74</v>
      </c>
      <c r="X72" s="170" t="s">
        <v>11</v>
      </c>
      <c r="Y72" s="178">
        <v>39.6</v>
      </c>
      <c r="Z72" s="170" t="s">
        <v>1364</v>
      </c>
      <c r="AA72" s="170" t="s">
        <v>1134</v>
      </c>
      <c r="AB72" s="170" t="s">
        <v>11</v>
      </c>
      <c r="AC72" s="170">
        <v>11.3</v>
      </c>
      <c r="AD72" s="177"/>
      <c r="AG72" s="178"/>
      <c r="AK72" s="178"/>
      <c r="AO72" s="178"/>
      <c r="AS72" s="178"/>
      <c r="AW72" s="178"/>
      <c r="BA72" s="179"/>
    </row>
    <row r="73" spans="1:53" s="170" customFormat="1" x14ac:dyDescent="0.15">
      <c r="A73" s="170">
        <v>2018</v>
      </c>
      <c r="B73" s="303">
        <v>43455</v>
      </c>
      <c r="C73" s="395" t="s">
        <v>1362</v>
      </c>
      <c r="D73" s="395"/>
      <c r="E73" s="245">
        <v>11</v>
      </c>
      <c r="F73" s="243">
        <v>0</v>
      </c>
      <c r="G73" s="232">
        <v>20</v>
      </c>
      <c r="J73" s="240">
        <v>20</v>
      </c>
      <c r="K73" s="212">
        <f t="shared" si="24"/>
        <v>100</v>
      </c>
      <c r="L73" s="213">
        <f t="shared" si="25"/>
        <v>0</v>
      </c>
      <c r="M73" s="213">
        <f t="shared" si="26"/>
        <v>0</v>
      </c>
      <c r="N73" s="214">
        <f t="shared" si="27"/>
        <v>100</v>
      </c>
      <c r="O73" s="212">
        <v>50.9</v>
      </c>
      <c r="P73" s="213">
        <v>0</v>
      </c>
      <c r="Q73" s="213">
        <v>0</v>
      </c>
      <c r="R73" s="214">
        <f t="shared" si="28"/>
        <v>50.9</v>
      </c>
      <c r="S73" s="170">
        <v>2</v>
      </c>
      <c r="T73" s="283"/>
      <c r="U73" s="281"/>
      <c r="V73" s="177" t="s">
        <v>978</v>
      </c>
      <c r="W73" s="170" t="s">
        <v>74</v>
      </c>
      <c r="X73" s="170" t="s">
        <v>11</v>
      </c>
      <c r="Y73" s="178">
        <v>39.6</v>
      </c>
      <c r="Z73" s="170" t="s">
        <v>1364</v>
      </c>
      <c r="AA73" s="170" t="s">
        <v>1134</v>
      </c>
      <c r="AB73" s="170" t="s">
        <v>11</v>
      </c>
      <c r="AC73" s="170">
        <v>11.3</v>
      </c>
      <c r="AD73" s="177"/>
      <c r="AG73" s="178"/>
      <c r="AK73" s="178"/>
      <c r="AO73" s="178"/>
      <c r="AS73" s="178"/>
      <c r="AW73" s="178"/>
      <c r="BA73" s="179"/>
    </row>
    <row r="74" spans="1:53" s="170" customFormat="1" x14ac:dyDescent="0.15">
      <c r="A74" s="170">
        <v>2019</v>
      </c>
      <c r="B74" s="303"/>
      <c r="C74" s="395" t="s">
        <v>1362</v>
      </c>
      <c r="D74" s="395"/>
      <c r="E74" s="245">
        <v>0</v>
      </c>
      <c r="F74" s="243"/>
      <c r="G74" s="232">
        <v>20</v>
      </c>
      <c r="J74" s="240">
        <v>20</v>
      </c>
      <c r="K74" s="212">
        <f t="shared" ref="K74:K77" si="29">G74/J74*100</f>
        <v>100</v>
      </c>
      <c r="L74" s="213">
        <f t="shared" ref="L74:L83" si="30">H74/J74*100</f>
        <v>0</v>
      </c>
      <c r="M74" s="213">
        <f t="shared" ref="M74:M82" si="31">I74/J74*100</f>
        <v>0</v>
      </c>
      <c r="N74" s="214">
        <f t="shared" ref="N74" si="32">SUM(K74:M74)</f>
        <v>100</v>
      </c>
      <c r="O74" s="212">
        <v>50.9</v>
      </c>
      <c r="P74" s="213">
        <v>0</v>
      </c>
      <c r="Q74" s="213">
        <v>0</v>
      </c>
      <c r="R74" s="214">
        <f t="shared" ref="R74:R77" si="33">SUM(O74:Q74)</f>
        <v>50.9</v>
      </c>
      <c r="S74" s="170">
        <v>2</v>
      </c>
      <c r="T74" s="283"/>
      <c r="U74" s="281"/>
      <c r="V74" s="177" t="s">
        <v>978</v>
      </c>
      <c r="W74" s="170" t="s">
        <v>74</v>
      </c>
      <c r="X74" s="170" t="s">
        <v>11</v>
      </c>
      <c r="Y74" s="178">
        <v>39.6</v>
      </c>
      <c r="Z74" s="170" t="s">
        <v>1364</v>
      </c>
      <c r="AA74" s="170" t="s">
        <v>1134</v>
      </c>
      <c r="AB74" s="170" t="s">
        <v>11</v>
      </c>
      <c r="AC74" s="170">
        <v>11.3</v>
      </c>
      <c r="AD74" s="177"/>
      <c r="AG74" s="178"/>
      <c r="AK74" s="178"/>
      <c r="AO74" s="178"/>
      <c r="AS74" s="178"/>
      <c r="AW74" s="178"/>
      <c r="BA74" s="179"/>
    </row>
    <row r="75" spans="1:53" s="170" customFormat="1" x14ac:dyDescent="0.15">
      <c r="A75" s="170">
        <v>2019</v>
      </c>
      <c r="B75" s="303"/>
      <c r="C75" s="395" t="s">
        <v>1362</v>
      </c>
      <c r="D75" s="395"/>
      <c r="E75" s="245">
        <v>365</v>
      </c>
      <c r="F75" s="243"/>
      <c r="G75" s="232">
        <v>20</v>
      </c>
      <c r="J75" s="240">
        <v>20</v>
      </c>
      <c r="K75" s="212">
        <f t="shared" si="29"/>
        <v>100</v>
      </c>
      <c r="L75" s="213">
        <f t="shared" si="30"/>
        <v>0</v>
      </c>
      <c r="M75" s="213">
        <f t="shared" si="31"/>
        <v>0</v>
      </c>
      <c r="N75" s="214">
        <f t="shared" ref="N75:N82" si="34">SUM(K75:M75)</f>
        <v>100</v>
      </c>
      <c r="O75" s="212">
        <v>50.9</v>
      </c>
      <c r="P75" s="213">
        <v>0</v>
      </c>
      <c r="Q75" s="213">
        <v>0</v>
      </c>
      <c r="R75" s="214">
        <f t="shared" si="33"/>
        <v>50.9</v>
      </c>
      <c r="S75" s="170">
        <v>2</v>
      </c>
      <c r="T75" s="283"/>
      <c r="U75" s="281"/>
      <c r="V75" s="177" t="s">
        <v>978</v>
      </c>
      <c r="W75" s="170" t="s">
        <v>74</v>
      </c>
      <c r="X75" s="170" t="s">
        <v>11</v>
      </c>
      <c r="Y75" s="178">
        <v>39.6</v>
      </c>
      <c r="Z75" s="170" t="s">
        <v>1364</v>
      </c>
      <c r="AA75" s="170" t="s">
        <v>1134</v>
      </c>
      <c r="AB75" s="170" t="s">
        <v>11</v>
      </c>
      <c r="AC75" s="170">
        <v>11.3</v>
      </c>
      <c r="AD75" s="177"/>
      <c r="AG75" s="178"/>
      <c r="AK75" s="178"/>
      <c r="AO75" s="178"/>
      <c r="AS75" s="178"/>
      <c r="AW75" s="178"/>
      <c r="BA75" s="179"/>
    </row>
    <row r="76" spans="1:53" s="170" customFormat="1" x14ac:dyDescent="0.15">
      <c r="A76" s="170">
        <v>2020</v>
      </c>
      <c r="B76" s="303"/>
      <c r="C76" s="395" t="s">
        <v>1362</v>
      </c>
      <c r="D76" s="395"/>
      <c r="E76" s="245">
        <v>206</v>
      </c>
      <c r="F76" s="246"/>
      <c r="G76" s="170">
        <v>19</v>
      </c>
      <c r="J76" s="240">
        <v>20</v>
      </c>
      <c r="K76" s="213">
        <f t="shared" si="29"/>
        <v>95</v>
      </c>
      <c r="L76" s="213">
        <f t="shared" si="30"/>
        <v>0</v>
      </c>
      <c r="M76" s="213">
        <f t="shared" si="31"/>
        <v>0</v>
      </c>
      <c r="N76" s="234">
        <f t="shared" si="34"/>
        <v>95</v>
      </c>
      <c r="O76" s="212">
        <v>50.9</v>
      </c>
      <c r="P76" s="213">
        <v>0</v>
      </c>
      <c r="Q76" s="213">
        <v>0</v>
      </c>
      <c r="R76" s="214">
        <f t="shared" si="33"/>
        <v>50.9</v>
      </c>
      <c r="S76" s="189">
        <v>2</v>
      </c>
      <c r="T76" s="283"/>
      <c r="U76" s="296"/>
      <c r="V76" s="177" t="s">
        <v>978</v>
      </c>
      <c r="W76" s="170" t="s">
        <v>74</v>
      </c>
      <c r="X76" s="170" t="s">
        <v>11</v>
      </c>
      <c r="Y76" s="178">
        <v>39.6</v>
      </c>
      <c r="Z76" s="170" t="s">
        <v>1364</v>
      </c>
      <c r="AA76" s="170" t="s">
        <v>1134</v>
      </c>
      <c r="AB76" s="170" t="s">
        <v>11</v>
      </c>
      <c r="AC76" s="170">
        <v>11.3</v>
      </c>
      <c r="AD76" s="177"/>
      <c r="AH76" s="177"/>
      <c r="AK76" s="178"/>
      <c r="AO76" s="178"/>
      <c r="AS76" s="178"/>
      <c r="AW76" s="178"/>
      <c r="BA76" s="179"/>
    </row>
    <row r="77" spans="1:53" s="170" customFormat="1" x14ac:dyDescent="0.15">
      <c r="A77" s="170">
        <v>2020</v>
      </c>
      <c r="B77" s="303">
        <v>44036</v>
      </c>
      <c r="C77" s="395" t="s">
        <v>1362</v>
      </c>
      <c r="D77" s="395"/>
      <c r="E77" s="245">
        <v>160</v>
      </c>
      <c r="F77" s="243">
        <v>0</v>
      </c>
      <c r="G77" s="232">
        <v>17</v>
      </c>
      <c r="J77" s="239">
        <v>20</v>
      </c>
      <c r="K77" s="212">
        <f t="shared" si="29"/>
        <v>85</v>
      </c>
      <c r="L77" s="213">
        <f t="shared" si="30"/>
        <v>0</v>
      </c>
      <c r="M77" s="213">
        <f t="shared" si="31"/>
        <v>0</v>
      </c>
      <c r="N77" s="234">
        <f t="shared" si="34"/>
        <v>85</v>
      </c>
      <c r="O77" s="212">
        <v>50.9</v>
      </c>
      <c r="P77" s="213">
        <v>0</v>
      </c>
      <c r="Q77" s="213">
        <v>0</v>
      </c>
      <c r="R77" s="214">
        <f t="shared" si="33"/>
        <v>50.9</v>
      </c>
      <c r="S77" s="189">
        <v>2</v>
      </c>
      <c r="T77" s="286"/>
      <c r="U77" s="296"/>
      <c r="V77" s="177" t="s">
        <v>978</v>
      </c>
      <c r="W77" s="170" t="s">
        <v>74</v>
      </c>
      <c r="X77" s="170" t="s">
        <v>11</v>
      </c>
      <c r="Y77" s="178">
        <v>39.6</v>
      </c>
      <c r="Z77" s="170" t="s">
        <v>1364</v>
      </c>
      <c r="AA77" s="170" t="s">
        <v>1134</v>
      </c>
      <c r="AB77" s="170" t="s">
        <v>11</v>
      </c>
      <c r="AC77" s="178">
        <v>11.3</v>
      </c>
      <c r="AD77" s="177"/>
      <c r="AH77" s="177"/>
      <c r="AK77" s="178"/>
      <c r="AO77" s="178"/>
      <c r="AS77" s="178"/>
      <c r="AW77" s="178"/>
      <c r="BA77" s="179"/>
    </row>
    <row r="78" spans="1:53" s="170" customFormat="1" x14ac:dyDescent="0.15">
      <c r="A78" s="170">
        <v>2021</v>
      </c>
      <c r="B78" s="303"/>
      <c r="C78" s="395" t="s">
        <v>1362</v>
      </c>
      <c r="D78" s="395"/>
      <c r="E78" s="245">
        <v>131</v>
      </c>
      <c r="F78" s="243"/>
      <c r="G78" s="232">
        <v>20</v>
      </c>
      <c r="J78" s="239">
        <v>20</v>
      </c>
      <c r="K78" s="212">
        <f>G78/J78*100</f>
        <v>100</v>
      </c>
      <c r="L78" s="213">
        <f t="shared" si="30"/>
        <v>0</v>
      </c>
      <c r="M78" s="213">
        <f t="shared" si="31"/>
        <v>0</v>
      </c>
      <c r="N78" s="234">
        <f t="shared" si="34"/>
        <v>100</v>
      </c>
      <c r="O78" s="212">
        <v>47.5</v>
      </c>
      <c r="P78" s="213">
        <v>0</v>
      </c>
      <c r="Q78" s="213">
        <v>0</v>
      </c>
      <c r="R78" s="214">
        <f t="shared" ref="R78:R80" si="35">SUM(O78:Q78)</f>
        <v>47.5</v>
      </c>
      <c r="S78" s="189">
        <v>5</v>
      </c>
      <c r="T78" s="286">
        <v>44290</v>
      </c>
      <c r="U78" s="296"/>
      <c r="V78" s="177" t="s">
        <v>978</v>
      </c>
      <c r="W78" s="170" t="s">
        <v>74</v>
      </c>
      <c r="X78" s="170" t="s">
        <v>11</v>
      </c>
      <c r="Y78" s="178">
        <v>29.2</v>
      </c>
      <c r="Z78" s="170" t="s">
        <v>1364</v>
      </c>
      <c r="AA78" s="170" t="s">
        <v>1134</v>
      </c>
      <c r="AB78" s="170" t="s">
        <v>11</v>
      </c>
      <c r="AC78" s="178">
        <v>8.6999999999999993</v>
      </c>
      <c r="AD78" s="177"/>
      <c r="AH78" s="177"/>
      <c r="AK78" s="178"/>
      <c r="AO78" s="178"/>
      <c r="AS78" s="178"/>
      <c r="AW78" s="178"/>
      <c r="BA78" s="179"/>
    </row>
    <row r="79" spans="1:53" s="28" customFormat="1" x14ac:dyDescent="0.15">
      <c r="A79" s="28">
        <v>2021</v>
      </c>
      <c r="B79" s="293">
        <v>44328</v>
      </c>
      <c r="C79" s="394" t="s">
        <v>1544</v>
      </c>
      <c r="D79" s="394"/>
      <c r="E79" s="86">
        <v>127</v>
      </c>
      <c r="F79" s="28">
        <v>2</v>
      </c>
      <c r="G79" s="65"/>
      <c r="J79" s="72">
        <v>19</v>
      </c>
      <c r="K79" s="45">
        <f>G79/J79*100</f>
        <v>0</v>
      </c>
      <c r="L79" s="46">
        <f t="shared" si="30"/>
        <v>0</v>
      </c>
      <c r="M79" s="46">
        <f t="shared" si="31"/>
        <v>0</v>
      </c>
      <c r="N79" s="47">
        <f t="shared" si="34"/>
        <v>0</v>
      </c>
      <c r="O79" s="45">
        <v>0</v>
      </c>
      <c r="P79" s="46">
        <v>0</v>
      </c>
      <c r="Q79" s="46">
        <v>0</v>
      </c>
      <c r="R79" s="47">
        <f t="shared" si="35"/>
        <v>0</v>
      </c>
      <c r="S79" s="28">
        <v>6</v>
      </c>
      <c r="T79" s="284">
        <v>44388</v>
      </c>
      <c r="U79" s="293">
        <v>44330</v>
      </c>
      <c r="V79" s="408" t="s">
        <v>797</v>
      </c>
      <c r="W79" s="409"/>
      <c r="X79" s="409"/>
      <c r="Y79" s="410"/>
      <c r="AD79" s="37"/>
      <c r="AG79" s="38"/>
      <c r="AK79" s="38"/>
      <c r="AO79" s="38"/>
      <c r="AS79" s="38"/>
      <c r="AW79" s="38"/>
      <c r="BA79" s="39"/>
    </row>
    <row r="80" spans="1:53" s="170" customFormat="1" x14ac:dyDescent="0.15">
      <c r="A80" s="170">
        <v>2021</v>
      </c>
      <c r="B80" s="281">
        <v>44455</v>
      </c>
      <c r="C80" s="395" t="s">
        <v>1545</v>
      </c>
      <c r="D80" s="395"/>
      <c r="E80" s="245">
        <v>88</v>
      </c>
      <c r="F80" s="170">
        <v>6</v>
      </c>
      <c r="G80" s="232"/>
      <c r="J80" s="239">
        <v>19</v>
      </c>
      <c r="K80" s="212">
        <f>G80/J80*100</f>
        <v>0</v>
      </c>
      <c r="L80" s="213">
        <f t="shared" si="30"/>
        <v>0</v>
      </c>
      <c r="M80" s="213">
        <f t="shared" si="31"/>
        <v>0</v>
      </c>
      <c r="N80" s="234">
        <f t="shared" si="34"/>
        <v>0</v>
      </c>
      <c r="O80" s="212">
        <v>0</v>
      </c>
      <c r="P80" s="213">
        <v>0</v>
      </c>
      <c r="Q80" s="213">
        <v>0</v>
      </c>
      <c r="R80" s="214">
        <f t="shared" si="35"/>
        <v>0</v>
      </c>
      <c r="S80" s="189">
        <v>6</v>
      </c>
      <c r="T80" s="286"/>
      <c r="U80" s="296">
        <v>44331</v>
      </c>
      <c r="V80" s="402" t="s">
        <v>797</v>
      </c>
      <c r="W80" s="403"/>
      <c r="X80" s="403"/>
      <c r="Y80" s="404"/>
      <c r="AC80" s="178"/>
      <c r="AD80" s="177"/>
      <c r="AH80" s="177"/>
      <c r="AK80" s="178"/>
      <c r="AO80" s="178"/>
      <c r="AS80" s="178"/>
      <c r="AW80" s="178"/>
      <c r="BA80" s="179"/>
    </row>
    <row r="81" spans="1:53" s="28" customFormat="1" x14ac:dyDescent="0.15">
      <c r="A81" s="28">
        <v>2021</v>
      </c>
      <c r="B81" s="293">
        <v>44543</v>
      </c>
      <c r="C81" s="394" t="s">
        <v>1491</v>
      </c>
      <c r="D81" s="394"/>
      <c r="E81" s="86">
        <v>19</v>
      </c>
      <c r="F81" s="28">
        <v>2</v>
      </c>
      <c r="G81" s="65">
        <v>4</v>
      </c>
      <c r="H81" s="28">
        <v>13</v>
      </c>
      <c r="I81" s="28">
        <v>4</v>
      </c>
      <c r="J81" s="72">
        <v>21</v>
      </c>
      <c r="K81" s="45">
        <f>G81/J81*100</f>
        <v>19.047619047619047</v>
      </c>
      <c r="L81" s="46">
        <f t="shared" si="30"/>
        <v>61.904761904761905</v>
      </c>
      <c r="M81" s="46">
        <f t="shared" si="31"/>
        <v>19.047619047619047</v>
      </c>
      <c r="N81" s="47">
        <f t="shared" si="34"/>
        <v>100</v>
      </c>
      <c r="O81" s="45">
        <v>10.4</v>
      </c>
      <c r="P81" s="46">
        <v>34.6</v>
      </c>
      <c r="Q81" s="46">
        <v>10.8</v>
      </c>
      <c r="R81" s="47">
        <f>SUM(O81:Q81)</f>
        <v>55.8</v>
      </c>
      <c r="S81" s="28">
        <v>2</v>
      </c>
      <c r="T81" s="284">
        <v>44514</v>
      </c>
      <c r="U81" s="293">
        <v>44543</v>
      </c>
      <c r="V81" s="37" t="s">
        <v>476</v>
      </c>
      <c r="W81" s="28" t="s">
        <v>1308</v>
      </c>
      <c r="X81" s="28" t="s">
        <v>18</v>
      </c>
      <c r="Y81" s="38">
        <v>27.9</v>
      </c>
      <c r="Z81" s="28" t="s">
        <v>964</v>
      </c>
      <c r="AA81" s="28" t="s">
        <v>297</v>
      </c>
      <c r="AB81" s="28" t="s">
        <v>12</v>
      </c>
      <c r="AC81" s="28">
        <v>10.8</v>
      </c>
      <c r="AD81" s="37" t="s">
        <v>1489</v>
      </c>
      <c r="AE81" s="28" t="s">
        <v>1513</v>
      </c>
      <c r="AF81" s="28" t="s">
        <v>11</v>
      </c>
      <c r="AG81" s="38">
        <v>10.4</v>
      </c>
      <c r="AH81" s="28" t="s">
        <v>1490</v>
      </c>
      <c r="AI81" s="28" t="s">
        <v>899</v>
      </c>
      <c r="AJ81" s="28" t="s">
        <v>11</v>
      </c>
      <c r="AK81" s="38">
        <v>6.7</v>
      </c>
      <c r="AO81" s="38"/>
      <c r="AS81" s="38"/>
      <c r="AW81" s="38"/>
      <c r="BA81" s="39"/>
    </row>
    <row r="82" spans="1:53" s="28" customFormat="1" x14ac:dyDescent="0.15">
      <c r="A82" s="28">
        <v>2022</v>
      </c>
      <c r="B82" s="293"/>
      <c r="C82" s="394" t="s">
        <v>1491</v>
      </c>
      <c r="D82" s="394"/>
      <c r="E82" s="86">
        <v>214</v>
      </c>
      <c r="G82" s="65">
        <v>4</v>
      </c>
      <c r="H82" s="28">
        <v>13</v>
      </c>
      <c r="I82" s="28">
        <v>4</v>
      </c>
      <c r="J82" s="72">
        <v>21</v>
      </c>
      <c r="K82" s="45">
        <f>G82/J82*100</f>
        <v>19.047619047619047</v>
      </c>
      <c r="L82" s="46">
        <f t="shared" si="30"/>
        <v>61.904761904761905</v>
      </c>
      <c r="M82" s="46">
        <f t="shared" si="31"/>
        <v>19.047619047619047</v>
      </c>
      <c r="N82" s="47">
        <f t="shared" si="34"/>
        <v>100</v>
      </c>
      <c r="O82" s="45">
        <v>10.4</v>
      </c>
      <c r="P82" s="46">
        <v>34.6</v>
      </c>
      <c r="Q82" s="46">
        <v>10.8</v>
      </c>
      <c r="R82" s="47">
        <f>SUM(O82:Q82)</f>
        <v>55.8</v>
      </c>
      <c r="S82" s="28">
        <v>2</v>
      </c>
      <c r="T82" s="284"/>
      <c r="U82" s="293"/>
      <c r="V82" s="37" t="s">
        <v>476</v>
      </c>
      <c r="W82" s="28" t="s">
        <v>1308</v>
      </c>
      <c r="X82" s="28" t="s">
        <v>18</v>
      </c>
      <c r="Y82" s="38">
        <v>27.9</v>
      </c>
      <c r="Z82" s="28" t="s">
        <v>964</v>
      </c>
      <c r="AA82" s="28" t="s">
        <v>297</v>
      </c>
      <c r="AB82" s="28" t="s">
        <v>12</v>
      </c>
      <c r="AC82" s="28">
        <v>10.8</v>
      </c>
      <c r="AD82" s="37" t="s">
        <v>1489</v>
      </c>
      <c r="AE82" s="28" t="s">
        <v>1513</v>
      </c>
      <c r="AF82" s="28" t="s">
        <v>11</v>
      </c>
      <c r="AG82" s="38">
        <v>10.4</v>
      </c>
      <c r="AH82" s="28" t="s">
        <v>1490</v>
      </c>
      <c r="AI82" s="28" t="s">
        <v>899</v>
      </c>
      <c r="AJ82" s="28" t="s">
        <v>11</v>
      </c>
      <c r="AK82" s="38">
        <v>6.7</v>
      </c>
      <c r="AO82" s="38"/>
      <c r="AS82" s="38"/>
      <c r="AW82" s="38"/>
      <c r="BA82" s="39"/>
    </row>
    <row r="83" spans="1:53" s="170" customFormat="1" x14ac:dyDescent="0.15">
      <c r="A83" s="170">
        <v>2022</v>
      </c>
      <c r="B83" s="281">
        <v>44775</v>
      </c>
      <c r="C83" s="395" t="s">
        <v>1543</v>
      </c>
      <c r="D83" s="395"/>
      <c r="E83" s="245">
        <v>151</v>
      </c>
      <c r="F83" s="170">
        <v>5</v>
      </c>
      <c r="G83" s="232"/>
      <c r="J83" s="239">
        <v>20</v>
      </c>
      <c r="K83" s="212">
        <v>0</v>
      </c>
      <c r="L83" s="213">
        <f t="shared" si="30"/>
        <v>0</v>
      </c>
      <c r="M83" s="213">
        <v>0</v>
      </c>
      <c r="N83" s="234">
        <f>SUM(K83:M83)</f>
        <v>0</v>
      </c>
      <c r="O83" s="212">
        <v>0</v>
      </c>
      <c r="P83" s="213">
        <v>0</v>
      </c>
      <c r="Q83" s="213">
        <v>0</v>
      </c>
      <c r="R83" s="214">
        <f>SUM(O83:Q83)</f>
        <v>0</v>
      </c>
      <c r="S83" s="189">
        <v>6</v>
      </c>
      <c r="T83" s="286">
        <v>44836</v>
      </c>
      <c r="U83" s="281">
        <v>44775</v>
      </c>
      <c r="V83" s="402" t="s">
        <v>797</v>
      </c>
      <c r="W83" s="403"/>
      <c r="X83" s="403"/>
      <c r="Y83" s="404"/>
      <c r="AC83" s="178"/>
      <c r="AD83" s="177"/>
      <c r="AH83" s="177"/>
      <c r="AK83" s="178"/>
      <c r="AO83" s="178"/>
      <c r="AS83" s="178"/>
      <c r="AW83" s="178"/>
      <c r="BA83" s="179"/>
    </row>
    <row r="84" spans="1:53" s="28" customFormat="1" x14ac:dyDescent="0.15">
      <c r="B84" s="293"/>
      <c r="E84" s="86"/>
      <c r="J84" s="71"/>
      <c r="K84" s="46"/>
      <c r="L84" s="46"/>
      <c r="M84" s="46"/>
      <c r="N84" s="67"/>
      <c r="O84" s="46"/>
      <c r="P84" s="46"/>
      <c r="Q84" s="46"/>
      <c r="R84" s="67"/>
      <c r="T84" s="293"/>
      <c r="U84" s="293"/>
    </row>
    <row r="85" spans="1:53" s="28" customFormat="1" x14ac:dyDescent="0.15">
      <c r="B85" s="293"/>
      <c r="E85" s="86"/>
      <c r="J85" s="71"/>
      <c r="K85" s="46"/>
      <c r="L85" s="46"/>
      <c r="M85" s="46"/>
      <c r="N85" s="67"/>
      <c r="O85" s="46"/>
      <c r="P85" s="46"/>
      <c r="Q85" s="46"/>
      <c r="R85" s="67"/>
      <c r="T85" s="293"/>
      <c r="U85" s="293"/>
    </row>
    <row r="86" spans="1:53" ht="18" customHeight="1" x14ac:dyDescent="0.15">
      <c r="B86" s="15" t="s">
        <v>1262</v>
      </c>
    </row>
    <row r="87" spans="1:53" ht="9" customHeight="1" x14ac:dyDescent="0.15"/>
    <row r="88" spans="1:53" s="194" customFormat="1" ht="9" customHeight="1" x14ac:dyDescent="0.15">
      <c r="A88" s="192"/>
      <c r="B88" s="193" t="s">
        <v>1213</v>
      </c>
      <c r="C88" s="193"/>
      <c r="D88" s="193"/>
      <c r="E88" s="193"/>
      <c r="F88" s="193"/>
      <c r="G88" s="193" t="s">
        <v>1214</v>
      </c>
      <c r="H88" s="193"/>
      <c r="I88" s="193"/>
      <c r="J88" s="193"/>
      <c r="K88" s="193"/>
      <c r="L88" s="193"/>
      <c r="M88" s="193"/>
      <c r="N88" s="193"/>
      <c r="R88" s="386" t="s">
        <v>1215</v>
      </c>
      <c r="S88" s="386"/>
      <c r="T88" s="386"/>
      <c r="U88" s="386"/>
      <c r="V88" s="386"/>
      <c r="W88" s="386"/>
      <c r="X88" s="195"/>
      <c r="Y88" s="195"/>
      <c r="AA88" s="195"/>
      <c r="AB88" s="195"/>
      <c r="AC88" s="195"/>
      <c r="AD88" s="195"/>
    </row>
    <row r="89" spans="1:53" s="199" customFormat="1" ht="9" customHeight="1" x14ac:dyDescent="0.15">
      <c r="A89" s="196"/>
      <c r="B89" s="197" t="s">
        <v>1217</v>
      </c>
      <c r="C89" s="198"/>
      <c r="D89" s="198"/>
      <c r="E89" s="198"/>
      <c r="F89" s="198"/>
      <c r="G89" s="197" t="s">
        <v>1216</v>
      </c>
      <c r="H89" s="198"/>
      <c r="I89" s="198"/>
      <c r="J89" s="198"/>
      <c r="K89" s="198"/>
      <c r="L89" s="198"/>
      <c r="M89" s="198"/>
      <c r="N89" s="198"/>
      <c r="R89" s="200" t="s">
        <v>1218</v>
      </c>
      <c r="S89" s="201"/>
      <c r="T89" s="202"/>
      <c r="U89" s="202"/>
      <c r="V89" s="202"/>
      <c r="W89" s="200" t="s">
        <v>1219</v>
      </c>
      <c r="X89" s="202"/>
      <c r="Y89" s="202"/>
      <c r="AA89" s="202"/>
      <c r="AB89" s="202"/>
      <c r="AC89" s="202"/>
      <c r="AD89" s="202"/>
    </row>
    <row r="90" spans="1:53" s="185" customFormat="1" ht="12" customHeight="1" x14ac:dyDescent="0.15">
      <c r="A90" s="203" t="s">
        <v>3</v>
      </c>
      <c r="B90" s="204" t="s">
        <v>8</v>
      </c>
      <c r="C90" s="204" t="s">
        <v>9</v>
      </c>
      <c r="D90" s="204" t="s">
        <v>10</v>
      </c>
      <c r="E90" s="205" t="s">
        <v>1193</v>
      </c>
      <c r="F90" s="204"/>
      <c r="G90" s="185" t="s">
        <v>3</v>
      </c>
      <c r="H90" s="387" t="s">
        <v>0</v>
      </c>
      <c r="I90" s="387"/>
      <c r="J90" s="387" t="s">
        <v>1</v>
      </c>
      <c r="K90" s="387"/>
      <c r="L90" s="387" t="s">
        <v>2</v>
      </c>
      <c r="M90" s="387"/>
      <c r="N90" s="388" t="s">
        <v>1193</v>
      </c>
      <c r="O90" s="388"/>
      <c r="P90" s="206"/>
      <c r="Q90" s="206"/>
      <c r="R90" s="207" t="s">
        <v>3</v>
      </c>
      <c r="S90" s="208" t="s">
        <v>135</v>
      </c>
      <c r="T90" s="206" t="s">
        <v>133</v>
      </c>
      <c r="U90" s="204" t="s">
        <v>134</v>
      </c>
      <c r="V90" s="206"/>
      <c r="W90" s="209" t="s">
        <v>26</v>
      </c>
    </row>
    <row r="91" spans="1:53" x14ac:dyDescent="0.15">
      <c r="A91" s="1">
        <v>1990</v>
      </c>
      <c r="B91" s="5">
        <f>(K7*($E7/103))+(K8*($E8/103))</f>
        <v>6.7421790722761603</v>
      </c>
      <c r="C91" s="5">
        <f>(L7*($E7/103))+(L8*($E8/103))</f>
        <v>0</v>
      </c>
      <c r="D91" s="5">
        <f>(M7*($E7/103))+(M8*($E8/103))</f>
        <v>86.515641855447683</v>
      </c>
      <c r="E91" s="17">
        <f>SUM(B91:D91)</f>
        <v>93.257820927723841</v>
      </c>
      <c r="G91" s="1">
        <v>1990</v>
      </c>
      <c r="H91" s="406">
        <f>(O7/$R7*100*($E7/103))+(O8/$R8*100*($E8/103))</f>
        <v>10.473287879263935</v>
      </c>
      <c r="I91" s="406"/>
      <c r="J91" s="406">
        <f>(P7/$R7*100*($E7/103))+(P8/$R8*100*($E8/103))</f>
        <v>0</v>
      </c>
      <c r="K91" s="406"/>
      <c r="L91" s="406">
        <f>(Q7/$R7*100*($E7/103))+(Q8/$R8*100*($E8/103))</f>
        <v>89.526712120736065</v>
      </c>
      <c r="M91" s="406"/>
      <c r="N91" s="407">
        <f t="shared" ref="N91:N113" si="36">SUM(H91:M91)</f>
        <v>100</v>
      </c>
      <c r="O91" s="407"/>
      <c r="R91" s="1">
        <v>1990</v>
      </c>
      <c r="S91" s="5">
        <f>(O7*($E7/103))+(O8*($E8/103))</f>
        <v>9.7087378640776691</v>
      </c>
      <c r="T91" s="5">
        <f>(P7*($E7/103))+(P8*($E8/103))</f>
        <v>0</v>
      </c>
      <c r="U91" s="5">
        <f>(Q7*($E7/103))+(Q8*($E8/103))</f>
        <v>52.7</v>
      </c>
      <c r="W91" s="5">
        <f>SUM(S91:U91)</f>
        <v>62.408737864077672</v>
      </c>
      <c r="Y91" s="27" t="s">
        <v>1139</v>
      </c>
    </row>
    <row r="92" spans="1:53" x14ac:dyDescent="0.15">
      <c r="A92" s="1">
        <v>1991</v>
      </c>
      <c r="B92" s="5">
        <f>(K9*($E9/365))+(K10*($E10/365))</f>
        <v>38.462709284627095</v>
      </c>
      <c r="C92" s="5">
        <f>(L9*($E9/365))+(L10*($E10/365))</f>
        <v>0</v>
      </c>
      <c r="D92" s="5">
        <f>(M9*($E9/365))+(M10*($E10/365))</f>
        <v>37.86910197869102</v>
      </c>
      <c r="E92" s="17">
        <f t="shared" ref="E92:E113" si="37">SUM(B92:D92)</f>
        <v>76.331811263318116</v>
      </c>
      <c r="G92" s="1">
        <v>1991</v>
      </c>
      <c r="H92" s="392">
        <f>(O9/$R9*100*($E9/365))+(O10/$R10*100*($E10/365))</f>
        <v>51.560638973858815</v>
      </c>
      <c r="I92" s="392"/>
      <c r="J92" s="392">
        <f>(P9/$R9*100*($E9/365))+(P10/$R10*100*($E10/365))</f>
        <v>0</v>
      </c>
      <c r="K92" s="392"/>
      <c r="L92" s="392">
        <f>(Q9/$R9*100*($E9/365))+(Q10/$R10*100*($E10/365))</f>
        <v>48.439361026141185</v>
      </c>
      <c r="M92" s="392"/>
      <c r="N92" s="363">
        <f t="shared" si="36"/>
        <v>100</v>
      </c>
      <c r="O92" s="363"/>
      <c r="R92" s="1">
        <v>1991</v>
      </c>
      <c r="S92" s="5">
        <f>(O9*($E9/365))+(O10*($E10/365))</f>
        <v>40.872876712328775</v>
      </c>
      <c r="T92" s="5">
        <f>(P9*($E9/365))+(P10*($E10/365))</f>
        <v>0</v>
      </c>
      <c r="U92" s="5">
        <f>(Q9*($E9/365))+(Q10*($E10/365))</f>
        <v>44.903287671232881</v>
      </c>
      <c r="W92" s="5">
        <f t="shared" ref="W92:W114" si="38">SUM(S92:U92)</f>
        <v>85.77616438356165</v>
      </c>
    </row>
    <row r="93" spans="1:53" x14ac:dyDescent="0.15">
      <c r="A93" s="1">
        <v>1992</v>
      </c>
      <c r="B93" s="5">
        <f>(K11*($E11/366))+(K12*($E12/366))</f>
        <v>99.453551912568301</v>
      </c>
      <c r="C93" s="5">
        <f>(L11*($E11/366))+(L12*($E12/366))</f>
        <v>0</v>
      </c>
      <c r="D93" s="5">
        <f>(M11*($E11/366))+(M12*($E12/366))</f>
        <v>0</v>
      </c>
      <c r="E93" s="17">
        <f t="shared" si="37"/>
        <v>99.453551912568301</v>
      </c>
      <c r="G93" s="1">
        <v>1992</v>
      </c>
      <c r="H93" s="392">
        <f>(O11/$R11*100*($E11/366))</f>
        <v>99.453551912568301</v>
      </c>
      <c r="I93" s="392"/>
      <c r="J93" s="392">
        <f>(P11/$R11*100*($E11/366))</f>
        <v>0</v>
      </c>
      <c r="K93" s="392"/>
      <c r="L93" s="392">
        <f>(Q11/$R11*100*($E11/366))</f>
        <v>0</v>
      </c>
      <c r="M93" s="392"/>
      <c r="N93" s="363">
        <f t="shared" si="36"/>
        <v>99.453551912568301</v>
      </c>
      <c r="O93" s="363"/>
      <c r="R93" s="1">
        <v>1992</v>
      </c>
      <c r="S93" s="5">
        <f>(O11*($E11/366))+(O12*($E12/366))</f>
        <v>45.649180327868848</v>
      </c>
      <c r="T93" s="5">
        <f>(P11*($E11/366))+(P12*($E12/366))</f>
        <v>0</v>
      </c>
      <c r="U93" s="5">
        <f>(Q11*($E11/366))+(Q12*($E12/366))</f>
        <v>0</v>
      </c>
      <c r="W93" s="5">
        <f t="shared" si="38"/>
        <v>45.649180327868848</v>
      </c>
    </row>
    <row r="94" spans="1:53" x14ac:dyDescent="0.15">
      <c r="A94" s="1">
        <v>1993</v>
      </c>
      <c r="B94" s="5">
        <f>(K13*($E13/365))+(K14*($E14/365))</f>
        <v>0</v>
      </c>
      <c r="C94" s="5">
        <f>(L13*($E13/365))+(L14*($E14/365))</f>
        <v>0</v>
      </c>
      <c r="D94" s="5">
        <f>(M13*($E13/365))+(M14*($E14/365))</f>
        <v>0</v>
      </c>
      <c r="E94" s="17">
        <f t="shared" si="37"/>
        <v>0</v>
      </c>
      <c r="G94" s="1">
        <v>1993</v>
      </c>
      <c r="H94" s="392">
        <v>0</v>
      </c>
      <c r="I94" s="392"/>
      <c r="J94" s="392">
        <v>0</v>
      </c>
      <c r="K94" s="392"/>
      <c r="L94" s="392">
        <v>0</v>
      </c>
      <c r="M94" s="392"/>
      <c r="N94" s="363">
        <f t="shared" si="36"/>
        <v>0</v>
      </c>
      <c r="O94" s="363"/>
      <c r="R94" s="1">
        <v>1993</v>
      </c>
      <c r="S94" s="5">
        <f>(O13*($E13/365))+(O14*($E14/365))</f>
        <v>0</v>
      </c>
      <c r="T94" s="5">
        <f>(P13*($E13/365))+(P14*($E14/365))</f>
        <v>0</v>
      </c>
      <c r="U94" s="5">
        <f>(Q13*($E13/365))+(Q14*($E14/365))</f>
        <v>0</v>
      </c>
      <c r="W94" s="5">
        <f t="shared" si="38"/>
        <v>0</v>
      </c>
    </row>
    <row r="95" spans="1:53" x14ac:dyDescent="0.15">
      <c r="A95" s="1">
        <v>1994</v>
      </c>
      <c r="B95" s="5">
        <f>(K15*($E15/365))+(K16*($E16/365))</f>
        <v>0</v>
      </c>
      <c r="C95" s="5">
        <f>(L15*($E15/365))+(L16*($E16/365))</f>
        <v>0</v>
      </c>
      <c r="D95" s="5">
        <f>(M15*($E15/365))+(M16*($E16/365))</f>
        <v>0</v>
      </c>
      <c r="E95" s="17">
        <f t="shared" si="37"/>
        <v>0</v>
      </c>
      <c r="G95" s="1">
        <v>1994</v>
      </c>
      <c r="H95" s="392">
        <v>0</v>
      </c>
      <c r="I95" s="392"/>
      <c r="J95" s="392">
        <v>0</v>
      </c>
      <c r="K95" s="392"/>
      <c r="L95" s="392">
        <v>0</v>
      </c>
      <c r="M95" s="392"/>
      <c r="N95" s="363">
        <f t="shared" si="36"/>
        <v>0</v>
      </c>
      <c r="O95" s="363"/>
      <c r="R95" s="1">
        <v>1994</v>
      </c>
      <c r="S95" s="5">
        <f>(O15*($E15/365))+(O16*($E16/365))</f>
        <v>0</v>
      </c>
      <c r="T95" s="5">
        <f>(P15*($E15/365))+(P16*($E16/365))</f>
        <v>0</v>
      </c>
      <c r="U95" s="5">
        <f>(Q15*($E15/365))+(Q16*($E16/365))</f>
        <v>0</v>
      </c>
      <c r="W95" s="5">
        <f t="shared" si="38"/>
        <v>0</v>
      </c>
    </row>
    <row r="96" spans="1:53" x14ac:dyDescent="0.15">
      <c r="A96" s="1">
        <v>1995</v>
      </c>
      <c r="B96" s="5">
        <f>(K17*($E17/365))+(K18*($E18/365))</f>
        <v>0</v>
      </c>
      <c r="C96" s="5">
        <f>(L17*($E17/365))+(L18*($E18/365))</f>
        <v>0</v>
      </c>
      <c r="D96" s="5">
        <f>(M17*($E17/365))+(M18*($E18/365))</f>
        <v>51.902587519025879</v>
      </c>
      <c r="E96" s="17">
        <f t="shared" si="37"/>
        <v>51.902587519025879</v>
      </c>
      <c r="G96" s="1">
        <v>1995</v>
      </c>
      <c r="H96" s="392">
        <f>(O18/$R18*100*($E18/365))</f>
        <v>0</v>
      </c>
      <c r="I96" s="392"/>
      <c r="J96" s="392">
        <f>(P18/$R18*100*($E18/365))</f>
        <v>0</v>
      </c>
      <c r="K96" s="392"/>
      <c r="L96" s="392">
        <f>(Q18/$R18*100*($E18/365))</f>
        <v>93.424657534246577</v>
      </c>
      <c r="M96" s="392"/>
      <c r="N96" s="363">
        <f t="shared" si="36"/>
        <v>93.424657534246577</v>
      </c>
      <c r="O96" s="363"/>
      <c r="R96" s="1">
        <v>1995</v>
      </c>
      <c r="S96" s="5">
        <f>(O17*($E17/365))+(O18*($E18/365))</f>
        <v>0</v>
      </c>
      <c r="T96" s="5">
        <f>(P17*($E17/365))+(P18*($E18/365))</f>
        <v>0</v>
      </c>
      <c r="U96" s="5">
        <f>(Q17*($E17/365))+(Q18*($E18/365))</f>
        <v>48.674246575342472</v>
      </c>
      <c r="W96" s="5">
        <f t="shared" si="38"/>
        <v>48.674246575342472</v>
      </c>
    </row>
    <row r="97" spans="1:23" x14ac:dyDescent="0.15">
      <c r="A97" s="1">
        <v>1996</v>
      </c>
      <c r="B97" s="5">
        <f>(K19*($E19/366))+(K20*($E20/366))</f>
        <v>0</v>
      </c>
      <c r="C97" s="5">
        <f>(L19*($E19/366))+(L20*($E20/366))</f>
        <v>0</v>
      </c>
      <c r="D97" s="5">
        <f>(M19*($E19/366))+(M20*($E20/366))</f>
        <v>55.555555555555557</v>
      </c>
      <c r="E97" s="17">
        <f t="shared" si="37"/>
        <v>55.555555555555557</v>
      </c>
      <c r="G97" s="1">
        <v>1996</v>
      </c>
      <c r="H97" s="392">
        <f>(O19/$R19*100*($E19/366))+(O20/$R20*100*($E20/366))</f>
        <v>0</v>
      </c>
      <c r="I97" s="392"/>
      <c r="J97" s="392">
        <f>(P19/$R19*100*($E19/366))+(P20/$R20*100*($E20/366))</f>
        <v>0</v>
      </c>
      <c r="K97" s="392"/>
      <c r="L97" s="392">
        <f>(Q19/$R19*100*($E19/366))+(Q20/$R20*100*($E20/366))</f>
        <v>100</v>
      </c>
      <c r="M97" s="392"/>
      <c r="N97" s="363">
        <f t="shared" si="36"/>
        <v>100</v>
      </c>
      <c r="O97" s="363"/>
      <c r="R97" s="1">
        <v>1996</v>
      </c>
      <c r="S97" s="5">
        <f>(O19*($E19/366))+(O20*($E20/366))</f>
        <v>0</v>
      </c>
      <c r="T97" s="5">
        <f>(P19*($E19/366))+(P20*($E20/366))</f>
        <v>0</v>
      </c>
      <c r="U97" s="5">
        <f>(Q19*($E19/366))+(Q20*($E20/366))</f>
        <v>52.1</v>
      </c>
      <c r="W97" s="5">
        <f t="shared" si="38"/>
        <v>52.1</v>
      </c>
    </row>
    <row r="98" spans="1:23" x14ac:dyDescent="0.15">
      <c r="A98" s="1">
        <v>1997</v>
      </c>
      <c r="B98" s="5">
        <f>(K21*($E21/365))+(K22*($E22/365))+(K23*($E23/365))</f>
        <v>63.223207091055606</v>
      </c>
      <c r="C98" s="5">
        <f>(L21*($E21/365))+(L22*($E22/365))+(L23*($E23/365))</f>
        <v>0</v>
      </c>
      <c r="D98" s="5">
        <f>(M21*($E21/365))+(M22*($E22/365))+(M23*($E23/365))</f>
        <v>6.3926940639269407</v>
      </c>
      <c r="E98" s="17">
        <f t="shared" si="37"/>
        <v>69.615901154982552</v>
      </c>
      <c r="G98" s="1">
        <v>1997</v>
      </c>
      <c r="H98" s="392">
        <f>(O21/$R21*100*($E21/365))+(O22/$R22*100*($E22/365))+(O23/$R23*100*($E23/365))</f>
        <v>88.493150684931507</v>
      </c>
      <c r="I98" s="392"/>
      <c r="J98" s="392">
        <f>(P21/$R21*100*($E21/365))+(P22/$R22*100*($E22/365))+(P23/$R23*100*($E23/365))</f>
        <v>0</v>
      </c>
      <c r="K98" s="392"/>
      <c r="L98" s="392">
        <f>(Q21/$R21*100*($E21/365))+(Q22/$R22*100*($E22/365))+(Q23/$R23*100*($E23/365))</f>
        <v>11.506849315068493</v>
      </c>
      <c r="M98" s="392"/>
      <c r="N98" s="363">
        <f t="shared" si="36"/>
        <v>100</v>
      </c>
      <c r="O98" s="363"/>
      <c r="R98" s="1">
        <v>1997</v>
      </c>
      <c r="S98" s="5">
        <f>(O21*($E21/365))+(O22*($E22/365))+(O23*($E23/365))</f>
        <v>42.869589041095892</v>
      </c>
      <c r="T98" s="5">
        <f>(P21*($E21/365))+(P22*($E22/365))+(P23*($E23/365))</f>
        <v>0</v>
      </c>
      <c r="U98" s="5">
        <f>(Q21*($E21/365))+(Q22*($E22/365))+(Q23*($E23/365))</f>
        <v>5.9950684931506855</v>
      </c>
      <c r="W98" s="5">
        <f t="shared" si="38"/>
        <v>48.864657534246575</v>
      </c>
    </row>
    <row r="99" spans="1:23" x14ac:dyDescent="0.15">
      <c r="A99" s="1">
        <v>1998</v>
      </c>
      <c r="B99" s="5">
        <f>(K24*($E24/365))+(K25*($E25/365))</f>
        <v>100</v>
      </c>
      <c r="C99" s="5">
        <f>(L24*($E24/365))+(L25*($E25/365))</f>
        <v>0</v>
      </c>
      <c r="D99" s="5">
        <f>(M24*($E24/365))+(M25*($E25/365))</f>
        <v>0</v>
      </c>
      <c r="E99" s="17">
        <f t="shared" si="37"/>
        <v>100</v>
      </c>
      <c r="G99" s="1">
        <v>1998</v>
      </c>
      <c r="H99" s="392">
        <f>(O24/$R24*100*($E24/365))+(O25/$R25*100*($E25/365))</f>
        <v>100</v>
      </c>
      <c r="I99" s="392"/>
      <c r="J99" s="392">
        <f>(P24/$R24*100*($E24/365))+(P25/$R25*100*($E25/365))</f>
        <v>0</v>
      </c>
      <c r="K99" s="392"/>
      <c r="L99" s="392">
        <f>(Q24/$R24*100*($E24/365))+(Q25/$R25*100*($E25/365))</f>
        <v>0</v>
      </c>
      <c r="M99" s="392"/>
      <c r="N99" s="363">
        <f t="shared" si="36"/>
        <v>100</v>
      </c>
      <c r="O99" s="363"/>
      <c r="R99" s="1">
        <v>1998</v>
      </c>
      <c r="S99" s="5">
        <f>(O24*($E24/365))+(O25*($E25/365))</f>
        <v>57</v>
      </c>
      <c r="T99" s="5">
        <f>(P24*($E24/365))+(P25*($E25/365))</f>
        <v>0</v>
      </c>
      <c r="U99" s="5">
        <f>(Q24*($E24/365))+(Q25*($E25/365))</f>
        <v>0</v>
      </c>
      <c r="W99" s="5">
        <f t="shared" si="38"/>
        <v>57</v>
      </c>
    </row>
    <row r="100" spans="1:23" x14ac:dyDescent="0.15">
      <c r="A100" s="1">
        <v>1999</v>
      </c>
      <c r="B100" s="5">
        <f>(K26*($E26/365))+(K27*($E27/365))</f>
        <v>98.493150684931507</v>
      </c>
      <c r="C100" s="5">
        <f>(L26*($E26/365))+(L27*($E27/365))</f>
        <v>0.37671232876712329</v>
      </c>
      <c r="D100" s="5">
        <f>(M26*($E26/365))+(M27*($E27/365))</f>
        <v>0</v>
      </c>
      <c r="E100" s="17">
        <f t="shared" si="37"/>
        <v>98.869863013698634</v>
      </c>
      <c r="G100" s="1">
        <v>1999</v>
      </c>
      <c r="H100" s="392">
        <f>(O26/$R26*100*($E26/365))+(O27/$R27*100*($E27/365))</f>
        <v>100</v>
      </c>
      <c r="I100" s="392"/>
      <c r="J100" s="392">
        <f>(P26/$R26*100*($E26/365))+(P27/$R27*100*($E27/365))</f>
        <v>0</v>
      </c>
      <c r="K100" s="392"/>
      <c r="L100" s="392">
        <f>(Q26/$R26*100*($E26/365))+(Q27/$R27*100*($E27/365))</f>
        <v>0</v>
      </c>
      <c r="M100" s="392"/>
      <c r="N100" s="363">
        <f t="shared" si="36"/>
        <v>100</v>
      </c>
      <c r="O100" s="363"/>
      <c r="R100" s="1">
        <v>1999</v>
      </c>
      <c r="S100" s="5">
        <f>(O26*($E26/365))+(O27*($E27/365))</f>
        <v>57</v>
      </c>
      <c r="T100" s="5">
        <f>(P26*($E26/365))+(P27*($E27/365))</f>
        <v>0</v>
      </c>
      <c r="U100" s="5">
        <f>(Q26*($E26/365))+(Q27*($E27/365))</f>
        <v>0</v>
      </c>
      <c r="W100" s="5">
        <f t="shared" si="38"/>
        <v>57</v>
      </c>
    </row>
    <row r="101" spans="1:23" x14ac:dyDescent="0.15">
      <c r="A101" s="1">
        <v>2000</v>
      </c>
      <c r="B101" s="5">
        <f>(K28*($E28/366))+(K29*($E29/366))</f>
        <v>50</v>
      </c>
      <c r="C101" s="5">
        <f>(L28*($E28/366))+(L29*($E29/366))</f>
        <v>12.5</v>
      </c>
      <c r="D101" s="5">
        <f>(M28*($E28/366))+(M29*($E29/366))</f>
        <v>0</v>
      </c>
      <c r="E101" s="17">
        <f t="shared" si="37"/>
        <v>62.5</v>
      </c>
      <c r="G101" s="1">
        <v>2000</v>
      </c>
      <c r="H101" s="392">
        <f>(O28/$R28*100*($E28/366))+(O29/$R29*100*($E29/366))</f>
        <v>100</v>
      </c>
      <c r="I101" s="392"/>
      <c r="J101" s="392">
        <f>(P28/$R28*100*($E28/366))+(P29/$R29*100*($E29/366))</f>
        <v>0</v>
      </c>
      <c r="K101" s="392"/>
      <c r="L101" s="392">
        <f>(Q28/$R28*100*($E28/366))+(Q29/$R29*100*($E29/366))</f>
        <v>0</v>
      </c>
      <c r="M101" s="392"/>
      <c r="N101" s="363">
        <f t="shared" si="36"/>
        <v>100</v>
      </c>
      <c r="O101" s="363"/>
      <c r="R101" s="1">
        <v>2000</v>
      </c>
      <c r="S101" s="5">
        <f>(O28*($E28/366))+(O29*($E29/366))</f>
        <v>57</v>
      </c>
      <c r="T101" s="5">
        <f>(P28*($E28/366))+(P29*($E29/366))</f>
        <v>0</v>
      </c>
      <c r="U101" s="5">
        <f>(Q28*($E28/366))+(Q29*($E29/366))</f>
        <v>0</v>
      </c>
      <c r="W101" s="5">
        <f t="shared" si="38"/>
        <v>57</v>
      </c>
    </row>
    <row r="102" spans="1:23" x14ac:dyDescent="0.15">
      <c r="A102" s="1">
        <v>2001</v>
      </c>
      <c r="B102" s="5">
        <f>(K30*($E30/365))+(K31*($E31/365))</f>
        <v>66.865431103948424</v>
      </c>
      <c r="C102" s="5">
        <f>(L30*($E30/365))+(L31*($E31/365))</f>
        <v>6.9863013698630141</v>
      </c>
      <c r="D102" s="5">
        <f>(M30*($E30/365))+(M31*($E31/365))</f>
        <v>5.1893634165995159</v>
      </c>
      <c r="E102" s="17">
        <f t="shared" si="37"/>
        <v>79.041095890410958</v>
      </c>
      <c r="G102" s="1">
        <v>2001</v>
      </c>
      <c r="H102" s="392">
        <f>(O30/$R30*100*($E30/365))+(O31/$R31*100*($E31/365))</f>
        <v>88.797564687975651</v>
      </c>
      <c r="I102" s="392"/>
      <c r="J102" s="392">
        <f>(P30/$R30*100*($E30/365))+(P31/$R31*100*($E31/365))</f>
        <v>0</v>
      </c>
      <c r="K102" s="392"/>
      <c r="L102" s="392">
        <f>(Q30/$R30*100*($E30/365))+(Q31/$R31*100*($E31/365))</f>
        <v>11.202435312024352</v>
      </c>
      <c r="M102" s="392"/>
      <c r="N102" s="363">
        <f t="shared" si="36"/>
        <v>100</v>
      </c>
      <c r="O102" s="363"/>
      <c r="R102" s="1">
        <v>2001</v>
      </c>
      <c r="S102" s="5">
        <f>(O30*($E30/365))+(O31*($E31/365))</f>
        <v>57.771917808219186</v>
      </c>
      <c r="T102" s="5">
        <f>(P30*($E30/365))+(P31*($E31/365))</f>
        <v>0</v>
      </c>
      <c r="U102" s="5">
        <f>(Q30*($E30/365))+(Q31*($E31/365))</f>
        <v>8.8219178082191778</v>
      </c>
      <c r="W102" s="5">
        <f t="shared" si="38"/>
        <v>66.593835616438369</v>
      </c>
    </row>
    <row r="103" spans="1:23" x14ac:dyDescent="0.15">
      <c r="A103" s="1">
        <v>2002</v>
      </c>
      <c r="B103" s="5">
        <f>(K32*($E32/365))+(K33*($E33/365))</f>
        <v>88.623869639179873</v>
      </c>
      <c r="C103" s="5">
        <f>(L32*($E32/365))+(L33*($E33/365))</f>
        <v>0</v>
      </c>
      <c r="D103" s="5">
        <f>(M32*($E32/365))+(M33*($E33/365))</f>
        <v>11.376130360820127</v>
      </c>
      <c r="E103" s="17">
        <f t="shared" si="37"/>
        <v>100</v>
      </c>
      <c r="G103" s="1">
        <v>2002</v>
      </c>
      <c r="H103" s="392">
        <f>(O32/$R32*100*($E32/365))+(O33/$R33*100*($E33/365))</f>
        <v>74.603174603174608</v>
      </c>
      <c r="I103" s="392"/>
      <c r="J103" s="392">
        <f>(P32/$R32*100*($E32/365))+(P33/$R33*100*($E33/365))</f>
        <v>0</v>
      </c>
      <c r="K103" s="392"/>
      <c r="L103" s="392">
        <f>(Q32/$R32*100*($E32/365))+(Q33/$R33*100*($E33/365))</f>
        <v>25.396825396825395</v>
      </c>
      <c r="M103" s="392"/>
      <c r="N103" s="363">
        <f t="shared" si="36"/>
        <v>100</v>
      </c>
      <c r="O103" s="363"/>
      <c r="R103" s="1">
        <v>2002</v>
      </c>
      <c r="S103" s="5">
        <f>(O32*($E32/365))+(O33*($E33/365))</f>
        <v>58.75</v>
      </c>
      <c r="T103" s="5">
        <f>(P32*($E32/365))+(P33*($E33/365))</f>
        <v>0</v>
      </c>
      <c r="U103" s="5">
        <f>(Q32*($E32/365))+(Q33*($E33/365))</f>
        <v>20</v>
      </c>
      <c r="W103" s="5">
        <f t="shared" si="38"/>
        <v>78.75</v>
      </c>
    </row>
    <row r="104" spans="1:23" x14ac:dyDescent="0.15">
      <c r="A104" s="1">
        <v>2003</v>
      </c>
      <c r="B104" s="5">
        <f>(K34*($E34/365))+(K35*($E35/365))</f>
        <v>88.888888888888886</v>
      </c>
      <c r="C104" s="5">
        <f>(L34*($E34/365))+(L35*($E35/365))</f>
        <v>0</v>
      </c>
      <c r="D104" s="5">
        <f>(M34*($E34/365))+(M35*($E35/365))</f>
        <v>11.111111111111111</v>
      </c>
      <c r="E104" s="17">
        <f t="shared" si="37"/>
        <v>100</v>
      </c>
      <c r="G104" s="1">
        <v>2003</v>
      </c>
      <c r="H104" s="392">
        <f>(O34/$R34*100*($E34/365))+(O35/$R35*100*($E35/365))</f>
        <v>74.603174603174608</v>
      </c>
      <c r="I104" s="392"/>
      <c r="J104" s="392">
        <f>(P34/$R34*100*($E34/365))+(P35/$R35*100*($E35/365))</f>
        <v>0</v>
      </c>
      <c r="K104" s="392"/>
      <c r="L104" s="392">
        <f>(Q34/$R34*100*($E34/365))+(Q35/$R35*100*($E35/365))</f>
        <v>25.396825396825395</v>
      </c>
      <c r="M104" s="392"/>
      <c r="N104" s="363">
        <f t="shared" si="36"/>
        <v>100</v>
      </c>
      <c r="O104" s="363"/>
      <c r="R104" s="1">
        <v>2003</v>
      </c>
      <c r="S104" s="5">
        <f>(O34*($E34/365))+(O35*($E35/365))</f>
        <v>58.75</v>
      </c>
      <c r="T104" s="5">
        <f>(P34*($E34/365))+(P35*($E35/365))</f>
        <v>0</v>
      </c>
      <c r="U104" s="5">
        <f>(Q34*($E34/365))+(Q35*($E35/365))</f>
        <v>20</v>
      </c>
      <c r="W104" s="5">
        <f t="shared" si="38"/>
        <v>78.75</v>
      </c>
    </row>
    <row r="105" spans="1:23" x14ac:dyDescent="0.15">
      <c r="A105" s="1">
        <v>2004</v>
      </c>
      <c r="B105" s="5">
        <f>(K36*($E36/366))+(K37*($E37/366))</f>
        <v>88.888888888888886</v>
      </c>
      <c r="C105" s="5">
        <f>(L36*($E36/366))+(L37*($E37/366))</f>
        <v>0</v>
      </c>
      <c r="D105" s="5">
        <f>(M36*($E36/366))+(M37*($E37/366))</f>
        <v>11.111111111111111</v>
      </c>
      <c r="E105" s="17">
        <f t="shared" si="37"/>
        <v>100</v>
      </c>
      <c r="G105" s="1">
        <v>2004</v>
      </c>
      <c r="H105" s="392">
        <f>(O36/$R36*100*($E36/366))+(O37/$R37*100*($E37/366))</f>
        <v>74.603174603174608</v>
      </c>
      <c r="I105" s="392"/>
      <c r="J105" s="392">
        <f>(P36/$R36*100*($E36/366))+(P37/$R37*100*($E37/366))</f>
        <v>0</v>
      </c>
      <c r="K105" s="392"/>
      <c r="L105" s="392">
        <f>(Q36/$R36*100*($E36/366))+(Q37/$R37*100*($E37/366))</f>
        <v>25.396825396825395</v>
      </c>
      <c r="M105" s="392"/>
      <c r="N105" s="363">
        <f t="shared" si="36"/>
        <v>100</v>
      </c>
      <c r="O105" s="363"/>
      <c r="R105" s="1">
        <v>2004</v>
      </c>
      <c r="S105" s="5">
        <f>(O36*($E36/366))+(O37*($E37/366))</f>
        <v>58.75</v>
      </c>
      <c r="T105" s="5">
        <f>(P36*($E36/366))+(P37*($E37/366))</f>
        <v>0</v>
      </c>
      <c r="U105" s="5">
        <f>(Q36*($E36/366))+(Q37*($E37/366))</f>
        <v>20</v>
      </c>
      <c r="W105" s="5">
        <f t="shared" si="38"/>
        <v>78.75</v>
      </c>
    </row>
    <row r="106" spans="1:23" x14ac:dyDescent="0.15">
      <c r="A106" s="1">
        <v>2005</v>
      </c>
      <c r="B106" s="5">
        <f>(K38*($E38/365))+(K39*($E39/365))+(K40*($E40/365))</f>
        <v>72.367219418409036</v>
      </c>
      <c r="C106" s="5">
        <f>(L38*($E38/365))+(L39*($E39/365))+(L40*($E40/365))</f>
        <v>0</v>
      </c>
      <c r="D106" s="5">
        <f>(M38*($E38/365))+(M39*($E39/365))+(M40*($E40/365))</f>
        <v>25.532323960586396</v>
      </c>
      <c r="E106" s="17">
        <f t="shared" si="37"/>
        <v>97.899543378995432</v>
      </c>
      <c r="G106" s="1">
        <v>2005</v>
      </c>
      <c r="H106" s="392">
        <f>(O38/$R38*100*($E38/365))+(O39/$R39*100*($E39/365))+(O40/$R40*100*($E40/365))</f>
        <v>65.812659469870127</v>
      </c>
      <c r="I106" s="392"/>
      <c r="J106" s="392">
        <f>(P38/$R38*100*($E38/365))+(P39/$R39*100*($E39/365))+(P40/$R40*100*($E40/365))</f>
        <v>0</v>
      </c>
      <c r="K106" s="392"/>
      <c r="L106" s="392">
        <f>(Q38/$R38*100*($E38/365))+(Q39/$R39*100*($E39/365))+(Q40/$R40*100*($E40/365))</f>
        <v>34.187340530129873</v>
      </c>
      <c r="M106" s="392"/>
      <c r="N106" s="363">
        <f t="shared" si="36"/>
        <v>100</v>
      </c>
      <c r="O106" s="363"/>
      <c r="R106" s="1">
        <v>2005</v>
      </c>
      <c r="S106" s="5">
        <f>(O38*($E38/365))+(O39*($E39/365))+(O40*($E40/365))</f>
        <v>50.099479452054801</v>
      </c>
      <c r="T106" s="5">
        <f>(P38*($E38/365))+(P39*($E39/365))+(P40*($E40/365))</f>
        <v>0</v>
      </c>
      <c r="U106" s="5">
        <f>(Q38*($E38/365))+(Q39*($E39/365))+(Q40*($E40/365))</f>
        <v>25.285589041095889</v>
      </c>
      <c r="W106" s="5">
        <f t="shared" si="38"/>
        <v>75.385068493150698</v>
      </c>
    </row>
    <row r="107" spans="1:23" x14ac:dyDescent="0.15">
      <c r="A107" s="1">
        <v>2006</v>
      </c>
      <c r="B107" s="5">
        <f>(K41*($E41/365))+(K42*($E42/365))</f>
        <v>44.444444444444443</v>
      </c>
      <c r="C107" s="5">
        <f>(L41*($E41/365))+(L42*($E42/365))</f>
        <v>0</v>
      </c>
      <c r="D107" s="5">
        <f>(M41*($E41/365))+(M42*($E42/365))</f>
        <v>50</v>
      </c>
      <c r="E107" s="17">
        <f t="shared" si="37"/>
        <v>94.444444444444443</v>
      </c>
      <c r="G107" s="1">
        <v>2006</v>
      </c>
      <c r="H107" s="392">
        <f>(O41/$R41*100*($E41/365))+(O42/$R42*100*($E42/365))</f>
        <v>51.3528990694345</v>
      </c>
      <c r="I107" s="392"/>
      <c r="J107" s="392">
        <f>(P41/$R41*100*($E41/365))+(P42/$R42*100*($E42/365))</f>
        <v>0</v>
      </c>
      <c r="K107" s="392"/>
      <c r="L107" s="392">
        <f>(Q41/$R41*100*($E41/365))+(Q42/$R42*100*($E42/365))</f>
        <v>48.647100930565493</v>
      </c>
      <c r="M107" s="392"/>
      <c r="N107" s="363">
        <f t="shared" si="36"/>
        <v>100</v>
      </c>
      <c r="O107" s="363"/>
      <c r="R107" s="1">
        <v>2006</v>
      </c>
      <c r="S107" s="5">
        <f>(O41*($E41/365))+(O42*($E42/365))</f>
        <v>35.869999999999997</v>
      </c>
      <c r="T107" s="5">
        <f>(P41*($E41/365))+(P42*($E42/365))</f>
        <v>0</v>
      </c>
      <c r="U107" s="5">
        <f>(Q41*($E41/365))+(Q42*($E42/365))</f>
        <v>33.979999999999997</v>
      </c>
      <c r="W107" s="5">
        <f t="shared" si="38"/>
        <v>69.849999999999994</v>
      </c>
    </row>
    <row r="108" spans="1:23" x14ac:dyDescent="0.15">
      <c r="A108" s="1">
        <v>2007</v>
      </c>
      <c r="B108" s="5">
        <f>(K43*($E43/365))+(K44*($E44/365))</f>
        <v>44.444444444444443</v>
      </c>
      <c r="C108" s="5">
        <f>(L43*($E43/365))+(L44*($E44/365))</f>
        <v>0</v>
      </c>
      <c r="D108" s="5">
        <f>(M43*($E43/365))+(M44*($E44/365))</f>
        <v>50</v>
      </c>
      <c r="E108" s="17">
        <f t="shared" si="37"/>
        <v>94.444444444444443</v>
      </c>
      <c r="G108" s="1">
        <v>2007</v>
      </c>
      <c r="H108" s="392">
        <f>(O43/$R43*100*($E43/365))+(O44/$R44*100*($E44/365))</f>
        <v>51.3528990694345</v>
      </c>
      <c r="I108" s="392"/>
      <c r="J108" s="392">
        <f>(P43/$R43*100*($E43/365))+(P44/$R44*100*($E44/365))</f>
        <v>0</v>
      </c>
      <c r="K108" s="392"/>
      <c r="L108" s="392">
        <f>(Q43/$R43*100*($E43/365))+(Q44/$R44*100*($E44/365))</f>
        <v>48.647100930565493</v>
      </c>
      <c r="M108" s="392"/>
      <c r="N108" s="363">
        <f t="shared" si="36"/>
        <v>100</v>
      </c>
      <c r="O108" s="363"/>
      <c r="R108" s="1">
        <v>2007</v>
      </c>
      <c r="S108" s="5">
        <f>(O43*($E43/365))+(O44*($E44/365))</f>
        <v>35.869999999999997</v>
      </c>
      <c r="T108" s="5">
        <f>(P43*($E43/365))+(P44*($E44/365))</f>
        <v>0</v>
      </c>
      <c r="U108" s="5">
        <f>(Q43*($E43/365))+(Q44*($E44/365))</f>
        <v>33.979999999999997</v>
      </c>
      <c r="W108" s="5">
        <f t="shared" si="38"/>
        <v>69.849999999999994</v>
      </c>
    </row>
    <row r="109" spans="1:23" x14ac:dyDescent="0.15">
      <c r="A109" s="1">
        <v>2008</v>
      </c>
      <c r="B109" s="5">
        <f>(K45*($E45/366))+(K46*($E46/366))</f>
        <v>42.833860607803658</v>
      </c>
      <c r="C109" s="5">
        <f>(L45*($E45/366))+(L46*($E46/366))</f>
        <v>0</v>
      </c>
      <c r="D109" s="5">
        <f>(M45*($E45/366))+(M46*($E46/366))</f>
        <v>51.811906816220876</v>
      </c>
      <c r="E109" s="17">
        <f t="shared" si="37"/>
        <v>94.645767424024541</v>
      </c>
      <c r="G109" s="1">
        <v>2008</v>
      </c>
      <c r="H109" s="392">
        <f>(O45/$R45*100*($E45/366))+(O46/$R46*100*($E46/366))</f>
        <v>51.3528990694345</v>
      </c>
      <c r="I109" s="392"/>
      <c r="J109" s="392">
        <f>(P45/$R45*100*($E45/366))+(P46/$R46*100*($E46/366))</f>
        <v>0</v>
      </c>
      <c r="K109" s="392"/>
      <c r="L109" s="392">
        <f>(Q45/$R45*100*($E45/366))+(Q46/$R46*100*($E46/366))</f>
        <v>48.647100930565493</v>
      </c>
      <c r="M109" s="392"/>
      <c r="N109" s="363">
        <f t="shared" si="36"/>
        <v>100</v>
      </c>
      <c r="O109" s="363"/>
      <c r="R109" s="1">
        <v>2008</v>
      </c>
      <c r="S109" s="5">
        <f>(O45*($E45/366))+(O46*($E46/366))</f>
        <v>35.869999999999997</v>
      </c>
      <c r="T109" s="5">
        <f>(P45*($E45/366))+(P46*($E46/366))</f>
        <v>0</v>
      </c>
      <c r="U109" s="5">
        <f>(Q45*($E45/366))+(Q46*($E46/366))</f>
        <v>33.979999999999997</v>
      </c>
      <c r="W109" s="5">
        <f t="shared" si="38"/>
        <v>69.849999999999994</v>
      </c>
    </row>
    <row r="110" spans="1:23" x14ac:dyDescent="0.15">
      <c r="A110" s="1">
        <v>2009</v>
      </c>
      <c r="B110" s="5">
        <f>(K47*($E47/365))+(K48*($E48/365))</f>
        <v>64.620212901310481</v>
      </c>
      <c r="C110" s="5">
        <f>(L47*($E47/365))+(L48*($E48/365))</f>
        <v>0</v>
      </c>
      <c r="D110" s="5">
        <f>(M47*($E47/365))+(M48*($E48/365))</f>
        <v>29.848594087959622</v>
      </c>
      <c r="E110" s="17">
        <f t="shared" si="37"/>
        <v>94.468806989270107</v>
      </c>
      <c r="G110" s="1">
        <v>2009</v>
      </c>
      <c r="H110" s="392">
        <f>(O47/$R47*100*($E47/365))+(O48/$R48*100*($E48/365))</f>
        <v>72.4110961845834</v>
      </c>
      <c r="I110" s="392"/>
      <c r="J110" s="392">
        <f>(P47/$R47*100*($E47/365))+(P48/$R48*100*($E48/365))</f>
        <v>0</v>
      </c>
      <c r="K110" s="392"/>
      <c r="L110" s="392">
        <f>(Q47/$R47*100*($E47/365))+(Q48/$R48*100*($E48/365))</f>
        <v>27.588903815416593</v>
      </c>
      <c r="M110" s="392"/>
      <c r="N110" s="363">
        <f t="shared" si="36"/>
        <v>100</v>
      </c>
      <c r="O110" s="363"/>
      <c r="R110" s="1">
        <v>2009</v>
      </c>
      <c r="S110" s="5">
        <f>(O47*($E47/365))+(O48*($E48/365))</f>
        <v>41.46709589041096</v>
      </c>
      <c r="T110" s="5">
        <f>(P47*($E47/365))+(P48*($E48/365))</f>
        <v>0</v>
      </c>
      <c r="U110" s="5">
        <f>(Q47*($E47/365))+(Q48*($E48/365))</f>
        <v>19.270849315068492</v>
      </c>
      <c r="W110" s="5">
        <f t="shared" si="38"/>
        <v>60.737945205479448</v>
      </c>
    </row>
    <row r="111" spans="1:23" x14ac:dyDescent="0.15">
      <c r="A111" s="1">
        <v>2010</v>
      </c>
      <c r="B111" s="5">
        <f>(K49*($E49/365))+(K50*($E50/365))+(K51*($E51/365))+(K52*($E52/365))</f>
        <v>90.136986301369859</v>
      </c>
      <c r="C111" s="5">
        <f>(L49*($E49/365))+(L50*($E50/365))+(L51*($E51/365))+(L52*($E52/365))</f>
        <v>0</v>
      </c>
      <c r="D111" s="5">
        <f>(M49*($E49/365))+(M50*($E50/365))+(M51*($E51/365))+(M52*($E52/365))</f>
        <v>0</v>
      </c>
      <c r="E111" s="17">
        <f t="shared" si="37"/>
        <v>90.136986301369859</v>
      </c>
      <c r="G111" s="1">
        <v>2010</v>
      </c>
      <c r="H111" s="392">
        <f>(O49/$R49*100*($E49/365))+(O50/$R50*100*($E50/365))+(O51/$R51*100*($E51/365))+(O52/$R52*100*($E52/365))</f>
        <v>100</v>
      </c>
      <c r="I111" s="392"/>
      <c r="J111" s="392">
        <f>(P49/$R49*100*($E49/365))+(P50/$R50*100*($E50/365))+(P51/$R51*100*($E51/365))+(P52/$R52*100*($E52/365))</f>
        <v>0</v>
      </c>
      <c r="K111" s="392"/>
      <c r="L111" s="392">
        <f>(Q49/$R49*100*($E49/365))+(Q50/$R50*100*($E50/365))+(Q51/$R51*100*($E51/365))+(Q52/$R52*100*($E52/365))</f>
        <v>0</v>
      </c>
      <c r="M111" s="392"/>
      <c r="N111" s="363">
        <f t="shared" si="36"/>
        <v>100</v>
      </c>
      <c r="O111" s="363"/>
      <c r="R111" s="1">
        <v>2010</v>
      </c>
      <c r="S111" s="5">
        <f>(O49*($E49/365))+(O50*($E50/365))+(O51*($E51/365))+(O52*($E52/365))</f>
        <v>48.8</v>
      </c>
      <c r="T111" s="5">
        <f>(P49*($E49/365))+(P50*($E50/365))+(P51*($E51/365))+(P52*($E52/365))</f>
        <v>0</v>
      </c>
      <c r="U111" s="5">
        <f>(Q49*($E49/365))+(Q50*($E50/365))+(Q51*($E51/365))+(Q52*($E52/365))</f>
        <v>0</v>
      </c>
      <c r="W111" s="5">
        <f t="shared" si="38"/>
        <v>48.8</v>
      </c>
    </row>
    <row r="112" spans="1:23" x14ac:dyDescent="0.15">
      <c r="A112" s="1">
        <v>2011</v>
      </c>
      <c r="B112" s="5">
        <f>(K53*($E53/365))+(K54*($E54/365))</f>
        <v>88.235294117647058</v>
      </c>
      <c r="C112" s="5">
        <f>(L53*($E53/365))+(L54*($E54/365))</f>
        <v>0</v>
      </c>
      <c r="D112" s="5">
        <f>(M53*($E53/365))+(M54*($E54/365))</f>
        <v>0</v>
      </c>
      <c r="E112" s="17">
        <f t="shared" si="37"/>
        <v>88.235294117647058</v>
      </c>
      <c r="G112" s="1">
        <v>2011</v>
      </c>
      <c r="H112" s="392">
        <f>(O53/$R53*100*($E53/365))+(O54/$R54*100*($E54/365))</f>
        <v>100</v>
      </c>
      <c r="I112" s="392"/>
      <c r="J112" s="392">
        <f>(P53/$R53*100*($E53/365))+(P54/$R54*100*($E54/365))</f>
        <v>0</v>
      </c>
      <c r="K112" s="392"/>
      <c r="L112" s="392">
        <f>(Q53/$R53*100*($E53/365))+(Q54/$R54*100*($E54/365))</f>
        <v>0</v>
      </c>
      <c r="M112" s="392"/>
      <c r="N112" s="363">
        <f t="shared" si="36"/>
        <v>100</v>
      </c>
      <c r="O112" s="363"/>
      <c r="R112" s="1">
        <v>2011</v>
      </c>
      <c r="S112" s="5">
        <f>(O53*($E53/365))+(O54*($E54/365))</f>
        <v>48.8</v>
      </c>
      <c r="T112" s="5">
        <f>(P53*($E53/365))+(P54*($E54/365))</f>
        <v>0</v>
      </c>
      <c r="U112" s="5">
        <f>(Q53*($E53/365))+(Q54*($E54/365))</f>
        <v>0</v>
      </c>
      <c r="W112" s="5">
        <f t="shared" si="38"/>
        <v>48.8</v>
      </c>
    </row>
    <row r="113" spans="1:23" x14ac:dyDescent="0.15">
      <c r="A113" s="1">
        <v>2012</v>
      </c>
      <c r="B113" s="5">
        <f>(K55*($E55/366))+(K56*($E56/366))</f>
        <v>92.831886853101878</v>
      </c>
      <c r="C113" s="5">
        <f>(L55*($E55/366))+(L56*($E56/366))</f>
        <v>0</v>
      </c>
      <c r="D113" s="5">
        <f>(M55*($E55/366))+(M56*($E56/366))</f>
        <v>0</v>
      </c>
      <c r="E113" s="17">
        <f t="shared" si="37"/>
        <v>92.831886853101878</v>
      </c>
      <c r="G113" s="1">
        <v>2012</v>
      </c>
      <c r="H113" s="392">
        <f>(O55/$R55*100*($E55/366))+(O56/$R56*100*($E56/366))</f>
        <v>100</v>
      </c>
      <c r="I113" s="392"/>
      <c r="J113" s="392">
        <f>(P55/$R55*100*($E55/366))+(P56/$R56*100*($E56/366))</f>
        <v>0</v>
      </c>
      <c r="K113" s="392"/>
      <c r="L113" s="392">
        <f>(Q55/$R55*100*($E55/366))+(Q56/$R56*100*($E56/366))</f>
        <v>0</v>
      </c>
      <c r="M113" s="392"/>
      <c r="N113" s="363">
        <f t="shared" si="36"/>
        <v>100</v>
      </c>
      <c r="O113" s="363"/>
      <c r="R113" s="1">
        <v>2012</v>
      </c>
      <c r="S113" s="5">
        <f>(O55*($E55/366))+(O56*($E56/366))</f>
        <v>48.8</v>
      </c>
      <c r="T113" s="5">
        <f>(P55*($E55/366))+(P56*($E56/366))</f>
        <v>0</v>
      </c>
      <c r="U113" s="5">
        <f>(Q55*($E55/366))+(Q56*($E56/366))</f>
        <v>0</v>
      </c>
      <c r="W113" s="5">
        <f t="shared" si="38"/>
        <v>48.8</v>
      </c>
    </row>
    <row r="114" spans="1:23" x14ac:dyDescent="0.15">
      <c r="A114" s="1">
        <v>2013</v>
      </c>
      <c r="B114" s="5">
        <f>(K57*($E57/365))+(K58*($E58/365))+(K59*($E59/365))+(K60*($E60/365))+(K61*($E61/365))</f>
        <v>24.401468349897034</v>
      </c>
      <c r="C114" s="5">
        <f>(L57*($E57/365))+(L58*($E58/365))+(L59*($E59/365))+(L60*($E60/365))+(L61*($E61/365))</f>
        <v>0</v>
      </c>
      <c r="D114" s="5">
        <f>(M57*($E57/365))+(M58*($E58/365))+(M59*($E59/365))+(M60*($E60/365))+(M61*($E61/365))</f>
        <v>13.315426627271913</v>
      </c>
      <c r="E114" s="17">
        <f t="shared" ref="E114:E119" si="39">SUM(B114:D114)</f>
        <v>37.716894977168948</v>
      </c>
      <c r="G114" s="1">
        <v>2013</v>
      </c>
      <c r="H114" s="392">
        <f>(O57/$R57*100*($E57/365))+(O58/$R58*100*($E58/365))+(O60/$R60*100*($E60/365))+(O61/$R61*100*($E61/365))</f>
        <v>37.287671232876711</v>
      </c>
      <c r="I114" s="392"/>
      <c r="J114" s="392">
        <f>(P57/$R57*100*($E57/365))+(P58/$R58*100*($E58/365))+(P60/$R60*100*($E60/365))+(P61/$R61*100*($E61/365))</f>
        <v>0</v>
      </c>
      <c r="K114" s="392"/>
      <c r="L114" s="392">
        <f>(Q57/$R57*100*($E57/365))+(Q58/$R58*100*($E58/365))+(Q60/$R60*100*($E60/365))+(Q61/$R61*100*($E61/365))</f>
        <v>41.61643835616438</v>
      </c>
      <c r="M114" s="392"/>
      <c r="N114" s="363">
        <f t="shared" ref="N114:N119" si="40">SUM(H114:M114)</f>
        <v>78.904109589041099</v>
      </c>
      <c r="O114" s="363"/>
      <c r="R114" s="1">
        <v>2013</v>
      </c>
      <c r="S114" s="5">
        <f>(O57*($E57/365))+(O58*($E58/365))+(O59*($E59/365))+(O60*($E60/365))+(O61*($E61/365))</f>
        <v>18.410410958904109</v>
      </c>
      <c r="T114" s="5">
        <f>(P57*($E57/365))+(P58*($E58/365))+(P59*($E59/365))+(P60*($E60/365))+(P61*($E61/365))</f>
        <v>0</v>
      </c>
      <c r="U114" s="5">
        <f>(Q57*($E57/365))+(Q58*($E58/365))+(Q59*($E59/365))+(Q60*($E60/365))+(Q61*($E61/365))</f>
        <v>20.80821917808219</v>
      </c>
      <c r="W114" s="5">
        <f t="shared" si="38"/>
        <v>39.218630136986299</v>
      </c>
    </row>
    <row r="115" spans="1:23" x14ac:dyDescent="0.15">
      <c r="A115" s="1">
        <v>2014</v>
      </c>
      <c r="B115" s="5">
        <f>(K62*($E62/365))+(K63*($E63/365))+(K64*($E64/365))</f>
        <v>20.920852359208524</v>
      </c>
      <c r="C115" s="5">
        <f>(L62*($E62/365))+(L63*($E63/365))+(L64*($E64/365))</f>
        <v>0</v>
      </c>
      <c r="D115" s="5">
        <f>(M62*($E62/365))+(M63*($E63/365))+(M64*($E64/365))</f>
        <v>13.964992389649924</v>
      </c>
      <c r="E115" s="17">
        <f t="shared" si="39"/>
        <v>34.885844748858446</v>
      </c>
      <c r="G115" s="1">
        <v>2014</v>
      </c>
      <c r="H115" s="392">
        <f>(O62/$R62*100*($E62/365))+(O64/$R64*100*($E64/365))</f>
        <v>31.495266733489252</v>
      </c>
      <c r="I115" s="392"/>
      <c r="J115" s="392">
        <f>(P62/$R62*100*($E62/365))+(P64/$R64*100*($E64/365))</f>
        <v>0</v>
      </c>
      <c r="K115" s="392"/>
      <c r="L115" s="392">
        <f>(Q62/$R62*100*($E62/365))+(Q64/$R64*100*($E64/365))</f>
        <v>43.025281211716226</v>
      </c>
      <c r="M115" s="392"/>
      <c r="N115" s="363">
        <f t="shared" si="40"/>
        <v>74.520547945205479</v>
      </c>
      <c r="O115" s="363"/>
      <c r="R115" s="1">
        <v>2014</v>
      </c>
      <c r="S115" s="5">
        <f>(O62*($E62/365))+(O63*($E63/365))+(O64*($E64/365))</f>
        <v>15.638356164383563</v>
      </c>
      <c r="T115" s="5">
        <f>(P62*($E62/365))+(P63*($E63/365))+(P64*($E64/365))</f>
        <v>0</v>
      </c>
      <c r="U115" s="5">
        <f>(Q62*($E62/365))+(Q63*($E63/365))+(Q64*($E64/365))</f>
        <v>21.501369863013696</v>
      </c>
      <c r="W115" s="5">
        <f t="shared" ref="W115:W120" si="41">SUM(S115:U115)</f>
        <v>37.139726027397259</v>
      </c>
    </row>
    <row r="116" spans="1:23" x14ac:dyDescent="0.15">
      <c r="A116" s="1">
        <v>2015</v>
      </c>
      <c r="B116" s="5">
        <f>(K65*($E65/365))+(K66*($E66/365))</f>
        <v>94.808219178082197</v>
      </c>
      <c r="C116" s="5">
        <f>(L65*($E65/365))+(L66*($E66/365))</f>
        <v>0</v>
      </c>
      <c r="D116" s="5">
        <f>(M65*($E65/365))+(M66*($E66/365))</f>
        <v>5</v>
      </c>
      <c r="E116" s="17">
        <f t="shared" si="39"/>
        <v>99.808219178082197</v>
      </c>
      <c r="G116" s="1">
        <v>2015</v>
      </c>
      <c r="H116" s="392">
        <f>(O65/$R65*100*($E65/365))+(O66/$R66*100*($E66/365))</f>
        <v>90.650406504065046</v>
      </c>
      <c r="I116" s="392"/>
      <c r="J116" s="392">
        <f>(P65/$R65*100*($E65/365))+(P66/$R66*100*($E66/365))</f>
        <v>0</v>
      </c>
      <c r="K116" s="392"/>
      <c r="L116" s="392">
        <f>(Q65/$R65*100*($E65/365))+(Q66/$R66*100*($E66/365))</f>
        <v>9.3495934959349576</v>
      </c>
      <c r="M116" s="392"/>
      <c r="N116" s="363">
        <f t="shared" si="40"/>
        <v>100</v>
      </c>
      <c r="O116" s="363"/>
      <c r="R116" s="1">
        <v>2015</v>
      </c>
      <c r="S116" s="5">
        <f>(O65*($E65/365))+(O66*($E66/365))</f>
        <v>44.6</v>
      </c>
      <c r="T116" s="5">
        <f>(P65*($E65/365))+(P66*($E66/365))</f>
        <v>0</v>
      </c>
      <c r="U116" s="5">
        <f>(Q65*($E65/365))+(Q66*($E66/365))</f>
        <v>4.5999999999999996</v>
      </c>
      <c r="W116" s="5">
        <f t="shared" si="41"/>
        <v>49.2</v>
      </c>
    </row>
    <row r="117" spans="1:23" x14ac:dyDescent="0.15">
      <c r="A117" s="1">
        <v>2016</v>
      </c>
      <c r="B117" s="5">
        <f>(K67*($E67/366))+(K68*($E68/366))</f>
        <v>93.509411050394647</v>
      </c>
      <c r="C117" s="5">
        <f>(L67*($E67/366))+(L68*($E68/366))</f>
        <v>0</v>
      </c>
      <c r="D117" s="5">
        <f>(M67*($E67/366))+(M68*($E68/366))</f>
        <v>1.0519125683060109</v>
      </c>
      <c r="E117" s="17">
        <f t="shared" si="39"/>
        <v>94.561323618700655</v>
      </c>
      <c r="G117" s="1">
        <v>2016</v>
      </c>
      <c r="H117" s="392">
        <f>(O67/$R67*100*($E67/366))+(O68/$R68*100*($E68/366))</f>
        <v>90.650406504065046</v>
      </c>
      <c r="I117" s="392"/>
      <c r="J117" s="392">
        <f>(P67/$R67*100*($E67/366))+(P68/$R68*100*($E68/366))</f>
        <v>0</v>
      </c>
      <c r="K117" s="392"/>
      <c r="L117" s="392">
        <f>(Q67/$R67*100*($E67/366))+(Q68/$R68*100*($E68/366))</f>
        <v>9.3495934959349576</v>
      </c>
      <c r="M117" s="392"/>
      <c r="N117" s="363">
        <f t="shared" si="40"/>
        <v>100</v>
      </c>
      <c r="O117" s="363"/>
      <c r="R117" s="1">
        <v>2016</v>
      </c>
      <c r="S117" s="5">
        <f>(O67*($E67/366))+(O68*($E68/366))</f>
        <v>44.6</v>
      </c>
      <c r="T117" s="5">
        <f>(P67*($E67/366))+(P68*($E68/366))</f>
        <v>0</v>
      </c>
      <c r="U117" s="5">
        <f>(Q67*($E67/366))+(Q68*($E68/366))</f>
        <v>4.5999999999999996</v>
      </c>
      <c r="W117" s="5">
        <f t="shared" si="41"/>
        <v>49.2</v>
      </c>
    </row>
    <row r="118" spans="1:23" x14ac:dyDescent="0.15">
      <c r="A118" s="1">
        <v>2017</v>
      </c>
      <c r="B118" s="5">
        <f>(K69*($E69/365))+(K70*($E70/365))+(K71*($E71/365))</f>
        <v>73.028919330289199</v>
      </c>
      <c r="C118" s="5">
        <f>(L69*($E69/365))+(L70*($E70/365))+(L71*($E71/365))</f>
        <v>0</v>
      </c>
      <c r="D118" s="5">
        <f>(M69*($E69/365))+(M70*($E70/365))+(M71*($E71/365))</f>
        <v>1.3287671232876712</v>
      </c>
      <c r="E118" s="17">
        <f t="shared" si="39"/>
        <v>74.357686453576875</v>
      </c>
      <c r="G118" s="1">
        <v>2017</v>
      </c>
      <c r="H118" s="392">
        <f>(O69/$R69*100*($E69/365))+(O71/$R71*100*($E71/365))</f>
        <v>72.758659093440258</v>
      </c>
      <c r="I118" s="392"/>
      <c r="J118" s="392">
        <f>(P69/$R69*100*($E69/365))+(P71/$R71*100*($E71/365))</f>
        <v>0</v>
      </c>
      <c r="K118" s="392"/>
      <c r="L118" s="392">
        <f>(Q69/$R69*100*($E69/365))+(Q71/$R71*100*($E71/365))</f>
        <v>0.66599844080632575</v>
      </c>
      <c r="M118" s="392"/>
      <c r="N118" s="363">
        <f t="shared" si="40"/>
        <v>73.424657534246577</v>
      </c>
      <c r="O118" s="363"/>
      <c r="R118" s="1">
        <v>2017</v>
      </c>
      <c r="S118" s="5">
        <f>(O69*($E69/365))+(O70*($E70/365))+(O71*($E71/365))</f>
        <v>36.924383561643843</v>
      </c>
      <c r="T118" s="5">
        <f>(P69*($E69/365))+(P70*($E70/365))+(P71*($E71/365))</f>
        <v>0</v>
      </c>
      <c r="U118" s="5">
        <f>(Q69*($E69/365))+(Q70*($E70/365))+(Q71*($E71/365))</f>
        <v>0.32767123287671229</v>
      </c>
      <c r="W118" s="5">
        <f t="shared" si="41"/>
        <v>37.252054794520554</v>
      </c>
    </row>
    <row r="119" spans="1:23" x14ac:dyDescent="0.15">
      <c r="A119" s="1">
        <v>2018</v>
      </c>
      <c r="B119" s="5">
        <f>(K72*($E72/365))+(K73*($E73/365))</f>
        <v>100</v>
      </c>
      <c r="C119" s="5">
        <f>(L72*($E72/365))+(L73*($E73/365))</f>
        <v>0</v>
      </c>
      <c r="D119" s="5">
        <f>(M72*($E72/365))+(M73*($E73/365))</f>
        <v>0</v>
      </c>
      <c r="E119" s="17">
        <f t="shared" si="39"/>
        <v>100</v>
      </c>
      <c r="G119" s="1">
        <v>2018</v>
      </c>
      <c r="H119" s="392">
        <f>(O72/$R72*100*($E72/365))+(O73/$R73*100*($E73/365))</f>
        <v>100</v>
      </c>
      <c r="I119" s="392"/>
      <c r="J119" s="392">
        <f>(P72/$R72*100*($E72/365))+(P73/$R73*100*($E73/365))</f>
        <v>0</v>
      </c>
      <c r="K119" s="392"/>
      <c r="L119" s="392">
        <f>(Q72/$R72*100*($E72/365))+(Q73/$R73*100*($E73/365))</f>
        <v>0</v>
      </c>
      <c r="M119" s="392"/>
      <c r="N119" s="363">
        <f t="shared" si="40"/>
        <v>100</v>
      </c>
      <c r="O119" s="363"/>
      <c r="R119" s="1">
        <v>2018</v>
      </c>
      <c r="S119" s="5">
        <f>(O72*($E72/365))+(O73*($E73/365))</f>
        <v>50.9</v>
      </c>
      <c r="T119" s="5">
        <f>(P72*($E72/365))+(P73*($E73/365))</f>
        <v>0</v>
      </c>
      <c r="U119" s="5">
        <f>(Q72*($E72/365))+(Q73*($E73/365))</f>
        <v>0</v>
      </c>
      <c r="W119" s="5">
        <f t="shared" si="41"/>
        <v>50.9</v>
      </c>
    </row>
    <row r="120" spans="1:23" x14ac:dyDescent="0.15">
      <c r="A120" s="1">
        <v>2019</v>
      </c>
      <c r="B120" s="5">
        <f>(K74*($E74/365))+(K75*($E75/365))</f>
        <v>100</v>
      </c>
      <c r="C120" s="5">
        <f>(L74*($E74/365))+(L75*($E75/365))</f>
        <v>0</v>
      </c>
      <c r="D120" s="5">
        <f>(M74*($E74/365))+(M75*($E75/365))</f>
        <v>0</v>
      </c>
      <c r="E120" s="17">
        <f t="shared" ref="E120" si="42">SUM(B120:D120)</f>
        <v>100</v>
      </c>
      <c r="G120" s="1">
        <v>2019</v>
      </c>
      <c r="H120" s="392">
        <f>(O74/$R74*100*($E74/365))+(O75/$R75*100*($E75/365))</f>
        <v>100</v>
      </c>
      <c r="I120" s="392"/>
      <c r="J120" s="392">
        <f>(P74/$R74*100*($E74/365))+(P75/$R75*100*($E75/365))</f>
        <v>0</v>
      </c>
      <c r="K120" s="392"/>
      <c r="L120" s="392">
        <f>(Q74/$R74*100*($E74/365))+(Q75/$R75*100*($E75/365))</f>
        <v>0</v>
      </c>
      <c r="M120" s="392"/>
      <c r="N120" s="363">
        <f t="shared" ref="N120" si="43">SUM(H120:M120)</f>
        <v>100</v>
      </c>
      <c r="O120" s="363"/>
      <c r="R120" s="1">
        <v>2019</v>
      </c>
      <c r="S120" s="5">
        <f>(O74*($E74/365))+(O75*($E75/365))</f>
        <v>50.9</v>
      </c>
      <c r="T120" s="5">
        <f>(P74*($E74/365))+(P75*($E75/365))</f>
        <v>0</v>
      </c>
      <c r="U120" s="5">
        <f>(Q74*($E74/365))+(Q75*($E75/365))</f>
        <v>0</v>
      </c>
      <c r="W120" s="5">
        <f t="shared" si="41"/>
        <v>50.9</v>
      </c>
    </row>
    <row r="121" spans="1:23" x14ac:dyDescent="0.15">
      <c r="A121" s="1">
        <v>2020</v>
      </c>
      <c r="B121" s="5">
        <f>(K76*($E76/366))+(K77*($E77/366))</f>
        <v>90.628415300546436</v>
      </c>
      <c r="C121" s="5">
        <f>(L76*($E76/366))+(L77*($E77/366))</f>
        <v>0</v>
      </c>
      <c r="D121" s="5">
        <f>(M76*($E76/366))+(M77*($E77/366))</f>
        <v>0</v>
      </c>
      <c r="E121" s="17">
        <f>SUM(B121:D121)</f>
        <v>90.628415300546436</v>
      </c>
      <c r="G121" s="1">
        <v>2020</v>
      </c>
      <c r="H121" s="392">
        <f>(O76/$R76*100*($E76/366))+(O77/$R77*100*($E77/366))</f>
        <v>100</v>
      </c>
      <c r="I121" s="392"/>
      <c r="J121" s="392">
        <f>(P76/$R76*100*($E76/366))+(P77/$R77*100*($E77/366))</f>
        <v>0</v>
      </c>
      <c r="K121" s="392"/>
      <c r="L121" s="392">
        <f>(Q76/$R76*100*($E76/366))+(Q77/$R77*100*($E77/366))</f>
        <v>0</v>
      </c>
      <c r="M121" s="392"/>
      <c r="N121" s="363">
        <f t="shared" ref="N121" si="44">SUM(H121:M121)</f>
        <v>100</v>
      </c>
      <c r="O121" s="363"/>
      <c r="R121" s="1">
        <v>2020</v>
      </c>
      <c r="S121" s="5">
        <f>(O76*($E76/366))+(O77*($E77/366))</f>
        <v>50.899999999999991</v>
      </c>
      <c r="T121" s="5">
        <f>(P76*($E76/366))+(P77*($E77/366))</f>
        <v>0</v>
      </c>
      <c r="U121" s="5">
        <f>(Q76*($E76/366))+(Q77*($E77/366))</f>
        <v>0</v>
      </c>
      <c r="W121" s="5">
        <f>SUM(S121:U121)</f>
        <v>50.899999999999991</v>
      </c>
    </row>
    <row r="122" spans="1:23" x14ac:dyDescent="0.15">
      <c r="A122" s="1">
        <v>2021</v>
      </c>
      <c r="B122" s="5">
        <f>(K78*($E78/365))+(K79*($E79/365))+(K80*($E80/365))+(K81*($E81/365))</f>
        <v>36.8819308545336</v>
      </c>
      <c r="C122" s="5">
        <f>(L78*($E78/365))+(L79*($E79/365))+(L80*($E80/365))+(L81*($E81/365))</f>
        <v>3.2224396607958252</v>
      </c>
      <c r="D122" s="5">
        <f>(M78*($E78/365))+(M79*($E79/365))+(M80*($E80/365))+(M81*($E81/365))</f>
        <v>0.99151989562948473</v>
      </c>
      <c r="E122" s="17">
        <f>SUM(B122:D122)</f>
        <v>41.095890410958916</v>
      </c>
      <c r="G122" s="1">
        <v>2021</v>
      </c>
      <c r="H122" s="392">
        <f>(O78/$R78*100*($E78/365))+(O81/$R81*100*($E81/365))</f>
        <v>36.860607846025438</v>
      </c>
      <c r="I122" s="392"/>
      <c r="J122" s="392">
        <f>(P78/$R78*100*($E78/365))+(P81/$R81*100*($E81/365))</f>
        <v>3.2277704129228662</v>
      </c>
      <c r="K122" s="392"/>
      <c r="L122" s="392">
        <f>(Q78/$R78*100*($E78/365))+(Q81/$R81*100*($E81/365))</f>
        <v>1.0075121520106054</v>
      </c>
      <c r="M122" s="392"/>
      <c r="N122" s="363">
        <f>SUM(H122:M122)</f>
        <v>41.095890410958908</v>
      </c>
      <c r="O122" s="363"/>
      <c r="R122" s="1">
        <v>2021</v>
      </c>
      <c r="S122" s="5">
        <f>(O78*($E78/365))+(O79*($E79/365))+(O80*($E80/365))+(O81*($E81/365))</f>
        <v>17.589315068493153</v>
      </c>
      <c r="T122" s="5">
        <f>(P78*($E78/365))+(P79*($E79/365))+(P80*($E80/365))+(P81*($E81/365))</f>
        <v>1.8010958904109591</v>
      </c>
      <c r="U122" s="5">
        <f>(Q78*($E78/365))+(Q79*($E79/365))+(Q80*($E80/365))+(Q81*($E81/365))</f>
        <v>0.5621917808219179</v>
      </c>
      <c r="W122" s="5">
        <f>SUM(S122:U122)</f>
        <v>19.952602739726032</v>
      </c>
    </row>
    <row r="123" spans="1:23" x14ac:dyDescent="0.15">
      <c r="A123" s="1">
        <v>2022</v>
      </c>
      <c r="B123" s="5">
        <f>(K83*($E83/365))+(K82*($E82/365))</f>
        <v>11.167645140247881</v>
      </c>
      <c r="C123" s="5">
        <f>(L83*($E83/365))+(L82*($E82/365))</f>
        <v>36.294846705805611</v>
      </c>
      <c r="D123" s="5">
        <f>(M83*($E83/365))+(M82*($E82/365))</f>
        <v>11.167645140247881</v>
      </c>
      <c r="E123" s="17">
        <f>SUM(B123:D123)</f>
        <v>58.63013698630138</v>
      </c>
      <c r="G123" s="1">
        <v>2022</v>
      </c>
      <c r="H123" s="392">
        <f>(O82/$R82*100*($E82/365))</f>
        <v>10.927480728629646</v>
      </c>
      <c r="I123" s="392"/>
      <c r="J123" s="392">
        <f>(P82/$R82*100*($E82/365))</f>
        <v>36.354887808710174</v>
      </c>
      <c r="K123" s="392"/>
      <c r="L123" s="392">
        <f>(Q82/$R82*100*($E82/365))</f>
        <v>11.347768448961556</v>
      </c>
      <c r="M123" s="392"/>
      <c r="N123" s="363">
        <f>SUM(H123:M123)</f>
        <v>58.63013698630138</v>
      </c>
      <c r="O123" s="363"/>
      <c r="R123" s="1">
        <v>2022</v>
      </c>
      <c r="S123" s="5">
        <f>(O83*($E83/365))+(O82*($E82/365))</f>
        <v>6.0975342465753428</v>
      </c>
      <c r="T123" s="5">
        <f>(P83*($E83/365))+(P82*($E82/365))</f>
        <v>20.286027397260277</v>
      </c>
      <c r="U123" s="5">
        <f>(Q83*($E83/365))+(Q82*($E82/365))</f>
        <v>6.3320547945205483</v>
      </c>
      <c r="W123" s="5">
        <f>SUM(S123:U123)</f>
        <v>32.715616438356165</v>
      </c>
    </row>
  </sheetData>
  <mergeCells count="239">
    <mergeCell ref="H122:I122"/>
    <mergeCell ref="J122:K122"/>
    <mergeCell ref="L122:M122"/>
    <mergeCell ref="N122:O122"/>
    <mergeCell ref="N116:O116"/>
    <mergeCell ref="J108:K108"/>
    <mergeCell ref="J109:K109"/>
    <mergeCell ref="J115:K115"/>
    <mergeCell ref="L115:M115"/>
    <mergeCell ref="J117:K117"/>
    <mergeCell ref="L117:M117"/>
    <mergeCell ref="N117:O117"/>
    <mergeCell ref="H118:I118"/>
    <mergeCell ref="J118:K118"/>
    <mergeCell ref="L118:M118"/>
    <mergeCell ref="N118:O118"/>
    <mergeCell ref="L110:M110"/>
    <mergeCell ref="H109:I109"/>
    <mergeCell ref="J110:K110"/>
    <mergeCell ref="H121:I121"/>
    <mergeCell ref="J121:K121"/>
    <mergeCell ref="L121:M121"/>
    <mergeCell ref="N121:O121"/>
    <mergeCell ref="N108:O108"/>
    <mergeCell ref="AX4:BA4"/>
    <mergeCell ref="L95:M95"/>
    <mergeCell ref="L96:M96"/>
    <mergeCell ref="L99:M99"/>
    <mergeCell ref="L100:M100"/>
    <mergeCell ref="AH4:AK4"/>
    <mergeCell ref="AL4:AO4"/>
    <mergeCell ref="AP4:AS4"/>
    <mergeCell ref="L92:M92"/>
    <mergeCell ref="Z4:AC4"/>
    <mergeCell ref="AD4:AG4"/>
    <mergeCell ref="N97:O97"/>
    <mergeCell ref="L98:M98"/>
    <mergeCell ref="N98:O98"/>
    <mergeCell ref="N96:O96"/>
    <mergeCell ref="AT4:AW4"/>
    <mergeCell ref="N99:O99"/>
    <mergeCell ref="N100:O100"/>
    <mergeCell ref="V80:Y80"/>
    <mergeCell ref="V79:Y79"/>
    <mergeCell ref="G3:M3"/>
    <mergeCell ref="O3:Q3"/>
    <mergeCell ref="V4:Y4"/>
    <mergeCell ref="H91:I91"/>
    <mergeCell ref="T4:T5"/>
    <mergeCell ref="U4:U5"/>
    <mergeCell ref="N95:O95"/>
    <mergeCell ref="N91:O91"/>
    <mergeCell ref="N92:O92"/>
    <mergeCell ref="J91:K91"/>
    <mergeCell ref="L91:M91"/>
    <mergeCell ref="H94:I94"/>
    <mergeCell ref="R88:W88"/>
    <mergeCell ref="H90:I90"/>
    <mergeCell ref="J90:K90"/>
    <mergeCell ref="L90:M90"/>
    <mergeCell ref="N90:O90"/>
    <mergeCell ref="H92:I92"/>
    <mergeCell ref="J92:K92"/>
    <mergeCell ref="H95:I95"/>
    <mergeCell ref="J95:K95"/>
    <mergeCell ref="A4:A5"/>
    <mergeCell ref="B4:B5"/>
    <mergeCell ref="C4:D5"/>
    <mergeCell ref="E4:E5"/>
    <mergeCell ref="F4:F5"/>
    <mergeCell ref="C6:D6"/>
    <mergeCell ref="C8:D8"/>
    <mergeCell ref="C9:D9"/>
    <mergeCell ref="S4:S5"/>
    <mergeCell ref="K4:N4"/>
    <mergeCell ref="O4:R4"/>
    <mergeCell ref="C7:D7"/>
    <mergeCell ref="G4:J4"/>
    <mergeCell ref="C10:D10"/>
    <mergeCell ref="C11:D11"/>
    <mergeCell ref="C12:D12"/>
    <mergeCell ref="C13:D13"/>
    <mergeCell ref="C14:D14"/>
    <mergeCell ref="C15:D15"/>
    <mergeCell ref="C16:D16"/>
    <mergeCell ref="C17:D17"/>
    <mergeCell ref="C18:D18"/>
    <mergeCell ref="C19:D19"/>
    <mergeCell ref="C20:D20"/>
    <mergeCell ref="C21:D21"/>
    <mergeCell ref="C23:D23"/>
    <mergeCell ref="C24:D24"/>
    <mergeCell ref="C25:D25"/>
    <mergeCell ref="C26:D26"/>
    <mergeCell ref="C27:D27"/>
    <mergeCell ref="C28:D28"/>
    <mergeCell ref="C22:D22"/>
    <mergeCell ref="C29:D29"/>
    <mergeCell ref="C30:D30"/>
    <mergeCell ref="C31:D31"/>
    <mergeCell ref="C32:D32"/>
    <mergeCell ref="C33:D33"/>
    <mergeCell ref="C34:D34"/>
    <mergeCell ref="C35:D35"/>
    <mergeCell ref="C36:D36"/>
    <mergeCell ref="C37:D37"/>
    <mergeCell ref="C38:D38"/>
    <mergeCell ref="C40:D40"/>
    <mergeCell ref="C41:D41"/>
    <mergeCell ref="C48:D48"/>
    <mergeCell ref="C51:D51"/>
    <mergeCell ref="C52:D52"/>
    <mergeCell ref="C53:D53"/>
    <mergeCell ref="C54:D54"/>
    <mergeCell ref="C42:D42"/>
    <mergeCell ref="C43:D43"/>
    <mergeCell ref="C44:D44"/>
    <mergeCell ref="C45:D45"/>
    <mergeCell ref="C46:D46"/>
    <mergeCell ref="C39:D39"/>
    <mergeCell ref="C49:D49"/>
    <mergeCell ref="C50:D50"/>
    <mergeCell ref="C47:D47"/>
    <mergeCell ref="C55:D55"/>
    <mergeCell ref="C56:D56"/>
    <mergeCell ref="N112:O112"/>
    <mergeCell ref="H112:I112"/>
    <mergeCell ref="C57:D57"/>
    <mergeCell ref="C58:D58"/>
    <mergeCell ref="C59:D59"/>
    <mergeCell ref="N93:O93"/>
    <mergeCell ref="N94:O94"/>
    <mergeCell ref="C60:D60"/>
    <mergeCell ref="H93:I93"/>
    <mergeCell ref="J93:K93"/>
    <mergeCell ref="L93:M93"/>
    <mergeCell ref="C61:D61"/>
    <mergeCell ref="J94:K94"/>
    <mergeCell ref="L94:M94"/>
    <mergeCell ref="C65:D65"/>
    <mergeCell ref="C66:D66"/>
    <mergeCell ref="C67:D67"/>
    <mergeCell ref="H105:I105"/>
    <mergeCell ref="H106:I106"/>
    <mergeCell ref="H107:I107"/>
    <mergeCell ref="C77:D77"/>
    <mergeCell ref="L106:M106"/>
    <mergeCell ref="C62:D62"/>
    <mergeCell ref="C63:D63"/>
    <mergeCell ref="C64:D64"/>
    <mergeCell ref="N114:O114"/>
    <mergeCell ref="H114:I114"/>
    <mergeCell ref="H103:I103"/>
    <mergeCell ref="J97:K97"/>
    <mergeCell ref="L97:M97"/>
    <mergeCell ref="N106:O106"/>
    <mergeCell ref="N111:O111"/>
    <mergeCell ref="N107:O107"/>
    <mergeCell ref="H104:I104"/>
    <mergeCell ref="H96:I96"/>
    <mergeCell ref="C72:D72"/>
    <mergeCell ref="C73:D73"/>
    <mergeCell ref="N105:O105"/>
    <mergeCell ref="J104:K104"/>
    <mergeCell ref="L104:M104"/>
    <mergeCell ref="N103:O103"/>
    <mergeCell ref="N113:O113"/>
    <mergeCell ref="H97:I97"/>
    <mergeCell ref="J107:K107"/>
    <mergeCell ref="C68:D68"/>
    <mergeCell ref="H98:I98"/>
    <mergeCell ref="C69:D69"/>
    <mergeCell ref="C70:D70"/>
    <mergeCell ref="C71:D71"/>
    <mergeCell ref="J98:K98"/>
    <mergeCell ref="N104:O104"/>
    <mergeCell ref="C74:D74"/>
    <mergeCell ref="C75:D75"/>
    <mergeCell ref="L107:M107"/>
    <mergeCell ref="J96:K96"/>
    <mergeCell ref="J99:K99"/>
    <mergeCell ref="J100:K100"/>
    <mergeCell ref="J105:K105"/>
    <mergeCell ref="J106:K106"/>
    <mergeCell ref="H101:I101"/>
    <mergeCell ref="J101:K101"/>
    <mergeCell ref="L101:M101"/>
    <mergeCell ref="H102:I102"/>
    <mergeCell ref="J102:K102"/>
    <mergeCell ref="L102:M102"/>
    <mergeCell ref="C76:D76"/>
    <mergeCell ref="C79:D79"/>
    <mergeCell ref="C80:D80"/>
    <mergeCell ref="C81:D81"/>
    <mergeCell ref="C78:D78"/>
    <mergeCell ref="N101:O101"/>
    <mergeCell ref="N102:O102"/>
    <mergeCell ref="H115:I115"/>
    <mergeCell ref="J114:K114"/>
    <mergeCell ref="L108:M108"/>
    <mergeCell ref="L109:M109"/>
    <mergeCell ref="L105:M105"/>
    <mergeCell ref="J103:K103"/>
    <mergeCell ref="L103:M103"/>
    <mergeCell ref="H110:I110"/>
    <mergeCell ref="H108:I108"/>
    <mergeCell ref="L114:M114"/>
    <mergeCell ref="H113:I113"/>
    <mergeCell ref="J113:K113"/>
    <mergeCell ref="L113:M113"/>
    <mergeCell ref="H111:I111"/>
    <mergeCell ref="J111:K111"/>
    <mergeCell ref="L111:M111"/>
    <mergeCell ref="L112:M112"/>
    <mergeCell ref="J112:K112"/>
    <mergeCell ref="C82:D82"/>
    <mergeCell ref="C83:D83"/>
    <mergeCell ref="V83:Y83"/>
    <mergeCell ref="H123:I123"/>
    <mergeCell ref="J123:K123"/>
    <mergeCell ref="L123:M123"/>
    <mergeCell ref="N123:O123"/>
    <mergeCell ref="H119:I119"/>
    <mergeCell ref="J119:K119"/>
    <mergeCell ref="L119:M119"/>
    <mergeCell ref="H116:I116"/>
    <mergeCell ref="J116:K116"/>
    <mergeCell ref="L116:M116"/>
    <mergeCell ref="N119:O119"/>
    <mergeCell ref="N115:O115"/>
    <mergeCell ref="N120:O120"/>
    <mergeCell ref="H117:I117"/>
    <mergeCell ref="H120:I120"/>
    <mergeCell ref="J120:K120"/>
    <mergeCell ref="L120:M120"/>
    <mergeCell ref="H99:I99"/>
    <mergeCell ref="H100:I100"/>
    <mergeCell ref="N109:O109"/>
    <mergeCell ref="N110:O110"/>
  </mergeCells>
  <phoneticPr fontId="25" type="noConversion"/>
  <pageMargins left="0.78740157480314965" right="0.78740157480314965" top="0.98425196850393704" bottom="0.98425196850393704" header="0.51181102362204722" footer="0.51181102362204722"/>
  <pageSetup paperSize="9" scale="105" orientation="landscape" r:id="rId1"/>
  <headerFooter alignWithMargins="0"/>
  <ignoredErrors>
    <ignoredError sqref="N94:N95" formulaRange="1"/>
  </ignoredError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A205"/>
  <sheetViews>
    <sheetView zoomScale="105" zoomScaleNormal="144" workbookViewId="0">
      <pane xSplit="1" ySplit="5" topLeftCell="B119"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50</v>
      </c>
    </row>
    <row r="3" spans="1:53" x14ac:dyDescent="0.15">
      <c r="G3" s="397"/>
      <c r="H3" s="397"/>
      <c r="I3" s="397"/>
      <c r="J3" s="397"/>
      <c r="K3" s="397"/>
      <c r="L3" s="397"/>
      <c r="M3" s="397"/>
      <c r="O3" s="397"/>
      <c r="P3" s="397"/>
      <c r="Q3" s="397"/>
      <c r="R3" s="4"/>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139" customFormat="1" x14ac:dyDescent="0.15">
      <c r="A6" s="145">
        <v>1959</v>
      </c>
      <c r="B6" s="137"/>
      <c r="C6" s="382" t="s">
        <v>228</v>
      </c>
      <c r="D6" s="382"/>
      <c r="E6" s="139">
        <v>0</v>
      </c>
      <c r="G6" s="147">
        <v>21</v>
      </c>
      <c r="J6" s="153">
        <v>21</v>
      </c>
      <c r="K6" s="133">
        <f>G6/J6*100</f>
        <v>100</v>
      </c>
      <c r="L6" s="133">
        <f>H6/J6*100</f>
        <v>0</v>
      </c>
      <c r="M6" s="133">
        <f>I6/J6*100</f>
        <v>0</v>
      </c>
      <c r="N6" s="149">
        <f>SUM(K6:M6)</f>
        <v>100</v>
      </c>
      <c r="O6" s="132">
        <v>78.5</v>
      </c>
      <c r="P6" s="133"/>
      <c r="Q6" s="133"/>
      <c r="R6" s="134">
        <f>SUM(O6:Q6)</f>
        <v>78.5</v>
      </c>
      <c r="S6" s="139">
        <v>1</v>
      </c>
      <c r="T6" s="136"/>
      <c r="U6" s="137"/>
      <c r="V6" s="138" t="s">
        <v>100</v>
      </c>
      <c r="W6" s="139" t="s">
        <v>74</v>
      </c>
      <c r="X6" s="139" t="s">
        <v>11</v>
      </c>
      <c r="Y6" s="140">
        <v>78.5</v>
      </c>
      <c r="AD6" s="138"/>
      <c r="AG6" s="140"/>
      <c r="AL6" s="138"/>
      <c r="AO6" s="140"/>
      <c r="AP6" s="138"/>
      <c r="AS6" s="140"/>
      <c r="AW6" s="140"/>
      <c r="BA6" s="141"/>
    </row>
    <row r="7" spans="1:53" s="139" customFormat="1" x14ac:dyDescent="0.15">
      <c r="A7" s="145">
        <v>1959</v>
      </c>
      <c r="B7" s="137"/>
      <c r="C7" s="382" t="s">
        <v>228</v>
      </c>
      <c r="D7" s="382"/>
      <c r="E7" s="139">
        <v>365</v>
      </c>
      <c r="G7" s="147">
        <v>21</v>
      </c>
      <c r="J7" s="153">
        <v>21</v>
      </c>
      <c r="K7" s="133">
        <f>G7/J7*100</f>
        <v>100</v>
      </c>
      <c r="L7" s="133">
        <f>H7/J7*100</f>
        <v>0</v>
      </c>
      <c r="M7" s="133">
        <f>I7/J7*100</f>
        <v>0</v>
      </c>
      <c r="N7" s="149">
        <f>SUM(K7:M7)</f>
        <v>100</v>
      </c>
      <c r="O7" s="132">
        <v>78.5</v>
      </c>
      <c r="P7" s="133"/>
      <c r="Q7" s="133"/>
      <c r="R7" s="134">
        <f>SUM(O7:Q7)</f>
        <v>78.5</v>
      </c>
      <c r="S7" s="139">
        <v>1</v>
      </c>
      <c r="T7" s="136"/>
      <c r="U7" s="137"/>
      <c r="V7" s="138" t="s">
        <v>100</v>
      </c>
      <c r="W7" s="139" t="s">
        <v>74</v>
      </c>
      <c r="X7" s="139" t="s">
        <v>11</v>
      </c>
      <c r="Y7" s="140">
        <v>78.5</v>
      </c>
      <c r="AD7" s="138"/>
      <c r="AG7" s="140"/>
      <c r="AL7" s="138"/>
      <c r="AO7" s="140"/>
      <c r="AP7" s="138"/>
      <c r="AS7" s="140"/>
      <c r="AW7" s="140"/>
      <c r="BA7" s="141"/>
    </row>
    <row r="8" spans="1:53" s="28" customFormat="1" x14ac:dyDescent="0.15">
      <c r="A8" s="51">
        <v>1960</v>
      </c>
      <c r="B8" s="40"/>
      <c r="C8" s="370" t="s">
        <v>228</v>
      </c>
      <c r="D8" s="370"/>
      <c r="E8" s="28">
        <v>0</v>
      </c>
      <c r="G8" s="65">
        <v>21</v>
      </c>
      <c r="J8" s="72">
        <v>21</v>
      </c>
      <c r="K8" s="46">
        <f>G8/J8*100</f>
        <v>100</v>
      </c>
      <c r="L8" s="46">
        <f>H8/J8*100</f>
        <v>0</v>
      </c>
      <c r="M8" s="46">
        <f>I8/J8*100</f>
        <v>0</v>
      </c>
      <c r="N8" s="67">
        <f>SUM(K8:M8)</f>
        <v>100</v>
      </c>
      <c r="O8" s="45">
        <v>78.5</v>
      </c>
      <c r="P8" s="46"/>
      <c r="Q8" s="46"/>
      <c r="R8" s="47">
        <f>SUM(O8:Q8)</f>
        <v>78.5</v>
      </c>
      <c r="S8" s="28">
        <v>1</v>
      </c>
      <c r="T8" s="49"/>
      <c r="U8" s="40"/>
      <c r="V8" s="37" t="s">
        <v>100</v>
      </c>
      <c r="W8" s="28" t="s">
        <v>74</v>
      </c>
      <c r="X8" s="28" t="s">
        <v>11</v>
      </c>
      <c r="Y8" s="38">
        <v>78.5</v>
      </c>
      <c r="AD8" s="37"/>
      <c r="AG8" s="38"/>
      <c r="AL8" s="37"/>
      <c r="AO8" s="38"/>
      <c r="AP8" s="37"/>
      <c r="AS8" s="38"/>
      <c r="AW8" s="38"/>
      <c r="BA8" s="39"/>
    </row>
    <row r="9" spans="1:53" s="28" customFormat="1" x14ac:dyDescent="0.15">
      <c r="A9" s="51">
        <v>1960</v>
      </c>
      <c r="B9" s="40"/>
      <c r="C9" s="370" t="s">
        <v>228</v>
      </c>
      <c r="D9" s="370"/>
      <c r="E9" s="28">
        <v>366</v>
      </c>
      <c r="G9" s="65">
        <v>21</v>
      </c>
      <c r="J9" s="72">
        <v>21</v>
      </c>
      <c r="K9" s="46">
        <f t="shared" ref="K9:K14" si="0">G9/J9*100</f>
        <v>100</v>
      </c>
      <c r="L9" s="46">
        <f t="shared" ref="L9:L14" si="1">H9/J9*100</f>
        <v>0</v>
      </c>
      <c r="M9" s="46">
        <f t="shared" ref="M9:M14" si="2">I9/J9*100</f>
        <v>0</v>
      </c>
      <c r="N9" s="67">
        <f t="shared" ref="N9:N72" si="3">SUM(K9:M9)</f>
        <v>100</v>
      </c>
      <c r="O9" s="45">
        <v>78.5</v>
      </c>
      <c r="P9" s="46"/>
      <c r="Q9" s="46"/>
      <c r="R9" s="47">
        <f t="shared" ref="R9:R72" si="4">SUM(O9:Q9)</f>
        <v>78.5</v>
      </c>
      <c r="S9" s="28">
        <v>1</v>
      </c>
      <c r="T9" s="49"/>
      <c r="U9" s="40"/>
      <c r="V9" s="37" t="s">
        <v>100</v>
      </c>
      <c r="W9" s="28" t="s">
        <v>74</v>
      </c>
      <c r="X9" s="28" t="s">
        <v>11</v>
      </c>
      <c r="Y9" s="38">
        <v>78.5</v>
      </c>
      <c r="AD9" s="37"/>
      <c r="AG9" s="38"/>
      <c r="AL9" s="37"/>
      <c r="AO9" s="38"/>
      <c r="AP9" s="37"/>
      <c r="AS9" s="38"/>
      <c r="AW9" s="38"/>
      <c r="BA9" s="39"/>
    </row>
    <row r="10" spans="1:53" s="28" customFormat="1" x14ac:dyDescent="0.15">
      <c r="A10" s="51">
        <v>1961</v>
      </c>
      <c r="B10" s="40"/>
      <c r="C10" s="370" t="s">
        <v>228</v>
      </c>
      <c r="D10" s="370"/>
      <c r="E10" s="28">
        <v>0</v>
      </c>
      <c r="G10" s="65">
        <v>21</v>
      </c>
      <c r="J10" s="72">
        <v>21</v>
      </c>
      <c r="K10" s="46">
        <f t="shared" si="0"/>
        <v>100</v>
      </c>
      <c r="L10" s="46">
        <f t="shared" si="1"/>
        <v>0</v>
      </c>
      <c r="M10" s="46">
        <f t="shared" si="2"/>
        <v>0</v>
      </c>
      <c r="N10" s="67">
        <f t="shared" si="3"/>
        <v>100</v>
      </c>
      <c r="O10" s="45">
        <v>78.5</v>
      </c>
      <c r="P10" s="46"/>
      <c r="Q10" s="46"/>
      <c r="R10" s="47">
        <f t="shared" si="4"/>
        <v>78.5</v>
      </c>
      <c r="S10" s="28">
        <v>1</v>
      </c>
      <c r="T10" s="49"/>
      <c r="U10" s="40"/>
      <c r="V10" s="37" t="s">
        <v>100</v>
      </c>
      <c r="W10" s="28" t="s">
        <v>74</v>
      </c>
      <c r="X10" s="28" t="s">
        <v>11</v>
      </c>
      <c r="Y10" s="38">
        <v>78.5</v>
      </c>
      <c r="AD10" s="37"/>
      <c r="AG10" s="38"/>
      <c r="AL10" s="37"/>
      <c r="AO10" s="38"/>
      <c r="AP10" s="37"/>
      <c r="AS10" s="38"/>
      <c r="AW10" s="38"/>
      <c r="BA10" s="39"/>
    </row>
    <row r="11" spans="1:53" s="28" customFormat="1" x14ac:dyDescent="0.15">
      <c r="A11" s="51">
        <v>1961</v>
      </c>
      <c r="B11" s="40"/>
      <c r="C11" s="370" t="s">
        <v>228</v>
      </c>
      <c r="D11" s="370"/>
      <c r="E11" s="28">
        <f>365-E10</f>
        <v>365</v>
      </c>
      <c r="G11" s="65">
        <v>21</v>
      </c>
      <c r="J11" s="72">
        <v>21</v>
      </c>
      <c r="K11" s="46">
        <f t="shared" si="0"/>
        <v>100</v>
      </c>
      <c r="L11" s="46">
        <f t="shared" si="1"/>
        <v>0</v>
      </c>
      <c r="M11" s="46">
        <f t="shared" si="2"/>
        <v>0</v>
      </c>
      <c r="N11" s="67">
        <f t="shared" si="3"/>
        <v>100</v>
      </c>
      <c r="O11" s="45">
        <v>78.5</v>
      </c>
      <c r="P11" s="46"/>
      <c r="Q11" s="46"/>
      <c r="R11" s="47">
        <f t="shared" si="4"/>
        <v>78.5</v>
      </c>
      <c r="S11" s="28">
        <v>1</v>
      </c>
      <c r="T11" s="49"/>
      <c r="U11" s="40"/>
      <c r="V11" s="37" t="s">
        <v>100</v>
      </c>
      <c r="W11" s="28" t="s">
        <v>74</v>
      </c>
      <c r="X11" s="28" t="s">
        <v>11</v>
      </c>
      <c r="Y11" s="38">
        <v>78.5</v>
      </c>
      <c r="AD11" s="37"/>
      <c r="AG11" s="38"/>
      <c r="AL11" s="37"/>
      <c r="AO11" s="38"/>
      <c r="AP11" s="37"/>
      <c r="AS11" s="38"/>
      <c r="AW11" s="38"/>
      <c r="BA11" s="39"/>
    </row>
    <row r="12" spans="1:53" s="28" customFormat="1" x14ac:dyDescent="0.15">
      <c r="A12" s="51">
        <v>1962</v>
      </c>
      <c r="B12" s="40"/>
      <c r="C12" s="370" t="s">
        <v>228</v>
      </c>
      <c r="D12" s="370"/>
      <c r="E12" s="28">
        <v>220</v>
      </c>
      <c r="G12" s="65">
        <v>21</v>
      </c>
      <c r="J12" s="72">
        <v>21</v>
      </c>
      <c r="K12" s="46">
        <f t="shared" si="0"/>
        <v>100</v>
      </c>
      <c r="L12" s="46">
        <f t="shared" si="1"/>
        <v>0</v>
      </c>
      <c r="M12" s="46">
        <f t="shared" si="2"/>
        <v>0</v>
      </c>
      <c r="N12" s="67">
        <f t="shared" si="3"/>
        <v>100</v>
      </c>
      <c r="O12" s="45">
        <v>78.5</v>
      </c>
      <c r="P12" s="46"/>
      <c r="Q12" s="46"/>
      <c r="R12" s="47">
        <f t="shared" si="4"/>
        <v>78.5</v>
      </c>
      <c r="S12" s="28">
        <v>1</v>
      </c>
      <c r="T12" s="49"/>
      <c r="U12" s="40"/>
      <c r="V12" s="37" t="s">
        <v>100</v>
      </c>
      <c r="W12" s="28" t="s">
        <v>74</v>
      </c>
      <c r="X12" s="28" t="s">
        <v>11</v>
      </c>
      <c r="Y12" s="38">
        <v>78.5</v>
      </c>
      <c r="AD12" s="37"/>
      <c r="AG12" s="38"/>
      <c r="AL12" s="37"/>
      <c r="AO12" s="38"/>
      <c r="AP12" s="37"/>
      <c r="AS12" s="38"/>
      <c r="AW12" s="38"/>
      <c r="BA12" s="39"/>
    </row>
    <row r="13" spans="1:53" s="170" customFormat="1" x14ac:dyDescent="0.15">
      <c r="A13" s="215">
        <v>1962</v>
      </c>
      <c r="B13" s="281">
        <v>22867</v>
      </c>
      <c r="C13" s="369" t="s">
        <v>227</v>
      </c>
      <c r="D13" s="369"/>
      <c r="E13" s="170">
        <f>365-E12</f>
        <v>145</v>
      </c>
      <c r="F13" s="170">
        <v>1</v>
      </c>
      <c r="G13" s="232">
        <v>20</v>
      </c>
      <c r="J13" s="240">
        <v>20</v>
      </c>
      <c r="K13" s="213">
        <f t="shared" si="0"/>
        <v>100</v>
      </c>
      <c r="L13" s="213">
        <f t="shared" si="1"/>
        <v>0</v>
      </c>
      <c r="M13" s="213">
        <f t="shared" si="2"/>
        <v>0</v>
      </c>
      <c r="N13" s="234">
        <f t="shared" si="3"/>
        <v>100</v>
      </c>
      <c r="O13" s="212">
        <v>43.8</v>
      </c>
      <c r="P13" s="213"/>
      <c r="Q13" s="213"/>
      <c r="R13" s="214">
        <f t="shared" si="4"/>
        <v>43.8</v>
      </c>
      <c r="S13" s="170">
        <v>4</v>
      </c>
      <c r="T13" s="283">
        <v>22815</v>
      </c>
      <c r="U13" s="281">
        <v>22867</v>
      </c>
      <c r="V13" s="177" t="s">
        <v>100</v>
      </c>
      <c r="W13" s="170" t="s">
        <v>74</v>
      </c>
      <c r="X13" s="170" t="s">
        <v>11</v>
      </c>
      <c r="Y13" s="178">
        <v>43.8</v>
      </c>
      <c r="AD13" s="177"/>
      <c r="AG13" s="178"/>
      <c r="AL13" s="177"/>
      <c r="AO13" s="178"/>
      <c r="AP13" s="177"/>
      <c r="AS13" s="178"/>
      <c r="AW13" s="178"/>
      <c r="BA13" s="179"/>
    </row>
    <row r="14" spans="1:53" s="170" customFormat="1" x14ac:dyDescent="0.15">
      <c r="A14" s="215">
        <v>1963</v>
      </c>
      <c r="B14" s="281"/>
      <c r="C14" s="369" t="s">
        <v>227</v>
      </c>
      <c r="D14" s="369"/>
      <c r="E14" s="170">
        <v>111</v>
      </c>
      <c r="G14" s="232">
        <v>20</v>
      </c>
      <c r="J14" s="240">
        <v>20</v>
      </c>
      <c r="K14" s="213">
        <f t="shared" si="0"/>
        <v>100</v>
      </c>
      <c r="L14" s="213">
        <f t="shared" si="1"/>
        <v>0</v>
      </c>
      <c r="M14" s="213">
        <f t="shared" si="2"/>
        <v>0</v>
      </c>
      <c r="N14" s="234">
        <f t="shared" si="3"/>
        <v>100</v>
      </c>
      <c r="O14" s="212">
        <v>43.8</v>
      </c>
      <c r="P14" s="213"/>
      <c r="Q14" s="213"/>
      <c r="R14" s="214">
        <f t="shared" si="4"/>
        <v>43.8</v>
      </c>
      <c r="S14" s="170">
        <v>4</v>
      </c>
      <c r="T14" s="283"/>
      <c r="U14" s="281"/>
      <c r="V14" s="177" t="s">
        <v>100</v>
      </c>
      <c r="W14" s="170" t="s">
        <v>74</v>
      </c>
      <c r="X14" s="170" t="s">
        <v>11</v>
      </c>
      <c r="Y14" s="178">
        <v>43.8</v>
      </c>
      <c r="AD14" s="177"/>
      <c r="AG14" s="178"/>
      <c r="AL14" s="177"/>
      <c r="AO14" s="178"/>
      <c r="AP14" s="177"/>
      <c r="AS14" s="178"/>
      <c r="AW14" s="178"/>
      <c r="BA14" s="179"/>
    </row>
    <row r="15" spans="1:53" s="28" customFormat="1" x14ac:dyDescent="0.15">
      <c r="A15" s="51">
        <v>1963</v>
      </c>
      <c r="B15" s="293">
        <v>23123</v>
      </c>
      <c r="C15" s="370" t="s">
        <v>229</v>
      </c>
      <c r="D15" s="370"/>
      <c r="E15" s="28">
        <v>254</v>
      </c>
      <c r="F15" s="28">
        <v>5</v>
      </c>
      <c r="G15" s="65"/>
      <c r="H15" s="28">
        <v>24</v>
      </c>
      <c r="J15" s="72">
        <v>24</v>
      </c>
      <c r="K15" s="46">
        <f>G15/J15*100</f>
        <v>0</v>
      </c>
      <c r="L15" s="46">
        <f>H15/J15*100</f>
        <v>100</v>
      </c>
      <c r="M15" s="46">
        <f>I15/J15*100</f>
        <v>0</v>
      </c>
      <c r="N15" s="67">
        <f t="shared" si="3"/>
        <v>100</v>
      </c>
      <c r="O15" s="45"/>
      <c r="P15" s="46">
        <v>48.7</v>
      </c>
      <c r="Q15" s="46"/>
      <c r="R15" s="47">
        <f t="shared" si="4"/>
        <v>48.7</v>
      </c>
      <c r="S15" s="28">
        <v>4</v>
      </c>
      <c r="T15" s="284">
        <v>23109</v>
      </c>
      <c r="U15" s="293">
        <v>23123</v>
      </c>
      <c r="V15" s="37" t="s">
        <v>72</v>
      </c>
      <c r="W15" s="28" t="s">
        <v>22</v>
      </c>
      <c r="X15" s="28" t="s">
        <v>18</v>
      </c>
      <c r="Y15" s="38">
        <v>48.7</v>
      </c>
      <c r="AD15" s="37"/>
      <c r="AG15" s="38"/>
      <c r="AL15" s="37"/>
      <c r="AO15" s="38"/>
      <c r="AP15" s="37"/>
      <c r="AS15" s="38"/>
      <c r="AW15" s="38"/>
      <c r="BA15" s="39"/>
    </row>
    <row r="16" spans="1:53" s="28" customFormat="1" x14ac:dyDescent="0.15">
      <c r="A16" s="51">
        <v>1964</v>
      </c>
      <c r="B16" s="293"/>
      <c r="C16" s="370" t="s">
        <v>229</v>
      </c>
      <c r="D16" s="370"/>
      <c r="E16" s="28">
        <v>0</v>
      </c>
      <c r="G16" s="65"/>
      <c r="H16" s="28">
        <v>24</v>
      </c>
      <c r="J16" s="72">
        <v>24</v>
      </c>
      <c r="K16" s="46">
        <f t="shared" ref="K16:K21" si="5">G16/J16*100</f>
        <v>0</v>
      </c>
      <c r="L16" s="46">
        <f t="shared" ref="L16:L21" si="6">H16/J16*100</f>
        <v>100</v>
      </c>
      <c r="M16" s="46">
        <f t="shared" ref="M16:M21" si="7">I16/J16*100</f>
        <v>0</v>
      </c>
      <c r="N16" s="67">
        <f t="shared" si="3"/>
        <v>100</v>
      </c>
      <c r="O16" s="45"/>
      <c r="P16" s="46">
        <v>48.7</v>
      </c>
      <c r="Q16" s="46"/>
      <c r="R16" s="47">
        <f t="shared" si="4"/>
        <v>48.7</v>
      </c>
      <c r="S16" s="28">
        <v>4</v>
      </c>
      <c r="T16" s="284"/>
      <c r="U16" s="293"/>
      <c r="V16" s="37" t="s">
        <v>72</v>
      </c>
      <c r="W16" s="28" t="s">
        <v>22</v>
      </c>
      <c r="X16" s="28" t="s">
        <v>18</v>
      </c>
      <c r="Y16" s="38">
        <v>48.7</v>
      </c>
      <c r="AD16" s="37"/>
      <c r="AG16" s="38"/>
      <c r="AL16" s="37"/>
      <c r="AO16" s="38"/>
      <c r="AP16" s="37"/>
      <c r="AS16" s="38"/>
      <c r="AW16" s="38"/>
      <c r="BA16" s="39"/>
    </row>
    <row r="17" spans="1:53" s="28" customFormat="1" x14ac:dyDescent="0.15">
      <c r="A17" s="51">
        <v>1964</v>
      </c>
      <c r="B17" s="293"/>
      <c r="C17" s="370" t="s">
        <v>229</v>
      </c>
      <c r="D17" s="370"/>
      <c r="E17" s="28">
        <v>366</v>
      </c>
      <c r="G17" s="65"/>
      <c r="H17" s="28">
        <v>24</v>
      </c>
      <c r="J17" s="72">
        <v>24</v>
      </c>
      <c r="K17" s="46">
        <f t="shared" si="5"/>
        <v>0</v>
      </c>
      <c r="L17" s="46">
        <f t="shared" si="6"/>
        <v>100</v>
      </c>
      <c r="M17" s="46">
        <f t="shared" si="7"/>
        <v>0</v>
      </c>
      <c r="N17" s="67">
        <f t="shared" si="3"/>
        <v>100</v>
      </c>
      <c r="O17" s="45"/>
      <c r="P17" s="46">
        <v>48.7</v>
      </c>
      <c r="Q17" s="46"/>
      <c r="R17" s="47">
        <f t="shared" si="4"/>
        <v>48.7</v>
      </c>
      <c r="S17" s="28">
        <v>4</v>
      </c>
      <c r="T17" s="284"/>
      <c r="U17" s="293"/>
      <c r="V17" s="37" t="s">
        <v>72</v>
      </c>
      <c r="W17" s="28" t="s">
        <v>22</v>
      </c>
      <c r="X17" s="28" t="s">
        <v>18</v>
      </c>
      <c r="Y17" s="38">
        <v>48.7</v>
      </c>
      <c r="AD17" s="37"/>
      <c r="AG17" s="38"/>
      <c r="AL17" s="37"/>
      <c r="AO17" s="38"/>
      <c r="AP17" s="37"/>
      <c r="AS17" s="38"/>
      <c r="AW17" s="38"/>
      <c r="BA17" s="39"/>
    </row>
    <row r="18" spans="1:53" s="28" customFormat="1" x14ac:dyDescent="0.15">
      <c r="A18" s="51">
        <v>1965</v>
      </c>
      <c r="B18" s="293"/>
      <c r="C18" s="370" t="s">
        <v>229</v>
      </c>
      <c r="D18" s="370"/>
      <c r="E18" s="28">
        <v>351</v>
      </c>
      <c r="G18" s="65"/>
      <c r="H18" s="28">
        <v>24</v>
      </c>
      <c r="J18" s="72">
        <v>24</v>
      </c>
      <c r="K18" s="46">
        <f t="shared" si="5"/>
        <v>0</v>
      </c>
      <c r="L18" s="46">
        <f t="shared" si="6"/>
        <v>100</v>
      </c>
      <c r="M18" s="46">
        <f t="shared" si="7"/>
        <v>0</v>
      </c>
      <c r="N18" s="67">
        <f t="shared" si="3"/>
        <v>100</v>
      </c>
      <c r="O18" s="45"/>
      <c r="P18" s="46">
        <v>48.7</v>
      </c>
      <c r="Q18" s="46"/>
      <c r="R18" s="47">
        <f t="shared" si="4"/>
        <v>48.7</v>
      </c>
      <c r="S18" s="28">
        <v>4</v>
      </c>
      <c r="T18" s="284"/>
      <c r="U18" s="293"/>
      <c r="V18" s="37" t="s">
        <v>72</v>
      </c>
      <c r="W18" s="28" t="s">
        <v>22</v>
      </c>
      <c r="X18" s="28" t="s">
        <v>18</v>
      </c>
      <c r="Y18" s="38">
        <v>48.7</v>
      </c>
      <c r="AD18" s="37"/>
      <c r="AG18" s="38"/>
      <c r="AL18" s="37"/>
      <c r="AO18" s="38"/>
      <c r="AP18" s="37"/>
      <c r="AS18" s="38"/>
      <c r="AW18" s="38"/>
      <c r="BA18" s="39"/>
    </row>
    <row r="19" spans="1:53" s="170" customFormat="1" x14ac:dyDescent="0.15">
      <c r="A19" s="215">
        <v>1965</v>
      </c>
      <c r="B19" s="281">
        <v>24094</v>
      </c>
      <c r="C19" s="369" t="s">
        <v>230</v>
      </c>
      <c r="D19" s="369"/>
      <c r="E19" s="170">
        <v>14</v>
      </c>
      <c r="F19" s="170">
        <v>1</v>
      </c>
      <c r="G19" s="232"/>
      <c r="H19" s="170">
        <v>23</v>
      </c>
      <c r="J19" s="240">
        <v>23</v>
      </c>
      <c r="K19" s="213">
        <f t="shared" si="5"/>
        <v>0</v>
      </c>
      <c r="L19" s="213">
        <f t="shared" si="6"/>
        <v>100</v>
      </c>
      <c r="M19" s="213">
        <f t="shared" si="7"/>
        <v>0</v>
      </c>
      <c r="N19" s="234">
        <f t="shared" si="3"/>
        <v>100</v>
      </c>
      <c r="O19" s="212"/>
      <c r="P19" s="213">
        <v>49.4</v>
      </c>
      <c r="Q19" s="213"/>
      <c r="R19" s="214">
        <f t="shared" si="4"/>
        <v>49.4</v>
      </c>
      <c r="S19" s="170">
        <v>4</v>
      </c>
      <c r="T19" s="283">
        <v>24054</v>
      </c>
      <c r="U19" s="281">
        <v>24094</v>
      </c>
      <c r="V19" s="177" t="s">
        <v>72</v>
      </c>
      <c r="W19" s="170" t="s">
        <v>22</v>
      </c>
      <c r="X19" s="170" t="s">
        <v>18</v>
      </c>
      <c r="Y19" s="178">
        <v>49.4</v>
      </c>
      <c r="AD19" s="177"/>
      <c r="AG19" s="178"/>
      <c r="AL19" s="177"/>
      <c r="AO19" s="178"/>
      <c r="AP19" s="177"/>
      <c r="AS19" s="178"/>
      <c r="AW19" s="178"/>
      <c r="BA19" s="179"/>
    </row>
    <row r="20" spans="1:53" s="170" customFormat="1" x14ac:dyDescent="0.15">
      <c r="A20" s="215">
        <v>1966</v>
      </c>
      <c r="B20" s="281"/>
      <c r="C20" s="369" t="s">
        <v>230</v>
      </c>
      <c r="D20" s="369"/>
      <c r="E20" s="170">
        <v>0</v>
      </c>
      <c r="G20" s="232"/>
      <c r="H20" s="170">
        <v>23</v>
      </c>
      <c r="J20" s="240">
        <v>23</v>
      </c>
      <c r="K20" s="213">
        <f t="shared" si="5"/>
        <v>0</v>
      </c>
      <c r="L20" s="213">
        <f t="shared" si="6"/>
        <v>100</v>
      </c>
      <c r="M20" s="213">
        <f t="shared" si="7"/>
        <v>0</v>
      </c>
      <c r="N20" s="234">
        <f t="shared" si="3"/>
        <v>100</v>
      </c>
      <c r="O20" s="212"/>
      <c r="P20" s="213">
        <v>49.4</v>
      </c>
      <c r="Q20" s="213"/>
      <c r="R20" s="214">
        <f t="shared" si="4"/>
        <v>49.4</v>
      </c>
      <c r="S20" s="170">
        <v>4</v>
      </c>
      <c r="T20" s="283"/>
      <c r="U20" s="281"/>
      <c r="V20" s="177" t="s">
        <v>72</v>
      </c>
      <c r="W20" s="170" t="s">
        <v>22</v>
      </c>
      <c r="X20" s="170" t="s">
        <v>18</v>
      </c>
      <c r="Y20" s="178">
        <v>49.4</v>
      </c>
      <c r="AD20" s="177"/>
      <c r="AG20" s="178"/>
      <c r="AL20" s="177"/>
      <c r="AO20" s="178"/>
      <c r="AP20" s="177"/>
      <c r="AS20" s="178"/>
      <c r="AW20" s="178"/>
      <c r="BA20" s="179"/>
    </row>
    <row r="21" spans="1:53" s="170" customFormat="1" x14ac:dyDescent="0.15">
      <c r="A21" s="215">
        <v>1966</v>
      </c>
      <c r="B21" s="281"/>
      <c r="C21" s="369" t="s">
        <v>230</v>
      </c>
      <c r="D21" s="369"/>
      <c r="E21" s="170">
        <v>365</v>
      </c>
      <c r="G21" s="232"/>
      <c r="H21" s="170">
        <v>23</v>
      </c>
      <c r="J21" s="240">
        <v>23</v>
      </c>
      <c r="K21" s="213">
        <f t="shared" si="5"/>
        <v>0</v>
      </c>
      <c r="L21" s="213">
        <f t="shared" si="6"/>
        <v>100</v>
      </c>
      <c r="M21" s="213">
        <f t="shared" si="7"/>
        <v>0</v>
      </c>
      <c r="N21" s="234">
        <f t="shared" si="3"/>
        <v>100</v>
      </c>
      <c r="O21" s="212"/>
      <c r="P21" s="213">
        <v>49.4</v>
      </c>
      <c r="Q21" s="213"/>
      <c r="R21" s="214">
        <f t="shared" si="4"/>
        <v>49.4</v>
      </c>
      <c r="S21" s="170">
        <v>4</v>
      </c>
      <c r="T21" s="283"/>
      <c r="U21" s="281"/>
      <c r="V21" s="177" t="s">
        <v>72</v>
      </c>
      <c r="W21" s="170" t="s">
        <v>22</v>
      </c>
      <c r="X21" s="170" t="s">
        <v>18</v>
      </c>
      <c r="Y21" s="178">
        <v>49.4</v>
      </c>
      <c r="AD21" s="177"/>
      <c r="AG21" s="178"/>
      <c r="AL21" s="177"/>
      <c r="AO21" s="178"/>
      <c r="AP21" s="177"/>
      <c r="AS21" s="178"/>
      <c r="AW21" s="178"/>
      <c r="BA21" s="179"/>
    </row>
    <row r="22" spans="1:53" s="170" customFormat="1" x14ac:dyDescent="0.15">
      <c r="A22" s="215">
        <v>1967</v>
      </c>
      <c r="B22" s="281"/>
      <c r="C22" s="369" t="s">
        <v>230</v>
      </c>
      <c r="D22" s="369"/>
      <c r="E22" s="170">
        <v>0</v>
      </c>
      <c r="G22" s="232"/>
      <c r="H22" s="170">
        <v>23</v>
      </c>
      <c r="J22" s="240">
        <v>23</v>
      </c>
      <c r="K22" s="213">
        <f>G22/J22*100</f>
        <v>0</v>
      </c>
      <c r="L22" s="213">
        <f>H22/J22*100</f>
        <v>100</v>
      </c>
      <c r="M22" s="213">
        <f>I22/J22*100</f>
        <v>0</v>
      </c>
      <c r="N22" s="234">
        <f t="shared" si="3"/>
        <v>100</v>
      </c>
      <c r="O22" s="212"/>
      <c r="P22" s="213">
        <v>49.4</v>
      </c>
      <c r="Q22" s="213"/>
      <c r="R22" s="214">
        <f t="shared" si="4"/>
        <v>49.4</v>
      </c>
      <c r="S22" s="170">
        <v>4</v>
      </c>
      <c r="T22" s="283"/>
      <c r="U22" s="281"/>
      <c r="V22" s="177" t="s">
        <v>72</v>
      </c>
      <c r="W22" s="170" t="s">
        <v>22</v>
      </c>
      <c r="X22" s="170" t="s">
        <v>18</v>
      </c>
      <c r="Y22" s="178">
        <v>49.4</v>
      </c>
      <c r="AD22" s="177"/>
      <c r="AG22" s="178"/>
      <c r="AL22" s="177"/>
      <c r="AO22" s="178"/>
      <c r="AP22" s="177"/>
      <c r="AS22" s="178"/>
      <c r="AW22" s="178"/>
      <c r="BA22" s="179"/>
    </row>
    <row r="23" spans="1:53" s="170" customFormat="1" x14ac:dyDescent="0.15">
      <c r="A23" s="215">
        <v>1967</v>
      </c>
      <c r="B23" s="281"/>
      <c r="C23" s="369" t="s">
        <v>230</v>
      </c>
      <c r="D23" s="369"/>
      <c r="E23" s="170">
        <f>365-E22</f>
        <v>365</v>
      </c>
      <c r="G23" s="232"/>
      <c r="H23" s="170">
        <v>23</v>
      </c>
      <c r="J23" s="240">
        <v>23</v>
      </c>
      <c r="K23" s="213">
        <f t="shared" ref="K23:K29" si="8">G23/J23*100</f>
        <v>0</v>
      </c>
      <c r="L23" s="213">
        <f t="shared" ref="L23:L29" si="9">H23/J23*100</f>
        <v>100</v>
      </c>
      <c r="M23" s="213">
        <f t="shared" ref="M23:M29" si="10">I23/J23*100</f>
        <v>0</v>
      </c>
      <c r="N23" s="234">
        <f t="shared" si="3"/>
        <v>100</v>
      </c>
      <c r="O23" s="212"/>
      <c r="P23" s="213">
        <v>49.4</v>
      </c>
      <c r="Q23" s="213"/>
      <c r="R23" s="214">
        <f t="shared" si="4"/>
        <v>49.4</v>
      </c>
      <c r="S23" s="170">
        <v>4</v>
      </c>
      <c r="T23" s="283"/>
      <c r="U23" s="281"/>
      <c r="V23" s="177" t="s">
        <v>72</v>
      </c>
      <c r="W23" s="170" t="s">
        <v>22</v>
      </c>
      <c r="X23" s="170" t="s">
        <v>18</v>
      </c>
      <c r="Y23" s="178">
        <v>49.4</v>
      </c>
      <c r="AD23" s="177"/>
      <c r="AG23" s="178"/>
      <c r="AL23" s="177"/>
      <c r="AO23" s="178"/>
      <c r="AP23" s="177"/>
      <c r="AS23" s="178"/>
      <c r="AW23" s="178"/>
      <c r="BA23" s="179"/>
    </row>
    <row r="24" spans="1:53" s="170" customFormat="1" x14ac:dyDescent="0.15">
      <c r="A24" s="215">
        <v>1968</v>
      </c>
      <c r="B24" s="281"/>
      <c r="C24" s="369" t="s">
        <v>230</v>
      </c>
      <c r="D24" s="369"/>
      <c r="E24" s="170">
        <v>111</v>
      </c>
      <c r="G24" s="232"/>
      <c r="H24" s="170">
        <v>23</v>
      </c>
      <c r="J24" s="240">
        <v>23</v>
      </c>
      <c r="K24" s="213">
        <f t="shared" si="8"/>
        <v>0</v>
      </c>
      <c r="L24" s="213">
        <f t="shared" si="9"/>
        <v>100</v>
      </c>
      <c r="M24" s="213">
        <f t="shared" si="10"/>
        <v>0</v>
      </c>
      <c r="N24" s="234">
        <f t="shared" si="3"/>
        <v>100</v>
      </c>
      <c r="O24" s="212"/>
      <c r="P24" s="213">
        <v>49.4</v>
      </c>
      <c r="Q24" s="213"/>
      <c r="R24" s="214">
        <f t="shared" si="4"/>
        <v>49.4</v>
      </c>
      <c r="S24" s="170">
        <v>4</v>
      </c>
      <c r="T24" s="283"/>
      <c r="U24" s="281"/>
      <c r="V24" s="177" t="s">
        <v>72</v>
      </c>
      <c r="W24" s="170" t="s">
        <v>22</v>
      </c>
      <c r="X24" s="170" t="s">
        <v>18</v>
      </c>
      <c r="Y24" s="178">
        <v>49.4</v>
      </c>
      <c r="AD24" s="177"/>
      <c r="AG24" s="178"/>
      <c r="AL24" s="177"/>
      <c r="AO24" s="178"/>
      <c r="AP24" s="177"/>
      <c r="AS24" s="178"/>
      <c r="AW24" s="178"/>
      <c r="BA24" s="179"/>
    </row>
    <row r="25" spans="1:53" s="28" customFormat="1" x14ac:dyDescent="0.15">
      <c r="A25" s="51">
        <v>1968</v>
      </c>
      <c r="B25" s="293">
        <v>24949</v>
      </c>
      <c r="C25" s="370" t="s">
        <v>1438</v>
      </c>
      <c r="D25" s="370"/>
      <c r="E25" s="28">
        <v>77</v>
      </c>
      <c r="F25" s="28">
        <v>2</v>
      </c>
      <c r="G25" s="65"/>
      <c r="H25" s="28">
        <v>25</v>
      </c>
      <c r="J25" s="72">
        <v>25</v>
      </c>
      <c r="K25" s="46">
        <f>G25/J25*100</f>
        <v>0</v>
      </c>
      <c r="L25" s="46">
        <f>H25/J25*100</f>
        <v>100</v>
      </c>
      <c r="M25" s="46">
        <f>I25/J25*100</f>
        <v>0</v>
      </c>
      <c r="N25" s="67">
        <f t="shared" si="3"/>
        <v>100</v>
      </c>
      <c r="O25" s="45"/>
      <c r="P25" s="46">
        <v>49.4</v>
      </c>
      <c r="Q25" s="46"/>
      <c r="R25" s="47">
        <f t="shared" si="4"/>
        <v>49.4</v>
      </c>
      <c r="S25" s="28">
        <v>4</v>
      </c>
      <c r="T25" s="284"/>
      <c r="U25" s="293">
        <v>24949</v>
      </c>
      <c r="V25" s="37" t="s">
        <v>72</v>
      </c>
      <c r="W25" s="28" t="s">
        <v>22</v>
      </c>
      <c r="X25" s="28" t="s">
        <v>18</v>
      </c>
      <c r="Y25" s="38">
        <v>49.4</v>
      </c>
      <c r="AD25" s="37"/>
      <c r="AG25" s="38"/>
      <c r="AL25" s="37"/>
      <c r="AO25" s="38"/>
      <c r="AP25" s="37"/>
      <c r="AS25" s="38"/>
      <c r="AW25" s="38"/>
      <c r="BA25" s="39"/>
    </row>
    <row r="26" spans="1:53" s="170" customFormat="1" x14ac:dyDescent="0.15">
      <c r="A26" s="215">
        <v>1968</v>
      </c>
      <c r="B26" s="281">
        <v>25026</v>
      </c>
      <c r="C26" s="369" t="s">
        <v>1439</v>
      </c>
      <c r="D26" s="369"/>
      <c r="E26" s="170">
        <v>178</v>
      </c>
      <c r="F26" s="170">
        <v>1</v>
      </c>
      <c r="G26" s="232"/>
      <c r="H26" s="170">
        <v>28</v>
      </c>
      <c r="J26" s="240">
        <v>28</v>
      </c>
      <c r="K26" s="213">
        <f t="shared" si="8"/>
        <v>0</v>
      </c>
      <c r="L26" s="213">
        <f t="shared" si="9"/>
        <v>100</v>
      </c>
      <c r="M26" s="213">
        <f t="shared" si="10"/>
        <v>0</v>
      </c>
      <c r="N26" s="234">
        <f t="shared" si="3"/>
        <v>100</v>
      </c>
      <c r="O26" s="212"/>
      <c r="P26" s="213">
        <v>58.7</v>
      </c>
      <c r="Q26" s="213"/>
      <c r="R26" s="214">
        <f t="shared" si="4"/>
        <v>58.7</v>
      </c>
      <c r="S26" s="170">
        <v>1</v>
      </c>
      <c r="T26" s="283">
        <v>25014</v>
      </c>
      <c r="U26" s="281">
        <v>25026</v>
      </c>
      <c r="V26" s="177" t="s">
        <v>72</v>
      </c>
      <c r="W26" s="170" t="s">
        <v>22</v>
      </c>
      <c r="X26" s="170" t="s">
        <v>18</v>
      </c>
      <c r="Y26" s="178">
        <v>58.7</v>
      </c>
      <c r="AD26" s="177"/>
      <c r="AG26" s="178"/>
      <c r="AL26" s="177"/>
      <c r="AO26" s="178"/>
      <c r="AP26" s="177"/>
      <c r="AS26" s="178"/>
      <c r="AW26" s="178"/>
      <c r="BA26" s="179"/>
    </row>
    <row r="27" spans="1:53" s="170" customFormat="1" x14ac:dyDescent="0.15">
      <c r="A27" s="215">
        <v>1969</v>
      </c>
      <c r="B27" s="281"/>
      <c r="C27" s="369" t="s">
        <v>1439</v>
      </c>
      <c r="D27" s="369"/>
      <c r="E27" s="170">
        <v>0</v>
      </c>
      <c r="G27" s="232"/>
      <c r="H27" s="170">
        <v>28</v>
      </c>
      <c r="J27" s="240">
        <v>28</v>
      </c>
      <c r="K27" s="213">
        <f t="shared" si="8"/>
        <v>0</v>
      </c>
      <c r="L27" s="213">
        <f t="shared" si="9"/>
        <v>100</v>
      </c>
      <c r="M27" s="213">
        <f t="shared" si="10"/>
        <v>0</v>
      </c>
      <c r="N27" s="234">
        <f t="shared" si="3"/>
        <v>100</v>
      </c>
      <c r="O27" s="212"/>
      <c r="P27" s="213">
        <v>58.7</v>
      </c>
      <c r="Q27" s="213"/>
      <c r="R27" s="214">
        <f t="shared" si="4"/>
        <v>58.7</v>
      </c>
      <c r="S27" s="170">
        <v>1</v>
      </c>
      <c r="T27" s="283"/>
      <c r="U27" s="281"/>
      <c r="V27" s="177" t="s">
        <v>72</v>
      </c>
      <c r="W27" s="170" t="s">
        <v>22</v>
      </c>
      <c r="X27" s="170" t="s">
        <v>18</v>
      </c>
      <c r="Y27" s="178">
        <v>58.7</v>
      </c>
      <c r="AD27" s="177"/>
      <c r="AG27" s="178"/>
      <c r="AL27" s="177"/>
      <c r="AO27" s="178"/>
      <c r="AP27" s="177"/>
      <c r="AS27" s="178"/>
      <c r="AW27" s="178"/>
      <c r="BA27" s="179"/>
    </row>
    <row r="28" spans="1:53" s="170" customFormat="1" x14ac:dyDescent="0.15">
      <c r="A28" s="215">
        <v>1969</v>
      </c>
      <c r="B28" s="281"/>
      <c r="C28" s="369" t="s">
        <v>1439</v>
      </c>
      <c r="D28" s="369"/>
      <c r="E28" s="170">
        <f>365-E27</f>
        <v>365</v>
      </c>
      <c r="G28" s="232"/>
      <c r="H28" s="170">
        <v>28</v>
      </c>
      <c r="J28" s="240">
        <v>28</v>
      </c>
      <c r="K28" s="213">
        <f t="shared" si="8"/>
        <v>0</v>
      </c>
      <c r="L28" s="213">
        <f t="shared" si="9"/>
        <v>100</v>
      </c>
      <c r="M28" s="213">
        <f t="shared" si="10"/>
        <v>0</v>
      </c>
      <c r="N28" s="234">
        <f t="shared" si="3"/>
        <v>100</v>
      </c>
      <c r="O28" s="212"/>
      <c r="P28" s="213">
        <v>58.7</v>
      </c>
      <c r="Q28" s="213"/>
      <c r="R28" s="214">
        <f t="shared" si="4"/>
        <v>58.7</v>
      </c>
      <c r="S28" s="170">
        <v>1</v>
      </c>
      <c r="T28" s="283"/>
      <c r="U28" s="281"/>
      <c r="V28" s="177" t="s">
        <v>72</v>
      </c>
      <c r="W28" s="170" t="s">
        <v>22</v>
      </c>
      <c r="X28" s="170" t="s">
        <v>18</v>
      </c>
      <c r="Y28" s="178">
        <v>58.7</v>
      </c>
      <c r="AD28" s="177"/>
      <c r="AG28" s="178"/>
      <c r="AL28" s="177"/>
      <c r="AO28" s="178"/>
      <c r="AP28" s="177"/>
      <c r="AS28" s="178"/>
      <c r="AW28" s="178"/>
      <c r="BA28" s="179"/>
    </row>
    <row r="29" spans="1:53" s="170" customFormat="1" x14ac:dyDescent="0.15">
      <c r="A29" s="215">
        <v>1970</v>
      </c>
      <c r="B29" s="281"/>
      <c r="C29" s="369" t="s">
        <v>1439</v>
      </c>
      <c r="D29" s="369"/>
      <c r="E29" s="170">
        <v>0</v>
      </c>
      <c r="G29" s="232"/>
      <c r="H29" s="170">
        <v>28</v>
      </c>
      <c r="J29" s="240">
        <v>28</v>
      </c>
      <c r="K29" s="213">
        <f t="shared" si="8"/>
        <v>0</v>
      </c>
      <c r="L29" s="213">
        <f t="shared" si="9"/>
        <v>100</v>
      </c>
      <c r="M29" s="213">
        <f t="shared" si="10"/>
        <v>0</v>
      </c>
      <c r="N29" s="234">
        <f t="shared" si="3"/>
        <v>100</v>
      </c>
      <c r="O29" s="212"/>
      <c r="P29" s="213">
        <v>58.7</v>
      </c>
      <c r="Q29" s="213"/>
      <c r="R29" s="214">
        <f t="shared" si="4"/>
        <v>58.7</v>
      </c>
      <c r="S29" s="170">
        <v>1</v>
      </c>
      <c r="T29" s="283"/>
      <c r="U29" s="281"/>
      <c r="V29" s="177" t="s">
        <v>72</v>
      </c>
      <c r="W29" s="170" t="s">
        <v>22</v>
      </c>
      <c r="X29" s="170" t="s">
        <v>18</v>
      </c>
      <c r="Y29" s="178">
        <v>58.7</v>
      </c>
      <c r="AD29" s="177"/>
      <c r="AG29" s="178"/>
      <c r="AL29" s="177"/>
      <c r="AO29" s="178"/>
      <c r="AP29" s="177"/>
      <c r="AS29" s="178"/>
      <c r="AW29" s="178"/>
      <c r="BA29" s="179"/>
    </row>
    <row r="30" spans="1:53" s="170" customFormat="1" x14ac:dyDescent="0.15">
      <c r="A30" s="215">
        <v>1970</v>
      </c>
      <c r="B30" s="281"/>
      <c r="C30" s="369" t="s">
        <v>1439</v>
      </c>
      <c r="D30" s="369"/>
      <c r="E30" s="170">
        <v>365</v>
      </c>
      <c r="G30" s="232"/>
      <c r="H30" s="170">
        <v>28</v>
      </c>
      <c r="J30" s="240">
        <v>28</v>
      </c>
      <c r="K30" s="213">
        <f>G30/J30*100</f>
        <v>0</v>
      </c>
      <c r="L30" s="213">
        <f>H30/J30*100</f>
        <v>100</v>
      </c>
      <c r="M30" s="213">
        <f>I30/J30*100</f>
        <v>0</v>
      </c>
      <c r="N30" s="234">
        <f t="shared" si="3"/>
        <v>100</v>
      </c>
      <c r="O30" s="212"/>
      <c r="P30" s="213">
        <v>58.7</v>
      </c>
      <c r="Q30" s="213"/>
      <c r="R30" s="214">
        <f t="shared" si="4"/>
        <v>58.7</v>
      </c>
      <c r="S30" s="170">
        <v>1</v>
      </c>
      <c r="T30" s="283"/>
      <c r="U30" s="281"/>
      <c r="V30" s="177" t="s">
        <v>72</v>
      </c>
      <c r="W30" s="170" t="s">
        <v>22</v>
      </c>
      <c r="X30" s="170" t="s">
        <v>18</v>
      </c>
      <c r="Y30" s="178">
        <v>58.7</v>
      </c>
      <c r="AD30" s="177"/>
      <c r="AG30" s="178"/>
      <c r="AL30" s="177"/>
      <c r="AO30" s="178"/>
      <c r="AP30" s="177"/>
      <c r="AS30" s="178"/>
      <c r="AW30" s="178"/>
      <c r="BA30" s="179"/>
    </row>
    <row r="31" spans="1:53" s="170" customFormat="1" x14ac:dyDescent="0.15">
      <c r="A31" s="215">
        <v>1971</v>
      </c>
      <c r="B31" s="281"/>
      <c r="C31" s="369" t="s">
        <v>1439</v>
      </c>
      <c r="D31" s="369"/>
      <c r="E31" s="170">
        <f>365-E30</f>
        <v>0</v>
      </c>
      <c r="G31" s="232"/>
      <c r="H31" s="170">
        <v>28</v>
      </c>
      <c r="J31" s="240">
        <v>28</v>
      </c>
      <c r="K31" s="213">
        <f t="shared" ref="K31:K36" si="11">G31/J31*100</f>
        <v>0</v>
      </c>
      <c r="L31" s="213">
        <f t="shared" ref="L31:L36" si="12">H31/J31*100</f>
        <v>100</v>
      </c>
      <c r="M31" s="213">
        <f t="shared" ref="M31:M36" si="13">I31/J31*100</f>
        <v>0</v>
      </c>
      <c r="N31" s="234">
        <f t="shared" si="3"/>
        <v>100</v>
      </c>
      <c r="O31" s="212"/>
      <c r="P31" s="213">
        <v>58.7</v>
      </c>
      <c r="Q31" s="213"/>
      <c r="R31" s="214">
        <f t="shared" si="4"/>
        <v>58.7</v>
      </c>
      <c r="S31" s="170">
        <v>1</v>
      </c>
      <c r="T31" s="283"/>
      <c r="U31" s="281"/>
      <c r="V31" s="177" t="s">
        <v>72</v>
      </c>
      <c r="W31" s="170" t="s">
        <v>22</v>
      </c>
      <c r="X31" s="170" t="s">
        <v>18</v>
      </c>
      <c r="Y31" s="178">
        <v>58.7</v>
      </c>
      <c r="AD31" s="177"/>
      <c r="AG31" s="178"/>
      <c r="AL31" s="177"/>
      <c r="AO31" s="178"/>
      <c r="AP31" s="177"/>
      <c r="AS31" s="178"/>
      <c r="AW31" s="178"/>
      <c r="BA31" s="179"/>
    </row>
    <row r="32" spans="1:53" s="170" customFormat="1" x14ac:dyDescent="0.15">
      <c r="A32" s="215">
        <v>1971</v>
      </c>
      <c r="B32" s="281"/>
      <c r="C32" s="369" t="s">
        <v>1439</v>
      </c>
      <c r="D32" s="369"/>
      <c r="E32" s="170">
        <v>365</v>
      </c>
      <c r="G32" s="232"/>
      <c r="H32" s="170">
        <v>28</v>
      </c>
      <c r="J32" s="240">
        <v>28</v>
      </c>
      <c r="K32" s="213">
        <f t="shared" si="11"/>
        <v>0</v>
      </c>
      <c r="L32" s="213">
        <f t="shared" si="12"/>
        <v>100</v>
      </c>
      <c r="M32" s="213">
        <f t="shared" si="13"/>
        <v>0</v>
      </c>
      <c r="N32" s="234">
        <f t="shared" si="3"/>
        <v>100</v>
      </c>
      <c r="O32" s="212"/>
      <c r="P32" s="213">
        <v>58.7</v>
      </c>
      <c r="Q32" s="213"/>
      <c r="R32" s="214">
        <f t="shared" si="4"/>
        <v>58.7</v>
      </c>
      <c r="S32" s="170">
        <v>1</v>
      </c>
      <c r="T32" s="283"/>
      <c r="U32" s="281"/>
      <c r="V32" s="177" t="s">
        <v>72</v>
      </c>
      <c r="W32" s="170" t="s">
        <v>22</v>
      </c>
      <c r="X32" s="170" t="s">
        <v>18</v>
      </c>
      <c r="Y32" s="178">
        <v>58.7</v>
      </c>
      <c r="AD32" s="177"/>
      <c r="AG32" s="178"/>
      <c r="AL32" s="177"/>
      <c r="AO32" s="178"/>
      <c r="AP32" s="177"/>
      <c r="AS32" s="178"/>
      <c r="AW32" s="178"/>
      <c r="BA32" s="179"/>
    </row>
    <row r="33" spans="1:53" s="170" customFormat="1" x14ac:dyDescent="0.15">
      <c r="A33" s="215">
        <v>1972</v>
      </c>
      <c r="B33" s="281"/>
      <c r="C33" s="369" t="s">
        <v>1439</v>
      </c>
      <c r="D33" s="369"/>
      <c r="E33" s="170">
        <v>331</v>
      </c>
      <c r="G33" s="232"/>
      <c r="H33" s="170">
        <v>28</v>
      </c>
      <c r="J33" s="240">
        <v>28</v>
      </c>
      <c r="K33" s="213">
        <f t="shared" si="11"/>
        <v>0</v>
      </c>
      <c r="L33" s="213">
        <f t="shared" si="12"/>
        <v>100</v>
      </c>
      <c r="M33" s="213">
        <f t="shared" si="13"/>
        <v>0</v>
      </c>
      <c r="N33" s="234">
        <f t="shared" si="3"/>
        <v>100</v>
      </c>
      <c r="O33" s="212"/>
      <c r="P33" s="213">
        <v>58.7</v>
      </c>
      <c r="Q33" s="213"/>
      <c r="R33" s="214">
        <f t="shared" si="4"/>
        <v>58.7</v>
      </c>
      <c r="S33" s="170">
        <v>1</v>
      </c>
      <c r="T33" s="283"/>
      <c r="U33" s="281"/>
      <c r="V33" s="177" t="s">
        <v>72</v>
      </c>
      <c r="W33" s="170" t="s">
        <v>22</v>
      </c>
      <c r="X33" s="170" t="s">
        <v>18</v>
      </c>
      <c r="Y33" s="178">
        <v>58.7</v>
      </c>
      <c r="AD33" s="177"/>
      <c r="AG33" s="178"/>
      <c r="AL33" s="177"/>
      <c r="AO33" s="178"/>
      <c r="AP33" s="177"/>
      <c r="AS33" s="178"/>
      <c r="AW33" s="178"/>
      <c r="BA33" s="179"/>
    </row>
    <row r="34" spans="1:53" s="28" customFormat="1" x14ac:dyDescent="0.15">
      <c r="A34" s="51">
        <v>1972</v>
      </c>
      <c r="B34" s="293">
        <v>26630</v>
      </c>
      <c r="C34" s="370" t="s">
        <v>1440</v>
      </c>
      <c r="D34" s="370"/>
      <c r="E34" s="28">
        <v>35</v>
      </c>
      <c r="F34" s="28">
        <v>1</v>
      </c>
      <c r="G34" s="65"/>
      <c r="H34" s="28">
        <v>27</v>
      </c>
      <c r="J34" s="72">
        <v>27</v>
      </c>
      <c r="K34" s="46">
        <f t="shared" si="11"/>
        <v>0</v>
      </c>
      <c r="L34" s="46">
        <f t="shared" si="12"/>
        <v>100</v>
      </c>
      <c r="M34" s="46">
        <f t="shared" si="13"/>
        <v>0</v>
      </c>
      <c r="N34" s="67">
        <f t="shared" si="3"/>
        <v>100</v>
      </c>
      <c r="O34" s="45"/>
      <c r="P34" s="46">
        <v>41.3</v>
      </c>
      <c r="Q34" s="46"/>
      <c r="R34" s="47">
        <f t="shared" si="4"/>
        <v>41.3</v>
      </c>
      <c r="S34" s="28">
        <v>4</v>
      </c>
      <c r="T34" s="284">
        <v>26602</v>
      </c>
      <c r="U34" s="293">
        <v>26630</v>
      </c>
      <c r="V34" s="37" t="s">
        <v>72</v>
      </c>
      <c r="W34" s="28" t="s">
        <v>22</v>
      </c>
      <c r="X34" s="28" t="s">
        <v>18</v>
      </c>
      <c r="Y34" s="38">
        <v>41.3</v>
      </c>
      <c r="AD34" s="37"/>
      <c r="AG34" s="38"/>
      <c r="AL34" s="37"/>
      <c r="AO34" s="38"/>
      <c r="AP34" s="37"/>
      <c r="AS34" s="38"/>
      <c r="AW34" s="38"/>
      <c r="BA34" s="39"/>
    </row>
    <row r="35" spans="1:53" s="28" customFormat="1" x14ac:dyDescent="0.15">
      <c r="A35" s="51">
        <v>1973</v>
      </c>
      <c r="B35" s="293"/>
      <c r="C35" s="370" t="s">
        <v>1440</v>
      </c>
      <c r="D35" s="370"/>
      <c r="E35" s="28">
        <v>0</v>
      </c>
      <c r="G35" s="65"/>
      <c r="H35" s="28">
        <v>27</v>
      </c>
      <c r="J35" s="72">
        <v>27</v>
      </c>
      <c r="K35" s="46">
        <f t="shared" si="11"/>
        <v>0</v>
      </c>
      <c r="L35" s="46">
        <f t="shared" si="12"/>
        <v>100</v>
      </c>
      <c r="M35" s="46">
        <f t="shared" si="13"/>
        <v>0</v>
      </c>
      <c r="N35" s="67">
        <f t="shared" si="3"/>
        <v>100</v>
      </c>
      <c r="O35" s="45"/>
      <c r="P35" s="46">
        <v>41.3</v>
      </c>
      <c r="Q35" s="46"/>
      <c r="R35" s="47">
        <f t="shared" si="4"/>
        <v>41.3</v>
      </c>
      <c r="S35" s="28">
        <v>4</v>
      </c>
      <c r="T35" s="284"/>
      <c r="U35" s="293"/>
      <c r="V35" s="37" t="s">
        <v>72</v>
      </c>
      <c r="W35" s="28" t="s">
        <v>22</v>
      </c>
      <c r="X35" s="28" t="s">
        <v>18</v>
      </c>
      <c r="Y35" s="38">
        <v>41.3</v>
      </c>
      <c r="AD35" s="37"/>
      <c r="AG35" s="38"/>
      <c r="AL35" s="37"/>
      <c r="AO35" s="38"/>
      <c r="AP35" s="37"/>
      <c r="AS35" s="38"/>
      <c r="AW35" s="38"/>
      <c r="BA35" s="39"/>
    </row>
    <row r="36" spans="1:53" s="28" customFormat="1" x14ac:dyDescent="0.15">
      <c r="A36" s="51">
        <v>1973</v>
      </c>
      <c r="B36" s="293"/>
      <c r="C36" s="370" t="s">
        <v>1440</v>
      </c>
      <c r="D36" s="370"/>
      <c r="E36" s="28">
        <v>365</v>
      </c>
      <c r="G36" s="65"/>
      <c r="H36" s="28">
        <v>27</v>
      </c>
      <c r="J36" s="72">
        <v>27</v>
      </c>
      <c r="K36" s="46">
        <f t="shared" si="11"/>
        <v>0</v>
      </c>
      <c r="L36" s="46">
        <f t="shared" si="12"/>
        <v>100</v>
      </c>
      <c r="M36" s="46">
        <f t="shared" si="13"/>
        <v>0</v>
      </c>
      <c r="N36" s="67">
        <f t="shared" si="3"/>
        <v>100</v>
      </c>
      <c r="O36" s="45"/>
      <c r="P36" s="46">
        <v>41.3</v>
      </c>
      <c r="Q36" s="46"/>
      <c r="R36" s="47">
        <f t="shared" si="4"/>
        <v>41.3</v>
      </c>
      <c r="S36" s="28">
        <v>4</v>
      </c>
      <c r="T36" s="284"/>
      <c r="U36" s="293"/>
      <c r="V36" s="37" t="s">
        <v>72</v>
      </c>
      <c r="W36" s="28" t="s">
        <v>22</v>
      </c>
      <c r="X36" s="28" t="s">
        <v>18</v>
      </c>
      <c r="Y36" s="38">
        <v>41.3</v>
      </c>
      <c r="AD36" s="37"/>
      <c r="AG36" s="38"/>
      <c r="AL36" s="37"/>
      <c r="AO36" s="38"/>
      <c r="AP36" s="37"/>
      <c r="AS36" s="38"/>
      <c r="AW36" s="38"/>
      <c r="BA36" s="39"/>
    </row>
    <row r="37" spans="1:53" s="28" customFormat="1" x14ac:dyDescent="0.15">
      <c r="A37" s="51">
        <v>1974</v>
      </c>
      <c r="B37" s="293"/>
      <c r="C37" s="370" t="s">
        <v>1440</v>
      </c>
      <c r="D37" s="370"/>
      <c r="E37" s="28">
        <v>219</v>
      </c>
      <c r="G37" s="65"/>
      <c r="H37" s="28">
        <v>27</v>
      </c>
      <c r="J37" s="72">
        <v>27</v>
      </c>
      <c r="K37" s="46">
        <f>G37/J37*100</f>
        <v>0</v>
      </c>
      <c r="L37" s="46">
        <f>H37/J37*100</f>
        <v>100</v>
      </c>
      <c r="M37" s="46">
        <f>I37/J37*100</f>
        <v>0</v>
      </c>
      <c r="N37" s="67">
        <f t="shared" si="3"/>
        <v>100</v>
      </c>
      <c r="O37" s="45"/>
      <c r="P37" s="46">
        <v>41.3</v>
      </c>
      <c r="Q37" s="46"/>
      <c r="R37" s="47">
        <f t="shared" si="4"/>
        <v>41.3</v>
      </c>
      <c r="S37" s="28">
        <v>4</v>
      </c>
      <c r="T37" s="284"/>
      <c r="U37" s="293"/>
      <c r="V37" s="37" t="s">
        <v>72</v>
      </c>
      <c r="W37" s="28" t="s">
        <v>22</v>
      </c>
      <c r="X37" s="28" t="s">
        <v>18</v>
      </c>
      <c r="Y37" s="38">
        <v>41.3</v>
      </c>
      <c r="AD37" s="37"/>
      <c r="AG37" s="38"/>
      <c r="AL37" s="37"/>
      <c r="AO37" s="38"/>
      <c r="AP37" s="37"/>
      <c r="AS37" s="38"/>
      <c r="AW37" s="38"/>
      <c r="BA37" s="39"/>
    </row>
    <row r="38" spans="1:53" s="170" customFormat="1" x14ac:dyDescent="0.15">
      <c r="A38" s="215">
        <v>1974</v>
      </c>
      <c r="B38" s="281">
        <v>27249</v>
      </c>
      <c r="C38" s="369" t="s">
        <v>1441</v>
      </c>
      <c r="D38" s="369"/>
      <c r="E38" s="170">
        <v>146</v>
      </c>
      <c r="F38" s="170">
        <v>5</v>
      </c>
      <c r="G38" s="232"/>
      <c r="H38" s="170">
        <v>28</v>
      </c>
      <c r="J38" s="240">
        <v>28</v>
      </c>
      <c r="K38" s="213">
        <f t="shared" ref="K38:K43" si="14">G38/J38*100</f>
        <v>0</v>
      </c>
      <c r="L38" s="213">
        <f t="shared" ref="L38:L43" si="15">H38/J38*100</f>
        <v>100</v>
      </c>
      <c r="M38" s="213">
        <f t="shared" ref="M38:M43" si="16">I38/J38*100</f>
        <v>0</v>
      </c>
      <c r="N38" s="234">
        <f t="shared" si="3"/>
        <v>100</v>
      </c>
      <c r="O38" s="212"/>
      <c r="P38" s="213">
        <v>53.4</v>
      </c>
      <c r="Q38" s="213"/>
      <c r="R38" s="214">
        <f t="shared" si="4"/>
        <v>53.4</v>
      </c>
      <c r="S38" s="170">
        <v>1</v>
      </c>
      <c r="T38" s="283">
        <v>27218</v>
      </c>
      <c r="U38" s="281">
        <v>27249</v>
      </c>
      <c r="V38" s="177" t="s">
        <v>72</v>
      </c>
      <c r="W38" s="170" t="s">
        <v>22</v>
      </c>
      <c r="X38" s="170" t="s">
        <v>18</v>
      </c>
      <c r="Y38" s="178">
        <v>53.4</v>
      </c>
      <c r="AD38" s="177"/>
      <c r="AG38" s="178"/>
      <c r="AL38" s="177"/>
      <c r="AO38" s="178"/>
      <c r="AP38" s="177"/>
      <c r="AS38" s="178"/>
      <c r="AW38" s="178"/>
      <c r="BA38" s="179"/>
    </row>
    <row r="39" spans="1:53" s="170" customFormat="1" x14ac:dyDescent="0.15">
      <c r="A39" s="215">
        <v>1975</v>
      </c>
      <c r="B39" s="281"/>
      <c r="C39" s="369" t="s">
        <v>1441</v>
      </c>
      <c r="D39" s="369"/>
      <c r="E39" s="170">
        <v>0</v>
      </c>
      <c r="G39" s="232"/>
      <c r="H39" s="170">
        <v>28</v>
      </c>
      <c r="J39" s="240">
        <v>28</v>
      </c>
      <c r="K39" s="213">
        <f t="shared" si="14"/>
        <v>0</v>
      </c>
      <c r="L39" s="213">
        <f t="shared" si="15"/>
        <v>100</v>
      </c>
      <c r="M39" s="213">
        <f t="shared" si="16"/>
        <v>0</v>
      </c>
      <c r="N39" s="234">
        <f t="shared" si="3"/>
        <v>100</v>
      </c>
      <c r="O39" s="212"/>
      <c r="P39" s="213">
        <v>53.4</v>
      </c>
      <c r="Q39" s="213"/>
      <c r="R39" s="214">
        <f t="shared" si="4"/>
        <v>53.4</v>
      </c>
      <c r="S39" s="170">
        <v>1</v>
      </c>
      <c r="T39" s="283"/>
      <c r="U39" s="281"/>
      <c r="V39" s="177" t="s">
        <v>72</v>
      </c>
      <c r="W39" s="170" t="s">
        <v>22</v>
      </c>
      <c r="X39" s="170" t="s">
        <v>18</v>
      </c>
      <c r="Y39" s="178">
        <v>53.4</v>
      </c>
      <c r="AD39" s="177"/>
      <c r="AG39" s="178"/>
      <c r="AL39" s="177"/>
      <c r="AO39" s="178"/>
      <c r="AP39" s="177"/>
      <c r="AS39" s="178"/>
      <c r="AW39" s="178"/>
      <c r="BA39" s="179"/>
    </row>
    <row r="40" spans="1:53" s="170" customFormat="1" x14ac:dyDescent="0.15">
      <c r="A40" s="215">
        <v>1975</v>
      </c>
      <c r="B40" s="281"/>
      <c r="C40" s="369" t="s">
        <v>1441</v>
      </c>
      <c r="D40" s="369"/>
      <c r="E40" s="170">
        <f>365-E39</f>
        <v>365</v>
      </c>
      <c r="G40" s="232"/>
      <c r="H40" s="170">
        <v>28</v>
      </c>
      <c r="J40" s="240">
        <v>28</v>
      </c>
      <c r="K40" s="213">
        <f t="shared" si="14"/>
        <v>0</v>
      </c>
      <c r="L40" s="213">
        <f t="shared" si="15"/>
        <v>100</v>
      </c>
      <c r="M40" s="213">
        <f t="shared" si="16"/>
        <v>0</v>
      </c>
      <c r="N40" s="234">
        <f t="shared" si="3"/>
        <v>100</v>
      </c>
      <c r="O40" s="212"/>
      <c r="P40" s="213">
        <v>53.4</v>
      </c>
      <c r="Q40" s="213"/>
      <c r="R40" s="214">
        <f t="shared" si="4"/>
        <v>53.4</v>
      </c>
      <c r="S40" s="170">
        <v>1</v>
      </c>
      <c r="T40" s="283"/>
      <c r="U40" s="281"/>
      <c r="V40" s="177" t="s">
        <v>72</v>
      </c>
      <c r="W40" s="170" t="s">
        <v>22</v>
      </c>
      <c r="X40" s="170" t="s">
        <v>18</v>
      </c>
      <c r="Y40" s="178">
        <v>53.4</v>
      </c>
      <c r="AD40" s="177"/>
      <c r="AG40" s="178"/>
      <c r="AL40" s="177"/>
      <c r="AO40" s="178"/>
      <c r="AP40" s="177"/>
      <c r="AS40" s="178"/>
      <c r="AW40" s="178"/>
      <c r="BA40" s="179"/>
    </row>
    <row r="41" spans="1:53" s="170" customFormat="1" x14ac:dyDescent="0.15">
      <c r="A41" s="215">
        <v>1976</v>
      </c>
      <c r="B41" s="281"/>
      <c r="C41" s="369" t="s">
        <v>1441</v>
      </c>
      <c r="D41" s="369"/>
      <c r="E41" s="170">
        <v>0</v>
      </c>
      <c r="G41" s="232"/>
      <c r="H41" s="170">
        <v>28</v>
      </c>
      <c r="J41" s="240">
        <v>28</v>
      </c>
      <c r="K41" s="213">
        <f t="shared" si="14"/>
        <v>0</v>
      </c>
      <c r="L41" s="213">
        <f t="shared" si="15"/>
        <v>100</v>
      </c>
      <c r="M41" s="213">
        <f t="shared" si="16"/>
        <v>0</v>
      </c>
      <c r="N41" s="234">
        <f t="shared" si="3"/>
        <v>100</v>
      </c>
      <c r="O41" s="212"/>
      <c r="P41" s="213">
        <v>53.4</v>
      </c>
      <c r="Q41" s="213"/>
      <c r="R41" s="214">
        <f t="shared" si="4"/>
        <v>53.4</v>
      </c>
      <c r="S41" s="170">
        <v>1</v>
      </c>
      <c r="T41" s="283"/>
      <c r="U41" s="281"/>
      <c r="V41" s="177" t="s">
        <v>72</v>
      </c>
      <c r="W41" s="170" t="s">
        <v>22</v>
      </c>
      <c r="X41" s="170" t="s">
        <v>18</v>
      </c>
      <c r="Y41" s="178">
        <v>53.4</v>
      </c>
      <c r="AD41" s="177"/>
      <c r="AG41" s="178"/>
      <c r="AL41" s="177"/>
      <c r="AO41" s="178"/>
      <c r="AP41" s="177"/>
      <c r="AS41" s="178"/>
      <c r="AW41" s="178"/>
      <c r="BA41" s="179"/>
    </row>
    <row r="42" spans="1:53" s="170" customFormat="1" x14ac:dyDescent="0.15">
      <c r="A42" s="215">
        <v>1976</v>
      </c>
      <c r="B42" s="281"/>
      <c r="C42" s="369" t="s">
        <v>1441</v>
      </c>
      <c r="D42" s="369"/>
      <c r="E42" s="170">
        <v>366</v>
      </c>
      <c r="G42" s="232"/>
      <c r="H42" s="170">
        <v>28</v>
      </c>
      <c r="J42" s="240">
        <v>28</v>
      </c>
      <c r="K42" s="213">
        <f t="shared" si="14"/>
        <v>0</v>
      </c>
      <c r="L42" s="213">
        <f t="shared" si="15"/>
        <v>100</v>
      </c>
      <c r="M42" s="213">
        <f t="shared" si="16"/>
        <v>0</v>
      </c>
      <c r="N42" s="234">
        <f t="shared" si="3"/>
        <v>100</v>
      </c>
      <c r="O42" s="212"/>
      <c r="P42" s="213">
        <v>53.4</v>
      </c>
      <c r="Q42" s="213"/>
      <c r="R42" s="214">
        <f t="shared" si="4"/>
        <v>53.4</v>
      </c>
      <c r="S42" s="170">
        <v>1</v>
      </c>
      <c r="T42" s="283"/>
      <c r="U42" s="281"/>
      <c r="V42" s="177" t="s">
        <v>72</v>
      </c>
      <c r="W42" s="170" t="s">
        <v>22</v>
      </c>
      <c r="X42" s="170" t="s">
        <v>18</v>
      </c>
      <c r="Y42" s="178">
        <v>53.4</v>
      </c>
      <c r="AD42" s="177"/>
      <c r="AG42" s="178"/>
      <c r="AL42" s="177"/>
      <c r="AO42" s="178"/>
      <c r="AP42" s="177"/>
      <c r="AS42" s="178"/>
      <c r="AW42" s="178"/>
      <c r="BA42" s="179"/>
    </row>
    <row r="43" spans="1:53" s="170" customFormat="1" x14ac:dyDescent="0.15">
      <c r="A43" s="215">
        <v>1977</v>
      </c>
      <c r="B43" s="281"/>
      <c r="C43" s="369" t="s">
        <v>1441</v>
      </c>
      <c r="D43" s="369"/>
      <c r="E43" s="170">
        <v>0</v>
      </c>
      <c r="G43" s="232"/>
      <c r="H43" s="170">
        <v>28</v>
      </c>
      <c r="J43" s="240">
        <v>28</v>
      </c>
      <c r="K43" s="213">
        <f t="shared" si="14"/>
        <v>0</v>
      </c>
      <c r="L43" s="213">
        <f t="shared" si="15"/>
        <v>100</v>
      </c>
      <c r="M43" s="213">
        <f t="shared" si="16"/>
        <v>0</v>
      </c>
      <c r="N43" s="234">
        <f t="shared" si="3"/>
        <v>100</v>
      </c>
      <c r="O43" s="212"/>
      <c r="P43" s="213">
        <v>53.4</v>
      </c>
      <c r="Q43" s="213"/>
      <c r="R43" s="214">
        <f t="shared" si="4"/>
        <v>53.4</v>
      </c>
      <c r="S43" s="170">
        <v>1</v>
      </c>
      <c r="T43" s="283"/>
      <c r="U43" s="281"/>
      <c r="V43" s="177" t="s">
        <v>72</v>
      </c>
      <c r="W43" s="170" t="s">
        <v>22</v>
      </c>
      <c r="X43" s="170" t="s">
        <v>18</v>
      </c>
      <c r="Y43" s="178">
        <v>53.4</v>
      </c>
      <c r="AD43" s="177"/>
      <c r="AG43" s="178"/>
      <c r="AL43" s="177"/>
      <c r="AO43" s="178"/>
      <c r="AP43" s="177"/>
      <c r="AS43" s="178"/>
      <c r="AW43" s="178"/>
      <c r="BA43" s="179"/>
    </row>
    <row r="44" spans="1:53" s="170" customFormat="1" x14ac:dyDescent="0.15">
      <c r="A44" s="215">
        <v>1977</v>
      </c>
      <c r="B44" s="281"/>
      <c r="C44" s="369" t="s">
        <v>1441</v>
      </c>
      <c r="D44" s="369"/>
      <c r="E44" s="170">
        <v>365</v>
      </c>
      <c r="G44" s="232"/>
      <c r="H44" s="170">
        <v>28</v>
      </c>
      <c r="J44" s="240">
        <v>28</v>
      </c>
      <c r="K44" s="213">
        <f>G44/J44*100</f>
        <v>0</v>
      </c>
      <c r="L44" s="213">
        <f>H44/J44*100</f>
        <v>100</v>
      </c>
      <c r="M44" s="213">
        <f>I44/J44*100</f>
        <v>0</v>
      </c>
      <c r="N44" s="234">
        <f t="shared" si="3"/>
        <v>100</v>
      </c>
      <c r="O44" s="212"/>
      <c r="P44" s="213">
        <v>53.4</v>
      </c>
      <c r="Q44" s="213"/>
      <c r="R44" s="214">
        <f t="shared" si="4"/>
        <v>53.4</v>
      </c>
      <c r="S44" s="170">
        <v>1</v>
      </c>
      <c r="T44" s="283"/>
      <c r="U44" s="281"/>
      <c r="V44" s="177" t="s">
        <v>72</v>
      </c>
      <c r="W44" s="170" t="s">
        <v>22</v>
      </c>
      <c r="X44" s="170" t="s">
        <v>18</v>
      </c>
      <c r="Y44" s="178">
        <v>53.4</v>
      </c>
      <c r="AD44" s="177"/>
      <c r="AG44" s="178"/>
      <c r="AL44" s="177"/>
      <c r="AO44" s="178"/>
      <c r="AP44" s="177"/>
      <c r="AS44" s="178"/>
      <c r="AW44" s="178"/>
      <c r="BA44" s="179"/>
    </row>
    <row r="45" spans="1:53" s="170" customFormat="1" x14ac:dyDescent="0.15">
      <c r="A45" s="215">
        <v>1978</v>
      </c>
      <c r="B45" s="281"/>
      <c r="C45" s="369" t="s">
        <v>1441</v>
      </c>
      <c r="D45" s="369"/>
      <c r="E45" s="170">
        <v>0</v>
      </c>
      <c r="G45" s="232"/>
      <c r="H45" s="170">
        <v>28</v>
      </c>
      <c r="J45" s="240">
        <v>28</v>
      </c>
      <c r="K45" s="213">
        <f t="shared" ref="K45:K50" si="17">G45/J45*100</f>
        <v>0</v>
      </c>
      <c r="L45" s="213">
        <f t="shared" ref="L45:L50" si="18">H45/J45*100</f>
        <v>100</v>
      </c>
      <c r="M45" s="213">
        <f t="shared" ref="M45:M50" si="19">I45/J45*100</f>
        <v>0</v>
      </c>
      <c r="N45" s="234">
        <f t="shared" si="3"/>
        <v>100</v>
      </c>
      <c r="O45" s="212"/>
      <c r="P45" s="213">
        <v>53.4</v>
      </c>
      <c r="Q45" s="213"/>
      <c r="R45" s="214">
        <f t="shared" si="4"/>
        <v>53.4</v>
      </c>
      <c r="S45" s="170">
        <v>1</v>
      </c>
      <c r="T45" s="283"/>
      <c r="U45" s="281"/>
      <c r="V45" s="177" t="s">
        <v>72</v>
      </c>
      <c r="W45" s="170" t="s">
        <v>22</v>
      </c>
      <c r="X45" s="170" t="s">
        <v>18</v>
      </c>
      <c r="Y45" s="178">
        <v>53.4</v>
      </c>
      <c r="AD45" s="177"/>
      <c r="AG45" s="178"/>
      <c r="AL45" s="177"/>
      <c r="AO45" s="178"/>
      <c r="AP45" s="177"/>
      <c r="AS45" s="178"/>
      <c r="AW45" s="178"/>
      <c r="BA45" s="179"/>
    </row>
    <row r="46" spans="1:53" s="170" customFormat="1" x14ac:dyDescent="0.15">
      <c r="A46" s="215">
        <v>1978</v>
      </c>
      <c r="B46" s="281"/>
      <c r="C46" s="369" t="s">
        <v>1441</v>
      </c>
      <c r="D46" s="369"/>
      <c r="E46" s="170">
        <v>365</v>
      </c>
      <c r="G46" s="232"/>
      <c r="H46" s="170">
        <v>28</v>
      </c>
      <c r="J46" s="240">
        <v>28</v>
      </c>
      <c r="K46" s="213">
        <f t="shared" si="17"/>
        <v>0</v>
      </c>
      <c r="L46" s="213">
        <f t="shared" si="18"/>
        <v>100</v>
      </c>
      <c r="M46" s="213">
        <f t="shared" si="19"/>
        <v>0</v>
      </c>
      <c r="N46" s="234">
        <f t="shared" si="3"/>
        <v>100</v>
      </c>
      <c r="O46" s="212"/>
      <c r="P46" s="213">
        <v>53.4</v>
      </c>
      <c r="Q46" s="213"/>
      <c r="R46" s="214">
        <f t="shared" si="4"/>
        <v>53.4</v>
      </c>
      <c r="S46" s="170">
        <v>1</v>
      </c>
      <c r="T46" s="283"/>
      <c r="U46" s="281"/>
      <c r="V46" s="177" t="s">
        <v>72</v>
      </c>
      <c r="W46" s="170" t="s">
        <v>22</v>
      </c>
      <c r="X46" s="170" t="s">
        <v>18</v>
      </c>
      <c r="Y46" s="178">
        <v>53.4</v>
      </c>
      <c r="AD46" s="177"/>
      <c r="AG46" s="178"/>
      <c r="AL46" s="177"/>
      <c r="AO46" s="178"/>
      <c r="AP46" s="177"/>
      <c r="AS46" s="178"/>
      <c r="AW46" s="178"/>
      <c r="BA46" s="179"/>
    </row>
    <row r="47" spans="1:53" s="170" customFormat="1" x14ac:dyDescent="0.15">
      <c r="A47" s="215">
        <v>1979</v>
      </c>
      <c r="B47" s="281"/>
      <c r="C47" s="369" t="s">
        <v>1441</v>
      </c>
      <c r="D47" s="369"/>
      <c r="E47" s="170">
        <v>154</v>
      </c>
      <c r="G47" s="232"/>
      <c r="H47" s="170">
        <v>28</v>
      </c>
      <c r="J47" s="240">
        <v>28</v>
      </c>
      <c r="K47" s="213">
        <f t="shared" si="17"/>
        <v>0</v>
      </c>
      <c r="L47" s="213">
        <f t="shared" si="18"/>
        <v>100</v>
      </c>
      <c r="M47" s="213">
        <f t="shared" si="19"/>
        <v>0</v>
      </c>
      <c r="N47" s="234">
        <f t="shared" si="3"/>
        <v>100</v>
      </c>
      <c r="O47" s="212"/>
      <c r="P47" s="213">
        <v>53.4</v>
      </c>
      <c r="Q47" s="213"/>
      <c r="R47" s="214">
        <f t="shared" si="4"/>
        <v>53.4</v>
      </c>
      <c r="S47" s="170">
        <v>1</v>
      </c>
      <c r="T47" s="283"/>
      <c r="U47" s="281"/>
      <c r="V47" s="177" t="s">
        <v>72</v>
      </c>
      <c r="W47" s="170" t="s">
        <v>22</v>
      </c>
      <c r="X47" s="170" t="s">
        <v>18</v>
      </c>
      <c r="Y47" s="178">
        <v>53.4</v>
      </c>
      <c r="AD47" s="177"/>
      <c r="AG47" s="178"/>
      <c r="AL47" s="177"/>
      <c r="AO47" s="178"/>
      <c r="AP47" s="177"/>
      <c r="AS47" s="178"/>
      <c r="AW47" s="178"/>
      <c r="BA47" s="179"/>
    </row>
    <row r="48" spans="1:53" s="28" customFormat="1" x14ac:dyDescent="0.15">
      <c r="A48" s="51">
        <v>1979</v>
      </c>
      <c r="B48" s="293">
        <v>29010</v>
      </c>
      <c r="C48" s="370" t="s">
        <v>231</v>
      </c>
      <c r="D48" s="370"/>
      <c r="E48" s="28">
        <v>211</v>
      </c>
      <c r="F48" s="28">
        <v>1</v>
      </c>
      <c r="G48" s="65">
        <v>11</v>
      </c>
      <c r="J48" s="72">
        <v>11</v>
      </c>
      <c r="K48" s="46">
        <f t="shared" si="17"/>
        <v>100</v>
      </c>
      <c r="L48" s="46">
        <f t="shared" si="18"/>
        <v>0</v>
      </c>
      <c r="M48" s="46">
        <f t="shared" si="19"/>
        <v>0</v>
      </c>
      <c r="N48" s="67">
        <f t="shared" si="3"/>
        <v>100</v>
      </c>
      <c r="O48" s="45">
        <v>48.2</v>
      </c>
      <c r="P48" s="46"/>
      <c r="Q48" s="46"/>
      <c r="R48" s="47">
        <f t="shared" si="4"/>
        <v>48.2</v>
      </c>
      <c r="S48" s="28">
        <v>4</v>
      </c>
      <c r="T48" s="284">
        <v>28997</v>
      </c>
      <c r="U48" s="293">
        <v>29010</v>
      </c>
      <c r="V48" s="37" t="s">
        <v>100</v>
      </c>
      <c r="W48" s="28" t="s">
        <v>74</v>
      </c>
      <c r="X48" s="28" t="s">
        <v>11</v>
      </c>
      <c r="Y48" s="38">
        <v>48.2</v>
      </c>
      <c r="AD48" s="37"/>
      <c r="AG48" s="38"/>
      <c r="AL48" s="37"/>
      <c r="AO48" s="38"/>
      <c r="AP48" s="37"/>
      <c r="AS48" s="38"/>
      <c r="AW48" s="38"/>
      <c r="BA48" s="39"/>
    </row>
    <row r="49" spans="1:53" s="28" customFormat="1" x14ac:dyDescent="0.15">
      <c r="A49" s="51">
        <v>1980</v>
      </c>
      <c r="B49" s="293"/>
      <c r="C49" s="370" t="s">
        <v>231</v>
      </c>
      <c r="D49" s="370"/>
      <c r="E49" s="28">
        <v>62</v>
      </c>
      <c r="G49" s="65">
        <v>11</v>
      </c>
      <c r="J49" s="72">
        <v>11</v>
      </c>
      <c r="K49" s="46">
        <f t="shared" si="17"/>
        <v>100</v>
      </c>
      <c r="L49" s="46">
        <f t="shared" si="18"/>
        <v>0</v>
      </c>
      <c r="M49" s="46">
        <f t="shared" si="19"/>
        <v>0</v>
      </c>
      <c r="N49" s="67">
        <f t="shared" si="3"/>
        <v>100</v>
      </c>
      <c r="O49" s="45">
        <v>48.2</v>
      </c>
      <c r="P49" s="46"/>
      <c r="Q49" s="46"/>
      <c r="R49" s="47">
        <f t="shared" si="4"/>
        <v>48.2</v>
      </c>
      <c r="S49" s="28">
        <v>4</v>
      </c>
      <c r="T49" s="284"/>
      <c r="U49" s="293"/>
      <c r="V49" s="37" t="s">
        <v>100</v>
      </c>
      <c r="W49" s="28" t="s">
        <v>74</v>
      </c>
      <c r="X49" s="28" t="s">
        <v>11</v>
      </c>
      <c r="Y49" s="38">
        <v>48.2</v>
      </c>
      <c r="AD49" s="37"/>
      <c r="AG49" s="38"/>
      <c r="AL49" s="37"/>
      <c r="AO49" s="38"/>
      <c r="AP49" s="37"/>
      <c r="AS49" s="38"/>
      <c r="AW49" s="38"/>
      <c r="BA49" s="39"/>
    </row>
    <row r="50" spans="1:53" s="170" customFormat="1" x14ac:dyDescent="0.15">
      <c r="A50" s="215">
        <v>1980</v>
      </c>
      <c r="B50" s="281">
        <v>29283</v>
      </c>
      <c r="C50" s="369" t="s">
        <v>1442</v>
      </c>
      <c r="D50" s="369"/>
      <c r="E50" s="170">
        <v>304</v>
      </c>
      <c r="F50" s="170">
        <v>5</v>
      </c>
      <c r="G50" s="232"/>
      <c r="H50" s="170">
        <v>27</v>
      </c>
      <c r="J50" s="240">
        <v>27</v>
      </c>
      <c r="K50" s="213">
        <f t="shared" si="17"/>
        <v>0</v>
      </c>
      <c r="L50" s="213">
        <f t="shared" si="18"/>
        <v>100</v>
      </c>
      <c r="M50" s="213">
        <f t="shared" si="19"/>
        <v>0</v>
      </c>
      <c r="N50" s="234">
        <f t="shared" si="3"/>
        <v>100</v>
      </c>
      <c r="O50" s="212"/>
      <c r="P50" s="213">
        <v>52.1</v>
      </c>
      <c r="Q50" s="213"/>
      <c r="R50" s="214">
        <f t="shared" si="4"/>
        <v>52.1</v>
      </c>
      <c r="S50" s="170">
        <v>1</v>
      </c>
      <c r="T50" s="283">
        <v>29269</v>
      </c>
      <c r="U50" s="281">
        <v>29283</v>
      </c>
      <c r="V50" s="177" t="s">
        <v>72</v>
      </c>
      <c r="W50" s="170" t="s">
        <v>22</v>
      </c>
      <c r="X50" s="170" t="s">
        <v>18</v>
      </c>
      <c r="Y50" s="178">
        <v>52.1</v>
      </c>
      <c r="AD50" s="177"/>
      <c r="AG50" s="178"/>
      <c r="AL50" s="177"/>
      <c r="AO50" s="178"/>
      <c r="AP50" s="177"/>
      <c r="AS50" s="178"/>
      <c r="AW50" s="178"/>
      <c r="BA50" s="179"/>
    </row>
    <row r="51" spans="1:53" s="170" customFormat="1" x14ac:dyDescent="0.15">
      <c r="A51" s="215">
        <v>1981</v>
      </c>
      <c r="B51" s="281"/>
      <c r="C51" s="369" t="s">
        <v>1442</v>
      </c>
      <c r="D51" s="369"/>
      <c r="E51" s="170">
        <v>0</v>
      </c>
      <c r="G51" s="232"/>
      <c r="H51" s="170">
        <v>27</v>
      </c>
      <c r="J51" s="240">
        <v>27</v>
      </c>
      <c r="K51" s="213">
        <f>G51/J51*100</f>
        <v>0</v>
      </c>
      <c r="L51" s="213">
        <f>H51/J51*100</f>
        <v>100</v>
      </c>
      <c r="M51" s="213">
        <f>I51/J51*100</f>
        <v>0</v>
      </c>
      <c r="N51" s="234">
        <f t="shared" si="3"/>
        <v>100</v>
      </c>
      <c r="O51" s="212"/>
      <c r="P51" s="213">
        <v>52.1</v>
      </c>
      <c r="Q51" s="213"/>
      <c r="R51" s="214">
        <f t="shared" si="4"/>
        <v>52.1</v>
      </c>
      <c r="S51" s="170">
        <v>1</v>
      </c>
      <c r="T51" s="283"/>
      <c r="U51" s="281"/>
      <c r="V51" s="177" t="s">
        <v>72</v>
      </c>
      <c r="W51" s="170" t="s">
        <v>22</v>
      </c>
      <c r="X51" s="170" t="s">
        <v>18</v>
      </c>
      <c r="Y51" s="178">
        <v>52.1</v>
      </c>
      <c r="AD51" s="177"/>
      <c r="AG51" s="178"/>
      <c r="AL51" s="177"/>
      <c r="AO51" s="178"/>
      <c r="AP51" s="177"/>
      <c r="AS51" s="178"/>
      <c r="AW51" s="178"/>
      <c r="BA51" s="179"/>
    </row>
    <row r="52" spans="1:53" s="170" customFormat="1" x14ac:dyDescent="0.15">
      <c r="A52" s="215">
        <v>1981</v>
      </c>
      <c r="B52" s="281"/>
      <c r="C52" s="369" t="s">
        <v>1442</v>
      </c>
      <c r="D52" s="369"/>
      <c r="E52" s="170">
        <f>365-E51</f>
        <v>365</v>
      </c>
      <c r="G52" s="232"/>
      <c r="H52" s="170">
        <v>27</v>
      </c>
      <c r="J52" s="240">
        <v>27</v>
      </c>
      <c r="K52" s="213">
        <f t="shared" ref="K52:K57" si="20">G52/J52*100</f>
        <v>0</v>
      </c>
      <c r="L52" s="213">
        <f t="shared" ref="L52:L57" si="21">H52/J52*100</f>
        <v>100</v>
      </c>
      <c r="M52" s="213">
        <f t="shared" ref="M52:M57" si="22">I52/J52*100</f>
        <v>0</v>
      </c>
      <c r="N52" s="234">
        <f t="shared" si="3"/>
        <v>100</v>
      </c>
      <c r="O52" s="212"/>
      <c r="P52" s="213">
        <v>52.1</v>
      </c>
      <c r="Q52" s="213"/>
      <c r="R52" s="214">
        <f t="shared" si="4"/>
        <v>52.1</v>
      </c>
      <c r="S52" s="170">
        <v>1</v>
      </c>
      <c r="T52" s="283"/>
      <c r="U52" s="281"/>
      <c r="V52" s="177" t="s">
        <v>72</v>
      </c>
      <c r="W52" s="170" t="s">
        <v>22</v>
      </c>
      <c r="X52" s="170" t="s">
        <v>18</v>
      </c>
      <c r="Y52" s="178">
        <v>52.1</v>
      </c>
      <c r="AD52" s="177"/>
      <c r="AG52" s="178"/>
      <c r="AL52" s="177"/>
      <c r="AO52" s="178"/>
      <c r="AP52" s="177"/>
      <c r="AS52" s="178"/>
      <c r="AW52" s="178"/>
      <c r="BA52" s="179"/>
    </row>
    <row r="53" spans="1:53" s="170" customFormat="1" x14ac:dyDescent="0.15">
      <c r="A53" s="215">
        <v>1982</v>
      </c>
      <c r="B53" s="281"/>
      <c r="C53" s="369" t="s">
        <v>1442</v>
      </c>
      <c r="D53" s="369"/>
      <c r="E53" s="170">
        <v>0</v>
      </c>
      <c r="G53" s="232"/>
      <c r="H53" s="170">
        <v>27</v>
      </c>
      <c r="J53" s="240">
        <v>27</v>
      </c>
      <c r="K53" s="213">
        <f t="shared" si="20"/>
        <v>0</v>
      </c>
      <c r="L53" s="213">
        <f t="shared" si="21"/>
        <v>100</v>
      </c>
      <c r="M53" s="213">
        <f t="shared" si="22"/>
        <v>0</v>
      </c>
      <c r="N53" s="234">
        <f t="shared" si="3"/>
        <v>100</v>
      </c>
      <c r="O53" s="212"/>
      <c r="P53" s="213">
        <v>52.1</v>
      </c>
      <c r="Q53" s="213"/>
      <c r="R53" s="214">
        <f t="shared" si="4"/>
        <v>52.1</v>
      </c>
      <c r="S53" s="170">
        <v>1</v>
      </c>
      <c r="T53" s="283"/>
      <c r="U53" s="281"/>
      <c r="V53" s="177" t="s">
        <v>72</v>
      </c>
      <c r="W53" s="170" t="s">
        <v>22</v>
      </c>
      <c r="X53" s="170" t="s">
        <v>18</v>
      </c>
      <c r="Y53" s="178">
        <v>52.1</v>
      </c>
      <c r="AD53" s="177"/>
      <c r="AG53" s="178"/>
      <c r="AL53" s="177"/>
      <c r="AO53" s="178"/>
      <c r="AP53" s="177"/>
      <c r="AS53" s="178"/>
      <c r="AW53" s="178"/>
      <c r="BA53" s="179"/>
    </row>
    <row r="54" spans="1:53" s="170" customFormat="1" x14ac:dyDescent="0.15">
      <c r="A54" s="215">
        <v>1982</v>
      </c>
      <c r="B54" s="281"/>
      <c r="C54" s="369" t="s">
        <v>1442</v>
      </c>
      <c r="D54" s="369"/>
      <c r="E54" s="170">
        <f>365-E53</f>
        <v>365</v>
      </c>
      <c r="G54" s="232"/>
      <c r="H54" s="170">
        <v>27</v>
      </c>
      <c r="J54" s="240">
        <v>27</v>
      </c>
      <c r="K54" s="213">
        <f t="shared" si="20"/>
        <v>0</v>
      </c>
      <c r="L54" s="213">
        <f t="shared" si="21"/>
        <v>100</v>
      </c>
      <c r="M54" s="213">
        <f t="shared" si="22"/>
        <v>0</v>
      </c>
      <c r="N54" s="234">
        <f t="shared" si="3"/>
        <v>100</v>
      </c>
      <c r="O54" s="212"/>
      <c r="P54" s="213">
        <v>52.1</v>
      </c>
      <c r="Q54" s="213"/>
      <c r="R54" s="214">
        <f t="shared" si="4"/>
        <v>52.1</v>
      </c>
      <c r="S54" s="170">
        <v>1</v>
      </c>
      <c r="T54" s="283"/>
      <c r="U54" s="281"/>
      <c r="V54" s="177" t="s">
        <v>72</v>
      </c>
      <c r="W54" s="170" t="s">
        <v>22</v>
      </c>
      <c r="X54" s="170" t="s">
        <v>18</v>
      </c>
      <c r="Y54" s="178">
        <v>52.1</v>
      </c>
      <c r="AD54" s="177"/>
      <c r="AG54" s="178"/>
      <c r="AL54" s="177"/>
      <c r="AO54" s="178"/>
      <c r="AP54" s="177"/>
      <c r="AS54" s="178"/>
      <c r="AW54" s="178"/>
      <c r="BA54" s="179"/>
    </row>
    <row r="55" spans="1:53" s="170" customFormat="1" x14ac:dyDescent="0.15">
      <c r="A55" s="215">
        <v>1983</v>
      </c>
      <c r="B55" s="281"/>
      <c r="C55" s="369" t="s">
        <v>1442</v>
      </c>
      <c r="D55" s="369"/>
      <c r="E55" s="170">
        <v>180</v>
      </c>
      <c r="G55" s="232"/>
      <c r="H55" s="170">
        <v>27</v>
      </c>
      <c r="J55" s="240">
        <v>27</v>
      </c>
      <c r="K55" s="213">
        <f t="shared" si="20"/>
        <v>0</v>
      </c>
      <c r="L55" s="213">
        <f t="shared" si="21"/>
        <v>100</v>
      </c>
      <c r="M55" s="213">
        <f t="shared" si="22"/>
        <v>0</v>
      </c>
      <c r="N55" s="234">
        <f t="shared" si="3"/>
        <v>100</v>
      </c>
      <c r="O55" s="212"/>
      <c r="P55" s="213">
        <v>52.1</v>
      </c>
      <c r="Q55" s="213"/>
      <c r="R55" s="214">
        <f t="shared" si="4"/>
        <v>52.1</v>
      </c>
      <c r="S55" s="170">
        <v>1</v>
      </c>
      <c r="T55" s="283"/>
      <c r="U55" s="281"/>
      <c r="V55" s="177" t="s">
        <v>72</v>
      </c>
      <c r="W55" s="170" t="s">
        <v>22</v>
      </c>
      <c r="X55" s="170" t="s">
        <v>18</v>
      </c>
      <c r="Y55" s="178">
        <v>52.1</v>
      </c>
      <c r="AD55" s="177"/>
      <c r="AG55" s="178"/>
      <c r="AL55" s="177"/>
      <c r="AO55" s="178"/>
      <c r="AP55" s="177"/>
      <c r="AS55" s="178"/>
      <c r="AW55" s="178"/>
      <c r="BA55" s="179"/>
    </row>
    <row r="56" spans="1:53" s="28" customFormat="1" x14ac:dyDescent="0.15">
      <c r="A56" s="51">
        <v>1983</v>
      </c>
      <c r="B56" s="293">
        <v>30497</v>
      </c>
      <c r="C56" s="370" t="s">
        <v>232</v>
      </c>
      <c r="D56" s="370"/>
      <c r="E56" s="28">
        <f>365-E55</f>
        <v>185</v>
      </c>
      <c r="F56" s="28">
        <v>2</v>
      </c>
      <c r="G56" s="65"/>
      <c r="H56" s="28">
        <v>25</v>
      </c>
      <c r="J56" s="72">
        <v>25</v>
      </c>
      <c r="K56" s="46">
        <f t="shared" si="20"/>
        <v>0</v>
      </c>
      <c r="L56" s="46">
        <f t="shared" si="21"/>
        <v>100</v>
      </c>
      <c r="M56" s="46">
        <f t="shared" si="22"/>
        <v>0</v>
      </c>
      <c r="N56" s="67">
        <f t="shared" si="3"/>
        <v>100</v>
      </c>
      <c r="O56" s="45"/>
      <c r="P56" s="46">
        <v>52.1</v>
      </c>
      <c r="Q56" s="46"/>
      <c r="R56" s="47">
        <f t="shared" si="4"/>
        <v>52.1</v>
      </c>
      <c r="S56" s="28">
        <v>1</v>
      </c>
      <c r="T56" s="284"/>
      <c r="U56" s="293">
        <v>30497</v>
      </c>
      <c r="V56" s="37" t="s">
        <v>72</v>
      </c>
      <c r="W56" s="28" t="s">
        <v>22</v>
      </c>
      <c r="X56" s="28" t="s">
        <v>18</v>
      </c>
      <c r="Y56" s="38">
        <v>52.1</v>
      </c>
      <c r="AD56" s="37"/>
      <c r="AG56" s="38"/>
      <c r="AL56" s="37"/>
      <c r="AO56" s="38"/>
      <c r="AP56" s="37"/>
      <c r="AS56" s="38"/>
      <c r="AW56" s="38"/>
      <c r="BA56" s="39"/>
    </row>
    <row r="57" spans="1:53" s="28" customFormat="1" x14ac:dyDescent="0.15">
      <c r="A57" s="51">
        <v>1984</v>
      </c>
      <c r="B57" s="293"/>
      <c r="C57" s="370" t="s">
        <v>232</v>
      </c>
      <c r="D57" s="370"/>
      <c r="E57" s="28">
        <v>260</v>
      </c>
      <c r="G57" s="65"/>
      <c r="H57" s="28">
        <v>25</v>
      </c>
      <c r="J57" s="72">
        <v>25</v>
      </c>
      <c r="K57" s="46">
        <f t="shared" si="20"/>
        <v>0</v>
      </c>
      <c r="L57" s="46">
        <f t="shared" si="21"/>
        <v>100</v>
      </c>
      <c r="M57" s="46">
        <f t="shared" si="22"/>
        <v>0</v>
      </c>
      <c r="N57" s="67">
        <f t="shared" si="3"/>
        <v>100</v>
      </c>
      <c r="O57" s="45"/>
      <c r="P57" s="46">
        <v>52.1</v>
      </c>
      <c r="Q57" s="46"/>
      <c r="R57" s="47">
        <f t="shared" si="4"/>
        <v>52.1</v>
      </c>
      <c r="S57" s="28">
        <v>1</v>
      </c>
      <c r="T57" s="284"/>
      <c r="U57" s="293"/>
      <c r="V57" s="37" t="s">
        <v>72</v>
      </c>
      <c r="W57" s="28" t="s">
        <v>22</v>
      </c>
      <c r="X57" s="28" t="s">
        <v>18</v>
      </c>
      <c r="Y57" s="38">
        <v>52.1</v>
      </c>
      <c r="AD57" s="37"/>
      <c r="AG57" s="38"/>
      <c r="AL57" s="37"/>
      <c r="AO57" s="38"/>
      <c r="AP57" s="37"/>
      <c r="AS57" s="38"/>
      <c r="AW57" s="38"/>
      <c r="BA57" s="39"/>
    </row>
    <row r="58" spans="1:53" s="170" customFormat="1" x14ac:dyDescent="0.15">
      <c r="A58" s="215">
        <v>1984</v>
      </c>
      <c r="B58" s="281">
        <v>30942</v>
      </c>
      <c r="C58" s="369" t="s">
        <v>233</v>
      </c>
      <c r="D58" s="369"/>
      <c r="E58" s="170">
        <v>106</v>
      </c>
      <c r="F58" s="170">
        <v>1</v>
      </c>
      <c r="G58" s="232">
        <v>30</v>
      </c>
      <c r="J58" s="240">
        <v>30</v>
      </c>
      <c r="K58" s="213">
        <f>G58/J58*100</f>
        <v>100</v>
      </c>
      <c r="L58" s="213">
        <f>H58/J58*100</f>
        <v>0</v>
      </c>
      <c r="M58" s="213">
        <f>I58/J58*100</f>
        <v>0</v>
      </c>
      <c r="N58" s="234">
        <f t="shared" si="3"/>
        <v>100</v>
      </c>
      <c r="O58" s="212">
        <v>74.8</v>
      </c>
      <c r="P58" s="213"/>
      <c r="Q58" s="213"/>
      <c r="R58" s="214">
        <f t="shared" si="4"/>
        <v>74.8</v>
      </c>
      <c r="S58" s="170">
        <v>1</v>
      </c>
      <c r="T58" s="283">
        <v>30929</v>
      </c>
      <c r="U58" s="281">
        <v>30942</v>
      </c>
      <c r="V58" s="177" t="s">
        <v>100</v>
      </c>
      <c r="W58" s="170" t="s">
        <v>74</v>
      </c>
      <c r="X58" s="170" t="s">
        <v>11</v>
      </c>
      <c r="Y58" s="178">
        <v>74.8</v>
      </c>
      <c r="AD58" s="177"/>
      <c r="AG58" s="178"/>
      <c r="AL58" s="177"/>
      <c r="AO58" s="178"/>
      <c r="AP58" s="177"/>
      <c r="AS58" s="178"/>
      <c r="AW58" s="178"/>
      <c r="BA58" s="179"/>
    </row>
    <row r="59" spans="1:53" s="170" customFormat="1" x14ac:dyDescent="0.15">
      <c r="A59" s="215">
        <v>1985</v>
      </c>
      <c r="B59" s="281"/>
      <c r="C59" s="369" t="s">
        <v>233</v>
      </c>
      <c r="D59" s="369"/>
      <c r="E59" s="170">
        <v>0</v>
      </c>
      <c r="G59" s="232">
        <v>30</v>
      </c>
      <c r="J59" s="240">
        <v>30</v>
      </c>
      <c r="K59" s="213">
        <f t="shared" ref="K59:K64" si="23">G59/J59*100</f>
        <v>100</v>
      </c>
      <c r="L59" s="213">
        <f t="shared" ref="L59:L64" si="24">H59/J59*100</f>
        <v>0</v>
      </c>
      <c r="M59" s="213">
        <f t="shared" ref="M59:M64" si="25">I59/J59*100</f>
        <v>0</v>
      </c>
      <c r="N59" s="234">
        <f t="shared" si="3"/>
        <v>100</v>
      </c>
      <c r="O59" s="212">
        <v>74.8</v>
      </c>
      <c r="P59" s="213"/>
      <c r="Q59" s="213"/>
      <c r="R59" s="214">
        <f t="shared" si="4"/>
        <v>74.8</v>
      </c>
      <c r="S59" s="170">
        <v>1</v>
      </c>
      <c r="T59" s="283"/>
      <c r="U59" s="281"/>
      <c r="V59" s="177" t="s">
        <v>100</v>
      </c>
      <c r="W59" s="170" t="s">
        <v>74</v>
      </c>
      <c r="X59" s="170" t="s">
        <v>11</v>
      </c>
      <c r="Y59" s="178">
        <v>74.8</v>
      </c>
      <c r="AD59" s="177"/>
      <c r="AG59" s="178"/>
      <c r="AL59" s="177"/>
      <c r="AO59" s="178"/>
      <c r="AP59" s="177"/>
      <c r="AS59" s="178"/>
      <c r="AW59" s="178"/>
      <c r="BA59" s="179"/>
    </row>
    <row r="60" spans="1:53" s="170" customFormat="1" x14ac:dyDescent="0.15">
      <c r="A60" s="215">
        <v>1985</v>
      </c>
      <c r="B60" s="281"/>
      <c r="C60" s="369" t="s">
        <v>233</v>
      </c>
      <c r="D60" s="369"/>
      <c r="E60" s="170">
        <v>365</v>
      </c>
      <c r="G60" s="232">
        <v>30</v>
      </c>
      <c r="J60" s="240">
        <v>30</v>
      </c>
      <c r="K60" s="213">
        <f t="shared" si="23"/>
        <v>100</v>
      </c>
      <c r="L60" s="213">
        <f t="shared" si="24"/>
        <v>0</v>
      </c>
      <c r="M60" s="213">
        <f t="shared" si="25"/>
        <v>0</v>
      </c>
      <c r="N60" s="234">
        <f t="shared" si="3"/>
        <v>100</v>
      </c>
      <c r="O60" s="212">
        <v>74.8</v>
      </c>
      <c r="P60" s="213"/>
      <c r="Q60" s="213"/>
      <c r="R60" s="214">
        <f t="shared" si="4"/>
        <v>74.8</v>
      </c>
      <c r="S60" s="170">
        <v>1</v>
      </c>
      <c r="T60" s="283"/>
      <c r="U60" s="281"/>
      <c r="V60" s="177" t="s">
        <v>100</v>
      </c>
      <c r="W60" s="170" t="s">
        <v>74</v>
      </c>
      <c r="X60" s="170" t="s">
        <v>11</v>
      </c>
      <c r="Y60" s="178">
        <v>74.8</v>
      </c>
      <c r="AD60" s="177"/>
      <c r="AG60" s="178"/>
      <c r="AL60" s="177"/>
      <c r="AO60" s="178"/>
      <c r="AP60" s="177"/>
      <c r="AS60" s="178"/>
      <c r="AW60" s="178"/>
      <c r="BA60" s="179"/>
    </row>
    <row r="61" spans="1:53" s="170" customFormat="1" x14ac:dyDescent="0.15">
      <c r="A61" s="215">
        <v>1986</v>
      </c>
      <c r="B61" s="281"/>
      <c r="C61" s="369" t="s">
        <v>233</v>
      </c>
      <c r="D61" s="369"/>
      <c r="E61" s="170">
        <f>365-E60</f>
        <v>0</v>
      </c>
      <c r="G61" s="232">
        <v>30</v>
      </c>
      <c r="J61" s="240">
        <v>30</v>
      </c>
      <c r="K61" s="213">
        <f t="shared" si="23"/>
        <v>100</v>
      </c>
      <c r="L61" s="213">
        <f t="shared" si="24"/>
        <v>0</v>
      </c>
      <c r="M61" s="213">
        <f t="shared" si="25"/>
        <v>0</v>
      </c>
      <c r="N61" s="234">
        <f t="shared" si="3"/>
        <v>100</v>
      </c>
      <c r="O61" s="212">
        <v>74.8</v>
      </c>
      <c r="P61" s="213"/>
      <c r="Q61" s="213"/>
      <c r="R61" s="214">
        <f t="shared" si="4"/>
        <v>74.8</v>
      </c>
      <c r="S61" s="170">
        <v>1</v>
      </c>
      <c r="T61" s="283"/>
      <c r="U61" s="281"/>
      <c r="V61" s="177" t="s">
        <v>100</v>
      </c>
      <c r="W61" s="170" t="s">
        <v>74</v>
      </c>
      <c r="X61" s="170" t="s">
        <v>11</v>
      </c>
      <c r="Y61" s="178">
        <v>74.8</v>
      </c>
      <c r="AD61" s="177"/>
      <c r="AG61" s="178"/>
      <c r="AL61" s="177"/>
      <c r="AO61" s="178"/>
      <c r="AP61" s="177"/>
      <c r="AS61" s="178"/>
      <c r="AW61" s="178"/>
      <c r="BA61" s="179"/>
    </row>
    <row r="62" spans="1:53" s="170" customFormat="1" x14ac:dyDescent="0.15">
      <c r="A62" s="215">
        <v>1986</v>
      </c>
      <c r="B62" s="281"/>
      <c r="C62" s="369" t="s">
        <v>233</v>
      </c>
      <c r="D62" s="369"/>
      <c r="E62" s="170">
        <v>365</v>
      </c>
      <c r="G62" s="232">
        <v>30</v>
      </c>
      <c r="J62" s="240">
        <v>30</v>
      </c>
      <c r="K62" s="213">
        <f t="shared" si="23"/>
        <v>100</v>
      </c>
      <c r="L62" s="213">
        <f t="shared" si="24"/>
        <v>0</v>
      </c>
      <c r="M62" s="213">
        <f t="shared" si="25"/>
        <v>0</v>
      </c>
      <c r="N62" s="234">
        <f t="shared" si="3"/>
        <v>100</v>
      </c>
      <c r="O62" s="212">
        <v>74.8</v>
      </c>
      <c r="P62" s="213"/>
      <c r="Q62" s="213"/>
      <c r="R62" s="214">
        <f t="shared" si="4"/>
        <v>74.8</v>
      </c>
      <c r="S62" s="170">
        <v>1</v>
      </c>
      <c r="T62" s="283"/>
      <c r="U62" s="281"/>
      <c r="V62" s="177" t="s">
        <v>100</v>
      </c>
      <c r="W62" s="170" t="s">
        <v>74</v>
      </c>
      <c r="X62" s="170" t="s">
        <v>11</v>
      </c>
      <c r="Y62" s="178">
        <v>74.8</v>
      </c>
      <c r="AD62" s="177"/>
      <c r="AG62" s="178"/>
      <c r="AL62" s="177"/>
      <c r="AO62" s="178"/>
      <c r="AP62" s="177"/>
      <c r="AS62" s="178"/>
      <c r="AW62" s="178"/>
      <c r="BA62" s="179"/>
    </row>
    <row r="63" spans="1:53" s="170" customFormat="1" x14ac:dyDescent="0.15">
      <c r="A63" s="215">
        <v>1987</v>
      </c>
      <c r="B63" s="281"/>
      <c r="C63" s="369" t="s">
        <v>233</v>
      </c>
      <c r="D63" s="369"/>
      <c r="E63" s="170">
        <f>365-E62</f>
        <v>0</v>
      </c>
      <c r="G63" s="232">
        <v>30</v>
      </c>
      <c r="J63" s="240">
        <v>30</v>
      </c>
      <c r="K63" s="213">
        <f t="shared" si="23"/>
        <v>100</v>
      </c>
      <c r="L63" s="213">
        <f t="shared" si="24"/>
        <v>0</v>
      </c>
      <c r="M63" s="213">
        <f t="shared" si="25"/>
        <v>0</v>
      </c>
      <c r="N63" s="234">
        <f t="shared" si="3"/>
        <v>100</v>
      </c>
      <c r="O63" s="212">
        <v>74.8</v>
      </c>
      <c r="P63" s="213"/>
      <c r="Q63" s="213"/>
      <c r="R63" s="214">
        <f t="shared" si="4"/>
        <v>74.8</v>
      </c>
      <c r="S63" s="170">
        <v>1</v>
      </c>
      <c r="T63" s="283"/>
      <c r="U63" s="281"/>
      <c r="V63" s="177" t="s">
        <v>100</v>
      </c>
      <c r="W63" s="170" t="s">
        <v>74</v>
      </c>
      <c r="X63" s="170" t="s">
        <v>11</v>
      </c>
      <c r="Y63" s="178">
        <v>74.8</v>
      </c>
      <c r="AD63" s="177"/>
      <c r="AG63" s="178"/>
      <c r="AL63" s="177"/>
      <c r="AO63" s="178"/>
      <c r="AP63" s="177"/>
      <c r="AS63" s="178"/>
      <c r="AW63" s="178"/>
      <c r="BA63" s="179"/>
    </row>
    <row r="64" spans="1:53" s="170" customFormat="1" x14ac:dyDescent="0.15">
      <c r="A64" s="215">
        <v>1987</v>
      </c>
      <c r="B64" s="281"/>
      <c r="C64" s="369" t="s">
        <v>233</v>
      </c>
      <c r="D64" s="369"/>
      <c r="E64" s="170">
        <v>365</v>
      </c>
      <c r="G64" s="232">
        <v>30</v>
      </c>
      <c r="J64" s="240">
        <v>30</v>
      </c>
      <c r="K64" s="213">
        <f t="shared" si="23"/>
        <v>100</v>
      </c>
      <c r="L64" s="213">
        <f t="shared" si="24"/>
        <v>0</v>
      </c>
      <c r="M64" s="213">
        <f t="shared" si="25"/>
        <v>0</v>
      </c>
      <c r="N64" s="234">
        <f t="shared" si="3"/>
        <v>100</v>
      </c>
      <c r="O64" s="212">
        <v>74.8</v>
      </c>
      <c r="P64" s="213"/>
      <c r="Q64" s="213"/>
      <c r="R64" s="214">
        <f t="shared" si="4"/>
        <v>74.8</v>
      </c>
      <c r="S64" s="170">
        <v>1</v>
      </c>
      <c r="T64" s="283"/>
      <c r="U64" s="281"/>
      <c r="V64" s="177" t="s">
        <v>100</v>
      </c>
      <c r="W64" s="170" t="s">
        <v>74</v>
      </c>
      <c r="X64" s="170" t="s">
        <v>11</v>
      </c>
      <c r="Y64" s="178">
        <v>74.8</v>
      </c>
      <c r="AD64" s="177"/>
      <c r="AG64" s="178"/>
      <c r="AL64" s="177"/>
      <c r="AO64" s="178"/>
      <c r="AP64" s="177"/>
      <c r="AS64" s="178"/>
      <c r="AW64" s="178"/>
      <c r="BA64" s="179"/>
    </row>
    <row r="65" spans="1:53" s="170" customFormat="1" x14ac:dyDescent="0.15">
      <c r="A65" s="215">
        <v>1988</v>
      </c>
      <c r="B65" s="281"/>
      <c r="C65" s="369" t="s">
        <v>233</v>
      </c>
      <c r="D65" s="369"/>
      <c r="E65" s="170">
        <v>341</v>
      </c>
      <c r="G65" s="232">
        <v>30</v>
      </c>
      <c r="J65" s="240">
        <v>30</v>
      </c>
      <c r="K65" s="213">
        <f>G65/J65*100</f>
        <v>100</v>
      </c>
      <c r="L65" s="213">
        <f>H65/J65*100</f>
        <v>0</v>
      </c>
      <c r="M65" s="213">
        <f>I65/J65*100</f>
        <v>0</v>
      </c>
      <c r="N65" s="234">
        <f t="shared" si="3"/>
        <v>100</v>
      </c>
      <c r="O65" s="212">
        <v>74.8</v>
      </c>
      <c r="P65" s="213"/>
      <c r="Q65" s="213"/>
      <c r="R65" s="214">
        <f t="shared" si="4"/>
        <v>74.8</v>
      </c>
      <c r="S65" s="170">
        <v>1</v>
      </c>
      <c r="T65" s="283"/>
      <c r="U65" s="281"/>
      <c r="V65" s="177" t="s">
        <v>100</v>
      </c>
      <c r="W65" s="170" t="s">
        <v>74</v>
      </c>
      <c r="X65" s="170" t="s">
        <v>11</v>
      </c>
      <c r="Y65" s="178">
        <v>74.8</v>
      </c>
      <c r="AD65" s="177"/>
      <c r="AG65" s="178"/>
      <c r="AL65" s="177"/>
      <c r="AO65" s="178"/>
      <c r="AP65" s="177"/>
      <c r="AS65" s="178"/>
      <c r="AW65" s="178"/>
      <c r="BA65" s="179"/>
    </row>
    <row r="66" spans="1:53" s="28" customFormat="1" x14ac:dyDescent="0.15">
      <c r="A66" s="51">
        <v>1988</v>
      </c>
      <c r="B66" s="293">
        <v>32484</v>
      </c>
      <c r="C66" s="370" t="s">
        <v>234</v>
      </c>
      <c r="D66" s="370"/>
      <c r="E66" s="28">
        <v>25</v>
      </c>
      <c r="F66" s="28">
        <v>1</v>
      </c>
      <c r="G66" s="65">
        <v>22</v>
      </c>
      <c r="J66" s="72">
        <v>22</v>
      </c>
      <c r="K66" s="46">
        <f>G66/J66*100</f>
        <v>100</v>
      </c>
      <c r="L66" s="46">
        <f>H66/J66*100</f>
        <v>0</v>
      </c>
      <c r="M66" s="46">
        <f>I66/J66*100</f>
        <v>0</v>
      </c>
      <c r="N66" s="67">
        <f t="shared" si="3"/>
        <v>100</v>
      </c>
      <c r="O66" s="45">
        <v>57.3</v>
      </c>
      <c r="P66" s="46"/>
      <c r="Q66" s="46"/>
      <c r="R66" s="47">
        <f t="shared" si="4"/>
        <v>57.3</v>
      </c>
      <c r="S66" s="28">
        <v>1</v>
      </c>
      <c r="T66" s="284">
        <v>32468</v>
      </c>
      <c r="U66" s="293">
        <v>32484</v>
      </c>
      <c r="V66" s="37" t="s">
        <v>100</v>
      </c>
      <c r="W66" s="28" t="s">
        <v>74</v>
      </c>
      <c r="X66" s="28" t="s">
        <v>11</v>
      </c>
      <c r="Y66" s="38">
        <v>57.3</v>
      </c>
      <c r="AD66" s="37"/>
      <c r="AG66" s="38"/>
      <c r="AL66" s="37"/>
      <c r="AO66" s="38"/>
      <c r="AP66" s="37"/>
      <c r="AS66" s="38"/>
      <c r="AW66" s="38"/>
      <c r="BA66" s="39"/>
    </row>
    <row r="67" spans="1:53" s="28" customFormat="1" x14ac:dyDescent="0.15">
      <c r="A67" s="28">
        <v>1989</v>
      </c>
      <c r="B67" s="293"/>
      <c r="C67" s="370" t="s">
        <v>234</v>
      </c>
      <c r="D67" s="370"/>
      <c r="E67" s="28">
        <v>0</v>
      </c>
      <c r="G67" s="65">
        <v>22</v>
      </c>
      <c r="J67" s="72">
        <v>22</v>
      </c>
      <c r="K67" s="46">
        <f>G67/J67*100</f>
        <v>100</v>
      </c>
      <c r="L67" s="46">
        <f>H67/J67*100</f>
        <v>0</v>
      </c>
      <c r="M67" s="46">
        <f>I67/J67*100</f>
        <v>0</v>
      </c>
      <c r="N67" s="67">
        <f t="shared" si="3"/>
        <v>100</v>
      </c>
      <c r="O67" s="45">
        <v>57.3</v>
      </c>
      <c r="P67" s="46"/>
      <c r="Q67" s="46"/>
      <c r="R67" s="47">
        <f t="shared" si="4"/>
        <v>57.3</v>
      </c>
      <c r="S67" s="28">
        <v>1</v>
      </c>
      <c r="T67" s="284"/>
      <c r="U67" s="293"/>
      <c r="V67" s="37" t="s">
        <v>100</v>
      </c>
      <c r="W67" s="28" t="s">
        <v>74</v>
      </c>
      <c r="X67" s="28" t="s">
        <v>11</v>
      </c>
      <c r="Y67" s="38">
        <v>57.3</v>
      </c>
      <c r="AD67" s="37"/>
      <c r="AG67" s="38"/>
      <c r="AL67" s="37"/>
      <c r="AO67" s="38"/>
      <c r="AP67" s="37"/>
      <c r="AS67" s="38"/>
      <c r="AW67" s="38"/>
      <c r="BA67" s="39"/>
    </row>
    <row r="68" spans="1:53" s="73" customFormat="1" x14ac:dyDescent="0.15">
      <c r="A68" s="73">
        <v>1989</v>
      </c>
      <c r="B68" s="300"/>
      <c r="C68" s="401" t="s">
        <v>234</v>
      </c>
      <c r="D68" s="401"/>
      <c r="E68" s="73">
        <f>365-E67</f>
        <v>365</v>
      </c>
      <c r="G68" s="74">
        <v>22</v>
      </c>
      <c r="J68" s="75">
        <v>22</v>
      </c>
      <c r="K68" s="76">
        <f>G68/J68*100</f>
        <v>100</v>
      </c>
      <c r="L68" s="76">
        <f>H68/J68*100</f>
        <v>0</v>
      </c>
      <c r="M68" s="76">
        <f>I68/J68*100</f>
        <v>0</v>
      </c>
      <c r="N68" s="77">
        <f t="shared" si="3"/>
        <v>100</v>
      </c>
      <c r="O68" s="78">
        <v>57.3</v>
      </c>
      <c r="P68" s="76"/>
      <c r="Q68" s="76"/>
      <c r="R68" s="79">
        <f t="shared" si="4"/>
        <v>57.3</v>
      </c>
      <c r="S68" s="73">
        <v>1</v>
      </c>
      <c r="T68" s="302"/>
      <c r="U68" s="300"/>
      <c r="V68" s="80" t="s">
        <v>100</v>
      </c>
      <c r="W68" s="73" t="s">
        <v>74</v>
      </c>
      <c r="X68" s="73" t="s">
        <v>11</v>
      </c>
      <c r="Y68" s="81">
        <v>57.3</v>
      </c>
      <c r="AD68" s="80"/>
      <c r="AG68" s="81"/>
      <c r="AL68" s="80"/>
      <c r="AO68" s="81"/>
      <c r="AP68" s="80"/>
      <c r="AS68" s="81"/>
      <c r="AW68" s="81"/>
      <c r="BA68" s="82"/>
    </row>
    <row r="69" spans="1:53" s="28" customFormat="1" x14ac:dyDescent="0.15">
      <c r="A69" s="28">
        <v>1990</v>
      </c>
      <c r="B69" s="293"/>
      <c r="C69" s="370" t="s">
        <v>234</v>
      </c>
      <c r="D69" s="370"/>
      <c r="E69" s="28">
        <v>0</v>
      </c>
      <c r="G69" s="65">
        <v>22</v>
      </c>
      <c r="J69" s="72">
        <v>22</v>
      </c>
      <c r="K69" s="46">
        <v>100</v>
      </c>
      <c r="L69" s="46">
        <v>0</v>
      </c>
      <c r="M69" s="46">
        <v>0</v>
      </c>
      <c r="N69" s="67">
        <f t="shared" si="3"/>
        <v>100</v>
      </c>
      <c r="O69" s="45">
        <v>57.3</v>
      </c>
      <c r="P69" s="46"/>
      <c r="Q69" s="46"/>
      <c r="R69" s="47">
        <f t="shared" si="4"/>
        <v>57.3</v>
      </c>
      <c r="S69" s="28">
        <v>1</v>
      </c>
      <c r="T69" s="284"/>
      <c r="U69" s="293"/>
      <c r="V69" s="37" t="s">
        <v>100</v>
      </c>
      <c r="W69" s="28" t="s">
        <v>74</v>
      </c>
      <c r="X69" s="28" t="s">
        <v>11</v>
      </c>
      <c r="Y69" s="38">
        <v>57.3</v>
      </c>
      <c r="AD69" s="37"/>
      <c r="AG69" s="38"/>
      <c r="AL69" s="37"/>
      <c r="AO69" s="38"/>
      <c r="AP69" s="37"/>
      <c r="AS69" s="38"/>
      <c r="AW69" s="38"/>
      <c r="BA69" s="39"/>
    </row>
    <row r="70" spans="1:53" s="28" customFormat="1" x14ac:dyDescent="0.15">
      <c r="A70" s="28">
        <v>1990</v>
      </c>
      <c r="B70" s="293"/>
      <c r="C70" s="370" t="s">
        <v>234</v>
      </c>
      <c r="D70" s="370"/>
      <c r="E70" s="28">
        <f>365-E69</f>
        <v>365</v>
      </c>
      <c r="G70" s="65">
        <v>22</v>
      </c>
      <c r="J70" s="72">
        <v>22</v>
      </c>
      <c r="K70" s="46">
        <v>100</v>
      </c>
      <c r="L70" s="46">
        <v>0</v>
      </c>
      <c r="M70" s="46">
        <v>0</v>
      </c>
      <c r="N70" s="67">
        <f t="shared" si="3"/>
        <v>100</v>
      </c>
      <c r="O70" s="45">
        <v>57.3</v>
      </c>
      <c r="P70" s="46"/>
      <c r="Q70" s="46"/>
      <c r="R70" s="47">
        <f t="shared" si="4"/>
        <v>57.3</v>
      </c>
      <c r="S70" s="28">
        <v>1</v>
      </c>
      <c r="T70" s="284"/>
      <c r="U70" s="293"/>
      <c r="V70" s="37" t="s">
        <v>100</v>
      </c>
      <c r="W70" s="28" t="s">
        <v>74</v>
      </c>
      <c r="X70" s="28" t="s">
        <v>11</v>
      </c>
      <c r="Y70" s="38">
        <v>57.3</v>
      </c>
      <c r="AD70" s="37"/>
      <c r="AG70" s="38"/>
      <c r="AL70" s="37"/>
      <c r="AO70" s="38"/>
      <c r="AP70" s="37"/>
      <c r="AS70" s="38"/>
      <c r="AW70" s="38"/>
      <c r="BA70" s="39"/>
    </row>
    <row r="71" spans="1:53" s="28" customFormat="1" x14ac:dyDescent="0.15">
      <c r="A71" s="28">
        <v>1991</v>
      </c>
      <c r="B71" s="293"/>
      <c r="C71" s="370" t="s">
        <v>234</v>
      </c>
      <c r="D71" s="370"/>
      <c r="E71" s="28">
        <v>0</v>
      </c>
      <c r="G71" s="65">
        <v>22</v>
      </c>
      <c r="J71" s="72">
        <v>22</v>
      </c>
      <c r="K71" s="46">
        <f>G71/J71*100</f>
        <v>100</v>
      </c>
      <c r="L71" s="46">
        <f>H71/J71*100</f>
        <v>0</v>
      </c>
      <c r="M71" s="46">
        <f>I71/J71*100</f>
        <v>0</v>
      </c>
      <c r="N71" s="67">
        <f t="shared" si="3"/>
        <v>100</v>
      </c>
      <c r="O71" s="45">
        <v>57.3</v>
      </c>
      <c r="P71" s="46"/>
      <c r="Q71" s="46"/>
      <c r="R71" s="47">
        <f t="shared" si="4"/>
        <v>57.3</v>
      </c>
      <c r="S71" s="28">
        <v>1</v>
      </c>
      <c r="T71" s="284"/>
      <c r="U71" s="293"/>
      <c r="V71" s="37" t="s">
        <v>100</v>
      </c>
      <c r="W71" s="28" t="s">
        <v>74</v>
      </c>
      <c r="X71" s="28" t="s">
        <v>11</v>
      </c>
      <c r="Y71" s="38">
        <v>57.3</v>
      </c>
      <c r="AD71" s="37"/>
      <c r="AG71" s="38"/>
      <c r="AL71" s="37"/>
      <c r="AO71" s="38"/>
      <c r="AP71" s="37"/>
      <c r="AS71" s="38"/>
      <c r="AW71" s="38"/>
      <c r="BA71" s="39"/>
    </row>
    <row r="72" spans="1:53" s="28" customFormat="1" x14ac:dyDescent="0.15">
      <c r="A72" s="28">
        <v>1991</v>
      </c>
      <c r="B72" s="293"/>
      <c r="C72" s="370" t="s">
        <v>234</v>
      </c>
      <c r="D72" s="370"/>
      <c r="E72" s="28">
        <f>365-E71</f>
        <v>365</v>
      </c>
      <c r="G72" s="65">
        <v>22</v>
      </c>
      <c r="J72" s="72">
        <v>22</v>
      </c>
      <c r="K72" s="46">
        <f>G72/J72*100</f>
        <v>100</v>
      </c>
      <c r="L72" s="46">
        <f>H72/J72*100</f>
        <v>0</v>
      </c>
      <c r="M72" s="46">
        <f>I72/J72*100</f>
        <v>0</v>
      </c>
      <c r="N72" s="67">
        <f t="shared" si="3"/>
        <v>100</v>
      </c>
      <c r="O72" s="45">
        <v>57.3</v>
      </c>
      <c r="P72" s="46"/>
      <c r="Q72" s="46"/>
      <c r="R72" s="47">
        <f t="shared" si="4"/>
        <v>57.3</v>
      </c>
      <c r="S72" s="28">
        <v>1</v>
      </c>
      <c r="T72" s="284"/>
      <c r="U72" s="293"/>
      <c r="V72" s="37" t="s">
        <v>100</v>
      </c>
      <c r="W72" s="28" t="s">
        <v>74</v>
      </c>
      <c r="X72" s="28" t="s">
        <v>11</v>
      </c>
      <c r="Y72" s="38">
        <v>57.3</v>
      </c>
      <c r="AD72" s="37"/>
      <c r="AG72" s="38"/>
      <c r="AL72" s="37"/>
      <c r="AO72" s="38"/>
      <c r="AP72" s="37"/>
      <c r="AS72" s="38"/>
      <c r="AW72" s="38"/>
      <c r="BA72" s="39"/>
    </row>
    <row r="73" spans="1:53" s="28" customFormat="1" x14ac:dyDescent="0.15">
      <c r="A73" s="28">
        <v>1992</v>
      </c>
      <c r="B73" s="293"/>
      <c r="C73" s="370" t="s">
        <v>234</v>
      </c>
      <c r="D73" s="370"/>
      <c r="E73" s="28">
        <v>0</v>
      </c>
      <c r="G73" s="65">
        <v>22</v>
      </c>
      <c r="J73" s="72">
        <v>22</v>
      </c>
      <c r="K73" s="46">
        <f>G73/J73*100</f>
        <v>100</v>
      </c>
      <c r="L73" s="46">
        <f>H73/J73*100</f>
        <v>0</v>
      </c>
      <c r="M73" s="46">
        <f>I73/J73*100</f>
        <v>0</v>
      </c>
      <c r="N73" s="67">
        <f t="shared" ref="N73:N117" si="26">SUM(K73:M73)</f>
        <v>100</v>
      </c>
      <c r="O73" s="45">
        <v>57.3</v>
      </c>
      <c r="P73" s="46"/>
      <c r="Q73" s="46"/>
      <c r="R73" s="47">
        <f t="shared" ref="R73:R117" si="27">SUM(O73:Q73)</f>
        <v>57.3</v>
      </c>
      <c r="S73" s="28">
        <v>1</v>
      </c>
      <c r="T73" s="284"/>
      <c r="U73" s="293"/>
      <c r="V73" s="37" t="s">
        <v>100</v>
      </c>
      <c r="W73" s="28" t="s">
        <v>74</v>
      </c>
      <c r="X73" s="28" t="s">
        <v>11</v>
      </c>
      <c r="Y73" s="38">
        <v>57.3</v>
      </c>
      <c r="AD73" s="37"/>
      <c r="AG73" s="38"/>
      <c r="AL73" s="37"/>
      <c r="AO73" s="38"/>
      <c r="AP73" s="37"/>
      <c r="AS73" s="38"/>
      <c r="AW73" s="38"/>
      <c r="BA73" s="39"/>
    </row>
    <row r="74" spans="1:53" s="28" customFormat="1" x14ac:dyDescent="0.15">
      <c r="A74" s="28">
        <v>1992</v>
      </c>
      <c r="B74" s="293"/>
      <c r="C74" s="370" t="s">
        <v>234</v>
      </c>
      <c r="D74" s="370"/>
      <c r="E74" s="28">
        <v>366</v>
      </c>
      <c r="G74" s="65">
        <v>22</v>
      </c>
      <c r="J74" s="72">
        <v>22</v>
      </c>
      <c r="K74" s="46">
        <f>G74/J74*100</f>
        <v>100</v>
      </c>
      <c r="L74" s="46">
        <f>H74/J74*100</f>
        <v>0</v>
      </c>
      <c r="M74" s="46">
        <f>I74/J74*100</f>
        <v>0</v>
      </c>
      <c r="N74" s="67">
        <f t="shared" si="26"/>
        <v>100</v>
      </c>
      <c r="O74" s="45">
        <v>57.3</v>
      </c>
      <c r="P74" s="46"/>
      <c r="Q74" s="46"/>
      <c r="R74" s="47">
        <f t="shared" si="27"/>
        <v>57.3</v>
      </c>
      <c r="S74" s="28">
        <v>1</v>
      </c>
      <c r="T74" s="284"/>
      <c r="U74" s="293"/>
      <c r="V74" s="37" t="s">
        <v>100</v>
      </c>
      <c r="W74" s="28" t="s">
        <v>74</v>
      </c>
      <c r="X74" s="28" t="s">
        <v>11</v>
      </c>
      <c r="Y74" s="38">
        <v>57.3</v>
      </c>
      <c r="AD74" s="37"/>
      <c r="AG74" s="38"/>
      <c r="AL74" s="37"/>
      <c r="AO74" s="38"/>
      <c r="AP74" s="37"/>
      <c r="AS74" s="38"/>
      <c r="AW74" s="38"/>
      <c r="BA74" s="39"/>
    </row>
    <row r="75" spans="1:53" s="28" customFormat="1" x14ac:dyDescent="0.15">
      <c r="A75" s="28">
        <v>1993</v>
      </c>
      <c r="B75" s="293"/>
      <c r="C75" s="370" t="s">
        <v>234</v>
      </c>
      <c r="D75" s="370"/>
      <c r="E75" s="28">
        <v>175</v>
      </c>
      <c r="G75" s="65">
        <v>22</v>
      </c>
      <c r="J75" s="72">
        <v>22</v>
      </c>
      <c r="K75" s="46">
        <f>G75/J75*100</f>
        <v>100</v>
      </c>
      <c r="L75" s="46">
        <f>H75/J75*100</f>
        <v>0</v>
      </c>
      <c r="M75" s="46">
        <f>I75/J75*100</f>
        <v>0</v>
      </c>
      <c r="N75" s="67">
        <f t="shared" si="26"/>
        <v>100</v>
      </c>
      <c r="O75" s="45">
        <v>57.3</v>
      </c>
      <c r="P75" s="46"/>
      <c r="Q75" s="46"/>
      <c r="R75" s="47">
        <f>SUM(O75:Q75)</f>
        <v>57.3</v>
      </c>
      <c r="S75" s="28">
        <v>1</v>
      </c>
      <c r="T75" s="284"/>
      <c r="U75" s="293"/>
      <c r="V75" s="37" t="s">
        <v>100</v>
      </c>
      <c r="W75" s="28" t="s">
        <v>74</v>
      </c>
      <c r="X75" s="28" t="s">
        <v>11</v>
      </c>
      <c r="Y75" s="38">
        <v>57.3</v>
      </c>
      <c r="AD75" s="37"/>
      <c r="AG75" s="38"/>
      <c r="AL75" s="37"/>
      <c r="AO75" s="38"/>
      <c r="AP75" s="37"/>
      <c r="AS75" s="38"/>
      <c r="AW75" s="38"/>
      <c r="BA75" s="39"/>
    </row>
    <row r="76" spans="1:53" s="170" customFormat="1" x14ac:dyDescent="0.15">
      <c r="A76" s="170">
        <v>1993</v>
      </c>
      <c r="B76" s="281">
        <v>34145</v>
      </c>
      <c r="C76" s="369" t="s">
        <v>235</v>
      </c>
      <c r="D76" s="369"/>
      <c r="E76" s="170">
        <v>132</v>
      </c>
      <c r="F76" s="170">
        <v>2</v>
      </c>
      <c r="G76" s="232">
        <v>25</v>
      </c>
      <c r="J76" s="240">
        <v>25</v>
      </c>
      <c r="K76" s="213">
        <f t="shared" ref="K76:K99" si="28">G76/J76*100</f>
        <v>100</v>
      </c>
      <c r="L76" s="213">
        <f t="shared" ref="L76:L99" si="29">H76/J76*100</f>
        <v>0</v>
      </c>
      <c r="M76" s="213">
        <f t="shared" ref="M76:M99" si="30">I76/J76*100</f>
        <v>0</v>
      </c>
      <c r="N76" s="234">
        <f t="shared" si="26"/>
        <v>100</v>
      </c>
      <c r="O76" s="212">
        <v>57.3</v>
      </c>
      <c r="P76" s="213"/>
      <c r="Q76" s="213"/>
      <c r="R76" s="214">
        <f t="shared" si="27"/>
        <v>57.3</v>
      </c>
      <c r="S76" s="170">
        <v>1</v>
      </c>
      <c r="T76" s="283"/>
      <c r="U76" s="281"/>
      <c r="V76" s="177" t="s">
        <v>100</v>
      </c>
      <c r="W76" s="170" t="s">
        <v>74</v>
      </c>
      <c r="X76" s="170" t="s">
        <v>11</v>
      </c>
      <c r="Y76" s="178">
        <v>57.3</v>
      </c>
      <c r="AD76" s="177"/>
      <c r="AG76" s="178"/>
      <c r="AL76" s="177"/>
      <c r="AO76" s="178"/>
      <c r="AP76" s="177"/>
      <c r="AS76" s="178"/>
      <c r="AW76" s="178"/>
      <c r="BA76" s="179"/>
    </row>
    <row r="77" spans="1:53" s="28" customFormat="1" x14ac:dyDescent="0.15">
      <c r="A77" s="28">
        <v>1993</v>
      </c>
      <c r="B77" s="293">
        <v>34277</v>
      </c>
      <c r="C77" s="394" t="s">
        <v>236</v>
      </c>
      <c r="D77" s="394"/>
      <c r="E77" s="28">
        <v>58</v>
      </c>
      <c r="F77" s="28">
        <v>1</v>
      </c>
      <c r="G77" s="65"/>
      <c r="H77" s="28">
        <v>23</v>
      </c>
      <c r="J77" s="72">
        <v>23</v>
      </c>
      <c r="K77" s="46">
        <f t="shared" si="28"/>
        <v>0</v>
      </c>
      <c r="L77" s="46">
        <f t="shared" si="29"/>
        <v>100</v>
      </c>
      <c r="M77" s="46">
        <f t="shared" si="30"/>
        <v>0</v>
      </c>
      <c r="N77" s="67">
        <f t="shared" si="26"/>
        <v>100</v>
      </c>
      <c r="O77" s="45"/>
      <c r="P77" s="46">
        <v>60</v>
      </c>
      <c r="Q77" s="46"/>
      <c r="R77" s="47">
        <f t="shared" si="27"/>
        <v>60</v>
      </c>
      <c r="S77" s="28">
        <v>1</v>
      </c>
      <c r="T77" s="284">
        <v>34267</v>
      </c>
      <c r="U77" s="293">
        <v>34277</v>
      </c>
      <c r="V77" s="37" t="s">
        <v>72</v>
      </c>
      <c r="W77" s="28" t="s">
        <v>22</v>
      </c>
      <c r="X77" s="28" t="s">
        <v>18</v>
      </c>
      <c r="Y77" s="38">
        <v>60</v>
      </c>
      <c r="AD77" s="37"/>
      <c r="AG77" s="38"/>
      <c r="AL77" s="37"/>
      <c r="AO77" s="38"/>
      <c r="AP77" s="37"/>
      <c r="AS77" s="38"/>
      <c r="AW77" s="38"/>
      <c r="BA77" s="39"/>
    </row>
    <row r="78" spans="1:53" s="28" customFormat="1" x14ac:dyDescent="0.15">
      <c r="A78" s="28">
        <v>1994</v>
      </c>
      <c r="B78" s="293"/>
      <c r="C78" s="394" t="s">
        <v>236</v>
      </c>
      <c r="D78" s="394"/>
      <c r="E78" s="28">
        <v>0</v>
      </c>
      <c r="G78" s="65"/>
      <c r="H78" s="28">
        <v>23</v>
      </c>
      <c r="J78" s="72">
        <v>23</v>
      </c>
      <c r="K78" s="46">
        <f t="shared" si="28"/>
        <v>0</v>
      </c>
      <c r="L78" s="46">
        <f t="shared" si="29"/>
        <v>100</v>
      </c>
      <c r="M78" s="46">
        <f t="shared" si="30"/>
        <v>0</v>
      </c>
      <c r="N78" s="67">
        <f t="shared" si="26"/>
        <v>100</v>
      </c>
      <c r="O78" s="45"/>
      <c r="P78" s="46">
        <v>60</v>
      </c>
      <c r="Q78" s="46"/>
      <c r="R78" s="47">
        <f t="shared" si="27"/>
        <v>60</v>
      </c>
      <c r="S78" s="28">
        <v>1</v>
      </c>
      <c r="T78" s="284"/>
      <c r="U78" s="293"/>
      <c r="V78" s="37" t="s">
        <v>72</v>
      </c>
      <c r="W78" s="28" t="s">
        <v>22</v>
      </c>
      <c r="X78" s="28" t="s">
        <v>18</v>
      </c>
      <c r="Y78" s="38">
        <v>60</v>
      </c>
      <c r="AD78" s="37"/>
      <c r="AG78" s="38"/>
      <c r="AL78" s="37"/>
      <c r="AO78" s="38"/>
      <c r="AP78" s="37"/>
      <c r="AS78" s="38"/>
      <c r="AW78" s="38"/>
      <c r="BA78" s="39"/>
    </row>
    <row r="79" spans="1:53" s="28" customFormat="1" x14ac:dyDescent="0.15">
      <c r="A79" s="28">
        <v>1994</v>
      </c>
      <c r="B79" s="293"/>
      <c r="C79" s="394" t="s">
        <v>236</v>
      </c>
      <c r="D79" s="394"/>
      <c r="E79" s="28">
        <f>365-E78</f>
        <v>365</v>
      </c>
      <c r="G79" s="65"/>
      <c r="H79" s="28">
        <v>23</v>
      </c>
      <c r="J79" s="72">
        <v>23</v>
      </c>
      <c r="K79" s="46">
        <f t="shared" si="28"/>
        <v>0</v>
      </c>
      <c r="L79" s="46">
        <f t="shared" si="29"/>
        <v>100</v>
      </c>
      <c r="M79" s="46">
        <f t="shared" si="30"/>
        <v>0</v>
      </c>
      <c r="N79" s="67">
        <f t="shared" si="26"/>
        <v>100</v>
      </c>
      <c r="O79" s="45"/>
      <c r="P79" s="46">
        <v>60</v>
      </c>
      <c r="Q79" s="46"/>
      <c r="R79" s="47">
        <f t="shared" si="27"/>
        <v>60</v>
      </c>
      <c r="S79" s="28">
        <v>1</v>
      </c>
      <c r="T79" s="284"/>
      <c r="U79" s="293"/>
      <c r="V79" s="37" t="s">
        <v>72</v>
      </c>
      <c r="W79" s="28" t="s">
        <v>22</v>
      </c>
      <c r="X79" s="28" t="s">
        <v>18</v>
      </c>
      <c r="Y79" s="38">
        <v>60</v>
      </c>
      <c r="AD79" s="37"/>
      <c r="AG79" s="38"/>
      <c r="AL79" s="37"/>
      <c r="AO79" s="38"/>
      <c r="AP79" s="37"/>
      <c r="AS79" s="38"/>
      <c r="AW79" s="38"/>
      <c r="BA79" s="39"/>
    </row>
    <row r="80" spans="1:53" s="28" customFormat="1" x14ac:dyDescent="0.15">
      <c r="A80" s="28">
        <v>1995</v>
      </c>
      <c r="B80" s="293"/>
      <c r="C80" s="394" t="s">
        <v>236</v>
      </c>
      <c r="D80" s="394"/>
      <c r="E80" s="28">
        <v>0</v>
      </c>
      <c r="G80" s="65"/>
      <c r="H80" s="28">
        <v>23</v>
      </c>
      <c r="J80" s="72">
        <v>23</v>
      </c>
      <c r="K80" s="46">
        <f t="shared" si="28"/>
        <v>0</v>
      </c>
      <c r="L80" s="46">
        <f t="shared" si="29"/>
        <v>100</v>
      </c>
      <c r="M80" s="46">
        <f t="shared" si="30"/>
        <v>0</v>
      </c>
      <c r="N80" s="67">
        <f t="shared" si="26"/>
        <v>100</v>
      </c>
      <c r="O80" s="45"/>
      <c r="P80" s="46">
        <v>60</v>
      </c>
      <c r="Q80" s="46"/>
      <c r="R80" s="47">
        <f t="shared" si="27"/>
        <v>60</v>
      </c>
      <c r="S80" s="28">
        <v>1</v>
      </c>
      <c r="T80" s="284"/>
      <c r="U80" s="293"/>
      <c r="V80" s="37" t="s">
        <v>72</v>
      </c>
      <c r="W80" s="28" t="s">
        <v>22</v>
      </c>
      <c r="X80" s="28" t="s">
        <v>18</v>
      </c>
      <c r="Y80" s="38">
        <v>60</v>
      </c>
      <c r="AD80" s="37"/>
      <c r="AG80" s="38"/>
      <c r="AL80" s="37"/>
      <c r="AO80" s="38"/>
      <c r="AP80" s="37"/>
      <c r="AS80" s="38"/>
      <c r="AW80" s="38"/>
      <c r="BA80" s="39"/>
    </row>
    <row r="81" spans="1:53" s="28" customFormat="1" x14ac:dyDescent="0.15">
      <c r="A81" s="28">
        <v>1995</v>
      </c>
      <c r="B81" s="293"/>
      <c r="C81" s="394" t="s">
        <v>236</v>
      </c>
      <c r="D81" s="394"/>
      <c r="E81" s="28">
        <f>365-E80</f>
        <v>365</v>
      </c>
      <c r="G81" s="65"/>
      <c r="H81" s="28">
        <v>23</v>
      </c>
      <c r="J81" s="72">
        <v>23</v>
      </c>
      <c r="K81" s="46">
        <f t="shared" si="28"/>
        <v>0</v>
      </c>
      <c r="L81" s="46">
        <f t="shared" si="29"/>
        <v>100</v>
      </c>
      <c r="M81" s="46">
        <f t="shared" si="30"/>
        <v>0</v>
      </c>
      <c r="N81" s="67">
        <f t="shared" si="26"/>
        <v>100</v>
      </c>
      <c r="O81" s="45"/>
      <c r="P81" s="46">
        <v>60</v>
      </c>
      <c r="Q81" s="46"/>
      <c r="R81" s="47">
        <f t="shared" si="27"/>
        <v>60</v>
      </c>
      <c r="S81" s="28">
        <v>1</v>
      </c>
      <c r="T81" s="284"/>
      <c r="U81" s="293"/>
      <c r="V81" s="37" t="s">
        <v>72</v>
      </c>
      <c r="W81" s="28" t="s">
        <v>22</v>
      </c>
      <c r="X81" s="28" t="s">
        <v>18</v>
      </c>
      <c r="Y81" s="38">
        <v>60</v>
      </c>
      <c r="AD81" s="37"/>
      <c r="AG81" s="38"/>
      <c r="AL81" s="37"/>
      <c r="AO81" s="38"/>
      <c r="AP81" s="37"/>
      <c r="AS81" s="38"/>
      <c r="AW81" s="38"/>
      <c r="BA81" s="39"/>
    </row>
    <row r="82" spans="1:53" s="28" customFormat="1" x14ac:dyDescent="0.15">
      <c r="A82" s="28">
        <v>1996</v>
      </c>
      <c r="B82" s="293"/>
      <c r="C82" s="394" t="s">
        <v>236</v>
      </c>
      <c r="D82" s="394"/>
      <c r="E82" s="28">
        <v>0</v>
      </c>
      <c r="G82" s="65"/>
      <c r="H82" s="28">
        <v>23</v>
      </c>
      <c r="J82" s="72">
        <v>23</v>
      </c>
      <c r="K82" s="46">
        <f t="shared" si="28"/>
        <v>0</v>
      </c>
      <c r="L82" s="46">
        <f t="shared" si="29"/>
        <v>100</v>
      </c>
      <c r="M82" s="46">
        <f t="shared" si="30"/>
        <v>0</v>
      </c>
      <c r="N82" s="67">
        <f t="shared" si="26"/>
        <v>100</v>
      </c>
      <c r="O82" s="45"/>
      <c r="P82" s="46">
        <v>60</v>
      </c>
      <c r="Q82" s="46"/>
      <c r="R82" s="47">
        <f t="shared" si="27"/>
        <v>60</v>
      </c>
      <c r="S82" s="28">
        <v>1</v>
      </c>
      <c r="T82" s="284"/>
      <c r="U82" s="293"/>
      <c r="V82" s="37" t="s">
        <v>72</v>
      </c>
      <c r="W82" s="28" t="s">
        <v>22</v>
      </c>
      <c r="X82" s="28" t="s">
        <v>18</v>
      </c>
      <c r="Y82" s="38">
        <v>60</v>
      </c>
      <c r="AD82" s="37"/>
      <c r="AG82" s="38"/>
      <c r="AL82" s="37"/>
      <c r="AO82" s="38"/>
      <c r="AP82" s="37"/>
      <c r="AS82" s="38"/>
      <c r="AW82" s="38"/>
      <c r="BA82" s="39"/>
    </row>
    <row r="83" spans="1:53" s="28" customFormat="1" x14ac:dyDescent="0.15">
      <c r="A83" s="28">
        <v>1996</v>
      </c>
      <c r="B83" s="293"/>
      <c r="C83" s="394" t="s">
        <v>236</v>
      </c>
      <c r="D83" s="394"/>
      <c r="E83" s="28">
        <v>366</v>
      </c>
      <c r="G83" s="65"/>
      <c r="H83" s="28">
        <v>25</v>
      </c>
      <c r="J83" s="72">
        <v>25</v>
      </c>
      <c r="K83" s="46">
        <f t="shared" si="28"/>
        <v>0</v>
      </c>
      <c r="L83" s="46">
        <f t="shared" si="29"/>
        <v>100</v>
      </c>
      <c r="M83" s="46">
        <f t="shared" si="30"/>
        <v>0</v>
      </c>
      <c r="N83" s="67">
        <f t="shared" si="26"/>
        <v>100</v>
      </c>
      <c r="O83" s="45"/>
      <c r="P83" s="46">
        <v>60</v>
      </c>
      <c r="Q83" s="46"/>
      <c r="R83" s="47">
        <f t="shared" si="27"/>
        <v>60</v>
      </c>
      <c r="S83" s="28">
        <v>1</v>
      </c>
      <c r="T83" s="284"/>
      <c r="U83" s="293"/>
      <c r="V83" s="37" t="s">
        <v>72</v>
      </c>
      <c r="W83" s="28" t="s">
        <v>22</v>
      </c>
      <c r="X83" s="28" t="s">
        <v>18</v>
      </c>
      <c r="Y83" s="38">
        <v>60</v>
      </c>
      <c r="AD83" s="37"/>
      <c r="AG83" s="38"/>
      <c r="AL83" s="37"/>
      <c r="AO83" s="38"/>
      <c r="AP83" s="37"/>
      <c r="AS83" s="38"/>
      <c r="AW83" s="38"/>
      <c r="BA83" s="39"/>
    </row>
    <row r="84" spans="1:53" s="28" customFormat="1" x14ac:dyDescent="0.15">
      <c r="A84" s="28">
        <v>1997</v>
      </c>
      <c r="B84" s="293"/>
      <c r="C84" s="394" t="s">
        <v>236</v>
      </c>
      <c r="D84" s="394"/>
      <c r="E84" s="28">
        <v>161</v>
      </c>
      <c r="G84" s="65"/>
      <c r="H84" s="28">
        <v>25</v>
      </c>
      <c r="J84" s="72">
        <v>25</v>
      </c>
      <c r="K84" s="46">
        <f t="shared" si="28"/>
        <v>0</v>
      </c>
      <c r="L84" s="46">
        <f t="shared" si="29"/>
        <v>100</v>
      </c>
      <c r="M84" s="46">
        <f t="shared" si="30"/>
        <v>0</v>
      </c>
      <c r="N84" s="67">
        <f t="shared" si="26"/>
        <v>100</v>
      </c>
      <c r="O84" s="45"/>
      <c r="P84" s="46">
        <v>60</v>
      </c>
      <c r="Q84" s="46"/>
      <c r="R84" s="47">
        <f t="shared" si="27"/>
        <v>60</v>
      </c>
      <c r="S84" s="28">
        <v>1</v>
      </c>
      <c r="T84" s="284"/>
      <c r="U84" s="293"/>
      <c r="V84" s="37" t="s">
        <v>72</v>
      </c>
      <c r="W84" s="28" t="s">
        <v>22</v>
      </c>
      <c r="X84" s="28" t="s">
        <v>18</v>
      </c>
      <c r="Y84" s="38">
        <v>60</v>
      </c>
      <c r="AD84" s="37"/>
      <c r="AG84" s="38"/>
      <c r="AL84" s="37"/>
      <c r="AO84" s="38"/>
      <c r="AP84" s="37"/>
      <c r="AS84" s="38"/>
      <c r="AW84" s="38"/>
      <c r="BA84" s="39"/>
    </row>
    <row r="85" spans="1:53" s="170" customFormat="1" x14ac:dyDescent="0.15">
      <c r="A85" s="170">
        <v>1997</v>
      </c>
      <c r="B85" s="281">
        <v>35592</v>
      </c>
      <c r="C85" s="395" t="s">
        <v>237</v>
      </c>
      <c r="D85" s="395"/>
      <c r="E85" s="170">
        <v>204</v>
      </c>
      <c r="F85" s="170">
        <v>1</v>
      </c>
      <c r="G85" s="232"/>
      <c r="H85" s="170">
        <v>28</v>
      </c>
      <c r="J85" s="240">
        <v>28</v>
      </c>
      <c r="K85" s="213">
        <f t="shared" si="28"/>
        <v>0</v>
      </c>
      <c r="L85" s="213">
        <f t="shared" si="29"/>
        <v>100</v>
      </c>
      <c r="M85" s="213">
        <f t="shared" si="30"/>
        <v>0</v>
      </c>
      <c r="N85" s="234">
        <f t="shared" si="26"/>
        <v>100</v>
      </c>
      <c r="O85" s="212"/>
      <c r="P85" s="213">
        <v>51.5</v>
      </c>
      <c r="Q85" s="213"/>
      <c r="R85" s="214">
        <f t="shared" si="27"/>
        <v>51.5</v>
      </c>
      <c r="S85" s="170">
        <v>1</v>
      </c>
      <c r="T85" s="283">
        <v>35583</v>
      </c>
      <c r="U85" s="281">
        <v>35592</v>
      </c>
      <c r="V85" s="177" t="s">
        <v>72</v>
      </c>
      <c r="W85" s="170" t="s">
        <v>22</v>
      </c>
      <c r="X85" s="170" t="s">
        <v>18</v>
      </c>
      <c r="Y85" s="178">
        <v>51.5</v>
      </c>
      <c r="AD85" s="177"/>
      <c r="AG85" s="178"/>
      <c r="AL85" s="177"/>
      <c r="AO85" s="178"/>
      <c r="AP85" s="177"/>
      <c r="AS85" s="178"/>
      <c r="AW85" s="178"/>
      <c r="BA85" s="179"/>
    </row>
    <row r="86" spans="1:53" s="170" customFormat="1" x14ac:dyDescent="0.15">
      <c r="A86" s="170">
        <v>1998</v>
      </c>
      <c r="B86" s="281"/>
      <c r="C86" s="395" t="s">
        <v>237</v>
      </c>
      <c r="D86" s="395"/>
      <c r="E86" s="170">
        <v>0</v>
      </c>
      <c r="G86" s="232"/>
      <c r="H86" s="170">
        <v>28</v>
      </c>
      <c r="J86" s="240">
        <v>28</v>
      </c>
      <c r="K86" s="213">
        <f t="shared" si="28"/>
        <v>0</v>
      </c>
      <c r="L86" s="213">
        <f t="shared" si="29"/>
        <v>100</v>
      </c>
      <c r="M86" s="213">
        <f t="shared" si="30"/>
        <v>0</v>
      </c>
      <c r="N86" s="234">
        <f t="shared" si="26"/>
        <v>100</v>
      </c>
      <c r="O86" s="212"/>
      <c r="P86" s="213">
        <v>51.5</v>
      </c>
      <c r="Q86" s="213"/>
      <c r="R86" s="214">
        <f t="shared" si="27"/>
        <v>51.5</v>
      </c>
      <c r="S86" s="170">
        <v>1</v>
      </c>
      <c r="T86" s="283"/>
      <c r="U86" s="281"/>
      <c r="V86" s="177" t="s">
        <v>72</v>
      </c>
      <c r="W86" s="170" t="s">
        <v>22</v>
      </c>
      <c r="X86" s="170" t="s">
        <v>18</v>
      </c>
      <c r="Y86" s="178">
        <v>51.5</v>
      </c>
      <c r="AD86" s="177"/>
      <c r="AG86" s="178"/>
      <c r="AL86" s="177"/>
      <c r="AO86" s="178"/>
      <c r="AP86" s="177"/>
      <c r="AS86" s="178"/>
      <c r="AW86" s="178"/>
      <c r="BA86" s="179"/>
    </row>
    <row r="87" spans="1:53" s="170" customFormat="1" x14ac:dyDescent="0.15">
      <c r="A87" s="170">
        <v>1998</v>
      </c>
      <c r="B87" s="281"/>
      <c r="C87" s="395" t="s">
        <v>237</v>
      </c>
      <c r="D87" s="395"/>
      <c r="E87" s="170">
        <f>365-E86</f>
        <v>365</v>
      </c>
      <c r="G87" s="232"/>
      <c r="H87" s="170">
        <v>28</v>
      </c>
      <c r="J87" s="240">
        <v>28</v>
      </c>
      <c r="K87" s="213">
        <f t="shared" si="28"/>
        <v>0</v>
      </c>
      <c r="L87" s="213">
        <f t="shared" si="29"/>
        <v>100</v>
      </c>
      <c r="M87" s="213">
        <f t="shared" si="30"/>
        <v>0</v>
      </c>
      <c r="N87" s="234">
        <f t="shared" si="26"/>
        <v>100</v>
      </c>
      <c r="O87" s="212"/>
      <c r="P87" s="213">
        <v>51.5</v>
      </c>
      <c r="Q87" s="213"/>
      <c r="R87" s="214">
        <f t="shared" si="27"/>
        <v>51.5</v>
      </c>
      <c r="S87" s="170">
        <v>1</v>
      </c>
      <c r="T87" s="283"/>
      <c r="U87" s="281"/>
      <c r="V87" s="177" t="s">
        <v>72</v>
      </c>
      <c r="W87" s="170" t="s">
        <v>22</v>
      </c>
      <c r="X87" s="170" t="s">
        <v>18</v>
      </c>
      <c r="Y87" s="178">
        <v>51.5</v>
      </c>
      <c r="AD87" s="177"/>
      <c r="AG87" s="178"/>
      <c r="AL87" s="177"/>
      <c r="AO87" s="178"/>
      <c r="AP87" s="177"/>
      <c r="AS87" s="178"/>
      <c r="AW87" s="178"/>
      <c r="BA87" s="179"/>
    </row>
    <row r="88" spans="1:53" s="170" customFormat="1" x14ac:dyDescent="0.15">
      <c r="A88" s="170">
        <v>1999</v>
      </c>
      <c r="B88" s="281"/>
      <c r="C88" s="395" t="s">
        <v>237</v>
      </c>
      <c r="D88" s="395"/>
      <c r="E88" s="170">
        <v>0</v>
      </c>
      <c r="G88" s="232"/>
      <c r="H88" s="170">
        <v>28</v>
      </c>
      <c r="J88" s="240">
        <v>28</v>
      </c>
      <c r="K88" s="213">
        <f t="shared" si="28"/>
        <v>0</v>
      </c>
      <c r="L88" s="213">
        <f t="shared" si="29"/>
        <v>100</v>
      </c>
      <c r="M88" s="213">
        <f t="shared" si="30"/>
        <v>0</v>
      </c>
      <c r="N88" s="234">
        <f t="shared" si="26"/>
        <v>100</v>
      </c>
      <c r="O88" s="212"/>
      <c r="P88" s="213">
        <v>51.5</v>
      </c>
      <c r="Q88" s="213"/>
      <c r="R88" s="214">
        <f t="shared" si="27"/>
        <v>51.5</v>
      </c>
      <c r="S88" s="170">
        <v>1</v>
      </c>
      <c r="T88" s="283"/>
      <c r="U88" s="281"/>
      <c r="V88" s="177" t="s">
        <v>72</v>
      </c>
      <c r="W88" s="170" t="s">
        <v>22</v>
      </c>
      <c r="X88" s="170" t="s">
        <v>18</v>
      </c>
      <c r="Y88" s="178">
        <v>51.5</v>
      </c>
      <c r="AD88" s="177"/>
      <c r="AG88" s="178"/>
      <c r="AL88" s="177"/>
      <c r="AO88" s="178"/>
      <c r="AP88" s="177"/>
      <c r="AS88" s="178"/>
      <c r="AW88" s="178"/>
      <c r="BA88" s="179"/>
    </row>
    <row r="89" spans="1:53" s="170" customFormat="1" x14ac:dyDescent="0.15">
      <c r="A89" s="170">
        <v>1999</v>
      </c>
      <c r="B89" s="281"/>
      <c r="C89" s="395" t="s">
        <v>237</v>
      </c>
      <c r="D89" s="395"/>
      <c r="E89" s="170">
        <f>365-E88</f>
        <v>365</v>
      </c>
      <c r="G89" s="232"/>
      <c r="H89" s="170">
        <v>28</v>
      </c>
      <c r="J89" s="240">
        <v>28</v>
      </c>
      <c r="K89" s="213">
        <f t="shared" si="28"/>
        <v>0</v>
      </c>
      <c r="L89" s="213">
        <f t="shared" si="29"/>
        <v>100</v>
      </c>
      <c r="M89" s="213">
        <f t="shared" si="30"/>
        <v>0</v>
      </c>
      <c r="N89" s="234">
        <f t="shared" si="26"/>
        <v>100</v>
      </c>
      <c r="O89" s="212"/>
      <c r="P89" s="213">
        <v>51.5</v>
      </c>
      <c r="Q89" s="213"/>
      <c r="R89" s="214">
        <f t="shared" si="27"/>
        <v>51.5</v>
      </c>
      <c r="S89" s="170">
        <v>1</v>
      </c>
      <c r="T89" s="283"/>
      <c r="U89" s="281"/>
      <c r="V89" s="177" t="s">
        <v>72</v>
      </c>
      <c r="W89" s="170" t="s">
        <v>22</v>
      </c>
      <c r="X89" s="170" t="s">
        <v>18</v>
      </c>
      <c r="Y89" s="178">
        <v>51.5</v>
      </c>
      <c r="AD89" s="177"/>
      <c r="AG89" s="178"/>
      <c r="AL89" s="177"/>
      <c r="AO89" s="178"/>
      <c r="AP89" s="177"/>
      <c r="AS89" s="178"/>
      <c r="AW89" s="178"/>
      <c r="BA89" s="179"/>
    </row>
    <row r="90" spans="1:53" s="170" customFormat="1" x14ac:dyDescent="0.15">
      <c r="A90" s="170">
        <v>2000</v>
      </c>
      <c r="B90" s="281"/>
      <c r="C90" s="395" t="s">
        <v>237</v>
      </c>
      <c r="D90" s="395"/>
      <c r="E90" s="170">
        <v>331</v>
      </c>
      <c r="G90" s="232"/>
      <c r="H90" s="170">
        <v>28</v>
      </c>
      <c r="J90" s="240">
        <v>28</v>
      </c>
      <c r="K90" s="213">
        <f t="shared" si="28"/>
        <v>0</v>
      </c>
      <c r="L90" s="213">
        <f t="shared" si="29"/>
        <v>100</v>
      </c>
      <c r="M90" s="213">
        <f t="shared" si="30"/>
        <v>0</v>
      </c>
      <c r="N90" s="234">
        <f t="shared" si="26"/>
        <v>100</v>
      </c>
      <c r="O90" s="212"/>
      <c r="P90" s="213">
        <v>51.5</v>
      </c>
      <c r="Q90" s="213"/>
      <c r="R90" s="214">
        <f t="shared" si="27"/>
        <v>51.5</v>
      </c>
      <c r="S90" s="170">
        <v>1</v>
      </c>
      <c r="T90" s="283"/>
      <c r="U90" s="281"/>
      <c r="V90" s="177" t="s">
        <v>72</v>
      </c>
      <c r="W90" s="170" t="s">
        <v>22</v>
      </c>
      <c r="X90" s="170" t="s">
        <v>18</v>
      </c>
      <c r="Y90" s="178">
        <v>51.5</v>
      </c>
      <c r="AD90" s="177"/>
      <c r="AG90" s="178"/>
      <c r="AL90" s="177"/>
      <c r="AO90" s="178"/>
      <c r="AP90" s="177"/>
      <c r="AS90" s="178"/>
      <c r="AW90" s="178"/>
      <c r="BA90" s="179"/>
    </row>
    <row r="91" spans="1:53" s="28" customFormat="1" x14ac:dyDescent="0.15">
      <c r="A91" s="28">
        <v>2000</v>
      </c>
      <c r="B91" s="293">
        <v>36857</v>
      </c>
      <c r="C91" s="394" t="s">
        <v>238</v>
      </c>
      <c r="D91" s="394"/>
      <c r="E91" s="28">
        <v>35</v>
      </c>
      <c r="F91" s="28">
        <v>1</v>
      </c>
      <c r="G91" s="65"/>
      <c r="H91" s="28">
        <v>28</v>
      </c>
      <c r="J91" s="72">
        <v>28</v>
      </c>
      <c r="K91" s="46">
        <f t="shared" si="28"/>
        <v>0</v>
      </c>
      <c r="L91" s="46">
        <f t="shared" si="29"/>
        <v>100</v>
      </c>
      <c r="M91" s="46">
        <f t="shared" si="30"/>
        <v>0</v>
      </c>
      <c r="N91" s="67">
        <f t="shared" si="26"/>
        <v>100</v>
      </c>
      <c r="O91" s="45"/>
      <c r="P91" s="46">
        <v>57.1</v>
      </c>
      <c r="Q91" s="46"/>
      <c r="R91" s="47">
        <f t="shared" si="27"/>
        <v>57.1</v>
      </c>
      <c r="S91" s="28">
        <v>1</v>
      </c>
      <c r="T91" s="284">
        <v>36857</v>
      </c>
      <c r="U91" s="293">
        <v>36857</v>
      </c>
      <c r="V91" s="37" t="s">
        <v>72</v>
      </c>
      <c r="W91" s="28" t="s">
        <v>22</v>
      </c>
      <c r="X91" s="28" t="s">
        <v>18</v>
      </c>
      <c r="Y91" s="38">
        <v>57.1</v>
      </c>
      <c r="AD91" s="37"/>
      <c r="AG91" s="38"/>
      <c r="AL91" s="37"/>
      <c r="AO91" s="38"/>
      <c r="AP91" s="37"/>
      <c r="AS91" s="38"/>
      <c r="AW91" s="38"/>
      <c r="BA91" s="39"/>
    </row>
    <row r="92" spans="1:53" s="28" customFormat="1" x14ac:dyDescent="0.15">
      <c r="A92" s="28">
        <v>2001</v>
      </c>
      <c r="B92" s="293"/>
      <c r="C92" s="394" t="s">
        <v>238</v>
      </c>
      <c r="D92" s="394"/>
      <c r="E92" s="28">
        <v>0</v>
      </c>
      <c r="G92" s="65"/>
      <c r="H92" s="28">
        <v>28</v>
      </c>
      <c r="J92" s="72">
        <v>28</v>
      </c>
      <c r="K92" s="46">
        <f t="shared" si="28"/>
        <v>0</v>
      </c>
      <c r="L92" s="46">
        <f t="shared" si="29"/>
        <v>100</v>
      </c>
      <c r="M92" s="46">
        <f t="shared" si="30"/>
        <v>0</v>
      </c>
      <c r="N92" s="67">
        <f t="shared" si="26"/>
        <v>100</v>
      </c>
      <c r="O92" s="45"/>
      <c r="P92" s="46">
        <v>57.1</v>
      </c>
      <c r="Q92" s="46"/>
      <c r="R92" s="47">
        <f t="shared" si="27"/>
        <v>57.1</v>
      </c>
      <c r="S92" s="28">
        <v>1</v>
      </c>
      <c r="T92" s="284"/>
      <c r="U92" s="293"/>
      <c r="V92" s="37" t="s">
        <v>72</v>
      </c>
      <c r="W92" s="28" t="s">
        <v>22</v>
      </c>
      <c r="X92" s="28" t="s">
        <v>18</v>
      </c>
      <c r="Y92" s="38">
        <v>57.1</v>
      </c>
      <c r="AD92" s="37"/>
      <c r="AG92" s="38"/>
      <c r="AL92" s="37"/>
      <c r="AO92" s="38"/>
      <c r="AP92" s="37"/>
      <c r="AS92" s="38"/>
      <c r="AW92" s="38"/>
      <c r="BA92" s="39"/>
    </row>
    <row r="93" spans="1:53" s="28" customFormat="1" x14ac:dyDescent="0.15">
      <c r="A93" s="28">
        <v>2001</v>
      </c>
      <c r="B93" s="293"/>
      <c r="C93" s="394" t="s">
        <v>238</v>
      </c>
      <c r="D93" s="394"/>
      <c r="E93" s="28">
        <f>365-E92</f>
        <v>365</v>
      </c>
      <c r="G93" s="65"/>
      <c r="H93" s="28">
        <v>28</v>
      </c>
      <c r="J93" s="72">
        <v>28</v>
      </c>
      <c r="K93" s="46">
        <f t="shared" si="28"/>
        <v>0</v>
      </c>
      <c r="L93" s="46">
        <f t="shared" si="29"/>
        <v>100</v>
      </c>
      <c r="M93" s="46">
        <f t="shared" si="30"/>
        <v>0</v>
      </c>
      <c r="N93" s="67">
        <f t="shared" si="26"/>
        <v>100</v>
      </c>
      <c r="O93" s="45"/>
      <c r="P93" s="46">
        <v>57.1</v>
      </c>
      <c r="Q93" s="46"/>
      <c r="R93" s="47">
        <f t="shared" si="27"/>
        <v>57.1</v>
      </c>
      <c r="S93" s="28">
        <v>1</v>
      </c>
      <c r="T93" s="284"/>
      <c r="U93" s="293"/>
      <c r="V93" s="37" t="s">
        <v>72</v>
      </c>
      <c r="W93" s="28" t="s">
        <v>22</v>
      </c>
      <c r="X93" s="28" t="s">
        <v>18</v>
      </c>
      <c r="Y93" s="38">
        <v>57.1</v>
      </c>
      <c r="AD93" s="37"/>
      <c r="AG93" s="38"/>
      <c r="AL93" s="37"/>
      <c r="AO93" s="38"/>
      <c r="AP93" s="37"/>
      <c r="AS93" s="38"/>
      <c r="AW93" s="38"/>
      <c r="BA93" s="39"/>
    </row>
    <row r="94" spans="1:53" s="28" customFormat="1" x14ac:dyDescent="0.15">
      <c r="A94" s="28">
        <v>2002</v>
      </c>
      <c r="B94" s="293"/>
      <c r="C94" s="394" t="s">
        <v>238</v>
      </c>
      <c r="D94" s="394"/>
      <c r="E94" s="28">
        <v>0</v>
      </c>
      <c r="G94" s="65"/>
      <c r="H94" s="28">
        <v>28</v>
      </c>
      <c r="J94" s="72">
        <v>28</v>
      </c>
      <c r="K94" s="46">
        <f t="shared" si="28"/>
        <v>0</v>
      </c>
      <c r="L94" s="46">
        <f t="shared" si="29"/>
        <v>100</v>
      </c>
      <c r="M94" s="46">
        <f t="shared" si="30"/>
        <v>0</v>
      </c>
      <c r="N94" s="67">
        <f t="shared" si="26"/>
        <v>100</v>
      </c>
      <c r="O94" s="45"/>
      <c r="P94" s="46">
        <v>57.1</v>
      </c>
      <c r="Q94" s="46"/>
      <c r="R94" s="47">
        <f t="shared" si="27"/>
        <v>57.1</v>
      </c>
      <c r="S94" s="28">
        <v>1</v>
      </c>
      <c r="T94" s="284"/>
      <c r="U94" s="293"/>
      <c r="V94" s="37" t="s">
        <v>72</v>
      </c>
      <c r="W94" s="28" t="s">
        <v>22</v>
      </c>
      <c r="X94" s="28" t="s">
        <v>18</v>
      </c>
      <c r="Y94" s="38">
        <v>57.1</v>
      </c>
      <c r="AD94" s="37"/>
      <c r="AG94" s="38"/>
      <c r="AL94" s="37"/>
      <c r="AO94" s="38"/>
      <c r="AP94" s="37"/>
      <c r="AS94" s="38"/>
      <c r="AW94" s="38"/>
      <c r="BA94" s="39"/>
    </row>
    <row r="95" spans="1:53" s="28" customFormat="1" x14ac:dyDescent="0.15">
      <c r="A95" s="28">
        <v>2002</v>
      </c>
      <c r="B95" s="293"/>
      <c r="C95" s="394" t="s">
        <v>238</v>
      </c>
      <c r="D95" s="394"/>
      <c r="E95" s="28">
        <f>365-E94</f>
        <v>365</v>
      </c>
      <c r="G95" s="65"/>
      <c r="H95" s="28">
        <v>28</v>
      </c>
      <c r="J95" s="72">
        <v>28</v>
      </c>
      <c r="K95" s="46">
        <f t="shared" si="28"/>
        <v>0</v>
      </c>
      <c r="L95" s="46">
        <f t="shared" si="29"/>
        <v>100</v>
      </c>
      <c r="M95" s="46">
        <f t="shared" si="30"/>
        <v>0</v>
      </c>
      <c r="N95" s="67">
        <f t="shared" si="26"/>
        <v>100</v>
      </c>
      <c r="O95" s="45"/>
      <c r="P95" s="46">
        <v>57.1</v>
      </c>
      <c r="Q95" s="46"/>
      <c r="R95" s="47">
        <f t="shared" si="27"/>
        <v>57.1</v>
      </c>
      <c r="S95" s="28">
        <v>1</v>
      </c>
      <c r="T95" s="284"/>
      <c r="U95" s="293"/>
      <c r="V95" s="37" t="s">
        <v>72</v>
      </c>
      <c r="W95" s="28" t="s">
        <v>22</v>
      </c>
      <c r="X95" s="28" t="s">
        <v>18</v>
      </c>
      <c r="Y95" s="38">
        <v>57.1</v>
      </c>
      <c r="AD95" s="37"/>
      <c r="AG95" s="38"/>
      <c r="AL95" s="37"/>
      <c r="AO95" s="38"/>
      <c r="AP95" s="37"/>
      <c r="AS95" s="38"/>
      <c r="AW95" s="38"/>
      <c r="BA95" s="39"/>
    </row>
    <row r="96" spans="1:53" s="28" customFormat="1" x14ac:dyDescent="0.15">
      <c r="A96" s="28">
        <v>2003</v>
      </c>
      <c r="B96" s="293"/>
      <c r="C96" s="394" t="s">
        <v>238</v>
      </c>
      <c r="D96" s="394"/>
      <c r="E96" s="28">
        <v>345</v>
      </c>
      <c r="G96" s="65"/>
      <c r="H96" s="28">
        <v>28</v>
      </c>
      <c r="J96" s="72">
        <v>28</v>
      </c>
      <c r="K96" s="46">
        <f t="shared" si="28"/>
        <v>0</v>
      </c>
      <c r="L96" s="46">
        <f t="shared" si="29"/>
        <v>100</v>
      </c>
      <c r="M96" s="46">
        <f t="shared" si="30"/>
        <v>0</v>
      </c>
      <c r="N96" s="67">
        <f t="shared" si="26"/>
        <v>100</v>
      </c>
      <c r="O96" s="45"/>
      <c r="P96" s="46">
        <v>57.1</v>
      </c>
      <c r="Q96" s="46"/>
      <c r="R96" s="47">
        <f t="shared" si="27"/>
        <v>57.1</v>
      </c>
      <c r="S96" s="28">
        <v>1</v>
      </c>
      <c r="T96" s="284"/>
      <c r="U96" s="293"/>
      <c r="V96" s="37" t="s">
        <v>72</v>
      </c>
      <c r="W96" s="28" t="s">
        <v>22</v>
      </c>
      <c r="X96" s="28" t="s">
        <v>18</v>
      </c>
      <c r="Y96" s="38">
        <v>57.1</v>
      </c>
      <c r="AD96" s="37"/>
      <c r="AG96" s="38"/>
      <c r="AL96" s="37"/>
      <c r="AO96" s="38"/>
      <c r="AP96" s="37"/>
      <c r="AS96" s="38"/>
      <c r="AW96" s="38"/>
      <c r="BA96" s="39"/>
    </row>
    <row r="97" spans="1:53" s="170" customFormat="1" x14ac:dyDescent="0.15">
      <c r="A97" s="170">
        <v>2003</v>
      </c>
      <c r="B97" s="281">
        <v>37967</v>
      </c>
      <c r="C97" s="395" t="s">
        <v>239</v>
      </c>
      <c r="D97" s="395"/>
      <c r="E97" s="170">
        <f>365-E96</f>
        <v>20</v>
      </c>
      <c r="F97" s="170">
        <v>2</v>
      </c>
      <c r="G97" s="232"/>
      <c r="H97" s="170">
        <v>28</v>
      </c>
      <c r="J97" s="240">
        <v>28</v>
      </c>
      <c r="K97" s="213">
        <f t="shared" si="28"/>
        <v>0</v>
      </c>
      <c r="L97" s="213">
        <f t="shared" si="29"/>
        <v>100</v>
      </c>
      <c r="M97" s="213">
        <f t="shared" si="30"/>
        <v>0</v>
      </c>
      <c r="N97" s="234">
        <f t="shared" si="26"/>
        <v>100</v>
      </c>
      <c r="O97" s="212"/>
      <c r="P97" s="213">
        <v>57.1</v>
      </c>
      <c r="Q97" s="213"/>
      <c r="R97" s="214">
        <f t="shared" si="27"/>
        <v>57.1</v>
      </c>
      <c r="S97" s="170">
        <v>1</v>
      </c>
      <c r="T97" s="283"/>
      <c r="U97" s="281">
        <v>37967</v>
      </c>
      <c r="V97" s="177" t="s">
        <v>72</v>
      </c>
      <c r="W97" s="170" t="s">
        <v>22</v>
      </c>
      <c r="X97" s="170" t="s">
        <v>18</v>
      </c>
      <c r="Y97" s="178">
        <v>57.1</v>
      </c>
      <c r="AD97" s="177"/>
      <c r="AG97" s="178"/>
      <c r="AL97" s="177"/>
      <c r="AO97" s="178"/>
      <c r="AP97" s="177"/>
      <c r="AS97" s="178"/>
      <c r="AW97" s="178"/>
      <c r="BA97" s="179"/>
    </row>
    <row r="98" spans="1:53" s="170" customFormat="1" x14ac:dyDescent="0.15">
      <c r="A98" s="170">
        <v>2004</v>
      </c>
      <c r="B98" s="281"/>
      <c r="C98" s="395" t="s">
        <v>239</v>
      </c>
      <c r="D98" s="395"/>
      <c r="E98" s="170">
        <v>201</v>
      </c>
      <c r="G98" s="232"/>
      <c r="H98" s="170">
        <v>28</v>
      </c>
      <c r="J98" s="240">
        <v>28</v>
      </c>
      <c r="K98" s="213">
        <f t="shared" si="28"/>
        <v>0</v>
      </c>
      <c r="L98" s="213">
        <f t="shared" si="29"/>
        <v>100</v>
      </c>
      <c r="M98" s="213">
        <f t="shared" si="30"/>
        <v>0</v>
      </c>
      <c r="N98" s="234">
        <f t="shared" si="26"/>
        <v>100</v>
      </c>
      <c r="O98" s="212"/>
      <c r="P98" s="213">
        <v>57.1</v>
      </c>
      <c r="Q98" s="213"/>
      <c r="R98" s="214">
        <f t="shared" si="27"/>
        <v>57.1</v>
      </c>
      <c r="S98" s="170">
        <v>1</v>
      </c>
      <c r="T98" s="283"/>
      <c r="U98" s="281"/>
      <c r="V98" s="177" t="s">
        <v>72</v>
      </c>
      <c r="W98" s="170" t="s">
        <v>22</v>
      </c>
      <c r="X98" s="170" t="s">
        <v>18</v>
      </c>
      <c r="Y98" s="178">
        <v>57.1</v>
      </c>
      <c r="AD98" s="177"/>
      <c r="AG98" s="178"/>
      <c r="AL98" s="177"/>
      <c r="AO98" s="178"/>
      <c r="AP98" s="177"/>
      <c r="AS98" s="178"/>
      <c r="AW98" s="178"/>
      <c r="BA98" s="179"/>
    </row>
    <row r="99" spans="1:53" s="28" customFormat="1" x14ac:dyDescent="0.15">
      <c r="A99" s="28">
        <v>2004</v>
      </c>
      <c r="B99" s="293">
        <v>38188</v>
      </c>
      <c r="C99" s="394" t="s">
        <v>240</v>
      </c>
      <c r="D99" s="394"/>
      <c r="E99" s="28">
        <v>165</v>
      </c>
      <c r="F99" s="28">
        <v>1</v>
      </c>
      <c r="G99" s="65"/>
      <c r="H99" s="28">
        <v>39</v>
      </c>
      <c r="J99" s="72">
        <v>39</v>
      </c>
      <c r="K99" s="46">
        <f t="shared" si="28"/>
        <v>0</v>
      </c>
      <c r="L99" s="46">
        <f t="shared" si="29"/>
        <v>100</v>
      </c>
      <c r="M99" s="46">
        <f t="shared" si="30"/>
        <v>0</v>
      </c>
      <c r="N99" s="67">
        <f t="shared" si="26"/>
        <v>100</v>
      </c>
      <c r="O99" s="45"/>
      <c r="P99" s="46">
        <v>43.8</v>
      </c>
      <c r="Q99" s="46"/>
      <c r="R99" s="47">
        <f t="shared" si="27"/>
        <v>43.8</v>
      </c>
      <c r="S99" s="28">
        <v>4</v>
      </c>
      <c r="T99" s="284">
        <v>38166</v>
      </c>
      <c r="U99" s="293">
        <v>38188</v>
      </c>
      <c r="V99" s="37" t="s">
        <v>72</v>
      </c>
      <c r="W99" s="28" t="s">
        <v>22</v>
      </c>
      <c r="X99" s="28" t="s">
        <v>18</v>
      </c>
      <c r="Y99" s="38">
        <v>43.8</v>
      </c>
      <c r="AD99" s="37"/>
      <c r="AG99" s="38"/>
      <c r="AL99" s="37"/>
      <c r="AO99" s="38"/>
      <c r="AP99" s="37"/>
      <c r="AS99" s="38"/>
      <c r="AW99" s="38"/>
      <c r="BA99" s="39"/>
    </row>
    <row r="100" spans="1:53" s="28" customFormat="1" x14ac:dyDescent="0.15">
      <c r="A100" s="28">
        <v>2005</v>
      </c>
      <c r="B100" s="293"/>
      <c r="C100" s="394" t="s">
        <v>240</v>
      </c>
      <c r="D100" s="394"/>
      <c r="E100" s="28">
        <v>0</v>
      </c>
      <c r="G100" s="65"/>
      <c r="H100" s="28">
        <v>39</v>
      </c>
      <c r="J100" s="72">
        <v>39</v>
      </c>
      <c r="K100" s="46">
        <f>G100/J100*100</f>
        <v>0</v>
      </c>
      <c r="L100" s="46">
        <f>H100/J100*100</f>
        <v>100</v>
      </c>
      <c r="M100" s="46">
        <f>I100/J100*100</f>
        <v>0</v>
      </c>
      <c r="N100" s="67">
        <f t="shared" si="26"/>
        <v>100</v>
      </c>
      <c r="O100" s="45"/>
      <c r="P100" s="46">
        <v>43.8</v>
      </c>
      <c r="Q100" s="46"/>
      <c r="R100" s="47">
        <f t="shared" si="27"/>
        <v>43.8</v>
      </c>
      <c r="S100" s="28">
        <v>4</v>
      </c>
      <c r="T100" s="284"/>
      <c r="U100" s="293"/>
      <c r="V100" s="37" t="s">
        <v>72</v>
      </c>
      <c r="W100" s="28" t="s">
        <v>22</v>
      </c>
      <c r="X100" s="28" t="s">
        <v>18</v>
      </c>
      <c r="Y100" s="38">
        <v>43.8</v>
      </c>
      <c r="AD100" s="37"/>
      <c r="AG100" s="38"/>
      <c r="AL100" s="37"/>
      <c r="AO100" s="38"/>
      <c r="AP100" s="37"/>
      <c r="AS100" s="38"/>
      <c r="AW100" s="38"/>
      <c r="BA100" s="39"/>
    </row>
    <row r="101" spans="1:53" s="28" customFormat="1" x14ac:dyDescent="0.15">
      <c r="A101" s="28">
        <v>2005</v>
      </c>
      <c r="B101" s="293"/>
      <c r="C101" s="394" t="s">
        <v>240</v>
      </c>
      <c r="D101" s="394"/>
      <c r="E101" s="28">
        <f>365-E100</f>
        <v>365</v>
      </c>
      <c r="G101" s="65"/>
      <c r="H101" s="28">
        <v>39</v>
      </c>
      <c r="J101" s="72">
        <v>39</v>
      </c>
      <c r="K101" s="46">
        <f>G101/J101*100</f>
        <v>0</v>
      </c>
      <c r="L101" s="46">
        <f>H101/J101*100</f>
        <v>100</v>
      </c>
      <c r="M101" s="46">
        <f>I101/J101*100</f>
        <v>0</v>
      </c>
      <c r="N101" s="67">
        <f>SUM(K101:M101)</f>
        <v>100</v>
      </c>
      <c r="O101" s="45"/>
      <c r="P101" s="46">
        <v>43.8</v>
      </c>
      <c r="Q101" s="46"/>
      <c r="R101" s="47">
        <f t="shared" si="27"/>
        <v>43.8</v>
      </c>
      <c r="S101" s="28">
        <v>4</v>
      </c>
      <c r="T101" s="284"/>
      <c r="U101" s="293"/>
      <c r="V101" s="37" t="s">
        <v>72</v>
      </c>
      <c r="W101" s="28" t="s">
        <v>22</v>
      </c>
      <c r="X101" s="28" t="s">
        <v>18</v>
      </c>
      <c r="Y101" s="38">
        <v>43.8</v>
      </c>
      <c r="AD101" s="37"/>
      <c r="AG101" s="38"/>
      <c r="AL101" s="37"/>
      <c r="AO101" s="38"/>
      <c r="AP101" s="37"/>
      <c r="AS101" s="38"/>
      <c r="AW101" s="38"/>
      <c r="BA101" s="39"/>
    </row>
    <row r="102" spans="1:53" s="28" customFormat="1" x14ac:dyDescent="0.15">
      <c r="A102" s="28">
        <v>2006</v>
      </c>
      <c r="B102" s="293"/>
      <c r="C102" s="394" t="s">
        <v>240</v>
      </c>
      <c r="D102" s="394"/>
      <c r="E102" s="28">
        <v>36</v>
      </c>
      <c r="G102" s="65"/>
      <c r="H102" s="28">
        <v>39</v>
      </c>
      <c r="J102" s="72">
        <v>39</v>
      </c>
      <c r="K102" s="46">
        <f>G102/J102*100</f>
        <v>0</v>
      </c>
      <c r="L102" s="46">
        <f>H102/J102*100</f>
        <v>100</v>
      </c>
      <c r="M102" s="46">
        <f>I102/J102*100</f>
        <v>0</v>
      </c>
      <c r="N102" s="67">
        <f t="shared" si="26"/>
        <v>100</v>
      </c>
      <c r="O102" s="45"/>
      <c r="P102" s="46">
        <v>43.8</v>
      </c>
      <c r="Q102" s="46"/>
      <c r="R102" s="47">
        <f t="shared" si="27"/>
        <v>43.8</v>
      </c>
      <c r="S102" s="28">
        <v>4</v>
      </c>
      <c r="T102" s="284"/>
      <c r="U102" s="293"/>
      <c r="V102" s="37" t="s">
        <v>72</v>
      </c>
      <c r="W102" s="28" t="s">
        <v>22</v>
      </c>
      <c r="X102" s="28" t="s">
        <v>18</v>
      </c>
      <c r="Y102" s="38">
        <v>43.8</v>
      </c>
      <c r="AD102" s="37"/>
      <c r="AG102" s="38"/>
      <c r="AL102" s="37"/>
      <c r="AO102" s="38"/>
      <c r="AP102" s="37"/>
      <c r="AS102" s="38"/>
      <c r="AW102" s="38"/>
      <c r="BA102" s="39"/>
    </row>
    <row r="103" spans="1:53" s="170" customFormat="1" x14ac:dyDescent="0.15">
      <c r="A103" s="170">
        <v>2006</v>
      </c>
      <c r="B103" s="281">
        <v>38754</v>
      </c>
      <c r="C103" s="395" t="s">
        <v>241</v>
      </c>
      <c r="D103" s="395"/>
      <c r="E103" s="170">
        <f>365-E102</f>
        <v>329</v>
      </c>
      <c r="F103" s="170">
        <v>5</v>
      </c>
      <c r="G103" s="232">
        <v>27</v>
      </c>
      <c r="J103" s="240">
        <v>27</v>
      </c>
      <c r="K103" s="213">
        <f t="shared" ref="K103:K108" si="31">G103/J103*100</f>
        <v>100</v>
      </c>
      <c r="L103" s="213">
        <f t="shared" ref="L103:L111" si="32">H103/J103*100</f>
        <v>0</v>
      </c>
      <c r="M103" s="213">
        <f t="shared" ref="M103:M111" si="33">I103/J103*100</f>
        <v>0</v>
      </c>
      <c r="N103" s="234">
        <f t="shared" si="26"/>
        <v>100</v>
      </c>
      <c r="O103" s="212">
        <v>40.299999999999997</v>
      </c>
      <c r="P103" s="213"/>
      <c r="Q103" s="213"/>
      <c r="R103" s="214">
        <f t="shared" si="27"/>
        <v>40.299999999999997</v>
      </c>
      <c r="S103" s="170">
        <v>4</v>
      </c>
      <c r="T103" s="283">
        <v>38740</v>
      </c>
      <c r="U103" s="281">
        <v>38754</v>
      </c>
      <c r="V103" s="177" t="s">
        <v>100</v>
      </c>
      <c r="W103" s="170" t="s">
        <v>74</v>
      </c>
      <c r="X103" s="170" t="s">
        <v>11</v>
      </c>
      <c r="Y103" s="178">
        <v>40.299999999999997</v>
      </c>
      <c r="AD103" s="177"/>
      <c r="AG103" s="178"/>
      <c r="AL103" s="177"/>
      <c r="AO103" s="178"/>
      <c r="AP103" s="177"/>
      <c r="AS103" s="178"/>
      <c r="AW103" s="178"/>
      <c r="BA103" s="179"/>
    </row>
    <row r="104" spans="1:53" s="170" customFormat="1" x14ac:dyDescent="0.15">
      <c r="A104" s="170">
        <v>2007</v>
      </c>
      <c r="B104" s="281"/>
      <c r="C104" s="395" t="s">
        <v>241</v>
      </c>
      <c r="D104" s="395"/>
      <c r="E104" s="170">
        <v>0</v>
      </c>
      <c r="G104" s="232">
        <v>27</v>
      </c>
      <c r="J104" s="240">
        <v>27</v>
      </c>
      <c r="K104" s="213">
        <f t="shared" si="31"/>
        <v>100</v>
      </c>
      <c r="L104" s="213">
        <f t="shared" si="32"/>
        <v>0</v>
      </c>
      <c r="M104" s="213">
        <f t="shared" si="33"/>
        <v>0</v>
      </c>
      <c r="N104" s="234">
        <f t="shared" si="26"/>
        <v>100</v>
      </c>
      <c r="O104" s="212">
        <v>40.299999999999997</v>
      </c>
      <c r="P104" s="213"/>
      <c r="Q104" s="213"/>
      <c r="R104" s="214">
        <f t="shared" si="27"/>
        <v>40.299999999999997</v>
      </c>
      <c r="S104" s="170">
        <v>4</v>
      </c>
      <c r="T104" s="283"/>
      <c r="U104" s="281"/>
      <c r="V104" s="177" t="s">
        <v>100</v>
      </c>
      <c r="W104" s="170" t="s">
        <v>74</v>
      </c>
      <c r="X104" s="170" t="s">
        <v>11</v>
      </c>
      <c r="Y104" s="178">
        <v>40.299999999999997</v>
      </c>
      <c r="AD104" s="177"/>
      <c r="AG104" s="178"/>
      <c r="AL104" s="177"/>
      <c r="AO104" s="178"/>
      <c r="AP104" s="177"/>
      <c r="AS104" s="178"/>
      <c r="AW104" s="178"/>
      <c r="BA104" s="179"/>
    </row>
    <row r="105" spans="1:53" s="170" customFormat="1" x14ac:dyDescent="0.15">
      <c r="A105" s="170">
        <v>2007</v>
      </c>
      <c r="B105" s="281"/>
      <c r="C105" s="395" t="s">
        <v>241</v>
      </c>
      <c r="D105" s="395"/>
      <c r="E105" s="170">
        <f>365-E104</f>
        <v>365</v>
      </c>
      <c r="G105" s="232">
        <v>27</v>
      </c>
      <c r="J105" s="240">
        <v>27</v>
      </c>
      <c r="K105" s="213">
        <f t="shared" si="31"/>
        <v>100</v>
      </c>
      <c r="L105" s="213">
        <f t="shared" si="32"/>
        <v>0</v>
      </c>
      <c r="M105" s="213">
        <f t="shared" si="33"/>
        <v>0</v>
      </c>
      <c r="N105" s="234">
        <f t="shared" si="26"/>
        <v>100</v>
      </c>
      <c r="O105" s="212">
        <v>40.299999999999997</v>
      </c>
      <c r="P105" s="213"/>
      <c r="Q105" s="213"/>
      <c r="R105" s="214">
        <f t="shared" si="27"/>
        <v>40.299999999999997</v>
      </c>
      <c r="S105" s="170">
        <v>4</v>
      </c>
      <c r="T105" s="283"/>
      <c r="U105" s="281"/>
      <c r="V105" s="177" t="s">
        <v>100</v>
      </c>
      <c r="W105" s="170" t="s">
        <v>74</v>
      </c>
      <c r="X105" s="170" t="s">
        <v>11</v>
      </c>
      <c r="Y105" s="178">
        <v>40.299999999999997</v>
      </c>
      <c r="AD105" s="177"/>
      <c r="AG105" s="178"/>
      <c r="AL105" s="177"/>
      <c r="AO105" s="178"/>
      <c r="AP105" s="177"/>
      <c r="AS105" s="178"/>
      <c r="AW105" s="178"/>
      <c r="BA105" s="179"/>
    </row>
    <row r="106" spans="1:53" s="170" customFormat="1" x14ac:dyDescent="0.15">
      <c r="A106" s="170">
        <v>2008</v>
      </c>
      <c r="B106" s="281"/>
      <c r="C106" s="395" t="s">
        <v>241</v>
      </c>
      <c r="D106" s="395"/>
      <c r="E106" s="170">
        <v>303</v>
      </c>
      <c r="G106" s="232">
        <v>27</v>
      </c>
      <c r="J106" s="240">
        <v>27</v>
      </c>
      <c r="K106" s="213">
        <f t="shared" si="31"/>
        <v>100</v>
      </c>
      <c r="L106" s="213">
        <f t="shared" si="32"/>
        <v>0</v>
      </c>
      <c r="M106" s="213">
        <f t="shared" si="33"/>
        <v>0</v>
      </c>
      <c r="N106" s="234">
        <f t="shared" si="26"/>
        <v>100</v>
      </c>
      <c r="O106" s="212">
        <v>40.299999999999997</v>
      </c>
      <c r="P106" s="213"/>
      <c r="Q106" s="213"/>
      <c r="R106" s="214">
        <f t="shared" si="27"/>
        <v>40.299999999999997</v>
      </c>
      <c r="S106" s="170">
        <v>4</v>
      </c>
      <c r="T106" s="283"/>
      <c r="U106" s="281"/>
      <c r="V106" s="177" t="s">
        <v>100</v>
      </c>
      <c r="W106" s="170" t="s">
        <v>74</v>
      </c>
      <c r="X106" s="170" t="s">
        <v>11</v>
      </c>
      <c r="Y106" s="178">
        <v>40.299999999999997</v>
      </c>
      <c r="AD106" s="177"/>
      <c r="AG106" s="178"/>
      <c r="AL106" s="177"/>
      <c r="AO106" s="178"/>
      <c r="AP106" s="177"/>
      <c r="AS106" s="178"/>
      <c r="AW106" s="178"/>
      <c r="BA106" s="179"/>
    </row>
    <row r="107" spans="1:53" s="28" customFormat="1" x14ac:dyDescent="0.15">
      <c r="A107" s="28">
        <v>2008</v>
      </c>
      <c r="B107" s="293">
        <v>39751</v>
      </c>
      <c r="C107" s="394" t="s">
        <v>242</v>
      </c>
      <c r="D107" s="394"/>
      <c r="E107" s="28">
        <v>63</v>
      </c>
      <c r="F107" s="28">
        <v>1</v>
      </c>
      <c r="G107" s="65">
        <v>27</v>
      </c>
      <c r="J107" s="72">
        <v>27</v>
      </c>
      <c r="K107" s="46">
        <f t="shared" si="31"/>
        <v>100</v>
      </c>
      <c r="L107" s="46">
        <f t="shared" si="32"/>
        <v>0</v>
      </c>
      <c r="M107" s="46">
        <f t="shared" si="33"/>
        <v>0</v>
      </c>
      <c r="N107" s="67">
        <f t="shared" si="26"/>
        <v>100</v>
      </c>
      <c r="O107" s="45">
        <v>46.4</v>
      </c>
      <c r="P107" s="46"/>
      <c r="Q107" s="46"/>
      <c r="R107" s="47">
        <f t="shared" si="27"/>
        <v>46.4</v>
      </c>
      <c r="S107" s="28">
        <v>4</v>
      </c>
      <c r="T107" s="284">
        <v>39735</v>
      </c>
      <c r="U107" s="293">
        <v>39751</v>
      </c>
      <c r="V107" s="37" t="s">
        <v>100</v>
      </c>
      <c r="W107" s="28" t="s">
        <v>74</v>
      </c>
      <c r="X107" s="28" t="s">
        <v>11</v>
      </c>
      <c r="Y107" s="38">
        <v>46.4</v>
      </c>
      <c r="AD107" s="37"/>
      <c r="AG107" s="38"/>
      <c r="AL107" s="37"/>
      <c r="AO107" s="38"/>
      <c r="AP107" s="37"/>
      <c r="AS107" s="38"/>
      <c r="AW107" s="38"/>
      <c r="BA107" s="39"/>
    </row>
    <row r="108" spans="1:53" s="28" customFormat="1" x14ac:dyDescent="0.15">
      <c r="A108" s="28">
        <v>2009</v>
      </c>
      <c r="B108" s="293"/>
      <c r="C108" s="394" t="s">
        <v>242</v>
      </c>
      <c r="D108" s="394"/>
      <c r="E108" s="28">
        <v>0</v>
      </c>
      <c r="G108" s="65">
        <v>27</v>
      </c>
      <c r="J108" s="72">
        <v>27</v>
      </c>
      <c r="K108" s="46">
        <f t="shared" si="31"/>
        <v>100</v>
      </c>
      <c r="L108" s="46">
        <f t="shared" si="32"/>
        <v>0</v>
      </c>
      <c r="M108" s="46">
        <f t="shared" si="33"/>
        <v>0</v>
      </c>
      <c r="N108" s="67">
        <f t="shared" si="26"/>
        <v>100</v>
      </c>
      <c r="O108" s="45">
        <v>46.4</v>
      </c>
      <c r="P108" s="46"/>
      <c r="Q108" s="46"/>
      <c r="R108" s="47">
        <f t="shared" si="27"/>
        <v>46.4</v>
      </c>
      <c r="S108" s="28">
        <v>4</v>
      </c>
      <c r="T108" s="284"/>
      <c r="U108" s="293"/>
      <c r="V108" s="37" t="s">
        <v>100</v>
      </c>
      <c r="W108" s="28" t="s">
        <v>74</v>
      </c>
      <c r="X108" s="28" t="s">
        <v>11</v>
      </c>
      <c r="Y108" s="38">
        <v>46.4</v>
      </c>
      <c r="AD108" s="37"/>
      <c r="AG108" s="38"/>
      <c r="AL108" s="37"/>
      <c r="AO108" s="38"/>
      <c r="AP108" s="37"/>
      <c r="AS108" s="38"/>
      <c r="AW108" s="38"/>
      <c r="BA108" s="39"/>
    </row>
    <row r="109" spans="1:53" s="28" customFormat="1" x14ac:dyDescent="0.15">
      <c r="A109" s="28">
        <v>2009</v>
      </c>
      <c r="B109" s="293"/>
      <c r="C109" s="394" t="s">
        <v>242</v>
      </c>
      <c r="D109" s="394"/>
      <c r="E109" s="28">
        <v>365</v>
      </c>
      <c r="G109" s="65">
        <v>27</v>
      </c>
      <c r="J109" s="72">
        <v>27</v>
      </c>
      <c r="K109" s="46">
        <f t="shared" ref="K109:K117" si="34">G109/J109*100</f>
        <v>100</v>
      </c>
      <c r="L109" s="46">
        <f t="shared" si="32"/>
        <v>0</v>
      </c>
      <c r="M109" s="46">
        <f t="shared" si="33"/>
        <v>0</v>
      </c>
      <c r="N109" s="67">
        <f t="shared" si="26"/>
        <v>100</v>
      </c>
      <c r="O109" s="45">
        <v>46.4</v>
      </c>
      <c r="P109" s="46"/>
      <c r="Q109" s="46"/>
      <c r="R109" s="47">
        <f t="shared" si="27"/>
        <v>46.4</v>
      </c>
      <c r="S109" s="28">
        <v>4</v>
      </c>
      <c r="T109" s="284"/>
      <c r="U109" s="293"/>
      <c r="V109" s="37" t="s">
        <v>100</v>
      </c>
      <c r="W109" s="28" t="s">
        <v>74</v>
      </c>
      <c r="X109" s="28" t="s">
        <v>11</v>
      </c>
      <c r="Y109" s="38">
        <v>46.4</v>
      </c>
      <c r="AD109" s="37"/>
      <c r="AG109" s="38"/>
      <c r="AL109" s="37"/>
      <c r="AO109" s="38"/>
      <c r="AP109" s="37"/>
      <c r="AS109" s="38"/>
      <c r="AW109" s="38"/>
      <c r="BA109" s="39"/>
    </row>
    <row r="110" spans="1:53" s="28" customFormat="1" x14ac:dyDescent="0.15">
      <c r="A110" s="28">
        <v>2010</v>
      </c>
      <c r="B110" s="293"/>
      <c r="C110" s="394" t="s">
        <v>242</v>
      </c>
      <c r="D110" s="394"/>
      <c r="E110" s="28">
        <v>0</v>
      </c>
      <c r="G110" s="65">
        <v>27</v>
      </c>
      <c r="J110" s="72">
        <v>27</v>
      </c>
      <c r="K110" s="46">
        <f t="shared" si="34"/>
        <v>100</v>
      </c>
      <c r="L110" s="46">
        <f t="shared" si="32"/>
        <v>0</v>
      </c>
      <c r="M110" s="46">
        <f t="shared" si="33"/>
        <v>0</v>
      </c>
      <c r="N110" s="67">
        <f t="shared" si="26"/>
        <v>100</v>
      </c>
      <c r="O110" s="45">
        <v>46.4</v>
      </c>
      <c r="P110" s="46"/>
      <c r="Q110" s="46"/>
      <c r="R110" s="47">
        <f t="shared" si="27"/>
        <v>46.4</v>
      </c>
      <c r="S110" s="28">
        <v>4</v>
      </c>
      <c r="T110" s="284"/>
      <c r="U110" s="293"/>
      <c r="V110" s="37" t="s">
        <v>100</v>
      </c>
      <c r="W110" s="28" t="s">
        <v>74</v>
      </c>
      <c r="X110" s="28" t="s">
        <v>11</v>
      </c>
      <c r="Y110" s="38">
        <v>46.4</v>
      </c>
      <c r="AD110" s="37"/>
      <c r="AG110" s="38"/>
      <c r="AL110" s="37"/>
      <c r="AO110" s="38"/>
      <c r="AP110" s="37"/>
      <c r="AS110" s="38"/>
      <c r="AW110" s="38"/>
      <c r="BA110" s="39"/>
    </row>
    <row r="111" spans="1:53" s="28" customFormat="1" x14ac:dyDescent="0.15">
      <c r="A111" s="28">
        <v>2010</v>
      </c>
      <c r="B111" s="293"/>
      <c r="C111" s="394" t="s">
        <v>242</v>
      </c>
      <c r="D111" s="394"/>
      <c r="E111" s="28">
        <v>365</v>
      </c>
      <c r="G111" s="65">
        <v>27</v>
      </c>
      <c r="J111" s="72">
        <v>27</v>
      </c>
      <c r="K111" s="46">
        <f t="shared" si="34"/>
        <v>100</v>
      </c>
      <c r="L111" s="46">
        <f t="shared" si="32"/>
        <v>0</v>
      </c>
      <c r="M111" s="46">
        <f t="shared" si="33"/>
        <v>0</v>
      </c>
      <c r="N111" s="67">
        <f t="shared" si="26"/>
        <v>100</v>
      </c>
      <c r="O111" s="45">
        <v>46.4</v>
      </c>
      <c r="P111" s="46"/>
      <c r="Q111" s="46"/>
      <c r="R111" s="47">
        <f t="shared" si="27"/>
        <v>46.4</v>
      </c>
      <c r="S111" s="28">
        <v>4</v>
      </c>
      <c r="T111" s="284"/>
      <c r="U111" s="293"/>
      <c r="V111" s="37" t="s">
        <v>100</v>
      </c>
      <c r="W111" s="28" t="s">
        <v>74</v>
      </c>
      <c r="X111" s="28" t="s">
        <v>11</v>
      </c>
      <c r="Y111" s="38">
        <v>46.4</v>
      </c>
      <c r="AD111" s="37"/>
      <c r="AG111" s="38"/>
      <c r="AL111" s="37"/>
      <c r="AO111" s="38"/>
      <c r="AP111" s="37"/>
      <c r="AS111" s="38"/>
      <c r="AW111" s="38"/>
      <c r="BA111" s="39"/>
    </row>
    <row r="112" spans="1:53" s="28" customFormat="1" x14ac:dyDescent="0.15">
      <c r="A112" s="28">
        <v>2011</v>
      </c>
      <c r="B112" s="293"/>
      <c r="C112" s="394" t="s">
        <v>242</v>
      </c>
      <c r="D112" s="394"/>
      <c r="E112" s="28">
        <v>137</v>
      </c>
      <c r="G112" s="65">
        <v>27</v>
      </c>
      <c r="J112" s="72">
        <v>27</v>
      </c>
      <c r="K112" s="46">
        <f t="shared" si="34"/>
        <v>100</v>
      </c>
      <c r="L112" s="46">
        <f t="shared" ref="L112:L117" si="35">H112/J112*100</f>
        <v>0</v>
      </c>
      <c r="M112" s="46">
        <f t="shared" ref="M112:M117" si="36">I112/J112*100</f>
        <v>0</v>
      </c>
      <c r="N112" s="67">
        <f t="shared" si="26"/>
        <v>100</v>
      </c>
      <c r="O112" s="45">
        <v>46.4</v>
      </c>
      <c r="P112" s="46"/>
      <c r="Q112" s="46"/>
      <c r="R112" s="47">
        <f t="shared" si="27"/>
        <v>46.4</v>
      </c>
      <c r="S112" s="28">
        <v>4</v>
      </c>
      <c r="T112" s="284"/>
      <c r="U112" s="293"/>
      <c r="V112" s="37" t="s">
        <v>100</v>
      </c>
      <c r="W112" s="28" t="s">
        <v>74</v>
      </c>
      <c r="X112" s="28" t="s">
        <v>11</v>
      </c>
      <c r="Y112" s="38">
        <v>46.4</v>
      </c>
      <c r="AD112" s="37"/>
      <c r="AG112" s="38"/>
      <c r="AL112" s="37"/>
      <c r="AO112" s="38"/>
      <c r="AP112" s="37"/>
      <c r="AS112" s="38"/>
      <c r="AW112" s="38"/>
      <c r="BA112" s="39"/>
    </row>
    <row r="113" spans="1:53" s="170" customFormat="1" x14ac:dyDescent="0.15">
      <c r="A113" s="170">
        <v>2011</v>
      </c>
      <c r="B113" s="281">
        <v>40681</v>
      </c>
      <c r="C113" s="395" t="s">
        <v>243</v>
      </c>
      <c r="D113" s="395"/>
      <c r="E113" s="170">
        <v>228</v>
      </c>
      <c r="F113" s="170">
        <v>1</v>
      </c>
      <c r="G113" s="232">
        <v>27</v>
      </c>
      <c r="J113" s="240">
        <v>27</v>
      </c>
      <c r="K113" s="213">
        <f t="shared" si="34"/>
        <v>100</v>
      </c>
      <c r="L113" s="213">
        <f t="shared" si="35"/>
        <v>0</v>
      </c>
      <c r="M113" s="213">
        <f t="shared" si="36"/>
        <v>0</v>
      </c>
      <c r="N113" s="234">
        <f t="shared" si="26"/>
        <v>100</v>
      </c>
      <c r="O113" s="212">
        <v>53.9</v>
      </c>
      <c r="P113" s="213"/>
      <c r="Q113" s="213"/>
      <c r="R113" s="214">
        <f t="shared" si="27"/>
        <v>53.9</v>
      </c>
      <c r="S113" s="170">
        <v>1</v>
      </c>
      <c r="T113" s="283">
        <v>40665</v>
      </c>
      <c r="U113" s="281">
        <v>40681</v>
      </c>
      <c r="V113" s="177" t="s">
        <v>100</v>
      </c>
      <c r="W113" s="170" t="s">
        <v>74</v>
      </c>
      <c r="X113" s="170" t="s">
        <v>11</v>
      </c>
      <c r="Y113" s="178">
        <v>53.9</v>
      </c>
      <c r="AD113" s="177"/>
      <c r="AG113" s="178"/>
      <c r="AL113" s="177"/>
      <c r="AO113" s="178"/>
      <c r="AP113" s="177"/>
      <c r="AS113" s="178"/>
      <c r="AW113" s="178"/>
      <c r="BA113" s="179"/>
    </row>
    <row r="114" spans="1:53" s="170" customFormat="1" x14ac:dyDescent="0.15">
      <c r="A114" s="170">
        <v>2012</v>
      </c>
      <c r="B114" s="281"/>
      <c r="C114" s="395" t="s">
        <v>243</v>
      </c>
      <c r="D114" s="395"/>
      <c r="E114" s="170">
        <v>0</v>
      </c>
      <c r="G114" s="232">
        <v>27</v>
      </c>
      <c r="J114" s="240">
        <v>27</v>
      </c>
      <c r="K114" s="213">
        <f t="shared" si="34"/>
        <v>100</v>
      </c>
      <c r="L114" s="213">
        <f t="shared" si="35"/>
        <v>0</v>
      </c>
      <c r="M114" s="213">
        <f t="shared" si="36"/>
        <v>0</v>
      </c>
      <c r="N114" s="234">
        <f t="shared" si="26"/>
        <v>100</v>
      </c>
      <c r="O114" s="212">
        <v>53.9</v>
      </c>
      <c r="P114" s="213"/>
      <c r="Q114" s="213"/>
      <c r="R114" s="214">
        <f t="shared" si="27"/>
        <v>53.9</v>
      </c>
      <c r="S114" s="170">
        <v>1</v>
      </c>
      <c r="T114" s="283"/>
      <c r="U114" s="281"/>
      <c r="V114" s="177" t="s">
        <v>100</v>
      </c>
      <c r="W114" s="170" t="s">
        <v>74</v>
      </c>
      <c r="X114" s="170" t="s">
        <v>11</v>
      </c>
      <c r="Y114" s="178">
        <v>53.9</v>
      </c>
      <c r="AD114" s="177"/>
      <c r="AG114" s="178"/>
      <c r="AL114" s="177"/>
      <c r="AO114" s="178"/>
      <c r="AP114" s="177"/>
      <c r="AS114" s="178"/>
      <c r="AW114" s="178"/>
      <c r="BA114" s="179"/>
    </row>
    <row r="115" spans="1:53" s="170" customFormat="1" x14ac:dyDescent="0.15">
      <c r="A115" s="170">
        <v>2012</v>
      </c>
      <c r="B115" s="281"/>
      <c r="C115" s="395" t="s">
        <v>243</v>
      </c>
      <c r="D115" s="395"/>
      <c r="E115" s="170">
        <v>366</v>
      </c>
      <c r="G115" s="232">
        <v>27</v>
      </c>
      <c r="J115" s="240">
        <v>27</v>
      </c>
      <c r="K115" s="213">
        <f t="shared" si="34"/>
        <v>100</v>
      </c>
      <c r="L115" s="213">
        <f t="shared" si="35"/>
        <v>0</v>
      </c>
      <c r="M115" s="213">
        <f t="shared" si="36"/>
        <v>0</v>
      </c>
      <c r="N115" s="234">
        <f t="shared" si="26"/>
        <v>100</v>
      </c>
      <c r="O115" s="212">
        <v>53.9</v>
      </c>
      <c r="P115" s="213"/>
      <c r="Q115" s="213"/>
      <c r="R115" s="214">
        <f t="shared" si="27"/>
        <v>53.9</v>
      </c>
      <c r="S115" s="170">
        <v>1</v>
      </c>
      <c r="T115" s="283"/>
      <c r="U115" s="281"/>
      <c r="V115" s="177" t="s">
        <v>100</v>
      </c>
      <c r="W115" s="170" t="s">
        <v>74</v>
      </c>
      <c r="X115" s="170" t="s">
        <v>11</v>
      </c>
      <c r="Y115" s="178">
        <v>53.9</v>
      </c>
      <c r="AD115" s="177"/>
      <c r="AG115" s="178"/>
      <c r="AL115" s="177"/>
      <c r="AO115" s="178"/>
      <c r="AP115" s="177"/>
      <c r="AS115" s="178"/>
      <c r="AW115" s="178"/>
      <c r="BA115" s="179"/>
    </row>
    <row r="116" spans="1:53" s="170" customFormat="1" x14ac:dyDescent="0.15">
      <c r="A116" s="170">
        <v>2013</v>
      </c>
      <c r="B116" s="303"/>
      <c r="C116" s="395" t="s">
        <v>243</v>
      </c>
      <c r="D116" s="395"/>
      <c r="E116" s="170">
        <v>195</v>
      </c>
      <c r="F116" s="243"/>
      <c r="G116" s="232">
        <v>27</v>
      </c>
      <c r="J116" s="240">
        <v>27</v>
      </c>
      <c r="K116" s="213">
        <f t="shared" si="34"/>
        <v>100</v>
      </c>
      <c r="L116" s="213">
        <f t="shared" si="35"/>
        <v>0</v>
      </c>
      <c r="M116" s="213">
        <f t="shared" si="36"/>
        <v>0</v>
      </c>
      <c r="N116" s="234">
        <f t="shared" si="26"/>
        <v>100</v>
      </c>
      <c r="O116" s="212">
        <v>53.9</v>
      </c>
      <c r="P116" s="213"/>
      <c r="Q116" s="213"/>
      <c r="R116" s="214">
        <f t="shared" si="27"/>
        <v>53.9</v>
      </c>
      <c r="S116" s="170">
        <v>1</v>
      </c>
      <c r="T116" s="283"/>
      <c r="U116" s="281"/>
      <c r="V116" s="177" t="s">
        <v>100</v>
      </c>
      <c r="W116" s="170" t="s">
        <v>74</v>
      </c>
      <c r="X116" s="170" t="s">
        <v>11</v>
      </c>
      <c r="Y116" s="178">
        <v>53.9</v>
      </c>
      <c r="AD116" s="177"/>
      <c r="AG116" s="178"/>
      <c r="AL116" s="177"/>
      <c r="AO116" s="178"/>
      <c r="AP116" s="177"/>
      <c r="AS116" s="178"/>
      <c r="AW116" s="178"/>
      <c r="BA116" s="179"/>
    </row>
    <row r="117" spans="1:53" s="170" customFormat="1" x14ac:dyDescent="0.15">
      <c r="A117" s="170">
        <v>2013</v>
      </c>
      <c r="B117" s="303">
        <v>41470</v>
      </c>
      <c r="C117" s="395" t="s">
        <v>243</v>
      </c>
      <c r="D117" s="395"/>
      <c r="E117" s="170">
        <f>365-E116</f>
        <v>170</v>
      </c>
      <c r="F117" s="243">
        <v>0</v>
      </c>
      <c r="G117" s="232">
        <v>27</v>
      </c>
      <c r="J117" s="240">
        <v>27</v>
      </c>
      <c r="K117" s="213">
        <f t="shared" si="34"/>
        <v>100</v>
      </c>
      <c r="L117" s="213">
        <f t="shared" si="35"/>
        <v>0</v>
      </c>
      <c r="M117" s="213">
        <f t="shared" si="36"/>
        <v>0</v>
      </c>
      <c r="N117" s="234">
        <f t="shared" si="26"/>
        <v>100</v>
      </c>
      <c r="O117" s="212">
        <v>53.9</v>
      </c>
      <c r="P117" s="213"/>
      <c r="Q117" s="213"/>
      <c r="R117" s="214">
        <f t="shared" si="27"/>
        <v>53.9</v>
      </c>
      <c r="S117" s="170">
        <v>1</v>
      </c>
      <c r="T117" s="283"/>
      <c r="U117" s="281"/>
      <c r="V117" s="177" t="s">
        <v>100</v>
      </c>
      <c r="W117" s="170" t="s">
        <v>74</v>
      </c>
      <c r="X117" s="170" t="s">
        <v>11</v>
      </c>
      <c r="Y117" s="178">
        <v>53.9</v>
      </c>
      <c r="AD117" s="177"/>
      <c r="AG117" s="178"/>
      <c r="AL117" s="177"/>
      <c r="AO117" s="178"/>
      <c r="AP117" s="177"/>
      <c r="AS117" s="178"/>
      <c r="AW117" s="178"/>
      <c r="BA117" s="179"/>
    </row>
    <row r="118" spans="1:53" s="170" customFormat="1" x14ac:dyDescent="0.15">
      <c r="A118" s="170">
        <v>2014</v>
      </c>
      <c r="B118" s="303"/>
      <c r="C118" s="395" t="s">
        <v>243</v>
      </c>
      <c r="D118" s="395"/>
      <c r="E118" s="170">
        <v>0</v>
      </c>
      <c r="F118" s="243"/>
      <c r="G118" s="232">
        <v>27</v>
      </c>
      <c r="J118" s="240">
        <v>27</v>
      </c>
      <c r="K118" s="213">
        <f>G118/J118*100</f>
        <v>100</v>
      </c>
      <c r="L118" s="213">
        <f>H118/J118*100</f>
        <v>0</v>
      </c>
      <c r="M118" s="213">
        <f>I118/J118*100</f>
        <v>0</v>
      </c>
      <c r="N118" s="234">
        <f>SUM(K118:M118)</f>
        <v>100</v>
      </c>
      <c r="O118" s="212">
        <v>53.9</v>
      </c>
      <c r="P118" s="213"/>
      <c r="Q118" s="213"/>
      <c r="R118" s="214">
        <f>SUM(O118:Q118)</f>
        <v>53.9</v>
      </c>
      <c r="S118" s="170">
        <v>1</v>
      </c>
      <c r="T118" s="283"/>
      <c r="U118" s="281"/>
      <c r="V118" s="177" t="s">
        <v>100</v>
      </c>
      <c r="W118" s="170" t="s">
        <v>74</v>
      </c>
      <c r="X118" s="170" t="s">
        <v>11</v>
      </c>
      <c r="Y118" s="178">
        <v>53.9</v>
      </c>
      <c r="AD118" s="177"/>
      <c r="AG118" s="178"/>
      <c r="AL118" s="177"/>
      <c r="AO118" s="178"/>
      <c r="AP118" s="177"/>
      <c r="AS118" s="178"/>
      <c r="AW118" s="178"/>
      <c r="BA118" s="179"/>
    </row>
    <row r="119" spans="1:53" s="170" customFormat="1" x14ac:dyDescent="0.15">
      <c r="A119" s="170">
        <v>2014</v>
      </c>
      <c r="B119" s="303"/>
      <c r="C119" s="395" t="s">
        <v>243</v>
      </c>
      <c r="D119" s="395"/>
      <c r="E119" s="170">
        <v>365</v>
      </c>
      <c r="F119" s="243"/>
      <c r="G119" s="232">
        <v>27</v>
      </c>
      <c r="J119" s="240">
        <v>27</v>
      </c>
      <c r="K119" s="213">
        <f>G119/J119*100</f>
        <v>100</v>
      </c>
      <c r="L119" s="213">
        <f>H119/J119*100</f>
        <v>0</v>
      </c>
      <c r="M119" s="213">
        <f>I119/J119*100</f>
        <v>0</v>
      </c>
      <c r="N119" s="234">
        <f>SUM(K119:M119)</f>
        <v>100</v>
      </c>
      <c r="O119" s="212">
        <v>53.9</v>
      </c>
      <c r="P119" s="213"/>
      <c r="Q119" s="213"/>
      <c r="R119" s="214">
        <f>SUM(O119:Q119)</f>
        <v>53.9</v>
      </c>
      <c r="S119" s="170">
        <v>1</v>
      </c>
      <c r="T119" s="283"/>
      <c r="U119" s="281"/>
      <c r="V119" s="177" t="s">
        <v>100</v>
      </c>
      <c r="W119" s="170" t="s">
        <v>74</v>
      </c>
      <c r="X119" s="170" t="s">
        <v>11</v>
      </c>
      <c r="Y119" s="178">
        <v>53.9</v>
      </c>
      <c r="AD119" s="177"/>
      <c r="AG119" s="178"/>
      <c r="AL119" s="177"/>
      <c r="AO119" s="178"/>
      <c r="AP119" s="177"/>
      <c r="AS119" s="178"/>
      <c r="AW119" s="178"/>
      <c r="BA119" s="179"/>
    </row>
    <row r="120" spans="1:53" s="170" customFormat="1" x14ac:dyDescent="0.15">
      <c r="A120" s="170">
        <v>2015</v>
      </c>
      <c r="B120" s="303"/>
      <c r="C120" s="395" t="s">
        <v>243</v>
      </c>
      <c r="D120" s="395"/>
      <c r="E120" s="170">
        <v>307</v>
      </c>
      <c r="F120" s="243"/>
      <c r="G120" s="232">
        <v>27</v>
      </c>
      <c r="J120" s="240">
        <v>27</v>
      </c>
      <c r="K120" s="213">
        <f>G120/J120*100</f>
        <v>100</v>
      </c>
      <c r="L120" s="213">
        <f>H120/J120*100</f>
        <v>0</v>
      </c>
      <c r="M120" s="213">
        <f>I120/J120*100</f>
        <v>0</v>
      </c>
      <c r="N120" s="234">
        <f>SUM(K120:M120)</f>
        <v>100</v>
      </c>
      <c r="O120" s="212">
        <v>53.9</v>
      </c>
      <c r="P120" s="213"/>
      <c r="Q120" s="213"/>
      <c r="R120" s="214">
        <f>SUM(O120:Q120)</f>
        <v>53.9</v>
      </c>
      <c r="S120" s="170">
        <v>1</v>
      </c>
      <c r="T120" s="283"/>
      <c r="U120" s="281"/>
      <c r="V120" s="177" t="s">
        <v>100</v>
      </c>
      <c r="W120" s="170" t="s">
        <v>74</v>
      </c>
      <c r="X120" s="170" t="s">
        <v>11</v>
      </c>
      <c r="Y120" s="178">
        <v>53.9</v>
      </c>
      <c r="AD120" s="177"/>
      <c r="AG120" s="178"/>
      <c r="AL120" s="177"/>
      <c r="AO120" s="178"/>
      <c r="AP120" s="177"/>
      <c r="AS120" s="178"/>
      <c r="AW120" s="178"/>
      <c r="BA120" s="179"/>
    </row>
    <row r="121" spans="1:53" s="28" customFormat="1" x14ac:dyDescent="0.15">
      <c r="A121" s="28">
        <v>2015</v>
      </c>
      <c r="B121" s="293">
        <v>42312</v>
      </c>
      <c r="C121" s="394" t="s">
        <v>1443</v>
      </c>
      <c r="D121" s="394"/>
      <c r="E121" s="28">
        <v>58</v>
      </c>
      <c r="F121" s="28">
        <v>1</v>
      </c>
      <c r="G121" s="65"/>
      <c r="H121" s="28">
        <v>31</v>
      </c>
      <c r="J121" s="72">
        <v>31</v>
      </c>
      <c r="K121" s="46">
        <f>G121/J121*100</f>
        <v>0</v>
      </c>
      <c r="L121" s="46">
        <f>H121/J121*100</f>
        <v>100</v>
      </c>
      <c r="M121" s="46">
        <f>I121/J121*100</f>
        <v>0</v>
      </c>
      <c r="N121" s="67">
        <f>SUM(K121:M121)</f>
        <v>100</v>
      </c>
      <c r="O121" s="45"/>
      <c r="P121" s="46">
        <v>54.4</v>
      </c>
      <c r="Q121" s="46"/>
      <c r="R121" s="47">
        <f>SUM(O121:Q121)</f>
        <v>54.4</v>
      </c>
      <c r="S121" s="28">
        <v>1</v>
      </c>
      <c r="T121" s="284">
        <v>42292</v>
      </c>
      <c r="U121" s="293">
        <v>42312</v>
      </c>
      <c r="V121" s="37" t="s">
        <v>72</v>
      </c>
      <c r="W121" s="28" t="s">
        <v>22</v>
      </c>
      <c r="X121" s="28" t="s">
        <v>18</v>
      </c>
      <c r="Y121" s="38">
        <v>54.4</v>
      </c>
      <c r="AC121" s="38"/>
      <c r="AG121" s="38"/>
      <c r="AL121" s="37"/>
      <c r="AO121" s="38"/>
      <c r="AS121" s="38"/>
      <c r="AW121" s="38"/>
      <c r="BA121" s="39"/>
    </row>
    <row r="122" spans="1:53" s="28" customFormat="1" x14ac:dyDescent="0.15">
      <c r="A122" s="28">
        <v>2016</v>
      </c>
      <c r="B122" s="293"/>
      <c r="C122" s="394" t="s">
        <v>1443</v>
      </c>
      <c r="D122" s="394"/>
      <c r="E122" s="28">
        <v>0</v>
      </c>
      <c r="G122" s="65"/>
      <c r="H122" s="28">
        <v>31</v>
      </c>
      <c r="J122" s="72">
        <v>31</v>
      </c>
      <c r="K122" s="46">
        <f t="shared" ref="K122:K127" si="37">G122/J122*100</f>
        <v>0</v>
      </c>
      <c r="L122" s="46">
        <f t="shared" ref="L122:L127" si="38">H122/J122*100</f>
        <v>100</v>
      </c>
      <c r="M122" s="46">
        <f t="shared" ref="M122:M127" si="39">I122/J122*100</f>
        <v>0</v>
      </c>
      <c r="N122" s="67">
        <f t="shared" ref="N122:N127" si="40">SUM(K122:M122)</f>
        <v>100</v>
      </c>
      <c r="O122" s="45"/>
      <c r="P122" s="46">
        <v>54.4</v>
      </c>
      <c r="Q122" s="46"/>
      <c r="R122" s="47">
        <f t="shared" ref="R122:R125" si="41">SUM(O122:Q122)</f>
        <v>54.4</v>
      </c>
      <c r="S122" s="28">
        <v>1</v>
      </c>
      <c r="T122" s="284"/>
      <c r="U122" s="293"/>
      <c r="V122" s="37" t="s">
        <v>72</v>
      </c>
      <c r="W122" s="28" t="s">
        <v>22</v>
      </c>
      <c r="X122" s="28" t="s">
        <v>18</v>
      </c>
      <c r="Y122" s="38">
        <v>54.4</v>
      </c>
      <c r="AC122" s="38"/>
      <c r="AG122" s="38"/>
      <c r="AK122" s="38"/>
      <c r="AO122" s="38"/>
      <c r="AS122" s="38"/>
      <c r="AW122" s="38"/>
      <c r="BA122" s="39"/>
    </row>
    <row r="123" spans="1:53" s="28" customFormat="1" x14ac:dyDescent="0.15">
      <c r="A123" s="28">
        <v>2016</v>
      </c>
      <c r="B123" s="293"/>
      <c r="C123" s="394" t="s">
        <v>1443</v>
      </c>
      <c r="D123" s="394"/>
      <c r="E123" s="28">
        <v>366</v>
      </c>
      <c r="G123" s="65"/>
      <c r="H123" s="28">
        <v>31</v>
      </c>
      <c r="J123" s="72">
        <v>31</v>
      </c>
      <c r="K123" s="46">
        <f t="shared" si="37"/>
        <v>0</v>
      </c>
      <c r="L123" s="46">
        <f t="shared" si="38"/>
        <v>100</v>
      </c>
      <c r="M123" s="46">
        <f t="shared" si="39"/>
        <v>0</v>
      </c>
      <c r="N123" s="67">
        <f t="shared" si="40"/>
        <v>100</v>
      </c>
      <c r="O123" s="45"/>
      <c r="P123" s="46">
        <v>54.4</v>
      </c>
      <c r="Q123" s="46"/>
      <c r="R123" s="47">
        <f t="shared" si="41"/>
        <v>54.4</v>
      </c>
      <c r="S123" s="28">
        <v>1</v>
      </c>
      <c r="T123" s="284"/>
      <c r="U123" s="293"/>
      <c r="V123" s="37" t="s">
        <v>72</v>
      </c>
      <c r="W123" s="28" t="s">
        <v>22</v>
      </c>
      <c r="X123" s="28" t="s">
        <v>18</v>
      </c>
      <c r="Y123" s="38">
        <v>54.4</v>
      </c>
      <c r="AC123" s="38"/>
      <c r="AG123" s="38"/>
      <c r="AK123" s="38"/>
      <c r="AO123" s="38"/>
      <c r="AS123" s="38"/>
      <c r="AW123" s="38"/>
      <c r="BA123" s="39"/>
    </row>
    <row r="124" spans="1:53" s="28" customFormat="1" x14ac:dyDescent="0.15">
      <c r="A124" s="28">
        <v>2017</v>
      </c>
      <c r="B124" s="293"/>
      <c r="C124" s="394" t="s">
        <v>1443</v>
      </c>
      <c r="D124" s="394"/>
      <c r="E124" s="28">
        <v>239</v>
      </c>
      <c r="G124" s="65"/>
      <c r="H124" s="28">
        <v>31</v>
      </c>
      <c r="J124" s="72">
        <v>31</v>
      </c>
      <c r="K124" s="46">
        <f t="shared" si="37"/>
        <v>0</v>
      </c>
      <c r="L124" s="46">
        <f t="shared" si="38"/>
        <v>100</v>
      </c>
      <c r="M124" s="46">
        <f t="shared" si="39"/>
        <v>0</v>
      </c>
      <c r="N124" s="67">
        <f t="shared" si="40"/>
        <v>100</v>
      </c>
      <c r="O124" s="45"/>
      <c r="P124" s="46">
        <v>54.4</v>
      </c>
      <c r="Q124" s="46"/>
      <c r="R124" s="47">
        <f t="shared" si="41"/>
        <v>54.4</v>
      </c>
      <c r="S124" s="28">
        <v>1</v>
      </c>
      <c r="T124" s="284"/>
      <c r="U124" s="293"/>
      <c r="V124" s="37" t="s">
        <v>72</v>
      </c>
      <c r="W124" s="28" t="s">
        <v>22</v>
      </c>
      <c r="X124" s="28" t="s">
        <v>18</v>
      </c>
      <c r="Y124" s="38">
        <v>54.4</v>
      </c>
      <c r="AC124" s="38"/>
      <c r="AG124" s="38"/>
      <c r="AK124" s="38"/>
      <c r="AO124" s="38"/>
      <c r="AS124" s="38"/>
      <c r="AW124" s="38"/>
      <c r="BA124" s="39"/>
    </row>
    <row r="125" spans="1:53" s="28" customFormat="1" x14ac:dyDescent="0.15">
      <c r="A125" s="28">
        <v>2017</v>
      </c>
      <c r="B125" s="305">
        <v>42975</v>
      </c>
      <c r="C125" s="394" t="s">
        <v>1443</v>
      </c>
      <c r="D125" s="394"/>
      <c r="E125" s="28">
        <v>126</v>
      </c>
      <c r="F125" s="120">
        <v>0</v>
      </c>
      <c r="G125" s="65"/>
      <c r="H125" s="28">
        <v>30</v>
      </c>
      <c r="J125" s="72">
        <v>30</v>
      </c>
      <c r="K125" s="46">
        <f t="shared" si="37"/>
        <v>0</v>
      </c>
      <c r="L125" s="46">
        <f t="shared" si="38"/>
        <v>100</v>
      </c>
      <c r="M125" s="46">
        <f t="shared" si="39"/>
        <v>0</v>
      </c>
      <c r="N125" s="67">
        <f t="shared" si="40"/>
        <v>100</v>
      </c>
      <c r="O125" s="45"/>
      <c r="P125" s="46">
        <v>54.4</v>
      </c>
      <c r="Q125" s="46"/>
      <c r="R125" s="47">
        <f t="shared" si="41"/>
        <v>54.4</v>
      </c>
      <c r="S125" s="28">
        <v>1</v>
      </c>
      <c r="T125" s="284"/>
      <c r="U125" s="293"/>
      <c r="V125" s="37" t="s">
        <v>72</v>
      </c>
      <c r="W125" s="28" t="s">
        <v>22</v>
      </c>
      <c r="X125" s="28" t="s">
        <v>18</v>
      </c>
      <c r="Y125" s="38">
        <v>54.4</v>
      </c>
      <c r="AC125" s="38"/>
      <c r="AG125" s="38"/>
      <c r="AK125" s="38"/>
      <c r="AO125" s="38"/>
      <c r="AS125" s="38"/>
      <c r="AW125" s="38"/>
      <c r="BA125" s="39"/>
    </row>
    <row r="126" spans="1:53" s="28" customFormat="1" x14ac:dyDescent="0.15">
      <c r="A126" s="28">
        <v>2018</v>
      </c>
      <c r="B126" s="305"/>
      <c r="C126" s="394" t="s">
        <v>1443</v>
      </c>
      <c r="D126" s="394"/>
      <c r="E126" s="28">
        <v>198</v>
      </c>
      <c r="F126" s="120"/>
      <c r="G126" s="65"/>
      <c r="H126" s="28">
        <v>31</v>
      </c>
      <c r="J126" s="72">
        <v>31</v>
      </c>
      <c r="K126" s="46">
        <f t="shared" si="37"/>
        <v>0</v>
      </c>
      <c r="L126" s="46">
        <f t="shared" si="38"/>
        <v>100</v>
      </c>
      <c r="M126" s="46">
        <f t="shared" si="39"/>
        <v>0</v>
      </c>
      <c r="N126" s="67">
        <f t="shared" si="40"/>
        <v>100</v>
      </c>
      <c r="O126" s="45"/>
      <c r="P126" s="46">
        <v>54.4</v>
      </c>
      <c r="Q126" s="46"/>
      <c r="R126" s="47">
        <f t="shared" ref="R126:R127" si="42">SUM(O126:Q126)</f>
        <v>54.4</v>
      </c>
      <c r="S126" s="28">
        <v>1</v>
      </c>
      <c r="T126" s="284"/>
      <c r="U126" s="293"/>
      <c r="V126" s="37" t="s">
        <v>72</v>
      </c>
      <c r="W126" s="28" t="s">
        <v>22</v>
      </c>
      <c r="X126" s="28" t="s">
        <v>18</v>
      </c>
      <c r="Y126" s="38">
        <v>54.4</v>
      </c>
      <c r="AC126" s="38"/>
      <c r="AG126" s="38"/>
      <c r="AK126" s="38"/>
      <c r="AO126" s="38"/>
      <c r="AS126" s="38"/>
      <c r="AW126" s="38"/>
      <c r="BA126" s="39"/>
    </row>
    <row r="127" spans="1:53" s="28" customFormat="1" x14ac:dyDescent="0.15">
      <c r="A127" s="28">
        <v>2018</v>
      </c>
      <c r="B127" s="305">
        <v>43299</v>
      </c>
      <c r="C127" s="394" t="s">
        <v>1443</v>
      </c>
      <c r="D127" s="394"/>
      <c r="E127" s="28">
        <v>167</v>
      </c>
      <c r="F127" s="120">
        <v>0</v>
      </c>
      <c r="G127" s="65"/>
      <c r="H127" s="28">
        <v>35</v>
      </c>
      <c r="J127" s="72">
        <v>35</v>
      </c>
      <c r="K127" s="46">
        <f t="shared" si="37"/>
        <v>0</v>
      </c>
      <c r="L127" s="46">
        <f t="shared" si="38"/>
        <v>100</v>
      </c>
      <c r="M127" s="46">
        <f t="shared" si="39"/>
        <v>0</v>
      </c>
      <c r="N127" s="67">
        <f t="shared" si="40"/>
        <v>100</v>
      </c>
      <c r="O127" s="45"/>
      <c r="P127" s="46">
        <v>54.4</v>
      </c>
      <c r="Q127" s="46"/>
      <c r="R127" s="47">
        <f t="shared" si="42"/>
        <v>54.4</v>
      </c>
      <c r="S127" s="28">
        <v>1</v>
      </c>
      <c r="T127" s="284"/>
      <c r="U127" s="293"/>
      <c r="V127" s="37" t="s">
        <v>72</v>
      </c>
      <c r="W127" s="28" t="s">
        <v>22</v>
      </c>
      <c r="X127" s="28" t="s">
        <v>18</v>
      </c>
      <c r="Y127" s="38">
        <v>54.4</v>
      </c>
      <c r="AC127" s="38"/>
      <c r="AG127" s="38"/>
      <c r="AK127" s="38"/>
      <c r="AO127" s="38"/>
      <c r="AS127" s="38"/>
      <c r="AW127" s="38"/>
      <c r="BA127" s="39"/>
    </row>
    <row r="128" spans="1:53" s="28" customFormat="1" x14ac:dyDescent="0.15">
      <c r="A128" s="28">
        <v>2019</v>
      </c>
      <c r="B128" s="305"/>
      <c r="C128" s="394" t="s">
        <v>1443</v>
      </c>
      <c r="D128" s="394"/>
      <c r="E128" s="28">
        <v>323</v>
      </c>
      <c r="F128" s="120"/>
      <c r="G128" s="65"/>
      <c r="H128" s="28">
        <v>35</v>
      </c>
      <c r="J128" s="72">
        <v>35</v>
      </c>
      <c r="K128" s="46">
        <f t="shared" ref="K128:K135" si="43">G128/J128*100</f>
        <v>0</v>
      </c>
      <c r="L128" s="46">
        <f t="shared" ref="L128:L132" si="44">H128/J128*100</f>
        <v>100</v>
      </c>
      <c r="M128" s="46">
        <f t="shared" ref="M128:M132" si="45">I128/J128*100</f>
        <v>0</v>
      </c>
      <c r="N128" s="67">
        <f t="shared" ref="N128:N132" si="46">SUM(K128:M128)</f>
        <v>100</v>
      </c>
      <c r="O128" s="45"/>
      <c r="P128" s="46">
        <v>54.4</v>
      </c>
      <c r="Q128" s="46"/>
      <c r="R128" s="47">
        <f t="shared" ref="R128:R135" si="47">SUM(O128:Q128)</f>
        <v>54.4</v>
      </c>
      <c r="S128" s="28">
        <v>1</v>
      </c>
      <c r="T128" s="284"/>
      <c r="U128" s="293"/>
      <c r="V128" s="37" t="s">
        <v>72</v>
      </c>
      <c r="W128" s="28" t="s">
        <v>22</v>
      </c>
      <c r="X128" s="28" t="s">
        <v>18</v>
      </c>
      <c r="Y128" s="38">
        <v>54.4</v>
      </c>
      <c r="AC128" s="38"/>
      <c r="AG128" s="38"/>
      <c r="AK128" s="38"/>
      <c r="AO128" s="38"/>
      <c r="AS128" s="38"/>
      <c r="AW128" s="38"/>
      <c r="BA128" s="39"/>
    </row>
    <row r="129" spans="1:53" s="170" customFormat="1" x14ac:dyDescent="0.15">
      <c r="A129" s="170">
        <v>2019</v>
      </c>
      <c r="B129" s="304">
        <v>43789</v>
      </c>
      <c r="C129" s="395" t="s">
        <v>1444</v>
      </c>
      <c r="D129" s="395"/>
      <c r="E129" s="170">
        <v>42</v>
      </c>
      <c r="F129" s="190">
        <v>1</v>
      </c>
      <c r="G129" s="232"/>
      <c r="H129" s="170">
        <v>37</v>
      </c>
      <c r="J129" s="240">
        <v>37</v>
      </c>
      <c r="K129" s="213">
        <f t="shared" si="43"/>
        <v>0</v>
      </c>
      <c r="L129" s="213">
        <f t="shared" si="44"/>
        <v>100</v>
      </c>
      <c r="M129" s="213">
        <f t="shared" si="45"/>
        <v>0</v>
      </c>
      <c r="N129" s="234">
        <f t="shared" si="46"/>
        <v>100</v>
      </c>
      <c r="O129" s="212"/>
      <c r="P129" s="213">
        <v>46.4</v>
      </c>
      <c r="Q129" s="213"/>
      <c r="R129" s="214">
        <f t="shared" si="47"/>
        <v>46.4</v>
      </c>
      <c r="S129" s="170">
        <v>4</v>
      </c>
      <c r="T129" s="283">
        <v>43759</v>
      </c>
      <c r="U129" s="281">
        <v>43789</v>
      </c>
      <c r="V129" s="177" t="s">
        <v>72</v>
      </c>
      <c r="W129" s="170" t="s">
        <v>22</v>
      </c>
      <c r="X129" s="170" t="s">
        <v>18</v>
      </c>
      <c r="Y129" s="178">
        <v>46.4</v>
      </c>
      <c r="AC129" s="178"/>
      <c r="AG129" s="178"/>
      <c r="AK129" s="178"/>
      <c r="AO129" s="178"/>
      <c r="AS129" s="178"/>
      <c r="AW129" s="178"/>
      <c r="BA129" s="179"/>
    </row>
    <row r="130" spans="1:53" s="170" customFormat="1" x14ac:dyDescent="0.15">
      <c r="A130" s="170">
        <v>2020</v>
      </c>
      <c r="B130" s="304"/>
      <c r="C130" s="395" t="s">
        <v>1444</v>
      </c>
      <c r="D130" s="395"/>
      <c r="E130" s="170">
        <v>229</v>
      </c>
      <c r="F130" s="336"/>
      <c r="H130" s="170">
        <v>37</v>
      </c>
      <c r="J130" s="240">
        <v>37</v>
      </c>
      <c r="K130" s="213">
        <f t="shared" si="43"/>
        <v>0</v>
      </c>
      <c r="L130" s="213">
        <f t="shared" si="44"/>
        <v>100</v>
      </c>
      <c r="M130" s="213">
        <f t="shared" si="45"/>
        <v>0</v>
      </c>
      <c r="N130" s="214">
        <f t="shared" si="46"/>
        <v>100</v>
      </c>
      <c r="O130" s="213"/>
      <c r="P130" s="213">
        <v>46.4</v>
      </c>
      <c r="Q130" s="213"/>
      <c r="R130" s="214">
        <f t="shared" si="47"/>
        <v>46.4</v>
      </c>
      <c r="S130" s="189">
        <v>4</v>
      </c>
      <c r="T130" s="283"/>
      <c r="U130" s="281"/>
      <c r="V130" s="177" t="s">
        <v>72</v>
      </c>
      <c r="W130" s="170" t="s">
        <v>22</v>
      </c>
      <c r="X130" s="170" t="s">
        <v>18</v>
      </c>
      <c r="Y130" s="178">
        <v>46.4</v>
      </c>
      <c r="AC130" s="178"/>
      <c r="AG130" s="178"/>
      <c r="AK130" s="178"/>
      <c r="AO130" s="178"/>
      <c r="AS130" s="178"/>
      <c r="AW130" s="178"/>
      <c r="BA130" s="179"/>
    </row>
    <row r="131" spans="1:53" s="170" customFormat="1" x14ac:dyDescent="0.15">
      <c r="A131" s="170">
        <v>2020</v>
      </c>
      <c r="B131" s="303">
        <v>44060</v>
      </c>
      <c r="C131" s="395" t="s">
        <v>1444</v>
      </c>
      <c r="D131" s="395"/>
      <c r="E131" s="170">
        <v>137</v>
      </c>
      <c r="F131" s="246">
        <v>0</v>
      </c>
      <c r="H131" s="170">
        <v>36</v>
      </c>
      <c r="J131" s="240">
        <v>36</v>
      </c>
      <c r="K131" s="213">
        <f t="shared" si="43"/>
        <v>0</v>
      </c>
      <c r="L131" s="213">
        <f t="shared" si="44"/>
        <v>100</v>
      </c>
      <c r="M131" s="213">
        <f t="shared" si="45"/>
        <v>0</v>
      </c>
      <c r="N131" s="214">
        <f t="shared" si="46"/>
        <v>100</v>
      </c>
      <c r="O131" s="213"/>
      <c r="P131" s="213">
        <v>46.4</v>
      </c>
      <c r="Q131" s="213"/>
      <c r="R131" s="214">
        <f t="shared" si="47"/>
        <v>46.4</v>
      </c>
      <c r="S131" s="189">
        <v>4</v>
      </c>
      <c r="T131" s="283"/>
      <c r="U131" s="281"/>
      <c r="V131" s="177" t="s">
        <v>72</v>
      </c>
      <c r="W131" s="170" t="s">
        <v>22</v>
      </c>
      <c r="X131" s="170" t="s">
        <v>18</v>
      </c>
      <c r="Y131" s="178">
        <v>46.4</v>
      </c>
      <c r="AC131" s="178"/>
      <c r="AG131" s="178"/>
      <c r="AK131" s="178"/>
      <c r="AO131" s="178"/>
      <c r="AS131" s="178"/>
      <c r="AW131" s="178"/>
      <c r="BA131" s="179"/>
    </row>
    <row r="132" spans="1:53" s="170" customFormat="1" x14ac:dyDescent="0.15">
      <c r="A132" s="170">
        <v>2021</v>
      </c>
      <c r="B132" s="303"/>
      <c r="C132" s="395" t="s">
        <v>1444</v>
      </c>
      <c r="D132" s="395"/>
      <c r="E132" s="170">
        <v>298</v>
      </c>
      <c r="F132" s="246"/>
      <c r="H132" s="170">
        <v>36</v>
      </c>
      <c r="J132" s="240">
        <v>36</v>
      </c>
      <c r="K132" s="213">
        <f t="shared" si="43"/>
        <v>0</v>
      </c>
      <c r="L132" s="213">
        <f t="shared" si="44"/>
        <v>100</v>
      </c>
      <c r="M132" s="213">
        <f t="shared" si="45"/>
        <v>0</v>
      </c>
      <c r="N132" s="214">
        <f t="shared" si="46"/>
        <v>100</v>
      </c>
      <c r="O132" s="213"/>
      <c r="P132" s="213">
        <v>46.4</v>
      </c>
      <c r="Q132" s="213"/>
      <c r="R132" s="214">
        <f t="shared" si="47"/>
        <v>46.4</v>
      </c>
      <c r="S132" s="189">
        <v>4</v>
      </c>
      <c r="T132" s="283"/>
      <c r="U132" s="281"/>
      <c r="V132" s="177" t="s">
        <v>72</v>
      </c>
      <c r="W132" s="170" t="s">
        <v>22</v>
      </c>
      <c r="X132" s="170" t="s">
        <v>18</v>
      </c>
      <c r="Y132" s="178">
        <v>46.4</v>
      </c>
      <c r="AC132" s="178"/>
      <c r="AG132" s="178"/>
      <c r="AK132" s="178"/>
      <c r="AO132" s="178"/>
      <c r="AS132" s="178"/>
      <c r="AW132" s="178"/>
      <c r="BA132" s="179"/>
    </row>
    <row r="133" spans="1:53" s="28" customFormat="1" x14ac:dyDescent="0.15">
      <c r="A133" s="28">
        <v>2021</v>
      </c>
      <c r="B133" s="293">
        <v>44495</v>
      </c>
      <c r="C133" s="394" t="s">
        <v>1495</v>
      </c>
      <c r="D133" s="394"/>
      <c r="E133" s="28">
        <v>67</v>
      </c>
      <c r="F133" s="28">
        <v>1</v>
      </c>
      <c r="G133" s="65"/>
      <c r="H133" s="28">
        <v>39</v>
      </c>
      <c r="J133" s="72">
        <v>39</v>
      </c>
      <c r="K133" s="46">
        <f t="shared" si="43"/>
        <v>0</v>
      </c>
      <c r="L133" s="46">
        <f>H133/J133*100</f>
        <v>100</v>
      </c>
      <c r="M133" s="46">
        <f>I133/J133*100</f>
        <v>0</v>
      </c>
      <c r="N133" s="67">
        <f>SUM(K133:M133)</f>
        <v>100</v>
      </c>
      <c r="O133" s="45"/>
      <c r="P133" s="46">
        <v>45.9</v>
      </c>
      <c r="Q133" s="46"/>
      <c r="R133" s="47">
        <f t="shared" si="47"/>
        <v>45.9</v>
      </c>
      <c r="S133" s="28">
        <v>4</v>
      </c>
      <c r="T133" s="284">
        <v>44459</v>
      </c>
      <c r="U133" s="293">
        <v>44495</v>
      </c>
      <c r="V133" s="37" t="s">
        <v>72</v>
      </c>
      <c r="W133" s="28" t="s">
        <v>22</v>
      </c>
      <c r="X133" s="28" t="s">
        <v>18</v>
      </c>
      <c r="Y133" s="38">
        <v>45.9</v>
      </c>
      <c r="AC133" s="38"/>
      <c r="AG133" s="38"/>
      <c r="AK133" s="38"/>
      <c r="AO133" s="38"/>
      <c r="AS133" s="38"/>
      <c r="AW133" s="38"/>
      <c r="BA133" s="39"/>
    </row>
    <row r="134" spans="1:53" s="28" customFormat="1" x14ac:dyDescent="0.15">
      <c r="A134" s="28">
        <v>2022</v>
      </c>
      <c r="B134" s="293"/>
      <c r="C134" s="394" t="s">
        <v>1495</v>
      </c>
      <c r="D134" s="394"/>
      <c r="E134" s="28">
        <v>0</v>
      </c>
      <c r="G134" s="65"/>
      <c r="H134" s="28">
        <v>39</v>
      </c>
      <c r="J134" s="72">
        <v>39</v>
      </c>
      <c r="K134" s="46">
        <f t="shared" si="43"/>
        <v>0</v>
      </c>
      <c r="L134" s="46">
        <f>H134/J134*100</f>
        <v>100</v>
      </c>
      <c r="M134" s="46">
        <f>I134/J134*100</f>
        <v>0</v>
      </c>
      <c r="N134" s="67">
        <f>SUM(K134:M134)</f>
        <v>100</v>
      </c>
      <c r="O134" s="45"/>
      <c r="P134" s="46">
        <v>45.9</v>
      </c>
      <c r="Q134" s="46"/>
      <c r="R134" s="47">
        <f t="shared" si="47"/>
        <v>45.9</v>
      </c>
      <c r="S134" s="28">
        <v>4</v>
      </c>
      <c r="T134" s="284"/>
      <c r="U134" s="293"/>
      <c r="V134" s="37" t="s">
        <v>72</v>
      </c>
      <c r="W134" s="28" t="s">
        <v>22</v>
      </c>
      <c r="X134" s="28" t="s">
        <v>18</v>
      </c>
      <c r="Y134" s="38">
        <v>45.9</v>
      </c>
      <c r="AC134" s="38"/>
      <c r="AG134" s="38"/>
      <c r="AK134" s="38"/>
      <c r="AO134" s="38"/>
      <c r="AS134" s="38"/>
      <c r="AW134" s="38"/>
      <c r="BA134" s="39"/>
    </row>
    <row r="135" spans="1:53" s="28" customFormat="1" x14ac:dyDescent="0.15">
      <c r="A135" s="28">
        <v>2022</v>
      </c>
      <c r="B135" s="293"/>
      <c r="C135" s="394" t="s">
        <v>1495</v>
      </c>
      <c r="D135" s="394"/>
      <c r="E135" s="28">
        <v>365</v>
      </c>
      <c r="G135" s="65"/>
      <c r="H135" s="28">
        <v>39</v>
      </c>
      <c r="J135" s="72">
        <v>39</v>
      </c>
      <c r="K135" s="46">
        <f t="shared" si="43"/>
        <v>0</v>
      </c>
      <c r="L135" s="46">
        <f>H135/J135*100</f>
        <v>100</v>
      </c>
      <c r="M135" s="46">
        <f>I135/J135*100</f>
        <v>0</v>
      </c>
      <c r="N135" s="67">
        <f>SUM(K135:M135)</f>
        <v>100</v>
      </c>
      <c r="O135" s="45"/>
      <c r="P135" s="46">
        <v>45.9</v>
      </c>
      <c r="Q135" s="46"/>
      <c r="R135" s="47">
        <f t="shared" si="47"/>
        <v>45.9</v>
      </c>
      <c r="S135" s="28">
        <v>4</v>
      </c>
      <c r="T135" s="284"/>
      <c r="U135" s="293"/>
      <c r="V135" s="37" t="s">
        <v>72</v>
      </c>
      <c r="W135" s="28" t="s">
        <v>22</v>
      </c>
      <c r="X135" s="28" t="s">
        <v>18</v>
      </c>
      <c r="Y135" s="38">
        <v>45.9</v>
      </c>
      <c r="AC135" s="38"/>
      <c r="AG135" s="38"/>
      <c r="AK135" s="38"/>
      <c r="AO135" s="38"/>
      <c r="AS135" s="38"/>
      <c r="AW135" s="38"/>
      <c r="BA135" s="39"/>
    </row>
    <row r="136" spans="1:53" s="28" customFormat="1" x14ac:dyDescent="0.15">
      <c r="B136" s="293"/>
      <c r="J136" s="71"/>
      <c r="K136" s="46"/>
      <c r="L136" s="46"/>
      <c r="M136" s="46"/>
      <c r="N136" s="67"/>
      <c r="O136" s="46"/>
      <c r="P136" s="46"/>
      <c r="Q136" s="46"/>
      <c r="R136" s="67"/>
      <c r="T136" s="293"/>
      <c r="U136" s="293"/>
    </row>
    <row r="137" spans="1:53" ht="18" customHeight="1" x14ac:dyDescent="0.15">
      <c r="B137" s="15" t="s">
        <v>1262</v>
      </c>
    </row>
    <row r="138" spans="1:53" ht="9" customHeight="1" x14ac:dyDescent="0.15"/>
    <row r="139" spans="1:53" s="194" customFormat="1" ht="9" customHeight="1" x14ac:dyDescent="0.15">
      <c r="A139" s="192"/>
      <c r="B139" s="193" t="s">
        <v>1213</v>
      </c>
      <c r="C139" s="193"/>
      <c r="D139" s="193"/>
      <c r="E139" s="193"/>
      <c r="F139" s="193"/>
      <c r="G139" s="193" t="s">
        <v>1214</v>
      </c>
      <c r="H139" s="193"/>
      <c r="I139" s="193"/>
      <c r="J139" s="193"/>
      <c r="K139" s="193"/>
      <c r="L139" s="193"/>
      <c r="M139" s="193"/>
      <c r="N139" s="193"/>
      <c r="R139" s="386" t="s">
        <v>1215</v>
      </c>
      <c r="S139" s="386"/>
      <c r="T139" s="386"/>
      <c r="U139" s="386"/>
      <c r="V139" s="386"/>
      <c r="W139" s="386"/>
      <c r="X139" s="195"/>
      <c r="Y139" s="195"/>
      <c r="AA139" s="195"/>
      <c r="AB139" s="195"/>
      <c r="AC139" s="195"/>
      <c r="AD139" s="195"/>
    </row>
    <row r="140" spans="1:53" s="199" customFormat="1" ht="9" customHeight="1" x14ac:dyDescent="0.15">
      <c r="A140" s="196"/>
      <c r="B140" s="197" t="s">
        <v>1217</v>
      </c>
      <c r="C140" s="198"/>
      <c r="D140" s="198"/>
      <c r="E140" s="198"/>
      <c r="F140" s="198"/>
      <c r="G140" s="197" t="s">
        <v>1216</v>
      </c>
      <c r="H140" s="198"/>
      <c r="I140" s="198"/>
      <c r="J140" s="198"/>
      <c r="K140" s="198"/>
      <c r="L140" s="198"/>
      <c r="M140" s="198"/>
      <c r="N140" s="198"/>
      <c r="R140" s="200" t="s">
        <v>1218</v>
      </c>
      <c r="S140" s="201"/>
      <c r="T140" s="202"/>
      <c r="U140" s="202"/>
      <c r="V140" s="202"/>
      <c r="W140" s="200" t="s">
        <v>1219</v>
      </c>
      <c r="X140" s="202"/>
      <c r="Y140" s="202"/>
      <c r="AA140" s="202"/>
      <c r="AB140" s="202"/>
      <c r="AC140" s="202"/>
      <c r="AD140" s="202"/>
    </row>
    <row r="141" spans="1:53" s="185" customFormat="1" ht="12" customHeight="1" x14ac:dyDescent="0.15">
      <c r="A141" s="203" t="s">
        <v>3</v>
      </c>
      <c r="B141" s="204" t="s">
        <v>8</v>
      </c>
      <c r="C141" s="204" t="s">
        <v>9</v>
      </c>
      <c r="D141" s="204" t="s">
        <v>10</v>
      </c>
      <c r="E141" s="205" t="s">
        <v>1193</v>
      </c>
      <c r="F141" s="204"/>
      <c r="G141" s="185" t="s">
        <v>3</v>
      </c>
      <c r="H141" s="387" t="s">
        <v>0</v>
      </c>
      <c r="I141" s="387"/>
      <c r="J141" s="387" t="s">
        <v>1</v>
      </c>
      <c r="K141" s="387"/>
      <c r="L141" s="387" t="s">
        <v>2</v>
      </c>
      <c r="M141" s="387"/>
      <c r="N141" s="388" t="s">
        <v>1193</v>
      </c>
      <c r="O141" s="388"/>
      <c r="P141" s="206"/>
      <c r="Q141" s="206"/>
      <c r="R141" s="207" t="s">
        <v>3</v>
      </c>
      <c r="S141" s="208" t="s">
        <v>135</v>
      </c>
      <c r="T141" s="206" t="s">
        <v>133</v>
      </c>
      <c r="U141" s="204" t="s">
        <v>134</v>
      </c>
      <c r="V141" s="206"/>
      <c r="W141" s="209" t="s">
        <v>26</v>
      </c>
    </row>
    <row r="142" spans="1:53" s="139" customFormat="1" x14ac:dyDescent="0.15">
      <c r="A142" s="145">
        <v>1959</v>
      </c>
      <c r="B142" s="142">
        <f>(K6*($E6/365))+(K7*($E7/365))</f>
        <v>100</v>
      </c>
      <c r="C142" s="142">
        <f>(L6*($E6/365))+(L7*($E7/365))</f>
        <v>0</v>
      </c>
      <c r="D142" s="142">
        <f>(M6*($E6/365))+(M7*($E7/365))</f>
        <v>0</v>
      </c>
      <c r="E142" s="143">
        <f>B142+C142+D142</f>
        <v>100</v>
      </c>
      <c r="G142" s="145">
        <v>1959</v>
      </c>
      <c r="H142" s="411">
        <f>(O6/$R6*100*($E6/365))+(O7/$R7*100*($E7/365))</f>
        <v>100</v>
      </c>
      <c r="I142" s="411"/>
      <c r="J142" s="411">
        <f>(P6/$R6*100*($E6/365))+(P7/$R7*100*($E7/365))</f>
        <v>0</v>
      </c>
      <c r="K142" s="411"/>
      <c r="L142" s="411">
        <f>(Q6/$R6*100*($E6/365))+(Q7/$R7*100*($E7/365))</f>
        <v>0</v>
      </c>
      <c r="M142" s="411"/>
      <c r="N142" s="412">
        <f>H142+J142+K142</f>
        <v>100</v>
      </c>
      <c r="O142" s="412"/>
      <c r="R142" s="145">
        <v>1959</v>
      </c>
      <c r="S142" s="142">
        <f>(O6*($E6/365))+(O7*($E7/365))</f>
        <v>78.5</v>
      </c>
      <c r="T142" s="142">
        <f>(P6*($E6/365))+(P7*($E7/365))</f>
        <v>0</v>
      </c>
      <c r="U142" s="142">
        <f>(Q6*($E6/365))+(Q7*($E7/365))</f>
        <v>0</v>
      </c>
      <c r="V142" s="152"/>
      <c r="W142" s="142">
        <f>S142+T142+U142</f>
        <v>78.5</v>
      </c>
      <c r="X142" s="144"/>
    </row>
    <row r="143" spans="1:53" x14ac:dyDescent="0.15">
      <c r="A143" s="13">
        <v>1960</v>
      </c>
      <c r="B143" s="5">
        <f>(K8*($E8/366))+(K9*($E9/366))</f>
        <v>100</v>
      </c>
      <c r="C143" s="5">
        <f>(L8*($E8/366))+(L9*($E9/366))</f>
        <v>0</v>
      </c>
      <c r="D143" s="5">
        <f>(M8*($E8/366))+(M9*($E9/366))</f>
        <v>0</v>
      </c>
      <c r="E143" s="17">
        <f t="shared" ref="E143:E173" si="48">SUM(B143:D143)</f>
        <v>100</v>
      </c>
      <c r="G143" s="13">
        <v>1960</v>
      </c>
      <c r="H143" s="362">
        <f>(O8/$R8*100*($E8/366))+(O9/$R9*100*($E9/366))</f>
        <v>100</v>
      </c>
      <c r="I143" s="362"/>
      <c r="J143" s="362">
        <f>(P8/$R8*100*($E8/366))+(P9/$R9*100*($E9/366))</f>
        <v>0</v>
      </c>
      <c r="K143" s="362"/>
      <c r="L143" s="362">
        <f>(Q8/$R8*100*($E8/366))+(Q9/$R9*100*($E9/366))</f>
        <v>0</v>
      </c>
      <c r="M143" s="362"/>
      <c r="N143" s="363">
        <f>SUM(H143:M143)</f>
        <v>100</v>
      </c>
      <c r="O143" s="363"/>
      <c r="R143" s="13">
        <v>1960</v>
      </c>
      <c r="S143" s="5">
        <f>(O8*($E8/366))+(O9*($E9/366))</f>
        <v>78.5</v>
      </c>
      <c r="T143" s="5">
        <f>(P8*($E8/366))+(P9*($E9/366))</f>
        <v>0</v>
      </c>
      <c r="U143" s="5">
        <f>(Q8*($E8/366))+(Q9*($E9/366))</f>
        <v>0</v>
      </c>
      <c r="V143" s="9"/>
      <c r="W143" s="5">
        <f>R8*(E8/366) + R9*(E9/366)</f>
        <v>78.5</v>
      </c>
      <c r="X143" s="4"/>
    </row>
    <row r="144" spans="1:53" x14ac:dyDescent="0.15">
      <c r="A144" s="13">
        <v>1961</v>
      </c>
      <c r="B144" s="5">
        <f>(K10*($E10/365))+(K11*($E11/365))</f>
        <v>100</v>
      </c>
      <c r="C144" s="5">
        <f>(L10*($E10/365))+(L11*($E11/365))</f>
        <v>0</v>
      </c>
      <c r="D144" s="5">
        <f>(M10*($E10/365))+(M11*($E11/365))</f>
        <v>0</v>
      </c>
      <c r="E144" s="17">
        <f t="shared" si="48"/>
        <v>100</v>
      </c>
      <c r="G144" s="13">
        <v>1961</v>
      </c>
      <c r="H144" s="362">
        <f>(O10/$R10*100*($E10/365))+(O11/$R11*100*($E11/365))</f>
        <v>100</v>
      </c>
      <c r="I144" s="362"/>
      <c r="J144" s="362">
        <f>(P10/$R10*100*($E10/365))+(P11/$R11*100*($E11/365))</f>
        <v>0</v>
      </c>
      <c r="K144" s="362"/>
      <c r="L144" s="362">
        <f>(Q10/$R10*100*($E10/365))+(Q11/$R11*100*($E11/365))</f>
        <v>0</v>
      </c>
      <c r="M144" s="362"/>
      <c r="N144" s="363">
        <f>SUM(H144:M144)</f>
        <v>100</v>
      </c>
      <c r="O144" s="363"/>
      <c r="R144" s="13">
        <v>1961</v>
      </c>
      <c r="S144" s="5">
        <f>(O10*($E10/365))+(O11*($E11/365))</f>
        <v>78.5</v>
      </c>
      <c r="T144" s="5">
        <f>(P10*($E10/365))+(P11*($E11/365))</f>
        <v>0</v>
      </c>
      <c r="U144" s="5">
        <f>(Q10*($E10/365))+(Q11*($E11/365))</f>
        <v>0</v>
      </c>
      <c r="V144" s="9"/>
      <c r="W144" s="5">
        <f>R10*(E10/365) + R11*(E11/365)</f>
        <v>78.5</v>
      </c>
      <c r="X144" s="4"/>
    </row>
    <row r="145" spans="1:24" x14ac:dyDescent="0.15">
      <c r="A145" s="13">
        <v>1962</v>
      </c>
      <c r="B145" s="5">
        <f>(K12*($E12/365))+(K13*($E13/365))</f>
        <v>100</v>
      </c>
      <c r="C145" s="5">
        <f>(L12*($E12/365))+(L13*($E13/365))</f>
        <v>0</v>
      </c>
      <c r="D145" s="5">
        <f>(M12*($E12/365))+(M13*($E13/365))</f>
        <v>0</v>
      </c>
      <c r="E145" s="17">
        <f t="shared" si="48"/>
        <v>100</v>
      </c>
      <c r="G145" s="13">
        <v>1962</v>
      </c>
      <c r="H145" s="362">
        <f>(O12/$R12*100*($E12/365))+(O13/$R13*100*($E13/365))</f>
        <v>100</v>
      </c>
      <c r="I145" s="362"/>
      <c r="J145" s="362">
        <f>(P12/$R12*100*($E12/365))+(P13/$R13*100*($E13/365))</f>
        <v>0</v>
      </c>
      <c r="K145" s="362"/>
      <c r="L145" s="362">
        <f>(Q12/$R12*100*($E12/365))+(Q13/$R13*100*($E13/365))</f>
        <v>0</v>
      </c>
      <c r="M145" s="362"/>
      <c r="N145" s="363">
        <f t="shared" ref="N145:N195" si="49">SUM(H145:M145)</f>
        <v>100</v>
      </c>
      <c r="O145" s="363"/>
      <c r="R145" s="13">
        <v>1962</v>
      </c>
      <c r="S145" s="5">
        <f>(O12*($E12/365))+(O13*($E13/365))</f>
        <v>64.715068493150682</v>
      </c>
      <c r="T145" s="5">
        <f>(P12*($E12/365))+(P13*($E13/365))</f>
        <v>0</v>
      </c>
      <c r="U145" s="5">
        <f>(Q12*($E12/365))+(Q13*($E13/365))</f>
        <v>0</v>
      </c>
      <c r="V145" s="9"/>
      <c r="W145" s="5">
        <f>R12*(E12/365) + R13*(E13/365)</f>
        <v>64.715068493150682</v>
      </c>
      <c r="X145" s="4"/>
    </row>
    <row r="146" spans="1:24" x14ac:dyDescent="0.15">
      <c r="A146" s="13">
        <v>1963</v>
      </c>
      <c r="B146" s="5">
        <f>(K14*($E14/365))+(K15*($E15/365))</f>
        <v>30.410958904109592</v>
      </c>
      <c r="C146" s="5">
        <f>(L14*($E14/365))+(L15*($E15/365))</f>
        <v>69.589041095890408</v>
      </c>
      <c r="D146" s="5">
        <f>(M14*($E14/365))+(M15*($E15/365))</f>
        <v>0</v>
      </c>
      <c r="E146" s="17">
        <f t="shared" si="48"/>
        <v>100</v>
      </c>
      <c r="G146" s="13">
        <v>1963</v>
      </c>
      <c r="H146" s="362">
        <f>(O14/$R14*100*($E14/365))+(O15/$R15*100*($E15/365))</f>
        <v>30.410958904109592</v>
      </c>
      <c r="I146" s="362"/>
      <c r="J146" s="362">
        <f>(P14/$R14*100*($E14/365))+(P15/$R15*100*($E15/365))</f>
        <v>69.589041095890408</v>
      </c>
      <c r="K146" s="362"/>
      <c r="L146" s="362">
        <f>(Q14/$R14*100*($E14/365))+(Q15/$R15*100*($E15/365))</f>
        <v>0</v>
      </c>
      <c r="M146" s="362"/>
      <c r="N146" s="363">
        <f t="shared" si="49"/>
        <v>100</v>
      </c>
      <c r="O146" s="363"/>
      <c r="R146" s="13">
        <v>1963</v>
      </c>
      <c r="S146" s="5">
        <f>(O14*($E14/365))+(O15*($E15/365))</f>
        <v>13.32</v>
      </c>
      <c r="T146" s="5">
        <f>(P14*($E14/365))+(P15*($E15/365))</f>
        <v>33.889863013698637</v>
      </c>
      <c r="U146" s="5">
        <f>(Q14*($E14/365))+(Q15*($E15/365))</f>
        <v>0</v>
      </c>
      <c r="V146" s="9"/>
      <c r="W146" s="5">
        <f>R14*(E14/365) + R15*(E15/365)</f>
        <v>47.209863013698637</v>
      </c>
      <c r="X146" s="4"/>
    </row>
    <row r="147" spans="1:24" x14ac:dyDescent="0.15">
      <c r="A147" s="13">
        <v>1964</v>
      </c>
      <c r="B147" s="5">
        <f>(K16*($E16/366))+(K17*($E17/366))</f>
        <v>0</v>
      </c>
      <c r="C147" s="5">
        <f>(L16*($E16/366))+(L17*($E17/366))</f>
        <v>100</v>
      </c>
      <c r="D147" s="5">
        <f>(M16*($E16/366))+(M17*($E17/366))</f>
        <v>0</v>
      </c>
      <c r="E147" s="17">
        <f t="shared" si="48"/>
        <v>100</v>
      </c>
      <c r="G147" s="13">
        <v>1964</v>
      </c>
      <c r="H147" s="362">
        <f>(O16/$R16*100*($E16/366))+(O17/$R17*100*($E17/366))</f>
        <v>0</v>
      </c>
      <c r="I147" s="362"/>
      <c r="J147" s="362">
        <f>(P16/$R16*100*($E16/366))+(P17/$R17*100*($E17/366))</f>
        <v>100</v>
      </c>
      <c r="K147" s="362"/>
      <c r="L147" s="362">
        <f>(Q16/$R16*100*($E16/366))+(Q17/$R17*100*($E17/366))</f>
        <v>0</v>
      </c>
      <c r="M147" s="362"/>
      <c r="N147" s="363">
        <f t="shared" si="49"/>
        <v>100</v>
      </c>
      <c r="O147" s="363"/>
      <c r="R147" s="13">
        <v>1964</v>
      </c>
      <c r="S147" s="5">
        <f>(O16*($E16/366))+(O17*($E17/366))</f>
        <v>0</v>
      </c>
      <c r="T147" s="5">
        <f>(P16*($E16/366))+(P17*($E17/366))</f>
        <v>48.7</v>
      </c>
      <c r="U147" s="5">
        <f>(Q16*($E16/366))+(Q17*($E17/366))</f>
        <v>0</v>
      </c>
      <c r="V147" s="9"/>
      <c r="W147" s="5">
        <f>R16*(E16/366) + R17*(E17/366)</f>
        <v>48.7</v>
      </c>
      <c r="X147" s="4"/>
    </row>
    <row r="148" spans="1:24" x14ac:dyDescent="0.15">
      <c r="A148" s="13">
        <v>1965</v>
      </c>
      <c r="B148" s="5">
        <f>(K18*($E18/365))+(K19*($E19/365))</f>
        <v>0</v>
      </c>
      <c r="C148" s="5">
        <f>(L18*($E18/365))+(L19*($E19/365))</f>
        <v>100.00000000000001</v>
      </c>
      <c r="D148" s="5">
        <f>(M18*($E18/365))+(M19*($E19/365))</f>
        <v>0</v>
      </c>
      <c r="E148" s="17">
        <f t="shared" si="48"/>
        <v>100.00000000000001</v>
      </c>
      <c r="G148" s="13">
        <v>1965</v>
      </c>
      <c r="H148" s="362">
        <f>(O18/$R18*100*($E18/365))+(O19/$R19*100*($E19/365))</f>
        <v>0</v>
      </c>
      <c r="I148" s="362"/>
      <c r="J148" s="362">
        <f>(P18/$R18*100*($E18/365))+(P19/$R19*100*($E19/365))</f>
        <v>100.00000000000001</v>
      </c>
      <c r="K148" s="362"/>
      <c r="L148" s="362">
        <f>(Q18/$R18*100*($E18/365))+(Q19/$R19*100*($E19/365))</f>
        <v>0</v>
      </c>
      <c r="M148" s="362"/>
      <c r="N148" s="363">
        <f t="shared" si="49"/>
        <v>100.00000000000001</v>
      </c>
      <c r="O148" s="363"/>
      <c r="R148" s="13">
        <v>1965</v>
      </c>
      <c r="S148" s="5">
        <f>(O18*($E18/365))+(O19*($E19/365))</f>
        <v>0</v>
      </c>
      <c r="T148" s="5">
        <f>(P18*($E18/365))+(P19*($E19/365))</f>
        <v>48.726849315068499</v>
      </c>
      <c r="U148" s="5">
        <f>(Q18*($E18/365))+(Q19*($E19/365))</f>
        <v>0</v>
      </c>
      <c r="V148" s="9"/>
      <c r="W148" s="5">
        <f>R18*(E18/365) + R19*(E19/365)</f>
        <v>48.726849315068499</v>
      </c>
      <c r="X148" s="4"/>
    </row>
    <row r="149" spans="1:24" x14ac:dyDescent="0.15">
      <c r="A149" s="13">
        <v>1966</v>
      </c>
      <c r="B149" s="5">
        <f>(K20*($E20/365))+(K21*($E21/365))</f>
        <v>0</v>
      </c>
      <c r="C149" s="5">
        <f>(L20*($E20/365))+(L21*($E21/365))</f>
        <v>100</v>
      </c>
      <c r="D149" s="5">
        <f>(M20*($E20/365))+(M21*($E21/365))</f>
        <v>0</v>
      </c>
      <c r="E149" s="17">
        <f t="shared" si="48"/>
        <v>100</v>
      </c>
      <c r="G149" s="13">
        <v>1966</v>
      </c>
      <c r="H149" s="362">
        <f>(O20/$R20*100*($E20/365))+(O21/$R21*100*($E21/365))</f>
        <v>0</v>
      </c>
      <c r="I149" s="362"/>
      <c r="J149" s="362">
        <f>(P20/$R20*100*($E20/365))+(P21/$R21*100*($E21/365))</f>
        <v>100</v>
      </c>
      <c r="K149" s="362"/>
      <c r="L149" s="362">
        <f>(Q20/$R20*100*($E20/365))+(Q21/$R21*100*($E21/365))</f>
        <v>0</v>
      </c>
      <c r="M149" s="362"/>
      <c r="N149" s="363">
        <f t="shared" si="49"/>
        <v>100</v>
      </c>
      <c r="O149" s="363"/>
      <c r="R149" s="13">
        <v>1966</v>
      </c>
      <c r="S149" s="5">
        <f>(O20*($E20/365))+(O21*($E21/365))</f>
        <v>0</v>
      </c>
      <c r="T149" s="5">
        <f>(P20*($E20/365))+(P21*($E21/365))</f>
        <v>49.4</v>
      </c>
      <c r="U149" s="5">
        <f>(Q20*($E20/365))+(Q21*($E21/365))</f>
        <v>0</v>
      </c>
      <c r="V149" s="9"/>
      <c r="W149" s="5">
        <f>R20*(E20/365) + R21*(E21/365)</f>
        <v>49.4</v>
      </c>
      <c r="X149" s="4"/>
    </row>
    <row r="150" spans="1:24" x14ac:dyDescent="0.15">
      <c r="A150" s="13">
        <v>1967</v>
      </c>
      <c r="B150" s="5">
        <f>(K22*($E22/365))+(K23*($E23/365))</f>
        <v>0</v>
      </c>
      <c r="C150" s="5">
        <f>(L22*($E22/365))+(L23*($E23/365))</f>
        <v>100</v>
      </c>
      <c r="D150" s="5">
        <f>(M22*($E22/365))+(M23*($E23/365))</f>
        <v>0</v>
      </c>
      <c r="E150" s="17">
        <f t="shared" si="48"/>
        <v>100</v>
      </c>
      <c r="G150" s="13">
        <v>1967</v>
      </c>
      <c r="H150" s="362">
        <f>(O22/$R22*100*($E22/365))+(O23/$R23*100*($E23/365))</f>
        <v>0</v>
      </c>
      <c r="I150" s="362"/>
      <c r="J150" s="362">
        <f>(P22/$R22*100*($E22/365))+(P23/$R23*100*($E23/365))</f>
        <v>100</v>
      </c>
      <c r="K150" s="362"/>
      <c r="L150" s="362">
        <f>(Q22/$R22*100*($E22/365))+(Q23/$R23*100*($E23/365))</f>
        <v>0</v>
      </c>
      <c r="M150" s="362"/>
      <c r="N150" s="363">
        <f t="shared" si="49"/>
        <v>100</v>
      </c>
      <c r="O150" s="363"/>
      <c r="R150" s="13">
        <v>1967</v>
      </c>
      <c r="S150" s="5">
        <f>(O22*($E22/365))+(O23*($E23/365))</f>
        <v>0</v>
      </c>
      <c r="T150" s="5">
        <f>(P22*($E22/365))+(P23*($E23/365))</f>
        <v>49.4</v>
      </c>
      <c r="U150" s="5">
        <f>(Q22*($E22/365))+(Q23*($E23/365))</f>
        <v>0</v>
      </c>
      <c r="V150" s="9"/>
      <c r="W150" s="5">
        <f>R22*(E22/365) + R23*(E23/365)</f>
        <v>49.4</v>
      </c>
      <c r="X150" s="4"/>
    </row>
    <row r="151" spans="1:24" x14ac:dyDescent="0.15">
      <c r="A151" s="13">
        <v>1968</v>
      </c>
      <c r="B151" s="5">
        <f>(K24*($E24/366))+(K25*($E25/366))+(K26*($E26/366))</f>
        <v>0</v>
      </c>
      <c r="C151" s="5">
        <f>(L24*($E24/366))+(L25*($E25/366))+(L26*($E26/366))</f>
        <v>100</v>
      </c>
      <c r="D151" s="5">
        <f>(M24*($E24/366))+(M25*($E25/366))+(M26*($E26/366))</f>
        <v>0</v>
      </c>
      <c r="E151" s="17">
        <f t="shared" si="48"/>
        <v>100</v>
      </c>
      <c r="G151" s="13">
        <v>1968</v>
      </c>
      <c r="H151" s="362">
        <f>(O24/$R24*100*($E24/366))+(O25/$R25*100*($E25/366))+(O26/$R26*100*($E26/366))</f>
        <v>0</v>
      </c>
      <c r="I151" s="362"/>
      <c r="J151" s="362">
        <f>(P24/$R24*100*($E24/366))+(P25/$R25*100*($E25/366))+(P26/$R26*100*($E26/366))</f>
        <v>100</v>
      </c>
      <c r="K151" s="362"/>
      <c r="L151" s="362">
        <f>(Q24/$R24*100*($E24/366))+(Q25/$R25*100*($E25/366))+(Q26/$R26*100*($E26/366))</f>
        <v>0</v>
      </c>
      <c r="M151" s="362"/>
      <c r="N151" s="363">
        <f t="shared" si="49"/>
        <v>100</v>
      </c>
      <c r="O151" s="363"/>
      <c r="R151" s="13">
        <v>1968</v>
      </c>
      <c r="S151" s="5">
        <f>(O24*($E24/366))+(O25*($E25/366))+(O26*($E26/366))</f>
        <v>0</v>
      </c>
      <c r="T151" s="5">
        <f>(P24*($E24/366))+(P25*($E25/366))+(P26*($E26/366))</f>
        <v>53.922950819672131</v>
      </c>
      <c r="U151" s="5">
        <f>(Q24*($E24/366))+(Q25*($E25/366))+(Q26*($E26/366))</f>
        <v>0</v>
      </c>
      <c r="V151" s="9"/>
      <c r="W151" s="5">
        <f>R24*(E24/366) + R25*(E25/366) + R26*(E26/366)</f>
        <v>53.922950819672131</v>
      </c>
      <c r="X151" s="4"/>
    </row>
    <row r="152" spans="1:24" x14ac:dyDescent="0.15">
      <c r="A152" s="13">
        <v>1969</v>
      </c>
      <c r="B152" s="5">
        <f>(K27*($E27/365))+(K28*($E28/365))</f>
        <v>0</v>
      </c>
      <c r="C152" s="5">
        <f>(L27*($E27/365))+(L28*($E28/365))</f>
        <v>100</v>
      </c>
      <c r="D152" s="5">
        <f>(M27*($E27/365))+(M28*($E28/365))</f>
        <v>0</v>
      </c>
      <c r="E152" s="17">
        <f t="shared" si="48"/>
        <v>100</v>
      </c>
      <c r="G152" s="13">
        <v>1969</v>
      </c>
      <c r="H152" s="362">
        <f>(O27/$R27*100*($E27/365))+(O28/$R28*100*($E28/365))</f>
        <v>0</v>
      </c>
      <c r="I152" s="362"/>
      <c r="J152" s="362">
        <f>(P27/$R27*100*($E27/365))+(P28/$R28*100*($E28/365))</f>
        <v>100</v>
      </c>
      <c r="K152" s="362"/>
      <c r="L152" s="362">
        <f>(Q27/$R27*100*($E27/365))+(Q28/$R28*100*($E28/365))</f>
        <v>0</v>
      </c>
      <c r="M152" s="362"/>
      <c r="N152" s="363">
        <f t="shared" si="49"/>
        <v>100</v>
      </c>
      <c r="O152" s="363"/>
      <c r="R152" s="13">
        <v>1969</v>
      </c>
      <c r="S152" s="5">
        <f>(O27*($E27/365))+(O28*($E28/365))</f>
        <v>0</v>
      </c>
      <c r="T152" s="5">
        <f>(P27*($E27/365))+(P28*($E28/365))</f>
        <v>58.7</v>
      </c>
      <c r="U152" s="5">
        <f>(Q27*($E27/365))+(Q28*($E28/365))</f>
        <v>0</v>
      </c>
      <c r="V152" s="9"/>
      <c r="W152" s="5">
        <f>R27*(E27/365) + R28*(E28/365)</f>
        <v>58.7</v>
      </c>
      <c r="X152" s="4"/>
    </row>
    <row r="153" spans="1:24" x14ac:dyDescent="0.15">
      <c r="A153" s="13">
        <v>1970</v>
      </c>
      <c r="B153" s="5">
        <f>(K29*($E29/365))+(K30*($E30/365))</f>
        <v>0</v>
      </c>
      <c r="C153" s="5">
        <f>(L29*($E29/365))+(L30*($E30/365))</f>
        <v>100</v>
      </c>
      <c r="D153" s="5">
        <f>(M29*($E29/365))+(M30*($E30/365))</f>
        <v>0</v>
      </c>
      <c r="E153" s="17">
        <f t="shared" si="48"/>
        <v>100</v>
      </c>
      <c r="G153" s="13">
        <v>1970</v>
      </c>
      <c r="H153" s="362">
        <f>(O29/$R29*100*($E29/365))+(O30/$R30*100*($E30/365))</f>
        <v>0</v>
      </c>
      <c r="I153" s="362"/>
      <c r="J153" s="362">
        <f>(P29/$R29*100*($E29/365))+(P30/$R30*100*($E30/365))</f>
        <v>100</v>
      </c>
      <c r="K153" s="362"/>
      <c r="L153" s="362">
        <f>(Q29/$R29*100*($E29/365))+(Q30/$R30*100*($E30/365))</f>
        <v>0</v>
      </c>
      <c r="M153" s="362"/>
      <c r="N153" s="363">
        <f t="shared" si="49"/>
        <v>100</v>
      </c>
      <c r="O153" s="363"/>
      <c r="R153" s="13">
        <v>1970</v>
      </c>
      <c r="S153" s="5">
        <f>(O29*($E29/365))+(O30*($E30/365))</f>
        <v>0</v>
      </c>
      <c r="T153" s="5">
        <f>(P29*($E29/365))+(P30*($E30/365))</f>
        <v>58.7</v>
      </c>
      <c r="U153" s="5">
        <f>(Q29*($E29/365))+(Q30*($E30/365))</f>
        <v>0</v>
      </c>
      <c r="V153" s="9"/>
      <c r="W153" s="5">
        <f>R29*(E29/365) + R30*(E30/365)</f>
        <v>58.7</v>
      </c>
      <c r="X153" s="4"/>
    </row>
    <row r="154" spans="1:24" x14ac:dyDescent="0.15">
      <c r="A154" s="13">
        <v>1971</v>
      </c>
      <c r="B154" s="5">
        <f>(K31*($E31/365))+(K32*($E32/365))</f>
        <v>0</v>
      </c>
      <c r="C154" s="5">
        <f>(L31*($E31/365))+(L32*($E32/365))</f>
        <v>100</v>
      </c>
      <c r="D154" s="5">
        <f>(M31*($E31/365))+(M32*($E32/365))</f>
        <v>0</v>
      </c>
      <c r="E154" s="17">
        <f t="shared" si="48"/>
        <v>100</v>
      </c>
      <c r="G154" s="13">
        <v>1971</v>
      </c>
      <c r="H154" s="362">
        <f>(O31/$R31*100*($E31/365))+(O32/$R32*100*($E32/365))</f>
        <v>0</v>
      </c>
      <c r="I154" s="362"/>
      <c r="J154" s="362">
        <f>(P31/$R31*100*($E31/365))+(P32/$R32*100*($E32/365))</f>
        <v>100</v>
      </c>
      <c r="K154" s="362"/>
      <c r="L154" s="362">
        <f>(Q31/$R31*100*($E31/365))+(Q32/$R32*100*($E32/365))</f>
        <v>0</v>
      </c>
      <c r="M154" s="362"/>
      <c r="N154" s="363">
        <f t="shared" si="49"/>
        <v>100</v>
      </c>
      <c r="O154" s="363"/>
      <c r="R154" s="13">
        <v>1971</v>
      </c>
      <c r="S154" s="5">
        <f>(O31*($E31/365))+(O32*($E32/365))</f>
        <v>0</v>
      </c>
      <c r="T154" s="5">
        <f>(P31*($E31/365))+(P32*($E32/365))</f>
        <v>58.7</v>
      </c>
      <c r="U154" s="5">
        <f>(Q31*($E31/365))+(Q32*($E32/365))</f>
        <v>0</v>
      </c>
      <c r="V154" s="9"/>
      <c r="W154" s="5">
        <f>R31*(E31/365) + R32*(E32/365)</f>
        <v>58.7</v>
      </c>
      <c r="X154" s="4"/>
    </row>
    <row r="155" spans="1:24" x14ac:dyDescent="0.15">
      <c r="A155" s="13">
        <v>1972</v>
      </c>
      <c r="B155" s="5">
        <f>(K33*($E33/366))+(K34*($E34/366))</f>
        <v>0</v>
      </c>
      <c r="C155" s="5">
        <f>(L33*($E33/366))+(L34*($E34/366))</f>
        <v>100</v>
      </c>
      <c r="D155" s="5">
        <f>(M33*($E33/366))+(M34*($E34/366))</f>
        <v>0</v>
      </c>
      <c r="E155" s="17">
        <f t="shared" si="48"/>
        <v>100</v>
      </c>
      <c r="G155" s="13">
        <v>1972</v>
      </c>
      <c r="H155" s="362">
        <f>(O33/$R33*100*($E33/366))+(O34/$R34*100*($E34/366))</f>
        <v>0</v>
      </c>
      <c r="I155" s="362"/>
      <c r="J155" s="362">
        <f>(P33/$R33*100*($E33/366))+(P34/$R34*100*($E34/366))</f>
        <v>100</v>
      </c>
      <c r="K155" s="362"/>
      <c r="L155" s="362">
        <f>(Q33/$R33*100*($E33/366))+(Q34/$R34*100*($E34/366))</f>
        <v>0</v>
      </c>
      <c r="M155" s="362"/>
      <c r="N155" s="363">
        <f t="shared" si="49"/>
        <v>100</v>
      </c>
      <c r="O155" s="363"/>
      <c r="R155" s="13">
        <v>1972</v>
      </c>
      <c r="S155" s="5">
        <f>(O33*($E33/366))+(O34*($E34/366))</f>
        <v>0</v>
      </c>
      <c r="T155" s="5">
        <f>(P33*($E33/366))+(P34*($E34/366))</f>
        <v>57.036065573770493</v>
      </c>
      <c r="U155" s="5">
        <f>(Q33*($E33/366))+(Q34*($E34/366))</f>
        <v>0</v>
      </c>
      <c r="V155" s="9"/>
      <c r="W155" s="5">
        <f>R33*(E33/366) + R34*(E34/366)</f>
        <v>57.036065573770493</v>
      </c>
      <c r="X155" s="4"/>
    </row>
    <row r="156" spans="1:24" x14ac:dyDescent="0.15">
      <c r="A156" s="13">
        <v>1973</v>
      </c>
      <c r="B156" s="5">
        <f>(K35*($E35/365))+(K36*($E36/365))</f>
        <v>0</v>
      </c>
      <c r="C156" s="5">
        <f>(L35*($E35/365))+(L36*($E36/365))</f>
        <v>100</v>
      </c>
      <c r="D156" s="5">
        <f>(M35*($E35/365))+(M36*($E36/365))</f>
        <v>0</v>
      </c>
      <c r="E156" s="17">
        <f t="shared" si="48"/>
        <v>100</v>
      </c>
      <c r="G156" s="13">
        <v>1973</v>
      </c>
      <c r="H156" s="362">
        <f>(O35/$R35*100*($E35/365))+(O36/$R36*100*($E36/365))</f>
        <v>0</v>
      </c>
      <c r="I156" s="362"/>
      <c r="J156" s="362">
        <f>(P35/$R35*100*($E35/365))+(P36/$R36*100*($E36/365))</f>
        <v>100</v>
      </c>
      <c r="K156" s="362"/>
      <c r="L156" s="362">
        <f>(Q35/$R35*100*($E35/365))+(Q36/$R36*100*($E36/365))</f>
        <v>0</v>
      </c>
      <c r="M156" s="362"/>
      <c r="N156" s="363">
        <f t="shared" si="49"/>
        <v>100</v>
      </c>
      <c r="O156" s="363"/>
      <c r="R156" s="13">
        <v>1973</v>
      </c>
      <c r="S156" s="5">
        <f>(O35*($E35/365))+(O36*($E36/365))</f>
        <v>0</v>
      </c>
      <c r="T156" s="5">
        <f>(P35*($E35/365))+(P36*($E36/365))</f>
        <v>41.3</v>
      </c>
      <c r="U156" s="5">
        <f>(Q35*($E35/365))+(Q36*($E36/365))</f>
        <v>0</v>
      </c>
      <c r="V156" s="9"/>
      <c r="W156" s="5">
        <f>R35*(E35/365) + R36*(E36/365)</f>
        <v>41.3</v>
      </c>
      <c r="X156" s="4"/>
    </row>
    <row r="157" spans="1:24" x14ac:dyDescent="0.15">
      <c r="A157" s="13">
        <v>1974</v>
      </c>
      <c r="B157" s="5">
        <f>(K37*($E37/365))+(K38*($E38/365))</f>
        <v>0</v>
      </c>
      <c r="C157" s="5">
        <f>(L37*($E37/365))+(L38*($E38/365))</f>
        <v>100</v>
      </c>
      <c r="D157" s="5">
        <f>(M37*($E37/365))+(M38*($E38/365))</f>
        <v>0</v>
      </c>
      <c r="E157" s="17">
        <f t="shared" si="48"/>
        <v>100</v>
      </c>
      <c r="G157" s="13">
        <v>1974</v>
      </c>
      <c r="H157" s="362">
        <f>(O37/$R37*100*($E37/365))+(O38/$R38*100*($E38/365))</f>
        <v>0</v>
      </c>
      <c r="I157" s="362"/>
      <c r="J157" s="362">
        <f>(P37/$R37*100*($E37/365))+(P38/$R38*100*($E38/365))</f>
        <v>100</v>
      </c>
      <c r="K157" s="362"/>
      <c r="L157" s="362">
        <f>(Q37/$R37*100*($E37/365))+(Q38/$R38*100*($E38/365))</f>
        <v>0</v>
      </c>
      <c r="M157" s="362"/>
      <c r="N157" s="363">
        <f t="shared" si="49"/>
        <v>100</v>
      </c>
      <c r="O157" s="363"/>
      <c r="R157" s="13">
        <v>1974</v>
      </c>
      <c r="S157" s="5">
        <f>(O37*($E37/365))+(O38*($E38/365))</f>
        <v>0</v>
      </c>
      <c r="T157" s="5">
        <f>(P37*($E37/365))+(P38*($E38/365))</f>
        <v>46.14</v>
      </c>
      <c r="U157" s="5">
        <f>(Q37*($E37/365))+(Q38*($E38/365))</f>
        <v>0</v>
      </c>
      <c r="V157" s="9"/>
      <c r="W157" s="5">
        <f>R37*(E37/365) + R38*(E38/365)</f>
        <v>46.14</v>
      </c>
      <c r="X157" s="4"/>
    </row>
    <row r="158" spans="1:24" x14ac:dyDescent="0.15">
      <c r="A158" s="13">
        <v>1975</v>
      </c>
      <c r="B158" s="5">
        <f>(K39*($E39/365))+(K40*($E40/365))</f>
        <v>0</v>
      </c>
      <c r="C158" s="5">
        <f>(L39*($E39/365))+(L40*($E40/365))</f>
        <v>100</v>
      </c>
      <c r="D158" s="5">
        <f>(M39*($E39/365))+(M40*($E40/365))</f>
        <v>0</v>
      </c>
      <c r="E158" s="17">
        <f t="shared" si="48"/>
        <v>100</v>
      </c>
      <c r="G158" s="13">
        <v>1975</v>
      </c>
      <c r="H158" s="362">
        <f>(O39/$R39*100*($E39/365))+(O40/$R40*100*($E40/365))</f>
        <v>0</v>
      </c>
      <c r="I158" s="362"/>
      <c r="J158" s="362">
        <f>(P39/$R39*100*($E39/365))+(P40/$R40*100*($E40/365))</f>
        <v>100</v>
      </c>
      <c r="K158" s="362"/>
      <c r="L158" s="362">
        <f>(Q39/$R39*100*($E39/365))+(Q40/$R40*100*($E40/365))</f>
        <v>0</v>
      </c>
      <c r="M158" s="362"/>
      <c r="N158" s="363">
        <f t="shared" si="49"/>
        <v>100</v>
      </c>
      <c r="O158" s="363"/>
      <c r="R158" s="13">
        <v>1975</v>
      </c>
      <c r="S158" s="5">
        <f>(O39*($E39/365))+(O40*($E40/365))</f>
        <v>0</v>
      </c>
      <c r="T158" s="5">
        <f>(P39*($E39/365))+(P40*($E40/365))</f>
        <v>53.4</v>
      </c>
      <c r="U158" s="5">
        <f>(Q39*($E39/365))+(Q40*($E40/365))</f>
        <v>0</v>
      </c>
      <c r="V158" s="9"/>
      <c r="W158" s="5">
        <f>R39*(E39/365) + R40*(E40/365)</f>
        <v>53.4</v>
      </c>
      <c r="X158" s="4"/>
    </row>
    <row r="159" spans="1:24" x14ac:dyDescent="0.15">
      <c r="A159" s="13">
        <v>1976</v>
      </c>
      <c r="B159" s="5">
        <f>(K41*($E41/366))+(K42*($E42/366))</f>
        <v>0</v>
      </c>
      <c r="C159" s="5">
        <f>(L41*($E41/366))+(L42*($E42/366))</f>
        <v>100</v>
      </c>
      <c r="D159" s="5">
        <f>(M41*($E41/366))+(M42*($E42/366))</f>
        <v>0</v>
      </c>
      <c r="E159" s="17">
        <f t="shared" si="48"/>
        <v>100</v>
      </c>
      <c r="G159" s="13">
        <v>1976</v>
      </c>
      <c r="H159" s="362">
        <f>(O41/$R41*100*($E41/366))+(O42/$R42*100*($E42/366))</f>
        <v>0</v>
      </c>
      <c r="I159" s="362"/>
      <c r="J159" s="362">
        <f>(P41/$R41*100*($E41/366))+(P42/$R42*100*($E42/366))</f>
        <v>100</v>
      </c>
      <c r="K159" s="362"/>
      <c r="L159" s="362">
        <f>(Q41/$R41*100*($E41/366))+(Q42/$R42*100*($E42/366))</f>
        <v>0</v>
      </c>
      <c r="M159" s="362"/>
      <c r="N159" s="363">
        <f t="shared" si="49"/>
        <v>100</v>
      </c>
      <c r="O159" s="363"/>
      <c r="R159" s="13">
        <v>1976</v>
      </c>
      <c r="S159" s="5">
        <f>(O41*($E41/366))+(O42*($E42/366))</f>
        <v>0</v>
      </c>
      <c r="T159" s="5">
        <f>(P41*($E41/366))+(P42*($E42/366))</f>
        <v>53.4</v>
      </c>
      <c r="U159" s="5">
        <f>(Q41*($E41/366))+(Q42*($E42/366))</f>
        <v>0</v>
      </c>
      <c r="V159" s="9"/>
      <c r="W159" s="5">
        <f>R41*(E41/366) + R42*(E42/366)</f>
        <v>53.4</v>
      </c>
      <c r="X159" s="4"/>
    </row>
    <row r="160" spans="1:24" x14ac:dyDescent="0.15">
      <c r="A160" s="13">
        <v>1977</v>
      </c>
      <c r="B160" s="5">
        <f>(K43*($E43/365))+(K44*($E44/365))</f>
        <v>0</v>
      </c>
      <c r="C160" s="5">
        <f>(L43*($E43/365))+(L44*($E44/365))</f>
        <v>100</v>
      </c>
      <c r="D160" s="5">
        <f>(M43*($E43/365))+(M44*($E44/365))</f>
        <v>0</v>
      </c>
      <c r="E160" s="17">
        <f t="shared" si="48"/>
        <v>100</v>
      </c>
      <c r="G160" s="13">
        <v>1977</v>
      </c>
      <c r="H160" s="362">
        <f>(O43/$R43*100*($E43/365))+(O44/$R44*100*($E44/365))</f>
        <v>0</v>
      </c>
      <c r="I160" s="362"/>
      <c r="J160" s="362">
        <f>(P43/$R43*100*($E43/365))+(P44/$R44*100*($E44/365))</f>
        <v>100</v>
      </c>
      <c r="K160" s="362"/>
      <c r="L160" s="362">
        <f>(Q43/$R43*100*($E43/365))+(Q44/$R44*100*($E44/365))</f>
        <v>0</v>
      </c>
      <c r="M160" s="362"/>
      <c r="N160" s="363">
        <f t="shared" si="49"/>
        <v>100</v>
      </c>
      <c r="O160" s="363"/>
      <c r="R160" s="13">
        <v>1977</v>
      </c>
      <c r="S160" s="5">
        <f>(O43*($E43/365))+(O44*($E44/365))</f>
        <v>0</v>
      </c>
      <c r="T160" s="5">
        <f>(P43*($E43/365))+(P44*($E44/365))</f>
        <v>53.4</v>
      </c>
      <c r="U160" s="5">
        <f>(Q43*($E43/365))+(Q44*($E44/365))</f>
        <v>0</v>
      </c>
      <c r="V160" s="9"/>
      <c r="W160" s="5">
        <f>R43*(E43/365) + R44*(E44/365)</f>
        <v>53.4</v>
      </c>
      <c r="X160" s="4"/>
    </row>
    <row r="161" spans="1:24" x14ac:dyDescent="0.15">
      <c r="A161" s="13">
        <v>1978</v>
      </c>
      <c r="B161" s="5">
        <f>(K45*($E45/365))+(K46*($E46/365))</f>
        <v>0</v>
      </c>
      <c r="C161" s="5">
        <f>(L45*($E45/365))+(L46*($E46/365))</f>
        <v>100</v>
      </c>
      <c r="D161" s="5">
        <f>(M45*($E45/365))+(M46*($E46/365))</f>
        <v>0</v>
      </c>
      <c r="E161" s="17">
        <f t="shared" si="48"/>
        <v>100</v>
      </c>
      <c r="G161" s="13">
        <v>1978</v>
      </c>
      <c r="H161" s="362">
        <f>(O45/$R45*100*($E45/365))+(O46/$R46*100*($E46/365))</f>
        <v>0</v>
      </c>
      <c r="I161" s="362"/>
      <c r="J161" s="362">
        <f>(P45/$R45*100*($E45/365))+(P46/$R46*100*($E46/365))</f>
        <v>100</v>
      </c>
      <c r="K161" s="362"/>
      <c r="L161" s="362">
        <f>(Q45/$R45*100*($E45/365))+(Q46/$R46*100*($E46/365))</f>
        <v>0</v>
      </c>
      <c r="M161" s="362"/>
      <c r="N161" s="363">
        <f t="shared" si="49"/>
        <v>100</v>
      </c>
      <c r="O161" s="363"/>
      <c r="R161" s="13">
        <v>1978</v>
      </c>
      <c r="S161" s="5">
        <f>(O45*($E45/365))+(O46*($E46/365))</f>
        <v>0</v>
      </c>
      <c r="T161" s="5">
        <f>(P45*($E45/365))+(P46*($E46/365))</f>
        <v>53.4</v>
      </c>
      <c r="U161" s="5">
        <f>(Q45*($E45/365))+(Q46*($E46/365))</f>
        <v>0</v>
      </c>
      <c r="V161" s="9"/>
      <c r="W161" s="5">
        <f>R45*(E45/365) + R46*(E46/365)</f>
        <v>53.4</v>
      </c>
      <c r="X161" s="4"/>
    </row>
    <row r="162" spans="1:24" x14ac:dyDescent="0.15">
      <c r="A162" s="13">
        <v>1979</v>
      </c>
      <c r="B162" s="5">
        <f>(K47*($E47/365))+(K48*($E48/365))</f>
        <v>57.80821917808219</v>
      </c>
      <c r="C162" s="5">
        <f>(L47*($E47/365))+(L48*($E48/365))</f>
        <v>42.19178082191781</v>
      </c>
      <c r="D162" s="5">
        <f>(M47*($E47/365))+(M48*($E48/365))</f>
        <v>0</v>
      </c>
      <c r="E162" s="17">
        <f t="shared" si="48"/>
        <v>100</v>
      </c>
      <c r="G162" s="13">
        <v>1979</v>
      </c>
      <c r="H162" s="362">
        <f>(O47/$R47*100*($E47/365))+(O48/$R48*100*($E48/365))</f>
        <v>57.80821917808219</v>
      </c>
      <c r="I162" s="362"/>
      <c r="J162" s="362">
        <f>(P47/$R47*100*($E47/365))+(P48/$R48*100*($E48/365))</f>
        <v>42.19178082191781</v>
      </c>
      <c r="K162" s="362"/>
      <c r="L162" s="362">
        <f>(Q47/$R47*100*($E47/365))+(Q48/$R48*100*($E48/365))</f>
        <v>0</v>
      </c>
      <c r="M162" s="362"/>
      <c r="N162" s="363">
        <f t="shared" si="49"/>
        <v>100</v>
      </c>
      <c r="O162" s="363"/>
      <c r="R162" s="13">
        <v>1979</v>
      </c>
      <c r="S162" s="5">
        <f>(O47*($E47/365))+(O48*($E48/365))</f>
        <v>27.863561643835617</v>
      </c>
      <c r="T162" s="5">
        <f>(P47*($E47/365))+(P48*($E48/365))</f>
        <v>22.53041095890411</v>
      </c>
      <c r="U162" s="5">
        <f>(Q47*($E47/365))+(Q48*($E48/365))</f>
        <v>0</v>
      </c>
      <c r="V162" s="9"/>
      <c r="W162" s="5">
        <f>R47*(E47/365) + R48*(E48/365)</f>
        <v>50.393972602739723</v>
      </c>
      <c r="X162" s="4"/>
    </row>
    <row r="163" spans="1:24" x14ac:dyDescent="0.15">
      <c r="A163" s="13">
        <v>1980</v>
      </c>
      <c r="B163" s="5">
        <f>(K49*($E49/366))+(K50*($E50/366))</f>
        <v>16.939890710382514</v>
      </c>
      <c r="C163" s="5">
        <f>(L49*($E49/366))+(L50*($E50/366))</f>
        <v>83.060109289617486</v>
      </c>
      <c r="D163" s="5">
        <f>(M49*($E49/366))+(M50*($E50/366))</f>
        <v>0</v>
      </c>
      <c r="E163" s="17">
        <f t="shared" si="48"/>
        <v>100</v>
      </c>
      <c r="G163" s="13">
        <v>1980</v>
      </c>
      <c r="H163" s="362">
        <f>(O49/$R49*100*($E49/366))+(O50/$R50*100*($E50/366))</f>
        <v>16.939890710382514</v>
      </c>
      <c r="I163" s="362"/>
      <c r="J163" s="362">
        <f>(P49/$R49*100*($E49/366))+(P50/$R50*100*($E50/366))</f>
        <v>83.060109289617486</v>
      </c>
      <c r="K163" s="362"/>
      <c r="L163" s="362">
        <f>(Q49/$R49*100*($E49/366))+(Q50/$R50*100*($E50/366))</f>
        <v>0</v>
      </c>
      <c r="M163" s="362"/>
      <c r="N163" s="363">
        <f t="shared" si="49"/>
        <v>100</v>
      </c>
      <c r="O163" s="363"/>
      <c r="R163" s="13">
        <v>1980</v>
      </c>
      <c r="S163" s="5">
        <f>(O49*($E49/366))+(O50*($E50/366))</f>
        <v>8.1650273224043719</v>
      </c>
      <c r="T163" s="5">
        <f>(P49*($E49/366))+(P50*($E50/366))</f>
        <v>43.27431693989071</v>
      </c>
      <c r="U163" s="5">
        <f>(Q49*($E49/366))+(Q50*($E50/366))</f>
        <v>0</v>
      </c>
      <c r="V163" s="9"/>
      <c r="W163" s="5">
        <f>R49*(E49/366) + R50*(E50/366)</f>
        <v>51.43934426229508</v>
      </c>
      <c r="X163" s="4"/>
    </row>
    <row r="164" spans="1:24" x14ac:dyDescent="0.15">
      <c r="A164" s="13">
        <v>1981</v>
      </c>
      <c r="B164" s="5">
        <f>(K51*($E51/365))+(K52*($E52/365))</f>
        <v>0</v>
      </c>
      <c r="C164" s="5">
        <f>(L51*($E51/365))+(L52*($E52/365))</f>
        <v>100</v>
      </c>
      <c r="D164" s="5">
        <f>(M51*($E51/365))+(M52*($E52/365))</f>
        <v>0</v>
      </c>
      <c r="E164" s="17">
        <f t="shared" si="48"/>
        <v>100</v>
      </c>
      <c r="G164" s="13">
        <v>1981</v>
      </c>
      <c r="H164" s="362">
        <f>(O51/$R51*100*($E51/365))+(O52/$R52*100*($E52/365))</f>
        <v>0</v>
      </c>
      <c r="I164" s="362"/>
      <c r="J164" s="362">
        <f>(P51/$R51*100*($E51/365))+(P52/$R52*100*($E52/365))</f>
        <v>100</v>
      </c>
      <c r="K164" s="362"/>
      <c r="L164" s="362">
        <f>(Q51/$R51*100*($E51/365))+(Q52/$R52*100*($E52/365))</f>
        <v>0</v>
      </c>
      <c r="M164" s="362"/>
      <c r="N164" s="363">
        <f t="shared" si="49"/>
        <v>100</v>
      </c>
      <c r="O164" s="363"/>
      <c r="R164" s="13">
        <v>1981</v>
      </c>
      <c r="S164" s="5">
        <f>(O51*($E51/365))+(O52*($E52/365))</f>
        <v>0</v>
      </c>
      <c r="T164" s="5">
        <f>(P51*($E51/365))+(P52*($E52/365))</f>
        <v>52.1</v>
      </c>
      <c r="U164" s="5">
        <f>(Q51*($E51/365))+(Q52*($E52/365))</f>
        <v>0</v>
      </c>
      <c r="V164" s="9"/>
      <c r="W164" s="5">
        <f>R51*(E51/365) + R52*(E52/365)</f>
        <v>52.1</v>
      </c>
      <c r="X164" s="4"/>
    </row>
    <row r="165" spans="1:24" x14ac:dyDescent="0.15">
      <c r="A165" s="13">
        <v>1982</v>
      </c>
      <c r="B165" s="5">
        <f>(K53*($E53/365))+(K54*($E54/365))</f>
        <v>0</v>
      </c>
      <c r="C165" s="5">
        <f>(L53*($E53/365))+(L54*($E54/365))</f>
        <v>100</v>
      </c>
      <c r="D165" s="5">
        <f>(M53*($E53/365))+(M54*($E54/365))</f>
        <v>0</v>
      </c>
      <c r="E165" s="17">
        <f t="shared" si="48"/>
        <v>100</v>
      </c>
      <c r="G165" s="13">
        <v>1982</v>
      </c>
      <c r="H165" s="362">
        <f>(O53/$R53*100*($E53/365))+(O54/$R54*100*($E54/365))</f>
        <v>0</v>
      </c>
      <c r="I165" s="362"/>
      <c r="J165" s="362">
        <f>(P53/$R53*100*($E53/365))+(P54/$R54*100*($E54/365))</f>
        <v>100</v>
      </c>
      <c r="K165" s="362"/>
      <c r="L165" s="362">
        <f>(Q53/$R53*100*($E53/365))+(Q54/$R54*100*($E54/365))</f>
        <v>0</v>
      </c>
      <c r="M165" s="362"/>
      <c r="N165" s="363">
        <f t="shared" si="49"/>
        <v>100</v>
      </c>
      <c r="O165" s="363"/>
      <c r="R165" s="13">
        <v>1982</v>
      </c>
      <c r="S165" s="5">
        <f>(O53*($E53/365))+(O54*($E54/365))</f>
        <v>0</v>
      </c>
      <c r="T165" s="5">
        <f>(P53*($E53/365))+(P54*($E54/365))</f>
        <v>52.1</v>
      </c>
      <c r="U165" s="5">
        <f>(Q53*($E53/365))+(Q54*($E54/365))</f>
        <v>0</v>
      </c>
      <c r="V165" s="9"/>
      <c r="W165" s="5">
        <f>R53*(E53/365) + R54*(E54/365)</f>
        <v>52.1</v>
      </c>
      <c r="X165" s="4"/>
    </row>
    <row r="166" spans="1:24" x14ac:dyDescent="0.15">
      <c r="A166" s="13">
        <v>1983</v>
      </c>
      <c r="B166" s="5">
        <f>(K55*($E55/365))+(K56*($E56/365))</f>
        <v>0</v>
      </c>
      <c r="C166" s="5">
        <f>(L55*($E55/365))+(L56*($E56/365))</f>
        <v>100</v>
      </c>
      <c r="D166" s="5">
        <f>(M55*($E55/365))+(M56*($E56/365))</f>
        <v>0</v>
      </c>
      <c r="E166" s="17">
        <f t="shared" si="48"/>
        <v>100</v>
      </c>
      <c r="G166" s="13">
        <v>1983</v>
      </c>
      <c r="H166" s="362">
        <f>(O55/$R55*100*($E55/365))+(O56/$R56*100*($E56/365))</f>
        <v>0</v>
      </c>
      <c r="I166" s="362"/>
      <c r="J166" s="362">
        <f>(P55/$R55*100*($E55/365))+(P56/$R56*100*($E56/365))</f>
        <v>100</v>
      </c>
      <c r="K166" s="362"/>
      <c r="L166" s="362">
        <f>(Q55/$R55*100*($E55/365))+(Q56/$R56*100*($E56/365))</f>
        <v>0</v>
      </c>
      <c r="M166" s="362"/>
      <c r="N166" s="363">
        <f t="shared" si="49"/>
        <v>100</v>
      </c>
      <c r="O166" s="363"/>
      <c r="R166" s="13">
        <v>1983</v>
      </c>
      <c r="S166" s="5">
        <f>(O55*($E55/365))+(O56*($E56/365))</f>
        <v>0</v>
      </c>
      <c r="T166" s="5">
        <f>(P55*($E55/365))+(P56*($E56/365))</f>
        <v>52.1</v>
      </c>
      <c r="U166" s="5">
        <f>(Q55*($E55/365))+(Q56*($E56/365))</f>
        <v>0</v>
      </c>
      <c r="V166" s="9"/>
      <c r="W166" s="5">
        <f>R55*(E55/365) + R56*(E56/365)</f>
        <v>52.1</v>
      </c>
      <c r="X166" s="4"/>
    </row>
    <row r="167" spans="1:24" x14ac:dyDescent="0.15">
      <c r="A167" s="13">
        <v>1984</v>
      </c>
      <c r="B167" s="5">
        <f>(K57*($E57/366))+(K58*($E58/366))</f>
        <v>28.961748633879779</v>
      </c>
      <c r="C167" s="5">
        <f>(L57*($E57/366))+(L58*($E58/366))</f>
        <v>71.038251366120221</v>
      </c>
      <c r="D167" s="5">
        <f>(M57*($E57/366))+(M58*($E58/366))</f>
        <v>0</v>
      </c>
      <c r="E167" s="17">
        <f t="shared" si="48"/>
        <v>100</v>
      </c>
      <c r="G167" s="13">
        <v>1984</v>
      </c>
      <c r="H167" s="362">
        <f>(O57/$R57*100*($E57/366))+(O58/$R58*100*($E58/366))</f>
        <v>28.961748633879779</v>
      </c>
      <c r="I167" s="362"/>
      <c r="J167" s="362">
        <f>(P57/$R57*100*($E57/366))+(P58/$R58*100*($E58/366))</f>
        <v>71.038251366120221</v>
      </c>
      <c r="K167" s="362"/>
      <c r="L167" s="362">
        <f>(Q57/$R57*100*($E57/366))+(Q58/$R58*100*($E58/366))</f>
        <v>0</v>
      </c>
      <c r="M167" s="362"/>
      <c r="N167" s="363">
        <f t="shared" si="49"/>
        <v>100</v>
      </c>
      <c r="O167" s="363"/>
      <c r="R167" s="13">
        <v>1984</v>
      </c>
      <c r="S167" s="5">
        <f>(O57*($E57/366))+(O58*($E58/366))</f>
        <v>21.663387978142076</v>
      </c>
      <c r="T167" s="5">
        <f>(P57*($E57/366))+(P58*($E58/366))</f>
        <v>37.010928961748633</v>
      </c>
      <c r="U167" s="5">
        <f>(Q57*($E57/366))+(Q58*($E58/366))</f>
        <v>0</v>
      </c>
      <c r="V167" s="9"/>
      <c r="W167" s="5">
        <f>R57*(E57/366) + R58*(E58/366)</f>
        <v>58.674316939890709</v>
      </c>
      <c r="X167" s="4"/>
    </row>
    <row r="168" spans="1:24" x14ac:dyDescent="0.15">
      <c r="A168" s="13">
        <v>1985</v>
      </c>
      <c r="B168" s="5">
        <f>(K59*($E59/365))+(K60*($E60/365))</f>
        <v>100</v>
      </c>
      <c r="C168" s="5">
        <f>(L59*($E59/365))+(L60*($E60/365))</f>
        <v>0</v>
      </c>
      <c r="D168" s="5">
        <f>(M59*($E59/365))+(M60*($E60/365))</f>
        <v>0</v>
      </c>
      <c r="E168" s="17">
        <f t="shared" si="48"/>
        <v>100</v>
      </c>
      <c r="G168" s="13">
        <v>1985</v>
      </c>
      <c r="H168" s="362">
        <f>(O59/$R59*100*($E59/365))+(O60/$R60*100*($E60/365))</f>
        <v>100</v>
      </c>
      <c r="I168" s="362"/>
      <c r="J168" s="362">
        <f>(P59/$R59*100*($E59/365))+(P60/$R60*100*($E60/365))</f>
        <v>0</v>
      </c>
      <c r="K168" s="362"/>
      <c r="L168" s="362">
        <f>(Q59/$R59*100*($E59/365))+(Q60/$R60*100*($E60/365))</f>
        <v>0</v>
      </c>
      <c r="M168" s="362"/>
      <c r="N168" s="363">
        <f t="shared" si="49"/>
        <v>100</v>
      </c>
      <c r="O168" s="363"/>
      <c r="R168" s="13">
        <v>1985</v>
      </c>
      <c r="S168" s="5">
        <f>(O59*($E59/365))+(O60*($E60/365))</f>
        <v>74.8</v>
      </c>
      <c r="T168" s="5">
        <f>(P59*($E59/365))+(P60*($E60/365))</f>
        <v>0</v>
      </c>
      <c r="U168" s="5">
        <f>(Q59*($E59/365))+(Q60*($E60/365))</f>
        <v>0</v>
      </c>
      <c r="V168" s="9"/>
      <c r="W168" s="5">
        <f>R59*(E59/365) + R60*(E60/365)</f>
        <v>74.8</v>
      </c>
      <c r="X168" s="4"/>
    </row>
    <row r="169" spans="1:24" x14ac:dyDescent="0.15">
      <c r="A169" s="13">
        <v>1986</v>
      </c>
      <c r="B169" s="5">
        <f>(K61*($E61/365))+(K62*($E62/365))</f>
        <v>100</v>
      </c>
      <c r="C169" s="5">
        <f>(L61*($E61/365))+(L62*($E62/365))</f>
        <v>0</v>
      </c>
      <c r="D169" s="5">
        <f>(M61*($E61/365))+(M62*($E62/365))</f>
        <v>0</v>
      </c>
      <c r="E169" s="17">
        <f t="shared" si="48"/>
        <v>100</v>
      </c>
      <c r="G169" s="13">
        <v>1986</v>
      </c>
      <c r="H169" s="362">
        <f>(O61/$R61*100*($E61/365))+(O62/$R62*100*($E62/365))</f>
        <v>100</v>
      </c>
      <c r="I169" s="362"/>
      <c r="J169" s="362">
        <f>(P61/$R61*100*($E61/365))+(P62/$R62*100*($E62/365))</f>
        <v>0</v>
      </c>
      <c r="K169" s="362"/>
      <c r="L169" s="362">
        <f>(Q61/$R61*100*($E61/365))+(Q62/$R62*100*($E62/365))</f>
        <v>0</v>
      </c>
      <c r="M169" s="362"/>
      <c r="N169" s="363">
        <f t="shared" si="49"/>
        <v>100</v>
      </c>
      <c r="O169" s="363"/>
      <c r="R169" s="13">
        <v>1986</v>
      </c>
      <c r="S169" s="5">
        <f>(O61*($E61/365))+(O62*($E62/365))</f>
        <v>74.8</v>
      </c>
      <c r="T169" s="5">
        <f>(P61*($E61/365))+(P62*($E62/365))</f>
        <v>0</v>
      </c>
      <c r="U169" s="5">
        <f>(Q61*($E61/365))+(Q62*($E62/365))</f>
        <v>0</v>
      </c>
      <c r="V169" s="9"/>
      <c r="W169" s="5">
        <f>R61*(E61/365) + R62*(E62/365)</f>
        <v>74.8</v>
      </c>
      <c r="X169" s="4"/>
    </row>
    <row r="170" spans="1:24" x14ac:dyDescent="0.15">
      <c r="A170" s="13">
        <v>1987</v>
      </c>
      <c r="B170" s="5">
        <f>(K63*($E63/365))+(K64*($E64/365))</f>
        <v>100</v>
      </c>
      <c r="C170" s="5">
        <f>(L63*($E63/365))+(L64*($E64/365))</f>
        <v>0</v>
      </c>
      <c r="D170" s="5">
        <f>(M63*($E63/365))+(M64*($E64/365))</f>
        <v>0</v>
      </c>
      <c r="E170" s="17">
        <f t="shared" si="48"/>
        <v>100</v>
      </c>
      <c r="G170" s="13">
        <v>1987</v>
      </c>
      <c r="H170" s="362">
        <f>(O63/$R63*100*($E63/365))+(O64/$R64*100*($E64/365))</f>
        <v>100</v>
      </c>
      <c r="I170" s="362"/>
      <c r="J170" s="362">
        <f>(P63/$R63*100*($E63/365))+(P64/$R64*100*($E64/365))</f>
        <v>0</v>
      </c>
      <c r="K170" s="362"/>
      <c r="L170" s="362">
        <f>(Q63/$R63*100*($E63/365))+(Q64/$R64*100*($E64/365))</f>
        <v>0</v>
      </c>
      <c r="M170" s="362"/>
      <c r="N170" s="363">
        <f t="shared" si="49"/>
        <v>100</v>
      </c>
      <c r="O170" s="363"/>
      <c r="R170" s="13">
        <v>1987</v>
      </c>
      <c r="S170" s="5">
        <f>(O63*($E63/365))+(O64*($E64/365))</f>
        <v>74.8</v>
      </c>
      <c r="T170" s="5">
        <f>(P63*($E63/365))+(P64*($E64/365))</f>
        <v>0</v>
      </c>
      <c r="U170" s="5">
        <f>(Q63*($E63/365))+(Q64*($E64/365))</f>
        <v>0</v>
      </c>
      <c r="V170" s="9"/>
      <c r="W170" s="5">
        <f>R63*(E63/365) + R64*(E64/365)</f>
        <v>74.8</v>
      </c>
      <c r="X170" s="4"/>
    </row>
    <row r="171" spans="1:24" x14ac:dyDescent="0.15">
      <c r="A171" s="13">
        <v>1988</v>
      </c>
      <c r="B171" s="5">
        <f>(K65*($E65/366))+(K66*($E66/366))</f>
        <v>100</v>
      </c>
      <c r="C171" s="5">
        <f>(L65*($E65/366))+(L66*($E66/366))</f>
        <v>0</v>
      </c>
      <c r="D171" s="5">
        <f>(M65*($E65/366))+(M66*($E66/366))</f>
        <v>0</v>
      </c>
      <c r="E171" s="17">
        <f t="shared" si="48"/>
        <v>100</v>
      </c>
      <c r="G171" s="13">
        <v>1988</v>
      </c>
      <c r="H171" s="362">
        <f>(O65/$R65*100*($E65/366))+(O66/$R66*100*($E66/366))</f>
        <v>100</v>
      </c>
      <c r="I171" s="362"/>
      <c r="J171" s="362">
        <f>(P65/$R65*100*($E65/366))+(P66/$R66*100*($E66/366))</f>
        <v>0</v>
      </c>
      <c r="K171" s="362"/>
      <c r="L171" s="362">
        <f>(Q65/$R65*100*($E65/366))+(Q66/$R66*100*($E66/366))</f>
        <v>0</v>
      </c>
      <c r="M171" s="362"/>
      <c r="N171" s="363">
        <f t="shared" si="49"/>
        <v>100</v>
      </c>
      <c r="O171" s="363"/>
      <c r="R171" s="13">
        <v>1988</v>
      </c>
      <c r="S171" s="5">
        <f>(O65*($E65/366))+(O66*($E66/366))</f>
        <v>73.60464480874316</v>
      </c>
      <c r="T171" s="5">
        <f>(P65*($E65/366))+(P66*($E66/366))</f>
        <v>0</v>
      </c>
      <c r="U171" s="5">
        <f>(Q65*($E65/366))+(Q66*($E66/366))</f>
        <v>0</v>
      </c>
      <c r="V171" s="9"/>
      <c r="W171" s="5">
        <f>R65*(E65/366) + R66*(E66/366)</f>
        <v>73.60464480874316</v>
      </c>
      <c r="X171" s="4"/>
    </row>
    <row r="172" spans="1:24" s="3" customFormat="1" x14ac:dyDescent="0.15">
      <c r="A172" s="14">
        <v>1989</v>
      </c>
      <c r="B172" s="8">
        <f>(K67*($E67/365))+(K68*($E68/365))</f>
        <v>100</v>
      </c>
      <c r="C172" s="8">
        <f>(L67*($E67/365))+(L68*($E68/365))</f>
        <v>0</v>
      </c>
      <c r="D172" s="8">
        <f>(M67*($E67/365))+(M68*($E68/365))</f>
        <v>0</v>
      </c>
      <c r="E172" s="18">
        <f t="shared" si="48"/>
        <v>100</v>
      </c>
      <c r="G172" s="14">
        <v>1989</v>
      </c>
      <c r="H172" s="364">
        <f>(O67/$R67*100*($E67/365))+(O68/$R68*100*($E68/365))</f>
        <v>100</v>
      </c>
      <c r="I172" s="364"/>
      <c r="J172" s="364">
        <f>(P67/$R67*100*($E67/365))+(P68/$R68*100*($E68/365))</f>
        <v>0</v>
      </c>
      <c r="K172" s="364"/>
      <c r="L172" s="364">
        <f>(Q67/$R67*100*($E67/365))+(Q68/$R68*100*($E68/365))</f>
        <v>0</v>
      </c>
      <c r="M172" s="364"/>
      <c r="N172" s="391">
        <f t="shared" si="49"/>
        <v>100</v>
      </c>
      <c r="O172" s="391"/>
      <c r="R172" s="14">
        <v>1989</v>
      </c>
      <c r="S172" s="8">
        <f>(O67*($E67/365))+(O68*($E68/365))</f>
        <v>57.3</v>
      </c>
      <c r="T172" s="8">
        <f>(P67*($E67/365))+(P68*($E68/365))</f>
        <v>0</v>
      </c>
      <c r="U172" s="8">
        <f>(Q67*($E67/365))+(Q68*($E68/365))</f>
        <v>0</v>
      </c>
      <c r="V172" s="20"/>
      <c r="W172" s="8">
        <f>R67*(E67/365) + R68*(E68/365)</f>
        <v>57.3</v>
      </c>
      <c r="X172" s="12"/>
    </row>
    <row r="173" spans="1:24" x14ac:dyDescent="0.15">
      <c r="A173" s="1">
        <v>1990</v>
      </c>
      <c r="B173" s="5">
        <f>(K69*($E69/365))+(K70*($E70/365))</f>
        <v>100</v>
      </c>
      <c r="C173" s="5">
        <f>(L69*($E69/365))+(L70*($E70/365))</f>
        <v>0</v>
      </c>
      <c r="D173" s="5">
        <f>(M69*($E69/365))+(M70*($E70/365))</f>
        <v>0</v>
      </c>
      <c r="E173" s="17">
        <f t="shared" si="48"/>
        <v>100</v>
      </c>
      <c r="G173" s="1">
        <v>1990</v>
      </c>
      <c r="H173" s="362">
        <f>(O69/$R69*100*($E69/365))+(O70/$R70*100*($E70/365))</f>
        <v>100</v>
      </c>
      <c r="I173" s="362"/>
      <c r="J173" s="362">
        <f>(P69/$R69*100*($E69/365))+(P70/$R70*100*($E70/365))</f>
        <v>0</v>
      </c>
      <c r="K173" s="362"/>
      <c r="L173" s="362">
        <f>(Q69/$R69*100*($E69/365))+(Q70/$R70*100*($E70/365))</f>
        <v>0</v>
      </c>
      <c r="M173" s="362"/>
      <c r="N173" s="363">
        <f t="shared" si="49"/>
        <v>100</v>
      </c>
      <c r="O173" s="363"/>
      <c r="R173" s="1">
        <v>1990</v>
      </c>
      <c r="S173" s="5">
        <f>(O69*($E69/365))+(O70*($E70/365))</f>
        <v>57.3</v>
      </c>
      <c r="T173" s="5">
        <f>(P69*($E69/365))+(P70*($E70/365))</f>
        <v>0</v>
      </c>
      <c r="U173" s="5">
        <f>(Q69*($E69/365))+(Q70*($E70/365))</f>
        <v>0</v>
      </c>
      <c r="V173" s="9"/>
      <c r="W173" s="5">
        <f>R69*(E69/365) + R70*(E70/365)</f>
        <v>57.3</v>
      </c>
      <c r="X173" s="4"/>
    </row>
    <row r="174" spans="1:24" x14ac:dyDescent="0.15">
      <c r="A174" s="1">
        <v>1991</v>
      </c>
      <c r="B174" s="5">
        <f>(K71*($E71/365))+(K72*($E72/365))</f>
        <v>100</v>
      </c>
      <c r="C174" s="5">
        <f>(L71*($E71/365))+(L72*($E72/365))</f>
        <v>0</v>
      </c>
      <c r="D174" s="5">
        <f>(M71*($E71/365))+(M72*($E72/365))</f>
        <v>0</v>
      </c>
      <c r="E174" s="17">
        <f t="shared" ref="E174:E197" si="50">SUM(B174:D174)</f>
        <v>100</v>
      </c>
      <c r="G174" s="1">
        <v>1991</v>
      </c>
      <c r="H174" s="362">
        <f>(O71/$R71*100*($E71/365))+(O72/$R72*100*($E72/365))</f>
        <v>100</v>
      </c>
      <c r="I174" s="362"/>
      <c r="J174" s="362">
        <f>(P71/$R71*100*($E71/365))+(P72/$R72*100*($E72/365))</f>
        <v>0</v>
      </c>
      <c r="K174" s="362"/>
      <c r="L174" s="362">
        <f>(Q71/$R71*100*($E71/365))+(Q72/$R72*100*($E72/365))</f>
        <v>0</v>
      </c>
      <c r="M174" s="362"/>
      <c r="N174" s="363">
        <f t="shared" si="49"/>
        <v>100</v>
      </c>
      <c r="O174" s="363"/>
      <c r="R174" s="1">
        <v>1991</v>
      </c>
      <c r="S174" s="5">
        <f>(O71*($E71/365))+(O72*($E72/365))</f>
        <v>57.3</v>
      </c>
      <c r="T174" s="5">
        <f>(P71*($E71/365))+(P72*($E72/365))</f>
        <v>0</v>
      </c>
      <c r="U174" s="5">
        <f>(Q71*($E71/365))+(Q72*($E72/365))</f>
        <v>0</v>
      </c>
      <c r="V174" s="9"/>
      <c r="W174" s="5">
        <f>R71*(E71/365) + R72*(E72/365)</f>
        <v>57.3</v>
      </c>
      <c r="X174" s="4"/>
    </row>
    <row r="175" spans="1:24" x14ac:dyDescent="0.15">
      <c r="A175" s="1">
        <v>1992</v>
      </c>
      <c r="B175" s="5">
        <f>(K73*($E73/366))+(K74*($E74/366))</f>
        <v>100</v>
      </c>
      <c r="C175" s="5">
        <f>(L73*($E73/366))+(L74*($E74/366))</f>
        <v>0</v>
      </c>
      <c r="D175" s="5">
        <f>(M73*($E73/366))+(M74*($E74/366))</f>
        <v>0</v>
      </c>
      <c r="E175" s="17">
        <f t="shared" si="50"/>
        <v>100</v>
      </c>
      <c r="G175" s="1">
        <v>1992</v>
      </c>
      <c r="H175" s="362">
        <f>(O73/$R73*100*($E73/366))+(O74/$R74*100*($E74/366))</f>
        <v>100</v>
      </c>
      <c r="I175" s="362"/>
      <c r="J175" s="362">
        <f>(P73/$R73*100*($E73/366))+(P74/$R74*100*($E74/366))</f>
        <v>0</v>
      </c>
      <c r="K175" s="362"/>
      <c r="L175" s="362">
        <f>(Q73/$R73*100*($E73/366))+(Q74/$R74*100*($E74/366))</f>
        <v>0</v>
      </c>
      <c r="M175" s="362"/>
      <c r="N175" s="363">
        <f t="shared" si="49"/>
        <v>100</v>
      </c>
      <c r="O175" s="363"/>
      <c r="R175" s="1">
        <v>1992</v>
      </c>
      <c r="S175" s="5">
        <f>(O73*($E73/366))+(O74*($E74/366))</f>
        <v>57.3</v>
      </c>
      <c r="T175" s="5">
        <f>(P73*($E73/366))+(P74*($E74/366))</f>
        <v>0</v>
      </c>
      <c r="U175" s="5">
        <f>(Q73*($E73/366))+(Q74*($E74/366))</f>
        <v>0</v>
      </c>
      <c r="V175" s="9"/>
      <c r="W175" s="5">
        <f>R73*(E73/366) + R74*(E74/366)</f>
        <v>57.3</v>
      </c>
      <c r="X175" s="4"/>
    </row>
    <row r="176" spans="1:24" x14ac:dyDescent="0.15">
      <c r="A176" s="1">
        <v>1993</v>
      </c>
      <c r="B176" s="5">
        <f>(K75*($E75/365))+(K76*($E76/365))+(K77*($E77/365))</f>
        <v>84.109589041095887</v>
      </c>
      <c r="C176" s="5">
        <f>(L75*($E75/365))+(L76*($E76/365))+(L77*($E77/365))</f>
        <v>15.890410958904111</v>
      </c>
      <c r="D176" s="5">
        <f>(M75*($E75/365))+(M76*($E76/365))+(M77*($E77/365))</f>
        <v>0</v>
      </c>
      <c r="E176" s="17">
        <f t="shared" si="50"/>
        <v>100</v>
      </c>
      <c r="G176" s="1">
        <v>1993</v>
      </c>
      <c r="H176" s="362">
        <f>(O75/$R75*100*($E75/365))+(O76/$R76*100*($E76/365))+(O77/$R77*100*($E77/365))</f>
        <v>84.109589041095887</v>
      </c>
      <c r="I176" s="362"/>
      <c r="J176" s="362">
        <f>(P75/$R75*100*($E75/365))+(P76/$R76*100*($E76/365))+(P77/$R77*100*($E77/365))</f>
        <v>15.890410958904111</v>
      </c>
      <c r="K176" s="362"/>
      <c r="L176" s="362">
        <f>(Q75/$R75*100*($E75/365))+(Q76/$R76*100*($E76/365))+(Q77/$R77*100*($E77/365))</f>
        <v>0</v>
      </c>
      <c r="M176" s="362"/>
      <c r="N176" s="363">
        <f t="shared" si="49"/>
        <v>100</v>
      </c>
      <c r="O176" s="363"/>
      <c r="R176" s="1">
        <v>1993</v>
      </c>
      <c r="S176" s="5">
        <f>(O75*($E75/365))+(O75*($E75/365))+(O77*($E77/365))</f>
        <v>54.945205479452049</v>
      </c>
      <c r="T176" s="5">
        <f>(P75*($E75/365))+(P75*($E75/365))+(P77*($E77/365))</f>
        <v>9.5342465753424666</v>
      </c>
      <c r="U176" s="5">
        <f>(Q75*($E75/365))+(Q75*($E75/365))+(Q77*($E77/365))</f>
        <v>0</v>
      </c>
      <c r="V176" s="9"/>
      <c r="W176" s="5">
        <f>R76*(E76/365) + R77*(E77/365)</f>
        <v>30.256438356164381</v>
      </c>
      <c r="X176" s="4"/>
    </row>
    <row r="177" spans="1:24" x14ac:dyDescent="0.15">
      <c r="A177" s="1">
        <v>1994</v>
      </c>
      <c r="B177" s="5">
        <f>(K78*($E78/365))+(K79*($E79/365))</f>
        <v>0</v>
      </c>
      <c r="C177" s="5">
        <f>(L78*($E78/365))+(L79*($E79/365))</f>
        <v>100</v>
      </c>
      <c r="D177" s="5">
        <f>(M78*($E78/365))+(M79*($E79/365))</f>
        <v>0</v>
      </c>
      <c r="E177" s="17">
        <f t="shared" si="50"/>
        <v>100</v>
      </c>
      <c r="G177" s="1">
        <v>1994</v>
      </c>
      <c r="H177" s="362">
        <f>(O78/$R78*100*($E78/365))+(O79/$R79*100*($E79/365))</f>
        <v>0</v>
      </c>
      <c r="I177" s="362"/>
      <c r="J177" s="362">
        <f>(P78/$R78*100*($E78/365))+(P79/$R79*100*($E79/365))</f>
        <v>100</v>
      </c>
      <c r="K177" s="362"/>
      <c r="L177" s="362">
        <f>(Q78/$R78*100*($E78/365))+(Q79/$R79*100*($E79/365))</f>
        <v>0</v>
      </c>
      <c r="M177" s="362"/>
      <c r="N177" s="363">
        <f t="shared" si="49"/>
        <v>100</v>
      </c>
      <c r="O177" s="363"/>
      <c r="R177" s="1">
        <v>1994</v>
      </c>
      <c r="S177" s="5">
        <f>(O78*($E78/365))+(O79*($E79/365))</f>
        <v>0</v>
      </c>
      <c r="T177" s="5">
        <f>(P78*($E78/365))+(P79*($E79/365))</f>
        <v>60</v>
      </c>
      <c r="U177" s="5">
        <f>(Q78*($E78/365))+(Q79*($E79/365))</f>
        <v>0</v>
      </c>
      <c r="V177" s="9"/>
      <c r="W177" s="5">
        <f>R78*(E78/365) + R79*(E79/365)</f>
        <v>60</v>
      </c>
      <c r="X177" s="4"/>
    </row>
    <row r="178" spans="1:24" x14ac:dyDescent="0.15">
      <c r="A178" s="1">
        <v>1995</v>
      </c>
      <c r="B178" s="5">
        <f>(K80*($E80/365))+(K81*($E81/365))</f>
        <v>0</v>
      </c>
      <c r="C178" s="5">
        <f>(L80*($E80/365))+(L81*($E81/365))</f>
        <v>100</v>
      </c>
      <c r="D178" s="5">
        <f>(M80*($E80/365))+(M81*($E81/365))</f>
        <v>0</v>
      </c>
      <c r="E178" s="17">
        <f t="shared" si="50"/>
        <v>100</v>
      </c>
      <c r="G178" s="1">
        <v>1995</v>
      </c>
      <c r="H178" s="362">
        <f>(O80/$R80*100*($E80/365))+(O81/$R81*100*($E81/365))</f>
        <v>0</v>
      </c>
      <c r="I178" s="362"/>
      <c r="J178" s="362">
        <f>(P80/$R80*100*($E80/365))+(P81/$R81*100*($E81/365))</f>
        <v>100</v>
      </c>
      <c r="K178" s="362"/>
      <c r="L178" s="362">
        <f>(Q80/$R80*100*($E80/365))+(Q81/$R81*100*($E81/365))</f>
        <v>0</v>
      </c>
      <c r="M178" s="362"/>
      <c r="N178" s="363">
        <f t="shared" si="49"/>
        <v>100</v>
      </c>
      <c r="O178" s="363"/>
      <c r="R178" s="1">
        <v>1995</v>
      </c>
      <c r="S178" s="5">
        <f>(O80*($E80/365))+(O81*($E81/365))</f>
        <v>0</v>
      </c>
      <c r="T178" s="5">
        <f>(P80*($E80/365))+(P81*($E81/365))</f>
        <v>60</v>
      </c>
      <c r="U178" s="5">
        <f>(Q80*($E80/365))+(Q81*($E81/365))</f>
        <v>0</v>
      </c>
      <c r="V178" s="9"/>
      <c r="W178" s="5">
        <f>R80*(E80/365) + R81*(E81/365)</f>
        <v>60</v>
      </c>
      <c r="X178" s="4"/>
    </row>
    <row r="179" spans="1:24" x14ac:dyDescent="0.15">
      <c r="A179" s="1">
        <v>1996</v>
      </c>
      <c r="B179" s="5">
        <f>(K82*($E82/366))+(K83*($E83/366))</f>
        <v>0</v>
      </c>
      <c r="C179" s="5">
        <f>(L82*($E82/366))+(L83*($E83/366))</f>
        <v>100</v>
      </c>
      <c r="D179" s="5">
        <f>(M82*($E82/366))+(M83*($E83/366))</f>
        <v>0</v>
      </c>
      <c r="E179" s="17">
        <f t="shared" si="50"/>
        <v>100</v>
      </c>
      <c r="G179" s="1">
        <v>1996</v>
      </c>
      <c r="H179" s="362">
        <f>(O82/$R82*100*($E82/366))+(O83/$R83*100*($E83/366))</f>
        <v>0</v>
      </c>
      <c r="I179" s="362"/>
      <c r="J179" s="362">
        <f>(P82/$R82*100*($E82/366))+(P83/$R83*100*($E83/366))</f>
        <v>100</v>
      </c>
      <c r="K179" s="362"/>
      <c r="L179" s="362">
        <f>(Q82/$R82*100*($E82/366))+(Q83/$R83*100*($E83/366))</f>
        <v>0</v>
      </c>
      <c r="M179" s="362"/>
      <c r="N179" s="363">
        <f t="shared" si="49"/>
        <v>100</v>
      </c>
      <c r="O179" s="363"/>
      <c r="R179" s="1">
        <v>1996</v>
      </c>
      <c r="S179" s="5">
        <f>(O82*($E82/366))+(O83*($E83/366))</f>
        <v>0</v>
      </c>
      <c r="T179" s="5">
        <f>(P82*($E82/366))+(P83*($E83/366))</f>
        <v>60</v>
      </c>
      <c r="U179" s="5">
        <f>(Q82*($E82/366))+(Q83*($E83/366))</f>
        <v>0</v>
      </c>
      <c r="V179" s="9"/>
      <c r="W179" s="5">
        <f>R82*(E82/366) + R83*(E83/366)</f>
        <v>60</v>
      </c>
      <c r="X179" s="4"/>
    </row>
    <row r="180" spans="1:24" x14ac:dyDescent="0.15">
      <c r="A180" s="1">
        <v>1997</v>
      </c>
      <c r="B180" s="5">
        <f>(K84*($E84/365))+(K85*($E85/365))</f>
        <v>0</v>
      </c>
      <c r="C180" s="5">
        <f>(L84*($E84/365))+(L85*($E85/365))</f>
        <v>100</v>
      </c>
      <c r="D180" s="5">
        <f>(M84*($E84/365))+(M85*($E85/365))</f>
        <v>0</v>
      </c>
      <c r="E180" s="17">
        <f t="shared" si="50"/>
        <v>100</v>
      </c>
      <c r="G180" s="1">
        <v>1997</v>
      </c>
      <c r="H180" s="362">
        <f>(O84/$R84*100*($E84/365))+(O85/$R85*100*($E85/365))</f>
        <v>0</v>
      </c>
      <c r="I180" s="362"/>
      <c r="J180" s="362">
        <f>(P84/$R84*100*($E84/365))+(P85/$R85*100*($E85/365))</f>
        <v>100</v>
      </c>
      <c r="K180" s="362"/>
      <c r="L180" s="362">
        <f>(Q84/$R84*100*($E84/365))+(Q85/$R85*100*($E85/365))</f>
        <v>0</v>
      </c>
      <c r="M180" s="362"/>
      <c r="N180" s="363">
        <f t="shared" si="49"/>
        <v>100</v>
      </c>
      <c r="O180" s="363"/>
      <c r="R180" s="1">
        <v>1997</v>
      </c>
      <c r="S180" s="5">
        <f>(O84*($E84/365))+(O85*($E85/365))</f>
        <v>0</v>
      </c>
      <c r="T180" s="5">
        <f>(P84*($E84/365))+(P85*($E85/365))</f>
        <v>55.249315068493154</v>
      </c>
      <c r="U180" s="5">
        <f>(Q84*($E84/365))+(Q85*($E85/365))</f>
        <v>0</v>
      </c>
      <c r="V180" s="9"/>
      <c r="W180" s="5">
        <f>R84*(E84/365) + R85*(E85/365)</f>
        <v>55.249315068493154</v>
      </c>
      <c r="X180" s="4"/>
    </row>
    <row r="181" spans="1:24" x14ac:dyDescent="0.15">
      <c r="A181" s="1">
        <v>1998</v>
      </c>
      <c r="B181" s="5">
        <f>(K86*($E86/365))+(K87*($E87/365))</f>
        <v>0</v>
      </c>
      <c r="C181" s="5">
        <f>(L86*($E86/365))+(L87*($E87/365))</f>
        <v>100</v>
      </c>
      <c r="D181" s="5">
        <f>(M86*($E86/365))+(M87*($E87/365))</f>
        <v>0</v>
      </c>
      <c r="E181" s="17">
        <f t="shared" si="50"/>
        <v>100</v>
      </c>
      <c r="G181" s="1">
        <v>1998</v>
      </c>
      <c r="H181" s="362">
        <f>(O86/$R86*100*($E86/365))+(O87/$R87*100*($E87/365))</f>
        <v>0</v>
      </c>
      <c r="I181" s="362"/>
      <c r="J181" s="362">
        <f>(P86/$R86*100*($E86/365))+(P87/$R87*100*($E87/365))</f>
        <v>100</v>
      </c>
      <c r="K181" s="362"/>
      <c r="L181" s="362">
        <f>(Q86/$R86*100*($E86/365))+(Q87/$R87*100*($E87/365))</f>
        <v>0</v>
      </c>
      <c r="M181" s="362"/>
      <c r="N181" s="363">
        <f t="shared" si="49"/>
        <v>100</v>
      </c>
      <c r="O181" s="363"/>
      <c r="R181" s="1">
        <v>1998</v>
      </c>
      <c r="S181" s="5">
        <f>(O86*($E86/365))+(O87*($E87/365))</f>
        <v>0</v>
      </c>
      <c r="T181" s="5">
        <f>(P86*($E86/365))+(P87*($E87/365))</f>
        <v>51.5</v>
      </c>
      <c r="U181" s="5">
        <f>(Q86*($E86/365))+(Q87*($E87/365))</f>
        <v>0</v>
      </c>
      <c r="V181" s="9"/>
      <c r="W181" s="5">
        <f>R86*(E86/365) + R87*(E87/365)</f>
        <v>51.5</v>
      </c>
      <c r="X181" s="4"/>
    </row>
    <row r="182" spans="1:24" x14ac:dyDescent="0.15">
      <c r="A182" s="1">
        <v>1999</v>
      </c>
      <c r="B182" s="5">
        <f>(K88*($E88/365))+(K89*($E89/365))</f>
        <v>0</v>
      </c>
      <c r="C182" s="5">
        <f>(L88*($E88/365))+(L89*($E89/365))</f>
        <v>100</v>
      </c>
      <c r="D182" s="5">
        <f>(M88*($E88/365))+(M89*($E89/365))</f>
        <v>0</v>
      </c>
      <c r="E182" s="17">
        <f t="shared" si="50"/>
        <v>100</v>
      </c>
      <c r="G182" s="1">
        <v>1999</v>
      </c>
      <c r="H182" s="362">
        <f>(O88/$R88*100*($E88/365))+(O89/$R89*100*($E89/365))</f>
        <v>0</v>
      </c>
      <c r="I182" s="362"/>
      <c r="J182" s="362">
        <f>(P88/$R88*100*($E88/365))+(P89/$R89*100*($E89/365))</f>
        <v>100</v>
      </c>
      <c r="K182" s="362"/>
      <c r="L182" s="362">
        <f>(Q88/$R88*100*($E88/365))+(Q89/$R89*100*($E89/365))</f>
        <v>0</v>
      </c>
      <c r="M182" s="362"/>
      <c r="N182" s="363">
        <f t="shared" si="49"/>
        <v>100</v>
      </c>
      <c r="O182" s="363"/>
      <c r="R182" s="1">
        <v>1999</v>
      </c>
      <c r="S182" s="5">
        <f>(O88*($E88/365))+(O89*($E89/365))</f>
        <v>0</v>
      </c>
      <c r="T182" s="5">
        <f>(P88*($E88/365))+(P89*($E89/365))</f>
        <v>51.5</v>
      </c>
      <c r="U182" s="5">
        <f>(Q88*($E88/365))+(Q89*($E89/365))</f>
        <v>0</v>
      </c>
      <c r="V182" s="9"/>
      <c r="W182" s="5">
        <f>R88*(E88/365) + R89*(E89/365)</f>
        <v>51.5</v>
      </c>
      <c r="X182" s="4"/>
    </row>
    <row r="183" spans="1:24" x14ac:dyDescent="0.15">
      <c r="A183" s="1">
        <v>2000</v>
      </c>
      <c r="B183" s="5">
        <f>(K90*($E90/366))+(K91*($E91/366))</f>
        <v>0</v>
      </c>
      <c r="C183" s="5">
        <f>(L90*($E90/366))+(L91*($E91/366))</f>
        <v>100</v>
      </c>
      <c r="D183" s="5">
        <f>(M90*($E90/366))+(M91*($E91/366))</f>
        <v>0</v>
      </c>
      <c r="E183" s="17">
        <f t="shared" si="50"/>
        <v>100</v>
      </c>
      <c r="G183" s="1">
        <v>2000</v>
      </c>
      <c r="H183" s="362">
        <f>(O90/$R90*100*($E90/366))+(O91/$R91*100*($E91/366))</f>
        <v>0</v>
      </c>
      <c r="I183" s="362"/>
      <c r="J183" s="362">
        <f>(P90/$R90*100*($E90/366))+(P91/$R91*100*($E91/366))</f>
        <v>100</v>
      </c>
      <c r="K183" s="362"/>
      <c r="L183" s="362">
        <f>(Q90/$R90*100*($E90/366))+(Q91/$R91*100*($E91/366))</f>
        <v>0</v>
      </c>
      <c r="M183" s="362"/>
      <c r="N183" s="363">
        <f t="shared" si="49"/>
        <v>100</v>
      </c>
      <c r="O183" s="363"/>
      <c r="R183" s="1">
        <v>2000</v>
      </c>
      <c r="S183" s="5">
        <f>(O90*($E90/366))+(O91*($E91/366))</f>
        <v>0</v>
      </c>
      <c r="T183" s="5">
        <f>(P90*($E90/366))+(P91*($E91/366))</f>
        <v>52.035519125683059</v>
      </c>
      <c r="U183" s="5">
        <f>(Q90*($E90/366))+(Q91*($E91/366))</f>
        <v>0</v>
      </c>
      <c r="V183" s="9"/>
      <c r="W183" s="5">
        <f>R90*(E90/366) + R91*(E91/366)</f>
        <v>52.035519125683059</v>
      </c>
      <c r="X183" s="4"/>
    </row>
    <row r="184" spans="1:24" x14ac:dyDescent="0.15">
      <c r="A184" s="1">
        <v>2001</v>
      </c>
      <c r="B184" s="5">
        <f>(K92*($E92/365))+(K93*($E93/365))</f>
        <v>0</v>
      </c>
      <c r="C184" s="5">
        <f>(L92*($E92/365))+(L93*($E93/365))</f>
        <v>100</v>
      </c>
      <c r="D184" s="5">
        <f>(M92*($E92/365))+(M93*($E93/365))</f>
        <v>0</v>
      </c>
      <c r="E184" s="17">
        <f t="shared" si="50"/>
        <v>100</v>
      </c>
      <c r="G184" s="1">
        <v>2001</v>
      </c>
      <c r="H184" s="362">
        <f>(O92/$R92*100*($E92/365))+(O93/$R93*100*($E93/365))</f>
        <v>0</v>
      </c>
      <c r="I184" s="362"/>
      <c r="J184" s="362">
        <f>(P92/$R92*100*($E92/365))+(P93/$R93*100*($E93/365))</f>
        <v>100</v>
      </c>
      <c r="K184" s="362"/>
      <c r="L184" s="362">
        <f>(Q92/$R92*100*($E92/365))+(Q93/$R93*100*($E93/365))</f>
        <v>0</v>
      </c>
      <c r="M184" s="362"/>
      <c r="N184" s="363">
        <f t="shared" si="49"/>
        <v>100</v>
      </c>
      <c r="O184" s="363"/>
      <c r="R184" s="1">
        <v>2001</v>
      </c>
      <c r="S184" s="5">
        <f>(O92*($E92/365))+(O93*($E93/365))</f>
        <v>0</v>
      </c>
      <c r="T184" s="5">
        <f>(P92*($E92/365))+(P93*($E93/365))</f>
        <v>57.1</v>
      </c>
      <c r="U184" s="5">
        <f>(Q92*($E92/365))+(Q93*($E93/365))</f>
        <v>0</v>
      </c>
      <c r="V184" s="9"/>
      <c r="W184" s="5">
        <f>R92*(E92/365) + R93*(E93/365)</f>
        <v>57.1</v>
      </c>
      <c r="X184" s="4"/>
    </row>
    <row r="185" spans="1:24" x14ac:dyDescent="0.15">
      <c r="A185" s="1">
        <v>2002</v>
      </c>
      <c r="B185" s="5">
        <f>(K94*($E94/365))+(K95*($E95/365))</f>
        <v>0</v>
      </c>
      <c r="C185" s="5">
        <f>(L94*($E94/365))+(L95*($E95/365))</f>
        <v>100</v>
      </c>
      <c r="D185" s="5">
        <f>(M94*($E94/365))+(M95*($E95/365))</f>
        <v>0</v>
      </c>
      <c r="E185" s="17">
        <f t="shared" si="50"/>
        <v>100</v>
      </c>
      <c r="G185" s="1">
        <v>2002</v>
      </c>
      <c r="H185" s="362">
        <f>(O94/$R94*100*($E94/365))+(O95/$R95*100*($E95/365))</f>
        <v>0</v>
      </c>
      <c r="I185" s="362"/>
      <c r="J185" s="362">
        <f>(P94/$R94*100*($E94/365))+(P95/$R95*100*($E95/365))</f>
        <v>100</v>
      </c>
      <c r="K185" s="362"/>
      <c r="L185" s="362">
        <f>(Q94/$R94*100*($E94/365))+(Q95/$R95*100*($E95/365))</f>
        <v>0</v>
      </c>
      <c r="M185" s="362"/>
      <c r="N185" s="363">
        <f t="shared" si="49"/>
        <v>100</v>
      </c>
      <c r="O185" s="363"/>
      <c r="R185" s="1">
        <v>2002</v>
      </c>
      <c r="S185" s="5">
        <f>(O94*($E94/365))+(O95*($E95/365))</f>
        <v>0</v>
      </c>
      <c r="T185" s="5">
        <f>(P94*($E94/365))+(P95*($E95/365))</f>
        <v>57.1</v>
      </c>
      <c r="U185" s="5">
        <f>(Q94*($E94/365))+(Q95*($E95/365))</f>
        <v>0</v>
      </c>
      <c r="V185" s="9"/>
      <c r="W185" s="5">
        <f>R94*(E94/365) + R95*(E95/365)</f>
        <v>57.1</v>
      </c>
      <c r="X185" s="4"/>
    </row>
    <row r="186" spans="1:24" x14ac:dyDescent="0.15">
      <c r="A186" s="1">
        <v>2003</v>
      </c>
      <c r="B186" s="5">
        <f>(K96*($E96/365))+(K97*($E97/365))</f>
        <v>0</v>
      </c>
      <c r="C186" s="5">
        <f>(L96*($E96/365))+(L97*($E97/365))</f>
        <v>100</v>
      </c>
      <c r="D186" s="5">
        <f>(M96*($E96/365))+(M97*($E97/365))</f>
        <v>0</v>
      </c>
      <c r="E186" s="17">
        <f t="shared" si="50"/>
        <v>100</v>
      </c>
      <c r="G186" s="1">
        <v>2003</v>
      </c>
      <c r="H186" s="362">
        <f>(O96/$R96*100*($E96/365))+(O97/$R97*100*($E97/365))</f>
        <v>0</v>
      </c>
      <c r="I186" s="362"/>
      <c r="J186" s="362">
        <f>(P96/$R96*100*($E96/365))+(P97/$R97*100*($E97/365))</f>
        <v>100</v>
      </c>
      <c r="K186" s="362"/>
      <c r="L186" s="362">
        <f>(Q96/$R96*100*($E96/365))+(Q97/$R97*100*($E97/365))</f>
        <v>0</v>
      </c>
      <c r="M186" s="362"/>
      <c r="N186" s="363">
        <f t="shared" si="49"/>
        <v>100</v>
      </c>
      <c r="O186" s="363"/>
      <c r="R186" s="1">
        <v>2003</v>
      </c>
      <c r="S186" s="5">
        <f>(O96*($E96/365))+(O97*($E97/365))</f>
        <v>0</v>
      </c>
      <c r="T186" s="5">
        <f>(P96*($E96/365))+(P97*($E97/365))</f>
        <v>57.1</v>
      </c>
      <c r="U186" s="5">
        <f>(Q96*($E96/365))+(Q97*($E97/365))</f>
        <v>0</v>
      </c>
      <c r="V186" s="9"/>
      <c r="W186" s="5">
        <f>R96*(E96/365) + R97*(E97/365)</f>
        <v>57.1</v>
      </c>
      <c r="X186" s="4"/>
    </row>
    <row r="187" spans="1:24" x14ac:dyDescent="0.15">
      <c r="A187" s="1">
        <v>2004</v>
      </c>
      <c r="B187" s="5">
        <f>(K98*($E98/366))+(K99*($E99/366))</f>
        <v>0</v>
      </c>
      <c r="C187" s="5">
        <f>(L98*($E98/366))+(L99*($E99/366))</f>
        <v>100</v>
      </c>
      <c r="D187" s="5">
        <f>(M98*($E98/366))+(M99*($E99/366))</f>
        <v>0</v>
      </c>
      <c r="E187" s="17">
        <f t="shared" si="50"/>
        <v>100</v>
      </c>
      <c r="G187" s="1">
        <v>2004</v>
      </c>
      <c r="H187" s="362">
        <f>(O98/$R98*100*($E98/366))+(O99/$R99*100*($E99/366))</f>
        <v>0</v>
      </c>
      <c r="I187" s="362"/>
      <c r="J187" s="362">
        <f>(P98/$R98*100*($E98/366))+(P99/$R99*100*($E99/366))</f>
        <v>100</v>
      </c>
      <c r="K187" s="362"/>
      <c r="L187" s="362">
        <f>(Q98/$R98*100*($E98/366))+(Q99/$R99*100*($E99/366))</f>
        <v>0</v>
      </c>
      <c r="M187" s="362"/>
      <c r="N187" s="363">
        <f t="shared" si="49"/>
        <v>100</v>
      </c>
      <c r="O187" s="363"/>
      <c r="R187" s="1">
        <v>2004</v>
      </c>
      <c r="S187" s="5">
        <f>(O98*($E98/366))+(O99*($E99/366))</f>
        <v>0</v>
      </c>
      <c r="T187" s="5">
        <f>(P98*($E98/366))+(P99*($E99/366))</f>
        <v>51.10409836065574</v>
      </c>
      <c r="U187" s="5">
        <f>(Q98*($E98/366))+(Q99*($E99/366))</f>
        <v>0</v>
      </c>
      <c r="V187" s="9"/>
      <c r="W187" s="5">
        <f>R98*(E98/366) + R99*(E99/366)</f>
        <v>51.10409836065574</v>
      </c>
      <c r="X187" s="4"/>
    </row>
    <row r="188" spans="1:24" x14ac:dyDescent="0.15">
      <c r="A188" s="1">
        <v>2005</v>
      </c>
      <c r="B188" s="5">
        <f>(K100*($E100/365))+(K101*($E101/365))</f>
        <v>0</v>
      </c>
      <c r="C188" s="5">
        <f>(L100*($E100/365))+(L101*($E101/365))</f>
        <v>100</v>
      </c>
      <c r="D188" s="5">
        <f>(M100*($E100/365))+(M101*($E101/365))</f>
        <v>0</v>
      </c>
      <c r="E188" s="17">
        <f t="shared" si="50"/>
        <v>100</v>
      </c>
      <c r="G188" s="1">
        <v>2005</v>
      </c>
      <c r="H188" s="362">
        <f>(O100/$R100*100*($E100/365))+(O101/$R101*100*($E101/365))</f>
        <v>0</v>
      </c>
      <c r="I188" s="362"/>
      <c r="J188" s="362">
        <f>(P100/$R100*100*($E100/365))+(P101/$R101*100*($E101/365))</f>
        <v>100</v>
      </c>
      <c r="K188" s="362"/>
      <c r="L188" s="362">
        <f>(Q100/$R100*100*($E100/365))+(Q101/$R101*100*($E101/365))</f>
        <v>0</v>
      </c>
      <c r="M188" s="362"/>
      <c r="N188" s="363">
        <f t="shared" si="49"/>
        <v>100</v>
      </c>
      <c r="O188" s="363"/>
      <c r="R188" s="1">
        <v>2005</v>
      </c>
      <c r="S188" s="5">
        <f>(O100*($E100/365))+(O101*($E101/365))</f>
        <v>0</v>
      </c>
      <c r="T188" s="5">
        <f>(P100*($E100/365))+(P101*($E101/365))</f>
        <v>43.8</v>
      </c>
      <c r="U188" s="5">
        <f>(Q100*($E100/365))+(Q101*($E101/365))</f>
        <v>0</v>
      </c>
      <c r="V188" s="9"/>
      <c r="W188" s="5">
        <f>R100*(E100/365) + R101*(E101/365)</f>
        <v>43.8</v>
      </c>
      <c r="X188" s="4"/>
    </row>
    <row r="189" spans="1:24" x14ac:dyDescent="0.15">
      <c r="A189" s="1">
        <v>2006</v>
      </c>
      <c r="B189" s="5">
        <f>(K102*($E102/365))+(K103*($E103/365))</f>
        <v>90.136986301369859</v>
      </c>
      <c r="C189" s="5">
        <f>(L102*($E102/365))+(L103*($E103/365))</f>
        <v>9.8630136986301373</v>
      </c>
      <c r="D189" s="5">
        <f>(M102*($E102/365))+(M103*($E103/365))</f>
        <v>0</v>
      </c>
      <c r="E189" s="17">
        <f t="shared" si="50"/>
        <v>100</v>
      </c>
      <c r="G189" s="1">
        <v>2006</v>
      </c>
      <c r="H189" s="362">
        <f>(O102/$R102*100*($E102/365))+(O103/$R103*100*($E103/365))</f>
        <v>90.136986301369859</v>
      </c>
      <c r="I189" s="362"/>
      <c r="J189" s="362">
        <f>(P102/$R102*100*($E102/365))+(P103/$R103*100*($E103/365))</f>
        <v>9.8630136986301373</v>
      </c>
      <c r="K189" s="362"/>
      <c r="L189" s="362">
        <f>(Q102/$R102*100*($E102/365))+(Q103/$R103*100*($E103/365))</f>
        <v>0</v>
      </c>
      <c r="M189" s="362"/>
      <c r="N189" s="363">
        <f t="shared" si="49"/>
        <v>100</v>
      </c>
      <c r="O189" s="363"/>
      <c r="R189" s="1">
        <v>2006</v>
      </c>
      <c r="S189" s="5">
        <f>(O102*($E102/365))+(O103*($E103/365))</f>
        <v>36.325205479452052</v>
      </c>
      <c r="T189" s="5">
        <f>(P102*($E102/365))+(P103*($E103/365))</f>
        <v>4.3199999999999994</v>
      </c>
      <c r="U189" s="5">
        <f>(Q102*($E102/365))+(Q103*($E103/365))</f>
        <v>0</v>
      </c>
      <c r="V189" s="9"/>
      <c r="W189" s="5">
        <f>R102*(E102/365) + R103*(E103/365)</f>
        <v>40.645205479452052</v>
      </c>
      <c r="X189" s="4"/>
    </row>
    <row r="190" spans="1:24" x14ac:dyDescent="0.15">
      <c r="A190" s="1">
        <v>2007</v>
      </c>
      <c r="B190" s="5">
        <f>(K104*($E104/365))+(K105*($E105/365))</f>
        <v>100</v>
      </c>
      <c r="C190" s="5">
        <f>(L104*($E104/365))+(L105*($E105/365))</f>
        <v>0</v>
      </c>
      <c r="D190" s="5">
        <f>(M104*($E104/365))+(M105*($E105/365))</f>
        <v>0</v>
      </c>
      <c r="E190" s="17">
        <f t="shared" si="50"/>
        <v>100</v>
      </c>
      <c r="G190" s="1">
        <v>2007</v>
      </c>
      <c r="H190" s="362">
        <f>(O104/$R104*100*($E104/365))+(O105/$R105*100*($E105/365))</f>
        <v>100</v>
      </c>
      <c r="I190" s="362"/>
      <c r="J190" s="362">
        <f>(P104/$R104*100*($E104/365))+(P105/$R105*100*($E105/365))</f>
        <v>0</v>
      </c>
      <c r="K190" s="362"/>
      <c r="L190" s="362">
        <f>(Q104/$R104*100*($E104/365))+(Q105/$R105*100*($E105/365))</f>
        <v>0</v>
      </c>
      <c r="M190" s="362"/>
      <c r="N190" s="363">
        <f t="shared" si="49"/>
        <v>100</v>
      </c>
      <c r="O190" s="363"/>
      <c r="R190" s="1">
        <v>2007</v>
      </c>
      <c r="S190" s="5">
        <f>(O104*($E104/365))+(O105*($E105/365))</f>
        <v>40.299999999999997</v>
      </c>
      <c r="T190" s="5">
        <f>(P104*($E104/365))+(P105*($E105/365))</f>
        <v>0</v>
      </c>
      <c r="U190" s="5">
        <f>(Q104*($E104/365))+(Q105*($E105/365))</f>
        <v>0</v>
      </c>
      <c r="V190" s="9"/>
      <c r="W190" s="5">
        <f>R104*(E104/365) + R105*(E105/365)</f>
        <v>40.299999999999997</v>
      </c>
      <c r="X190" s="4"/>
    </row>
    <row r="191" spans="1:24" x14ac:dyDescent="0.15">
      <c r="A191" s="1">
        <v>2008</v>
      </c>
      <c r="B191" s="5">
        <f>(K106*($E106/366))+(K107*($E107/366))</f>
        <v>100</v>
      </c>
      <c r="C191" s="5">
        <f>(L106*($E106/366))+(L107*($E107/366))</f>
        <v>0</v>
      </c>
      <c r="D191" s="5">
        <f>(M106*($E106/366))+(M107*($E107/366))</f>
        <v>0</v>
      </c>
      <c r="E191" s="17">
        <f t="shared" si="50"/>
        <v>100</v>
      </c>
      <c r="G191" s="1">
        <v>2008</v>
      </c>
      <c r="H191" s="362">
        <f>(O106/$R106*100*($E106/366))+(O107/$R107*100*($E107/366))</f>
        <v>100</v>
      </c>
      <c r="I191" s="362"/>
      <c r="J191" s="362">
        <f>(P106/$R106*100*($E106/366))+(P107/$R107*100*($E107/366))</f>
        <v>0</v>
      </c>
      <c r="K191" s="362"/>
      <c r="L191" s="362">
        <f>(Q106/$R106*100*($E106/366))+(Q107/$R107*100*($E107/366))</f>
        <v>0</v>
      </c>
      <c r="M191" s="362"/>
      <c r="N191" s="363">
        <f t="shared" si="49"/>
        <v>100</v>
      </c>
      <c r="O191" s="363"/>
      <c r="R191" s="1">
        <v>2008</v>
      </c>
      <c r="S191" s="5">
        <f>(O106*($E106/366))+(O107*($E107/366))</f>
        <v>41.35</v>
      </c>
      <c r="T191" s="5">
        <f>(P106*($E106/366))+(P107*($E107/366))</f>
        <v>0</v>
      </c>
      <c r="U191" s="5">
        <f>(Q106*($E106/366))+(Q107*($E107/366))</f>
        <v>0</v>
      </c>
      <c r="V191" s="9"/>
      <c r="W191" s="5">
        <f>R106*(E106/366) + R107*(E107/366)</f>
        <v>41.35</v>
      </c>
      <c r="X191" s="4"/>
    </row>
    <row r="192" spans="1:24" x14ac:dyDescent="0.15">
      <c r="A192" s="1">
        <v>2009</v>
      </c>
      <c r="B192" s="5">
        <f>(K108*($E108/365))+(K109*($E109/365))</f>
        <v>100</v>
      </c>
      <c r="C192" s="5">
        <f>(L108*($E108/365))+(L109*($E109/365))</f>
        <v>0</v>
      </c>
      <c r="D192" s="5">
        <f>(M108*($E108/365))+(M109*($E109/365))</f>
        <v>0</v>
      </c>
      <c r="E192" s="17">
        <f t="shared" si="50"/>
        <v>100</v>
      </c>
      <c r="G192" s="1">
        <v>2009</v>
      </c>
      <c r="H192" s="362">
        <f>(O108/$R108*100*($E108/365))+(O109/$R109*100*($E109/365))</f>
        <v>100</v>
      </c>
      <c r="I192" s="362"/>
      <c r="J192" s="362">
        <f>(P108/$R108*100*($E108/365))+(P109/$R109*100*($E109/365))</f>
        <v>0</v>
      </c>
      <c r="K192" s="362"/>
      <c r="L192" s="362">
        <f>(Q108/$R108*100*($E108/365))+(Q109/$R109*100*($E109/365))</f>
        <v>0</v>
      </c>
      <c r="M192" s="362"/>
      <c r="N192" s="363">
        <f t="shared" si="49"/>
        <v>100</v>
      </c>
      <c r="O192" s="363"/>
      <c r="R192" s="1">
        <v>2009</v>
      </c>
      <c r="S192" s="5">
        <f>(O108*($E108/365))+(O109*($E109/365))</f>
        <v>46.4</v>
      </c>
      <c r="T192" s="5">
        <f>(P108*($E108/365))+(P109*($E109/365))</f>
        <v>0</v>
      </c>
      <c r="U192" s="5">
        <f>(Q108*($E108/365))+(Q109*($E109/365))</f>
        <v>0</v>
      </c>
      <c r="V192" s="9"/>
      <c r="W192" s="5">
        <f>R108*(E108/365) + R109*(E109/365)</f>
        <v>46.4</v>
      </c>
      <c r="X192" s="4"/>
    </row>
    <row r="193" spans="1:24" x14ac:dyDescent="0.15">
      <c r="A193" s="1">
        <v>2010</v>
      </c>
      <c r="B193" s="5">
        <f>(K110*($E110/365))+(K111*($E111/365))</f>
        <v>100</v>
      </c>
      <c r="C193" s="5">
        <f>(L110*($E110/365))+(L111*($E111/365))</f>
        <v>0</v>
      </c>
      <c r="D193" s="5">
        <f>(M110*($E110/365))+(M111*($E111/365))</f>
        <v>0</v>
      </c>
      <c r="E193" s="17">
        <f t="shared" si="50"/>
        <v>100</v>
      </c>
      <c r="G193" s="1">
        <v>2010</v>
      </c>
      <c r="H193" s="362">
        <f>(O110/$R110*100*($E110/365))+(O111/$R111*100*($E111/365))</f>
        <v>100</v>
      </c>
      <c r="I193" s="362"/>
      <c r="J193" s="362">
        <f>(P110/$R110*100*($E110/365))+(P111/$R111*100*($E111/365))</f>
        <v>0</v>
      </c>
      <c r="K193" s="362"/>
      <c r="L193" s="362">
        <f>(Q110/$R110*100*($E110/365))+(Q111/$R111*100*($E111/365))</f>
        <v>0</v>
      </c>
      <c r="M193" s="362"/>
      <c r="N193" s="363">
        <f t="shared" si="49"/>
        <v>100</v>
      </c>
      <c r="O193" s="363"/>
      <c r="R193" s="1">
        <v>2010</v>
      </c>
      <c r="S193" s="5">
        <f>(O110*($E110/365))+(O111*($E111/365))</f>
        <v>46.4</v>
      </c>
      <c r="T193" s="5">
        <f>(P110*($E110/365))+(P111*($E111/365))</f>
        <v>0</v>
      </c>
      <c r="U193" s="5">
        <f>(Q110*($E110/365))+(Q111*($E111/365))</f>
        <v>0</v>
      </c>
      <c r="V193" s="9"/>
      <c r="W193" s="5">
        <f>R110*(E110/365) + R111*(E111/365)</f>
        <v>46.4</v>
      </c>
      <c r="X193" s="4"/>
    </row>
    <row r="194" spans="1:24" x14ac:dyDescent="0.15">
      <c r="A194" s="1">
        <v>2011</v>
      </c>
      <c r="B194" s="5">
        <f>(K112*($E112/365))+(K113*($E113/365))</f>
        <v>100</v>
      </c>
      <c r="C194" s="5">
        <f>(L112*($E112/365))+(L113*($E113/365))</f>
        <v>0</v>
      </c>
      <c r="D194" s="5">
        <f>(M112*($E112/365))+(M113*($E113/365))</f>
        <v>0</v>
      </c>
      <c r="E194" s="17">
        <f t="shared" si="50"/>
        <v>100</v>
      </c>
      <c r="G194" s="1">
        <v>2011</v>
      </c>
      <c r="H194" s="362">
        <f>(O112/$R112*100*($E112/365))+(O113/$R113*100*($E113/365))</f>
        <v>100</v>
      </c>
      <c r="I194" s="362"/>
      <c r="J194" s="362">
        <f>(P112/$R112*100*($E112/365))+(P113/$R113*100*($E113/365))</f>
        <v>0</v>
      </c>
      <c r="K194" s="362"/>
      <c r="L194" s="362">
        <f>(Q112/$R112*100*($E112/365))+(Q113/$R113*100*($E113/365))</f>
        <v>0</v>
      </c>
      <c r="M194" s="362"/>
      <c r="N194" s="363">
        <f t="shared" si="49"/>
        <v>100</v>
      </c>
      <c r="O194" s="363"/>
      <c r="R194" s="1">
        <v>2011</v>
      </c>
      <c r="S194" s="5">
        <f>(O112*($E112/365))+(O113*($E113/365))</f>
        <v>51.084931506849315</v>
      </c>
      <c r="T194" s="5">
        <f>(P112*($E112/365))+(P113*($E113/365))</f>
        <v>0</v>
      </c>
      <c r="U194" s="5">
        <f>(Q112*($E112/365))+(Q113*($E113/365))</f>
        <v>0</v>
      </c>
      <c r="V194" s="9"/>
      <c r="W194" s="5">
        <f>R112*(E112/365) + R113*(E113/365)</f>
        <v>51.084931506849315</v>
      </c>
      <c r="X194" s="4"/>
    </row>
    <row r="195" spans="1:24" x14ac:dyDescent="0.15">
      <c r="A195" s="1">
        <v>2012</v>
      </c>
      <c r="B195" s="5">
        <f>(K114*($E114/366))+(K115*($E115/366))</f>
        <v>100</v>
      </c>
      <c r="C195" s="5">
        <f>(L114*($E114/366))+(L115*($E115/366))</f>
        <v>0</v>
      </c>
      <c r="D195" s="5">
        <f>(M114*($E114/366))+(M115*($E115/366))</f>
        <v>0</v>
      </c>
      <c r="E195" s="17">
        <f t="shared" si="50"/>
        <v>100</v>
      </c>
      <c r="G195" s="1">
        <v>2012</v>
      </c>
      <c r="H195" s="362">
        <f>(O114/$R114*100*($E114/366))+(O115/$R115*100*($E115/366))</f>
        <v>100</v>
      </c>
      <c r="I195" s="362"/>
      <c r="J195" s="362">
        <f>(P114/$R114*100*($E114/366))+(P115/$R115*100*($E115/366))</f>
        <v>0</v>
      </c>
      <c r="K195" s="362"/>
      <c r="L195" s="362">
        <f>(Q114/$R114*100*($E114/366))+(Q115/$R115*100*($E115/366))</f>
        <v>0</v>
      </c>
      <c r="M195" s="362"/>
      <c r="N195" s="363">
        <f t="shared" si="49"/>
        <v>100</v>
      </c>
      <c r="O195" s="363"/>
      <c r="R195" s="1">
        <v>2012</v>
      </c>
      <c r="S195" s="5">
        <f>(O114*($E114/366))+(O115*($E115/366))</f>
        <v>53.9</v>
      </c>
      <c r="T195" s="5">
        <f>(P114*($E114/366))+(P115*($E115/366))</f>
        <v>0</v>
      </c>
      <c r="U195" s="5">
        <f>(Q114*($E114/366))+(Q115*($E115/366))</f>
        <v>0</v>
      </c>
      <c r="V195" s="9"/>
      <c r="W195" s="5">
        <f>R114*(E114/366) + R115*(E115/366)</f>
        <v>53.9</v>
      </c>
      <c r="X195" s="4"/>
    </row>
    <row r="196" spans="1:24" x14ac:dyDescent="0.15">
      <c r="A196" s="1">
        <v>2013</v>
      </c>
      <c r="B196" s="5">
        <f>(K116*($E116/365))+(K117*($E117/365))</f>
        <v>100</v>
      </c>
      <c r="C196" s="5">
        <f>(L116*($E116/365))+(L117*($E117/365))</f>
        <v>0</v>
      </c>
      <c r="D196" s="5">
        <f>(M116*($E116/365))+(M117*($E117/365))</f>
        <v>0</v>
      </c>
      <c r="E196" s="17">
        <f t="shared" si="50"/>
        <v>100</v>
      </c>
      <c r="G196" s="1">
        <v>2013</v>
      </c>
      <c r="H196" s="362">
        <f>(O116/$R116*100*($E116/365))+(O117/$R117*100*($E117/365))</f>
        <v>100</v>
      </c>
      <c r="I196" s="362"/>
      <c r="J196" s="362">
        <f>(P116/$R116*100*($E116/365))+(P117/$R117*100*($E117/365))</f>
        <v>0</v>
      </c>
      <c r="K196" s="362"/>
      <c r="L196" s="362">
        <f>(Q116/$R116*100*($E116/365))+(Q117/$R117*100*($E117/365))</f>
        <v>0</v>
      </c>
      <c r="M196" s="362"/>
      <c r="N196" s="363">
        <f t="shared" ref="N196:N201" si="51">SUM(H196:M196)</f>
        <v>100</v>
      </c>
      <c r="O196" s="363"/>
      <c r="R196" s="1">
        <v>2013</v>
      </c>
      <c r="S196" s="5">
        <f>(O116*($E116/365))+(O117*($E117/365))</f>
        <v>53.9</v>
      </c>
      <c r="T196" s="5">
        <f>(P116*($E116/365))+(P117*($E117/365))</f>
        <v>0</v>
      </c>
      <c r="U196" s="5">
        <f>(Q116*($E116/365))+(Q117*($E117/365))</f>
        <v>0</v>
      </c>
      <c r="W196" s="5">
        <f>R116*(E116/365) + R117*(E117/365)</f>
        <v>53.9</v>
      </c>
    </row>
    <row r="197" spans="1:24" x14ac:dyDescent="0.15">
      <c r="A197" s="1">
        <v>2014</v>
      </c>
      <c r="B197" s="5">
        <f>(K118*($E118/365))+(K119*($E119/365))</f>
        <v>100</v>
      </c>
      <c r="C197" s="5">
        <f>(L118*($E118/365))+(L119*($E119/365))</f>
        <v>0</v>
      </c>
      <c r="D197" s="5">
        <f>(M118*($E118/365))+(M119*($E119/365))</f>
        <v>0</v>
      </c>
      <c r="E197" s="17">
        <f t="shared" si="50"/>
        <v>100</v>
      </c>
      <c r="G197" s="1">
        <v>2014</v>
      </c>
      <c r="H197" s="362">
        <f>(O118/$R118*100*($E118/365))+(O119/$R119*100*($E119/365))</f>
        <v>100</v>
      </c>
      <c r="I197" s="362"/>
      <c r="J197" s="362">
        <f>(P118/$R118*100*($E118/365))+(P119/$R119*100*($E119/365))</f>
        <v>0</v>
      </c>
      <c r="K197" s="362"/>
      <c r="L197" s="362">
        <f>(Q118/$R118*100*($E118/365))+(Q119/$R119*100*($E119/365))</f>
        <v>0</v>
      </c>
      <c r="M197" s="362"/>
      <c r="N197" s="363">
        <f t="shared" si="51"/>
        <v>100</v>
      </c>
      <c r="O197" s="363"/>
      <c r="R197" s="1">
        <v>2014</v>
      </c>
      <c r="S197" s="5">
        <f>(O118*($E118/365))+(O119*($E119/365))</f>
        <v>53.9</v>
      </c>
      <c r="T197" s="5">
        <f>(P118*($E118/365))+(P119*($E119/365))</f>
        <v>0</v>
      </c>
      <c r="U197" s="5">
        <f>(Q118*($E118/365))+(Q119*($E119/365))</f>
        <v>0</v>
      </c>
      <c r="W197" s="5">
        <f>R118*(E118/365) + R119*(E119/365)</f>
        <v>53.9</v>
      </c>
    </row>
    <row r="198" spans="1:24" x14ac:dyDescent="0.15">
      <c r="A198" s="1">
        <v>2015</v>
      </c>
      <c r="B198" s="5">
        <f>(K120*($E120/365))+(K121*($E121/365))</f>
        <v>84.109589041095887</v>
      </c>
      <c r="C198" s="5">
        <f>(L120*($E120/365))+(L121*($E121/365))</f>
        <v>15.890410958904111</v>
      </c>
      <c r="D198" s="5">
        <f>(M120*($E120/365))+(M121*($E121/365))</f>
        <v>0</v>
      </c>
      <c r="E198" s="17">
        <f>SUM(B198:D198)</f>
        <v>100</v>
      </c>
      <c r="G198" s="1">
        <v>2015</v>
      </c>
      <c r="H198" s="362">
        <f>(O120/$R120*100*($E120/365))+(O121/$R121*100*($E121/365))</f>
        <v>84.109589041095887</v>
      </c>
      <c r="I198" s="362"/>
      <c r="J198" s="362">
        <f>(P120/$R120*100*($E120/365))+(P121/$R121*100*($E121/365))</f>
        <v>15.890410958904111</v>
      </c>
      <c r="K198" s="362"/>
      <c r="L198" s="362">
        <f>(Q120/$R120*100*($E120/365))+(Q121/$R121*100*($E121/365))</f>
        <v>0</v>
      </c>
      <c r="M198" s="362"/>
      <c r="N198" s="363">
        <f t="shared" si="51"/>
        <v>100</v>
      </c>
      <c r="O198" s="363"/>
      <c r="R198" s="1">
        <v>2015</v>
      </c>
      <c r="S198" s="5">
        <f>(O120*($E120/365))+(O121*($E121/365))</f>
        <v>45.335068493150686</v>
      </c>
      <c r="T198" s="5">
        <f>(P120*($E120/365))+(P121*($E121/365))</f>
        <v>8.6443835616438367</v>
      </c>
      <c r="U198" s="5">
        <f>(Q120*($E120/365))+(Q121*($E121/365))</f>
        <v>0</v>
      </c>
      <c r="W198" s="5">
        <f>R120*(E120/365) + R121*(E121/365)</f>
        <v>53.979452054794521</v>
      </c>
    </row>
    <row r="199" spans="1:24" x14ac:dyDescent="0.15">
      <c r="A199" s="1">
        <v>2016</v>
      </c>
      <c r="B199" s="5">
        <f>(K122*($E122/366))+(K123*($E123/366))</f>
        <v>0</v>
      </c>
      <c r="C199" s="5">
        <f>(L122*($E122/366))+(L123*($E123/366))</f>
        <v>100</v>
      </c>
      <c r="D199" s="5">
        <f>(M122*($E122/366))+(M123*($E123/366))</f>
        <v>0</v>
      </c>
      <c r="E199" s="17">
        <f>SUM(B199:D199)</f>
        <v>100</v>
      </c>
      <c r="G199" s="1">
        <v>2016</v>
      </c>
      <c r="H199" s="362">
        <f>(O122/$R122*100*($E122/366))+(O123/$R123*100*($E123/366))</f>
        <v>0</v>
      </c>
      <c r="I199" s="362"/>
      <c r="J199" s="362">
        <f>(P122/$R122*100*($E122/366))+(P123/$R123*100*($E123/366))</f>
        <v>100</v>
      </c>
      <c r="K199" s="362"/>
      <c r="L199" s="362">
        <f>(Q122/$R122*100*($E122/366))+(Q123/$R123*100*($E123/366))</f>
        <v>0</v>
      </c>
      <c r="M199" s="362"/>
      <c r="N199" s="363">
        <f t="shared" si="51"/>
        <v>100</v>
      </c>
      <c r="O199" s="363"/>
      <c r="R199" s="1">
        <v>2016</v>
      </c>
      <c r="S199" s="5">
        <f>(O122*($E122/366))+(O123*($E123/366))</f>
        <v>0</v>
      </c>
      <c r="T199" s="5">
        <f>(P122*($E122/366))+(P123*($E123/366))</f>
        <v>54.4</v>
      </c>
      <c r="U199" s="5">
        <f>(Q122*($E122/366))+(Q123*($E123/366))</f>
        <v>0</v>
      </c>
      <c r="W199" s="5">
        <f>R122*(E122/366) + R123*(E123/366)</f>
        <v>54.4</v>
      </c>
    </row>
    <row r="200" spans="1:24" x14ac:dyDescent="0.15">
      <c r="A200" s="1">
        <v>2017</v>
      </c>
      <c r="B200" s="5">
        <f>(K124*($E124/365))+(K125*($E125/365))</f>
        <v>0</v>
      </c>
      <c r="C200" s="5">
        <f>(L124*($E124/365))+(L125*($E125/365))</f>
        <v>100</v>
      </c>
      <c r="D200" s="5">
        <f>(M124*($E124/365))+(M125*($E125/365))</f>
        <v>0</v>
      </c>
      <c r="E200" s="17">
        <f>SUM(B200:D200)</f>
        <v>100</v>
      </c>
      <c r="G200" s="1">
        <v>2017</v>
      </c>
      <c r="H200" s="362">
        <f>(O124/$R124*100*($E124/365))+(O125/$R125*100*($E125/365))</f>
        <v>0</v>
      </c>
      <c r="I200" s="362"/>
      <c r="J200" s="362">
        <f>(P124/$R124*100*($E124/365))+(P125/$R125*100*($E125/365))</f>
        <v>100</v>
      </c>
      <c r="K200" s="362"/>
      <c r="L200" s="362">
        <f>(Q124/$R124*100*($E124/365))+(Q125/$R125*100*($E125/365))</f>
        <v>0</v>
      </c>
      <c r="M200" s="362"/>
      <c r="N200" s="363">
        <f t="shared" si="51"/>
        <v>100</v>
      </c>
      <c r="O200" s="363"/>
      <c r="R200" s="1">
        <v>2017</v>
      </c>
      <c r="S200" s="5">
        <f>(O124*($E124/365))+(O125*($E125/365))</f>
        <v>0</v>
      </c>
      <c r="T200" s="5">
        <f>(P124*($E124/365))+(P125*($E125/365))</f>
        <v>54.399999999999991</v>
      </c>
      <c r="U200" s="5">
        <f>(Q124*($E124/365))+(Q125*($E125/365))</f>
        <v>0</v>
      </c>
      <c r="W200" s="5">
        <f>R124*(E124/365) + R125*(E125/365)</f>
        <v>54.399999999999991</v>
      </c>
    </row>
    <row r="201" spans="1:24" x14ac:dyDescent="0.15">
      <c r="A201" s="1">
        <v>2018</v>
      </c>
      <c r="B201" s="5">
        <f>(K126*($E126/365))+(K127*($E127/365))</f>
        <v>0</v>
      </c>
      <c r="C201" s="5">
        <f>(L126*($E126/365))+(L127*($E127/365))</f>
        <v>100</v>
      </c>
      <c r="D201" s="5">
        <f>(M126*($E126/365))+(M127*($E127/365))</f>
        <v>0</v>
      </c>
      <c r="E201" s="17">
        <f>SUM(B201:D201)</f>
        <v>100</v>
      </c>
      <c r="G201" s="1">
        <v>2018</v>
      </c>
      <c r="H201" s="362">
        <f>(O126/$R126*100*($E126/365))+(O127/$R127*100*($E127/365))</f>
        <v>0</v>
      </c>
      <c r="I201" s="362"/>
      <c r="J201" s="362">
        <f>(P126/$R126*100*($E126/365))+(P127/$R127*100*($E127/365))</f>
        <v>100</v>
      </c>
      <c r="K201" s="362"/>
      <c r="L201" s="362">
        <f>(Q126/$R126*100*($E126/365))+(Q127/$R127*100*($E127/365))</f>
        <v>0</v>
      </c>
      <c r="M201" s="362"/>
      <c r="N201" s="363">
        <f t="shared" si="51"/>
        <v>100</v>
      </c>
      <c r="O201" s="363"/>
      <c r="R201" s="1">
        <v>2018</v>
      </c>
      <c r="S201" s="5">
        <f>(O126*($E126/365))+(O127*($E127/365))</f>
        <v>0</v>
      </c>
      <c r="T201" s="5">
        <f>(P126*($E126/365))+(P127*($E127/365))</f>
        <v>54.4</v>
      </c>
      <c r="U201" s="5">
        <f>(Q126*($E126/365))+(Q127*($E127/365))</f>
        <v>0</v>
      </c>
      <c r="W201" s="5">
        <f>R126*(E126/365) + R127*(E127/365)</f>
        <v>54.4</v>
      </c>
    </row>
    <row r="202" spans="1:24" x14ac:dyDescent="0.15">
      <c r="A202" s="1">
        <v>2019</v>
      </c>
      <c r="B202" s="5">
        <f>(K128*($E128/365))+(K129*($E129/365))</f>
        <v>0</v>
      </c>
      <c r="C202" s="5">
        <f>(L128*($E128/365))+(L129*($E129/365))</f>
        <v>100</v>
      </c>
      <c r="D202" s="5">
        <f>(M128*($E128/365))+(M129*($E129/365))</f>
        <v>0</v>
      </c>
      <c r="E202" s="17">
        <f>SUM(B202:D202)</f>
        <v>100</v>
      </c>
      <c r="G202" s="1">
        <v>2019</v>
      </c>
      <c r="H202" s="362">
        <f>(O128/$R128*100*($E128/365))+(O129/$R129*100*($E129/365))</f>
        <v>0</v>
      </c>
      <c r="I202" s="362"/>
      <c r="J202" s="362">
        <f>(P128/$R128*100*($E128/365))+(P129/$R129*100*($E129/365))</f>
        <v>100</v>
      </c>
      <c r="K202" s="362"/>
      <c r="L202" s="362">
        <f>(Q128/$R128*100*($E128/365))+(Q129/$R129*100*($E129/365))</f>
        <v>0</v>
      </c>
      <c r="M202" s="362"/>
      <c r="N202" s="363">
        <f t="shared" ref="N202" si="52">SUM(H202:M202)</f>
        <v>100</v>
      </c>
      <c r="O202" s="363"/>
      <c r="R202" s="1">
        <v>2019</v>
      </c>
      <c r="S202" s="5">
        <f>(O128*($E128/365))+(O129*($E129/365))</f>
        <v>0</v>
      </c>
      <c r="T202" s="5">
        <f>(P128*($E128/365))+(P129*($E129/365))</f>
        <v>53.479452054794521</v>
      </c>
      <c r="U202" s="5">
        <f>(Q128*($E128/365))+(Q129*($E129/365))</f>
        <v>0</v>
      </c>
      <c r="W202" s="5">
        <f>R128*(E128/365) + R129*(E129/365)</f>
        <v>53.479452054794521</v>
      </c>
    </row>
    <row r="203" spans="1:24" x14ac:dyDescent="0.15">
      <c r="A203" s="1">
        <v>2020</v>
      </c>
      <c r="B203" s="5">
        <f>(K130*($E130/366))+(K131*($E131/366))</f>
        <v>0</v>
      </c>
      <c r="C203" s="5">
        <f>(L130*($E130/366))+(L131*($E131/366))</f>
        <v>100</v>
      </c>
      <c r="D203" s="5">
        <f>(M130*($E130/366))+(M131*($E131/366))</f>
        <v>0</v>
      </c>
      <c r="E203" s="17">
        <f t="shared" ref="E203" si="53">SUM(B203:D203)</f>
        <v>100</v>
      </c>
      <c r="G203" s="1">
        <v>2020</v>
      </c>
      <c r="H203" s="362">
        <f>(O130/$R130*100*($E130/366))+(O131/$R131*100*($E131/366))</f>
        <v>0</v>
      </c>
      <c r="I203" s="362"/>
      <c r="J203" s="362">
        <f>(P130/$R130*100*($E130/366))+(P131/$R131*100*($E131/366))</f>
        <v>100</v>
      </c>
      <c r="K203" s="362"/>
      <c r="L203" s="362">
        <f>(Q130/$R130*100*($E130/366))+(Q131/$R131*100*($E131/366))</f>
        <v>0</v>
      </c>
      <c r="M203" s="362"/>
      <c r="N203" s="363">
        <f t="shared" ref="N203" si="54">SUM(H203:M203)</f>
        <v>100</v>
      </c>
      <c r="O203" s="363"/>
      <c r="R203" s="1">
        <v>2020</v>
      </c>
      <c r="S203" s="5">
        <f>(O130*($E130/366))+(O131*($E131/366))</f>
        <v>0</v>
      </c>
      <c r="T203" s="5">
        <f>(P130*($E130/366))+(P131*($E131/366))</f>
        <v>46.4</v>
      </c>
      <c r="U203" s="5">
        <f>(Q130*($E130/366))+(Q131*($E131/366))</f>
        <v>0</v>
      </c>
      <c r="W203" s="5">
        <f>R130*(E130/366) + R131*(E131/366)</f>
        <v>46.4</v>
      </c>
    </row>
    <row r="204" spans="1:24" x14ac:dyDescent="0.15">
      <c r="A204" s="1">
        <v>2021</v>
      </c>
      <c r="B204" s="5">
        <f>(K132*($E132/365))+(K133*($E133/365))</f>
        <v>0</v>
      </c>
      <c r="C204" s="5">
        <f>(L132*($E132/365))+(L133*($E133/365))</f>
        <v>100</v>
      </c>
      <c r="D204" s="5">
        <f>(M132*($E132/365))+(M133*($E133/365))</f>
        <v>0</v>
      </c>
      <c r="E204" s="17">
        <f>SUM(B204:D204)</f>
        <v>100</v>
      </c>
      <c r="G204" s="1">
        <v>2021</v>
      </c>
      <c r="H204" s="362">
        <f>(O132/$R132*100*($E132/365))+(O133/$R133*100*($E133/365))</f>
        <v>0</v>
      </c>
      <c r="I204" s="362"/>
      <c r="J204" s="362">
        <f>(P132/$R132*100*($E132/365))+(P133/$R133*100*($E133/365))</f>
        <v>100</v>
      </c>
      <c r="K204" s="362"/>
      <c r="L204" s="362">
        <f>(Q132/$R132*100*($E132/365))+(Q133/$R133*100*($E133/365))</f>
        <v>0</v>
      </c>
      <c r="M204" s="362"/>
      <c r="N204" s="363">
        <f>SUM(H204:M204)</f>
        <v>100</v>
      </c>
      <c r="O204" s="363"/>
      <c r="R204" s="1">
        <v>2021</v>
      </c>
      <c r="S204" s="5">
        <f>(O132*($E132/365))+(O133*($E133/365))</f>
        <v>0</v>
      </c>
      <c r="T204" s="5">
        <f>(P132*($E132/365))+(P133*($E133/365))</f>
        <v>46.30821917808219</v>
      </c>
      <c r="U204" s="5">
        <f>(Q132*($E132/365))+(Q133*($E133/365))</f>
        <v>0</v>
      </c>
      <c r="W204" s="5">
        <f>R132*(E132/365) + R133*(E133/365)</f>
        <v>46.30821917808219</v>
      </c>
    </row>
    <row r="205" spans="1:24" x14ac:dyDescent="0.15">
      <c r="A205" s="1">
        <v>2022</v>
      </c>
      <c r="B205" s="5">
        <f>(K134*($E134/365))+(K135*($E135/365))</f>
        <v>0</v>
      </c>
      <c r="C205" s="5">
        <f>(L134*($E134/365))+(L135*($E135/365))</f>
        <v>100</v>
      </c>
      <c r="D205" s="5">
        <f>(M134*($E134/365))+(M135*($E135/365))</f>
        <v>0</v>
      </c>
      <c r="E205" s="17">
        <f>SUM(B205:D205)</f>
        <v>100</v>
      </c>
      <c r="G205" s="1">
        <v>2022</v>
      </c>
      <c r="H205" s="362">
        <f>(O135/$R135*100*($E135/365))+(O134/$R134*100*($E134/365))</f>
        <v>0</v>
      </c>
      <c r="I205" s="362"/>
      <c r="J205" s="362">
        <f>(P135/$R135*100*($E135/365))+(P134/$R134*100*($E134/365))</f>
        <v>100</v>
      </c>
      <c r="K205" s="362"/>
      <c r="L205" s="362">
        <f>(Q135/$R135*100*($E135/365))+(Q134/$R134*100*($E134/365))</f>
        <v>0</v>
      </c>
      <c r="M205" s="362"/>
      <c r="N205" s="363">
        <f>SUM(H205:M205)</f>
        <v>100</v>
      </c>
      <c r="O205" s="363"/>
      <c r="R205" s="1">
        <v>2022</v>
      </c>
      <c r="S205" s="5">
        <f>(O135*($E135/365))+(O134*($E134/365))</f>
        <v>0</v>
      </c>
      <c r="T205" s="5">
        <f>(P135*($E135/365))+(P134*($E134/365))</f>
        <v>45.9</v>
      </c>
      <c r="U205" s="5">
        <f>(Q135*($E135/365))+(Q134*($E134/365))</f>
        <v>0</v>
      </c>
      <c r="W205" s="5">
        <f>R135*(E135/365) + R134*(E134/365)</f>
        <v>45.9</v>
      </c>
    </row>
  </sheetData>
  <mergeCells count="412">
    <mergeCell ref="H204:I204"/>
    <mergeCell ref="J204:K204"/>
    <mergeCell ref="L204:M204"/>
    <mergeCell ref="N204:O204"/>
    <mergeCell ref="C128:D128"/>
    <mergeCell ref="C129:D129"/>
    <mergeCell ref="AT4:AW4"/>
    <mergeCell ref="H144:I144"/>
    <mergeCell ref="H145:I145"/>
    <mergeCell ref="H146:I146"/>
    <mergeCell ref="H147:I147"/>
    <mergeCell ref="H143:I143"/>
    <mergeCell ref="J143:K143"/>
    <mergeCell ref="H152:I152"/>
    <mergeCell ref="J149:K149"/>
    <mergeCell ref="J150:K150"/>
    <mergeCell ref="J151:K151"/>
    <mergeCell ref="J152:K152"/>
    <mergeCell ref="J144:K144"/>
    <mergeCell ref="J145:K145"/>
    <mergeCell ref="J146:K146"/>
    <mergeCell ref="J148:K148"/>
    <mergeCell ref="N195:O195"/>
    <mergeCell ref="N186:O186"/>
    <mergeCell ref="AX4:BA4"/>
    <mergeCell ref="L191:M191"/>
    <mergeCell ref="L192:M192"/>
    <mergeCell ref="L193:M193"/>
    <mergeCell ref="L194:M194"/>
    <mergeCell ref="N183:O183"/>
    <mergeCell ref="N184:O184"/>
    <mergeCell ref="N185:O185"/>
    <mergeCell ref="N177:O177"/>
    <mergeCell ref="N180:O180"/>
    <mergeCell ref="N181:O181"/>
    <mergeCell ref="N178:O178"/>
    <mergeCell ref="N179:O179"/>
    <mergeCell ref="N182:O182"/>
    <mergeCell ref="N171:O171"/>
    <mergeCell ref="N174:O174"/>
    <mergeCell ref="N175:O175"/>
    <mergeCell ref="N172:O172"/>
    <mergeCell ref="N173:O173"/>
    <mergeCell ref="N176:O176"/>
    <mergeCell ref="N165:O165"/>
    <mergeCell ref="L143:M143"/>
    <mergeCell ref="L150:M150"/>
    <mergeCell ref="N144:O144"/>
    <mergeCell ref="N187:O187"/>
    <mergeCell ref="N188:O188"/>
    <mergeCell ref="N189:O189"/>
    <mergeCell ref="N190:O190"/>
    <mergeCell ref="N191:O191"/>
    <mergeCell ref="N192:O192"/>
    <mergeCell ref="N193:O193"/>
    <mergeCell ref="N194:O194"/>
    <mergeCell ref="N152:O152"/>
    <mergeCell ref="N166:O166"/>
    <mergeCell ref="N167:O167"/>
    <mergeCell ref="N170:O170"/>
    <mergeCell ref="N159:O159"/>
    <mergeCell ref="N162:O162"/>
    <mergeCell ref="N163:O163"/>
    <mergeCell ref="N160:O160"/>
    <mergeCell ref="N161:O161"/>
    <mergeCell ref="N164:O164"/>
    <mergeCell ref="N168:O168"/>
    <mergeCell ref="N169:O169"/>
    <mergeCell ref="J153:K153"/>
    <mergeCell ref="J154:K154"/>
    <mergeCell ref="J155:K155"/>
    <mergeCell ref="J156:K156"/>
    <mergeCell ref="H161:I161"/>
    <mergeCell ref="H162:I162"/>
    <mergeCell ref="N147:O147"/>
    <mergeCell ref="N148:O148"/>
    <mergeCell ref="N151:O151"/>
    <mergeCell ref="N149:O149"/>
    <mergeCell ref="N150:O150"/>
    <mergeCell ref="H158:I158"/>
    <mergeCell ref="H159:I159"/>
    <mergeCell ref="H160:I160"/>
    <mergeCell ref="H156:I156"/>
    <mergeCell ref="H157:I157"/>
    <mergeCell ref="H148:I148"/>
    <mergeCell ref="H149:I149"/>
    <mergeCell ref="H150:I150"/>
    <mergeCell ref="H151:I151"/>
    <mergeCell ref="H153:I153"/>
    <mergeCell ref="H154:I154"/>
    <mergeCell ref="H155:I155"/>
    <mergeCell ref="J147:K147"/>
    <mergeCell ref="G3:M3"/>
    <mergeCell ref="O3:Q3"/>
    <mergeCell ref="L175:M175"/>
    <mergeCell ref="L176:M176"/>
    <mergeCell ref="L141:M141"/>
    <mergeCell ref="N141:O141"/>
    <mergeCell ref="L166:M166"/>
    <mergeCell ref="L167:M167"/>
    <mergeCell ref="L168:M168"/>
    <mergeCell ref="L162:M162"/>
    <mergeCell ref="H142:I142"/>
    <mergeCell ref="J142:K142"/>
    <mergeCell ref="L158:M158"/>
    <mergeCell ref="L144:M144"/>
    <mergeCell ref="L145:M145"/>
    <mergeCell ref="L146:M146"/>
    <mergeCell ref="L147:M147"/>
    <mergeCell ref="L148:M148"/>
    <mergeCell ref="L149:M149"/>
    <mergeCell ref="L151:M151"/>
    <mergeCell ref="L152:M152"/>
    <mergeCell ref="L172:M172"/>
    <mergeCell ref="L173:M173"/>
    <mergeCell ref="L163:M163"/>
    <mergeCell ref="A4:A5"/>
    <mergeCell ref="B4:B5"/>
    <mergeCell ref="C4:D5"/>
    <mergeCell ref="E4:E5"/>
    <mergeCell ref="L170:M170"/>
    <mergeCell ref="L169:M169"/>
    <mergeCell ref="L159:M159"/>
    <mergeCell ref="L160:M160"/>
    <mergeCell ref="L161:M161"/>
    <mergeCell ref="G4:J4"/>
    <mergeCell ref="C11:D11"/>
    <mergeCell ref="C12:D12"/>
    <mergeCell ref="C6:D6"/>
    <mergeCell ref="F4:F5"/>
    <mergeCell ref="C7:D7"/>
    <mergeCell ref="C9:D9"/>
    <mergeCell ref="C19:D19"/>
    <mergeCell ref="C20:D20"/>
    <mergeCell ref="C14:D14"/>
    <mergeCell ref="C15:D15"/>
    <mergeCell ref="C16:D16"/>
    <mergeCell ref="C17:D17"/>
    <mergeCell ref="C18:D18"/>
    <mergeCell ref="L156:M156"/>
    <mergeCell ref="R139:W139"/>
    <mergeCell ref="L185:M185"/>
    <mergeCell ref="L174:M174"/>
    <mergeCell ref="L177:M177"/>
    <mergeCell ref="T4:T5"/>
    <mergeCell ref="Z4:AC4"/>
    <mergeCell ref="AD4:AG4"/>
    <mergeCell ref="L142:M142"/>
    <mergeCell ref="N142:O142"/>
    <mergeCell ref="L157:M157"/>
    <mergeCell ref="L164:M164"/>
    <mergeCell ref="L165:M165"/>
    <mergeCell ref="L153:M153"/>
    <mergeCell ref="L154:M154"/>
    <mergeCell ref="L155:M155"/>
    <mergeCell ref="N153:O153"/>
    <mergeCell ref="N156:O156"/>
    <mergeCell ref="N157:O157"/>
    <mergeCell ref="N158:O158"/>
    <mergeCell ref="N154:O154"/>
    <mergeCell ref="N155:O155"/>
    <mergeCell ref="N143:O143"/>
    <mergeCell ref="N145:O145"/>
    <mergeCell ref="N146:O146"/>
    <mergeCell ref="AL4:AO4"/>
    <mergeCell ref="U4:U5"/>
    <mergeCell ref="V4:Y4"/>
    <mergeCell ref="AP4:AS4"/>
    <mergeCell ref="C8:D8"/>
    <mergeCell ref="K4:N4"/>
    <mergeCell ref="O4:R4"/>
    <mergeCell ref="S4:S5"/>
    <mergeCell ref="C13:D13"/>
    <mergeCell ref="AH4:AK4"/>
    <mergeCell ref="C10:D10"/>
    <mergeCell ref="C21:D21"/>
    <mergeCell ref="C22:D22"/>
    <mergeCell ref="C23:D23"/>
    <mergeCell ref="C24:D24"/>
    <mergeCell ref="C27:D27"/>
    <mergeCell ref="C28:D28"/>
    <mergeCell ref="C25:D25"/>
    <mergeCell ref="C26:D26"/>
    <mergeCell ref="C29:D29"/>
    <mergeCell ref="C30:D30"/>
    <mergeCell ref="C33:D33"/>
    <mergeCell ref="C34:D34"/>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6:D76"/>
    <mergeCell ref="C77:D77"/>
    <mergeCell ref="C73:D73"/>
    <mergeCell ref="C74:D74"/>
    <mergeCell ref="C75:D75"/>
    <mergeCell ref="C78:D78"/>
    <mergeCell ref="C79:D79"/>
    <mergeCell ref="C82:D82"/>
    <mergeCell ref="C83:D83"/>
    <mergeCell ref="C80:D80"/>
    <mergeCell ref="C81:D81"/>
    <mergeCell ref="C84:D84"/>
    <mergeCell ref="C85:D85"/>
    <mergeCell ref="C88:D88"/>
    <mergeCell ref="C89:D89"/>
    <mergeCell ref="C86:D86"/>
    <mergeCell ref="C87:D87"/>
    <mergeCell ref="C90:D90"/>
    <mergeCell ref="C91:D91"/>
    <mergeCell ref="C94:D94"/>
    <mergeCell ref="C95:D95"/>
    <mergeCell ref="C92:D92"/>
    <mergeCell ref="C93:D93"/>
    <mergeCell ref="C96:D96"/>
    <mergeCell ref="C97:D97"/>
    <mergeCell ref="C100:D100"/>
    <mergeCell ref="C101:D101"/>
    <mergeCell ref="C98:D98"/>
    <mergeCell ref="C99:D99"/>
    <mergeCell ref="C102:D102"/>
    <mergeCell ref="C103:D103"/>
    <mergeCell ref="C112:D112"/>
    <mergeCell ref="C113:D113"/>
    <mergeCell ref="C104:D104"/>
    <mergeCell ref="C105:D105"/>
    <mergeCell ref="C106:D106"/>
    <mergeCell ref="C107:D107"/>
    <mergeCell ref="C108:D108"/>
    <mergeCell ref="C109:D109"/>
    <mergeCell ref="C110:D110"/>
    <mergeCell ref="C111:D111"/>
    <mergeCell ref="C114:D114"/>
    <mergeCell ref="C115:D115"/>
    <mergeCell ref="H141:I141"/>
    <mergeCell ref="J141:K141"/>
    <mergeCell ref="C116:D116"/>
    <mergeCell ref="C117:D117"/>
    <mergeCell ref="H196:I196"/>
    <mergeCell ref="J196:K196"/>
    <mergeCell ref="L178:M178"/>
    <mergeCell ref="L181:M181"/>
    <mergeCell ref="L182:M182"/>
    <mergeCell ref="L183:M183"/>
    <mergeCell ref="L184:M184"/>
    <mergeCell ref="L180:M180"/>
    <mergeCell ref="L190:M190"/>
    <mergeCell ref="L186:M186"/>
    <mergeCell ref="L187:M187"/>
    <mergeCell ref="L188:M188"/>
    <mergeCell ref="L189:M189"/>
    <mergeCell ref="J194:K194"/>
    <mergeCell ref="J189:K189"/>
    <mergeCell ref="J190:K190"/>
    <mergeCell ref="J191:K191"/>
    <mergeCell ref="J192:K192"/>
    <mergeCell ref="C118:D118"/>
    <mergeCell ref="C119:D119"/>
    <mergeCell ref="N197:O197"/>
    <mergeCell ref="L196:M196"/>
    <mergeCell ref="N196:O196"/>
    <mergeCell ref="L179:M179"/>
    <mergeCell ref="L171:M171"/>
    <mergeCell ref="J193:K193"/>
    <mergeCell ref="J195:K195"/>
    <mergeCell ref="J171:K171"/>
    <mergeCell ref="J172:K172"/>
    <mergeCell ref="J173:K173"/>
    <mergeCell ref="J174:K174"/>
    <mergeCell ref="J187:K187"/>
    <mergeCell ref="J188:K188"/>
    <mergeCell ref="J177:K177"/>
    <mergeCell ref="J178:K178"/>
    <mergeCell ref="J179:K179"/>
    <mergeCell ref="J180:K180"/>
    <mergeCell ref="J181:K181"/>
    <mergeCell ref="J182:K182"/>
    <mergeCell ref="J183:K183"/>
    <mergeCell ref="J166:K166"/>
    <mergeCell ref="J167:K167"/>
    <mergeCell ref="L199:M199"/>
    <mergeCell ref="H191:I191"/>
    <mergeCell ref="N200:O200"/>
    <mergeCell ref="H201:I201"/>
    <mergeCell ref="J201:K201"/>
    <mergeCell ref="L201:M201"/>
    <mergeCell ref="N201:O201"/>
    <mergeCell ref="C120:D120"/>
    <mergeCell ref="C121:D121"/>
    <mergeCell ref="H198:I198"/>
    <mergeCell ref="J198:K198"/>
    <mergeCell ref="L198:M198"/>
    <mergeCell ref="N198:O198"/>
    <mergeCell ref="H197:I197"/>
    <mergeCell ref="J197:K197"/>
    <mergeCell ref="L197:M197"/>
    <mergeCell ref="J186:K186"/>
    <mergeCell ref="J175:K175"/>
    <mergeCell ref="J176:K176"/>
    <mergeCell ref="H192:I192"/>
    <mergeCell ref="H193:I193"/>
    <mergeCell ref="H194:I194"/>
    <mergeCell ref="H189:I189"/>
    <mergeCell ref="H190:I190"/>
    <mergeCell ref="C122:D122"/>
    <mergeCell ref="C123:D123"/>
    <mergeCell ref="H187:I187"/>
    <mergeCell ref="H188:I188"/>
    <mergeCell ref="H172:I172"/>
    <mergeCell ref="H173:I173"/>
    <mergeCell ref="H184:I184"/>
    <mergeCell ref="H185:I185"/>
    <mergeCell ref="H174:I174"/>
    <mergeCell ref="H175:I175"/>
    <mergeCell ref="H176:I176"/>
    <mergeCell ref="H177:I177"/>
    <mergeCell ref="H178:I178"/>
    <mergeCell ref="H179:I179"/>
    <mergeCell ref="H163:I163"/>
    <mergeCell ref="H164:I164"/>
    <mergeCell ref="H165:I165"/>
    <mergeCell ref="H186:I186"/>
    <mergeCell ref="H182:I182"/>
    <mergeCell ref="H183:I183"/>
    <mergeCell ref="H180:I180"/>
    <mergeCell ref="H181:I181"/>
    <mergeCell ref="C132:D132"/>
    <mergeCell ref="C133:D133"/>
    <mergeCell ref="C126:D126"/>
    <mergeCell ref="C127:D127"/>
    <mergeCell ref="C124:D124"/>
    <mergeCell ref="C125:D125"/>
    <mergeCell ref="N199:O199"/>
    <mergeCell ref="H202:I202"/>
    <mergeCell ref="J202:K202"/>
    <mergeCell ref="L202:M202"/>
    <mergeCell ref="N202:O202"/>
    <mergeCell ref="J157:K157"/>
    <mergeCell ref="J158:K158"/>
    <mergeCell ref="J159:K159"/>
    <mergeCell ref="J160:K160"/>
    <mergeCell ref="J161:K161"/>
    <mergeCell ref="J162:K162"/>
    <mergeCell ref="J163:K163"/>
    <mergeCell ref="J164:K164"/>
    <mergeCell ref="J165:K165"/>
    <mergeCell ref="H166:I166"/>
    <mergeCell ref="H167:I167"/>
    <mergeCell ref="H168:I168"/>
    <mergeCell ref="H169:I169"/>
    <mergeCell ref="H170:I170"/>
    <mergeCell ref="H171:I171"/>
    <mergeCell ref="C135:D135"/>
    <mergeCell ref="C134:D134"/>
    <mergeCell ref="H205:I205"/>
    <mergeCell ref="J205:K205"/>
    <mergeCell ref="L205:M205"/>
    <mergeCell ref="N205:O205"/>
    <mergeCell ref="C130:D130"/>
    <mergeCell ref="C131:D131"/>
    <mergeCell ref="H203:I203"/>
    <mergeCell ref="J203:K203"/>
    <mergeCell ref="L203:M203"/>
    <mergeCell ref="N203:O203"/>
    <mergeCell ref="L195:M195"/>
    <mergeCell ref="J168:K168"/>
    <mergeCell ref="J169:K169"/>
    <mergeCell ref="J170:K170"/>
    <mergeCell ref="H200:I200"/>
    <mergeCell ref="J200:K200"/>
    <mergeCell ref="L200:M200"/>
    <mergeCell ref="H195:I195"/>
    <mergeCell ref="J184:K184"/>
    <mergeCell ref="J185:K185"/>
    <mergeCell ref="H199:I199"/>
    <mergeCell ref="J199:K199"/>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A97"/>
  <sheetViews>
    <sheetView zoomScale="99" zoomScaleNormal="120" workbookViewId="0">
      <pane xSplit="1" ySplit="5" topLeftCell="AI52"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138</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28" customFormat="1" x14ac:dyDescent="0.15">
      <c r="A6" s="28">
        <v>2000</v>
      </c>
      <c r="B6" s="293"/>
      <c r="C6" s="405" t="s">
        <v>1261</v>
      </c>
      <c r="D6" s="405"/>
      <c r="E6" s="28">
        <v>26</v>
      </c>
      <c r="G6" s="65"/>
      <c r="J6" s="72"/>
      <c r="K6" s="46"/>
      <c r="L6" s="46"/>
      <c r="M6" s="46"/>
      <c r="N6" s="67"/>
      <c r="O6" s="45"/>
      <c r="P6" s="46"/>
      <c r="Q6" s="46"/>
      <c r="R6" s="47"/>
      <c r="T6" s="284"/>
      <c r="U6" s="293"/>
      <c r="V6" s="37"/>
      <c r="Y6" s="38"/>
      <c r="AD6" s="37"/>
      <c r="AG6" s="38"/>
      <c r="AL6" s="37"/>
      <c r="AO6" s="38"/>
      <c r="AP6" s="37"/>
      <c r="AS6" s="38"/>
      <c r="AW6" s="38"/>
      <c r="BA6" s="39"/>
    </row>
    <row r="7" spans="1:53" s="170" customFormat="1" x14ac:dyDescent="0.15">
      <c r="A7" s="170">
        <v>2000</v>
      </c>
      <c r="B7" s="304">
        <v>36552</v>
      </c>
      <c r="C7" s="395" t="s">
        <v>1177</v>
      </c>
      <c r="D7" s="395"/>
      <c r="E7" s="170">
        <f>366-26</f>
        <v>340</v>
      </c>
      <c r="F7" s="170" t="s">
        <v>335</v>
      </c>
      <c r="G7" s="232">
        <v>9</v>
      </c>
      <c r="H7" s="170">
        <v>3</v>
      </c>
      <c r="I7" s="170">
        <v>11</v>
      </c>
      <c r="J7" s="240">
        <v>24</v>
      </c>
      <c r="K7" s="213">
        <f t="shared" ref="K7:K37" si="0">G7/J7*100</f>
        <v>37.5</v>
      </c>
      <c r="L7" s="213">
        <f t="shared" ref="L7:L37" si="1">H7/J7*100</f>
        <v>12.5</v>
      </c>
      <c r="M7" s="213">
        <f t="shared" ref="M7:M37" si="2">I7/J7*100</f>
        <v>45.833333333333329</v>
      </c>
      <c r="N7" s="234">
        <f t="shared" ref="N7:N37" si="3">SUM(K7:M7)</f>
        <v>95.833333333333329</v>
      </c>
      <c r="O7" s="212">
        <v>18.57</v>
      </c>
      <c r="P7" s="213">
        <v>10.6</v>
      </c>
      <c r="Q7" s="213">
        <v>30.46</v>
      </c>
      <c r="R7" s="214">
        <f t="shared" ref="R7:R39" si="4">SUM(O7:Q7)</f>
        <v>59.63</v>
      </c>
      <c r="S7" s="170">
        <v>2</v>
      </c>
      <c r="T7" s="283">
        <v>36528</v>
      </c>
      <c r="U7" s="304">
        <v>36552</v>
      </c>
      <c r="V7" s="177" t="s">
        <v>111</v>
      </c>
      <c r="W7" s="170" t="s">
        <v>20</v>
      </c>
      <c r="X7" s="170" t="s">
        <v>12</v>
      </c>
      <c r="Y7" s="247">
        <v>30.46</v>
      </c>
      <c r="Z7" s="170" t="s">
        <v>989</v>
      </c>
      <c r="AA7" s="170" t="s">
        <v>327</v>
      </c>
      <c r="AB7" s="170" t="s">
        <v>11</v>
      </c>
      <c r="AC7" s="247">
        <v>14.6</v>
      </c>
      <c r="AD7" s="177" t="s">
        <v>990</v>
      </c>
      <c r="AE7" s="170" t="s">
        <v>869</v>
      </c>
      <c r="AF7" s="170" t="s">
        <v>18</v>
      </c>
      <c r="AG7" s="247">
        <v>10.6</v>
      </c>
      <c r="AH7" s="170" t="s">
        <v>991</v>
      </c>
      <c r="AI7" s="170" t="s">
        <v>327</v>
      </c>
      <c r="AJ7" s="170" t="s">
        <v>11</v>
      </c>
      <c r="AK7" s="247">
        <v>2.65</v>
      </c>
      <c r="AL7" s="177" t="s">
        <v>992</v>
      </c>
      <c r="AM7" s="170" t="s">
        <v>22</v>
      </c>
      <c r="AN7" s="170" t="s">
        <v>11</v>
      </c>
      <c r="AO7" s="247">
        <v>1.32</v>
      </c>
      <c r="AP7" s="177"/>
      <c r="AS7" s="178"/>
      <c r="AW7" s="178"/>
      <c r="BA7" s="179"/>
    </row>
    <row r="8" spans="1:53" s="170" customFormat="1" x14ac:dyDescent="0.15">
      <c r="A8" s="170">
        <v>2001</v>
      </c>
      <c r="B8" s="304"/>
      <c r="C8" s="395" t="s">
        <v>1177</v>
      </c>
      <c r="D8" s="395"/>
      <c r="E8" s="170">
        <v>270</v>
      </c>
      <c r="G8" s="232">
        <v>9</v>
      </c>
      <c r="H8" s="170">
        <v>3</v>
      </c>
      <c r="I8" s="170">
        <v>11</v>
      </c>
      <c r="J8" s="240">
        <v>24</v>
      </c>
      <c r="K8" s="213">
        <f t="shared" si="0"/>
        <v>37.5</v>
      </c>
      <c r="L8" s="213">
        <f t="shared" si="1"/>
        <v>12.5</v>
      </c>
      <c r="M8" s="213">
        <f t="shared" si="2"/>
        <v>45.833333333333329</v>
      </c>
      <c r="N8" s="234">
        <f t="shared" si="3"/>
        <v>95.833333333333329</v>
      </c>
      <c r="O8" s="212">
        <v>18.57</v>
      </c>
      <c r="P8" s="213">
        <v>10.6</v>
      </c>
      <c r="Q8" s="213">
        <v>30.46</v>
      </c>
      <c r="R8" s="214">
        <f t="shared" si="4"/>
        <v>59.63</v>
      </c>
      <c r="S8" s="170">
        <v>2</v>
      </c>
      <c r="T8" s="283"/>
      <c r="U8" s="281"/>
      <c r="V8" s="177" t="s">
        <v>111</v>
      </c>
      <c r="W8" s="170" t="s">
        <v>20</v>
      </c>
      <c r="X8" s="170" t="s">
        <v>12</v>
      </c>
      <c r="Y8" s="247">
        <v>30.46</v>
      </c>
      <c r="Z8" s="170" t="s">
        <v>989</v>
      </c>
      <c r="AA8" s="170" t="s">
        <v>327</v>
      </c>
      <c r="AB8" s="170" t="s">
        <v>11</v>
      </c>
      <c r="AC8" s="213">
        <v>14.6</v>
      </c>
      <c r="AD8" s="177" t="s">
        <v>990</v>
      </c>
      <c r="AE8" s="170" t="s">
        <v>869</v>
      </c>
      <c r="AF8" s="170" t="s">
        <v>18</v>
      </c>
      <c r="AG8" s="247">
        <v>10.6</v>
      </c>
      <c r="AH8" s="170" t="s">
        <v>991</v>
      </c>
      <c r="AI8" s="170" t="s">
        <v>327</v>
      </c>
      <c r="AJ8" s="170" t="s">
        <v>11</v>
      </c>
      <c r="AK8" s="213">
        <v>2.65</v>
      </c>
      <c r="AL8" s="177" t="s">
        <v>992</v>
      </c>
      <c r="AM8" s="170" t="s">
        <v>22</v>
      </c>
      <c r="AN8" s="170" t="s">
        <v>11</v>
      </c>
      <c r="AO8" s="247">
        <v>1.32</v>
      </c>
      <c r="AP8" s="177"/>
      <c r="AS8" s="178"/>
      <c r="AW8" s="178"/>
      <c r="BA8" s="179"/>
    </row>
    <row r="9" spans="1:53" s="28" customFormat="1" x14ac:dyDescent="0.15">
      <c r="A9" s="28">
        <v>2001</v>
      </c>
      <c r="B9" s="293">
        <v>37162</v>
      </c>
      <c r="C9" s="394" t="s">
        <v>1451</v>
      </c>
      <c r="D9" s="394"/>
      <c r="E9" s="28">
        <v>55</v>
      </c>
      <c r="F9" s="28">
        <v>4</v>
      </c>
      <c r="G9" s="65">
        <v>8</v>
      </c>
      <c r="H9" s="28">
        <v>3</v>
      </c>
      <c r="I9" s="28">
        <v>12</v>
      </c>
      <c r="J9" s="72">
        <v>24</v>
      </c>
      <c r="K9" s="46">
        <f t="shared" si="0"/>
        <v>33.333333333333329</v>
      </c>
      <c r="L9" s="46">
        <f t="shared" si="1"/>
        <v>12.5</v>
      </c>
      <c r="M9" s="46">
        <f t="shared" si="2"/>
        <v>50</v>
      </c>
      <c r="N9" s="67">
        <f t="shared" si="3"/>
        <v>95.833333333333329</v>
      </c>
      <c r="O9" s="45">
        <v>15.92</v>
      </c>
      <c r="P9" s="46">
        <v>10.6</v>
      </c>
      <c r="Q9" s="46">
        <v>30.46</v>
      </c>
      <c r="R9" s="47">
        <f t="shared" si="4"/>
        <v>56.980000000000004</v>
      </c>
      <c r="S9" s="28">
        <v>3</v>
      </c>
      <c r="T9" s="284"/>
      <c r="U9" s="293">
        <v>37162</v>
      </c>
      <c r="V9" s="37" t="s">
        <v>111</v>
      </c>
      <c r="W9" s="28" t="s">
        <v>20</v>
      </c>
      <c r="X9" s="28" t="s">
        <v>12</v>
      </c>
      <c r="Y9" s="87">
        <v>30.46</v>
      </c>
      <c r="Z9" s="28" t="s">
        <v>989</v>
      </c>
      <c r="AA9" s="28" t="s">
        <v>327</v>
      </c>
      <c r="AB9" s="28" t="s">
        <v>11</v>
      </c>
      <c r="AC9" s="46">
        <v>14.6</v>
      </c>
      <c r="AD9" s="37" t="s">
        <v>990</v>
      </c>
      <c r="AE9" s="28" t="s">
        <v>869</v>
      </c>
      <c r="AF9" s="28" t="s">
        <v>18</v>
      </c>
      <c r="AG9" s="87">
        <v>10.6</v>
      </c>
      <c r="AH9" s="37" t="s">
        <v>992</v>
      </c>
      <c r="AI9" s="28" t="s">
        <v>22</v>
      </c>
      <c r="AJ9" s="28" t="s">
        <v>11</v>
      </c>
      <c r="AK9" s="46">
        <v>1.32</v>
      </c>
      <c r="AL9" s="37"/>
      <c r="AO9" s="87"/>
      <c r="AP9" s="37"/>
      <c r="AS9" s="38"/>
      <c r="AW9" s="38"/>
      <c r="BA9" s="39"/>
    </row>
    <row r="10" spans="1:53" s="28" customFormat="1" x14ac:dyDescent="0.15">
      <c r="A10" s="28">
        <v>2001</v>
      </c>
      <c r="B10" s="298">
        <v>37217</v>
      </c>
      <c r="C10" s="394" t="s">
        <v>1451</v>
      </c>
      <c r="D10" s="394"/>
      <c r="E10" s="28">
        <f xml:space="preserve"> 365-E9-E8</f>
        <v>40</v>
      </c>
      <c r="F10" s="69">
        <v>0</v>
      </c>
      <c r="G10" s="65">
        <v>9</v>
      </c>
      <c r="H10" s="28">
        <v>3</v>
      </c>
      <c r="I10" s="28">
        <v>12</v>
      </c>
      <c r="J10" s="72">
        <v>24</v>
      </c>
      <c r="K10" s="46">
        <f t="shared" si="0"/>
        <v>37.5</v>
      </c>
      <c r="L10" s="46">
        <f t="shared" si="1"/>
        <v>12.5</v>
      </c>
      <c r="M10" s="46">
        <f t="shared" si="2"/>
        <v>50</v>
      </c>
      <c r="N10" s="67">
        <f t="shared" si="3"/>
        <v>100</v>
      </c>
      <c r="O10" s="45">
        <v>15.92</v>
      </c>
      <c r="P10" s="46">
        <v>10.6</v>
      </c>
      <c r="Q10" s="46">
        <v>30.46</v>
      </c>
      <c r="R10" s="47">
        <f t="shared" si="4"/>
        <v>56.980000000000004</v>
      </c>
      <c r="S10" s="28">
        <v>3</v>
      </c>
      <c r="T10" s="284"/>
      <c r="U10" s="293"/>
      <c r="V10" s="37" t="s">
        <v>111</v>
      </c>
      <c r="W10" s="28" t="s">
        <v>20</v>
      </c>
      <c r="X10" s="28" t="s">
        <v>12</v>
      </c>
      <c r="Y10" s="87">
        <v>30.46</v>
      </c>
      <c r="Z10" s="28" t="s">
        <v>989</v>
      </c>
      <c r="AA10" s="28" t="s">
        <v>327</v>
      </c>
      <c r="AB10" s="28" t="s">
        <v>11</v>
      </c>
      <c r="AC10" s="46">
        <v>14.6</v>
      </c>
      <c r="AD10" s="37" t="s">
        <v>990</v>
      </c>
      <c r="AE10" s="28" t="s">
        <v>869</v>
      </c>
      <c r="AF10" s="28" t="s">
        <v>18</v>
      </c>
      <c r="AG10" s="87">
        <v>10.6</v>
      </c>
      <c r="AH10" s="37" t="s">
        <v>992</v>
      </c>
      <c r="AI10" s="28" t="s">
        <v>22</v>
      </c>
      <c r="AJ10" s="28" t="s">
        <v>11</v>
      </c>
      <c r="AK10" s="46">
        <v>1.32</v>
      </c>
      <c r="AL10" s="37"/>
      <c r="AO10" s="87"/>
      <c r="AP10" s="37"/>
      <c r="AS10" s="38"/>
      <c r="AW10" s="38"/>
      <c r="BA10" s="39"/>
    </row>
    <row r="11" spans="1:53" s="28" customFormat="1" x14ac:dyDescent="0.15">
      <c r="A11" s="28">
        <v>2002</v>
      </c>
      <c r="B11" s="275"/>
      <c r="C11" s="394" t="s">
        <v>1451</v>
      </c>
      <c r="D11" s="394"/>
      <c r="E11" s="28">
        <v>210</v>
      </c>
      <c r="G11" s="65">
        <v>9</v>
      </c>
      <c r="H11" s="28">
        <v>3</v>
      </c>
      <c r="I11" s="28">
        <v>12</v>
      </c>
      <c r="J11" s="72">
        <v>24</v>
      </c>
      <c r="K11" s="46">
        <f t="shared" si="0"/>
        <v>37.5</v>
      </c>
      <c r="L11" s="46">
        <f t="shared" si="1"/>
        <v>12.5</v>
      </c>
      <c r="M11" s="46">
        <f t="shared" si="2"/>
        <v>50</v>
      </c>
      <c r="N11" s="67">
        <f t="shared" si="3"/>
        <v>100</v>
      </c>
      <c r="O11" s="45">
        <v>15.92</v>
      </c>
      <c r="P11" s="46">
        <v>10.6</v>
      </c>
      <c r="Q11" s="46">
        <v>30.46</v>
      </c>
      <c r="R11" s="47">
        <f t="shared" si="4"/>
        <v>56.980000000000004</v>
      </c>
      <c r="S11" s="28">
        <v>3</v>
      </c>
      <c r="T11" s="284"/>
      <c r="U11" s="293"/>
      <c r="V11" s="37" t="s">
        <v>111</v>
      </c>
      <c r="W11" s="28" t="s">
        <v>20</v>
      </c>
      <c r="X11" s="28" t="s">
        <v>12</v>
      </c>
      <c r="Y11" s="87">
        <v>30.46</v>
      </c>
      <c r="Z11" s="28" t="s">
        <v>989</v>
      </c>
      <c r="AA11" s="28" t="s">
        <v>327</v>
      </c>
      <c r="AB11" s="28" t="s">
        <v>11</v>
      </c>
      <c r="AC11" s="46">
        <v>14.6</v>
      </c>
      <c r="AD11" s="37" t="s">
        <v>990</v>
      </c>
      <c r="AE11" s="28" t="s">
        <v>869</v>
      </c>
      <c r="AF11" s="28" t="s">
        <v>18</v>
      </c>
      <c r="AG11" s="87">
        <v>10.6</v>
      </c>
      <c r="AH11" s="37" t="s">
        <v>992</v>
      </c>
      <c r="AI11" s="28" t="s">
        <v>22</v>
      </c>
      <c r="AJ11" s="28" t="s">
        <v>11</v>
      </c>
      <c r="AK11" s="46">
        <v>1.32</v>
      </c>
      <c r="AL11" s="37"/>
      <c r="AO11" s="87"/>
      <c r="AP11" s="37"/>
      <c r="AS11" s="38"/>
      <c r="AW11" s="38"/>
      <c r="BA11" s="39"/>
    </row>
    <row r="12" spans="1:53" s="170" customFormat="1" x14ac:dyDescent="0.15">
      <c r="A12" s="170">
        <v>2002</v>
      </c>
      <c r="B12" s="304">
        <v>37467</v>
      </c>
      <c r="C12" s="395" t="s">
        <v>1178</v>
      </c>
      <c r="D12" s="395"/>
      <c r="E12" s="170">
        <f xml:space="preserve"> 365-E11</f>
        <v>155</v>
      </c>
      <c r="F12" s="170">
        <v>4</v>
      </c>
      <c r="G12" s="232">
        <v>5</v>
      </c>
      <c r="H12" s="170">
        <v>4</v>
      </c>
      <c r="I12" s="170">
        <v>15</v>
      </c>
      <c r="J12" s="240">
        <v>24</v>
      </c>
      <c r="K12" s="213">
        <f t="shared" si="0"/>
        <v>20.833333333333336</v>
      </c>
      <c r="L12" s="213">
        <f t="shared" si="1"/>
        <v>16.666666666666664</v>
      </c>
      <c r="M12" s="213">
        <f t="shared" si="2"/>
        <v>62.5</v>
      </c>
      <c r="N12" s="234">
        <f t="shared" si="3"/>
        <v>100</v>
      </c>
      <c r="O12" s="212">
        <v>7.28</v>
      </c>
      <c r="P12" s="213">
        <v>10.6</v>
      </c>
      <c r="Q12" s="213">
        <v>30.46</v>
      </c>
      <c r="R12" s="214">
        <f t="shared" si="4"/>
        <v>48.34</v>
      </c>
      <c r="S12" s="170">
        <v>5</v>
      </c>
      <c r="T12" s="283"/>
      <c r="U12" s="304">
        <v>37467</v>
      </c>
      <c r="V12" s="177" t="s">
        <v>111</v>
      </c>
      <c r="W12" s="170" t="s">
        <v>20</v>
      </c>
      <c r="X12" s="170" t="s">
        <v>12</v>
      </c>
      <c r="Y12" s="247">
        <v>30.46</v>
      </c>
      <c r="Z12" s="170" t="s">
        <v>993</v>
      </c>
      <c r="AA12" s="170" t="s">
        <v>327</v>
      </c>
      <c r="AB12" s="170" t="s">
        <v>11</v>
      </c>
      <c r="AC12" s="213">
        <v>5.96</v>
      </c>
      <c r="AD12" s="177" t="s">
        <v>990</v>
      </c>
      <c r="AE12" s="170" t="s">
        <v>869</v>
      </c>
      <c r="AF12" s="170" t="s">
        <v>18</v>
      </c>
      <c r="AG12" s="247">
        <v>10.6</v>
      </c>
      <c r="AH12" s="177" t="s">
        <v>992</v>
      </c>
      <c r="AI12" s="170" t="s">
        <v>22</v>
      </c>
      <c r="AJ12" s="170" t="s">
        <v>11</v>
      </c>
      <c r="AK12" s="213">
        <v>1.32</v>
      </c>
      <c r="AL12" s="177"/>
      <c r="AO12" s="247"/>
      <c r="AP12" s="177"/>
      <c r="AS12" s="178"/>
      <c r="AW12" s="178"/>
      <c r="BA12" s="179"/>
    </row>
    <row r="13" spans="1:53" s="170" customFormat="1" x14ac:dyDescent="0.15">
      <c r="A13" s="170">
        <v>2003</v>
      </c>
      <c r="B13" s="304"/>
      <c r="C13" s="395" t="s">
        <v>1178</v>
      </c>
      <c r="D13" s="395"/>
      <c r="E13" s="170">
        <v>198</v>
      </c>
      <c r="G13" s="232">
        <v>5</v>
      </c>
      <c r="H13" s="170">
        <v>4</v>
      </c>
      <c r="I13" s="170">
        <v>15</v>
      </c>
      <c r="J13" s="240">
        <v>24</v>
      </c>
      <c r="K13" s="213">
        <f t="shared" si="0"/>
        <v>20.833333333333336</v>
      </c>
      <c r="L13" s="213">
        <f t="shared" si="1"/>
        <v>16.666666666666664</v>
      </c>
      <c r="M13" s="213">
        <f t="shared" si="2"/>
        <v>62.5</v>
      </c>
      <c r="N13" s="234">
        <f t="shared" si="3"/>
        <v>100</v>
      </c>
      <c r="O13" s="212">
        <v>7.28</v>
      </c>
      <c r="P13" s="213">
        <v>10.6</v>
      </c>
      <c r="Q13" s="213">
        <v>30.46</v>
      </c>
      <c r="R13" s="214">
        <f t="shared" si="4"/>
        <v>48.34</v>
      </c>
      <c r="S13" s="170">
        <v>5</v>
      </c>
      <c r="T13" s="283"/>
      <c r="U13" s="281"/>
      <c r="V13" s="177" t="s">
        <v>111</v>
      </c>
      <c r="W13" s="170" t="s">
        <v>20</v>
      </c>
      <c r="X13" s="170" t="s">
        <v>12</v>
      </c>
      <c r="Y13" s="247">
        <v>30.46</v>
      </c>
      <c r="Z13" s="170" t="s">
        <v>993</v>
      </c>
      <c r="AA13" s="170" t="s">
        <v>327</v>
      </c>
      <c r="AB13" s="170" t="s">
        <v>11</v>
      </c>
      <c r="AC13" s="213">
        <v>5.96</v>
      </c>
      <c r="AD13" s="177" t="s">
        <v>990</v>
      </c>
      <c r="AE13" s="170" t="s">
        <v>869</v>
      </c>
      <c r="AF13" s="170" t="s">
        <v>18</v>
      </c>
      <c r="AG13" s="247">
        <v>10.6</v>
      </c>
      <c r="AH13" s="170" t="s">
        <v>992</v>
      </c>
      <c r="AI13" s="170" t="s">
        <v>22</v>
      </c>
      <c r="AJ13" s="170" t="s">
        <v>11</v>
      </c>
      <c r="AK13" s="213">
        <v>1.32</v>
      </c>
      <c r="AL13" s="177"/>
      <c r="AO13" s="247"/>
      <c r="AP13" s="177"/>
      <c r="AS13" s="178"/>
      <c r="AW13" s="178"/>
      <c r="BA13" s="179"/>
    </row>
    <row r="14" spans="1:53" s="28" customFormat="1" x14ac:dyDescent="0.15">
      <c r="A14" s="28">
        <v>2003</v>
      </c>
      <c r="B14" s="275">
        <v>37820</v>
      </c>
      <c r="C14" s="394" t="s">
        <v>1179</v>
      </c>
      <c r="D14" s="394"/>
      <c r="E14" s="28">
        <v>158</v>
      </c>
      <c r="F14" s="28">
        <v>7</v>
      </c>
      <c r="G14" s="65">
        <v>5</v>
      </c>
      <c r="H14" s="28">
        <v>4</v>
      </c>
      <c r="I14" s="28">
        <v>15</v>
      </c>
      <c r="J14" s="72">
        <v>24</v>
      </c>
      <c r="K14" s="46">
        <f t="shared" si="0"/>
        <v>20.833333333333336</v>
      </c>
      <c r="L14" s="46">
        <f t="shared" si="1"/>
        <v>16.666666666666664</v>
      </c>
      <c r="M14" s="46">
        <f t="shared" si="2"/>
        <v>62.5</v>
      </c>
      <c r="N14" s="67">
        <f t="shared" si="3"/>
        <v>100</v>
      </c>
      <c r="O14" s="45">
        <v>9.93</v>
      </c>
      <c r="P14" s="46">
        <v>10.6</v>
      </c>
      <c r="Q14" s="46">
        <v>30.46</v>
      </c>
      <c r="R14" s="47">
        <f t="shared" si="4"/>
        <v>50.99</v>
      </c>
      <c r="S14" s="28">
        <v>2</v>
      </c>
      <c r="T14" s="284"/>
      <c r="U14" s="275">
        <v>37820</v>
      </c>
      <c r="V14" s="37" t="s">
        <v>111</v>
      </c>
      <c r="W14" s="28" t="s">
        <v>20</v>
      </c>
      <c r="X14" s="28" t="s">
        <v>12</v>
      </c>
      <c r="Y14" s="87">
        <v>30.46</v>
      </c>
      <c r="Z14" s="28" t="s">
        <v>993</v>
      </c>
      <c r="AA14" s="28" t="s">
        <v>327</v>
      </c>
      <c r="AB14" s="28" t="s">
        <v>11</v>
      </c>
      <c r="AC14" s="46">
        <v>5.96</v>
      </c>
      <c r="AD14" s="37" t="s">
        <v>990</v>
      </c>
      <c r="AE14" s="28" t="s">
        <v>869</v>
      </c>
      <c r="AF14" s="28" t="s">
        <v>18</v>
      </c>
      <c r="AG14" s="87">
        <v>10.6</v>
      </c>
      <c r="AH14" s="37" t="s">
        <v>992</v>
      </c>
      <c r="AI14" s="28" t="s">
        <v>22</v>
      </c>
      <c r="AJ14" s="28" t="s">
        <v>11</v>
      </c>
      <c r="AK14" s="46">
        <v>1.32</v>
      </c>
      <c r="AL14" s="37" t="s">
        <v>994</v>
      </c>
      <c r="AM14" s="28" t="s">
        <v>327</v>
      </c>
      <c r="AN14" s="28" t="s">
        <v>11</v>
      </c>
      <c r="AO14" s="87">
        <v>2.65</v>
      </c>
      <c r="AP14" s="37"/>
      <c r="AS14" s="38"/>
      <c r="AW14" s="38"/>
      <c r="BA14" s="39"/>
    </row>
    <row r="15" spans="1:53" s="170" customFormat="1" x14ac:dyDescent="0.15">
      <c r="A15" s="170">
        <v>2003</v>
      </c>
      <c r="B15" s="304">
        <v>37978</v>
      </c>
      <c r="C15" s="395" t="s">
        <v>995</v>
      </c>
      <c r="D15" s="395"/>
      <c r="E15" s="170">
        <f xml:space="preserve"> 365-E14-E13</f>
        <v>9</v>
      </c>
      <c r="F15" s="170">
        <v>1</v>
      </c>
      <c r="G15" s="232">
        <v>1</v>
      </c>
      <c r="H15" s="170">
        <v>13</v>
      </c>
      <c r="I15" s="170">
        <v>0</v>
      </c>
      <c r="J15" s="240">
        <v>15</v>
      </c>
      <c r="K15" s="213">
        <f t="shared" si="0"/>
        <v>6.666666666666667</v>
      </c>
      <c r="L15" s="213">
        <f t="shared" si="1"/>
        <v>86.666666666666671</v>
      </c>
      <c r="M15" s="213">
        <f t="shared" si="2"/>
        <v>0</v>
      </c>
      <c r="N15" s="234">
        <f t="shared" si="3"/>
        <v>93.333333333333343</v>
      </c>
      <c r="O15" s="212">
        <v>0.66</v>
      </c>
      <c r="P15" s="213">
        <v>43.42</v>
      </c>
      <c r="Q15" s="213">
        <v>0</v>
      </c>
      <c r="R15" s="214">
        <f t="shared" si="4"/>
        <v>44.08</v>
      </c>
      <c r="S15" s="170">
        <v>5</v>
      </c>
      <c r="T15" s="283">
        <v>37948</v>
      </c>
      <c r="U15" s="304">
        <v>37978</v>
      </c>
      <c r="V15" s="177" t="s">
        <v>996</v>
      </c>
      <c r="W15" s="170" t="s">
        <v>17</v>
      </c>
      <c r="X15" s="170" t="s">
        <v>18</v>
      </c>
      <c r="Y15" s="247">
        <v>43.42</v>
      </c>
      <c r="Z15" s="170" t="s">
        <v>503</v>
      </c>
      <c r="AA15" s="170" t="s">
        <v>327</v>
      </c>
      <c r="AB15" s="170" t="s">
        <v>11</v>
      </c>
      <c r="AC15" s="213">
        <v>0.7</v>
      </c>
      <c r="AD15" s="177"/>
      <c r="AG15" s="247"/>
      <c r="AK15" s="213"/>
      <c r="AL15" s="177"/>
      <c r="AO15" s="178"/>
      <c r="AP15" s="177"/>
      <c r="AS15" s="178"/>
      <c r="AW15" s="178"/>
      <c r="BA15" s="179"/>
    </row>
    <row r="16" spans="1:53" s="170" customFormat="1" x14ac:dyDescent="0.15">
      <c r="A16" s="170">
        <v>2004</v>
      </c>
      <c r="B16" s="304"/>
      <c r="C16" s="395" t="s">
        <v>995</v>
      </c>
      <c r="D16" s="395"/>
      <c r="E16" s="170">
        <v>0</v>
      </c>
      <c r="G16" s="232">
        <v>1</v>
      </c>
      <c r="H16" s="170">
        <v>13</v>
      </c>
      <c r="I16" s="170">
        <v>0</v>
      </c>
      <c r="J16" s="240">
        <v>15</v>
      </c>
      <c r="K16" s="213">
        <f t="shared" si="0"/>
        <v>6.666666666666667</v>
      </c>
      <c r="L16" s="213">
        <f t="shared" si="1"/>
        <v>86.666666666666671</v>
      </c>
      <c r="M16" s="213">
        <f t="shared" si="2"/>
        <v>0</v>
      </c>
      <c r="N16" s="234">
        <f t="shared" si="3"/>
        <v>93.333333333333343</v>
      </c>
      <c r="O16" s="212">
        <v>0.66</v>
      </c>
      <c r="P16" s="213">
        <v>43.42</v>
      </c>
      <c r="Q16" s="213">
        <v>0</v>
      </c>
      <c r="R16" s="214">
        <f t="shared" si="4"/>
        <v>44.08</v>
      </c>
      <c r="S16" s="170">
        <v>5</v>
      </c>
      <c r="T16" s="283"/>
      <c r="U16" s="281"/>
      <c r="V16" s="177" t="s">
        <v>996</v>
      </c>
      <c r="W16" s="170" t="s">
        <v>17</v>
      </c>
      <c r="X16" s="170" t="s">
        <v>18</v>
      </c>
      <c r="Y16" s="247">
        <v>43.42</v>
      </c>
      <c r="Z16" s="170" t="s">
        <v>503</v>
      </c>
      <c r="AA16" s="170" t="s">
        <v>327</v>
      </c>
      <c r="AB16" s="170" t="s">
        <v>11</v>
      </c>
      <c r="AC16" s="213">
        <v>0.7</v>
      </c>
      <c r="AD16" s="177"/>
      <c r="AG16" s="247"/>
      <c r="AK16" s="213"/>
      <c r="AL16" s="177"/>
      <c r="AO16" s="178"/>
      <c r="AP16" s="177"/>
      <c r="AS16" s="178"/>
      <c r="AW16" s="178"/>
      <c r="BA16" s="179"/>
    </row>
    <row r="17" spans="1:53" s="170" customFormat="1" x14ac:dyDescent="0.15">
      <c r="A17" s="170">
        <v>2004</v>
      </c>
      <c r="B17" s="304"/>
      <c r="C17" s="395" t="s">
        <v>995</v>
      </c>
      <c r="D17" s="395"/>
      <c r="E17" s="170">
        <v>366</v>
      </c>
      <c r="G17" s="232">
        <v>1</v>
      </c>
      <c r="H17" s="170">
        <v>13</v>
      </c>
      <c r="I17" s="170">
        <v>0</v>
      </c>
      <c r="J17" s="240">
        <v>15</v>
      </c>
      <c r="K17" s="213">
        <f t="shared" si="0"/>
        <v>6.666666666666667</v>
      </c>
      <c r="L17" s="213">
        <f t="shared" si="1"/>
        <v>86.666666666666671</v>
      </c>
      <c r="M17" s="213">
        <f t="shared" si="2"/>
        <v>0</v>
      </c>
      <c r="N17" s="234">
        <f t="shared" si="3"/>
        <v>93.333333333333343</v>
      </c>
      <c r="O17" s="212">
        <v>0.66</v>
      </c>
      <c r="P17" s="213">
        <v>43.42</v>
      </c>
      <c r="Q17" s="213">
        <v>0</v>
      </c>
      <c r="R17" s="214">
        <f t="shared" si="4"/>
        <v>44.08</v>
      </c>
      <c r="S17" s="170">
        <v>5</v>
      </c>
      <c r="T17" s="283"/>
      <c r="U17" s="281"/>
      <c r="V17" s="177" t="s">
        <v>996</v>
      </c>
      <c r="W17" s="170" t="s">
        <v>17</v>
      </c>
      <c r="X17" s="170" t="s">
        <v>18</v>
      </c>
      <c r="Y17" s="247">
        <v>43.42</v>
      </c>
      <c r="Z17" s="170" t="s">
        <v>503</v>
      </c>
      <c r="AA17" s="170" t="s">
        <v>327</v>
      </c>
      <c r="AB17" s="170" t="s">
        <v>11</v>
      </c>
      <c r="AC17" s="213">
        <v>0.7</v>
      </c>
      <c r="AD17" s="177"/>
      <c r="AG17" s="247"/>
      <c r="AK17" s="213"/>
      <c r="AL17" s="177"/>
      <c r="AO17" s="178"/>
      <c r="AP17" s="177"/>
      <c r="AS17" s="178"/>
      <c r="AW17" s="178"/>
      <c r="BA17" s="179"/>
    </row>
    <row r="18" spans="1:53" s="170" customFormat="1" x14ac:dyDescent="0.15">
      <c r="A18" s="190">
        <v>2005</v>
      </c>
      <c r="B18" s="299">
        <v>38400</v>
      </c>
      <c r="C18" s="395" t="s">
        <v>995</v>
      </c>
      <c r="D18" s="395"/>
      <c r="E18" s="170">
        <v>47</v>
      </c>
      <c r="F18" s="191">
        <v>0</v>
      </c>
      <c r="G18" s="232">
        <v>1</v>
      </c>
      <c r="H18" s="170">
        <v>13</v>
      </c>
      <c r="I18" s="170">
        <v>0</v>
      </c>
      <c r="J18" s="240">
        <v>15</v>
      </c>
      <c r="K18" s="213">
        <f t="shared" si="0"/>
        <v>6.666666666666667</v>
      </c>
      <c r="L18" s="213">
        <f t="shared" si="1"/>
        <v>86.666666666666671</v>
      </c>
      <c r="M18" s="213">
        <f t="shared" si="2"/>
        <v>0</v>
      </c>
      <c r="N18" s="234">
        <f t="shared" si="3"/>
        <v>93.333333333333343</v>
      </c>
      <c r="O18" s="212">
        <v>0.66</v>
      </c>
      <c r="P18" s="213">
        <v>43.42</v>
      </c>
      <c r="Q18" s="213">
        <v>0</v>
      </c>
      <c r="R18" s="214">
        <f t="shared" si="4"/>
        <v>44.08</v>
      </c>
      <c r="S18" s="170">
        <v>5</v>
      </c>
      <c r="T18" s="283"/>
      <c r="U18" s="281"/>
      <c r="V18" s="177" t="s">
        <v>996</v>
      </c>
      <c r="W18" s="170" t="s">
        <v>17</v>
      </c>
      <c r="X18" s="170" t="s">
        <v>18</v>
      </c>
      <c r="Y18" s="247">
        <v>43.42</v>
      </c>
      <c r="Z18" s="170" t="s">
        <v>503</v>
      </c>
      <c r="AA18" s="170" t="s">
        <v>327</v>
      </c>
      <c r="AB18" s="170" t="s">
        <v>11</v>
      </c>
      <c r="AC18" s="213">
        <v>0.7</v>
      </c>
      <c r="AD18" s="177"/>
      <c r="AG18" s="247"/>
      <c r="AK18" s="213"/>
      <c r="AL18" s="177"/>
      <c r="AO18" s="178"/>
      <c r="AP18" s="177"/>
      <c r="AS18" s="178"/>
      <c r="AW18" s="178"/>
      <c r="BA18" s="179"/>
    </row>
    <row r="19" spans="1:53" s="170" customFormat="1" x14ac:dyDescent="0.15">
      <c r="A19" s="170">
        <v>2005</v>
      </c>
      <c r="B19" s="304"/>
      <c r="C19" s="395" t="s">
        <v>995</v>
      </c>
      <c r="D19" s="395"/>
      <c r="E19" s="170">
        <f xml:space="preserve"> 365-E18</f>
        <v>318</v>
      </c>
      <c r="G19" s="232">
        <v>1</v>
      </c>
      <c r="H19" s="170">
        <v>13</v>
      </c>
      <c r="I19" s="170">
        <v>0</v>
      </c>
      <c r="J19" s="240">
        <v>15</v>
      </c>
      <c r="K19" s="213">
        <f t="shared" si="0"/>
        <v>6.666666666666667</v>
      </c>
      <c r="L19" s="213">
        <f t="shared" si="1"/>
        <v>86.666666666666671</v>
      </c>
      <c r="M19" s="213">
        <f t="shared" si="2"/>
        <v>0</v>
      </c>
      <c r="N19" s="234">
        <f t="shared" si="3"/>
        <v>93.333333333333343</v>
      </c>
      <c r="O19" s="212">
        <v>0.66</v>
      </c>
      <c r="P19" s="213">
        <v>43.42</v>
      </c>
      <c r="Q19" s="213">
        <v>0</v>
      </c>
      <c r="R19" s="214">
        <f t="shared" si="4"/>
        <v>44.08</v>
      </c>
      <c r="S19" s="170">
        <v>5</v>
      </c>
      <c r="T19" s="283"/>
      <c r="U19" s="281"/>
      <c r="V19" s="177" t="s">
        <v>996</v>
      </c>
      <c r="W19" s="170" t="s">
        <v>17</v>
      </c>
      <c r="X19" s="170" t="s">
        <v>18</v>
      </c>
      <c r="Y19" s="247">
        <v>43.42</v>
      </c>
      <c r="Z19" s="170" t="s">
        <v>503</v>
      </c>
      <c r="AA19" s="170" t="s">
        <v>327</v>
      </c>
      <c r="AB19" s="170" t="s">
        <v>11</v>
      </c>
      <c r="AC19" s="213">
        <v>0.7</v>
      </c>
      <c r="AD19" s="177"/>
      <c r="AG19" s="247"/>
      <c r="AK19" s="213"/>
      <c r="AL19" s="177"/>
      <c r="AO19" s="178"/>
      <c r="AP19" s="177"/>
      <c r="AS19" s="178"/>
      <c r="AW19" s="178"/>
      <c r="BA19" s="179"/>
    </row>
    <row r="20" spans="1:53" s="170" customFormat="1" x14ac:dyDescent="0.15">
      <c r="A20" s="170">
        <v>2006</v>
      </c>
      <c r="B20" s="304"/>
      <c r="C20" s="395" t="s">
        <v>995</v>
      </c>
      <c r="D20" s="395"/>
      <c r="E20" s="170">
        <v>40</v>
      </c>
      <c r="G20" s="232">
        <v>1</v>
      </c>
      <c r="H20" s="170">
        <v>13</v>
      </c>
      <c r="I20" s="170">
        <v>0</v>
      </c>
      <c r="J20" s="240">
        <v>15</v>
      </c>
      <c r="K20" s="213">
        <f t="shared" si="0"/>
        <v>6.666666666666667</v>
      </c>
      <c r="L20" s="213">
        <f t="shared" si="1"/>
        <v>86.666666666666671</v>
      </c>
      <c r="M20" s="213">
        <f t="shared" si="2"/>
        <v>0</v>
      </c>
      <c r="N20" s="234">
        <f t="shared" si="3"/>
        <v>93.333333333333343</v>
      </c>
      <c r="O20" s="212">
        <v>0.66</v>
      </c>
      <c r="P20" s="213">
        <v>43.42</v>
      </c>
      <c r="Q20" s="213">
        <v>0</v>
      </c>
      <c r="R20" s="214">
        <f t="shared" si="4"/>
        <v>44.08</v>
      </c>
      <c r="S20" s="170">
        <v>5</v>
      </c>
      <c r="T20" s="283"/>
      <c r="U20" s="281"/>
      <c r="V20" s="177" t="s">
        <v>996</v>
      </c>
      <c r="W20" s="170" t="s">
        <v>17</v>
      </c>
      <c r="X20" s="170" t="s">
        <v>18</v>
      </c>
      <c r="Y20" s="247">
        <v>43.42</v>
      </c>
      <c r="Z20" s="170" t="s">
        <v>503</v>
      </c>
      <c r="AA20" s="170" t="s">
        <v>327</v>
      </c>
      <c r="AB20" s="170" t="s">
        <v>11</v>
      </c>
      <c r="AC20" s="213">
        <v>0.7</v>
      </c>
      <c r="AD20" s="177"/>
      <c r="AG20" s="247"/>
      <c r="AK20" s="213"/>
      <c r="AL20" s="177"/>
      <c r="AO20" s="178"/>
      <c r="AP20" s="177"/>
      <c r="AS20" s="178"/>
      <c r="AW20" s="178"/>
      <c r="BA20" s="179"/>
    </row>
    <row r="21" spans="1:53" s="28" customFormat="1" x14ac:dyDescent="0.15">
      <c r="A21" s="28">
        <v>2006</v>
      </c>
      <c r="B21" s="275">
        <v>38758</v>
      </c>
      <c r="C21" s="394" t="s">
        <v>997</v>
      </c>
      <c r="D21" s="394"/>
      <c r="E21" s="28">
        <v>325</v>
      </c>
      <c r="F21" s="28">
        <v>4</v>
      </c>
      <c r="G21" s="65">
        <v>0</v>
      </c>
      <c r="H21" s="28">
        <v>14</v>
      </c>
      <c r="I21" s="28">
        <v>0</v>
      </c>
      <c r="J21" s="72">
        <v>15</v>
      </c>
      <c r="K21" s="46">
        <f t="shared" si="0"/>
        <v>0</v>
      </c>
      <c r="L21" s="46">
        <f t="shared" si="1"/>
        <v>93.333333333333329</v>
      </c>
      <c r="M21" s="46">
        <f t="shared" si="2"/>
        <v>0</v>
      </c>
      <c r="N21" s="67">
        <f t="shared" si="3"/>
        <v>93.333333333333329</v>
      </c>
      <c r="O21" s="45">
        <v>0</v>
      </c>
      <c r="P21" s="46">
        <v>43.42</v>
      </c>
      <c r="Q21" s="46">
        <v>0</v>
      </c>
      <c r="R21" s="47">
        <f t="shared" si="4"/>
        <v>43.42</v>
      </c>
      <c r="S21" s="28">
        <v>4</v>
      </c>
      <c r="T21" s="284"/>
      <c r="U21" s="275">
        <v>38758</v>
      </c>
      <c r="V21" s="37" t="s">
        <v>996</v>
      </c>
      <c r="W21" s="28" t="s">
        <v>17</v>
      </c>
      <c r="X21" s="28" t="s">
        <v>18</v>
      </c>
      <c r="Y21" s="87">
        <v>43.42</v>
      </c>
      <c r="AC21" s="46"/>
      <c r="AD21" s="37"/>
      <c r="AG21" s="87"/>
      <c r="AK21" s="46"/>
      <c r="AL21" s="37"/>
      <c r="AO21" s="38"/>
      <c r="AP21" s="37"/>
      <c r="AS21" s="38"/>
      <c r="AW21" s="38"/>
      <c r="BA21" s="39"/>
    </row>
    <row r="22" spans="1:53" s="28" customFormat="1" x14ac:dyDescent="0.15">
      <c r="A22" s="28">
        <v>2007</v>
      </c>
      <c r="B22" s="275"/>
      <c r="C22" s="394" t="s">
        <v>997</v>
      </c>
      <c r="D22" s="394"/>
      <c r="E22" s="28">
        <v>0</v>
      </c>
      <c r="G22" s="65">
        <v>0</v>
      </c>
      <c r="H22" s="28">
        <v>14</v>
      </c>
      <c r="I22" s="28">
        <v>0</v>
      </c>
      <c r="J22" s="72">
        <v>15</v>
      </c>
      <c r="K22" s="46">
        <f t="shared" si="0"/>
        <v>0</v>
      </c>
      <c r="L22" s="46">
        <f t="shared" si="1"/>
        <v>93.333333333333329</v>
      </c>
      <c r="M22" s="46">
        <f t="shared" si="2"/>
        <v>0</v>
      </c>
      <c r="N22" s="67">
        <f t="shared" si="3"/>
        <v>93.333333333333329</v>
      </c>
      <c r="O22" s="45">
        <v>0</v>
      </c>
      <c r="P22" s="46">
        <v>43.42</v>
      </c>
      <c r="Q22" s="46">
        <v>0</v>
      </c>
      <c r="R22" s="47">
        <f t="shared" si="4"/>
        <v>43.42</v>
      </c>
      <c r="S22" s="28">
        <v>4</v>
      </c>
      <c r="T22" s="284"/>
      <c r="U22" s="293"/>
      <c r="V22" s="37" t="s">
        <v>996</v>
      </c>
      <c r="W22" s="28" t="s">
        <v>17</v>
      </c>
      <c r="X22" s="28" t="s">
        <v>18</v>
      </c>
      <c r="Y22" s="87">
        <v>43.42</v>
      </c>
      <c r="AC22" s="46"/>
      <c r="AD22" s="37"/>
      <c r="AG22" s="87"/>
      <c r="AK22" s="46"/>
      <c r="AL22" s="37"/>
      <c r="AO22" s="38"/>
      <c r="AP22" s="37"/>
      <c r="AS22" s="38"/>
      <c r="AW22" s="38"/>
      <c r="BA22" s="39"/>
    </row>
    <row r="23" spans="1:53" s="28" customFormat="1" x14ac:dyDescent="0.15">
      <c r="A23" s="28">
        <v>2007</v>
      </c>
      <c r="B23" s="275"/>
      <c r="C23" s="394" t="s">
        <v>997</v>
      </c>
      <c r="D23" s="394"/>
      <c r="E23" s="28">
        <v>365</v>
      </c>
      <c r="G23" s="65">
        <v>0</v>
      </c>
      <c r="H23" s="28">
        <v>14</v>
      </c>
      <c r="I23" s="28">
        <v>0</v>
      </c>
      <c r="J23" s="72">
        <v>15</v>
      </c>
      <c r="K23" s="46">
        <f t="shared" si="0"/>
        <v>0</v>
      </c>
      <c r="L23" s="46">
        <f t="shared" si="1"/>
        <v>93.333333333333329</v>
      </c>
      <c r="M23" s="46">
        <f t="shared" si="2"/>
        <v>0</v>
      </c>
      <c r="N23" s="67">
        <f t="shared" si="3"/>
        <v>93.333333333333329</v>
      </c>
      <c r="O23" s="45">
        <v>0</v>
      </c>
      <c r="P23" s="46">
        <v>43.42</v>
      </c>
      <c r="Q23" s="46">
        <v>0</v>
      </c>
      <c r="R23" s="47">
        <f t="shared" si="4"/>
        <v>43.42</v>
      </c>
      <c r="S23" s="28">
        <v>4</v>
      </c>
      <c r="T23" s="284">
        <v>39411</v>
      </c>
      <c r="U23" s="293"/>
      <c r="V23" s="37" t="s">
        <v>996</v>
      </c>
      <c r="W23" s="28" t="s">
        <v>17</v>
      </c>
      <c r="X23" s="28" t="s">
        <v>18</v>
      </c>
      <c r="Y23" s="87">
        <v>43.42</v>
      </c>
      <c r="AC23" s="46"/>
      <c r="AD23" s="37"/>
      <c r="AG23" s="87"/>
      <c r="AK23" s="46"/>
      <c r="AL23" s="37"/>
      <c r="AO23" s="38"/>
      <c r="AP23" s="37"/>
      <c r="AS23" s="38"/>
      <c r="AW23" s="38"/>
      <c r="BA23" s="39"/>
    </row>
    <row r="24" spans="1:53" s="28" customFormat="1" x14ac:dyDescent="0.15">
      <c r="A24" s="28">
        <v>2008</v>
      </c>
      <c r="B24" s="275"/>
      <c r="C24" s="394" t="s">
        <v>997</v>
      </c>
      <c r="D24" s="394"/>
      <c r="E24" s="28">
        <v>11</v>
      </c>
      <c r="G24" s="65">
        <v>0</v>
      </c>
      <c r="H24" s="28">
        <v>14</v>
      </c>
      <c r="I24" s="28">
        <v>0</v>
      </c>
      <c r="J24" s="72">
        <v>15</v>
      </c>
      <c r="K24" s="46">
        <f t="shared" si="0"/>
        <v>0</v>
      </c>
      <c r="L24" s="46">
        <f t="shared" si="1"/>
        <v>93.333333333333329</v>
      </c>
      <c r="M24" s="46">
        <f t="shared" si="2"/>
        <v>0</v>
      </c>
      <c r="N24" s="67">
        <f t="shared" si="3"/>
        <v>93.333333333333329</v>
      </c>
      <c r="O24" s="45">
        <v>0</v>
      </c>
      <c r="P24" s="46">
        <v>43.42</v>
      </c>
      <c r="Q24" s="46">
        <v>0</v>
      </c>
      <c r="R24" s="47">
        <f t="shared" si="4"/>
        <v>43.42</v>
      </c>
      <c r="S24" s="28">
        <v>4</v>
      </c>
      <c r="T24" s="284"/>
      <c r="U24" s="293"/>
      <c r="V24" s="37" t="s">
        <v>996</v>
      </c>
      <c r="W24" s="28" t="s">
        <v>17</v>
      </c>
      <c r="X24" s="28" t="s">
        <v>18</v>
      </c>
      <c r="Y24" s="87">
        <v>43.42</v>
      </c>
      <c r="AC24" s="46"/>
      <c r="AD24" s="37"/>
      <c r="AG24" s="87"/>
      <c r="AK24" s="46"/>
      <c r="AL24" s="37"/>
      <c r="AO24" s="38"/>
      <c r="AP24" s="37"/>
      <c r="AS24" s="38"/>
      <c r="AW24" s="38"/>
      <c r="BA24" s="39"/>
    </row>
    <row r="25" spans="1:53" s="170" customFormat="1" x14ac:dyDescent="0.15">
      <c r="A25" s="170">
        <v>2008</v>
      </c>
      <c r="B25" s="304">
        <v>39459</v>
      </c>
      <c r="C25" s="395" t="s">
        <v>998</v>
      </c>
      <c r="D25" s="395"/>
      <c r="E25" s="170">
        <v>272</v>
      </c>
      <c r="F25" s="170">
        <v>1</v>
      </c>
      <c r="G25" s="232">
        <v>1</v>
      </c>
      <c r="H25" s="170">
        <v>16</v>
      </c>
      <c r="I25" s="170">
        <v>0</v>
      </c>
      <c r="J25" s="240">
        <v>18</v>
      </c>
      <c r="K25" s="213">
        <f t="shared" si="0"/>
        <v>5.5555555555555554</v>
      </c>
      <c r="L25" s="213">
        <f t="shared" si="1"/>
        <v>88.888888888888886</v>
      </c>
      <c r="M25" s="213">
        <f t="shared" si="2"/>
        <v>0</v>
      </c>
      <c r="N25" s="234">
        <f t="shared" si="3"/>
        <v>94.444444444444443</v>
      </c>
      <c r="O25" s="212">
        <v>3.3</v>
      </c>
      <c r="P25" s="213">
        <v>47</v>
      </c>
      <c r="Q25" s="213">
        <v>0</v>
      </c>
      <c r="R25" s="214">
        <f t="shared" si="4"/>
        <v>50.3</v>
      </c>
      <c r="S25" s="170">
        <v>2</v>
      </c>
      <c r="T25" s="283"/>
      <c r="U25" s="304">
        <v>39459</v>
      </c>
      <c r="V25" s="177" t="s">
        <v>996</v>
      </c>
      <c r="W25" s="170" t="s">
        <v>17</v>
      </c>
      <c r="X25" s="170" t="s">
        <v>18</v>
      </c>
      <c r="Y25" s="247">
        <v>43.1</v>
      </c>
      <c r="Z25" s="170" t="s">
        <v>990</v>
      </c>
      <c r="AA25" s="170" t="s">
        <v>869</v>
      </c>
      <c r="AB25" s="170" t="s">
        <v>18</v>
      </c>
      <c r="AC25" s="213">
        <v>3.9</v>
      </c>
      <c r="AD25" s="177" t="s">
        <v>989</v>
      </c>
      <c r="AE25" s="170" t="s">
        <v>327</v>
      </c>
      <c r="AF25" s="170" t="s">
        <v>11</v>
      </c>
      <c r="AG25" s="247">
        <v>1.3</v>
      </c>
      <c r="AH25" s="170" t="s">
        <v>999</v>
      </c>
      <c r="AI25" s="170" t="s">
        <v>327</v>
      </c>
      <c r="AJ25" s="170" t="s">
        <v>11</v>
      </c>
      <c r="AK25" s="213">
        <v>1.97</v>
      </c>
      <c r="AL25" s="177"/>
      <c r="AO25" s="178"/>
      <c r="AP25" s="177"/>
      <c r="AS25" s="178"/>
      <c r="AW25" s="178"/>
      <c r="BA25" s="179"/>
    </row>
    <row r="26" spans="1:53" s="170" customFormat="1" x14ac:dyDescent="0.15">
      <c r="A26" s="170">
        <v>2008</v>
      </c>
      <c r="B26" s="299">
        <v>39731</v>
      </c>
      <c r="C26" s="395" t="s">
        <v>998</v>
      </c>
      <c r="D26" s="395"/>
      <c r="E26" s="170">
        <f xml:space="preserve"> 366-E25-E24</f>
        <v>83</v>
      </c>
      <c r="F26" s="191">
        <v>0</v>
      </c>
      <c r="G26" s="232">
        <v>1</v>
      </c>
      <c r="H26" s="170">
        <v>14</v>
      </c>
      <c r="I26" s="170">
        <v>0</v>
      </c>
      <c r="J26" s="240">
        <v>18</v>
      </c>
      <c r="K26" s="213">
        <f t="shared" si="0"/>
        <v>5.5555555555555554</v>
      </c>
      <c r="L26" s="213">
        <f t="shared" si="1"/>
        <v>77.777777777777786</v>
      </c>
      <c r="M26" s="213">
        <f t="shared" si="2"/>
        <v>0</v>
      </c>
      <c r="N26" s="234">
        <f t="shared" si="3"/>
        <v>83.333333333333343</v>
      </c>
      <c r="O26" s="212">
        <v>3.3</v>
      </c>
      <c r="P26" s="213">
        <v>47</v>
      </c>
      <c r="Q26" s="213">
        <v>0</v>
      </c>
      <c r="R26" s="214">
        <f t="shared" si="4"/>
        <v>50.3</v>
      </c>
      <c r="S26" s="170">
        <v>2</v>
      </c>
      <c r="T26" s="283"/>
      <c r="U26" s="281"/>
      <c r="V26" s="177" t="s">
        <v>996</v>
      </c>
      <c r="W26" s="170" t="s">
        <v>17</v>
      </c>
      <c r="X26" s="170" t="s">
        <v>18</v>
      </c>
      <c r="Y26" s="247">
        <v>43.1</v>
      </c>
      <c r="Z26" s="170" t="s">
        <v>990</v>
      </c>
      <c r="AA26" s="170" t="s">
        <v>869</v>
      </c>
      <c r="AB26" s="170" t="s">
        <v>18</v>
      </c>
      <c r="AC26" s="213">
        <v>3.9</v>
      </c>
      <c r="AD26" s="177" t="s">
        <v>989</v>
      </c>
      <c r="AE26" s="170" t="s">
        <v>327</v>
      </c>
      <c r="AF26" s="170" t="s">
        <v>11</v>
      </c>
      <c r="AG26" s="247">
        <v>1.3</v>
      </c>
      <c r="AH26" s="170" t="s">
        <v>999</v>
      </c>
      <c r="AI26" s="170" t="s">
        <v>327</v>
      </c>
      <c r="AJ26" s="170" t="s">
        <v>11</v>
      </c>
      <c r="AK26" s="213">
        <v>1.97</v>
      </c>
      <c r="AL26" s="177"/>
      <c r="AO26" s="178"/>
      <c r="AP26" s="177"/>
      <c r="AS26" s="178"/>
      <c r="AW26" s="178"/>
      <c r="BA26" s="179"/>
    </row>
    <row r="27" spans="1:53" s="170" customFormat="1" x14ac:dyDescent="0.15">
      <c r="A27" s="170">
        <v>2009</v>
      </c>
      <c r="B27" s="304"/>
      <c r="C27" s="395" t="s">
        <v>998</v>
      </c>
      <c r="D27" s="395"/>
      <c r="E27" s="170">
        <v>186</v>
      </c>
      <c r="G27" s="232">
        <v>1</v>
      </c>
      <c r="H27" s="170">
        <v>14</v>
      </c>
      <c r="I27" s="170">
        <v>0</v>
      </c>
      <c r="J27" s="240">
        <v>18</v>
      </c>
      <c r="K27" s="213">
        <f t="shared" si="0"/>
        <v>5.5555555555555554</v>
      </c>
      <c r="L27" s="213">
        <f t="shared" si="1"/>
        <v>77.777777777777786</v>
      </c>
      <c r="M27" s="213">
        <f t="shared" si="2"/>
        <v>0</v>
      </c>
      <c r="N27" s="234">
        <f t="shared" si="3"/>
        <v>83.333333333333343</v>
      </c>
      <c r="O27" s="212">
        <v>3.3</v>
      </c>
      <c r="P27" s="213">
        <v>47</v>
      </c>
      <c r="Q27" s="213">
        <v>0</v>
      </c>
      <c r="R27" s="214">
        <f t="shared" si="4"/>
        <v>50.3</v>
      </c>
      <c r="S27" s="170">
        <v>2</v>
      </c>
      <c r="T27" s="283"/>
      <c r="U27" s="281"/>
      <c r="V27" s="177" t="s">
        <v>996</v>
      </c>
      <c r="W27" s="170" t="s">
        <v>17</v>
      </c>
      <c r="X27" s="170" t="s">
        <v>18</v>
      </c>
      <c r="Y27" s="247">
        <v>43.1</v>
      </c>
      <c r="Z27" s="170" t="s">
        <v>990</v>
      </c>
      <c r="AA27" s="170" t="s">
        <v>869</v>
      </c>
      <c r="AB27" s="170" t="s">
        <v>18</v>
      </c>
      <c r="AC27" s="213">
        <v>3.9</v>
      </c>
      <c r="AD27" s="177" t="s">
        <v>989</v>
      </c>
      <c r="AE27" s="170" t="s">
        <v>327</v>
      </c>
      <c r="AF27" s="170" t="s">
        <v>11</v>
      </c>
      <c r="AG27" s="247">
        <v>1.3</v>
      </c>
      <c r="AH27" s="170" t="s">
        <v>999</v>
      </c>
      <c r="AI27" s="170" t="s">
        <v>327</v>
      </c>
      <c r="AJ27" s="170" t="s">
        <v>11</v>
      </c>
      <c r="AK27" s="213">
        <v>1.97</v>
      </c>
      <c r="AL27" s="177"/>
      <c r="AO27" s="178"/>
      <c r="AP27" s="177"/>
      <c r="AS27" s="178"/>
      <c r="AW27" s="178"/>
      <c r="BA27" s="179"/>
    </row>
    <row r="28" spans="1:53" s="28" customFormat="1" x14ac:dyDescent="0.15">
      <c r="A28" s="28">
        <v>2009</v>
      </c>
      <c r="B28" s="275">
        <v>40000</v>
      </c>
      <c r="C28" s="394" t="s">
        <v>1000</v>
      </c>
      <c r="D28" s="394"/>
      <c r="E28" s="28">
        <f xml:space="preserve"> 365-E27</f>
        <v>179</v>
      </c>
      <c r="F28" s="28">
        <v>2</v>
      </c>
      <c r="G28" s="65">
        <v>1</v>
      </c>
      <c r="H28" s="28">
        <v>16</v>
      </c>
      <c r="I28" s="28">
        <v>0</v>
      </c>
      <c r="J28" s="72">
        <v>20</v>
      </c>
      <c r="K28" s="46">
        <f t="shared" si="0"/>
        <v>5</v>
      </c>
      <c r="L28" s="46">
        <f t="shared" si="1"/>
        <v>80</v>
      </c>
      <c r="M28" s="46">
        <f t="shared" si="2"/>
        <v>0</v>
      </c>
      <c r="N28" s="67">
        <f t="shared" si="3"/>
        <v>85</v>
      </c>
      <c r="O28" s="45">
        <v>3.27</v>
      </c>
      <c r="P28" s="46">
        <v>47</v>
      </c>
      <c r="Q28" s="46">
        <v>0</v>
      </c>
      <c r="R28" s="47">
        <f t="shared" si="4"/>
        <v>50.27</v>
      </c>
      <c r="S28" s="28">
        <v>2</v>
      </c>
      <c r="T28" s="284"/>
      <c r="U28" s="275">
        <v>40000</v>
      </c>
      <c r="V28" s="37" t="s">
        <v>996</v>
      </c>
      <c r="W28" s="28" t="s">
        <v>17</v>
      </c>
      <c r="X28" s="28" t="s">
        <v>18</v>
      </c>
      <c r="Y28" s="87">
        <v>43.1</v>
      </c>
      <c r="Z28" s="28" t="s">
        <v>999</v>
      </c>
      <c r="AA28" s="28" t="s">
        <v>327</v>
      </c>
      <c r="AB28" s="28" t="s">
        <v>11</v>
      </c>
      <c r="AC28" s="46">
        <v>1.97</v>
      </c>
      <c r="AD28" s="37" t="s">
        <v>989</v>
      </c>
      <c r="AE28" s="28" t="s">
        <v>327</v>
      </c>
      <c r="AF28" s="28" t="s">
        <v>11</v>
      </c>
      <c r="AG28" s="87">
        <v>1.3</v>
      </c>
      <c r="AH28" s="28" t="s">
        <v>990</v>
      </c>
      <c r="AI28" s="28" t="s">
        <v>869</v>
      </c>
      <c r="AJ28" s="28" t="s">
        <v>18</v>
      </c>
      <c r="AK28" s="46">
        <v>3.9</v>
      </c>
      <c r="AL28" s="37"/>
      <c r="AO28" s="38"/>
      <c r="AP28" s="37"/>
      <c r="AS28" s="38"/>
      <c r="AW28" s="38"/>
      <c r="BA28" s="39"/>
    </row>
    <row r="29" spans="1:53" s="28" customFormat="1" x14ac:dyDescent="0.15">
      <c r="A29" s="28">
        <v>2010</v>
      </c>
      <c r="B29" s="275"/>
      <c r="C29" s="394" t="s">
        <v>1000</v>
      </c>
      <c r="D29" s="394"/>
      <c r="E29" s="28">
        <v>83</v>
      </c>
      <c r="G29" s="65">
        <v>1</v>
      </c>
      <c r="H29" s="28">
        <v>16</v>
      </c>
      <c r="I29" s="28">
        <v>0</v>
      </c>
      <c r="J29" s="72">
        <v>20</v>
      </c>
      <c r="K29" s="46">
        <f t="shared" si="0"/>
        <v>5</v>
      </c>
      <c r="L29" s="46">
        <f t="shared" si="1"/>
        <v>80</v>
      </c>
      <c r="M29" s="46">
        <f t="shared" si="2"/>
        <v>0</v>
      </c>
      <c r="N29" s="67">
        <f t="shared" si="3"/>
        <v>85</v>
      </c>
      <c r="O29" s="45">
        <v>3.27</v>
      </c>
      <c r="P29" s="46">
        <v>47</v>
      </c>
      <c r="Q29" s="46">
        <v>0</v>
      </c>
      <c r="R29" s="47">
        <f t="shared" si="4"/>
        <v>50.27</v>
      </c>
      <c r="S29" s="28">
        <v>2</v>
      </c>
      <c r="T29" s="284"/>
      <c r="U29" s="293"/>
      <c r="V29" s="37" t="s">
        <v>996</v>
      </c>
      <c r="W29" s="28" t="s">
        <v>17</v>
      </c>
      <c r="X29" s="28" t="s">
        <v>18</v>
      </c>
      <c r="Y29" s="87">
        <v>43.1</v>
      </c>
      <c r="Z29" s="28" t="s">
        <v>999</v>
      </c>
      <c r="AA29" s="28" t="s">
        <v>327</v>
      </c>
      <c r="AB29" s="28" t="s">
        <v>11</v>
      </c>
      <c r="AC29" s="46">
        <v>1.97</v>
      </c>
      <c r="AD29" s="37" t="s">
        <v>989</v>
      </c>
      <c r="AE29" s="28" t="s">
        <v>327</v>
      </c>
      <c r="AF29" s="28" t="s">
        <v>11</v>
      </c>
      <c r="AG29" s="87">
        <v>1.3</v>
      </c>
      <c r="AH29" s="28" t="s">
        <v>990</v>
      </c>
      <c r="AI29" s="28" t="s">
        <v>869</v>
      </c>
      <c r="AJ29" s="28" t="s">
        <v>18</v>
      </c>
      <c r="AK29" s="46">
        <v>3.9</v>
      </c>
      <c r="AL29" s="37"/>
      <c r="AO29" s="38"/>
      <c r="AP29" s="37"/>
      <c r="AS29" s="38"/>
      <c r="AW29" s="38"/>
      <c r="BA29" s="39"/>
    </row>
    <row r="30" spans="1:53" s="28" customFormat="1" x14ac:dyDescent="0.15">
      <c r="A30" s="28">
        <v>2010</v>
      </c>
      <c r="B30" s="298">
        <v>40262</v>
      </c>
      <c r="C30" s="394" t="s">
        <v>1000</v>
      </c>
      <c r="D30" s="394"/>
      <c r="E30" s="28">
        <v>104</v>
      </c>
      <c r="F30" s="69">
        <v>0</v>
      </c>
      <c r="G30" s="65">
        <v>1</v>
      </c>
      <c r="H30" s="28">
        <v>15</v>
      </c>
      <c r="I30" s="28">
        <v>0</v>
      </c>
      <c r="J30" s="72">
        <v>19</v>
      </c>
      <c r="K30" s="46">
        <f t="shared" si="0"/>
        <v>5.2631578947368416</v>
      </c>
      <c r="L30" s="46">
        <f t="shared" si="1"/>
        <v>78.94736842105263</v>
      </c>
      <c r="M30" s="46">
        <f t="shared" si="2"/>
        <v>0</v>
      </c>
      <c r="N30" s="67">
        <f t="shared" si="3"/>
        <v>84.210526315789465</v>
      </c>
      <c r="O30" s="45">
        <v>3.27</v>
      </c>
      <c r="P30" s="46">
        <v>47</v>
      </c>
      <c r="Q30" s="46">
        <v>0</v>
      </c>
      <c r="R30" s="47">
        <f t="shared" si="4"/>
        <v>50.27</v>
      </c>
      <c r="S30" s="28">
        <v>2</v>
      </c>
      <c r="T30" s="284"/>
      <c r="U30" s="293"/>
      <c r="V30" s="37" t="s">
        <v>996</v>
      </c>
      <c r="W30" s="28" t="s">
        <v>17</v>
      </c>
      <c r="X30" s="28" t="s">
        <v>18</v>
      </c>
      <c r="Y30" s="87">
        <v>43.1</v>
      </c>
      <c r="Z30" s="28" t="s">
        <v>999</v>
      </c>
      <c r="AA30" s="28" t="s">
        <v>327</v>
      </c>
      <c r="AB30" s="28" t="s">
        <v>11</v>
      </c>
      <c r="AC30" s="46">
        <v>1.97</v>
      </c>
      <c r="AD30" s="37" t="s">
        <v>989</v>
      </c>
      <c r="AE30" s="28" t="s">
        <v>327</v>
      </c>
      <c r="AF30" s="28" t="s">
        <v>11</v>
      </c>
      <c r="AG30" s="87">
        <v>1.3</v>
      </c>
      <c r="AH30" s="28" t="s">
        <v>990</v>
      </c>
      <c r="AI30" s="28" t="s">
        <v>869</v>
      </c>
      <c r="AJ30" s="28" t="s">
        <v>18</v>
      </c>
      <c r="AK30" s="46">
        <v>3.9</v>
      </c>
      <c r="AL30" s="37"/>
      <c r="AO30" s="38"/>
      <c r="AP30" s="37"/>
      <c r="AS30" s="38"/>
      <c r="AW30" s="38"/>
      <c r="BA30" s="39"/>
    </row>
    <row r="31" spans="1:53" s="28" customFormat="1" x14ac:dyDescent="0.15">
      <c r="A31" s="28">
        <v>2010</v>
      </c>
      <c r="B31" s="298">
        <v>40366</v>
      </c>
      <c r="C31" s="394" t="s">
        <v>1000</v>
      </c>
      <c r="D31" s="394"/>
      <c r="E31" s="28">
        <v>175</v>
      </c>
      <c r="F31" s="69">
        <v>0</v>
      </c>
      <c r="G31" s="65">
        <v>1</v>
      </c>
      <c r="H31" s="28">
        <v>16</v>
      </c>
      <c r="I31" s="28">
        <v>0</v>
      </c>
      <c r="J31" s="72">
        <v>19</v>
      </c>
      <c r="K31" s="46">
        <f t="shared" si="0"/>
        <v>5.2631578947368416</v>
      </c>
      <c r="L31" s="46">
        <f t="shared" si="1"/>
        <v>84.210526315789465</v>
      </c>
      <c r="M31" s="46">
        <f t="shared" si="2"/>
        <v>0</v>
      </c>
      <c r="N31" s="67">
        <f t="shared" si="3"/>
        <v>89.473684210526301</v>
      </c>
      <c r="O31" s="45">
        <v>3.27</v>
      </c>
      <c r="P31" s="46">
        <v>47</v>
      </c>
      <c r="Q31" s="46">
        <v>0</v>
      </c>
      <c r="R31" s="47">
        <f t="shared" si="4"/>
        <v>50.27</v>
      </c>
      <c r="S31" s="28">
        <v>2</v>
      </c>
      <c r="T31" s="284"/>
      <c r="U31" s="293"/>
      <c r="V31" s="37" t="s">
        <v>996</v>
      </c>
      <c r="W31" s="28" t="s">
        <v>17</v>
      </c>
      <c r="X31" s="28" t="s">
        <v>18</v>
      </c>
      <c r="Y31" s="87">
        <v>43.1</v>
      </c>
      <c r="Z31" s="28" t="s">
        <v>999</v>
      </c>
      <c r="AA31" s="28" t="s">
        <v>327</v>
      </c>
      <c r="AB31" s="28" t="s">
        <v>11</v>
      </c>
      <c r="AC31" s="46">
        <v>1.97</v>
      </c>
      <c r="AD31" s="37" t="s">
        <v>989</v>
      </c>
      <c r="AE31" s="28" t="s">
        <v>327</v>
      </c>
      <c r="AF31" s="28" t="s">
        <v>11</v>
      </c>
      <c r="AG31" s="87">
        <v>1.3</v>
      </c>
      <c r="AH31" s="28" t="s">
        <v>990</v>
      </c>
      <c r="AI31" s="28" t="s">
        <v>869</v>
      </c>
      <c r="AJ31" s="28" t="s">
        <v>18</v>
      </c>
      <c r="AK31" s="46">
        <v>3.9</v>
      </c>
      <c r="AL31" s="37"/>
      <c r="AO31" s="38"/>
      <c r="AP31" s="37"/>
      <c r="AS31" s="38"/>
      <c r="AW31" s="38"/>
      <c r="BA31" s="39"/>
    </row>
    <row r="32" spans="1:53" s="170" customFormat="1" x14ac:dyDescent="0.15">
      <c r="A32" s="170">
        <v>2010</v>
      </c>
      <c r="B32" s="304">
        <v>40541</v>
      </c>
      <c r="C32" s="395" t="s">
        <v>1001</v>
      </c>
      <c r="D32" s="395"/>
      <c r="E32" s="170">
        <f xml:space="preserve"> 365-E31-E30-E29</f>
        <v>3</v>
      </c>
      <c r="F32" s="170">
        <v>4</v>
      </c>
      <c r="G32" s="232">
        <v>0</v>
      </c>
      <c r="H32" s="170">
        <v>16</v>
      </c>
      <c r="I32" s="170">
        <v>0</v>
      </c>
      <c r="J32" s="240">
        <v>19</v>
      </c>
      <c r="K32" s="213">
        <f t="shared" si="0"/>
        <v>0</v>
      </c>
      <c r="L32" s="213">
        <f t="shared" si="1"/>
        <v>84.210526315789465</v>
      </c>
      <c r="M32" s="213">
        <f t="shared" si="2"/>
        <v>0</v>
      </c>
      <c r="N32" s="234">
        <f t="shared" si="3"/>
        <v>84.210526315789465</v>
      </c>
      <c r="O32" s="212">
        <v>1.97</v>
      </c>
      <c r="P32" s="213">
        <v>47</v>
      </c>
      <c r="Q32" s="213">
        <v>0</v>
      </c>
      <c r="R32" s="214">
        <f t="shared" si="4"/>
        <v>48.97</v>
      </c>
      <c r="S32" s="170">
        <v>5</v>
      </c>
      <c r="T32" s="283"/>
      <c r="U32" s="304">
        <v>40541</v>
      </c>
      <c r="V32" s="177" t="s">
        <v>996</v>
      </c>
      <c r="W32" s="170" t="s">
        <v>17</v>
      </c>
      <c r="X32" s="170" t="s">
        <v>18</v>
      </c>
      <c r="Y32" s="247">
        <v>43.1</v>
      </c>
      <c r="Z32" s="170" t="s">
        <v>999</v>
      </c>
      <c r="AA32" s="170" t="s">
        <v>327</v>
      </c>
      <c r="AB32" s="170" t="s">
        <v>11</v>
      </c>
      <c r="AC32" s="213">
        <v>1.97</v>
      </c>
      <c r="AD32" s="177" t="s">
        <v>990</v>
      </c>
      <c r="AE32" s="170" t="s">
        <v>869</v>
      </c>
      <c r="AF32" s="170" t="s">
        <v>18</v>
      </c>
      <c r="AG32" s="247">
        <v>3.9</v>
      </c>
      <c r="AL32" s="177"/>
      <c r="AO32" s="178"/>
      <c r="AP32" s="177"/>
      <c r="AS32" s="178"/>
      <c r="AW32" s="178"/>
      <c r="BA32" s="179"/>
    </row>
    <row r="33" spans="1:53" s="170" customFormat="1" x14ac:dyDescent="0.15">
      <c r="A33" s="170">
        <v>2011</v>
      </c>
      <c r="B33" s="304"/>
      <c r="C33" s="395" t="s">
        <v>1001</v>
      </c>
      <c r="D33" s="395"/>
      <c r="E33" s="170">
        <v>356</v>
      </c>
      <c r="G33" s="232">
        <v>0</v>
      </c>
      <c r="H33" s="170">
        <v>16</v>
      </c>
      <c r="I33" s="170">
        <v>0</v>
      </c>
      <c r="J33" s="240">
        <v>19</v>
      </c>
      <c r="K33" s="213">
        <f t="shared" si="0"/>
        <v>0</v>
      </c>
      <c r="L33" s="213">
        <f t="shared" si="1"/>
        <v>84.210526315789465</v>
      </c>
      <c r="M33" s="213">
        <f t="shared" si="2"/>
        <v>0</v>
      </c>
      <c r="N33" s="234">
        <f t="shared" si="3"/>
        <v>84.210526315789465</v>
      </c>
      <c r="O33" s="212">
        <v>1.97</v>
      </c>
      <c r="P33" s="213">
        <v>47</v>
      </c>
      <c r="Q33" s="213">
        <v>0</v>
      </c>
      <c r="R33" s="214">
        <f t="shared" si="4"/>
        <v>48.97</v>
      </c>
      <c r="S33" s="170">
        <v>5</v>
      </c>
      <c r="T33" s="283"/>
      <c r="U33" s="281"/>
      <c r="V33" s="177" t="s">
        <v>996</v>
      </c>
      <c r="W33" s="170" t="s">
        <v>17</v>
      </c>
      <c r="X33" s="170" t="s">
        <v>18</v>
      </c>
      <c r="Y33" s="247">
        <v>43.1</v>
      </c>
      <c r="Z33" s="170" t="s">
        <v>999</v>
      </c>
      <c r="AA33" s="170" t="s">
        <v>327</v>
      </c>
      <c r="AB33" s="170" t="s">
        <v>11</v>
      </c>
      <c r="AC33" s="213">
        <v>1.97</v>
      </c>
      <c r="AD33" s="177" t="s">
        <v>990</v>
      </c>
      <c r="AE33" s="170" t="s">
        <v>869</v>
      </c>
      <c r="AF33" s="170" t="s">
        <v>18</v>
      </c>
      <c r="AG33" s="247">
        <v>3.9</v>
      </c>
      <c r="AL33" s="177"/>
      <c r="AO33" s="178"/>
      <c r="AP33" s="177"/>
      <c r="AS33" s="178"/>
      <c r="AW33" s="178"/>
      <c r="BA33" s="179"/>
    </row>
    <row r="34" spans="1:53" s="28" customFormat="1" x14ac:dyDescent="0.15">
      <c r="A34" s="28">
        <v>2011</v>
      </c>
      <c r="B34" s="275">
        <v>40900</v>
      </c>
      <c r="C34" s="394" t="s">
        <v>1180</v>
      </c>
      <c r="D34" s="394"/>
      <c r="E34" s="28">
        <f xml:space="preserve"> 365-E33</f>
        <v>9</v>
      </c>
      <c r="F34" s="28">
        <v>1</v>
      </c>
      <c r="G34" s="65">
        <v>5</v>
      </c>
      <c r="H34" s="28">
        <v>0</v>
      </c>
      <c r="I34" s="28">
        <v>15</v>
      </c>
      <c r="J34" s="72">
        <v>22</v>
      </c>
      <c r="K34" s="46">
        <f t="shared" si="0"/>
        <v>22.727272727272727</v>
      </c>
      <c r="L34" s="46">
        <f t="shared" si="1"/>
        <v>0</v>
      </c>
      <c r="M34" s="46">
        <f t="shared" si="2"/>
        <v>68.181818181818173</v>
      </c>
      <c r="N34" s="67">
        <f t="shared" si="3"/>
        <v>90.909090909090907</v>
      </c>
      <c r="O34" s="45">
        <v>11.3</v>
      </c>
      <c r="P34" s="46">
        <v>0</v>
      </c>
      <c r="Q34" s="46">
        <v>39.700000000000003</v>
      </c>
      <c r="R34" s="47">
        <f t="shared" si="4"/>
        <v>51</v>
      </c>
      <c r="S34" s="28">
        <v>2</v>
      </c>
      <c r="T34" s="284">
        <v>40881</v>
      </c>
      <c r="U34" s="275">
        <v>40900</v>
      </c>
      <c r="V34" s="37" t="s">
        <v>111</v>
      </c>
      <c r="W34" s="28" t="s">
        <v>20</v>
      </c>
      <c r="X34" s="28" t="s">
        <v>12</v>
      </c>
      <c r="Y34" s="87">
        <v>39.700000000000003</v>
      </c>
      <c r="Z34" s="28" t="s">
        <v>992</v>
      </c>
      <c r="AA34" s="28" t="s">
        <v>22</v>
      </c>
      <c r="AB34" s="28" t="s">
        <v>11</v>
      </c>
      <c r="AC34" s="46">
        <v>9.3000000000000007</v>
      </c>
      <c r="AD34" s="37" t="s">
        <v>991</v>
      </c>
      <c r="AE34" s="28" t="s">
        <v>327</v>
      </c>
      <c r="AF34" s="28" t="s">
        <v>11</v>
      </c>
      <c r="AG34" s="87">
        <v>2</v>
      </c>
      <c r="AL34" s="37"/>
      <c r="AO34" s="38"/>
      <c r="AP34" s="37"/>
      <c r="AS34" s="38"/>
      <c r="AW34" s="38"/>
      <c r="BA34" s="39"/>
    </row>
    <row r="35" spans="1:53" s="28" customFormat="1" x14ac:dyDescent="0.15">
      <c r="A35" s="28">
        <v>2012</v>
      </c>
      <c r="B35" s="293"/>
      <c r="C35" s="394" t="s">
        <v>1180</v>
      </c>
      <c r="D35" s="394"/>
      <c r="E35" s="28">
        <v>0</v>
      </c>
      <c r="G35" s="65">
        <v>5</v>
      </c>
      <c r="H35" s="28">
        <v>0</v>
      </c>
      <c r="I35" s="28">
        <v>15</v>
      </c>
      <c r="J35" s="72">
        <v>22</v>
      </c>
      <c r="K35" s="46">
        <f t="shared" si="0"/>
        <v>22.727272727272727</v>
      </c>
      <c r="L35" s="46">
        <f t="shared" si="1"/>
        <v>0</v>
      </c>
      <c r="M35" s="46">
        <f t="shared" si="2"/>
        <v>68.181818181818173</v>
      </c>
      <c r="N35" s="67">
        <f t="shared" si="3"/>
        <v>90.909090909090907</v>
      </c>
      <c r="O35" s="45">
        <v>11.3</v>
      </c>
      <c r="P35" s="46">
        <v>0</v>
      </c>
      <c r="Q35" s="46">
        <v>39.700000000000003</v>
      </c>
      <c r="R35" s="47">
        <f t="shared" si="4"/>
        <v>51</v>
      </c>
      <c r="S35" s="28">
        <v>2</v>
      </c>
      <c r="T35" s="284"/>
      <c r="U35" s="293"/>
      <c r="V35" s="37" t="s">
        <v>111</v>
      </c>
      <c r="W35" s="28" t="s">
        <v>20</v>
      </c>
      <c r="X35" s="28" t="s">
        <v>12</v>
      </c>
      <c r="Y35" s="87">
        <v>39.700000000000003</v>
      </c>
      <c r="Z35" s="28" t="s">
        <v>992</v>
      </c>
      <c r="AA35" s="28" t="s">
        <v>22</v>
      </c>
      <c r="AB35" s="28" t="s">
        <v>11</v>
      </c>
      <c r="AC35" s="46">
        <v>9.3000000000000007</v>
      </c>
      <c r="AD35" s="37" t="s">
        <v>991</v>
      </c>
      <c r="AE35" s="28" t="s">
        <v>327</v>
      </c>
      <c r="AF35" s="28" t="s">
        <v>11</v>
      </c>
      <c r="AG35" s="87">
        <v>2</v>
      </c>
      <c r="AL35" s="37"/>
      <c r="AO35" s="38"/>
      <c r="AP35" s="37"/>
      <c r="AS35" s="38"/>
      <c r="AW35" s="38"/>
      <c r="BA35" s="39"/>
    </row>
    <row r="36" spans="1:53" s="28" customFormat="1" x14ac:dyDescent="0.15">
      <c r="A36" s="28">
        <v>2012</v>
      </c>
      <c r="B36" s="293"/>
      <c r="C36" s="394" t="s">
        <v>1180</v>
      </c>
      <c r="D36" s="394"/>
      <c r="E36" s="28">
        <v>366</v>
      </c>
      <c r="G36" s="65">
        <v>5</v>
      </c>
      <c r="H36" s="28">
        <v>0</v>
      </c>
      <c r="I36" s="28">
        <v>15</v>
      </c>
      <c r="J36" s="72">
        <v>22</v>
      </c>
      <c r="K36" s="46">
        <f t="shared" si="0"/>
        <v>22.727272727272727</v>
      </c>
      <c r="L36" s="46">
        <f t="shared" si="1"/>
        <v>0</v>
      </c>
      <c r="M36" s="46">
        <f t="shared" si="2"/>
        <v>68.181818181818173</v>
      </c>
      <c r="N36" s="67">
        <f t="shared" si="3"/>
        <v>90.909090909090907</v>
      </c>
      <c r="O36" s="45">
        <v>11.3</v>
      </c>
      <c r="P36" s="46">
        <v>0</v>
      </c>
      <c r="Q36" s="46">
        <v>39.700000000000003</v>
      </c>
      <c r="R36" s="47">
        <f t="shared" si="4"/>
        <v>51</v>
      </c>
      <c r="S36" s="28">
        <v>2</v>
      </c>
      <c r="T36" s="284"/>
      <c r="U36" s="293"/>
      <c r="V36" s="37" t="s">
        <v>111</v>
      </c>
      <c r="W36" s="28" t="s">
        <v>20</v>
      </c>
      <c r="X36" s="28" t="s">
        <v>12</v>
      </c>
      <c r="Y36" s="87">
        <v>39.700000000000003</v>
      </c>
      <c r="Z36" s="28" t="s">
        <v>992</v>
      </c>
      <c r="AA36" s="28" t="s">
        <v>22</v>
      </c>
      <c r="AB36" s="28" t="s">
        <v>11</v>
      </c>
      <c r="AC36" s="46">
        <v>9.3000000000000007</v>
      </c>
      <c r="AD36" s="37" t="s">
        <v>991</v>
      </c>
      <c r="AE36" s="28" t="s">
        <v>327</v>
      </c>
      <c r="AF36" s="28" t="s">
        <v>11</v>
      </c>
      <c r="AG36" s="87">
        <v>2</v>
      </c>
      <c r="AL36" s="37"/>
      <c r="AO36" s="38"/>
      <c r="AP36" s="37"/>
      <c r="AS36" s="38"/>
      <c r="AW36" s="38"/>
      <c r="BA36" s="39"/>
    </row>
    <row r="37" spans="1:53" s="28" customFormat="1" x14ac:dyDescent="0.15">
      <c r="A37" s="28">
        <v>2013</v>
      </c>
      <c r="B37" s="293"/>
      <c r="C37" s="394" t="s">
        <v>1180</v>
      </c>
      <c r="D37" s="394"/>
      <c r="E37" s="28">
        <v>181</v>
      </c>
      <c r="G37" s="65">
        <v>5</v>
      </c>
      <c r="H37" s="28">
        <v>0</v>
      </c>
      <c r="I37" s="28">
        <v>15</v>
      </c>
      <c r="J37" s="72">
        <v>22</v>
      </c>
      <c r="K37" s="46">
        <f t="shared" si="0"/>
        <v>22.727272727272727</v>
      </c>
      <c r="L37" s="46">
        <f t="shared" si="1"/>
        <v>0</v>
      </c>
      <c r="M37" s="46">
        <f t="shared" si="2"/>
        <v>68.181818181818173</v>
      </c>
      <c r="N37" s="67">
        <f t="shared" si="3"/>
        <v>90.909090909090907</v>
      </c>
      <c r="O37" s="45">
        <v>11.3</v>
      </c>
      <c r="P37" s="46">
        <v>0</v>
      </c>
      <c r="Q37" s="46">
        <v>39.700000000000003</v>
      </c>
      <c r="R37" s="47">
        <f t="shared" si="4"/>
        <v>51</v>
      </c>
      <c r="S37" s="28">
        <v>2</v>
      </c>
      <c r="T37" s="284"/>
      <c r="U37" s="293"/>
      <c r="V37" s="37" t="s">
        <v>111</v>
      </c>
      <c r="W37" s="28" t="s">
        <v>20</v>
      </c>
      <c r="X37" s="28" t="s">
        <v>12</v>
      </c>
      <c r="Y37" s="87">
        <v>39.700000000000003</v>
      </c>
      <c r="Z37" s="28" t="s">
        <v>992</v>
      </c>
      <c r="AA37" s="28" t="s">
        <v>22</v>
      </c>
      <c r="AB37" s="28" t="s">
        <v>11</v>
      </c>
      <c r="AC37" s="46">
        <v>9.3000000000000007</v>
      </c>
      <c r="AD37" s="37" t="s">
        <v>991</v>
      </c>
      <c r="AE37" s="28" t="s">
        <v>327</v>
      </c>
      <c r="AF37" s="28" t="s">
        <v>11</v>
      </c>
      <c r="AG37" s="87">
        <v>2</v>
      </c>
      <c r="AL37" s="37"/>
      <c r="AO37" s="38"/>
      <c r="AP37" s="37"/>
      <c r="AS37" s="38"/>
      <c r="AW37" s="38"/>
      <c r="BA37" s="39"/>
    </row>
    <row r="38" spans="1:53" s="28" customFormat="1" x14ac:dyDescent="0.15">
      <c r="A38" s="28">
        <v>2013</v>
      </c>
      <c r="B38" s="298">
        <v>41456</v>
      </c>
      <c r="C38" s="394" t="s">
        <v>1180</v>
      </c>
      <c r="D38" s="394"/>
      <c r="E38" s="28">
        <f>365-E37</f>
        <v>184</v>
      </c>
      <c r="F38" s="69">
        <v>0</v>
      </c>
      <c r="G38" s="65">
        <v>5</v>
      </c>
      <c r="H38" s="28">
        <v>0</v>
      </c>
      <c r="I38" s="28">
        <v>14</v>
      </c>
      <c r="J38" s="72">
        <v>21</v>
      </c>
      <c r="K38" s="46">
        <f>G38/J38*100</f>
        <v>23.809523809523807</v>
      </c>
      <c r="L38" s="46">
        <f>H38/J38*100</f>
        <v>0</v>
      </c>
      <c r="M38" s="46">
        <f>I38/J38*100</f>
        <v>66.666666666666657</v>
      </c>
      <c r="N38" s="67">
        <f>SUM(K38:M38)</f>
        <v>90.476190476190467</v>
      </c>
      <c r="O38" s="45">
        <v>11.3</v>
      </c>
      <c r="P38" s="46">
        <v>0</v>
      </c>
      <c r="Q38" s="46">
        <v>39.700000000000003</v>
      </c>
      <c r="R38" s="47">
        <f t="shared" si="4"/>
        <v>51</v>
      </c>
      <c r="S38" s="28">
        <v>2</v>
      </c>
      <c r="T38" s="284"/>
      <c r="U38" s="293"/>
      <c r="V38" s="37" t="s">
        <v>111</v>
      </c>
      <c r="W38" s="28" t="s">
        <v>20</v>
      </c>
      <c r="X38" s="28" t="s">
        <v>12</v>
      </c>
      <c r="Y38" s="87">
        <v>39.700000000000003</v>
      </c>
      <c r="Z38" s="28" t="s">
        <v>992</v>
      </c>
      <c r="AA38" s="28" t="s">
        <v>22</v>
      </c>
      <c r="AB38" s="28" t="s">
        <v>11</v>
      </c>
      <c r="AC38" s="46">
        <v>9.3000000000000007</v>
      </c>
      <c r="AD38" s="37" t="s">
        <v>991</v>
      </c>
      <c r="AE38" s="28" t="s">
        <v>327</v>
      </c>
      <c r="AF38" s="28" t="s">
        <v>11</v>
      </c>
      <c r="AG38" s="87">
        <v>2</v>
      </c>
      <c r="AH38" s="37"/>
      <c r="AK38" s="46"/>
      <c r="AL38" s="37"/>
      <c r="AO38" s="87"/>
      <c r="AP38" s="37"/>
      <c r="AS38" s="38"/>
      <c r="AW38" s="38"/>
      <c r="BA38" s="39"/>
    </row>
    <row r="39" spans="1:53" s="28" customFormat="1" x14ac:dyDescent="0.15">
      <c r="A39" s="28">
        <v>2014</v>
      </c>
      <c r="B39" s="298"/>
      <c r="C39" s="394" t="s">
        <v>1180</v>
      </c>
      <c r="D39" s="394"/>
      <c r="E39" s="28">
        <v>168</v>
      </c>
      <c r="F39" s="69"/>
      <c r="G39" s="65">
        <v>5</v>
      </c>
      <c r="H39" s="28">
        <v>0</v>
      </c>
      <c r="I39" s="28">
        <v>14</v>
      </c>
      <c r="J39" s="72">
        <v>21</v>
      </c>
      <c r="K39" s="46">
        <f>G39/J39*100</f>
        <v>23.809523809523807</v>
      </c>
      <c r="L39" s="46">
        <f>H39/J39*100</f>
        <v>0</v>
      </c>
      <c r="M39" s="46">
        <f>I39/J39*100</f>
        <v>66.666666666666657</v>
      </c>
      <c r="N39" s="67">
        <f>SUM(K39:M39)</f>
        <v>90.476190476190467</v>
      </c>
      <c r="O39" s="45">
        <v>11.3</v>
      </c>
      <c r="P39" s="46">
        <v>0</v>
      </c>
      <c r="Q39" s="46">
        <v>39.700000000000003</v>
      </c>
      <c r="R39" s="47">
        <f t="shared" si="4"/>
        <v>51</v>
      </c>
      <c r="S39" s="28">
        <v>2</v>
      </c>
      <c r="T39" s="284"/>
      <c r="U39" s="293"/>
      <c r="V39" s="37" t="s">
        <v>111</v>
      </c>
      <c r="W39" s="28" t="s">
        <v>20</v>
      </c>
      <c r="X39" s="28" t="s">
        <v>12</v>
      </c>
      <c r="Y39" s="87">
        <v>39.700000000000003</v>
      </c>
      <c r="Z39" s="28" t="s">
        <v>992</v>
      </c>
      <c r="AA39" s="28" t="s">
        <v>22</v>
      </c>
      <c r="AB39" s="28" t="s">
        <v>11</v>
      </c>
      <c r="AC39" s="46">
        <v>9.3000000000000007</v>
      </c>
      <c r="AD39" s="37" t="s">
        <v>991</v>
      </c>
      <c r="AE39" s="28" t="s">
        <v>327</v>
      </c>
      <c r="AF39" s="28" t="s">
        <v>11</v>
      </c>
      <c r="AG39" s="87">
        <v>2</v>
      </c>
      <c r="AH39" s="37"/>
      <c r="AK39" s="46"/>
      <c r="AL39" s="37"/>
      <c r="AO39" s="87"/>
      <c r="AP39" s="37"/>
      <c r="AS39" s="38"/>
      <c r="AW39" s="38"/>
      <c r="BA39" s="39"/>
    </row>
    <row r="40" spans="1:53" s="28" customFormat="1" x14ac:dyDescent="0.15">
      <c r="A40" s="28">
        <v>2014</v>
      </c>
      <c r="B40" s="298">
        <v>41808</v>
      </c>
      <c r="C40" s="394" t="s">
        <v>1180</v>
      </c>
      <c r="D40" s="394"/>
      <c r="E40" s="28">
        <v>197</v>
      </c>
      <c r="F40" s="69">
        <v>0</v>
      </c>
      <c r="G40" s="65">
        <v>5</v>
      </c>
      <c r="H40" s="28">
        <v>0</v>
      </c>
      <c r="I40" s="28">
        <v>13</v>
      </c>
      <c r="J40" s="72">
        <v>21</v>
      </c>
      <c r="K40" s="46">
        <f>G40/J40*100</f>
        <v>23.809523809523807</v>
      </c>
      <c r="L40" s="46">
        <f>H40/J40*100</f>
        <v>0</v>
      </c>
      <c r="M40" s="46">
        <f>I40/J40*100</f>
        <v>61.904761904761905</v>
      </c>
      <c r="N40" s="67">
        <f>SUM(K40:M40)</f>
        <v>85.714285714285708</v>
      </c>
      <c r="O40" s="45">
        <v>11.3</v>
      </c>
      <c r="P40" s="46">
        <v>0</v>
      </c>
      <c r="Q40" s="46">
        <v>39.700000000000003</v>
      </c>
      <c r="R40" s="47">
        <f>SUM(O40:Q40)</f>
        <v>51</v>
      </c>
      <c r="S40" s="28">
        <v>2</v>
      </c>
      <c r="T40" s="284"/>
      <c r="U40" s="293"/>
      <c r="V40" s="37" t="s">
        <v>111</v>
      </c>
      <c r="W40" s="28" t="s">
        <v>20</v>
      </c>
      <c r="X40" s="28" t="s">
        <v>12</v>
      </c>
      <c r="Y40" s="87">
        <v>39.700000000000003</v>
      </c>
      <c r="Z40" s="28" t="s">
        <v>992</v>
      </c>
      <c r="AA40" s="28" t="s">
        <v>22</v>
      </c>
      <c r="AB40" s="28" t="s">
        <v>11</v>
      </c>
      <c r="AC40" s="46">
        <v>9.3000000000000007</v>
      </c>
      <c r="AD40" s="37" t="s">
        <v>991</v>
      </c>
      <c r="AE40" s="28" t="s">
        <v>327</v>
      </c>
      <c r="AF40" s="28" t="s">
        <v>11</v>
      </c>
      <c r="AG40" s="87">
        <v>2</v>
      </c>
      <c r="AH40" s="37"/>
      <c r="AK40" s="46"/>
      <c r="AL40" s="37"/>
      <c r="AO40" s="87"/>
      <c r="AP40" s="37"/>
      <c r="AS40" s="38"/>
      <c r="AW40" s="38"/>
      <c r="BA40" s="39"/>
    </row>
    <row r="41" spans="1:53" s="28" customFormat="1" x14ac:dyDescent="0.15">
      <c r="A41" s="28">
        <v>2015</v>
      </c>
      <c r="B41" s="298"/>
      <c r="C41" s="394" t="s">
        <v>1180</v>
      </c>
      <c r="D41" s="394"/>
      <c r="E41" s="28">
        <v>113</v>
      </c>
      <c r="F41" s="69"/>
      <c r="G41" s="65">
        <v>5</v>
      </c>
      <c r="H41" s="28">
        <v>0</v>
      </c>
      <c r="I41" s="28">
        <v>13</v>
      </c>
      <c r="J41" s="72">
        <v>21</v>
      </c>
      <c r="K41" s="46">
        <f t="shared" ref="K41:K43" si="5">G41/J41*100</f>
        <v>23.809523809523807</v>
      </c>
      <c r="L41" s="46">
        <f t="shared" ref="L41:L43" si="6">H41/J41*100</f>
        <v>0</v>
      </c>
      <c r="M41" s="46">
        <f t="shared" ref="M41:M43" si="7">I41/J41*100</f>
        <v>61.904761904761905</v>
      </c>
      <c r="N41" s="67">
        <f t="shared" ref="N41:N43" si="8">SUM(K41:M41)</f>
        <v>85.714285714285708</v>
      </c>
      <c r="O41" s="45">
        <v>11.3</v>
      </c>
      <c r="P41" s="46">
        <v>0</v>
      </c>
      <c r="Q41" s="46">
        <v>39.700000000000003</v>
      </c>
      <c r="R41" s="47">
        <f t="shared" ref="R41:R43" si="9">SUM(O41:Q41)</f>
        <v>51</v>
      </c>
      <c r="S41" s="28">
        <v>2</v>
      </c>
      <c r="T41" s="284"/>
      <c r="U41" s="293"/>
      <c r="V41" s="37" t="s">
        <v>111</v>
      </c>
      <c r="W41" s="28" t="s">
        <v>20</v>
      </c>
      <c r="X41" s="28" t="s">
        <v>12</v>
      </c>
      <c r="Y41" s="87">
        <v>39.700000000000003</v>
      </c>
      <c r="Z41" s="28" t="s">
        <v>992</v>
      </c>
      <c r="AA41" s="28" t="s">
        <v>22</v>
      </c>
      <c r="AB41" s="28" t="s">
        <v>11</v>
      </c>
      <c r="AC41" s="46">
        <v>9.3000000000000007</v>
      </c>
      <c r="AD41" s="37" t="s">
        <v>991</v>
      </c>
      <c r="AE41" s="28" t="s">
        <v>327</v>
      </c>
      <c r="AF41" s="28" t="s">
        <v>11</v>
      </c>
      <c r="AG41" s="87">
        <v>2</v>
      </c>
      <c r="AH41" s="37"/>
      <c r="AK41" s="46"/>
      <c r="AL41" s="37"/>
      <c r="AO41" s="87"/>
      <c r="AP41" s="37"/>
      <c r="AS41" s="38"/>
      <c r="AW41" s="38"/>
      <c r="BA41" s="39"/>
    </row>
    <row r="42" spans="1:53" s="28" customFormat="1" x14ac:dyDescent="0.15">
      <c r="A42" s="28">
        <v>2015</v>
      </c>
      <c r="B42" s="298">
        <v>42118</v>
      </c>
      <c r="C42" s="394" t="s">
        <v>1180</v>
      </c>
      <c r="D42" s="394"/>
      <c r="E42" s="28">
        <v>198</v>
      </c>
      <c r="F42" s="69">
        <v>0</v>
      </c>
      <c r="G42" s="65">
        <v>4</v>
      </c>
      <c r="H42" s="28">
        <v>0</v>
      </c>
      <c r="I42" s="28">
        <v>13</v>
      </c>
      <c r="J42" s="72">
        <v>21</v>
      </c>
      <c r="K42" s="46">
        <f t="shared" si="5"/>
        <v>19.047619047619047</v>
      </c>
      <c r="L42" s="46">
        <f t="shared" si="6"/>
        <v>0</v>
      </c>
      <c r="M42" s="46">
        <f t="shared" si="7"/>
        <v>61.904761904761905</v>
      </c>
      <c r="N42" s="67">
        <f t="shared" si="8"/>
        <v>80.952380952380949</v>
      </c>
      <c r="O42" s="45">
        <v>11.3</v>
      </c>
      <c r="P42" s="46">
        <v>0</v>
      </c>
      <c r="Q42" s="46">
        <v>39.700000000000003</v>
      </c>
      <c r="R42" s="47">
        <f t="shared" si="9"/>
        <v>51</v>
      </c>
      <c r="S42" s="28">
        <v>2</v>
      </c>
      <c r="T42" s="284"/>
      <c r="U42" s="293"/>
      <c r="V42" s="37" t="s">
        <v>111</v>
      </c>
      <c r="W42" s="28" t="s">
        <v>20</v>
      </c>
      <c r="X42" s="28" t="s">
        <v>12</v>
      </c>
      <c r="Y42" s="87">
        <v>39.700000000000003</v>
      </c>
      <c r="Z42" s="28" t="s">
        <v>992</v>
      </c>
      <c r="AA42" s="28" t="s">
        <v>22</v>
      </c>
      <c r="AB42" s="28" t="s">
        <v>11</v>
      </c>
      <c r="AC42" s="46">
        <v>9.3000000000000007</v>
      </c>
      <c r="AD42" s="37" t="s">
        <v>991</v>
      </c>
      <c r="AE42" s="28" t="s">
        <v>327</v>
      </c>
      <c r="AF42" s="28" t="s">
        <v>11</v>
      </c>
      <c r="AG42" s="87">
        <v>2</v>
      </c>
      <c r="AH42" s="37"/>
      <c r="AK42" s="46"/>
      <c r="AL42" s="37"/>
      <c r="AO42" s="87"/>
      <c r="AP42" s="37"/>
      <c r="AS42" s="38"/>
      <c r="AW42" s="38"/>
      <c r="BA42" s="39"/>
    </row>
    <row r="43" spans="1:53" s="170" customFormat="1" x14ac:dyDescent="0.15">
      <c r="A43" s="170">
        <v>2015</v>
      </c>
      <c r="B43" s="304">
        <v>42316</v>
      </c>
      <c r="C43" s="395" t="s">
        <v>1312</v>
      </c>
      <c r="D43" s="395"/>
      <c r="E43" s="170">
        <v>54</v>
      </c>
      <c r="F43" s="170">
        <v>1</v>
      </c>
      <c r="G43" s="232">
        <v>4</v>
      </c>
      <c r="H43" s="170">
        <v>0</v>
      </c>
      <c r="I43" s="170">
        <v>13</v>
      </c>
      <c r="J43" s="240">
        <v>21</v>
      </c>
      <c r="K43" s="213">
        <f t="shared" si="5"/>
        <v>19.047619047619047</v>
      </c>
      <c r="L43" s="213">
        <f t="shared" si="6"/>
        <v>0</v>
      </c>
      <c r="M43" s="213">
        <f t="shared" si="7"/>
        <v>61.904761904761905</v>
      </c>
      <c r="N43" s="234">
        <f t="shared" si="8"/>
        <v>80.952380952380949</v>
      </c>
      <c r="O43" s="212">
        <v>9.1999999999999993</v>
      </c>
      <c r="P43" s="213">
        <v>0</v>
      </c>
      <c r="Q43" s="213">
        <v>37.1</v>
      </c>
      <c r="R43" s="214">
        <f t="shared" si="9"/>
        <v>46.3</v>
      </c>
      <c r="S43" s="170">
        <v>5</v>
      </c>
      <c r="T43" s="283">
        <v>42316</v>
      </c>
      <c r="U43" s="304">
        <v>42316</v>
      </c>
      <c r="V43" s="177" t="s">
        <v>111</v>
      </c>
      <c r="W43" s="170" t="s">
        <v>20</v>
      </c>
      <c r="X43" s="170" t="s">
        <v>12</v>
      </c>
      <c r="Y43" s="178">
        <v>37.1</v>
      </c>
      <c r="Z43" s="170" t="s">
        <v>992</v>
      </c>
      <c r="AA43" s="170" t="s">
        <v>22</v>
      </c>
      <c r="AB43" s="170" t="s">
        <v>11</v>
      </c>
      <c r="AC43" s="213">
        <v>7.9</v>
      </c>
      <c r="AD43" s="177" t="s">
        <v>991</v>
      </c>
      <c r="AE43" s="170" t="s">
        <v>327</v>
      </c>
      <c r="AF43" s="170" t="s">
        <v>11</v>
      </c>
      <c r="AG43" s="247">
        <v>1.3</v>
      </c>
      <c r="AL43" s="177"/>
      <c r="AO43" s="178"/>
      <c r="AP43" s="177"/>
      <c r="AS43" s="178"/>
      <c r="AW43" s="178"/>
      <c r="BA43" s="179"/>
    </row>
    <row r="44" spans="1:53" s="170" customFormat="1" x14ac:dyDescent="0.15">
      <c r="A44" s="170">
        <v>2016</v>
      </c>
      <c r="B44" s="304"/>
      <c r="C44" s="395" t="s">
        <v>1312</v>
      </c>
      <c r="D44" s="395"/>
      <c r="E44" s="170">
        <v>21</v>
      </c>
      <c r="G44" s="232">
        <v>4</v>
      </c>
      <c r="H44" s="170">
        <v>0</v>
      </c>
      <c r="I44" s="170">
        <v>13</v>
      </c>
      <c r="J44" s="240">
        <v>21</v>
      </c>
      <c r="K44" s="213">
        <f t="shared" ref="K44:K45" si="10">G44/J44*100</f>
        <v>19.047619047619047</v>
      </c>
      <c r="L44" s="213">
        <f t="shared" ref="L44:L45" si="11">H44/J44*100</f>
        <v>0</v>
      </c>
      <c r="M44" s="213">
        <f t="shared" ref="M44:M45" si="12">I44/J44*100</f>
        <v>61.904761904761905</v>
      </c>
      <c r="N44" s="234">
        <f t="shared" ref="N44:N45" si="13">SUM(K44:M44)</f>
        <v>80.952380952380949</v>
      </c>
      <c r="O44" s="212">
        <v>9.1999999999999993</v>
      </c>
      <c r="P44" s="213">
        <v>0</v>
      </c>
      <c r="Q44" s="213">
        <v>37.1</v>
      </c>
      <c r="R44" s="214">
        <f t="shared" ref="R44:R45" si="14">SUM(O44:Q44)</f>
        <v>46.3</v>
      </c>
      <c r="S44" s="170">
        <v>5</v>
      </c>
      <c r="T44" s="283"/>
      <c r="U44" s="304"/>
      <c r="V44" s="177" t="s">
        <v>111</v>
      </c>
      <c r="W44" s="170" t="s">
        <v>20</v>
      </c>
      <c r="X44" s="170" t="s">
        <v>12</v>
      </c>
      <c r="Y44" s="247">
        <v>37.1</v>
      </c>
      <c r="Z44" s="170" t="s">
        <v>992</v>
      </c>
      <c r="AA44" s="170" t="s">
        <v>22</v>
      </c>
      <c r="AB44" s="170" t="s">
        <v>11</v>
      </c>
      <c r="AC44" s="213">
        <v>7.9</v>
      </c>
      <c r="AD44" s="177" t="s">
        <v>991</v>
      </c>
      <c r="AE44" s="170" t="s">
        <v>327</v>
      </c>
      <c r="AF44" s="170" t="s">
        <v>11</v>
      </c>
      <c r="AG44" s="247">
        <v>1.3</v>
      </c>
      <c r="AK44" s="178"/>
      <c r="AO44" s="178"/>
      <c r="AS44" s="178"/>
      <c r="AW44" s="178"/>
      <c r="BA44" s="179"/>
    </row>
    <row r="45" spans="1:53" s="28" customFormat="1" x14ac:dyDescent="0.15">
      <c r="A45" s="28">
        <v>2016</v>
      </c>
      <c r="B45" s="275">
        <v>42391</v>
      </c>
      <c r="C45" s="394" t="s">
        <v>1333</v>
      </c>
      <c r="D45" s="394"/>
      <c r="E45" s="28">
        <v>271</v>
      </c>
      <c r="F45" s="28">
        <v>1</v>
      </c>
      <c r="G45" s="65">
        <v>5</v>
      </c>
      <c r="H45" s="28">
        <v>12</v>
      </c>
      <c r="I45" s="28">
        <v>0</v>
      </c>
      <c r="J45" s="72">
        <v>23</v>
      </c>
      <c r="K45" s="45">
        <f t="shared" si="10"/>
        <v>21.739130434782609</v>
      </c>
      <c r="L45" s="46">
        <f t="shared" si="11"/>
        <v>52.173913043478258</v>
      </c>
      <c r="M45" s="46">
        <f t="shared" si="12"/>
        <v>0</v>
      </c>
      <c r="N45" s="47">
        <f t="shared" si="13"/>
        <v>73.913043478260875</v>
      </c>
      <c r="O45" s="45">
        <v>9.9</v>
      </c>
      <c r="P45" s="46">
        <v>32.5</v>
      </c>
      <c r="Q45" s="46">
        <v>0</v>
      </c>
      <c r="R45" s="47">
        <f t="shared" si="14"/>
        <v>42.4</v>
      </c>
      <c r="S45" s="36">
        <v>5</v>
      </c>
      <c r="T45" s="284"/>
      <c r="U45" s="275">
        <v>42391</v>
      </c>
      <c r="V45" s="37" t="s">
        <v>996</v>
      </c>
      <c r="W45" s="28" t="s">
        <v>17</v>
      </c>
      <c r="X45" s="28" t="s">
        <v>18</v>
      </c>
      <c r="Y45" s="87">
        <v>32.5</v>
      </c>
      <c r="Z45" s="28" t="s">
        <v>1335</v>
      </c>
      <c r="AA45" s="28" t="s">
        <v>99</v>
      </c>
      <c r="AB45" s="28" t="s">
        <v>11</v>
      </c>
      <c r="AC45" s="87">
        <v>9.9</v>
      </c>
      <c r="AG45" s="87"/>
      <c r="AK45" s="38"/>
      <c r="AO45" s="38"/>
      <c r="AS45" s="38"/>
      <c r="AW45" s="38"/>
      <c r="BA45" s="39"/>
    </row>
    <row r="46" spans="1:53" s="170" customFormat="1" x14ac:dyDescent="0.15">
      <c r="A46" s="170">
        <v>2016</v>
      </c>
      <c r="B46" s="281">
        <v>42662</v>
      </c>
      <c r="C46" s="395" t="s">
        <v>1334</v>
      </c>
      <c r="D46" s="395"/>
      <c r="E46" s="170">
        <v>74</v>
      </c>
      <c r="F46" s="170">
        <v>5</v>
      </c>
      <c r="G46" s="232">
        <v>4</v>
      </c>
      <c r="H46" s="170">
        <v>14</v>
      </c>
      <c r="I46" s="170">
        <v>0</v>
      </c>
      <c r="J46" s="179">
        <v>21</v>
      </c>
      <c r="K46" s="213">
        <f>G46/J46*100</f>
        <v>19.047619047619047</v>
      </c>
      <c r="L46" s="213">
        <f>H46/J46*100</f>
        <v>66.666666666666657</v>
      </c>
      <c r="M46" s="213">
        <f>I46/J46*100</f>
        <v>0</v>
      </c>
      <c r="N46" s="234">
        <f>SUM(K46:M46)</f>
        <v>85.714285714285708</v>
      </c>
      <c r="O46" s="232">
        <v>9.3000000000000007</v>
      </c>
      <c r="P46" s="170">
        <v>37.1</v>
      </c>
      <c r="Q46" s="170">
        <v>0</v>
      </c>
      <c r="R46" s="179">
        <f>SUM(O46:Q46)</f>
        <v>46.400000000000006</v>
      </c>
      <c r="S46" s="189">
        <v>5</v>
      </c>
      <c r="T46" s="283">
        <v>42624</v>
      </c>
      <c r="U46" s="281">
        <v>42662</v>
      </c>
      <c r="V46" s="177" t="s">
        <v>996</v>
      </c>
      <c r="W46" s="170" t="s">
        <v>17</v>
      </c>
      <c r="X46" s="170" t="s">
        <v>18</v>
      </c>
      <c r="Y46" s="247">
        <v>37.1</v>
      </c>
      <c r="Z46" s="170" t="s">
        <v>1335</v>
      </c>
      <c r="AA46" s="170" t="s">
        <v>99</v>
      </c>
      <c r="AB46" s="170" t="s">
        <v>11</v>
      </c>
      <c r="AC46" s="170">
        <v>9.3000000000000007</v>
      </c>
      <c r="AD46" s="177"/>
      <c r="AG46" s="178"/>
      <c r="AK46" s="178"/>
      <c r="AO46" s="178"/>
      <c r="AS46" s="178"/>
      <c r="AW46" s="178"/>
      <c r="BA46" s="179"/>
    </row>
    <row r="47" spans="1:53" s="170" customFormat="1" x14ac:dyDescent="0.15">
      <c r="A47" s="170">
        <v>2017</v>
      </c>
      <c r="B47" s="281"/>
      <c r="C47" s="395" t="s">
        <v>1334</v>
      </c>
      <c r="D47" s="395"/>
      <c r="E47" s="170">
        <v>159</v>
      </c>
      <c r="G47" s="232">
        <v>4</v>
      </c>
      <c r="H47" s="170">
        <v>14</v>
      </c>
      <c r="I47" s="170">
        <v>0</v>
      </c>
      <c r="J47" s="179">
        <v>21</v>
      </c>
      <c r="K47" s="212">
        <f t="shared" ref="K47" si="15">G47/J47*100</f>
        <v>19.047619047619047</v>
      </c>
      <c r="L47" s="213">
        <f t="shared" ref="L47" si="16">H47/J47*100</f>
        <v>66.666666666666657</v>
      </c>
      <c r="M47" s="213">
        <f t="shared" ref="M47" si="17">I47/J47*100</f>
        <v>0</v>
      </c>
      <c r="N47" s="214">
        <f t="shared" ref="N47" si="18">SUM(K47:M47)</f>
        <v>85.714285714285708</v>
      </c>
      <c r="O47" s="232">
        <v>9.3000000000000007</v>
      </c>
      <c r="P47" s="170">
        <v>37.1</v>
      </c>
      <c r="Q47" s="170">
        <v>0</v>
      </c>
      <c r="R47" s="179">
        <f t="shared" ref="R47" si="19">SUM(O47:Q47)</f>
        <v>46.400000000000006</v>
      </c>
      <c r="S47" s="189">
        <v>5</v>
      </c>
      <c r="T47" s="283"/>
      <c r="U47" s="281"/>
      <c r="V47" s="177" t="s">
        <v>996</v>
      </c>
      <c r="W47" s="170" t="s">
        <v>17</v>
      </c>
      <c r="X47" s="170" t="s">
        <v>18</v>
      </c>
      <c r="Y47" s="247">
        <v>37.1</v>
      </c>
      <c r="Z47" s="170" t="s">
        <v>1335</v>
      </c>
      <c r="AA47" s="170" t="s">
        <v>99</v>
      </c>
      <c r="AB47" s="170" t="s">
        <v>11</v>
      </c>
      <c r="AC47" s="170">
        <v>9.3000000000000007</v>
      </c>
      <c r="AD47" s="177"/>
      <c r="AG47" s="178"/>
      <c r="AK47" s="178"/>
      <c r="AO47" s="178"/>
      <c r="AS47" s="178"/>
      <c r="AW47" s="178"/>
      <c r="BA47" s="179"/>
    </row>
    <row r="48" spans="1:53" s="28" customFormat="1" x14ac:dyDescent="0.15">
      <c r="A48" s="28">
        <v>2017</v>
      </c>
      <c r="B48" s="275">
        <v>42895</v>
      </c>
      <c r="C48" s="394" t="s">
        <v>1385</v>
      </c>
      <c r="D48" s="394"/>
      <c r="E48" s="28">
        <v>206</v>
      </c>
      <c r="F48" s="28">
        <v>7</v>
      </c>
      <c r="G48" s="65">
        <v>1</v>
      </c>
      <c r="H48" s="28">
        <v>18</v>
      </c>
      <c r="I48" s="28">
        <v>0</v>
      </c>
      <c r="J48" s="72">
        <v>21</v>
      </c>
      <c r="K48" s="45">
        <f>G48/J48*100</f>
        <v>4.7619047619047619</v>
      </c>
      <c r="L48" s="46">
        <f>H48/J48*100</f>
        <v>85.714285714285708</v>
      </c>
      <c r="M48" s="46">
        <f>I48/J48*100</f>
        <v>0</v>
      </c>
      <c r="N48" s="47">
        <f>SUM(K48:M48)</f>
        <v>90.476190476190467</v>
      </c>
      <c r="O48" s="45">
        <v>3.3</v>
      </c>
      <c r="P48" s="46">
        <v>37.1</v>
      </c>
      <c r="Q48" s="46">
        <v>0</v>
      </c>
      <c r="R48" s="47">
        <f t="shared" ref="R48:R54" si="20">SUM(O48:Q48)</f>
        <v>40.4</v>
      </c>
      <c r="S48" s="36">
        <v>5</v>
      </c>
      <c r="T48" s="284"/>
      <c r="U48" s="275">
        <v>42895</v>
      </c>
      <c r="V48" s="37" t="s">
        <v>996</v>
      </c>
      <c r="W48" s="28" t="s">
        <v>17</v>
      </c>
      <c r="X48" s="28" t="s">
        <v>18</v>
      </c>
      <c r="Y48" s="87">
        <v>37.1</v>
      </c>
      <c r="Z48" s="28" t="s">
        <v>992</v>
      </c>
      <c r="AA48" s="28" t="s">
        <v>22</v>
      </c>
      <c r="AB48" s="28" t="s">
        <v>11</v>
      </c>
      <c r="AC48" s="87">
        <v>3.3</v>
      </c>
      <c r="AG48" s="87"/>
      <c r="AK48" s="38"/>
      <c r="AO48" s="38"/>
      <c r="AS48" s="38"/>
      <c r="AW48" s="38"/>
      <c r="BA48" s="39"/>
    </row>
    <row r="49" spans="1:53" s="28" customFormat="1" x14ac:dyDescent="0.15">
      <c r="A49" s="28">
        <v>2018</v>
      </c>
      <c r="B49" s="275"/>
      <c r="C49" s="394" t="s">
        <v>1385</v>
      </c>
      <c r="D49" s="394"/>
      <c r="E49" s="28">
        <v>0</v>
      </c>
      <c r="G49" s="65">
        <v>1</v>
      </c>
      <c r="H49" s="28">
        <v>18</v>
      </c>
      <c r="I49" s="28">
        <v>0</v>
      </c>
      <c r="J49" s="72">
        <v>21</v>
      </c>
      <c r="K49" s="45">
        <f t="shared" ref="K49:K50" si="21">G49/J49*100</f>
        <v>4.7619047619047619</v>
      </c>
      <c r="L49" s="46">
        <f t="shared" ref="L49:L50" si="22">H49/J49*100</f>
        <v>85.714285714285708</v>
      </c>
      <c r="M49" s="46">
        <f t="shared" ref="M49:M50" si="23">I49/J49*100</f>
        <v>0</v>
      </c>
      <c r="N49" s="47">
        <f t="shared" ref="N49:N50" si="24">SUM(K49:M49)</f>
        <v>90.476190476190467</v>
      </c>
      <c r="O49" s="45">
        <v>3.3</v>
      </c>
      <c r="P49" s="46">
        <v>37.1</v>
      </c>
      <c r="Q49" s="46">
        <v>0</v>
      </c>
      <c r="R49" s="47">
        <f t="shared" si="20"/>
        <v>40.4</v>
      </c>
      <c r="S49" s="36">
        <v>5</v>
      </c>
      <c r="T49" s="284"/>
      <c r="U49" s="275"/>
      <c r="V49" s="37" t="s">
        <v>996</v>
      </c>
      <c r="W49" s="28" t="s">
        <v>17</v>
      </c>
      <c r="X49" s="28" t="s">
        <v>18</v>
      </c>
      <c r="Y49" s="87">
        <v>37.1</v>
      </c>
      <c r="Z49" s="28" t="s">
        <v>992</v>
      </c>
      <c r="AA49" s="28" t="s">
        <v>22</v>
      </c>
      <c r="AB49" s="28" t="s">
        <v>11</v>
      </c>
      <c r="AC49" s="87">
        <v>3.3</v>
      </c>
      <c r="AG49" s="87"/>
      <c r="AK49" s="38"/>
      <c r="AO49" s="38"/>
      <c r="AS49" s="38"/>
      <c r="AW49" s="38"/>
      <c r="BA49" s="39"/>
    </row>
    <row r="50" spans="1:53" s="28" customFormat="1" x14ac:dyDescent="0.15">
      <c r="A50" s="28">
        <v>2018</v>
      </c>
      <c r="B50" s="275"/>
      <c r="C50" s="394" t="s">
        <v>1385</v>
      </c>
      <c r="D50" s="394"/>
      <c r="E50" s="28">
        <v>365</v>
      </c>
      <c r="G50" s="65">
        <v>1</v>
      </c>
      <c r="H50" s="28">
        <v>18</v>
      </c>
      <c r="I50" s="28">
        <v>0</v>
      </c>
      <c r="J50" s="72">
        <v>21</v>
      </c>
      <c r="K50" s="45">
        <f t="shared" si="21"/>
        <v>4.7619047619047619</v>
      </c>
      <c r="L50" s="46">
        <f t="shared" si="22"/>
        <v>85.714285714285708</v>
      </c>
      <c r="M50" s="46">
        <f t="shared" si="23"/>
        <v>0</v>
      </c>
      <c r="N50" s="47">
        <f t="shared" si="24"/>
        <v>90.476190476190467</v>
      </c>
      <c r="O50" s="45">
        <v>3.3</v>
      </c>
      <c r="P50" s="46">
        <v>37.1</v>
      </c>
      <c r="Q50" s="46">
        <v>0</v>
      </c>
      <c r="R50" s="47">
        <f t="shared" si="20"/>
        <v>40.4</v>
      </c>
      <c r="S50" s="36">
        <v>5</v>
      </c>
      <c r="T50" s="284"/>
      <c r="U50" s="275"/>
      <c r="V50" s="37" t="s">
        <v>996</v>
      </c>
      <c r="W50" s="28" t="s">
        <v>17</v>
      </c>
      <c r="X50" s="28" t="s">
        <v>18</v>
      </c>
      <c r="Y50" s="87">
        <v>37.1</v>
      </c>
      <c r="Z50" s="28" t="s">
        <v>992</v>
      </c>
      <c r="AA50" s="28" t="s">
        <v>22</v>
      </c>
      <c r="AB50" s="28" t="s">
        <v>11</v>
      </c>
      <c r="AC50" s="87">
        <v>3.3</v>
      </c>
      <c r="AG50" s="87"/>
      <c r="AK50" s="38"/>
      <c r="AO50" s="38"/>
      <c r="AS50" s="38"/>
      <c r="AW50" s="38"/>
      <c r="BA50" s="39"/>
    </row>
    <row r="51" spans="1:53" s="28" customFormat="1" x14ac:dyDescent="0.15">
      <c r="A51" s="28">
        <v>2019</v>
      </c>
      <c r="B51" s="275"/>
      <c r="C51" s="394" t="s">
        <v>1385</v>
      </c>
      <c r="D51" s="394"/>
      <c r="E51" s="28">
        <v>0</v>
      </c>
      <c r="G51" s="65">
        <v>1</v>
      </c>
      <c r="H51" s="28">
        <v>18</v>
      </c>
      <c r="I51" s="28">
        <v>0</v>
      </c>
      <c r="J51" s="72">
        <v>21</v>
      </c>
      <c r="K51" s="45">
        <f t="shared" ref="K51:K54" si="25">G51/J51*100</f>
        <v>4.7619047619047619</v>
      </c>
      <c r="L51" s="46">
        <f t="shared" ref="L51:L54" si="26">H51/J51*100</f>
        <v>85.714285714285708</v>
      </c>
      <c r="M51" s="46">
        <f t="shared" ref="M51:M54" si="27">I51/J51*100</f>
        <v>0</v>
      </c>
      <c r="N51" s="47">
        <f t="shared" ref="N51:N54" si="28">SUM(K51:M51)</f>
        <v>90.476190476190467</v>
      </c>
      <c r="O51" s="45">
        <v>3.3</v>
      </c>
      <c r="P51" s="46">
        <v>37.1</v>
      </c>
      <c r="Q51" s="46">
        <v>0</v>
      </c>
      <c r="R51" s="47">
        <f t="shared" si="20"/>
        <v>40.4</v>
      </c>
      <c r="S51" s="36">
        <v>5</v>
      </c>
      <c r="T51" s="284"/>
      <c r="U51" s="275"/>
      <c r="V51" s="37" t="s">
        <v>996</v>
      </c>
      <c r="W51" s="28" t="s">
        <v>17</v>
      </c>
      <c r="X51" s="28" t="s">
        <v>18</v>
      </c>
      <c r="Y51" s="87">
        <v>37.1</v>
      </c>
      <c r="Z51" s="28" t="s">
        <v>992</v>
      </c>
      <c r="AA51" s="28" t="s">
        <v>22</v>
      </c>
      <c r="AB51" s="28" t="s">
        <v>11</v>
      </c>
      <c r="AC51" s="87">
        <v>3.3</v>
      </c>
      <c r="AG51" s="87"/>
      <c r="AK51" s="38"/>
      <c r="AO51" s="38"/>
      <c r="AS51" s="38"/>
      <c r="AW51" s="38"/>
      <c r="BA51" s="39"/>
    </row>
    <row r="52" spans="1:53" s="28" customFormat="1" x14ac:dyDescent="0.15">
      <c r="A52" s="28">
        <v>2019</v>
      </c>
      <c r="B52" s="275"/>
      <c r="C52" s="394" t="s">
        <v>1385</v>
      </c>
      <c r="D52" s="394"/>
      <c r="E52" s="28">
        <v>365</v>
      </c>
      <c r="G52" s="65">
        <v>1</v>
      </c>
      <c r="H52" s="28">
        <v>18</v>
      </c>
      <c r="I52" s="28">
        <v>0</v>
      </c>
      <c r="J52" s="72">
        <v>21</v>
      </c>
      <c r="K52" s="45">
        <f t="shared" si="25"/>
        <v>4.7619047619047619</v>
      </c>
      <c r="L52" s="46">
        <f t="shared" si="26"/>
        <v>85.714285714285708</v>
      </c>
      <c r="M52" s="46">
        <f t="shared" si="27"/>
        <v>0</v>
      </c>
      <c r="N52" s="47">
        <f t="shared" si="28"/>
        <v>90.476190476190467</v>
      </c>
      <c r="O52" s="45">
        <v>3.3</v>
      </c>
      <c r="P52" s="46">
        <v>37.1</v>
      </c>
      <c r="Q52" s="46">
        <v>0</v>
      </c>
      <c r="R52" s="47">
        <f t="shared" si="20"/>
        <v>40.4</v>
      </c>
      <c r="S52" s="36">
        <v>5</v>
      </c>
      <c r="T52" s="284"/>
      <c r="U52" s="275"/>
      <c r="V52" s="37" t="s">
        <v>996</v>
      </c>
      <c r="W52" s="28" t="s">
        <v>17</v>
      </c>
      <c r="X52" s="28" t="s">
        <v>18</v>
      </c>
      <c r="Y52" s="87">
        <v>37.1</v>
      </c>
      <c r="Z52" s="28" t="s">
        <v>992</v>
      </c>
      <c r="AA52" s="28" t="s">
        <v>22</v>
      </c>
      <c r="AB52" s="28" t="s">
        <v>11</v>
      </c>
      <c r="AC52" s="87">
        <v>3.3</v>
      </c>
      <c r="AG52" s="87"/>
      <c r="AK52" s="38"/>
      <c r="AO52" s="38"/>
      <c r="AS52" s="38"/>
      <c r="AW52" s="38"/>
      <c r="BA52" s="39"/>
    </row>
    <row r="53" spans="1:53" s="28" customFormat="1" x14ac:dyDescent="0.15">
      <c r="A53" s="28">
        <v>2020</v>
      </c>
      <c r="B53" s="275"/>
      <c r="C53" s="394" t="s">
        <v>1385</v>
      </c>
      <c r="D53" s="394"/>
      <c r="E53" s="28">
        <v>204</v>
      </c>
      <c r="F53" s="39"/>
      <c r="G53" s="65">
        <v>1</v>
      </c>
      <c r="H53" s="28">
        <v>18</v>
      </c>
      <c r="I53" s="28">
        <v>0</v>
      </c>
      <c r="J53" s="72">
        <v>21</v>
      </c>
      <c r="K53" s="45">
        <f t="shared" si="25"/>
        <v>4.7619047619047619</v>
      </c>
      <c r="L53" s="46">
        <f t="shared" si="26"/>
        <v>85.714285714285708</v>
      </c>
      <c r="M53" s="46">
        <f t="shared" si="27"/>
        <v>0</v>
      </c>
      <c r="N53" s="47">
        <f t="shared" si="28"/>
        <v>90.476190476190467</v>
      </c>
      <c r="O53" s="45">
        <v>3.3</v>
      </c>
      <c r="P53" s="46">
        <v>37.1</v>
      </c>
      <c r="Q53" s="46">
        <v>0</v>
      </c>
      <c r="R53" s="47">
        <f t="shared" si="20"/>
        <v>40.4</v>
      </c>
      <c r="S53" s="36">
        <v>5</v>
      </c>
      <c r="T53" s="284"/>
      <c r="U53" s="275"/>
      <c r="V53" s="37" t="s">
        <v>996</v>
      </c>
      <c r="W53" s="28" t="s">
        <v>17</v>
      </c>
      <c r="X53" s="28" t="s">
        <v>18</v>
      </c>
      <c r="Y53" s="87">
        <v>37.1</v>
      </c>
      <c r="Z53" s="28" t="s">
        <v>992</v>
      </c>
      <c r="AA53" s="28" t="s">
        <v>22</v>
      </c>
      <c r="AB53" s="28" t="s">
        <v>11</v>
      </c>
      <c r="AC53" s="87">
        <v>3.3</v>
      </c>
      <c r="AG53" s="87"/>
      <c r="AK53" s="38"/>
      <c r="AO53" s="38"/>
      <c r="AS53" s="38"/>
      <c r="AW53" s="38"/>
      <c r="BA53" s="39"/>
    </row>
    <row r="54" spans="1:53" s="170" customFormat="1" x14ac:dyDescent="0.15">
      <c r="A54" s="170">
        <v>2020</v>
      </c>
      <c r="B54" s="281">
        <v>44035</v>
      </c>
      <c r="C54" s="395" t="s">
        <v>1515</v>
      </c>
      <c r="D54" s="395"/>
      <c r="E54" s="170">
        <v>162</v>
      </c>
      <c r="F54" s="170">
        <v>1</v>
      </c>
      <c r="G54" s="232">
        <v>1</v>
      </c>
      <c r="H54" s="170">
        <v>16</v>
      </c>
      <c r="I54" s="170">
        <v>0</v>
      </c>
      <c r="J54" s="179">
        <v>18</v>
      </c>
      <c r="K54" s="212">
        <f t="shared" si="25"/>
        <v>5.5555555555555554</v>
      </c>
      <c r="L54" s="213">
        <f t="shared" si="26"/>
        <v>88.888888888888886</v>
      </c>
      <c r="M54" s="213">
        <f t="shared" si="27"/>
        <v>0</v>
      </c>
      <c r="N54" s="214">
        <f t="shared" si="28"/>
        <v>94.444444444444443</v>
      </c>
      <c r="O54" s="232">
        <v>2</v>
      </c>
      <c r="P54" s="170">
        <v>41.1</v>
      </c>
      <c r="Q54" s="170">
        <v>0</v>
      </c>
      <c r="R54" s="179">
        <f t="shared" si="20"/>
        <v>43.1</v>
      </c>
      <c r="S54" s="189">
        <v>5</v>
      </c>
      <c r="T54" s="283">
        <v>44017</v>
      </c>
      <c r="U54" s="281">
        <v>44035</v>
      </c>
      <c r="V54" s="177" t="s">
        <v>996</v>
      </c>
      <c r="W54" s="170" t="s">
        <v>17</v>
      </c>
      <c r="X54" s="170" t="s">
        <v>18</v>
      </c>
      <c r="Y54" s="247">
        <v>41.1</v>
      </c>
      <c r="Z54" s="170" t="s">
        <v>999</v>
      </c>
      <c r="AA54" s="170" t="s">
        <v>327</v>
      </c>
      <c r="AB54" s="170" t="s">
        <v>11</v>
      </c>
      <c r="AC54" s="170">
        <v>2</v>
      </c>
      <c r="AD54" s="177"/>
      <c r="AG54" s="178"/>
      <c r="AK54" s="178"/>
      <c r="AO54" s="178"/>
      <c r="AS54" s="178"/>
      <c r="AW54" s="178"/>
      <c r="BA54" s="179"/>
    </row>
    <row r="55" spans="1:53" s="170" customFormat="1" x14ac:dyDescent="0.15">
      <c r="A55" s="170">
        <v>2021</v>
      </c>
      <c r="B55" s="281"/>
      <c r="C55" s="395" t="s">
        <v>1515</v>
      </c>
      <c r="D55" s="395"/>
      <c r="E55" s="170">
        <v>0</v>
      </c>
      <c r="G55" s="232">
        <v>1</v>
      </c>
      <c r="H55" s="170">
        <v>16</v>
      </c>
      <c r="I55" s="170">
        <v>0</v>
      </c>
      <c r="J55" s="179">
        <v>18</v>
      </c>
      <c r="K55" s="212">
        <f>G55/J55*100</f>
        <v>5.5555555555555554</v>
      </c>
      <c r="L55" s="213">
        <f>H55/J55*100</f>
        <v>88.888888888888886</v>
      </c>
      <c r="M55" s="213">
        <f>I55/J55*100</f>
        <v>0</v>
      </c>
      <c r="N55" s="214">
        <f>SUM(K55:M55)</f>
        <v>94.444444444444443</v>
      </c>
      <c r="O55" s="232">
        <v>2</v>
      </c>
      <c r="P55" s="170">
        <v>41.1</v>
      </c>
      <c r="Q55" s="170">
        <v>0</v>
      </c>
      <c r="R55" s="179">
        <f>SUM(O55:Q55)</f>
        <v>43.1</v>
      </c>
      <c r="S55" s="189">
        <v>5</v>
      </c>
      <c r="T55" s="283"/>
      <c r="U55" s="281"/>
      <c r="V55" s="177" t="s">
        <v>996</v>
      </c>
      <c r="W55" s="170" t="s">
        <v>17</v>
      </c>
      <c r="X55" s="170" t="s">
        <v>18</v>
      </c>
      <c r="Y55" s="247">
        <v>41.1</v>
      </c>
      <c r="Z55" s="170" t="s">
        <v>999</v>
      </c>
      <c r="AA55" s="170" t="s">
        <v>327</v>
      </c>
      <c r="AB55" s="170" t="s">
        <v>11</v>
      </c>
      <c r="AC55" s="170">
        <v>2</v>
      </c>
      <c r="AD55" s="177"/>
      <c r="AG55" s="178"/>
      <c r="AK55" s="178"/>
      <c r="AO55" s="178"/>
      <c r="AS55" s="178"/>
      <c r="AW55" s="178"/>
      <c r="BA55" s="179"/>
    </row>
    <row r="56" spans="1:53" s="170" customFormat="1" x14ac:dyDescent="0.15">
      <c r="A56" s="170">
        <v>2021</v>
      </c>
      <c r="B56" s="281"/>
      <c r="C56" s="395" t="s">
        <v>1515</v>
      </c>
      <c r="D56" s="395"/>
      <c r="E56" s="170">
        <v>365</v>
      </c>
      <c r="G56" s="232">
        <v>1</v>
      </c>
      <c r="H56" s="170">
        <v>16</v>
      </c>
      <c r="I56" s="170">
        <v>0</v>
      </c>
      <c r="J56" s="179">
        <v>18</v>
      </c>
      <c r="K56" s="212">
        <f>G56/J56*100</f>
        <v>5.5555555555555554</v>
      </c>
      <c r="L56" s="213">
        <f>H56/J56*100</f>
        <v>88.888888888888886</v>
      </c>
      <c r="M56" s="213">
        <f>I56/J56*100</f>
        <v>0</v>
      </c>
      <c r="N56" s="214">
        <f>SUM(K56:M56)</f>
        <v>94.444444444444443</v>
      </c>
      <c r="O56" s="232">
        <v>2</v>
      </c>
      <c r="P56" s="170">
        <v>41.1</v>
      </c>
      <c r="Q56" s="170">
        <v>0</v>
      </c>
      <c r="R56" s="179">
        <f>SUM(O56:Q56)</f>
        <v>43.1</v>
      </c>
      <c r="S56" s="189">
        <v>5</v>
      </c>
      <c r="T56" s="283"/>
      <c r="U56" s="281"/>
      <c r="V56" s="177" t="s">
        <v>996</v>
      </c>
      <c r="W56" s="170" t="s">
        <v>17</v>
      </c>
      <c r="X56" s="170" t="s">
        <v>18</v>
      </c>
      <c r="Y56" s="247">
        <v>41.1</v>
      </c>
      <c r="Z56" s="170" t="s">
        <v>999</v>
      </c>
      <c r="AA56" s="170" t="s">
        <v>327</v>
      </c>
      <c r="AB56" s="170" t="s">
        <v>11</v>
      </c>
      <c r="AC56" s="170">
        <v>2</v>
      </c>
      <c r="AD56" s="177"/>
      <c r="AG56" s="178"/>
      <c r="AK56" s="178"/>
      <c r="AO56" s="178"/>
      <c r="AS56" s="178"/>
      <c r="AW56" s="178"/>
      <c r="BA56" s="179"/>
    </row>
    <row r="57" spans="1:53" s="170" customFormat="1" x14ac:dyDescent="0.15">
      <c r="A57" s="170">
        <v>2022</v>
      </c>
      <c r="B57" s="281"/>
      <c r="C57" s="395" t="s">
        <v>1515</v>
      </c>
      <c r="D57" s="395"/>
      <c r="E57" s="170">
        <v>50</v>
      </c>
      <c r="G57" s="232">
        <v>1</v>
      </c>
      <c r="H57" s="170">
        <v>16</v>
      </c>
      <c r="I57" s="170">
        <v>0</v>
      </c>
      <c r="J57" s="179">
        <v>18</v>
      </c>
      <c r="K57" s="212">
        <f>G57/J57*100</f>
        <v>5.5555555555555554</v>
      </c>
      <c r="L57" s="213">
        <f>H57/J57*100</f>
        <v>88.888888888888886</v>
      </c>
      <c r="M57" s="213">
        <f>I57/J57*100</f>
        <v>0</v>
      </c>
      <c r="N57" s="214">
        <f>SUM(K57:M57)</f>
        <v>94.444444444444443</v>
      </c>
      <c r="O57" s="232">
        <v>2</v>
      </c>
      <c r="P57" s="170">
        <v>41.1</v>
      </c>
      <c r="Q57" s="170">
        <v>0</v>
      </c>
      <c r="R57" s="179">
        <f t="shared" ref="R57:R59" si="29">SUM(O57:Q57)</f>
        <v>43.1</v>
      </c>
      <c r="S57" s="189">
        <v>5</v>
      </c>
      <c r="T57" s="283"/>
      <c r="U57" s="281"/>
      <c r="V57" s="177" t="s">
        <v>996</v>
      </c>
      <c r="W57" s="170" t="s">
        <v>17</v>
      </c>
      <c r="X57" s="170" t="s">
        <v>18</v>
      </c>
      <c r="Y57" s="247">
        <v>41.1</v>
      </c>
      <c r="Z57" s="170" t="s">
        <v>999</v>
      </c>
      <c r="AA57" s="170" t="s">
        <v>327</v>
      </c>
      <c r="AB57" s="170" t="s">
        <v>11</v>
      </c>
      <c r="AC57" s="170">
        <v>2</v>
      </c>
      <c r="AD57" s="177"/>
      <c r="AG57" s="178"/>
      <c r="AK57" s="178"/>
      <c r="AO57" s="178"/>
      <c r="AS57" s="178"/>
      <c r="AW57" s="178"/>
      <c r="BA57" s="179"/>
    </row>
    <row r="58" spans="1:53" s="170" customFormat="1" x14ac:dyDescent="0.15">
      <c r="A58" s="170">
        <v>2022</v>
      </c>
      <c r="B58" s="299">
        <v>44611</v>
      </c>
      <c r="C58" s="395" t="s">
        <v>1515</v>
      </c>
      <c r="D58" s="395"/>
      <c r="E58" s="170">
        <v>18</v>
      </c>
      <c r="F58" s="191">
        <v>0</v>
      </c>
      <c r="G58" s="232">
        <v>1</v>
      </c>
      <c r="H58" s="170">
        <v>15</v>
      </c>
      <c r="I58" s="170">
        <v>0</v>
      </c>
      <c r="J58" s="179">
        <v>17</v>
      </c>
      <c r="K58" s="212">
        <f>G58/J58*100</f>
        <v>5.8823529411764701</v>
      </c>
      <c r="L58" s="213">
        <f>H58/J58*100</f>
        <v>88.235294117647058</v>
      </c>
      <c r="M58" s="213">
        <f>I58/J58*100</f>
        <v>0</v>
      </c>
      <c r="N58" s="214">
        <f>SUM(K58:M58)</f>
        <v>94.117647058823522</v>
      </c>
      <c r="O58" s="232">
        <v>2</v>
      </c>
      <c r="P58" s="170">
        <v>41.1</v>
      </c>
      <c r="Q58" s="170">
        <v>0</v>
      </c>
      <c r="R58" s="179">
        <f t="shared" ref="R58" si="30">SUM(O58:Q58)</f>
        <v>43.1</v>
      </c>
      <c r="S58" s="189">
        <v>5</v>
      </c>
      <c r="T58" s="283"/>
      <c r="U58" s="281"/>
      <c r="V58" s="177" t="s">
        <v>996</v>
      </c>
      <c r="W58" s="170" t="s">
        <v>17</v>
      </c>
      <c r="X58" s="170" t="s">
        <v>18</v>
      </c>
      <c r="Y58" s="247">
        <v>41.1</v>
      </c>
      <c r="Z58" s="170" t="s">
        <v>999</v>
      </c>
      <c r="AA58" s="170" t="s">
        <v>327</v>
      </c>
      <c r="AB58" s="170" t="s">
        <v>11</v>
      </c>
      <c r="AC58" s="170">
        <v>2</v>
      </c>
      <c r="AD58" s="177"/>
      <c r="AG58" s="178"/>
      <c r="AK58" s="178"/>
      <c r="AO58" s="178"/>
      <c r="AS58" s="178"/>
      <c r="AW58" s="178"/>
      <c r="BA58" s="179"/>
    </row>
    <row r="59" spans="1:53" s="170" customFormat="1" x14ac:dyDescent="0.15">
      <c r="A59" s="170">
        <v>2022</v>
      </c>
      <c r="B59" s="299">
        <v>44629</v>
      </c>
      <c r="C59" s="395" t="s">
        <v>1515</v>
      </c>
      <c r="D59" s="395"/>
      <c r="E59" s="170">
        <v>297</v>
      </c>
      <c r="F59" s="191">
        <v>0</v>
      </c>
      <c r="G59" s="232">
        <v>1</v>
      </c>
      <c r="H59" s="170">
        <v>15</v>
      </c>
      <c r="I59" s="170">
        <v>0</v>
      </c>
      <c r="J59" s="179">
        <v>18</v>
      </c>
      <c r="K59" s="212">
        <f>G59/J59*100</f>
        <v>5.5555555555555554</v>
      </c>
      <c r="L59" s="213">
        <f>H59/J59*100</f>
        <v>83.333333333333343</v>
      </c>
      <c r="M59" s="213">
        <f>I59/J59*100</f>
        <v>0</v>
      </c>
      <c r="N59" s="214">
        <f>SUM(K59:M59)</f>
        <v>88.8888888888889</v>
      </c>
      <c r="O59" s="232">
        <v>2</v>
      </c>
      <c r="P59" s="170">
        <v>41.1</v>
      </c>
      <c r="Q59" s="170">
        <v>0</v>
      </c>
      <c r="R59" s="179">
        <f t="shared" si="29"/>
        <v>43.1</v>
      </c>
      <c r="S59" s="189">
        <v>5</v>
      </c>
      <c r="T59" s="283"/>
      <c r="U59" s="281"/>
      <c r="V59" s="177" t="s">
        <v>996</v>
      </c>
      <c r="W59" s="170" t="s">
        <v>17</v>
      </c>
      <c r="X59" s="170" t="s">
        <v>18</v>
      </c>
      <c r="Y59" s="247">
        <v>41.1</v>
      </c>
      <c r="Z59" s="170" t="s">
        <v>999</v>
      </c>
      <c r="AA59" s="170" t="s">
        <v>327</v>
      </c>
      <c r="AB59" s="170" t="s">
        <v>11</v>
      </c>
      <c r="AC59" s="170">
        <v>2</v>
      </c>
      <c r="AD59" s="177"/>
      <c r="AG59" s="178"/>
      <c r="AK59" s="178"/>
      <c r="AO59" s="178"/>
      <c r="AS59" s="178"/>
      <c r="AW59" s="178"/>
      <c r="BA59" s="179"/>
    </row>
    <row r="60" spans="1:53" ht="18" customHeight="1" x14ac:dyDescent="0.15">
      <c r="B60" s="15" t="s">
        <v>1262</v>
      </c>
    </row>
    <row r="61" spans="1:53" ht="9" customHeight="1" x14ac:dyDescent="0.15"/>
    <row r="62" spans="1:53" s="194" customFormat="1" ht="9" customHeight="1" x14ac:dyDescent="0.15">
      <c r="A62" s="192"/>
      <c r="B62" s="193" t="s">
        <v>1213</v>
      </c>
      <c r="C62" s="193"/>
      <c r="D62" s="193"/>
      <c r="E62" s="193"/>
      <c r="F62" s="193"/>
      <c r="G62" s="193" t="s">
        <v>1214</v>
      </c>
      <c r="H62" s="193"/>
      <c r="I62" s="193"/>
      <c r="J62" s="193"/>
      <c r="K62" s="193"/>
      <c r="L62" s="193"/>
      <c r="M62" s="193"/>
      <c r="N62" s="193"/>
      <c r="R62" s="386" t="s">
        <v>1215</v>
      </c>
      <c r="S62" s="386"/>
      <c r="T62" s="386"/>
      <c r="U62" s="386"/>
      <c r="V62" s="386"/>
      <c r="W62" s="386"/>
      <c r="X62" s="195"/>
      <c r="Y62" s="195"/>
      <c r="AA62" s="195"/>
      <c r="AB62" s="195"/>
      <c r="AC62" s="195"/>
      <c r="AD62" s="195"/>
    </row>
    <row r="63" spans="1:53" s="199" customFormat="1" ht="9" customHeight="1" x14ac:dyDescent="0.15">
      <c r="A63" s="196"/>
      <c r="B63" s="197" t="s">
        <v>1217</v>
      </c>
      <c r="C63" s="198"/>
      <c r="D63" s="198"/>
      <c r="E63" s="198"/>
      <c r="F63" s="198"/>
      <c r="G63" s="197" t="s">
        <v>1216</v>
      </c>
      <c r="H63" s="198"/>
      <c r="I63" s="198"/>
      <c r="J63" s="198"/>
      <c r="K63" s="198"/>
      <c r="L63" s="198"/>
      <c r="M63" s="198"/>
      <c r="N63" s="198"/>
      <c r="R63" s="200" t="s">
        <v>1218</v>
      </c>
      <c r="S63" s="201"/>
      <c r="T63" s="202"/>
      <c r="U63" s="202"/>
      <c r="V63" s="202"/>
      <c r="W63" s="200" t="s">
        <v>1219</v>
      </c>
      <c r="X63" s="202"/>
      <c r="Y63" s="202"/>
      <c r="AA63" s="202"/>
      <c r="AB63" s="202"/>
      <c r="AC63" s="202"/>
      <c r="AD63" s="202"/>
    </row>
    <row r="64" spans="1:53" s="185" customFormat="1" ht="12" customHeight="1" x14ac:dyDescent="0.15">
      <c r="A64" s="203" t="s">
        <v>3</v>
      </c>
      <c r="B64" s="204" t="s">
        <v>8</v>
      </c>
      <c r="C64" s="204" t="s">
        <v>9</v>
      </c>
      <c r="D64" s="204" t="s">
        <v>10</v>
      </c>
      <c r="E64" s="205" t="s">
        <v>1193</v>
      </c>
      <c r="F64" s="204"/>
      <c r="G64" s="185" t="s">
        <v>3</v>
      </c>
      <c r="H64" s="387" t="s">
        <v>0</v>
      </c>
      <c r="I64" s="387"/>
      <c r="J64" s="387" t="s">
        <v>1</v>
      </c>
      <c r="K64" s="387"/>
      <c r="L64" s="387" t="s">
        <v>2</v>
      </c>
      <c r="M64" s="387"/>
      <c r="N64" s="388" t="s">
        <v>1193</v>
      </c>
      <c r="O64" s="388"/>
      <c r="P64" s="206"/>
      <c r="Q64" s="206"/>
      <c r="R64" s="207" t="s">
        <v>3</v>
      </c>
      <c r="S64" s="208" t="s">
        <v>135</v>
      </c>
      <c r="T64" s="206" t="s">
        <v>133</v>
      </c>
      <c r="U64" s="204" t="s">
        <v>134</v>
      </c>
      <c r="V64" s="206"/>
      <c r="W64" s="209" t="s">
        <v>26</v>
      </c>
    </row>
    <row r="65" spans="1:25" x14ac:dyDescent="0.15">
      <c r="A65" s="1">
        <v>1990</v>
      </c>
      <c r="B65" s="5"/>
      <c r="C65" s="5"/>
      <c r="D65" s="5"/>
      <c r="E65" s="17"/>
      <c r="F65" s="5"/>
      <c r="G65" s="1">
        <v>1990</v>
      </c>
      <c r="H65" s="5"/>
      <c r="I65" s="5"/>
      <c r="J65" s="5"/>
      <c r="K65" s="5"/>
      <c r="L65" s="5"/>
      <c r="M65" s="5"/>
      <c r="N65" s="17"/>
      <c r="O65" s="17"/>
      <c r="P65" s="9"/>
      <c r="Q65" s="9"/>
      <c r="R65" s="1">
        <v>1990</v>
      </c>
      <c r="S65" s="9"/>
      <c r="T65" s="9"/>
      <c r="U65" s="5"/>
      <c r="V65" s="9"/>
      <c r="W65" s="9"/>
    </row>
    <row r="66" spans="1:25" x14ac:dyDescent="0.15">
      <c r="A66" s="13">
        <v>1991</v>
      </c>
      <c r="B66" s="5"/>
      <c r="C66" s="5"/>
      <c r="D66" s="5"/>
      <c r="E66" s="17"/>
      <c r="F66" s="5"/>
      <c r="G66" s="1">
        <v>1991</v>
      </c>
      <c r="H66" s="5"/>
      <c r="I66" s="5"/>
      <c r="J66" s="5"/>
      <c r="K66" s="5"/>
      <c r="L66" s="5"/>
      <c r="M66" s="5"/>
      <c r="N66" s="17"/>
      <c r="O66" s="17"/>
      <c r="P66" s="9"/>
      <c r="Q66" s="9"/>
      <c r="R66" s="1">
        <v>1991</v>
      </c>
      <c r="S66" s="9"/>
      <c r="T66" s="9"/>
      <c r="U66" s="5"/>
      <c r="V66" s="9"/>
      <c r="W66" s="9"/>
    </row>
    <row r="67" spans="1:25" x14ac:dyDescent="0.15">
      <c r="A67" s="1">
        <v>1992</v>
      </c>
      <c r="B67" s="5"/>
      <c r="C67" s="5"/>
      <c r="D67" s="5"/>
      <c r="E67" s="17"/>
      <c r="F67" s="5"/>
      <c r="G67" s="1">
        <v>1992</v>
      </c>
      <c r="H67" s="5"/>
      <c r="I67" s="5"/>
      <c r="J67" s="5"/>
      <c r="K67" s="5"/>
      <c r="L67" s="5"/>
      <c r="M67" s="5"/>
      <c r="N67" s="17"/>
      <c r="O67" s="17"/>
      <c r="P67" s="9"/>
      <c r="Q67" s="9"/>
      <c r="R67" s="1">
        <v>1992</v>
      </c>
      <c r="S67" s="9"/>
      <c r="T67" s="9"/>
      <c r="U67" s="5"/>
      <c r="V67" s="9"/>
      <c r="W67" s="9"/>
    </row>
    <row r="68" spans="1:25" x14ac:dyDescent="0.15">
      <c r="A68" s="13">
        <v>1993</v>
      </c>
      <c r="B68" s="5"/>
      <c r="C68" s="5"/>
      <c r="D68" s="5"/>
      <c r="E68" s="17"/>
      <c r="F68" s="5"/>
      <c r="G68" s="1">
        <v>1993</v>
      </c>
      <c r="H68" s="5"/>
      <c r="I68" s="5"/>
      <c r="J68" s="5"/>
      <c r="K68" s="5"/>
      <c r="L68" s="5"/>
      <c r="M68" s="5"/>
      <c r="N68" s="17"/>
      <c r="O68" s="17"/>
      <c r="P68" s="9"/>
      <c r="Q68" s="9"/>
      <c r="R68" s="1">
        <v>1993</v>
      </c>
      <c r="S68" s="9"/>
      <c r="T68" s="9"/>
      <c r="U68" s="5"/>
      <c r="V68" s="9"/>
      <c r="W68" s="9"/>
    </row>
    <row r="69" spans="1:25" x14ac:dyDescent="0.15">
      <c r="A69" s="1">
        <v>1994</v>
      </c>
      <c r="B69" s="5"/>
      <c r="C69" s="5"/>
      <c r="D69" s="5"/>
      <c r="E69" s="17"/>
      <c r="F69" s="5"/>
      <c r="G69" s="1">
        <v>1994</v>
      </c>
      <c r="H69" s="5"/>
      <c r="I69" s="5"/>
      <c r="J69" s="5"/>
      <c r="K69" s="5"/>
      <c r="L69" s="5"/>
      <c r="M69" s="5"/>
      <c r="N69" s="17"/>
      <c r="O69" s="17"/>
      <c r="P69" s="9"/>
      <c r="Q69" s="9"/>
      <c r="R69" s="1">
        <v>1994</v>
      </c>
      <c r="S69" s="9"/>
      <c r="T69" s="9"/>
      <c r="U69" s="5"/>
      <c r="V69" s="9"/>
      <c r="W69" s="9"/>
    </row>
    <row r="70" spans="1:25" x14ac:dyDescent="0.15">
      <c r="A70" s="13">
        <v>1995</v>
      </c>
      <c r="B70" s="5"/>
      <c r="C70" s="5"/>
      <c r="D70" s="5"/>
      <c r="E70" s="17"/>
      <c r="F70" s="5"/>
      <c r="G70" s="1">
        <v>1995</v>
      </c>
      <c r="H70" s="5"/>
      <c r="I70" s="5"/>
      <c r="J70" s="5"/>
      <c r="K70" s="5"/>
      <c r="L70" s="5"/>
      <c r="M70" s="5"/>
      <c r="N70" s="17"/>
      <c r="O70" s="17"/>
      <c r="P70" s="9"/>
      <c r="Q70" s="9"/>
      <c r="R70" s="1">
        <v>1995</v>
      </c>
      <c r="S70" s="9"/>
      <c r="T70" s="9"/>
      <c r="U70" s="5"/>
      <c r="V70" s="9"/>
      <c r="W70" s="9"/>
    </row>
    <row r="71" spans="1:25" x14ac:dyDescent="0.15">
      <c r="A71" s="1">
        <v>1996</v>
      </c>
      <c r="B71" s="5"/>
      <c r="C71" s="5"/>
      <c r="D71" s="5"/>
      <c r="E71" s="17"/>
      <c r="F71" s="5"/>
      <c r="G71" s="1">
        <v>1996</v>
      </c>
      <c r="H71" s="5"/>
      <c r="I71" s="5"/>
      <c r="J71" s="5"/>
      <c r="K71" s="5"/>
      <c r="L71" s="5"/>
      <c r="M71" s="5"/>
      <c r="N71" s="17"/>
      <c r="O71" s="17"/>
      <c r="P71" s="9"/>
      <c r="Q71" s="9"/>
      <c r="R71" s="1">
        <v>1996</v>
      </c>
      <c r="S71" s="9"/>
      <c r="T71" s="9"/>
      <c r="U71" s="5"/>
      <c r="V71" s="9"/>
      <c r="W71" s="9"/>
    </row>
    <row r="72" spans="1:25" x14ac:dyDescent="0.15">
      <c r="A72" s="13">
        <v>1997</v>
      </c>
      <c r="B72" s="5"/>
      <c r="C72" s="5"/>
      <c r="D72" s="5"/>
      <c r="E72" s="17"/>
      <c r="F72" s="5"/>
      <c r="G72" s="1">
        <v>1997</v>
      </c>
      <c r="H72" s="5"/>
      <c r="I72" s="5"/>
      <c r="J72" s="5"/>
      <c r="K72" s="5"/>
      <c r="L72" s="5"/>
      <c r="M72" s="5"/>
      <c r="N72" s="17"/>
      <c r="O72" s="17"/>
      <c r="P72" s="9"/>
      <c r="Q72" s="9"/>
      <c r="R72" s="1">
        <v>1997</v>
      </c>
      <c r="S72" s="9"/>
      <c r="T72" s="9"/>
      <c r="U72" s="5"/>
      <c r="V72" s="9"/>
      <c r="W72" s="9"/>
    </row>
    <row r="73" spans="1:25" x14ac:dyDescent="0.15">
      <c r="A73" s="1">
        <v>1998</v>
      </c>
      <c r="B73" s="5"/>
      <c r="C73" s="5"/>
      <c r="D73" s="5"/>
      <c r="E73" s="17"/>
      <c r="F73" s="5"/>
      <c r="G73" s="1">
        <v>1998</v>
      </c>
      <c r="H73" s="5"/>
      <c r="I73" s="5"/>
      <c r="J73" s="5"/>
      <c r="K73" s="5"/>
      <c r="L73" s="5"/>
      <c r="M73" s="5"/>
      <c r="N73" s="17"/>
      <c r="O73" s="17"/>
      <c r="P73" s="9"/>
      <c r="Q73" s="9"/>
      <c r="R73" s="1">
        <v>1998</v>
      </c>
      <c r="S73" s="9"/>
      <c r="T73" s="9"/>
      <c r="U73" s="5"/>
      <c r="V73" s="9"/>
      <c r="W73" s="9"/>
    </row>
    <row r="74" spans="1:25" x14ac:dyDescent="0.15">
      <c r="A74" s="13">
        <v>1999</v>
      </c>
      <c r="B74" s="5"/>
      <c r="C74" s="5"/>
      <c r="D74" s="5"/>
      <c r="E74" s="17"/>
      <c r="F74" s="5"/>
      <c r="G74" s="1">
        <v>1999</v>
      </c>
      <c r="H74" s="5"/>
      <c r="I74" s="5"/>
      <c r="J74" s="5"/>
      <c r="K74" s="5"/>
      <c r="L74" s="5"/>
      <c r="M74" s="5"/>
      <c r="N74" s="17"/>
      <c r="O74" s="17"/>
      <c r="P74" s="9"/>
      <c r="Q74" s="9"/>
      <c r="R74" s="1">
        <v>1999</v>
      </c>
      <c r="S74" s="9"/>
      <c r="T74" s="9"/>
      <c r="U74" s="5"/>
      <c r="V74" s="9"/>
      <c r="W74" s="9"/>
    </row>
    <row r="75" spans="1:25" x14ac:dyDescent="0.15">
      <c r="A75" s="1">
        <v>2000</v>
      </c>
      <c r="B75" s="5">
        <f>(K7*($E7/340))</f>
        <v>37.5</v>
      </c>
      <c r="C75" s="5">
        <f>(L7*($E7/340))</f>
        <v>12.5</v>
      </c>
      <c r="D75" s="5">
        <f>(M7*($E7/340))</f>
        <v>45.833333333333329</v>
      </c>
      <c r="E75" s="23">
        <f t="shared" ref="E75:E87" si="31">SUM(B75:D75)</f>
        <v>95.833333333333329</v>
      </c>
      <c r="G75" s="1">
        <v>2000</v>
      </c>
      <c r="H75" s="392">
        <f>(O7/$R7*100*($E7/340))</f>
        <v>31.142042596008718</v>
      </c>
      <c r="I75" s="392"/>
      <c r="J75" s="392">
        <f>(P7/$R7*100*($E7/340))</f>
        <v>17.776287103806805</v>
      </c>
      <c r="K75" s="392"/>
      <c r="L75" s="392">
        <f>(Q7/$R7*100*($E7/340))</f>
        <v>51.08167030018447</v>
      </c>
      <c r="M75" s="392"/>
      <c r="N75" s="413">
        <f t="shared" ref="N75:N87" si="32">H75+J75+L75</f>
        <v>100</v>
      </c>
      <c r="O75" s="413"/>
      <c r="R75" s="1">
        <v>2000</v>
      </c>
      <c r="S75" s="5">
        <f>(O7*($E7/340))</f>
        <v>18.57</v>
      </c>
      <c r="T75" s="5">
        <f>(P7*($E7/340))</f>
        <v>10.6</v>
      </c>
      <c r="U75" s="5">
        <f>(Q7*($E7/340))</f>
        <v>30.46</v>
      </c>
      <c r="V75" s="9"/>
      <c r="W75" s="5">
        <f>S75+T75+U75</f>
        <v>59.63</v>
      </c>
      <c r="Y75" s="124" t="s">
        <v>1212</v>
      </c>
    </row>
    <row r="76" spans="1:25" x14ac:dyDescent="0.15">
      <c r="A76" s="1">
        <v>2001</v>
      </c>
      <c r="B76" s="5">
        <f>(K8* ($E8/365))+(K9*($E9/365))+(K10*($E10/365))</f>
        <v>36.872146118721453</v>
      </c>
      <c r="C76" s="5">
        <f>(L8* ($E8/365))+(L9*($E9/365))+(L10*($E10/365))</f>
        <v>12.5</v>
      </c>
      <c r="D76" s="5">
        <f>(M8* ($E8/365))+(M9*($E9/365))+(M10*($E10/365))</f>
        <v>46.917808219178077</v>
      </c>
      <c r="E76" s="23">
        <f t="shared" si="31"/>
        <v>96.28995433789953</v>
      </c>
      <c r="G76" s="1">
        <v>2001</v>
      </c>
      <c r="H76" s="392">
        <f>(O8/$R8*100*($E8/365))+(O9/$R9*100*($E9/365))+(O10/$R10*100*($E10/365))</f>
        <v>30.308537411471253</v>
      </c>
      <c r="I76" s="392"/>
      <c r="J76" s="392">
        <f>(P8/$R8*100*($E8/365))+(P9/$R9*100*($E9/365))+(P10/$R10*100*($E10/365))</f>
        <v>17.991463795382476</v>
      </c>
      <c r="K76" s="392"/>
      <c r="L76" s="392">
        <f>(Q8/$R8*100*($E8/365))+(Q9/$R9*100*($E9/365))+(Q10/$R10*100*($E10/365))</f>
        <v>51.699998793146257</v>
      </c>
      <c r="M76" s="392"/>
      <c r="N76" s="413">
        <f t="shared" si="32"/>
        <v>99.999999999999986</v>
      </c>
      <c r="O76" s="413"/>
      <c r="R76" s="1">
        <v>2001</v>
      </c>
      <c r="S76" s="5">
        <f>(O8* ($E8/365))+(O9*($E9/365))+(O10*($E10/365))</f>
        <v>17.880273972602737</v>
      </c>
      <c r="T76" s="5">
        <f>(P8* ($E8/365))+(P9*($E9/365))+(P10*($E10/365))</f>
        <v>10.6</v>
      </c>
      <c r="U76" s="5">
        <f>(Q8* ($E8/365))+(Q9*($E9/365))+(Q10*($E10/365))</f>
        <v>30.459999999999997</v>
      </c>
      <c r="V76" s="9"/>
      <c r="W76" s="5">
        <f t="shared" ref="W76:W87" si="33">S76+T76+U76</f>
        <v>58.940273972602739</v>
      </c>
    </row>
    <row r="77" spans="1:25" x14ac:dyDescent="0.15">
      <c r="A77" s="1">
        <v>2002</v>
      </c>
      <c r="B77" s="5">
        <f>(K11* ($E11/365))+(K12*($E12/365))</f>
        <v>30.422374429223744</v>
      </c>
      <c r="C77" s="5">
        <f>(L11* ($E11/365))+(L12*($E12/365))</f>
        <v>14.269406392694062</v>
      </c>
      <c r="D77" s="5">
        <f>(M11* ($E11/365))+(M12*($E12/365))</f>
        <v>55.30821917808219</v>
      </c>
      <c r="E77" s="23">
        <f t="shared" si="31"/>
        <v>100</v>
      </c>
      <c r="G77" s="1">
        <v>2002</v>
      </c>
      <c r="H77" s="392">
        <f>(O11/$R11*100*($E11/365))+(O12/$R12*100*($E12/365))</f>
        <v>22.470193382849732</v>
      </c>
      <c r="I77" s="392"/>
      <c r="J77" s="392">
        <f>(P11/$R11*100*($E11/365))+(P12/$R12*100*($E12/365))</f>
        <v>20.015001221183454</v>
      </c>
      <c r="K77" s="392"/>
      <c r="L77" s="392">
        <f>(Q11/$R11*100*($E11/365))+(Q12/$R12*100*($E12/365))</f>
        <v>57.514805395966789</v>
      </c>
      <c r="M77" s="392"/>
      <c r="N77" s="413">
        <f t="shared" si="32"/>
        <v>99.999999999999972</v>
      </c>
      <c r="O77" s="413"/>
      <c r="R77" s="1">
        <v>2002</v>
      </c>
      <c r="S77" s="5">
        <f>(O11* ($E11/365))+(O12*($E12/365))</f>
        <v>12.25095890410959</v>
      </c>
      <c r="T77" s="5">
        <f>(P11* ($E11/365))+(P12*($E12/365))</f>
        <v>10.599999999999998</v>
      </c>
      <c r="U77" s="5">
        <f>(Q11* ($E11/365))+(Q12*($E12/365))</f>
        <v>30.459999999999997</v>
      </c>
      <c r="V77" s="9"/>
      <c r="W77" s="5">
        <f t="shared" si="33"/>
        <v>53.310958904109583</v>
      </c>
    </row>
    <row r="78" spans="1:25" x14ac:dyDescent="0.15">
      <c r="A78" s="1">
        <v>2003</v>
      </c>
      <c r="B78" s="5">
        <f>(K13* ($E13/365))+(K14*($E14/365))+(K15*($E15/365))</f>
        <v>20.484018264840184</v>
      </c>
      <c r="C78" s="5">
        <f>(L13* ($E13/365))+(L14*($E14/365))+(L15*($E15/365))</f>
        <v>18.392694063926939</v>
      </c>
      <c r="D78" s="5">
        <f>(M13* ($E13/365))+(M14*($E14/365))+(M15*($E15/365))</f>
        <v>60.958904109589042</v>
      </c>
      <c r="E78" s="23">
        <f t="shared" si="31"/>
        <v>99.835616438356169</v>
      </c>
      <c r="G78" s="1">
        <v>2003</v>
      </c>
      <c r="H78" s="392">
        <f>(O13/$R13*100*($E13/365))+(O14/$R14*100*($E14/365))+(O15/$R15*100*($E15/365))</f>
        <v>16.636466100362604</v>
      </c>
      <c r="I78" s="392"/>
      <c r="J78" s="392">
        <f>(P13/$R13*100*($E13/365))+(P14/$R14*100*($E14/365))+(P15/$R15*100*($E15/365))</f>
        <v>23.322838542683122</v>
      </c>
      <c r="K78" s="392"/>
      <c r="L78" s="392">
        <f>(Q13/$R13*100*($E13/365))+(Q14/$R14*100*($E14/365))+(Q15/$R15*100*($E15/365))</f>
        <v>60.040695356954259</v>
      </c>
      <c r="M78" s="392"/>
      <c r="N78" s="413">
        <f t="shared" si="32"/>
        <v>99.999999999999986</v>
      </c>
      <c r="O78" s="413"/>
      <c r="R78" s="1">
        <v>2003</v>
      </c>
      <c r="S78" s="5">
        <f>(O13* ($E13/365))+(O14*($E14/365))+(O15*($E15/365))</f>
        <v>8.2638904109589042</v>
      </c>
      <c r="T78" s="5">
        <f>(P13* ($E13/365))+(P14*($E14/365))+(P15*($E15/365))</f>
        <v>11.409260273972601</v>
      </c>
      <c r="U78" s="5">
        <f>(Q13* ($E13/365))+(Q14*($E14/365))+(Q15*($E15/365))</f>
        <v>29.708931506849318</v>
      </c>
      <c r="V78" s="9"/>
      <c r="W78" s="5">
        <f t="shared" si="33"/>
        <v>49.382082191780825</v>
      </c>
    </row>
    <row r="79" spans="1:25" x14ac:dyDescent="0.15">
      <c r="A79" s="1">
        <v>2004</v>
      </c>
      <c r="B79" s="5">
        <f>(K16* ($E16/366))+(K17*($E17/366))</f>
        <v>6.666666666666667</v>
      </c>
      <c r="C79" s="5">
        <f>(L16* ($E16/366))+(L17*($E17/366))</f>
        <v>86.666666666666671</v>
      </c>
      <c r="D79" s="5">
        <f>(M16* ($E16/366))+(M17*($E17/366))</f>
        <v>0</v>
      </c>
      <c r="E79" s="23">
        <f t="shared" si="31"/>
        <v>93.333333333333343</v>
      </c>
      <c r="G79" s="1">
        <v>2004</v>
      </c>
      <c r="H79" s="392">
        <f>(O16/$R16*100*($E16/366))+(O17/$R17*100*($E17/366))</f>
        <v>1.4972776769509983</v>
      </c>
      <c r="I79" s="392"/>
      <c r="J79" s="392">
        <f>(P16/$R16*100*($E16/366))+(P17/$R17*100*($E17/366))</f>
        <v>98.502722323049014</v>
      </c>
      <c r="K79" s="392"/>
      <c r="L79" s="392">
        <f>(Q16/$R16*100*($E16/366))+(Q17/$R17*100*($E17/366))</f>
        <v>0</v>
      </c>
      <c r="M79" s="392"/>
      <c r="N79" s="413">
        <f t="shared" si="32"/>
        <v>100.00000000000001</v>
      </c>
      <c r="O79" s="413"/>
      <c r="R79" s="1">
        <v>2004</v>
      </c>
      <c r="S79" s="5">
        <f>(O16* ($E16/366))+(O17*($E17/366))</f>
        <v>0.66</v>
      </c>
      <c r="T79" s="5">
        <f>(P16* ($E16/366))+(P17*($E17/366))</f>
        <v>43.42</v>
      </c>
      <c r="U79" s="5">
        <f>(Q16* ($E16/366))+(Q17*($E17/366))</f>
        <v>0</v>
      </c>
      <c r="V79" s="9"/>
      <c r="W79" s="5">
        <f t="shared" si="33"/>
        <v>44.08</v>
      </c>
    </row>
    <row r="80" spans="1:25" x14ac:dyDescent="0.15">
      <c r="A80" s="1">
        <v>2005</v>
      </c>
      <c r="B80" s="5">
        <f>(K18* ($E18/365))+(K19*($E19/365))</f>
        <v>6.666666666666667</v>
      </c>
      <c r="C80" s="5">
        <f>(L18* ($E18/365))+(L19*($E19/365))</f>
        <v>86.666666666666671</v>
      </c>
      <c r="D80" s="5">
        <f>(M18* ($E18/365))+(M19*($E19/365))</f>
        <v>0</v>
      </c>
      <c r="E80" s="23">
        <f t="shared" si="31"/>
        <v>93.333333333333343</v>
      </c>
      <c r="G80" s="1">
        <v>2005</v>
      </c>
      <c r="H80" s="392">
        <f>(O18/$R18*100*($E18/365))+(O19/$R19*100*($E19/365))</f>
        <v>1.4972776769509983</v>
      </c>
      <c r="I80" s="392"/>
      <c r="J80" s="392">
        <f>(P18/$R18*100*($E18/365))+(P19/$R19*100*($E19/365))</f>
        <v>98.502722323048999</v>
      </c>
      <c r="K80" s="392"/>
      <c r="L80" s="392">
        <f>(Q18/$R18*100*($E18/365))+(Q19/$R19*100*($E19/365))</f>
        <v>0</v>
      </c>
      <c r="M80" s="392"/>
      <c r="N80" s="413">
        <f t="shared" si="32"/>
        <v>100</v>
      </c>
      <c r="O80" s="413"/>
      <c r="R80" s="1">
        <v>2005</v>
      </c>
      <c r="S80" s="5">
        <f>(O18* ($E18/365))+(O19*($E19/365))</f>
        <v>0.65999999999999992</v>
      </c>
      <c r="T80" s="5">
        <f>(P18* ($E18/365))+(P19*($E19/365))</f>
        <v>43.42</v>
      </c>
      <c r="U80" s="5">
        <f>(Q18* ($E18/365))+(Q19*($E19/365))</f>
        <v>0</v>
      </c>
      <c r="V80" s="9"/>
      <c r="W80" s="5">
        <f t="shared" si="33"/>
        <v>44.08</v>
      </c>
    </row>
    <row r="81" spans="1:23" x14ac:dyDescent="0.15">
      <c r="A81" s="1">
        <v>2006</v>
      </c>
      <c r="B81" s="5">
        <f>(K20* ($E20/365))+(K21*($E21/365))</f>
        <v>0.73059360730593603</v>
      </c>
      <c r="C81" s="5">
        <f>(L20* ($E20/365))+(L21*($E21/365))</f>
        <v>92.602739726027394</v>
      </c>
      <c r="D81" s="5">
        <f>(M20* ($E20/365))+(M21*($E21/365))</f>
        <v>0</v>
      </c>
      <c r="E81" s="23">
        <f t="shared" si="31"/>
        <v>93.333333333333329</v>
      </c>
      <c r="G81" s="1">
        <v>2006</v>
      </c>
      <c r="H81" s="392">
        <f>(O20/$R20*100*($E20/365))+(O21/$R21*100*($E21/365))</f>
        <v>0.16408522487134228</v>
      </c>
      <c r="I81" s="392"/>
      <c r="J81" s="392">
        <f>(P20/$R20*100*($E20/365))+(P21/$R21*100*($E21/365))</f>
        <v>99.835914775128657</v>
      </c>
      <c r="K81" s="392"/>
      <c r="L81" s="392">
        <f>(Q20/$R20*100*($E20/365))+(Q21/$R21*100*($E21/365))</f>
        <v>0</v>
      </c>
      <c r="M81" s="392"/>
      <c r="N81" s="413">
        <f t="shared" si="32"/>
        <v>100</v>
      </c>
      <c r="O81" s="413"/>
      <c r="R81" s="1">
        <v>2006</v>
      </c>
      <c r="S81" s="5">
        <f>(O20* ($E20/365))+(O21*($E21/365))</f>
        <v>7.2328767123287674E-2</v>
      </c>
      <c r="T81" s="5">
        <f>(P20* ($E20/365))+(P21*($E21/365))</f>
        <v>43.42</v>
      </c>
      <c r="U81" s="5">
        <f>(Q20* ($E20/365))+(Q21*($E21/365))</f>
        <v>0</v>
      </c>
      <c r="V81" s="9"/>
      <c r="W81" s="5">
        <f t="shared" si="33"/>
        <v>43.49232876712329</v>
      </c>
    </row>
    <row r="82" spans="1:23" x14ac:dyDescent="0.15">
      <c r="A82" s="1">
        <v>2007</v>
      </c>
      <c r="B82" s="5">
        <f>(K22* ($E22/365))+(K23*($E23/365))</f>
        <v>0</v>
      </c>
      <c r="C82" s="5">
        <f>(L22* ($E22/365))+(L23*($E23/365))</f>
        <v>93.333333333333329</v>
      </c>
      <c r="D82" s="5">
        <f>(M22* ($E22/365))+(M23*($E23/365))</f>
        <v>0</v>
      </c>
      <c r="E82" s="23">
        <f t="shared" si="31"/>
        <v>93.333333333333329</v>
      </c>
      <c r="G82" s="1">
        <v>2007</v>
      </c>
      <c r="H82" s="392">
        <f>(O22/$R22*100*($E22/365))+(O23/$R23*100*($E23/365))</f>
        <v>0</v>
      </c>
      <c r="I82" s="392"/>
      <c r="J82" s="392">
        <f>(P22/$R22*100*($E22/365))+(P23/$R23*100*($E23/365))</f>
        <v>100</v>
      </c>
      <c r="K82" s="392"/>
      <c r="L82" s="392">
        <f>(Q22/$R22*100*($E22/365))+(Q23/$R23*100*($E23/365))</f>
        <v>0</v>
      </c>
      <c r="M82" s="392"/>
      <c r="N82" s="413">
        <f t="shared" si="32"/>
        <v>100</v>
      </c>
      <c r="O82" s="413"/>
      <c r="R82" s="1">
        <v>2007</v>
      </c>
      <c r="S82" s="5">
        <f>(O22* ($E22/365))+(O23*($E23/365))</f>
        <v>0</v>
      </c>
      <c r="T82" s="5">
        <f>(P22* ($E22/365))+(P23*($E23/365))</f>
        <v>43.42</v>
      </c>
      <c r="U82" s="5">
        <f>(Q22* ($E22/365))+(Q23*($E23/365))</f>
        <v>0</v>
      </c>
      <c r="V82" s="9"/>
      <c r="W82" s="5">
        <f t="shared" si="33"/>
        <v>43.42</v>
      </c>
    </row>
    <row r="83" spans="1:23" x14ac:dyDescent="0.15">
      <c r="A83" s="1">
        <v>2008</v>
      </c>
      <c r="B83" s="5">
        <f>(K24* ($E24/366))+(K25*($E25/366))+(K26*($E26/366))</f>
        <v>5.3885853066180935</v>
      </c>
      <c r="C83" s="5">
        <f>(L24* ($E24/366))+(L25*($E25/366))+(L26*($E26/366))</f>
        <v>86.502732240437155</v>
      </c>
      <c r="D83" s="5">
        <f>(M24* ($E24/366))+(M25*($E25/366))+(M26*($E26/366))</f>
        <v>0</v>
      </c>
      <c r="E83" s="23">
        <f t="shared" si="31"/>
        <v>91.891317547055252</v>
      </c>
      <c r="G83" s="1">
        <v>2008</v>
      </c>
      <c r="H83" s="392">
        <f>(O24/$R24*100*($E24/366))+(O25/$R25*100*($E25/366))+(O26/$R26*100*($E26/366))</f>
        <v>6.3634585927060598</v>
      </c>
      <c r="I83" s="392"/>
      <c r="J83" s="392">
        <f>(P24/$R24*100*($E24/366))+(P25/$R25*100*($E25/366))+(P26/$R26*100*($E26/366))</f>
        <v>93.636541407293947</v>
      </c>
      <c r="K83" s="392"/>
      <c r="L83" s="392">
        <f>(Q24/$R24*100*($E24/366))+(Q25/$R25*100*($E25/366))+(Q26/$R26*100*($E26/366))</f>
        <v>0</v>
      </c>
      <c r="M83" s="392"/>
      <c r="N83" s="413">
        <f t="shared" si="32"/>
        <v>100</v>
      </c>
      <c r="O83" s="413"/>
      <c r="R83" s="1">
        <v>2008</v>
      </c>
      <c r="S83" s="5">
        <f>(O24* ($E24/366))+(O25*($E25/366))+(O26*($E26/366))</f>
        <v>3.2008196721311477</v>
      </c>
      <c r="T83" s="5">
        <f>(P24* ($E24/366))+(P25*($E25/366))+(P26*($E26/366))</f>
        <v>46.892404371584703</v>
      </c>
      <c r="U83" s="5">
        <f>(Q24* ($E24/366))+(Q25*($E25/366))+(Q26*($E26/366))</f>
        <v>0</v>
      </c>
      <c r="V83" s="9"/>
      <c r="W83" s="5">
        <f t="shared" si="33"/>
        <v>50.09322404371585</v>
      </c>
    </row>
    <row r="84" spans="1:23" x14ac:dyDescent="0.15">
      <c r="A84" s="1">
        <v>2009</v>
      </c>
      <c r="B84" s="5">
        <f>(K27* ($E27/365))+(K28*($E28/365))</f>
        <v>5.2831050228310499</v>
      </c>
      <c r="C84" s="5">
        <f>(L27* ($E27/365))+(L28*($E28/365))</f>
        <v>78.867579908675808</v>
      </c>
      <c r="D84" s="5">
        <f>(M27* ($E27/365))+(M28*($E28/365))</f>
        <v>0</v>
      </c>
      <c r="E84" s="23">
        <f t="shared" si="31"/>
        <v>84.150684931506859</v>
      </c>
      <c r="G84" s="1">
        <v>2009</v>
      </c>
      <c r="H84" s="392">
        <f>(O27/$R27*100*($E27/365))+(O28/$R28*100*($E28/365))</f>
        <v>6.5332896414212245</v>
      </c>
      <c r="I84" s="392"/>
      <c r="J84" s="392">
        <f>(P27/$R27*100*($E27/365))+(P28/$R28*100*($E28/365))</f>
        <v>93.46671035857878</v>
      </c>
      <c r="K84" s="392"/>
      <c r="L84" s="392">
        <f>(Q27/$R27*100*($E27/365))+(Q28/$R28*100*($E28/365))</f>
        <v>0</v>
      </c>
      <c r="M84" s="392"/>
      <c r="N84" s="413">
        <f t="shared" si="32"/>
        <v>100</v>
      </c>
      <c r="O84" s="413"/>
      <c r="R84" s="1">
        <v>2009</v>
      </c>
      <c r="S84" s="5">
        <f>(O27* ($E27/365))+(O28*($E28/365))</f>
        <v>3.2852876712328767</v>
      </c>
      <c r="T84" s="5">
        <f>(P27* ($E27/365))+(P28*($E28/365))</f>
        <v>47</v>
      </c>
      <c r="U84" s="5">
        <f>(Q27* ($E27/365))+(Q28*($E28/365))</f>
        <v>0</v>
      </c>
      <c r="V84" s="9"/>
      <c r="W84" s="5">
        <f t="shared" si="33"/>
        <v>50.285287671232879</v>
      </c>
    </row>
    <row r="85" spans="1:23" x14ac:dyDescent="0.15">
      <c r="A85" s="1">
        <v>2010</v>
      </c>
      <c r="B85" s="5">
        <f>(K29* ($E29/365))+(K30*($E30/365))+(K31* ($E31/365))+(K32*($E32/365))</f>
        <v>5.1600576784426817</v>
      </c>
      <c r="C85" s="5">
        <f>(L29* ($E29/365))+(L30*($E30/365))+(L31* ($E31/365))+(L32*($E32/365))</f>
        <v>81.753424657534239</v>
      </c>
      <c r="D85" s="5">
        <f>(M29* ($E29/365))+(M30*($E30/365))+(M31* ($E31/365))+(M32*($E32/365))</f>
        <v>0</v>
      </c>
      <c r="E85" s="23">
        <f t="shared" si="31"/>
        <v>86.913482335976923</v>
      </c>
      <c r="G85" s="1">
        <v>2010</v>
      </c>
      <c r="H85" s="392">
        <f>(O29/$R29*100*($E29/365))+(O30/$R30*100*($E30/365))+(O31/$R31*100*($E31/365))+(O32/$R32*100*($E32/365))</f>
        <v>6.484473661268483</v>
      </c>
      <c r="I85" s="392"/>
      <c r="J85" s="392">
        <f>(P29/$R29*100*($E29/365))+(P30/$R30*100*($E30/365))+(P31/$R31*100*($E31/365))+(P32/$R32*100*($E32/365))</f>
        <v>93.515526338731505</v>
      </c>
      <c r="K85" s="392"/>
      <c r="L85" s="392">
        <f>(Q29/$R29*100*($E29/365))+(Q30/$R30*100*($E30/365))+(Q31/$R31*100*($E31/365))+(Q32/$R32*100*($E32/365))</f>
        <v>0</v>
      </c>
      <c r="M85" s="392"/>
      <c r="N85" s="413">
        <f t="shared" si="32"/>
        <v>99.999999999999986</v>
      </c>
      <c r="O85" s="413"/>
      <c r="R85" s="1">
        <v>2010</v>
      </c>
      <c r="S85" s="5">
        <f>(O29* ($E29/365))+(O30*($E30/365))+(O31* ($E31/365))+(O32*($E32/365))</f>
        <v>3.2593150684931507</v>
      </c>
      <c r="T85" s="5">
        <f>(P29* ($E29/365))+(P30*($E30/365))+(P31* ($E31/365))+(P32*($E32/365))</f>
        <v>47</v>
      </c>
      <c r="U85" s="5">
        <f>(Q29* ($E29/365))+(Q30*($E30/365))+(Q31* ($E31/365))+(Q32*($E32/365))</f>
        <v>0</v>
      </c>
      <c r="V85" s="9"/>
      <c r="W85" s="5">
        <f t="shared" si="33"/>
        <v>50.259315068493152</v>
      </c>
    </row>
    <row r="86" spans="1:23" x14ac:dyDescent="0.15">
      <c r="A86" s="1">
        <v>2011</v>
      </c>
      <c r="B86" s="5">
        <f>(K33* ($E33/365))+(K34*($E34/365))</f>
        <v>0.56039850560398508</v>
      </c>
      <c r="C86" s="5">
        <f>(L33* ($E33/365))+(L34*($E34/365))</f>
        <v>82.134102379235756</v>
      </c>
      <c r="D86" s="5">
        <f>(M33* ($E33/365))+(M34*($E34/365))</f>
        <v>1.681195516811955</v>
      </c>
      <c r="E86" s="23">
        <f t="shared" si="31"/>
        <v>84.375696401651695</v>
      </c>
      <c r="G86" s="1">
        <v>2011</v>
      </c>
      <c r="H86" s="392">
        <f>(O33/$R33*100*($E33/365))+(O34/$R34*100*($E34/365))</f>
        <v>4.4700106644910953</v>
      </c>
      <c r="I86" s="392"/>
      <c r="J86" s="392">
        <f>(P33/$R33*100*($E33/365))+(P34/$R34*100*($E34/365))</f>
        <v>93.61056951278529</v>
      </c>
      <c r="K86" s="392"/>
      <c r="L86" s="392">
        <f>(Q33/$R33*100*($E33/365))+(Q34/$R34*100*($E34/365))</f>
        <v>1.9194198227236099</v>
      </c>
      <c r="M86" s="392"/>
      <c r="N86" s="413">
        <f t="shared" si="32"/>
        <v>100</v>
      </c>
      <c r="O86" s="413"/>
      <c r="R86" s="1">
        <v>2011</v>
      </c>
      <c r="S86" s="5">
        <f>(O33* ($E33/365))+(O34*($E34/365))</f>
        <v>2.2000547945205482</v>
      </c>
      <c r="T86" s="5">
        <f>(P33* ($E33/365))+(P34*($E34/365))</f>
        <v>45.841095890410955</v>
      </c>
      <c r="U86" s="5">
        <f>(Q33* ($E33/365))+(Q34*($E34/365))</f>
        <v>0.97890410958904117</v>
      </c>
      <c r="V86" s="9"/>
      <c r="W86" s="5">
        <f t="shared" si="33"/>
        <v>49.02005479452054</v>
      </c>
    </row>
    <row r="87" spans="1:23" x14ac:dyDescent="0.15">
      <c r="A87" s="1">
        <v>2012</v>
      </c>
      <c r="B87" s="5">
        <f xml:space="preserve"> (K35* ($E35/366))+(K36*($E36/366))</f>
        <v>22.727272727272727</v>
      </c>
      <c r="C87" s="5">
        <f xml:space="preserve"> (L35* ($E35/366))+(L36*($E36/366))</f>
        <v>0</v>
      </c>
      <c r="D87" s="5">
        <f xml:space="preserve"> (M35* ($E35/366))+(M36*($E36/366))</f>
        <v>68.181818181818173</v>
      </c>
      <c r="E87" s="23">
        <f t="shared" si="31"/>
        <v>90.909090909090907</v>
      </c>
      <c r="G87" s="1">
        <v>2012</v>
      </c>
      <c r="H87" s="392">
        <f xml:space="preserve"> (O35/$R35*100*($E35/366))+(O36/$R36*100*($E36/366))</f>
        <v>22.156862745098042</v>
      </c>
      <c r="I87" s="392"/>
      <c r="J87" s="392">
        <f xml:space="preserve"> (P35/$R35*100*($E35/366))+(P36/$R36*100*($E36/366))</f>
        <v>0</v>
      </c>
      <c r="K87" s="392"/>
      <c r="L87" s="392">
        <f xml:space="preserve"> (Q35/$R35*100*($E35/366))+(Q36/$R36*100*($E36/366))</f>
        <v>77.843137254901961</v>
      </c>
      <c r="M87" s="392"/>
      <c r="N87" s="413">
        <f t="shared" si="32"/>
        <v>100</v>
      </c>
      <c r="O87" s="413"/>
      <c r="R87" s="1">
        <v>2012</v>
      </c>
      <c r="S87" s="5">
        <f xml:space="preserve"> (O35* ($E35/366))+(O36*($E36/366))</f>
        <v>11.3</v>
      </c>
      <c r="T87" s="5">
        <f xml:space="preserve"> (P35* ($E35/366))+(P36*($E36/366))</f>
        <v>0</v>
      </c>
      <c r="U87" s="5">
        <f xml:space="preserve"> (Q35* ($E35/366))+(Q36*($E36/366))</f>
        <v>39.700000000000003</v>
      </c>
      <c r="V87" s="9"/>
      <c r="W87" s="5">
        <f t="shared" si="33"/>
        <v>51</v>
      </c>
    </row>
    <row r="88" spans="1:23" x14ac:dyDescent="0.15">
      <c r="A88" s="1">
        <v>2013</v>
      </c>
      <c r="B88" s="5">
        <f xml:space="preserve"> (K37*($E37/365))+(K38*($E38/365))</f>
        <v>23.272845875585602</v>
      </c>
      <c r="C88" s="5">
        <f xml:space="preserve"> (L37* ($E37/365))+(L38*($E38/365))</f>
        <v>0</v>
      </c>
      <c r="D88" s="5">
        <f xml:space="preserve"> (M37* ($E37/365))+(M38*($E38/365))</f>
        <v>67.418015774180148</v>
      </c>
      <c r="E88" s="23">
        <f t="shared" ref="E88:E93" si="34">SUM(B88:D88)</f>
        <v>90.69086164976575</v>
      </c>
      <c r="G88" s="1">
        <v>2013</v>
      </c>
      <c r="H88" s="392">
        <f xml:space="preserve"> (O37/$R37*100*($E37/365))+(O38/$R38*100*($E38/365))</f>
        <v>22.156862745098046</v>
      </c>
      <c r="I88" s="392"/>
      <c r="J88" s="392">
        <f xml:space="preserve"> (P37/$R37*100*($E37/365))+(P38/$R38*100*($E38/365))</f>
        <v>0</v>
      </c>
      <c r="K88" s="392"/>
      <c r="L88" s="392">
        <f xml:space="preserve"> (Q37/$R37*100*($E37/365))+(Q38/$R38*100*($E38/365))</f>
        <v>77.843137254901961</v>
      </c>
      <c r="M88" s="392"/>
      <c r="N88" s="413">
        <f t="shared" ref="N88:N93" si="35">H88+J88+L88</f>
        <v>100</v>
      </c>
      <c r="O88" s="413"/>
      <c r="R88" s="1">
        <v>2013</v>
      </c>
      <c r="S88" s="5">
        <f xml:space="preserve"> (O37* ($E37/365))+(O38*($E38/365))</f>
        <v>11.3</v>
      </c>
      <c r="T88" s="5">
        <f xml:space="preserve"> (P37* ($E37/365))+(P38*($E38/365))</f>
        <v>0</v>
      </c>
      <c r="U88" s="5">
        <f xml:space="preserve"> (Q37* ($E37/365))+(Q38*($E38/365))</f>
        <v>39.700000000000003</v>
      </c>
      <c r="V88" s="9"/>
      <c r="W88" s="5">
        <f t="shared" ref="W88:W93" si="36">S88+T88+U88</f>
        <v>51</v>
      </c>
    </row>
    <row r="89" spans="1:23" x14ac:dyDescent="0.15">
      <c r="A89" s="1">
        <v>2014</v>
      </c>
      <c r="B89" s="5">
        <f xml:space="preserve"> (K39*($E39/365))+(K40*($E40/365))</f>
        <v>23.809523809523807</v>
      </c>
      <c r="C89" s="5">
        <f xml:space="preserve"> (L39* ($E39/365))+(L40*($E40/365))</f>
        <v>0</v>
      </c>
      <c r="D89" s="5">
        <f xml:space="preserve"> (M39* ($E39/365))+(M40*($E40/365))</f>
        <v>64.096542726679701</v>
      </c>
      <c r="E89" s="23">
        <f t="shared" si="34"/>
        <v>87.906066536203511</v>
      </c>
      <c r="G89" s="1">
        <v>2014</v>
      </c>
      <c r="H89" s="392">
        <f xml:space="preserve"> (O39/$R39*100*($E39/365))+(O40/$R40*100*($E40/365))</f>
        <v>22.156862745098042</v>
      </c>
      <c r="I89" s="392"/>
      <c r="J89" s="392">
        <f xml:space="preserve"> (P39/$R39*100*($E39/365))+(P40/$R40*100*($E40/365))</f>
        <v>0</v>
      </c>
      <c r="K89" s="392"/>
      <c r="L89" s="392">
        <f xml:space="preserve"> (Q39/$R39*100*($E39/365))+(Q40/$R40*100*($E40/365))</f>
        <v>77.843137254901961</v>
      </c>
      <c r="M89" s="392"/>
      <c r="N89" s="413">
        <f t="shared" si="35"/>
        <v>100</v>
      </c>
      <c r="O89" s="413"/>
      <c r="R89" s="1">
        <v>2014</v>
      </c>
      <c r="S89" s="5">
        <f xml:space="preserve"> (O39* ($E39/365))+(O40*($E40/365))</f>
        <v>11.3</v>
      </c>
      <c r="T89" s="5">
        <f xml:space="preserve"> (P39* ($E39/365))+(P40*($E40/365))</f>
        <v>0</v>
      </c>
      <c r="U89" s="5">
        <f xml:space="preserve"> (Q39* ($E39/365))+(Q40*($E40/365))</f>
        <v>39.700000000000003</v>
      </c>
      <c r="V89" s="9"/>
      <c r="W89" s="5">
        <f t="shared" si="36"/>
        <v>51</v>
      </c>
    </row>
    <row r="90" spans="1:23" x14ac:dyDescent="0.15">
      <c r="A90" s="1">
        <v>2015</v>
      </c>
      <c r="B90" s="5">
        <f xml:space="preserve"> (K41*($E41/365))+(K42*($E42/365))+(K43*($E43/365))</f>
        <v>20.521852576647092</v>
      </c>
      <c r="C90" s="5">
        <f xml:space="preserve"> (L41* ($E41/365))+(L42*($E42/365))+(L43*($E43/365))</f>
        <v>0</v>
      </c>
      <c r="D90" s="5">
        <f xml:space="preserve"> (M41* ($E41/365))+(M42*($E42/365))+(M43*($E43/365))</f>
        <v>61.904761904761905</v>
      </c>
      <c r="E90" s="23">
        <f t="shared" si="34"/>
        <v>82.42661448140899</v>
      </c>
      <c r="G90" s="1">
        <v>2015</v>
      </c>
      <c r="H90" s="392">
        <f xml:space="preserve"> (O41/$R41*100*($E41/365))+(O42/$R42*100*($E42/365))+(O43/$R43*100*($E43/365))</f>
        <v>21.818593078226588</v>
      </c>
      <c r="I90" s="392"/>
      <c r="J90" s="392">
        <f xml:space="preserve"> (P41/$R41*100*($E41/365))+(P42/$R42*100*($E42/365))+(P43/$R43*100*($E43/365))</f>
        <v>0</v>
      </c>
      <c r="K90" s="392"/>
      <c r="L90" s="392">
        <f xml:space="preserve"> (Q41/$R41*100*($E41/365))+(Q42/$R42*100*($E42/365))+(Q43/$R43*100*($E43/365))</f>
        <v>78.181406921773402</v>
      </c>
      <c r="M90" s="392"/>
      <c r="N90" s="413">
        <f t="shared" si="35"/>
        <v>99.999999999999986</v>
      </c>
      <c r="O90" s="413"/>
      <c r="R90" s="1">
        <v>2015</v>
      </c>
      <c r="S90" s="5">
        <f xml:space="preserve"> (O41* ($E41/365))+(O42*($E42/365))+(O43*($E43/365))</f>
        <v>10.989315068493152</v>
      </c>
      <c r="T90" s="5">
        <f xml:space="preserve"> (P41* ($E41/365))+(P42*($E42/365))+(P43*($E43/365))</f>
        <v>0</v>
      </c>
      <c r="U90" s="5">
        <f xml:space="preserve"> (Q41* ($E41/365))+(Q42*($E42/365))+(Q43*($E43/365))</f>
        <v>39.315342465753432</v>
      </c>
      <c r="V90" s="9"/>
      <c r="W90" s="5">
        <f t="shared" si="36"/>
        <v>50.304657534246587</v>
      </c>
    </row>
    <row r="91" spans="1:23" x14ac:dyDescent="0.15">
      <c r="A91" s="1">
        <v>2016</v>
      </c>
      <c r="B91" s="5">
        <f xml:space="preserve"> (K44*($E44/366))+(K45*($E45/366))+(K46*($E46/366))</f>
        <v>21.040514091119935</v>
      </c>
      <c r="C91" s="5">
        <f xml:space="preserve"> (L44*($E44/366))+(L45*($E45/366))+(L46*($E46/366))</f>
        <v>52.110556743486178</v>
      </c>
      <c r="D91" s="5">
        <f xml:space="preserve"> (M44*($E44/366))+(M45*($E45/366))+(M46*($E46/366))</f>
        <v>3.5519125683060109</v>
      </c>
      <c r="E91" s="23">
        <f t="shared" si="34"/>
        <v>76.702983402912125</v>
      </c>
      <c r="G91" s="1">
        <v>2016</v>
      </c>
      <c r="H91" s="392">
        <f xml:space="preserve"> (O44/$R44*100*($E44/366))+(O45/$R45*100*($E45/366))+(O46/$R46*100*($E46/366))</f>
        <v>22.481045389359668</v>
      </c>
      <c r="I91" s="392"/>
      <c r="J91" s="392">
        <f xml:space="preserve"> (P44/$R44*100*($E44/366))+(P45/$R45*100*($E45/366))+(P46/$R46*100*($E46/366))</f>
        <v>72.921355205477994</v>
      </c>
      <c r="K91" s="392"/>
      <c r="L91" s="392">
        <f xml:space="preserve"> (Q44/$R44*100*($E44/366))+(Q45/$R45*100*($E45/366))+(Q46/$R46*100*($E46/366))</f>
        <v>4.5975994051623417</v>
      </c>
      <c r="M91" s="392"/>
      <c r="N91" s="413">
        <f t="shared" si="35"/>
        <v>100</v>
      </c>
      <c r="O91" s="413"/>
      <c r="R91" s="1">
        <v>2016</v>
      </c>
      <c r="S91" s="5">
        <f xml:space="preserve"> (O44* ($E44/366))+(O45*($E45/366))+(O46*($E46/366))</f>
        <v>9.7385245901639355</v>
      </c>
      <c r="T91" s="5">
        <f xml:space="preserve"> (P44* ($E44/366))+(P45*($E45/366))+(P46*($E46/366))</f>
        <v>31.565300546448089</v>
      </c>
      <c r="U91" s="5">
        <f xml:space="preserve"> (Q44* ($E44/366))+(Q45*($E45/366))+(Q46*($E46/366))</f>
        <v>2.1286885245901641</v>
      </c>
      <c r="V91" s="9"/>
      <c r="W91" s="5">
        <f t="shared" si="36"/>
        <v>43.432513661202194</v>
      </c>
    </row>
    <row r="92" spans="1:23" x14ac:dyDescent="0.15">
      <c r="A92" s="1">
        <v>2017</v>
      </c>
      <c r="B92" s="5">
        <f xml:space="preserve"> (K47*($E47/365))+(K48*($E48/365))</f>
        <v>10.984996738421396</v>
      </c>
      <c r="C92" s="5">
        <f xml:space="preserve"> (L47*($E47/365))+(L48*($E48/365))</f>
        <v>77.416829745596857</v>
      </c>
      <c r="D92" s="5">
        <f xml:space="preserve"> (M47*($E47/365))+(M48*($E48/365))</f>
        <v>0</v>
      </c>
      <c r="E92" s="23">
        <f t="shared" si="34"/>
        <v>88.401826484018258</v>
      </c>
      <c r="G92" s="1">
        <v>2017</v>
      </c>
      <c r="H92" s="392">
        <f xml:space="preserve"> (O47/$R47*100*($E47/365))+(O48/$R48*100*($E48/365))</f>
        <v>13.341169083842725</v>
      </c>
      <c r="I92" s="392"/>
      <c r="J92" s="392">
        <f xml:space="preserve"> (P47/$R47*100*($E47/365))+(P48/$R48*100*($E48/365))</f>
        <v>86.658830916157257</v>
      </c>
      <c r="K92" s="392"/>
      <c r="L92" s="392">
        <f xml:space="preserve"> (Q47/$R47*100*($E47/365))+(Q48/$R48*100*($E48/365))</f>
        <v>0</v>
      </c>
      <c r="M92" s="392"/>
      <c r="N92" s="413">
        <f t="shared" si="35"/>
        <v>99.999999999999986</v>
      </c>
      <c r="O92" s="413"/>
      <c r="R92" s="1">
        <v>2017</v>
      </c>
      <c r="S92" s="5">
        <f xml:space="preserve"> (O47* ($E47/365))+(O48*($E48/365))</f>
        <v>5.9136986301369863</v>
      </c>
      <c r="T92" s="5">
        <f xml:space="preserve"> (P47* ($E47/365))+(P48*($E48/365))</f>
        <v>37.1</v>
      </c>
      <c r="U92" s="5">
        <f xml:space="preserve"> (Q47* ($E47/365))+(Q48*($E48/365))</f>
        <v>0</v>
      </c>
      <c r="V92" s="9"/>
      <c r="W92" s="5">
        <f t="shared" si="36"/>
        <v>43.013698630136986</v>
      </c>
    </row>
    <row r="93" spans="1:23" x14ac:dyDescent="0.15">
      <c r="A93" s="1">
        <v>2018</v>
      </c>
      <c r="B93" s="5">
        <f xml:space="preserve"> (K49*($E49/365))+(K50*($E50/365))</f>
        <v>4.7619047619047619</v>
      </c>
      <c r="C93" s="5">
        <f xml:space="preserve"> (L49*($E49/365))+(L50*($E50/365))</f>
        <v>85.714285714285708</v>
      </c>
      <c r="D93" s="5">
        <f xml:space="preserve"> (M49*($E49/365))+(M50*($E50/365))</f>
        <v>0</v>
      </c>
      <c r="E93" s="23">
        <f t="shared" si="34"/>
        <v>90.476190476190467</v>
      </c>
      <c r="G93" s="1">
        <v>2018</v>
      </c>
      <c r="H93" s="392">
        <f xml:space="preserve"> (O49/$R49*100*($E49/365))+(O50/$R50*100*($E50/365))</f>
        <v>8.1683168316831694</v>
      </c>
      <c r="I93" s="392"/>
      <c r="J93" s="392">
        <f xml:space="preserve"> (P49/$R49*100*($E49/365))+(P50/$R50*100*($E50/365))</f>
        <v>91.831683168316829</v>
      </c>
      <c r="K93" s="392"/>
      <c r="L93" s="392">
        <f xml:space="preserve"> (Q49/$R49*100*($E49/365))+(Q50/$R50*100*($E50/365))</f>
        <v>0</v>
      </c>
      <c r="M93" s="392"/>
      <c r="N93" s="413">
        <f t="shared" si="35"/>
        <v>100</v>
      </c>
      <c r="O93" s="413"/>
      <c r="R93" s="1">
        <v>2018</v>
      </c>
      <c r="S93" s="5">
        <f xml:space="preserve"> (O49* ($E49/365))+(O50*($E50/365))</f>
        <v>3.3</v>
      </c>
      <c r="T93" s="5">
        <f xml:space="preserve"> (P49* ($E49/365))+(P50*($E50/365))</f>
        <v>37.1</v>
      </c>
      <c r="U93" s="5">
        <f xml:space="preserve"> (Q49* ($E49/365))+(Q50*($E50/365))</f>
        <v>0</v>
      </c>
      <c r="V93" s="9"/>
      <c r="W93" s="5">
        <f t="shared" si="36"/>
        <v>40.4</v>
      </c>
    </row>
    <row r="94" spans="1:23" x14ac:dyDescent="0.15">
      <c r="A94" s="1">
        <v>2019</v>
      </c>
      <c r="B94" s="5">
        <f xml:space="preserve"> (K51*($E51/365))+(K52*($E52/365))</f>
        <v>4.7619047619047619</v>
      </c>
      <c r="C94" s="5">
        <f xml:space="preserve"> (L51*($E51/365))+(L52*($E52/365))</f>
        <v>85.714285714285708</v>
      </c>
      <c r="D94" s="5">
        <f xml:space="preserve"> (M51*($E51/365))+(M52*($E52/365))</f>
        <v>0</v>
      </c>
      <c r="E94" s="23">
        <f t="shared" ref="E94" si="37">SUM(B94:D94)</f>
        <v>90.476190476190467</v>
      </c>
      <c r="G94" s="1">
        <v>2019</v>
      </c>
      <c r="H94" s="392">
        <f xml:space="preserve"> (O51/$R51*100*($E51/365))+(O52/$R52*100*($E52/365))</f>
        <v>8.1683168316831694</v>
      </c>
      <c r="I94" s="392"/>
      <c r="J94" s="392">
        <f xml:space="preserve"> (P51/$R51*100*($E51/365))+(P52/$R52*100*($E52/365))</f>
        <v>91.831683168316829</v>
      </c>
      <c r="K94" s="392"/>
      <c r="L94" s="392">
        <f xml:space="preserve"> (Q51/$R51*100*($E51/365))+(Q52/$R52*100*($E52/365))</f>
        <v>0</v>
      </c>
      <c r="M94" s="392"/>
      <c r="N94" s="413">
        <f t="shared" ref="N94" si="38">H94+J94+L94</f>
        <v>100</v>
      </c>
      <c r="O94" s="413"/>
      <c r="R94" s="1">
        <v>2019</v>
      </c>
      <c r="S94" s="5">
        <f xml:space="preserve"> (O51* ($E51/365))+(O52*($E52/365))</f>
        <v>3.3</v>
      </c>
      <c r="T94" s="5">
        <f xml:space="preserve"> (P51* ($E51/365))+(P52*($E52/365))</f>
        <v>37.1</v>
      </c>
      <c r="U94" s="5">
        <f xml:space="preserve"> (Q51* ($E51/365))+(Q52*($E52/365))</f>
        <v>0</v>
      </c>
      <c r="V94" s="9"/>
      <c r="W94" s="5">
        <f t="shared" ref="W94" si="39">S94+T94+U94</f>
        <v>40.4</v>
      </c>
    </row>
    <row r="95" spans="1:23" x14ac:dyDescent="0.15">
      <c r="A95" s="1">
        <v>2020</v>
      </c>
      <c r="B95" s="5">
        <f xml:space="preserve"> (K53*($E53/366))+(K54*($E54/366))</f>
        <v>5.1131928181108508</v>
      </c>
      <c r="C95" s="5">
        <f xml:space="preserve"> (L53*($E53/366))+(L54*($E54/366))</f>
        <v>87.119437939110071</v>
      </c>
      <c r="D95" s="5">
        <f xml:space="preserve"> (M53*($E53/366))+(M54*($E54/366))</f>
        <v>0</v>
      </c>
      <c r="E95" s="23">
        <f>SUM(B95:D95)</f>
        <v>92.232630757220917</v>
      </c>
      <c r="G95" s="1">
        <v>2020</v>
      </c>
      <c r="H95" s="392">
        <f xml:space="preserve"> (O53/$R53*100*($E53/366))+(O54/$R54*100*($E54/366))</f>
        <v>6.6067671390013754</v>
      </c>
      <c r="I95" s="392"/>
      <c r="J95" s="392">
        <f xml:space="preserve"> (P53/$R53*100*($E53/366))+(P54/$R54*100*($E54/366))</f>
        <v>93.393232860998609</v>
      </c>
      <c r="K95" s="392"/>
      <c r="L95" s="392">
        <f xml:space="preserve"> (Q53/$R53*100*($E53/366))+(Q54/$R54*100*($E54/366))</f>
        <v>0</v>
      </c>
      <c r="M95" s="392"/>
      <c r="N95" s="413">
        <f>H95+J95+L95</f>
        <v>99.999999999999986</v>
      </c>
      <c r="O95" s="413"/>
      <c r="R95" s="1">
        <v>2020</v>
      </c>
      <c r="S95" s="5">
        <f xml:space="preserve"> (O53* ($E53/366))+(O54*($E54/366))</f>
        <v>2.7245901639344261</v>
      </c>
      <c r="T95" s="5">
        <f xml:space="preserve"> (P53* ($E53/366))+(P54*($E54/366))</f>
        <v>38.870491803278689</v>
      </c>
      <c r="U95" s="5">
        <f xml:space="preserve"> (Q53* ($E53/366))+(Q54*($E54/366))</f>
        <v>0</v>
      </c>
      <c r="W95" s="5">
        <f>S95+T95+U95</f>
        <v>41.595081967213119</v>
      </c>
    </row>
    <row r="96" spans="1:23" x14ac:dyDescent="0.15">
      <c r="A96" s="1">
        <v>2021</v>
      </c>
      <c r="B96" s="5">
        <f xml:space="preserve"> (K55*($E55/365))+(K56*($E56/365))</f>
        <v>5.5555555555555554</v>
      </c>
      <c r="C96" s="5">
        <f xml:space="preserve"> (L55*($E55/365))+(L56*($E56/365))</f>
        <v>88.888888888888886</v>
      </c>
      <c r="D96" s="5">
        <f xml:space="preserve"> (M55*($E55/365))+(M56*($E56/365))</f>
        <v>0</v>
      </c>
      <c r="E96" s="23">
        <f>SUM(B96:D96)</f>
        <v>94.444444444444443</v>
      </c>
      <c r="G96" s="1">
        <v>2021</v>
      </c>
      <c r="H96" s="392">
        <f xml:space="preserve"> (O55/$R55*100*($E55/365))+(O56/$R56*100*($E56/365))</f>
        <v>4.6403712296983759</v>
      </c>
      <c r="I96" s="392"/>
      <c r="J96" s="392">
        <f xml:space="preserve"> (P55/$R55*100*($E55/365))+(P56/$R56*100*($E56/365))</f>
        <v>95.359628770301612</v>
      </c>
      <c r="K96" s="392"/>
      <c r="L96" s="392">
        <f xml:space="preserve"> (Q55/$R55*100*($E55/365))+(Q56/$R56*100*($E56/365))</f>
        <v>0</v>
      </c>
      <c r="M96" s="392"/>
      <c r="N96" s="413">
        <f>SUM(H96:L96)</f>
        <v>99.999999999999986</v>
      </c>
      <c r="O96" s="413"/>
      <c r="R96" s="1">
        <v>2021</v>
      </c>
      <c r="S96" s="5">
        <f xml:space="preserve"> (O55* ($E55/365))+(O56*($E56/365))</f>
        <v>2</v>
      </c>
      <c r="T96" s="5">
        <f xml:space="preserve"> (P55* ($E55/365))+(P56*($E56/365))</f>
        <v>41.1</v>
      </c>
      <c r="U96" s="5">
        <f xml:space="preserve"> (Q55* ($E55/365))+(Q56*($E56/365))</f>
        <v>0</v>
      </c>
      <c r="W96" s="5">
        <f>SUM(S96:U96)</f>
        <v>43.1</v>
      </c>
    </row>
    <row r="97" spans="1:23" x14ac:dyDescent="0.15">
      <c r="A97" s="1">
        <v>2022</v>
      </c>
      <c r="B97" s="5">
        <f xml:space="preserve"> (K59*($E59/365))+(K57*($E57/365))+(K58*($E58/365))</f>
        <v>5.5716715910108334</v>
      </c>
      <c r="C97" s="5">
        <f xml:space="preserve"> (L59*($E59/365))+(L57*($E57/365))+(L58*($E58/365))</f>
        <v>84.336108872772854</v>
      </c>
      <c r="D97" s="5">
        <f xml:space="preserve"> (M59*($E59/365))+(M57*($E57/365))+(M58*($E58/365))</f>
        <v>0</v>
      </c>
      <c r="E97" s="23">
        <f>SUM(B97:D97)</f>
        <v>89.907780463783695</v>
      </c>
      <c r="G97" s="1">
        <v>2022</v>
      </c>
      <c r="H97" s="392">
        <f xml:space="preserve"> (O59/$R59*100*($E59/365))+(O57/$R57*100*($E57/365))+(O58/$R58*100*($E58/365))</f>
        <v>4.6403712296983759</v>
      </c>
      <c r="I97" s="392"/>
      <c r="J97" s="392">
        <f xml:space="preserve"> (P59/$R59*100*($E59/365))+(P57/$R57*100*($E57/365))+(P58/$R58*100*($E58/365))</f>
        <v>95.359628770301626</v>
      </c>
      <c r="K97" s="392"/>
      <c r="L97" s="392">
        <f xml:space="preserve"> (Q59/$R59*100*($E59/365))+(Q57/$R57*100*($E57/365))+(Q58/$R58*100*($E58/365))</f>
        <v>0</v>
      </c>
      <c r="M97" s="392"/>
      <c r="N97" s="413">
        <f>SUM(H97:L97)</f>
        <v>100</v>
      </c>
      <c r="O97" s="413"/>
      <c r="R97" s="1">
        <v>2022</v>
      </c>
      <c r="S97" s="5">
        <f xml:space="preserve"> (O59* ($E59/365))+(O57*($E57/365))+(O58*($E58/365))</f>
        <v>2</v>
      </c>
      <c r="T97" s="5">
        <f xml:space="preserve"> (P59* ($E59/365))+(P57*($E57/365))+(P58*($E58/365))</f>
        <v>41.1</v>
      </c>
      <c r="U97" s="5">
        <f xml:space="preserve"> (Q59* ($E59/365))+(Q57*($E57/365))+(Q58*($E58/365))</f>
        <v>0</v>
      </c>
      <c r="W97" s="5">
        <f>SUM(S97:U97)</f>
        <v>43.1</v>
      </c>
    </row>
  </sheetData>
  <mergeCells count="172">
    <mergeCell ref="C55:D55"/>
    <mergeCell ref="C56:D56"/>
    <mergeCell ref="H96:I96"/>
    <mergeCell ref="J96:K96"/>
    <mergeCell ref="L96:M96"/>
    <mergeCell ref="N96:O96"/>
    <mergeCell ref="H95:I95"/>
    <mergeCell ref="J95:K95"/>
    <mergeCell ref="L95:M95"/>
    <mergeCell ref="N95:O95"/>
    <mergeCell ref="N90:O90"/>
    <mergeCell ref="H89:I89"/>
    <mergeCell ref="J89:K89"/>
    <mergeCell ref="L89:M89"/>
    <mergeCell ref="N84:O84"/>
    <mergeCell ref="N85:O85"/>
    <mergeCell ref="H86:I86"/>
    <mergeCell ref="J86:K86"/>
    <mergeCell ref="L86:M86"/>
    <mergeCell ref="N86:O86"/>
    <mergeCell ref="N88:O88"/>
    <mergeCell ref="H88:I88"/>
    <mergeCell ref="J88:K88"/>
    <mergeCell ref="L88:M88"/>
    <mergeCell ref="C54:D54"/>
    <mergeCell ref="C51:D51"/>
    <mergeCell ref="H94:I94"/>
    <mergeCell ref="J94:K94"/>
    <mergeCell ref="L94:M94"/>
    <mergeCell ref="N94:O94"/>
    <mergeCell ref="N80:O80"/>
    <mergeCell ref="N81:O81"/>
    <mergeCell ref="N82:O82"/>
    <mergeCell ref="N83:O83"/>
    <mergeCell ref="L84:M84"/>
    <mergeCell ref="H81:I81"/>
    <mergeCell ref="J81:K81"/>
    <mergeCell ref="L81:M81"/>
    <mergeCell ref="H82:I82"/>
    <mergeCell ref="J82:K82"/>
    <mergeCell ref="L82:M82"/>
    <mergeCell ref="H83:I83"/>
    <mergeCell ref="J83:K83"/>
    <mergeCell ref="L83:M83"/>
    <mergeCell ref="N89:O89"/>
    <mergeCell ref="H90:I90"/>
    <mergeCell ref="J90:K90"/>
    <mergeCell ref="L90:M90"/>
    <mergeCell ref="AT4:AW4"/>
    <mergeCell ref="AX4:BA4"/>
    <mergeCell ref="Z4:AC4"/>
    <mergeCell ref="AD4:AG4"/>
    <mergeCell ref="C7:D7"/>
    <mergeCell ref="C9:D9"/>
    <mergeCell ref="C10:D10"/>
    <mergeCell ref="C11:D11"/>
    <mergeCell ref="C12:D12"/>
    <mergeCell ref="AH4:AK4"/>
    <mergeCell ref="AL4:AO4"/>
    <mergeCell ref="AP4:AS4"/>
    <mergeCell ref="S4:S5"/>
    <mergeCell ref="T4:T5"/>
    <mergeCell ref="U4:U5"/>
    <mergeCell ref="V4:Y4"/>
    <mergeCell ref="C21:D21"/>
    <mergeCell ref="C22:D22"/>
    <mergeCell ref="C6:D6"/>
    <mergeCell ref="C8:D8"/>
    <mergeCell ref="C14:D14"/>
    <mergeCell ref="C23:D23"/>
    <mergeCell ref="C25:D25"/>
    <mergeCell ref="C15:D15"/>
    <mergeCell ref="C16:D16"/>
    <mergeCell ref="C17:D17"/>
    <mergeCell ref="C18:D18"/>
    <mergeCell ref="C19:D19"/>
    <mergeCell ref="C39:D39"/>
    <mergeCell ref="G3:M3"/>
    <mergeCell ref="O3:Q3"/>
    <mergeCell ref="J79:K79"/>
    <mergeCell ref="L79:M79"/>
    <mergeCell ref="N79:O79"/>
    <mergeCell ref="H64:I64"/>
    <mergeCell ref="J64:K64"/>
    <mergeCell ref="L64:M64"/>
    <mergeCell ref="N64:O64"/>
    <mergeCell ref="H75:I75"/>
    <mergeCell ref="J75:K75"/>
    <mergeCell ref="L75:M75"/>
    <mergeCell ref="H76:I76"/>
    <mergeCell ref="J76:K76"/>
    <mergeCell ref="L76:M76"/>
    <mergeCell ref="N76:O76"/>
    <mergeCell ref="K4:N4"/>
    <mergeCell ref="O4:R4"/>
    <mergeCell ref="R62:W62"/>
    <mergeCell ref="N77:O77"/>
    <mergeCell ref="N75:O75"/>
    <mergeCell ref="N78:O78"/>
    <mergeCell ref="C13:D13"/>
    <mergeCell ref="J84:K84"/>
    <mergeCell ref="C27:D27"/>
    <mergeCell ref="C20:D20"/>
    <mergeCell ref="C53:D53"/>
    <mergeCell ref="A4:A5"/>
    <mergeCell ref="B4:B5"/>
    <mergeCell ref="C4:D5"/>
    <mergeCell ref="E4:E5"/>
    <mergeCell ref="F4:F5"/>
    <mergeCell ref="G4:J4"/>
    <mergeCell ref="C24:D24"/>
    <mergeCell ref="C45:D45"/>
    <mergeCell ref="C46:D46"/>
    <mergeCell ref="C47:D47"/>
    <mergeCell ref="C28:D28"/>
    <mergeCell ref="C31:D31"/>
    <mergeCell ref="C32:D32"/>
    <mergeCell ref="C33:D33"/>
    <mergeCell ref="C34:D34"/>
    <mergeCell ref="C35:D35"/>
    <mergeCell ref="C36:D36"/>
    <mergeCell ref="C40:D40"/>
    <mergeCell ref="C37:D37"/>
    <mergeCell ref="C38:D38"/>
    <mergeCell ref="N91:O91"/>
    <mergeCell ref="C29:D29"/>
    <mergeCell ref="C30:D30"/>
    <mergeCell ref="C41:D41"/>
    <mergeCell ref="C43:D43"/>
    <mergeCell ref="C42:D42"/>
    <mergeCell ref="C44:D44"/>
    <mergeCell ref="C26:D26"/>
    <mergeCell ref="L85:M85"/>
    <mergeCell ref="C48:D48"/>
    <mergeCell ref="J77:K77"/>
    <mergeCell ref="L77:M77"/>
    <mergeCell ref="H78:I78"/>
    <mergeCell ref="J78:K78"/>
    <mergeCell ref="L78:M78"/>
    <mergeCell ref="H79:I79"/>
    <mergeCell ref="H77:I77"/>
    <mergeCell ref="C50:D50"/>
    <mergeCell ref="C52:D52"/>
    <mergeCell ref="C49:D49"/>
    <mergeCell ref="L80:M80"/>
    <mergeCell ref="H80:I80"/>
    <mergeCell ref="J80:K80"/>
    <mergeCell ref="H84:I84"/>
    <mergeCell ref="C57:D57"/>
    <mergeCell ref="C59:D59"/>
    <mergeCell ref="H97:I97"/>
    <mergeCell ref="J97:K97"/>
    <mergeCell ref="L97:M97"/>
    <mergeCell ref="N97:O97"/>
    <mergeCell ref="C58:D58"/>
    <mergeCell ref="H87:I87"/>
    <mergeCell ref="J87:K87"/>
    <mergeCell ref="L87:M87"/>
    <mergeCell ref="N87:O87"/>
    <mergeCell ref="H85:I85"/>
    <mergeCell ref="J85:K85"/>
    <mergeCell ref="H93:I93"/>
    <mergeCell ref="J93:K93"/>
    <mergeCell ref="L93:M93"/>
    <mergeCell ref="N93:O93"/>
    <mergeCell ref="H92:I92"/>
    <mergeCell ref="J92:K92"/>
    <mergeCell ref="L92:M92"/>
    <mergeCell ref="N92:O92"/>
    <mergeCell ref="H91:I91"/>
    <mergeCell ref="J91:K91"/>
    <mergeCell ref="L91:M91"/>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BA159"/>
  <sheetViews>
    <sheetView zoomScale="99" zoomScaleNormal="120" workbookViewId="0">
      <pane xSplit="1" ySplit="5" topLeftCell="B102"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51</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1260</v>
      </c>
      <c r="D4" s="372"/>
      <c r="E4" s="378" t="s">
        <v>5</v>
      </c>
      <c r="F4" s="415"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416"/>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28" customFormat="1" x14ac:dyDescent="0.15">
      <c r="A6" s="51">
        <v>1976</v>
      </c>
      <c r="B6" s="293"/>
      <c r="C6" s="414" t="s">
        <v>1261</v>
      </c>
      <c r="D6" s="414"/>
      <c r="G6" s="65"/>
      <c r="J6" s="72"/>
      <c r="K6" s="46"/>
      <c r="L6" s="46"/>
      <c r="M6" s="46"/>
      <c r="N6" s="67"/>
      <c r="O6" s="45"/>
      <c r="P6" s="46"/>
      <c r="Q6" s="46"/>
      <c r="R6" s="47"/>
      <c r="S6" s="36"/>
      <c r="T6" s="284"/>
      <c r="U6" s="290"/>
      <c r="Z6" s="37"/>
      <c r="AD6" s="37"/>
      <c r="AG6" s="38"/>
      <c r="AL6" s="37"/>
      <c r="AO6" s="38"/>
      <c r="AP6" s="37"/>
      <c r="AS6" s="38"/>
      <c r="AW6" s="38"/>
      <c r="BA6" s="39"/>
    </row>
    <row r="7" spans="1:53" s="28" customFormat="1" x14ac:dyDescent="0.15">
      <c r="A7" s="51">
        <v>1977</v>
      </c>
      <c r="B7" s="293"/>
      <c r="C7" s="414"/>
      <c r="D7" s="414"/>
      <c r="G7" s="65"/>
      <c r="J7" s="72"/>
      <c r="K7" s="46"/>
      <c r="L7" s="46"/>
      <c r="M7" s="46"/>
      <c r="N7" s="67"/>
      <c r="O7" s="45"/>
      <c r="P7" s="46"/>
      <c r="Q7" s="46"/>
      <c r="R7" s="47"/>
      <c r="T7" s="284"/>
      <c r="U7" s="293"/>
      <c r="V7" s="37"/>
      <c r="Z7" s="37"/>
      <c r="AD7" s="37"/>
      <c r="AG7" s="38"/>
      <c r="AL7" s="37"/>
      <c r="AO7" s="38"/>
      <c r="AP7" s="37"/>
      <c r="AS7" s="38"/>
      <c r="AW7" s="38"/>
      <c r="BA7" s="39"/>
    </row>
    <row r="8" spans="1:53" s="28" customFormat="1" x14ac:dyDescent="0.15">
      <c r="A8" s="51">
        <v>1978</v>
      </c>
      <c r="B8" s="293"/>
      <c r="C8" s="414"/>
      <c r="D8" s="414"/>
      <c r="G8" s="65"/>
      <c r="J8" s="72"/>
      <c r="K8" s="46"/>
      <c r="L8" s="46"/>
      <c r="M8" s="46"/>
      <c r="N8" s="67"/>
      <c r="O8" s="45"/>
      <c r="P8" s="46"/>
      <c r="Q8" s="46"/>
      <c r="R8" s="47"/>
      <c r="T8" s="284"/>
      <c r="U8" s="293"/>
      <c r="V8" s="37"/>
      <c r="Z8" s="37"/>
      <c r="AD8" s="37"/>
      <c r="AG8" s="38"/>
      <c r="AL8" s="37"/>
      <c r="AO8" s="38"/>
      <c r="AP8" s="37"/>
      <c r="AS8" s="38"/>
      <c r="AW8" s="38"/>
      <c r="BA8" s="39"/>
    </row>
    <row r="9" spans="1:53" s="170" customFormat="1" x14ac:dyDescent="0.15">
      <c r="A9" s="170">
        <v>1978</v>
      </c>
      <c r="B9" s="281">
        <v>28557</v>
      </c>
      <c r="C9" s="395" t="s">
        <v>1295</v>
      </c>
      <c r="D9" s="395"/>
      <c r="E9" s="170">
        <v>299</v>
      </c>
      <c r="F9" s="243"/>
      <c r="G9" s="232">
        <v>6</v>
      </c>
      <c r="I9" s="170">
        <v>2</v>
      </c>
      <c r="J9" s="240">
        <v>11</v>
      </c>
      <c r="K9" s="213">
        <f t="shared" ref="K9:K35" si="0">G9/J9*100</f>
        <v>54.54545454545454</v>
      </c>
      <c r="L9" s="213">
        <f t="shared" ref="L9:L35" si="1">H9/J9*100</f>
        <v>0</v>
      </c>
      <c r="M9" s="213">
        <f t="shared" ref="M9:M35" si="2">I9/J9*100</f>
        <v>18.181818181818183</v>
      </c>
      <c r="N9" s="234">
        <f t="shared" ref="N9:N35" si="3">SUM(K9:M9)</f>
        <v>72.72727272727272</v>
      </c>
      <c r="O9" s="212">
        <v>60</v>
      </c>
      <c r="P9" s="213"/>
      <c r="Q9" s="213">
        <v>11.4</v>
      </c>
      <c r="R9" s="214">
        <f t="shared" ref="R9:R35" si="4">SUM(O9:Q9)</f>
        <v>71.400000000000006</v>
      </c>
      <c r="S9" s="170">
        <v>1</v>
      </c>
      <c r="T9" s="283"/>
      <c r="U9" s="281">
        <v>28557</v>
      </c>
      <c r="V9" s="177" t="s">
        <v>1041</v>
      </c>
      <c r="W9" s="170" t="s">
        <v>22</v>
      </c>
      <c r="X9" s="170" t="s">
        <v>11</v>
      </c>
      <c r="Y9" s="178">
        <v>60</v>
      </c>
      <c r="Z9" s="170" t="s">
        <v>1043</v>
      </c>
      <c r="AA9" s="170" t="s">
        <v>20</v>
      </c>
      <c r="AB9" s="170" t="s">
        <v>12</v>
      </c>
      <c r="AC9" s="170">
        <v>11.4</v>
      </c>
      <c r="AD9" s="177"/>
      <c r="AG9" s="178"/>
      <c r="AL9" s="177"/>
      <c r="AO9" s="178"/>
      <c r="AP9" s="177"/>
      <c r="AS9" s="178"/>
      <c r="AW9" s="178"/>
      <c r="BA9" s="179"/>
    </row>
    <row r="10" spans="1:53" s="170" customFormat="1" x14ac:dyDescent="0.15">
      <c r="A10" s="170">
        <v>1979</v>
      </c>
      <c r="B10" s="281"/>
      <c r="C10" s="395" t="s">
        <v>1295</v>
      </c>
      <c r="D10" s="395"/>
      <c r="E10" s="170">
        <v>304</v>
      </c>
      <c r="G10" s="232">
        <v>6</v>
      </c>
      <c r="I10" s="170">
        <v>2</v>
      </c>
      <c r="J10" s="240">
        <v>11</v>
      </c>
      <c r="K10" s="213">
        <f t="shared" si="0"/>
        <v>54.54545454545454</v>
      </c>
      <c r="L10" s="213">
        <f t="shared" si="1"/>
        <v>0</v>
      </c>
      <c r="M10" s="213">
        <f t="shared" si="2"/>
        <v>18.181818181818183</v>
      </c>
      <c r="N10" s="234">
        <f t="shared" si="3"/>
        <v>72.72727272727272</v>
      </c>
      <c r="O10" s="212">
        <v>60</v>
      </c>
      <c r="P10" s="213"/>
      <c r="Q10" s="213">
        <v>11.4</v>
      </c>
      <c r="R10" s="214">
        <f t="shared" si="4"/>
        <v>71.400000000000006</v>
      </c>
      <c r="S10" s="170">
        <v>1</v>
      </c>
      <c r="T10" s="283"/>
      <c r="U10" s="281"/>
      <c r="V10" s="177" t="s">
        <v>1041</v>
      </c>
      <c r="W10" s="170" t="s">
        <v>22</v>
      </c>
      <c r="X10" s="170" t="s">
        <v>11</v>
      </c>
      <c r="Y10" s="178">
        <v>60</v>
      </c>
      <c r="Z10" s="170" t="s">
        <v>1043</v>
      </c>
      <c r="AA10" s="170" t="s">
        <v>20</v>
      </c>
      <c r="AB10" s="170" t="s">
        <v>12</v>
      </c>
      <c r="AC10" s="170">
        <v>11.4</v>
      </c>
      <c r="AD10" s="177"/>
      <c r="AG10" s="178"/>
      <c r="AL10" s="177"/>
      <c r="AO10" s="178"/>
      <c r="AP10" s="177"/>
      <c r="AS10" s="178"/>
      <c r="AW10" s="178"/>
      <c r="BA10" s="179"/>
    </row>
    <row r="11" spans="1:53" s="170" customFormat="1" x14ac:dyDescent="0.15">
      <c r="A11" s="170">
        <v>1979</v>
      </c>
      <c r="B11" s="303">
        <v>29160</v>
      </c>
      <c r="C11" s="395" t="s">
        <v>1295</v>
      </c>
      <c r="D11" s="395"/>
      <c r="E11" s="170">
        <v>61</v>
      </c>
      <c r="F11" s="243">
        <v>0</v>
      </c>
      <c r="G11" s="232">
        <v>7</v>
      </c>
      <c r="I11" s="170">
        <v>2</v>
      </c>
      <c r="J11" s="240">
        <v>11</v>
      </c>
      <c r="K11" s="213">
        <f t="shared" si="0"/>
        <v>63.636363636363633</v>
      </c>
      <c r="L11" s="213">
        <f t="shared" si="1"/>
        <v>0</v>
      </c>
      <c r="M11" s="213">
        <f t="shared" si="2"/>
        <v>18.181818181818183</v>
      </c>
      <c r="N11" s="234">
        <f t="shared" si="3"/>
        <v>81.818181818181813</v>
      </c>
      <c r="O11" s="212">
        <v>60</v>
      </c>
      <c r="P11" s="213"/>
      <c r="Q11" s="213">
        <v>11.4</v>
      </c>
      <c r="R11" s="214">
        <f t="shared" si="4"/>
        <v>71.400000000000006</v>
      </c>
      <c r="S11" s="170">
        <v>1</v>
      </c>
      <c r="T11" s="283"/>
      <c r="U11" s="281"/>
      <c r="V11" s="177" t="s">
        <v>1041</v>
      </c>
      <c r="W11" s="170" t="s">
        <v>22</v>
      </c>
      <c r="X11" s="170" t="s">
        <v>11</v>
      </c>
      <c r="Y11" s="178">
        <v>60</v>
      </c>
      <c r="Z11" s="170" t="s">
        <v>1043</v>
      </c>
      <c r="AA11" s="170" t="s">
        <v>20</v>
      </c>
      <c r="AB11" s="170" t="s">
        <v>12</v>
      </c>
      <c r="AC11" s="170">
        <v>11.4</v>
      </c>
      <c r="AD11" s="177"/>
      <c r="AG11" s="178"/>
      <c r="AL11" s="177"/>
      <c r="AO11" s="178"/>
      <c r="AP11" s="177"/>
      <c r="AS11" s="178"/>
      <c r="AW11" s="178"/>
      <c r="BA11" s="179"/>
    </row>
    <row r="12" spans="1:53" s="170" customFormat="1" x14ac:dyDescent="0.15">
      <c r="A12" s="170">
        <v>1980</v>
      </c>
      <c r="B12" s="281"/>
      <c r="C12" s="395" t="s">
        <v>1295</v>
      </c>
      <c r="D12" s="395"/>
      <c r="E12" s="170">
        <v>253</v>
      </c>
      <c r="G12" s="232">
        <v>7</v>
      </c>
      <c r="I12" s="170">
        <v>2</v>
      </c>
      <c r="J12" s="240">
        <v>11</v>
      </c>
      <c r="K12" s="213">
        <f t="shared" si="0"/>
        <v>63.636363636363633</v>
      </c>
      <c r="L12" s="213">
        <f t="shared" si="1"/>
        <v>0</v>
      </c>
      <c r="M12" s="213">
        <f t="shared" si="2"/>
        <v>18.181818181818183</v>
      </c>
      <c r="N12" s="234">
        <f t="shared" si="3"/>
        <v>81.818181818181813</v>
      </c>
      <c r="O12" s="212">
        <v>60</v>
      </c>
      <c r="P12" s="213"/>
      <c r="Q12" s="213">
        <v>11.4</v>
      </c>
      <c r="R12" s="214">
        <f t="shared" si="4"/>
        <v>71.400000000000006</v>
      </c>
      <c r="S12" s="170">
        <v>1</v>
      </c>
      <c r="T12" s="283"/>
      <c r="U12" s="281"/>
      <c r="V12" s="177" t="s">
        <v>1041</v>
      </c>
      <c r="W12" s="170" t="s">
        <v>22</v>
      </c>
      <c r="X12" s="170" t="s">
        <v>11</v>
      </c>
      <c r="Y12" s="178">
        <v>60</v>
      </c>
      <c r="Z12" s="170" t="s">
        <v>1043</v>
      </c>
      <c r="AA12" s="170" t="s">
        <v>20</v>
      </c>
      <c r="AB12" s="170" t="s">
        <v>12</v>
      </c>
      <c r="AC12" s="170">
        <v>11.4</v>
      </c>
      <c r="AD12" s="177"/>
      <c r="AG12" s="178"/>
      <c r="AL12" s="177"/>
      <c r="AO12" s="178"/>
      <c r="AP12" s="177"/>
      <c r="AS12" s="178"/>
      <c r="AW12" s="178"/>
      <c r="BA12" s="179"/>
    </row>
    <row r="13" spans="1:53" s="170" customFormat="1" x14ac:dyDescent="0.15">
      <c r="A13" s="170">
        <v>1980</v>
      </c>
      <c r="B13" s="303">
        <v>29474</v>
      </c>
      <c r="C13" s="395" t="s">
        <v>1295</v>
      </c>
      <c r="D13" s="395"/>
      <c r="E13" s="170">
        <v>2</v>
      </c>
      <c r="F13" s="243">
        <v>0</v>
      </c>
      <c r="G13" s="232">
        <v>8</v>
      </c>
      <c r="I13" s="170">
        <v>1</v>
      </c>
      <c r="J13" s="240">
        <v>11</v>
      </c>
      <c r="K13" s="213">
        <f t="shared" si="0"/>
        <v>72.727272727272734</v>
      </c>
      <c r="L13" s="213">
        <f t="shared" si="1"/>
        <v>0</v>
      </c>
      <c r="M13" s="213">
        <f t="shared" si="2"/>
        <v>9.0909090909090917</v>
      </c>
      <c r="N13" s="234">
        <f t="shared" si="3"/>
        <v>81.818181818181827</v>
      </c>
      <c r="O13" s="212">
        <v>60</v>
      </c>
      <c r="P13" s="213"/>
      <c r="Q13" s="213">
        <v>11.4</v>
      </c>
      <c r="R13" s="214">
        <f t="shared" si="4"/>
        <v>71.400000000000006</v>
      </c>
      <c r="S13" s="170">
        <v>1</v>
      </c>
      <c r="T13" s="283"/>
      <c r="U13" s="281"/>
      <c r="V13" s="177" t="s">
        <v>1041</v>
      </c>
      <c r="W13" s="170" t="s">
        <v>22</v>
      </c>
      <c r="X13" s="170" t="s">
        <v>11</v>
      </c>
      <c r="Y13" s="178">
        <v>60</v>
      </c>
      <c r="Z13" s="170" t="s">
        <v>1043</v>
      </c>
      <c r="AA13" s="170" t="s">
        <v>20</v>
      </c>
      <c r="AB13" s="170" t="s">
        <v>12</v>
      </c>
      <c r="AC13" s="170">
        <v>11.4</v>
      </c>
      <c r="AD13" s="177"/>
      <c r="AG13" s="178"/>
      <c r="AL13" s="177"/>
      <c r="AO13" s="178"/>
      <c r="AP13" s="177"/>
      <c r="AS13" s="178"/>
      <c r="AW13" s="178"/>
      <c r="BA13" s="179"/>
    </row>
    <row r="14" spans="1:53" s="170" customFormat="1" x14ac:dyDescent="0.15">
      <c r="A14" s="170">
        <v>1980</v>
      </c>
      <c r="B14" s="303">
        <v>29476</v>
      </c>
      <c r="C14" s="395" t="s">
        <v>1295</v>
      </c>
      <c r="D14" s="395"/>
      <c r="E14" s="170">
        <v>111</v>
      </c>
      <c r="F14" s="243">
        <v>0</v>
      </c>
      <c r="G14" s="232">
        <v>9</v>
      </c>
      <c r="J14" s="240">
        <v>11</v>
      </c>
      <c r="K14" s="213">
        <f t="shared" si="0"/>
        <v>81.818181818181827</v>
      </c>
      <c r="L14" s="213">
        <f t="shared" si="1"/>
        <v>0</v>
      </c>
      <c r="M14" s="213">
        <f t="shared" si="2"/>
        <v>0</v>
      </c>
      <c r="N14" s="234">
        <f t="shared" si="3"/>
        <v>81.818181818181827</v>
      </c>
      <c r="O14" s="212">
        <v>60</v>
      </c>
      <c r="P14" s="213"/>
      <c r="Q14" s="213"/>
      <c r="R14" s="214">
        <f t="shared" si="4"/>
        <v>60</v>
      </c>
      <c r="S14" s="170">
        <v>1</v>
      </c>
      <c r="T14" s="283"/>
      <c r="U14" s="281"/>
      <c r="V14" s="177" t="s">
        <v>1041</v>
      </c>
      <c r="W14" s="170" t="s">
        <v>22</v>
      </c>
      <c r="X14" s="170" t="s">
        <v>11</v>
      </c>
      <c r="Y14" s="178">
        <v>60</v>
      </c>
      <c r="AD14" s="177"/>
      <c r="AG14" s="178"/>
      <c r="AL14" s="177"/>
      <c r="AO14" s="178"/>
      <c r="AP14" s="177"/>
      <c r="AS14" s="178"/>
      <c r="AW14" s="178"/>
      <c r="BA14" s="179"/>
    </row>
    <row r="15" spans="1:53" s="170" customFormat="1" x14ac:dyDescent="0.15">
      <c r="A15" s="170">
        <v>1981</v>
      </c>
      <c r="B15" s="281"/>
      <c r="C15" s="395" t="s">
        <v>1295</v>
      </c>
      <c r="D15" s="395"/>
      <c r="E15" s="170">
        <v>143</v>
      </c>
      <c r="G15" s="232">
        <v>1</v>
      </c>
      <c r="J15" s="240">
        <v>11</v>
      </c>
      <c r="K15" s="213">
        <f t="shared" si="0"/>
        <v>9.0909090909090917</v>
      </c>
      <c r="L15" s="213">
        <f t="shared" si="1"/>
        <v>0</v>
      </c>
      <c r="M15" s="213">
        <f t="shared" si="2"/>
        <v>0</v>
      </c>
      <c r="N15" s="234">
        <f t="shared" si="3"/>
        <v>9.0909090909090917</v>
      </c>
      <c r="O15" s="212">
        <v>60</v>
      </c>
      <c r="P15" s="213"/>
      <c r="Q15" s="213"/>
      <c r="R15" s="214">
        <f t="shared" si="4"/>
        <v>60</v>
      </c>
      <c r="S15" s="170">
        <v>1</v>
      </c>
      <c r="T15" s="283"/>
      <c r="U15" s="281"/>
      <c r="V15" s="177" t="s">
        <v>1041</v>
      </c>
      <c r="W15" s="170" t="s">
        <v>22</v>
      </c>
      <c r="X15" s="170" t="s">
        <v>11</v>
      </c>
      <c r="Y15" s="178">
        <v>60</v>
      </c>
      <c r="AD15" s="177"/>
      <c r="AG15" s="178"/>
      <c r="AL15" s="177"/>
      <c r="AO15" s="178"/>
      <c r="AP15" s="177"/>
      <c r="AS15" s="178"/>
      <c r="AW15" s="178"/>
      <c r="BA15" s="179"/>
    </row>
    <row r="16" spans="1:53" s="170" customFormat="1" x14ac:dyDescent="0.15">
      <c r="A16" s="170">
        <v>1981</v>
      </c>
      <c r="B16" s="303"/>
      <c r="C16" s="395" t="s">
        <v>1295</v>
      </c>
      <c r="D16" s="395"/>
      <c r="E16" s="170">
        <v>222</v>
      </c>
      <c r="F16" s="243" t="s">
        <v>327</v>
      </c>
      <c r="G16" s="232">
        <v>1</v>
      </c>
      <c r="J16" s="240">
        <v>11</v>
      </c>
      <c r="K16" s="213">
        <f t="shared" si="0"/>
        <v>9.0909090909090917</v>
      </c>
      <c r="L16" s="213">
        <f t="shared" si="1"/>
        <v>0</v>
      </c>
      <c r="M16" s="213">
        <f t="shared" si="2"/>
        <v>0</v>
      </c>
      <c r="N16" s="234">
        <f t="shared" si="3"/>
        <v>9.0909090909090917</v>
      </c>
      <c r="O16" s="212">
        <v>22.9</v>
      </c>
      <c r="P16" s="213"/>
      <c r="Q16" s="213"/>
      <c r="R16" s="214">
        <f t="shared" si="4"/>
        <v>22.9</v>
      </c>
      <c r="S16" s="170">
        <v>1</v>
      </c>
      <c r="T16" s="283">
        <v>29730</v>
      </c>
      <c r="U16" s="281"/>
      <c r="V16" s="177" t="s">
        <v>1041</v>
      </c>
      <c r="W16" s="170" t="s">
        <v>22</v>
      </c>
      <c r="X16" s="170" t="s">
        <v>11</v>
      </c>
      <c r="Y16" s="178">
        <v>22.9</v>
      </c>
      <c r="AD16" s="177"/>
      <c r="AG16" s="178"/>
      <c r="AL16" s="177"/>
      <c r="AO16" s="178"/>
      <c r="AP16" s="177"/>
      <c r="AS16" s="178"/>
      <c r="AW16" s="178"/>
      <c r="BA16" s="179"/>
    </row>
    <row r="17" spans="1:53" s="170" customFormat="1" x14ac:dyDescent="0.15">
      <c r="A17" s="170">
        <v>1982</v>
      </c>
      <c r="B17" s="281"/>
      <c r="C17" s="395" t="s">
        <v>1295</v>
      </c>
      <c r="D17" s="395"/>
      <c r="E17" s="170">
        <v>109</v>
      </c>
      <c r="G17" s="232">
        <v>1</v>
      </c>
      <c r="J17" s="240">
        <v>11</v>
      </c>
      <c r="K17" s="213">
        <f t="shared" si="0"/>
        <v>9.0909090909090917</v>
      </c>
      <c r="L17" s="213">
        <f t="shared" si="1"/>
        <v>0</v>
      </c>
      <c r="M17" s="213">
        <f t="shared" si="2"/>
        <v>0</v>
      </c>
      <c r="N17" s="234">
        <f t="shared" si="3"/>
        <v>9.0909090909090917</v>
      </c>
      <c r="O17" s="212">
        <v>22.9</v>
      </c>
      <c r="P17" s="213"/>
      <c r="Q17" s="213"/>
      <c r="R17" s="214">
        <f t="shared" si="4"/>
        <v>22.9</v>
      </c>
      <c r="S17" s="170">
        <v>1</v>
      </c>
      <c r="T17" s="283"/>
      <c r="U17" s="281"/>
      <c r="V17" s="177" t="s">
        <v>1041</v>
      </c>
      <c r="W17" s="170" t="s">
        <v>22</v>
      </c>
      <c r="X17" s="170" t="s">
        <v>11</v>
      </c>
      <c r="Y17" s="178">
        <v>22.9</v>
      </c>
      <c r="AD17" s="177"/>
      <c r="AG17" s="178"/>
      <c r="AL17" s="177"/>
      <c r="AO17" s="178"/>
      <c r="AP17" s="177"/>
      <c r="AS17" s="178"/>
      <c r="AW17" s="178"/>
      <c r="BA17" s="179"/>
    </row>
    <row r="18" spans="1:53" s="170" customFormat="1" x14ac:dyDescent="0.15">
      <c r="A18" s="170">
        <v>1982</v>
      </c>
      <c r="B18" s="303">
        <v>30061</v>
      </c>
      <c r="C18" s="395" t="s">
        <v>1295</v>
      </c>
      <c r="D18" s="395"/>
      <c r="E18" s="170">
        <v>256</v>
      </c>
      <c r="F18" s="243">
        <v>0</v>
      </c>
      <c r="G18" s="232">
        <v>7</v>
      </c>
      <c r="J18" s="240">
        <v>11</v>
      </c>
      <c r="K18" s="213">
        <f t="shared" si="0"/>
        <v>63.636363636363633</v>
      </c>
      <c r="L18" s="213">
        <f t="shared" si="1"/>
        <v>0</v>
      </c>
      <c r="M18" s="213">
        <f t="shared" si="2"/>
        <v>0</v>
      </c>
      <c r="N18" s="234">
        <f t="shared" si="3"/>
        <v>63.636363636363633</v>
      </c>
      <c r="O18" s="212">
        <v>22.9</v>
      </c>
      <c r="P18" s="213"/>
      <c r="Q18" s="213"/>
      <c r="R18" s="214">
        <f t="shared" si="4"/>
        <v>22.9</v>
      </c>
      <c r="S18" s="170">
        <v>1</v>
      </c>
      <c r="T18" s="283"/>
      <c r="U18" s="281"/>
      <c r="V18" s="177" t="s">
        <v>1041</v>
      </c>
      <c r="W18" s="170" t="s">
        <v>22</v>
      </c>
      <c r="X18" s="170" t="s">
        <v>11</v>
      </c>
      <c r="Y18" s="178">
        <v>22.9</v>
      </c>
      <c r="AD18" s="177"/>
      <c r="AG18" s="178"/>
      <c r="AL18" s="177"/>
      <c r="AO18" s="178"/>
      <c r="AP18" s="177"/>
      <c r="AS18" s="178"/>
      <c r="AW18" s="178"/>
      <c r="BA18" s="179"/>
    </row>
    <row r="19" spans="1:53" s="170" customFormat="1" x14ac:dyDescent="0.15">
      <c r="A19" s="170">
        <v>1983</v>
      </c>
      <c r="B19" s="281"/>
      <c r="C19" s="395" t="s">
        <v>1295</v>
      </c>
      <c r="D19" s="395"/>
      <c r="E19" s="170">
        <v>43</v>
      </c>
      <c r="G19" s="232">
        <v>7</v>
      </c>
      <c r="J19" s="240">
        <v>11</v>
      </c>
      <c r="K19" s="213">
        <f t="shared" si="0"/>
        <v>63.636363636363633</v>
      </c>
      <c r="L19" s="213">
        <f t="shared" si="1"/>
        <v>0</v>
      </c>
      <c r="M19" s="213">
        <f t="shared" si="2"/>
        <v>0</v>
      </c>
      <c r="N19" s="234">
        <f t="shared" si="3"/>
        <v>63.636363636363633</v>
      </c>
      <c r="O19" s="212">
        <v>22.9</v>
      </c>
      <c r="P19" s="213"/>
      <c r="Q19" s="213"/>
      <c r="R19" s="214">
        <f t="shared" si="4"/>
        <v>22.9</v>
      </c>
      <c r="S19" s="170">
        <v>1</v>
      </c>
      <c r="T19" s="283"/>
      <c r="U19" s="281"/>
      <c r="V19" s="177" t="s">
        <v>1041</v>
      </c>
      <c r="W19" s="170" t="s">
        <v>22</v>
      </c>
      <c r="X19" s="170" t="s">
        <v>11</v>
      </c>
      <c r="Y19" s="178">
        <v>22.9</v>
      </c>
      <c r="AD19" s="177"/>
      <c r="AG19" s="178"/>
      <c r="AL19" s="177"/>
      <c r="AO19" s="178"/>
      <c r="AP19" s="177"/>
      <c r="AS19" s="178"/>
      <c r="AW19" s="178"/>
      <c r="BA19" s="179"/>
    </row>
    <row r="20" spans="1:53" s="28" customFormat="1" x14ac:dyDescent="0.15">
      <c r="A20" s="28">
        <v>1983</v>
      </c>
      <c r="B20" s="293">
        <v>30360</v>
      </c>
      <c r="C20" s="394" t="s">
        <v>1296</v>
      </c>
      <c r="D20" s="394"/>
      <c r="E20" s="28">
        <v>221</v>
      </c>
      <c r="G20" s="65">
        <v>7</v>
      </c>
      <c r="J20" s="72">
        <v>11</v>
      </c>
      <c r="K20" s="46">
        <f t="shared" si="0"/>
        <v>63.636363636363633</v>
      </c>
      <c r="L20" s="46">
        <f t="shared" si="1"/>
        <v>0</v>
      </c>
      <c r="M20" s="46">
        <f t="shared" si="2"/>
        <v>0</v>
      </c>
      <c r="N20" s="67">
        <f t="shared" si="3"/>
        <v>63.636363636363633</v>
      </c>
      <c r="O20" s="45">
        <v>22.9</v>
      </c>
      <c r="P20" s="46"/>
      <c r="Q20" s="46"/>
      <c r="R20" s="47">
        <f t="shared" si="4"/>
        <v>22.9</v>
      </c>
      <c r="S20" s="28">
        <v>1</v>
      </c>
      <c r="T20" s="284"/>
      <c r="U20" s="293">
        <v>30360</v>
      </c>
      <c r="V20" s="37" t="s">
        <v>1041</v>
      </c>
      <c r="W20" s="28" t="s">
        <v>22</v>
      </c>
      <c r="X20" s="28" t="s">
        <v>11</v>
      </c>
      <c r="Y20" s="38">
        <v>22.9</v>
      </c>
      <c r="AD20" s="37"/>
      <c r="AG20" s="38"/>
      <c r="AL20" s="37"/>
      <c r="AO20" s="38"/>
      <c r="AP20" s="37"/>
      <c r="AS20" s="38"/>
      <c r="AW20" s="38"/>
      <c r="BA20" s="39"/>
    </row>
    <row r="21" spans="1:53" s="28" customFormat="1" x14ac:dyDescent="0.15">
      <c r="A21" s="28">
        <v>1983</v>
      </c>
      <c r="B21" s="301">
        <v>30581</v>
      </c>
      <c r="C21" s="394" t="s">
        <v>1296</v>
      </c>
      <c r="D21" s="394"/>
      <c r="E21" s="28">
        <v>101</v>
      </c>
      <c r="F21" s="83">
        <v>0</v>
      </c>
      <c r="G21" s="65">
        <v>6</v>
      </c>
      <c r="J21" s="72">
        <v>11</v>
      </c>
      <c r="K21" s="46">
        <f t="shared" si="0"/>
        <v>54.54545454545454</v>
      </c>
      <c r="L21" s="46">
        <f t="shared" si="1"/>
        <v>0</v>
      </c>
      <c r="M21" s="46">
        <f t="shared" si="2"/>
        <v>0</v>
      </c>
      <c r="N21" s="67">
        <f t="shared" si="3"/>
        <v>54.54545454545454</v>
      </c>
      <c r="O21" s="45">
        <v>22.9</v>
      </c>
      <c r="P21" s="46"/>
      <c r="Q21" s="46"/>
      <c r="R21" s="47">
        <f t="shared" si="4"/>
        <v>22.9</v>
      </c>
      <c r="S21" s="28">
        <v>1</v>
      </c>
      <c r="T21" s="284"/>
      <c r="U21" s="293"/>
      <c r="V21" s="37" t="s">
        <v>1041</v>
      </c>
      <c r="W21" s="28" t="s">
        <v>22</v>
      </c>
      <c r="X21" s="28" t="s">
        <v>11</v>
      </c>
      <c r="Y21" s="38">
        <v>22.9</v>
      </c>
      <c r="AD21" s="37"/>
      <c r="AG21" s="38"/>
      <c r="AL21" s="37"/>
      <c r="AO21" s="38"/>
      <c r="AP21" s="37"/>
      <c r="AS21" s="38"/>
      <c r="AW21" s="38"/>
      <c r="BA21" s="39"/>
    </row>
    <row r="22" spans="1:53" s="28" customFormat="1" x14ac:dyDescent="0.15">
      <c r="A22" s="28">
        <v>1984</v>
      </c>
      <c r="B22" s="301"/>
      <c r="C22" s="394" t="s">
        <v>1296</v>
      </c>
      <c r="D22" s="394"/>
      <c r="E22" s="28">
        <v>0</v>
      </c>
      <c r="F22" s="83"/>
      <c r="G22" s="65">
        <v>6</v>
      </c>
      <c r="J22" s="72">
        <v>11</v>
      </c>
      <c r="K22" s="46">
        <f t="shared" si="0"/>
        <v>54.54545454545454</v>
      </c>
      <c r="L22" s="46">
        <f t="shared" si="1"/>
        <v>0</v>
      </c>
      <c r="M22" s="46">
        <f t="shared" si="2"/>
        <v>0</v>
      </c>
      <c r="N22" s="67">
        <f t="shared" si="3"/>
        <v>54.54545454545454</v>
      </c>
      <c r="O22" s="45">
        <v>22.9</v>
      </c>
      <c r="P22" s="46"/>
      <c r="Q22" s="46"/>
      <c r="R22" s="47">
        <f t="shared" si="4"/>
        <v>22.9</v>
      </c>
      <c r="S22" s="28">
        <v>1</v>
      </c>
      <c r="T22" s="284"/>
      <c r="U22" s="293"/>
      <c r="V22" s="37" t="s">
        <v>1041</v>
      </c>
      <c r="W22" s="28" t="s">
        <v>22</v>
      </c>
      <c r="X22" s="28" t="s">
        <v>11</v>
      </c>
      <c r="Y22" s="38">
        <v>22.9</v>
      </c>
      <c r="AD22" s="37"/>
      <c r="AG22" s="38"/>
      <c r="AL22" s="37"/>
      <c r="AO22" s="38"/>
      <c r="AP22" s="37"/>
      <c r="AS22" s="38"/>
      <c r="AW22" s="38"/>
      <c r="BA22" s="39"/>
    </row>
    <row r="23" spans="1:53" s="28" customFormat="1" x14ac:dyDescent="0.15">
      <c r="A23" s="28">
        <v>1984</v>
      </c>
      <c r="B23" s="301"/>
      <c r="C23" s="394" t="s">
        <v>1296</v>
      </c>
      <c r="D23" s="394"/>
      <c r="E23" s="28">
        <v>366</v>
      </c>
      <c r="F23" s="83"/>
      <c r="G23" s="65">
        <v>6</v>
      </c>
      <c r="J23" s="72">
        <v>11</v>
      </c>
      <c r="K23" s="46">
        <f t="shared" si="0"/>
        <v>54.54545454545454</v>
      </c>
      <c r="L23" s="46">
        <f t="shared" si="1"/>
        <v>0</v>
      </c>
      <c r="M23" s="46">
        <f t="shared" si="2"/>
        <v>0</v>
      </c>
      <c r="N23" s="67">
        <f t="shared" si="3"/>
        <v>54.54545454545454</v>
      </c>
      <c r="O23" s="45">
        <v>22.9</v>
      </c>
      <c r="P23" s="46"/>
      <c r="Q23" s="46"/>
      <c r="R23" s="47">
        <f t="shared" si="4"/>
        <v>22.9</v>
      </c>
      <c r="S23" s="28">
        <v>1</v>
      </c>
      <c r="T23" s="284"/>
      <c r="U23" s="293"/>
      <c r="V23" s="37" t="s">
        <v>1041</v>
      </c>
      <c r="W23" s="28" t="s">
        <v>22</v>
      </c>
      <c r="X23" s="28" t="s">
        <v>11</v>
      </c>
      <c r="Y23" s="38">
        <v>22.9</v>
      </c>
      <c r="AD23" s="37"/>
      <c r="AG23" s="38"/>
      <c r="AL23" s="37"/>
      <c r="AO23" s="38"/>
      <c r="AP23" s="37"/>
      <c r="AS23" s="38"/>
      <c r="AW23" s="38"/>
      <c r="BA23" s="39"/>
    </row>
    <row r="24" spans="1:53" s="28" customFormat="1" x14ac:dyDescent="0.15">
      <c r="A24" s="28">
        <v>1985</v>
      </c>
      <c r="B24" s="293"/>
      <c r="C24" s="394" t="s">
        <v>1296</v>
      </c>
      <c r="D24" s="394"/>
      <c r="E24" s="28">
        <v>6</v>
      </c>
      <c r="F24" s="83"/>
      <c r="G24" s="65">
        <v>6</v>
      </c>
      <c r="J24" s="72">
        <v>11</v>
      </c>
      <c r="K24" s="46">
        <f t="shared" si="0"/>
        <v>54.54545454545454</v>
      </c>
      <c r="L24" s="46">
        <f t="shared" si="1"/>
        <v>0</v>
      </c>
      <c r="M24" s="46">
        <f t="shared" si="2"/>
        <v>0</v>
      </c>
      <c r="N24" s="67">
        <f t="shared" si="3"/>
        <v>54.54545454545454</v>
      </c>
      <c r="O24" s="45">
        <v>22.9</v>
      </c>
      <c r="P24" s="46"/>
      <c r="Q24" s="46"/>
      <c r="R24" s="47">
        <f t="shared" si="4"/>
        <v>22.9</v>
      </c>
      <c r="S24" s="28">
        <v>1</v>
      </c>
      <c r="T24" s="284"/>
      <c r="U24" s="293"/>
      <c r="V24" s="37" t="s">
        <v>1041</v>
      </c>
      <c r="W24" s="28" t="s">
        <v>22</v>
      </c>
      <c r="X24" s="28" t="s">
        <v>11</v>
      </c>
      <c r="Y24" s="38">
        <v>22.9</v>
      </c>
      <c r="AD24" s="37"/>
      <c r="AG24" s="38"/>
      <c r="AL24" s="37"/>
      <c r="AO24" s="38"/>
      <c r="AP24" s="37"/>
      <c r="AS24" s="38"/>
      <c r="AW24" s="38"/>
      <c r="BA24" s="39"/>
    </row>
    <row r="25" spans="1:53" s="28" customFormat="1" x14ac:dyDescent="0.15">
      <c r="A25" s="28">
        <v>1985</v>
      </c>
      <c r="B25" s="301">
        <v>31054</v>
      </c>
      <c r="C25" s="394" t="s">
        <v>1296</v>
      </c>
      <c r="D25" s="394"/>
      <c r="E25" s="28">
        <v>206</v>
      </c>
      <c r="F25" s="83">
        <v>0</v>
      </c>
      <c r="G25" s="65">
        <v>8</v>
      </c>
      <c r="J25" s="72">
        <v>12</v>
      </c>
      <c r="K25" s="46">
        <f t="shared" si="0"/>
        <v>66.666666666666657</v>
      </c>
      <c r="L25" s="46">
        <f t="shared" si="1"/>
        <v>0</v>
      </c>
      <c r="M25" s="46">
        <f t="shared" si="2"/>
        <v>0</v>
      </c>
      <c r="N25" s="67">
        <f t="shared" si="3"/>
        <v>66.666666666666657</v>
      </c>
      <c r="O25" s="45">
        <v>57.2</v>
      </c>
      <c r="P25" s="46"/>
      <c r="Q25" s="46"/>
      <c r="R25" s="47">
        <f t="shared" si="4"/>
        <v>57.2</v>
      </c>
      <c r="S25" s="28">
        <v>1</v>
      </c>
      <c r="T25" s="284"/>
      <c r="U25" s="293"/>
      <c r="V25" s="37" t="s">
        <v>1041</v>
      </c>
      <c r="W25" s="28" t="s">
        <v>22</v>
      </c>
      <c r="X25" s="28" t="s">
        <v>11</v>
      </c>
      <c r="Y25" s="38">
        <v>22.9</v>
      </c>
      <c r="Z25" s="37" t="s">
        <v>1040</v>
      </c>
      <c r="AA25" s="28" t="s">
        <v>74</v>
      </c>
      <c r="AB25" s="28" t="s">
        <v>11</v>
      </c>
      <c r="AC25" s="28">
        <v>34.299999999999997</v>
      </c>
      <c r="AD25" s="37"/>
      <c r="AG25" s="38"/>
      <c r="AL25" s="37"/>
      <c r="AO25" s="38"/>
      <c r="AP25" s="37"/>
      <c r="AS25" s="38"/>
      <c r="AW25" s="38"/>
      <c r="BA25" s="39"/>
    </row>
    <row r="26" spans="1:53" s="28" customFormat="1" x14ac:dyDescent="0.15">
      <c r="A26" s="28">
        <v>1985</v>
      </c>
      <c r="B26" s="301">
        <v>31260</v>
      </c>
      <c r="C26" s="394" t="s">
        <v>1296</v>
      </c>
      <c r="D26" s="394"/>
      <c r="E26" s="28">
        <v>129</v>
      </c>
      <c r="F26" s="83">
        <v>0</v>
      </c>
      <c r="G26" s="65">
        <v>8</v>
      </c>
      <c r="J26" s="72">
        <v>12</v>
      </c>
      <c r="K26" s="46">
        <f t="shared" si="0"/>
        <v>66.666666666666657</v>
      </c>
      <c r="L26" s="46">
        <f t="shared" si="1"/>
        <v>0</v>
      </c>
      <c r="M26" s="46">
        <f t="shared" si="2"/>
        <v>0</v>
      </c>
      <c r="N26" s="67">
        <f t="shared" si="3"/>
        <v>66.666666666666657</v>
      </c>
      <c r="O26" s="45">
        <v>57.2</v>
      </c>
      <c r="P26" s="46"/>
      <c r="Q26" s="46"/>
      <c r="R26" s="47">
        <f t="shared" si="4"/>
        <v>57.2</v>
      </c>
      <c r="S26" s="28">
        <v>1</v>
      </c>
      <c r="T26" s="284"/>
      <c r="U26" s="293"/>
      <c r="V26" s="37" t="s">
        <v>1041</v>
      </c>
      <c r="W26" s="28" t="s">
        <v>22</v>
      </c>
      <c r="X26" s="28" t="s">
        <v>11</v>
      </c>
      <c r="Y26" s="38">
        <v>22.9</v>
      </c>
      <c r="Z26" s="37" t="s">
        <v>1040</v>
      </c>
      <c r="AA26" s="28" t="s">
        <v>74</v>
      </c>
      <c r="AB26" s="28" t="s">
        <v>11</v>
      </c>
      <c r="AC26" s="28">
        <v>34.299999999999997</v>
      </c>
      <c r="AD26" s="37"/>
      <c r="AG26" s="38"/>
      <c r="AL26" s="37"/>
      <c r="AO26" s="38"/>
      <c r="AP26" s="37"/>
      <c r="AS26" s="38"/>
      <c r="AW26" s="38"/>
      <c r="BA26" s="39"/>
    </row>
    <row r="27" spans="1:53" s="28" customFormat="1" x14ac:dyDescent="0.15">
      <c r="A27" s="28">
        <v>1985</v>
      </c>
      <c r="B27" s="301">
        <v>31389</v>
      </c>
      <c r="C27" s="394" t="s">
        <v>1296</v>
      </c>
      <c r="D27" s="394"/>
      <c r="E27" s="28">
        <v>24</v>
      </c>
      <c r="F27" s="83" t="s">
        <v>327</v>
      </c>
      <c r="G27" s="65">
        <v>8</v>
      </c>
      <c r="J27" s="72">
        <v>12</v>
      </c>
      <c r="K27" s="46">
        <f t="shared" si="0"/>
        <v>66.666666666666657</v>
      </c>
      <c r="L27" s="46">
        <f t="shared" si="1"/>
        <v>0</v>
      </c>
      <c r="M27" s="46">
        <f t="shared" si="2"/>
        <v>0</v>
      </c>
      <c r="N27" s="67">
        <f t="shared" si="3"/>
        <v>66.666666666666657</v>
      </c>
      <c r="O27" s="45">
        <v>62.5</v>
      </c>
      <c r="P27" s="46"/>
      <c r="Q27" s="46"/>
      <c r="R27" s="47">
        <f t="shared" si="4"/>
        <v>62.5</v>
      </c>
      <c r="S27" s="28">
        <v>1</v>
      </c>
      <c r="T27" s="284">
        <v>31389</v>
      </c>
      <c r="U27" s="293"/>
      <c r="V27" s="37" t="s">
        <v>1041</v>
      </c>
      <c r="W27" s="28" t="s">
        <v>22</v>
      </c>
      <c r="X27" s="28" t="s">
        <v>11</v>
      </c>
      <c r="Y27" s="38">
        <v>28.6</v>
      </c>
      <c r="Z27" s="37" t="s">
        <v>1040</v>
      </c>
      <c r="AA27" s="28" t="s">
        <v>74</v>
      </c>
      <c r="AB27" s="28" t="s">
        <v>11</v>
      </c>
      <c r="AC27" s="28">
        <v>33.9</v>
      </c>
      <c r="AD27" s="37"/>
      <c r="AG27" s="38"/>
      <c r="AL27" s="37"/>
      <c r="AO27" s="38"/>
      <c r="AP27" s="37"/>
      <c r="AS27" s="38"/>
      <c r="AW27" s="38"/>
      <c r="BA27" s="39"/>
    </row>
    <row r="28" spans="1:53" s="28" customFormat="1" x14ac:dyDescent="0.15">
      <c r="A28" s="51">
        <v>1986</v>
      </c>
      <c r="B28" s="293"/>
      <c r="C28" s="394" t="s">
        <v>1296</v>
      </c>
      <c r="D28" s="394"/>
      <c r="E28" s="28">
        <v>0</v>
      </c>
      <c r="G28" s="65">
        <v>8</v>
      </c>
      <c r="J28" s="72">
        <v>12</v>
      </c>
      <c r="K28" s="46">
        <f t="shared" si="0"/>
        <v>66.666666666666657</v>
      </c>
      <c r="L28" s="46">
        <f t="shared" si="1"/>
        <v>0</v>
      </c>
      <c r="M28" s="46">
        <f t="shared" si="2"/>
        <v>0</v>
      </c>
      <c r="N28" s="67">
        <f t="shared" si="3"/>
        <v>66.666666666666657</v>
      </c>
      <c r="O28" s="45">
        <v>62.5</v>
      </c>
      <c r="P28" s="46"/>
      <c r="Q28" s="46"/>
      <c r="R28" s="47">
        <f t="shared" si="4"/>
        <v>62.5</v>
      </c>
      <c r="S28" s="28">
        <v>1</v>
      </c>
      <c r="T28" s="284"/>
      <c r="U28" s="293"/>
      <c r="V28" s="37" t="s">
        <v>1041</v>
      </c>
      <c r="W28" s="28" t="s">
        <v>22</v>
      </c>
      <c r="X28" s="28" t="s">
        <v>11</v>
      </c>
      <c r="Y28" s="38">
        <v>28.6</v>
      </c>
      <c r="Z28" s="37" t="s">
        <v>1040</v>
      </c>
      <c r="AA28" s="28" t="s">
        <v>74</v>
      </c>
      <c r="AB28" s="28" t="s">
        <v>11</v>
      </c>
      <c r="AC28" s="28">
        <v>33.9</v>
      </c>
      <c r="AD28" s="37"/>
      <c r="AG28" s="38"/>
      <c r="AL28" s="37"/>
      <c r="AO28" s="38"/>
      <c r="AP28" s="37"/>
      <c r="AS28" s="38"/>
      <c r="AW28" s="38"/>
      <c r="BA28" s="39"/>
    </row>
    <row r="29" spans="1:53" s="28" customFormat="1" x14ac:dyDescent="0.15">
      <c r="A29" s="51">
        <v>1986</v>
      </c>
      <c r="B29" s="293"/>
      <c r="C29" s="394" t="s">
        <v>1296</v>
      </c>
      <c r="D29" s="394"/>
      <c r="E29" s="28">
        <v>365</v>
      </c>
      <c r="G29" s="65">
        <v>8</v>
      </c>
      <c r="J29" s="72">
        <v>12</v>
      </c>
      <c r="K29" s="46">
        <f t="shared" si="0"/>
        <v>66.666666666666657</v>
      </c>
      <c r="L29" s="46">
        <f t="shared" si="1"/>
        <v>0</v>
      </c>
      <c r="M29" s="46">
        <f t="shared" si="2"/>
        <v>0</v>
      </c>
      <c r="N29" s="67">
        <f t="shared" si="3"/>
        <v>66.666666666666657</v>
      </c>
      <c r="O29" s="45">
        <v>62.5</v>
      </c>
      <c r="P29" s="46"/>
      <c r="Q29" s="46"/>
      <c r="R29" s="47">
        <f t="shared" si="4"/>
        <v>62.5</v>
      </c>
      <c r="S29" s="28">
        <v>1</v>
      </c>
      <c r="T29" s="284"/>
      <c r="U29" s="293"/>
      <c r="V29" s="37" t="s">
        <v>1041</v>
      </c>
      <c r="W29" s="28" t="s">
        <v>22</v>
      </c>
      <c r="X29" s="28" t="s">
        <v>11</v>
      </c>
      <c r="Y29" s="38">
        <v>28.6</v>
      </c>
      <c r="Z29" s="37" t="s">
        <v>1040</v>
      </c>
      <c r="AA29" s="28" t="s">
        <v>74</v>
      </c>
      <c r="AB29" s="28" t="s">
        <v>11</v>
      </c>
      <c r="AC29" s="28">
        <v>33.9</v>
      </c>
      <c r="AD29" s="37"/>
      <c r="AG29" s="38"/>
      <c r="AL29" s="37"/>
      <c r="AO29" s="38"/>
      <c r="AP29" s="37"/>
      <c r="AS29" s="38"/>
      <c r="AW29" s="38"/>
      <c r="BA29" s="39"/>
    </row>
    <row r="30" spans="1:53" s="28" customFormat="1" x14ac:dyDescent="0.15">
      <c r="A30" s="51">
        <v>1987</v>
      </c>
      <c r="B30" s="293"/>
      <c r="C30" s="394" t="s">
        <v>1296</v>
      </c>
      <c r="D30" s="394"/>
      <c r="E30" s="28">
        <v>0</v>
      </c>
      <c r="G30" s="65">
        <v>8</v>
      </c>
      <c r="J30" s="72">
        <v>12</v>
      </c>
      <c r="K30" s="46">
        <f t="shared" si="0"/>
        <v>66.666666666666657</v>
      </c>
      <c r="L30" s="46">
        <f t="shared" si="1"/>
        <v>0</v>
      </c>
      <c r="M30" s="46">
        <f t="shared" si="2"/>
        <v>0</v>
      </c>
      <c r="N30" s="67">
        <f t="shared" si="3"/>
        <v>66.666666666666657</v>
      </c>
      <c r="O30" s="45">
        <v>62.5</v>
      </c>
      <c r="P30" s="46"/>
      <c r="Q30" s="46"/>
      <c r="R30" s="47">
        <f t="shared" si="4"/>
        <v>62.5</v>
      </c>
      <c r="S30" s="28">
        <v>1</v>
      </c>
      <c r="T30" s="284"/>
      <c r="U30" s="293"/>
      <c r="V30" s="37" t="s">
        <v>1041</v>
      </c>
      <c r="W30" s="28" t="s">
        <v>22</v>
      </c>
      <c r="X30" s="28" t="s">
        <v>11</v>
      </c>
      <c r="Y30" s="38">
        <v>28.6</v>
      </c>
      <c r="Z30" s="37" t="s">
        <v>1040</v>
      </c>
      <c r="AA30" s="28" t="s">
        <v>74</v>
      </c>
      <c r="AB30" s="28" t="s">
        <v>11</v>
      </c>
      <c r="AC30" s="28">
        <v>33.9</v>
      </c>
      <c r="AD30" s="37"/>
      <c r="AG30" s="38"/>
      <c r="AL30" s="37"/>
      <c r="AO30" s="38"/>
      <c r="AP30" s="37"/>
      <c r="AS30" s="38"/>
      <c r="AW30" s="38"/>
      <c r="BA30" s="39"/>
    </row>
    <row r="31" spans="1:53" s="28" customFormat="1" x14ac:dyDescent="0.15">
      <c r="A31" s="51">
        <v>1987</v>
      </c>
      <c r="B31" s="293"/>
      <c r="C31" s="394" t="s">
        <v>1296</v>
      </c>
      <c r="D31" s="394"/>
      <c r="E31" s="28">
        <v>365</v>
      </c>
      <c r="G31" s="65">
        <v>8</v>
      </c>
      <c r="J31" s="72">
        <v>12</v>
      </c>
      <c r="K31" s="46">
        <f t="shared" si="0"/>
        <v>66.666666666666657</v>
      </c>
      <c r="L31" s="46">
        <f t="shared" si="1"/>
        <v>0</v>
      </c>
      <c r="M31" s="46">
        <f t="shared" si="2"/>
        <v>0</v>
      </c>
      <c r="N31" s="67">
        <f t="shared" si="3"/>
        <v>66.666666666666657</v>
      </c>
      <c r="O31" s="45">
        <v>62.5</v>
      </c>
      <c r="P31" s="46"/>
      <c r="Q31" s="46"/>
      <c r="R31" s="47">
        <f t="shared" si="4"/>
        <v>62.5</v>
      </c>
      <c r="S31" s="28">
        <v>1</v>
      </c>
      <c r="T31" s="284"/>
      <c r="U31" s="293"/>
      <c r="V31" s="37" t="s">
        <v>1041</v>
      </c>
      <c r="W31" s="28" t="s">
        <v>22</v>
      </c>
      <c r="X31" s="28" t="s">
        <v>11</v>
      </c>
      <c r="Y31" s="38">
        <v>28.6</v>
      </c>
      <c r="Z31" s="37" t="s">
        <v>1040</v>
      </c>
      <c r="AA31" s="28" t="s">
        <v>74</v>
      </c>
      <c r="AB31" s="28" t="s">
        <v>11</v>
      </c>
      <c r="AC31" s="28">
        <v>33.9</v>
      </c>
      <c r="AD31" s="37"/>
      <c r="AG31" s="38"/>
      <c r="AL31" s="37"/>
      <c r="AO31" s="38"/>
      <c r="AP31" s="37"/>
      <c r="AS31" s="38"/>
      <c r="AW31" s="38"/>
      <c r="BA31" s="39"/>
    </row>
    <row r="32" spans="1:53" s="28" customFormat="1" x14ac:dyDescent="0.15">
      <c r="A32" s="51">
        <v>1988</v>
      </c>
      <c r="B32" s="293"/>
      <c r="C32" s="394" t="s">
        <v>1296</v>
      </c>
      <c r="D32" s="394"/>
      <c r="E32" s="28">
        <v>58</v>
      </c>
      <c r="G32" s="65">
        <v>8</v>
      </c>
      <c r="J32" s="72">
        <v>12</v>
      </c>
      <c r="K32" s="46">
        <f t="shared" si="0"/>
        <v>66.666666666666657</v>
      </c>
      <c r="L32" s="46">
        <f t="shared" si="1"/>
        <v>0</v>
      </c>
      <c r="M32" s="46">
        <f t="shared" si="2"/>
        <v>0</v>
      </c>
      <c r="N32" s="67">
        <f t="shared" si="3"/>
        <v>66.666666666666657</v>
      </c>
      <c r="O32" s="45">
        <v>62.5</v>
      </c>
      <c r="P32" s="46"/>
      <c r="Q32" s="46"/>
      <c r="R32" s="47">
        <f t="shared" si="4"/>
        <v>62.5</v>
      </c>
      <c r="S32" s="28">
        <v>1</v>
      </c>
      <c r="T32" s="284"/>
      <c r="U32" s="293"/>
      <c r="V32" s="37" t="s">
        <v>1041</v>
      </c>
      <c r="W32" s="28" t="s">
        <v>22</v>
      </c>
      <c r="X32" s="28" t="s">
        <v>11</v>
      </c>
      <c r="Y32" s="38">
        <v>28.6</v>
      </c>
      <c r="Z32" s="37" t="s">
        <v>1040</v>
      </c>
      <c r="AA32" s="28" t="s">
        <v>74</v>
      </c>
      <c r="AB32" s="28" t="s">
        <v>11</v>
      </c>
      <c r="AC32" s="28">
        <v>33.9</v>
      </c>
      <c r="AD32" s="37"/>
      <c r="AG32" s="38"/>
      <c r="AL32" s="37"/>
      <c r="AO32" s="38"/>
      <c r="AP32" s="37"/>
      <c r="AS32" s="38"/>
      <c r="AW32" s="38"/>
      <c r="BA32" s="39"/>
    </row>
    <row r="33" spans="1:53" s="170" customFormat="1" x14ac:dyDescent="0.15">
      <c r="A33" s="170">
        <v>1988</v>
      </c>
      <c r="B33" s="281">
        <v>32201</v>
      </c>
      <c r="C33" s="395" t="s">
        <v>1044</v>
      </c>
      <c r="D33" s="395"/>
      <c r="E33" s="170">
        <v>308</v>
      </c>
      <c r="F33" s="170">
        <v>1</v>
      </c>
      <c r="G33" s="232">
        <v>0</v>
      </c>
      <c r="H33" s="170">
        <v>0</v>
      </c>
      <c r="I33" s="170">
        <v>0</v>
      </c>
      <c r="J33" s="240">
        <v>12</v>
      </c>
      <c r="K33" s="213">
        <f t="shared" si="0"/>
        <v>0</v>
      </c>
      <c r="L33" s="213">
        <f t="shared" si="1"/>
        <v>0</v>
      </c>
      <c r="M33" s="213">
        <f t="shared" si="2"/>
        <v>0</v>
      </c>
      <c r="N33" s="234">
        <f t="shared" si="3"/>
        <v>0</v>
      </c>
      <c r="O33" s="212">
        <v>0</v>
      </c>
      <c r="P33" s="213">
        <v>0</v>
      </c>
      <c r="Q33" s="213">
        <v>0</v>
      </c>
      <c r="R33" s="214">
        <f t="shared" si="4"/>
        <v>0</v>
      </c>
      <c r="S33" s="170">
        <v>1</v>
      </c>
      <c r="T33" s="283"/>
      <c r="U33" s="281">
        <v>32201</v>
      </c>
      <c r="V33" s="417" t="s">
        <v>1309</v>
      </c>
      <c r="W33" s="418"/>
      <c r="X33" s="418"/>
      <c r="Y33" s="419"/>
      <c r="AD33" s="177"/>
      <c r="AG33" s="178"/>
      <c r="AL33" s="177"/>
      <c r="AO33" s="178"/>
      <c r="AP33" s="177"/>
      <c r="AS33" s="178"/>
      <c r="AW33" s="178"/>
      <c r="BA33" s="179"/>
    </row>
    <row r="34" spans="1:53" s="170" customFormat="1" x14ac:dyDescent="0.15">
      <c r="A34" s="170">
        <v>1989</v>
      </c>
      <c r="B34" s="281"/>
      <c r="C34" s="395" t="s">
        <v>1044</v>
      </c>
      <c r="D34" s="395"/>
      <c r="E34" s="170">
        <v>0</v>
      </c>
      <c r="G34" s="232">
        <v>0</v>
      </c>
      <c r="H34" s="170">
        <v>0</v>
      </c>
      <c r="I34" s="170">
        <v>0</v>
      </c>
      <c r="J34" s="240">
        <v>12</v>
      </c>
      <c r="K34" s="213">
        <f t="shared" si="0"/>
        <v>0</v>
      </c>
      <c r="L34" s="213">
        <f t="shared" si="1"/>
        <v>0</v>
      </c>
      <c r="M34" s="213">
        <f t="shared" si="2"/>
        <v>0</v>
      </c>
      <c r="N34" s="234">
        <f t="shared" si="3"/>
        <v>0</v>
      </c>
      <c r="O34" s="212">
        <v>0</v>
      </c>
      <c r="P34" s="213">
        <v>0</v>
      </c>
      <c r="Q34" s="213">
        <v>0</v>
      </c>
      <c r="R34" s="214">
        <f t="shared" si="4"/>
        <v>0</v>
      </c>
      <c r="S34" s="170">
        <v>1</v>
      </c>
      <c r="T34" s="283"/>
      <c r="U34" s="281"/>
      <c r="V34" s="417" t="s">
        <v>1309</v>
      </c>
      <c r="W34" s="418"/>
      <c r="X34" s="418"/>
      <c r="Y34" s="419"/>
      <c r="AD34" s="177"/>
      <c r="AG34" s="178"/>
      <c r="AL34" s="177"/>
      <c r="AO34" s="178"/>
      <c r="AP34" s="177"/>
      <c r="AS34" s="178"/>
      <c r="AW34" s="178"/>
      <c r="BA34" s="179"/>
    </row>
    <row r="35" spans="1:53" s="170" customFormat="1" x14ac:dyDescent="0.15">
      <c r="A35" s="170">
        <v>1989</v>
      </c>
      <c r="B35" s="281"/>
      <c r="C35" s="395" t="s">
        <v>1044</v>
      </c>
      <c r="D35" s="395"/>
      <c r="E35" s="170">
        <v>365</v>
      </c>
      <c r="G35" s="232">
        <v>0</v>
      </c>
      <c r="H35" s="170">
        <v>0</v>
      </c>
      <c r="I35" s="170">
        <v>0</v>
      </c>
      <c r="J35" s="240">
        <v>12</v>
      </c>
      <c r="K35" s="213">
        <f t="shared" si="0"/>
        <v>0</v>
      </c>
      <c r="L35" s="213">
        <f t="shared" si="1"/>
        <v>0</v>
      </c>
      <c r="M35" s="213">
        <f t="shared" si="2"/>
        <v>0</v>
      </c>
      <c r="N35" s="234">
        <f t="shared" si="3"/>
        <v>0</v>
      </c>
      <c r="O35" s="212">
        <v>0</v>
      </c>
      <c r="P35" s="213">
        <v>0</v>
      </c>
      <c r="Q35" s="213">
        <v>0</v>
      </c>
      <c r="R35" s="214">
        <f t="shared" si="4"/>
        <v>0</v>
      </c>
      <c r="S35" s="170">
        <v>1</v>
      </c>
      <c r="T35" s="283"/>
      <c r="U35" s="281"/>
      <c r="V35" s="417" t="s">
        <v>1309</v>
      </c>
      <c r="W35" s="418"/>
      <c r="X35" s="418"/>
      <c r="Y35" s="419"/>
      <c r="AD35" s="177"/>
      <c r="AG35" s="178"/>
      <c r="AL35" s="177"/>
      <c r="AO35" s="178"/>
      <c r="AP35" s="177"/>
      <c r="AS35" s="178"/>
      <c r="AW35" s="178"/>
      <c r="BA35" s="179"/>
    </row>
    <row r="36" spans="1:53" s="170" customFormat="1" x14ac:dyDescent="0.15">
      <c r="A36" s="170">
        <v>1990</v>
      </c>
      <c r="B36" s="281"/>
      <c r="C36" s="395" t="s">
        <v>1044</v>
      </c>
      <c r="D36" s="395"/>
      <c r="E36" s="170">
        <v>0</v>
      </c>
      <c r="G36" s="232">
        <v>0</v>
      </c>
      <c r="H36" s="170">
        <v>0</v>
      </c>
      <c r="I36" s="170">
        <v>0</v>
      </c>
      <c r="J36" s="240">
        <v>12</v>
      </c>
      <c r="K36" s="213">
        <f t="shared" ref="K36:K38" si="5">G36/J36*100</f>
        <v>0</v>
      </c>
      <c r="L36" s="213">
        <f t="shared" ref="L36:L38" si="6">H36/J36*100</f>
        <v>0</v>
      </c>
      <c r="M36" s="213">
        <f t="shared" ref="M36:M38" si="7">I36/J36*100</f>
        <v>0</v>
      </c>
      <c r="N36" s="234">
        <f>SUM(K36:M36)</f>
        <v>0</v>
      </c>
      <c r="O36" s="212">
        <v>0</v>
      </c>
      <c r="P36" s="213">
        <v>0</v>
      </c>
      <c r="Q36" s="213">
        <v>0</v>
      </c>
      <c r="R36" s="214">
        <f>SUM(O36:Q36)</f>
        <v>0</v>
      </c>
      <c r="S36" s="170">
        <v>1</v>
      </c>
      <c r="T36" s="283"/>
      <c r="U36" s="281"/>
      <c r="V36" s="417" t="s">
        <v>1309</v>
      </c>
      <c r="W36" s="418"/>
      <c r="X36" s="418"/>
      <c r="Y36" s="419"/>
      <c r="AD36" s="177"/>
      <c r="AG36" s="178"/>
      <c r="AL36" s="177"/>
      <c r="AO36" s="178"/>
      <c r="AP36" s="177"/>
      <c r="AS36" s="178"/>
      <c r="AW36" s="178"/>
      <c r="BA36" s="179"/>
    </row>
    <row r="37" spans="1:53" s="170" customFormat="1" x14ac:dyDescent="0.15">
      <c r="A37" s="170">
        <v>1990</v>
      </c>
      <c r="B37" s="303"/>
      <c r="C37" s="395" t="s">
        <v>1044</v>
      </c>
      <c r="D37" s="395"/>
      <c r="E37" s="170">
        <f>365-E36</f>
        <v>365</v>
      </c>
      <c r="F37" s="243"/>
      <c r="G37" s="232">
        <v>0</v>
      </c>
      <c r="H37" s="170">
        <v>0</v>
      </c>
      <c r="I37" s="170">
        <v>0</v>
      </c>
      <c r="J37" s="240">
        <v>12</v>
      </c>
      <c r="K37" s="213">
        <f t="shared" si="5"/>
        <v>0</v>
      </c>
      <c r="L37" s="213">
        <f t="shared" si="6"/>
        <v>0</v>
      </c>
      <c r="M37" s="213">
        <f t="shared" si="7"/>
        <v>0</v>
      </c>
      <c r="N37" s="234">
        <f>SUM(K37:M37)</f>
        <v>0</v>
      </c>
      <c r="O37" s="212">
        <v>0</v>
      </c>
      <c r="P37" s="213">
        <v>0</v>
      </c>
      <c r="Q37" s="213">
        <v>0</v>
      </c>
      <c r="R37" s="214">
        <f t="shared" ref="R37:R86" si="8">SUM(O37:Q37)</f>
        <v>0</v>
      </c>
      <c r="S37" s="170">
        <v>1</v>
      </c>
      <c r="T37" s="283"/>
      <c r="U37" s="281"/>
      <c r="V37" s="417" t="s">
        <v>1309</v>
      </c>
      <c r="W37" s="418"/>
      <c r="X37" s="418"/>
      <c r="Y37" s="419"/>
      <c r="AD37" s="177"/>
      <c r="AG37" s="178"/>
      <c r="AL37" s="177"/>
      <c r="AO37" s="178"/>
      <c r="AP37" s="177"/>
      <c r="AS37" s="178"/>
      <c r="AW37" s="178"/>
      <c r="BA37" s="179"/>
    </row>
    <row r="38" spans="1:53" s="170" customFormat="1" x14ac:dyDescent="0.15">
      <c r="A38" s="170">
        <v>1991</v>
      </c>
      <c r="B38" s="303"/>
      <c r="C38" s="395" t="s">
        <v>1044</v>
      </c>
      <c r="D38" s="395"/>
      <c r="E38" s="170">
        <v>138</v>
      </c>
      <c r="F38" s="243"/>
      <c r="G38" s="232">
        <v>0</v>
      </c>
      <c r="H38" s="170">
        <v>0</v>
      </c>
      <c r="I38" s="170">
        <v>0</v>
      </c>
      <c r="J38" s="240">
        <v>12</v>
      </c>
      <c r="K38" s="213">
        <f t="shared" si="5"/>
        <v>0</v>
      </c>
      <c r="L38" s="213">
        <f t="shared" si="6"/>
        <v>0</v>
      </c>
      <c r="M38" s="213">
        <f t="shared" si="7"/>
        <v>0</v>
      </c>
      <c r="N38" s="234">
        <f t="shared" ref="N38:N87" si="9">SUM(K38:M38)</f>
        <v>0</v>
      </c>
      <c r="O38" s="212">
        <v>0</v>
      </c>
      <c r="P38" s="213">
        <v>0</v>
      </c>
      <c r="Q38" s="213">
        <v>0</v>
      </c>
      <c r="R38" s="214">
        <f t="shared" si="8"/>
        <v>0</v>
      </c>
      <c r="S38" s="170">
        <v>1</v>
      </c>
      <c r="T38" s="283"/>
      <c r="U38" s="281"/>
      <c r="V38" s="417" t="s">
        <v>1309</v>
      </c>
      <c r="W38" s="418"/>
      <c r="X38" s="418"/>
      <c r="Y38" s="419"/>
      <c r="AD38" s="177"/>
      <c r="AG38" s="178"/>
      <c r="AL38" s="177"/>
      <c r="AO38" s="178"/>
      <c r="AP38" s="177"/>
      <c r="AS38" s="178"/>
      <c r="AW38" s="178"/>
      <c r="BA38" s="179"/>
    </row>
    <row r="39" spans="1:53" s="170" customFormat="1" x14ac:dyDescent="0.15">
      <c r="A39" s="170">
        <v>1991</v>
      </c>
      <c r="B39" s="303">
        <v>33377</v>
      </c>
      <c r="C39" s="395" t="s">
        <v>1044</v>
      </c>
      <c r="D39" s="395"/>
      <c r="E39" s="170">
        <f>365-E38</f>
        <v>227</v>
      </c>
      <c r="F39" s="243" t="s">
        <v>327</v>
      </c>
      <c r="G39" s="232">
        <v>0</v>
      </c>
      <c r="H39" s="170">
        <v>0</v>
      </c>
      <c r="I39" s="170">
        <v>0</v>
      </c>
      <c r="J39" s="240">
        <v>12</v>
      </c>
      <c r="K39" s="213">
        <f t="shared" ref="K39:K42" si="10">G39/J39*100</f>
        <v>0</v>
      </c>
      <c r="L39" s="213">
        <f t="shared" ref="L39:L42" si="11">H39/J39*100</f>
        <v>0</v>
      </c>
      <c r="M39" s="213">
        <f t="shared" ref="M39:M42" si="12">I39/J39*100</f>
        <v>0</v>
      </c>
      <c r="N39" s="234">
        <f t="shared" si="9"/>
        <v>0</v>
      </c>
      <c r="O39" s="212">
        <v>0</v>
      </c>
      <c r="P39" s="213">
        <v>0</v>
      </c>
      <c r="Q39" s="213">
        <v>0</v>
      </c>
      <c r="R39" s="214">
        <f t="shared" si="8"/>
        <v>0</v>
      </c>
      <c r="S39" s="170">
        <v>1</v>
      </c>
      <c r="T39" s="283">
        <v>33377</v>
      </c>
      <c r="U39" s="281"/>
      <c r="V39" s="417" t="s">
        <v>1309</v>
      </c>
      <c r="W39" s="418"/>
      <c r="X39" s="418"/>
      <c r="Y39" s="419"/>
      <c r="AD39" s="177"/>
      <c r="AG39" s="178"/>
      <c r="AL39" s="177"/>
      <c r="AO39" s="178"/>
      <c r="AP39" s="177"/>
      <c r="AS39" s="178"/>
      <c r="AW39" s="178"/>
      <c r="BA39" s="179"/>
    </row>
    <row r="40" spans="1:53" s="170" customFormat="1" x14ac:dyDescent="0.15">
      <c r="A40" s="170">
        <v>1992</v>
      </c>
      <c r="B40" s="281"/>
      <c r="C40" s="395" t="s">
        <v>1044</v>
      </c>
      <c r="D40" s="395"/>
      <c r="E40" s="170">
        <v>0</v>
      </c>
      <c r="G40" s="232">
        <v>0</v>
      </c>
      <c r="H40" s="170">
        <v>0</v>
      </c>
      <c r="I40" s="170">
        <v>0</v>
      </c>
      <c r="J40" s="240">
        <v>12</v>
      </c>
      <c r="K40" s="213">
        <f t="shared" si="10"/>
        <v>0</v>
      </c>
      <c r="L40" s="213">
        <f t="shared" si="11"/>
        <v>0</v>
      </c>
      <c r="M40" s="213">
        <f t="shared" si="12"/>
        <v>0</v>
      </c>
      <c r="N40" s="234">
        <f t="shared" si="9"/>
        <v>0</v>
      </c>
      <c r="O40" s="212">
        <v>0</v>
      </c>
      <c r="P40" s="213">
        <v>0</v>
      </c>
      <c r="Q40" s="213">
        <v>0</v>
      </c>
      <c r="R40" s="214">
        <f t="shared" si="8"/>
        <v>0</v>
      </c>
      <c r="S40" s="170">
        <v>1</v>
      </c>
      <c r="T40" s="283"/>
      <c r="U40" s="281"/>
      <c r="V40" s="417" t="s">
        <v>1309</v>
      </c>
      <c r="W40" s="418"/>
      <c r="X40" s="418"/>
      <c r="Y40" s="419"/>
      <c r="AD40" s="177"/>
      <c r="AG40" s="178"/>
      <c r="AL40" s="177"/>
      <c r="AO40" s="178"/>
      <c r="AP40" s="177"/>
      <c r="AS40" s="178"/>
      <c r="AW40" s="178"/>
      <c r="BA40" s="179"/>
    </row>
    <row r="41" spans="1:53" s="170" customFormat="1" x14ac:dyDescent="0.15">
      <c r="A41" s="170">
        <v>1992</v>
      </c>
      <c r="B41" s="281"/>
      <c r="C41" s="395" t="s">
        <v>1044</v>
      </c>
      <c r="D41" s="395"/>
      <c r="E41" s="170">
        <v>366</v>
      </c>
      <c r="G41" s="232">
        <v>0</v>
      </c>
      <c r="H41" s="170">
        <v>0</v>
      </c>
      <c r="I41" s="170">
        <v>0</v>
      </c>
      <c r="J41" s="240">
        <v>12</v>
      </c>
      <c r="K41" s="213">
        <f t="shared" si="10"/>
        <v>0</v>
      </c>
      <c r="L41" s="213">
        <f t="shared" si="11"/>
        <v>0</v>
      </c>
      <c r="M41" s="213">
        <f t="shared" si="12"/>
        <v>0</v>
      </c>
      <c r="N41" s="234">
        <f t="shared" si="9"/>
        <v>0</v>
      </c>
      <c r="O41" s="212">
        <v>0</v>
      </c>
      <c r="P41" s="213">
        <v>0</v>
      </c>
      <c r="Q41" s="213">
        <v>0</v>
      </c>
      <c r="R41" s="214">
        <f t="shared" si="8"/>
        <v>0</v>
      </c>
      <c r="S41" s="170">
        <v>1</v>
      </c>
      <c r="T41" s="283"/>
      <c r="U41" s="281"/>
      <c r="V41" s="417" t="s">
        <v>1309</v>
      </c>
      <c r="W41" s="418"/>
      <c r="X41" s="418"/>
      <c r="Y41" s="419"/>
      <c r="AD41" s="177"/>
      <c r="AG41" s="178"/>
      <c r="AL41" s="177"/>
      <c r="AO41" s="178"/>
      <c r="AP41" s="177"/>
      <c r="AS41" s="178"/>
      <c r="AW41" s="178"/>
      <c r="BA41" s="179"/>
    </row>
    <row r="42" spans="1:53" s="170" customFormat="1" x14ac:dyDescent="0.15">
      <c r="A42" s="170">
        <v>1993</v>
      </c>
      <c r="B42" s="281"/>
      <c r="C42" s="395" t="s">
        <v>1044</v>
      </c>
      <c r="D42" s="395"/>
      <c r="E42" s="170">
        <v>55</v>
      </c>
      <c r="G42" s="232">
        <v>0</v>
      </c>
      <c r="H42" s="170">
        <v>0</v>
      </c>
      <c r="I42" s="170">
        <v>0</v>
      </c>
      <c r="J42" s="240">
        <v>12</v>
      </c>
      <c r="K42" s="213">
        <f t="shared" si="10"/>
        <v>0</v>
      </c>
      <c r="L42" s="213">
        <f t="shared" si="11"/>
        <v>0</v>
      </c>
      <c r="M42" s="213">
        <f t="shared" si="12"/>
        <v>0</v>
      </c>
      <c r="N42" s="234">
        <f t="shared" si="9"/>
        <v>0</v>
      </c>
      <c r="O42" s="212">
        <v>0</v>
      </c>
      <c r="P42" s="213">
        <v>0</v>
      </c>
      <c r="Q42" s="213">
        <v>0</v>
      </c>
      <c r="R42" s="214">
        <f t="shared" si="8"/>
        <v>0</v>
      </c>
      <c r="S42" s="170">
        <v>1</v>
      </c>
      <c r="T42" s="283"/>
      <c r="U42" s="281"/>
      <c r="V42" s="417" t="s">
        <v>1309</v>
      </c>
      <c r="W42" s="418"/>
      <c r="X42" s="418"/>
      <c r="Y42" s="419"/>
      <c r="AD42" s="177"/>
      <c r="AG42" s="178"/>
      <c r="AL42" s="177"/>
      <c r="AO42" s="178"/>
      <c r="AP42" s="177"/>
      <c r="AS42" s="178"/>
      <c r="AW42" s="178"/>
      <c r="BA42" s="179"/>
    </row>
    <row r="43" spans="1:53" s="28" customFormat="1" x14ac:dyDescent="0.15">
      <c r="A43" s="28">
        <v>1993</v>
      </c>
      <c r="B43" s="293">
        <v>34025</v>
      </c>
      <c r="C43" s="394" t="s">
        <v>1049</v>
      </c>
      <c r="D43" s="394"/>
      <c r="E43" s="28">
        <f>365-E42</f>
        <v>310</v>
      </c>
      <c r="F43" s="28">
        <v>1</v>
      </c>
      <c r="G43" s="65">
        <v>10</v>
      </c>
      <c r="J43" s="72">
        <v>12</v>
      </c>
      <c r="K43" s="46">
        <f t="shared" ref="K43:K65" si="13">G43/J43*100</f>
        <v>83.333333333333343</v>
      </c>
      <c r="L43" s="46">
        <f t="shared" ref="L43:L65" si="14">H43/J43*100</f>
        <v>0</v>
      </c>
      <c r="M43" s="46">
        <f t="shared" ref="M43:M65" si="15">I43/J43*100</f>
        <v>0</v>
      </c>
      <c r="N43" s="67">
        <f t="shared" si="9"/>
        <v>83.333333333333343</v>
      </c>
      <c r="O43" s="45">
        <v>55.3</v>
      </c>
      <c r="P43" s="46"/>
      <c r="Q43" s="46"/>
      <c r="R43" s="47">
        <f t="shared" si="8"/>
        <v>55.3</v>
      </c>
      <c r="S43" s="28">
        <v>1</v>
      </c>
      <c r="T43" s="284"/>
      <c r="U43" s="293">
        <v>34025</v>
      </c>
      <c r="V43" s="37" t="s">
        <v>1040</v>
      </c>
      <c r="W43" s="28" t="s">
        <v>74</v>
      </c>
      <c r="X43" s="28" t="s">
        <v>11</v>
      </c>
      <c r="Y43" s="38">
        <v>35.700000000000003</v>
      </c>
      <c r="Z43" s="28" t="s">
        <v>1041</v>
      </c>
      <c r="AA43" s="28" t="s">
        <v>22</v>
      </c>
      <c r="AB43" s="28" t="s">
        <v>11</v>
      </c>
      <c r="AC43" s="28">
        <v>19.600000000000001</v>
      </c>
      <c r="AD43" s="37"/>
      <c r="AG43" s="38"/>
      <c r="AL43" s="37"/>
      <c r="AO43" s="38"/>
      <c r="AP43" s="37"/>
      <c r="AS43" s="38"/>
      <c r="AW43" s="38"/>
      <c r="BA43" s="39"/>
    </row>
    <row r="44" spans="1:53" s="28" customFormat="1" x14ac:dyDescent="0.15">
      <c r="A44" s="28">
        <v>1994</v>
      </c>
      <c r="B44" s="293"/>
      <c r="C44" s="394" t="s">
        <v>1049</v>
      </c>
      <c r="D44" s="394"/>
      <c r="E44" s="28">
        <v>0</v>
      </c>
      <c r="G44" s="65">
        <v>10</v>
      </c>
      <c r="J44" s="72">
        <v>12</v>
      </c>
      <c r="K44" s="46">
        <f t="shared" si="13"/>
        <v>83.333333333333343</v>
      </c>
      <c r="L44" s="46">
        <f t="shared" si="14"/>
        <v>0</v>
      </c>
      <c r="M44" s="46">
        <f t="shared" si="15"/>
        <v>0</v>
      </c>
      <c r="N44" s="67">
        <f t="shared" si="9"/>
        <v>83.333333333333343</v>
      </c>
      <c r="O44" s="45">
        <v>55.3</v>
      </c>
      <c r="P44" s="46"/>
      <c r="Q44" s="46"/>
      <c r="R44" s="47">
        <f t="shared" si="8"/>
        <v>55.3</v>
      </c>
      <c r="S44" s="28">
        <v>1</v>
      </c>
      <c r="T44" s="284"/>
      <c r="U44" s="293"/>
      <c r="V44" s="37" t="s">
        <v>1040</v>
      </c>
      <c r="W44" s="28" t="s">
        <v>74</v>
      </c>
      <c r="X44" s="28" t="s">
        <v>11</v>
      </c>
      <c r="Y44" s="38">
        <v>35.700000000000003</v>
      </c>
      <c r="Z44" s="28" t="s">
        <v>1041</v>
      </c>
      <c r="AA44" s="28" t="s">
        <v>22</v>
      </c>
      <c r="AB44" s="28" t="s">
        <v>11</v>
      </c>
      <c r="AC44" s="28">
        <v>19.600000000000001</v>
      </c>
      <c r="AD44" s="37"/>
      <c r="AG44" s="38"/>
      <c r="AL44" s="37"/>
      <c r="AO44" s="38"/>
      <c r="AP44" s="37"/>
      <c r="AS44" s="38"/>
      <c r="AW44" s="38"/>
      <c r="BA44" s="39"/>
    </row>
    <row r="45" spans="1:53" s="28" customFormat="1" x14ac:dyDescent="0.15">
      <c r="A45" s="28">
        <v>1994</v>
      </c>
      <c r="B45" s="293"/>
      <c r="C45" s="394" t="s">
        <v>1049</v>
      </c>
      <c r="D45" s="394"/>
      <c r="E45" s="28">
        <f>365-E44</f>
        <v>365</v>
      </c>
      <c r="G45" s="65">
        <v>10</v>
      </c>
      <c r="J45" s="72">
        <v>12</v>
      </c>
      <c r="K45" s="46">
        <f t="shared" si="13"/>
        <v>83.333333333333343</v>
      </c>
      <c r="L45" s="46">
        <f t="shared" si="14"/>
        <v>0</v>
      </c>
      <c r="M45" s="46">
        <f t="shared" si="15"/>
        <v>0</v>
      </c>
      <c r="N45" s="67">
        <f t="shared" si="9"/>
        <v>83.333333333333343</v>
      </c>
      <c r="O45" s="45">
        <v>55.3</v>
      </c>
      <c r="P45" s="46"/>
      <c r="Q45" s="46"/>
      <c r="R45" s="47">
        <f t="shared" si="8"/>
        <v>55.3</v>
      </c>
      <c r="S45" s="28">
        <v>1</v>
      </c>
      <c r="T45" s="284"/>
      <c r="U45" s="293"/>
      <c r="V45" s="37" t="s">
        <v>1040</v>
      </c>
      <c r="W45" s="28" t="s">
        <v>74</v>
      </c>
      <c r="X45" s="28" t="s">
        <v>11</v>
      </c>
      <c r="Y45" s="38">
        <v>35.700000000000003</v>
      </c>
      <c r="Z45" s="28" t="s">
        <v>1041</v>
      </c>
      <c r="AA45" s="28" t="s">
        <v>22</v>
      </c>
      <c r="AB45" s="28" t="s">
        <v>11</v>
      </c>
      <c r="AC45" s="28">
        <v>19.600000000000001</v>
      </c>
      <c r="AD45" s="37"/>
      <c r="AG45" s="38"/>
      <c r="AL45" s="37"/>
      <c r="AO45" s="38"/>
      <c r="AP45" s="37"/>
      <c r="AS45" s="38"/>
      <c r="AW45" s="38"/>
      <c r="BA45" s="39"/>
    </row>
    <row r="46" spans="1:53" s="28" customFormat="1" x14ac:dyDescent="0.15">
      <c r="A46" s="28">
        <v>1995</v>
      </c>
      <c r="B46" s="293"/>
      <c r="C46" s="394" t="s">
        <v>1049</v>
      </c>
      <c r="D46" s="394"/>
      <c r="E46" s="28">
        <v>117</v>
      </c>
      <c r="G46" s="65">
        <v>10</v>
      </c>
      <c r="J46" s="72">
        <v>12</v>
      </c>
      <c r="K46" s="46">
        <f t="shared" si="13"/>
        <v>83.333333333333343</v>
      </c>
      <c r="L46" s="46">
        <f t="shared" si="14"/>
        <v>0</v>
      </c>
      <c r="M46" s="46">
        <f t="shared" si="15"/>
        <v>0</v>
      </c>
      <c r="N46" s="67">
        <f t="shared" si="9"/>
        <v>83.333333333333343</v>
      </c>
      <c r="O46" s="45">
        <v>55.3</v>
      </c>
      <c r="P46" s="46"/>
      <c r="Q46" s="46"/>
      <c r="R46" s="47">
        <f t="shared" si="8"/>
        <v>55.3</v>
      </c>
      <c r="S46" s="28">
        <v>1</v>
      </c>
      <c r="T46" s="284"/>
      <c r="U46" s="293"/>
      <c r="V46" s="37" t="s">
        <v>1040</v>
      </c>
      <c r="W46" s="28" t="s">
        <v>74</v>
      </c>
      <c r="X46" s="28" t="s">
        <v>11</v>
      </c>
      <c r="Y46" s="38">
        <v>35.700000000000003</v>
      </c>
      <c r="Z46" s="28" t="s">
        <v>1041</v>
      </c>
      <c r="AA46" s="28" t="s">
        <v>22</v>
      </c>
      <c r="AB46" s="28" t="s">
        <v>11</v>
      </c>
      <c r="AC46" s="28">
        <v>19.600000000000001</v>
      </c>
      <c r="AD46" s="37"/>
      <c r="AG46" s="38"/>
      <c r="AL46" s="37"/>
      <c r="AO46" s="38"/>
      <c r="AP46" s="37"/>
      <c r="AS46" s="38"/>
      <c r="AW46" s="38"/>
      <c r="BA46" s="39"/>
    </row>
    <row r="47" spans="1:53" s="28" customFormat="1" x14ac:dyDescent="0.15">
      <c r="A47" s="28">
        <v>1995</v>
      </c>
      <c r="B47" s="301">
        <v>34817</v>
      </c>
      <c r="C47" s="394" t="s">
        <v>1049</v>
      </c>
      <c r="D47" s="394"/>
      <c r="E47" s="28">
        <f>365-E46</f>
        <v>248</v>
      </c>
      <c r="F47" s="83">
        <v>0</v>
      </c>
      <c r="G47" s="65">
        <v>11</v>
      </c>
      <c r="J47" s="72">
        <v>12</v>
      </c>
      <c r="K47" s="46">
        <f t="shared" si="13"/>
        <v>91.666666666666657</v>
      </c>
      <c r="L47" s="46">
        <f t="shared" si="14"/>
        <v>0</v>
      </c>
      <c r="M47" s="46">
        <f t="shared" si="15"/>
        <v>0</v>
      </c>
      <c r="N47" s="67">
        <f t="shared" si="9"/>
        <v>91.666666666666657</v>
      </c>
      <c r="O47" s="45">
        <v>55.3</v>
      </c>
      <c r="P47" s="46"/>
      <c r="Q47" s="46"/>
      <c r="R47" s="47">
        <f t="shared" si="8"/>
        <v>55.3</v>
      </c>
      <c r="S47" s="28">
        <v>1</v>
      </c>
      <c r="T47" s="284"/>
      <c r="U47" s="293"/>
      <c r="V47" s="37" t="s">
        <v>1040</v>
      </c>
      <c r="W47" s="28" t="s">
        <v>74</v>
      </c>
      <c r="X47" s="28" t="s">
        <v>11</v>
      </c>
      <c r="Y47" s="38">
        <v>35.700000000000003</v>
      </c>
      <c r="Z47" s="28" t="s">
        <v>1041</v>
      </c>
      <c r="AA47" s="28" t="s">
        <v>22</v>
      </c>
      <c r="AB47" s="28" t="s">
        <v>11</v>
      </c>
      <c r="AC47" s="28">
        <v>19.600000000000001</v>
      </c>
      <c r="AD47" s="37"/>
      <c r="AG47" s="38"/>
      <c r="AL47" s="37"/>
      <c r="AO47" s="38"/>
      <c r="AP47" s="37"/>
      <c r="AS47" s="38"/>
      <c r="AW47" s="38"/>
      <c r="BA47" s="39"/>
    </row>
    <row r="48" spans="1:53" s="28" customFormat="1" x14ac:dyDescent="0.15">
      <c r="A48" s="28">
        <v>1996</v>
      </c>
      <c r="B48" s="293"/>
      <c r="C48" s="394" t="s">
        <v>1049</v>
      </c>
      <c r="D48" s="394"/>
      <c r="E48" s="28">
        <v>146</v>
      </c>
      <c r="G48" s="65">
        <v>11</v>
      </c>
      <c r="J48" s="72">
        <v>12</v>
      </c>
      <c r="K48" s="46">
        <f t="shared" si="13"/>
        <v>91.666666666666657</v>
      </c>
      <c r="L48" s="46">
        <f t="shared" si="14"/>
        <v>0</v>
      </c>
      <c r="M48" s="46">
        <f t="shared" si="15"/>
        <v>0</v>
      </c>
      <c r="N48" s="67">
        <f t="shared" si="9"/>
        <v>91.666666666666657</v>
      </c>
      <c r="O48" s="45">
        <v>55.3</v>
      </c>
      <c r="P48" s="46"/>
      <c r="Q48" s="46"/>
      <c r="R48" s="47">
        <f t="shared" si="8"/>
        <v>55.3</v>
      </c>
      <c r="S48" s="28">
        <v>1</v>
      </c>
      <c r="T48" s="284"/>
      <c r="U48" s="293"/>
      <c r="V48" s="37" t="s">
        <v>1040</v>
      </c>
      <c r="W48" s="28" t="s">
        <v>74</v>
      </c>
      <c r="X48" s="28" t="s">
        <v>11</v>
      </c>
      <c r="Y48" s="38">
        <v>35.700000000000003</v>
      </c>
      <c r="Z48" s="28" t="s">
        <v>1041</v>
      </c>
      <c r="AA48" s="28" t="s">
        <v>22</v>
      </c>
      <c r="AB48" s="28" t="s">
        <v>11</v>
      </c>
      <c r="AC48" s="28">
        <v>19.600000000000001</v>
      </c>
      <c r="AD48" s="37"/>
      <c r="AG48" s="38"/>
      <c r="AL48" s="37"/>
      <c r="AO48" s="38"/>
      <c r="AP48" s="37"/>
      <c r="AS48" s="38"/>
      <c r="AW48" s="38"/>
      <c r="BA48" s="39"/>
    </row>
    <row r="49" spans="1:53" s="28" customFormat="1" x14ac:dyDescent="0.15">
      <c r="A49" s="28">
        <v>1996</v>
      </c>
      <c r="B49" s="301">
        <v>35211</v>
      </c>
      <c r="C49" s="394" t="s">
        <v>1049</v>
      </c>
      <c r="D49" s="394"/>
      <c r="E49" s="28">
        <v>220</v>
      </c>
      <c r="F49" s="83" t="s">
        <v>327</v>
      </c>
      <c r="G49" s="65">
        <v>11</v>
      </c>
      <c r="J49" s="72">
        <v>12</v>
      </c>
      <c r="K49" s="46">
        <f t="shared" si="13"/>
        <v>91.666666666666657</v>
      </c>
      <c r="L49" s="46">
        <f t="shared" si="14"/>
        <v>0</v>
      </c>
      <c r="M49" s="46">
        <f t="shared" si="15"/>
        <v>0</v>
      </c>
      <c r="N49" s="67">
        <f t="shared" si="9"/>
        <v>91.666666666666657</v>
      </c>
      <c r="O49" s="45">
        <v>53.6</v>
      </c>
      <c r="P49" s="46"/>
      <c r="Q49" s="46"/>
      <c r="R49" s="47">
        <f t="shared" si="8"/>
        <v>53.6</v>
      </c>
      <c r="S49" s="28">
        <v>1</v>
      </c>
      <c r="T49" s="284">
        <v>35211</v>
      </c>
      <c r="U49" s="293"/>
      <c r="V49" s="37" t="s">
        <v>1040</v>
      </c>
      <c r="W49" s="28" t="s">
        <v>74</v>
      </c>
      <c r="X49" s="28" t="s">
        <v>11</v>
      </c>
      <c r="Y49" s="38">
        <v>35.700000000000003</v>
      </c>
      <c r="Z49" s="28" t="s">
        <v>1041</v>
      </c>
      <c r="AA49" s="28" t="s">
        <v>22</v>
      </c>
      <c r="AB49" s="28" t="s">
        <v>11</v>
      </c>
      <c r="AC49" s="28">
        <v>17.899999999999999</v>
      </c>
      <c r="AD49" s="37"/>
      <c r="AG49" s="38"/>
      <c r="AL49" s="37"/>
      <c r="AO49" s="38"/>
      <c r="AP49" s="37"/>
      <c r="AS49" s="38"/>
      <c r="AW49" s="38"/>
      <c r="BA49" s="39"/>
    </row>
    <row r="50" spans="1:53" s="28" customFormat="1" x14ac:dyDescent="0.15">
      <c r="A50" s="28">
        <v>1997</v>
      </c>
      <c r="B50" s="293"/>
      <c r="C50" s="394" t="s">
        <v>1049</v>
      </c>
      <c r="D50" s="394"/>
      <c r="E50" s="28">
        <v>315</v>
      </c>
      <c r="G50" s="65">
        <v>11</v>
      </c>
      <c r="J50" s="72">
        <v>12</v>
      </c>
      <c r="K50" s="46">
        <f t="shared" si="13"/>
        <v>91.666666666666657</v>
      </c>
      <c r="L50" s="46">
        <f t="shared" si="14"/>
        <v>0</v>
      </c>
      <c r="M50" s="46">
        <f t="shared" si="15"/>
        <v>0</v>
      </c>
      <c r="N50" s="67">
        <f t="shared" si="9"/>
        <v>91.666666666666657</v>
      </c>
      <c r="O50" s="45">
        <v>53.6</v>
      </c>
      <c r="P50" s="46"/>
      <c r="Q50" s="46"/>
      <c r="R50" s="47">
        <f t="shared" si="8"/>
        <v>53.6</v>
      </c>
      <c r="S50" s="28">
        <v>1</v>
      </c>
      <c r="T50" s="284"/>
      <c r="U50" s="293"/>
      <c r="V50" s="37" t="s">
        <v>1040</v>
      </c>
      <c r="W50" s="28" t="s">
        <v>74</v>
      </c>
      <c r="X50" s="28" t="s">
        <v>11</v>
      </c>
      <c r="Y50" s="38">
        <v>35.700000000000003</v>
      </c>
      <c r="Z50" s="28" t="s">
        <v>1041</v>
      </c>
      <c r="AA50" s="28" t="s">
        <v>22</v>
      </c>
      <c r="AB50" s="28" t="s">
        <v>11</v>
      </c>
      <c r="AC50" s="28">
        <v>17.899999999999999</v>
      </c>
      <c r="AD50" s="37"/>
      <c r="AG50" s="38"/>
      <c r="AL50" s="37"/>
      <c r="AO50" s="38"/>
      <c r="AP50" s="37"/>
      <c r="AS50" s="38"/>
      <c r="AW50" s="38"/>
      <c r="BA50" s="39"/>
    </row>
    <row r="51" spans="1:53" s="28" customFormat="1" x14ac:dyDescent="0.15">
      <c r="A51" s="28">
        <v>1997</v>
      </c>
      <c r="B51" s="301">
        <v>35746</v>
      </c>
      <c r="C51" s="394" t="s">
        <v>1049</v>
      </c>
      <c r="D51" s="394"/>
      <c r="E51" s="28">
        <f>365-E50</f>
        <v>50</v>
      </c>
      <c r="F51" s="83">
        <v>0</v>
      </c>
      <c r="G51" s="65">
        <v>11</v>
      </c>
      <c r="J51" s="72">
        <v>12</v>
      </c>
      <c r="K51" s="46">
        <f t="shared" si="13"/>
        <v>91.666666666666657</v>
      </c>
      <c r="L51" s="46">
        <f t="shared" si="14"/>
        <v>0</v>
      </c>
      <c r="M51" s="46">
        <f t="shared" si="15"/>
        <v>0</v>
      </c>
      <c r="N51" s="67">
        <f t="shared" si="9"/>
        <v>91.666666666666657</v>
      </c>
      <c r="O51" s="45">
        <v>35.700000000000003</v>
      </c>
      <c r="P51" s="46"/>
      <c r="Q51" s="46"/>
      <c r="R51" s="47">
        <f t="shared" si="8"/>
        <v>35.700000000000003</v>
      </c>
      <c r="S51" s="28">
        <v>1</v>
      </c>
      <c r="T51" s="284"/>
      <c r="U51" s="293"/>
      <c r="V51" s="37" t="s">
        <v>1040</v>
      </c>
      <c r="W51" s="28" t="s">
        <v>74</v>
      </c>
      <c r="X51" s="28" t="s">
        <v>11</v>
      </c>
      <c r="Y51" s="38">
        <v>35.700000000000003</v>
      </c>
      <c r="AD51" s="37"/>
      <c r="AG51" s="38"/>
      <c r="AL51" s="37"/>
      <c r="AO51" s="38"/>
      <c r="AP51" s="37"/>
      <c r="AS51" s="38"/>
      <c r="AW51" s="38"/>
      <c r="BA51" s="39"/>
    </row>
    <row r="52" spans="1:53" s="28" customFormat="1" x14ac:dyDescent="0.15">
      <c r="A52" s="28">
        <v>1998</v>
      </c>
      <c r="B52" s="293"/>
      <c r="C52" s="394" t="s">
        <v>1049</v>
      </c>
      <c r="D52" s="394"/>
      <c r="E52" s="28">
        <v>58</v>
      </c>
      <c r="G52" s="65">
        <v>11</v>
      </c>
      <c r="J52" s="72">
        <v>12</v>
      </c>
      <c r="K52" s="46">
        <f t="shared" si="13"/>
        <v>91.666666666666657</v>
      </c>
      <c r="L52" s="46">
        <f t="shared" si="14"/>
        <v>0</v>
      </c>
      <c r="M52" s="46">
        <f t="shared" si="15"/>
        <v>0</v>
      </c>
      <c r="N52" s="67">
        <f t="shared" si="9"/>
        <v>91.666666666666657</v>
      </c>
      <c r="O52" s="45">
        <v>35.700000000000003</v>
      </c>
      <c r="P52" s="46"/>
      <c r="Q52" s="46"/>
      <c r="R52" s="47">
        <f t="shared" si="8"/>
        <v>35.700000000000003</v>
      </c>
      <c r="S52" s="28">
        <v>1</v>
      </c>
      <c r="T52" s="284"/>
      <c r="U52" s="293"/>
      <c r="V52" s="37" t="s">
        <v>1040</v>
      </c>
      <c r="W52" s="28" t="s">
        <v>74</v>
      </c>
      <c r="X52" s="28" t="s">
        <v>11</v>
      </c>
      <c r="Y52" s="38">
        <v>35.700000000000003</v>
      </c>
      <c r="AD52" s="37"/>
      <c r="AG52" s="38"/>
      <c r="AL52" s="37"/>
      <c r="AO52" s="38"/>
      <c r="AP52" s="37"/>
      <c r="AS52" s="38"/>
      <c r="AW52" s="38"/>
      <c r="BA52" s="39"/>
    </row>
    <row r="53" spans="1:53" s="170" customFormat="1" x14ac:dyDescent="0.15">
      <c r="A53" s="170">
        <v>1998</v>
      </c>
      <c r="B53" s="281">
        <v>35854</v>
      </c>
      <c r="C53" s="395" t="s">
        <v>1046</v>
      </c>
      <c r="D53" s="395"/>
      <c r="E53" s="170">
        <f>365-E52</f>
        <v>307</v>
      </c>
      <c r="F53" s="170">
        <v>1</v>
      </c>
      <c r="G53" s="232">
        <v>10</v>
      </c>
      <c r="I53" s="170">
        <v>2</v>
      </c>
      <c r="J53" s="240">
        <v>12</v>
      </c>
      <c r="K53" s="213">
        <f t="shared" si="13"/>
        <v>83.333333333333343</v>
      </c>
      <c r="L53" s="213">
        <f t="shared" si="14"/>
        <v>0</v>
      </c>
      <c r="M53" s="213">
        <f t="shared" si="15"/>
        <v>16.666666666666664</v>
      </c>
      <c r="N53" s="234">
        <f t="shared" si="9"/>
        <v>100</v>
      </c>
      <c r="O53" s="212">
        <v>57.2</v>
      </c>
      <c r="P53" s="213"/>
      <c r="Q53" s="213">
        <v>8.9</v>
      </c>
      <c r="R53" s="214">
        <f t="shared" si="8"/>
        <v>66.100000000000009</v>
      </c>
      <c r="S53" s="170">
        <v>1</v>
      </c>
      <c r="T53" s="283"/>
      <c r="U53" s="281">
        <v>35854</v>
      </c>
      <c r="V53" s="177" t="s">
        <v>1040</v>
      </c>
      <c r="W53" s="170" t="s">
        <v>74</v>
      </c>
      <c r="X53" s="170" t="s">
        <v>11</v>
      </c>
      <c r="Y53" s="178">
        <v>35.700000000000003</v>
      </c>
      <c r="Z53" s="170" t="s">
        <v>1041</v>
      </c>
      <c r="AA53" s="170" t="s">
        <v>22</v>
      </c>
      <c r="AB53" s="170" t="s">
        <v>11</v>
      </c>
      <c r="AC53" s="170">
        <v>17.899999999999999</v>
      </c>
      <c r="AD53" s="177" t="s">
        <v>1042</v>
      </c>
      <c r="AE53" s="170" t="s">
        <v>87</v>
      </c>
      <c r="AF53" s="170" t="s">
        <v>11</v>
      </c>
      <c r="AG53" s="178">
        <v>3.6</v>
      </c>
      <c r="AH53" s="170" t="s">
        <v>1043</v>
      </c>
      <c r="AI53" s="170" t="s">
        <v>20</v>
      </c>
      <c r="AJ53" s="170" t="s">
        <v>12</v>
      </c>
      <c r="AK53" s="170">
        <v>8.9</v>
      </c>
      <c r="AL53" s="177"/>
      <c r="AO53" s="178"/>
      <c r="AP53" s="177"/>
      <c r="AS53" s="178"/>
      <c r="AW53" s="178"/>
      <c r="BA53" s="179"/>
    </row>
    <row r="54" spans="1:53" s="170" customFormat="1" x14ac:dyDescent="0.15">
      <c r="A54" s="170">
        <v>1999</v>
      </c>
      <c r="B54" s="281"/>
      <c r="C54" s="395" t="s">
        <v>1046</v>
      </c>
      <c r="D54" s="395"/>
      <c r="E54" s="170">
        <v>4</v>
      </c>
      <c r="G54" s="232">
        <v>10</v>
      </c>
      <c r="I54" s="170">
        <v>2</v>
      </c>
      <c r="J54" s="240">
        <v>12</v>
      </c>
      <c r="K54" s="213">
        <f t="shared" si="13"/>
        <v>83.333333333333343</v>
      </c>
      <c r="L54" s="213">
        <f t="shared" si="14"/>
        <v>0</v>
      </c>
      <c r="M54" s="213">
        <f t="shared" si="15"/>
        <v>16.666666666666664</v>
      </c>
      <c r="N54" s="234">
        <f t="shared" si="9"/>
        <v>100</v>
      </c>
      <c r="O54" s="212">
        <v>57.2</v>
      </c>
      <c r="P54" s="213"/>
      <c r="Q54" s="213">
        <v>8.9</v>
      </c>
      <c r="R54" s="214">
        <f t="shared" si="8"/>
        <v>66.100000000000009</v>
      </c>
      <c r="S54" s="170">
        <v>1</v>
      </c>
      <c r="T54" s="283"/>
      <c r="U54" s="281"/>
      <c r="V54" s="177" t="s">
        <v>1040</v>
      </c>
      <c r="W54" s="170" t="s">
        <v>74</v>
      </c>
      <c r="X54" s="170" t="s">
        <v>11</v>
      </c>
      <c r="Y54" s="178">
        <v>35.700000000000003</v>
      </c>
      <c r="Z54" s="170" t="s">
        <v>1041</v>
      </c>
      <c r="AA54" s="170" t="s">
        <v>22</v>
      </c>
      <c r="AB54" s="170" t="s">
        <v>11</v>
      </c>
      <c r="AC54" s="170">
        <v>17.899999999999999</v>
      </c>
      <c r="AD54" s="177" t="s">
        <v>1042</v>
      </c>
      <c r="AE54" s="170" t="s">
        <v>87</v>
      </c>
      <c r="AF54" s="170" t="s">
        <v>11</v>
      </c>
      <c r="AG54" s="178">
        <v>3.6</v>
      </c>
      <c r="AH54" s="170" t="s">
        <v>1043</v>
      </c>
      <c r="AI54" s="170" t="s">
        <v>20</v>
      </c>
      <c r="AJ54" s="170" t="s">
        <v>12</v>
      </c>
      <c r="AK54" s="170">
        <v>8.9</v>
      </c>
      <c r="AL54" s="177"/>
      <c r="AO54" s="178"/>
      <c r="AP54" s="177"/>
      <c r="AS54" s="178"/>
      <c r="AW54" s="178"/>
      <c r="BA54" s="179"/>
    </row>
    <row r="55" spans="1:53" s="170" customFormat="1" x14ac:dyDescent="0.15">
      <c r="A55" s="170">
        <v>1999</v>
      </c>
      <c r="B55" s="303">
        <v>36165</v>
      </c>
      <c r="C55" s="395" t="s">
        <v>1046</v>
      </c>
      <c r="D55" s="395"/>
      <c r="E55" s="170">
        <f>365-E54</f>
        <v>361</v>
      </c>
      <c r="F55" s="243">
        <v>0</v>
      </c>
      <c r="G55" s="232">
        <v>12</v>
      </c>
      <c r="J55" s="240">
        <v>12</v>
      </c>
      <c r="K55" s="213">
        <f t="shared" si="13"/>
        <v>100</v>
      </c>
      <c r="L55" s="213">
        <f t="shared" si="14"/>
        <v>0</v>
      </c>
      <c r="M55" s="213">
        <f t="shared" si="15"/>
        <v>0</v>
      </c>
      <c r="N55" s="234">
        <f t="shared" si="9"/>
        <v>100</v>
      </c>
      <c r="O55" s="212">
        <v>57.2</v>
      </c>
      <c r="P55" s="213"/>
      <c r="Q55" s="213"/>
      <c r="R55" s="214">
        <f t="shared" si="8"/>
        <v>57.2</v>
      </c>
      <c r="S55" s="170">
        <v>1</v>
      </c>
      <c r="T55" s="283"/>
      <c r="U55" s="281"/>
      <c r="V55" s="177" t="s">
        <v>1040</v>
      </c>
      <c r="W55" s="170" t="s">
        <v>74</v>
      </c>
      <c r="X55" s="170" t="s">
        <v>11</v>
      </c>
      <c r="Y55" s="178">
        <v>35.700000000000003</v>
      </c>
      <c r="Z55" s="170" t="s">
        <v>1041</v>
      </c>
      <c r="AA55" s="170" t="s">
        <v>22</v>
      </c>
      <c r="AB55" s="170" t="s">
        <v>11</v>
      </c>
      <c r="AC55" s="170">
        <v>17.899999999999999</v>
      </c>
      <c r="AD55" s="177" t="s">
        <v>1042</v>
      </c>
      <c r="AE55" s="170" t="s">
        <v>87</v>
      </c>
      <c r="AF55" s="170" t="s">
        <v>11</v>
      </c>
      <c r="AG55" s="178">
        <v>3.6</v>
      </c>
      <c r="AL55" s="177"/>
      <c r="AO55" s="178"/>
      <c r="AP55" s="177"/>
      <c r="AS55" s="178"/>
      <c r="AW55" s="178"/>
      <c r="BA55" s="179"/>
    </row>
    <row r="56" spans="1:53" s="170" customFormat="1" x14ac:dyDescent="0.15">
      <c r="A56" s="170">
        <v>2000</v>
      </c>
      <c r="B56" s="281"/>
      <c r="C56" s="395" t="s">
        <v>1046</v>
      </c>
      <c r="D56" s="395"/>
      <c r="E56" s="170">
        <v>0</v>
      </c>
      <c r="G56" s="232">
        <v>12</v>
      </c>
      <c r="J56" s="240">
        <v>12</v>
      </c>
      <c r="K56" s="213">
        <f t="shared" si="13"/>
        <v>100</v>
      </c>
      <c r="L56" s="213">
        <f t="shared" si="14"/>
        <v>0</v>
      </c>
      <c r="M56" s="213">
        <f t="shared" si="15"/>
        <v>0</v>
      </c>
      <c r="N56" s="234">
        <f t="shared" si="9"/>
        <v>100</v>
      </c>
      <c r="O56" s="212">
        <v>57.2</v>
      </c>
      <c r="P56" s="213"/>
      <c r="Q56" s="213"/>
      <c r="R56" s="214">
        <f t="shared" si="8"/>
        <v>57.2</v>
      </c>
      <c r="S56" s="170">
        <v>1</v>
      </c>
      <c r="T56" s="283"/>
      <c r="U56" s="281"/>
      <c r="V56" s="177" t="s">
        <v>1040</v>
      </c>
      <c r="W56" s="170" t="s">
        <v>74</v>
      </c>
      <c r="X56" s="170" t="s">
        <v>11</v>
      </c>
      <c r="Y56" s="178">
        <v>35.700000000000003</v>
      </c>
      <c r="Z56" s="170" t="s">
        <v>1041</v>
      </c>
      <c r="AA56" s="170" t="s">
        <v>22</v>
      </c>
      <c r="AB56" s="170" t="s">
        <v>11</v>
      </c>
      <c r="AC56" s="170">
        <v>17.899999999999999</v>
      </c>
      <c r="AD56" s="177" t="s">
        <v>1042</v>
      </c>
      <c r="AE56" s="170" t="s">
        <v>87</v>
      </c>
      <c r="AF56" s="170" t="s">
        <v>11</v>
      </c>
      <c r="AG56" s="178">
        <v>3.6</v>
      </c>
      <c r="AL56" s="177"/>
      <c r="AO56" s="178"/>
      <c r="AP56" s="177"/>
      <c r="AS56" s="178"/>
      <c r="AW56" s="178"/>
      <c r="BA56" s="179"/>
    </row>
    <row r="57" spans="1:53" s="170" customFormat="1" x14ac:dyDescent="0.15">
      <c r="A57" s="170">
        <v>2000</v>
      </c>
      <c r="B57" s="281"/>
      <c r="C57" s="395" t="s">
        <v>1046</v>
      </c>
      <c r="D57" s="395"/>
      <c r="E57" s="170">
        <v>366</v>
      </c>
      <c r="G57" s="232">
        <v>12</v>
      </c>
      <c r="J57" s="240">
        <v>12</v>
      </c>
      <c r="K57" s="213">
        <f t="shared" si="13"/>
        <v>100</v>
      </c>
      <c r="L57" s="213">
        <f t="shared" si="14"/>
        <v>0</v>
      </c>
      <c r="M57" s="213">
        <f t="shared" si="15"/>
        <v>0</v>
      </c>
      <c r="N57" s="234">
        <f t="shared" si="9"/>
        <v>100</v>
      </c>
      <c r="O57" s="212">
        <v>57.2</v>
      </c>
      <c r="P57" s="213"/>
      <c r="Q57" s="213"/>
      <c r="R57" s="214">
        <f t="shared" si="8"/>
        <v>57.2</v>
      </c>
      <c r="S57" s="170">
        <v>1</v>
      </c>
      <c r="T57" s="283"/>
      <c r="U57" s="281"/>
      <c r="V57" s="177" t="s">
        <v>1040</v>
      </c>
      <c r="W57" s="170" t="s">
        <v>74</v>
      </c>
      <c r="X57" s="170" t="s">
        <v>11</v>
      </c>
      <c r="Y57" s="178">
        <v>35.700000000000003</v>
      </c>
      <c r="Z57" s="170" t="s">
        <v>1041</v>
      </c>
      <c r="AA57" s="170" t="s">
        <v>22</v>
      </c>
      <c r="AB57" s="170" t="s">
        <v>11</v>
      </c>
      <c r="AC57" s="170">
        <v>17.899999999999999</v>
      </c>
      <c r="AD57" s="177" t="s">
        <v>1042</v>
      </c>
      <c r="AE57" s="170" t="s">
        <v>87</v>
      </c>
      <c r="AF57" s="170" t="s">
        <v>11</v>
      </c>
      <c r="AG57" s="178">
        <v>3.6</v>
      </c>
      <c r="AL57" s="177"/>
      <c r="AO57" s="178"/>
      <c r="AP57" s="177"/>
      <c r="AS57" s="178"/>
      <c r="AW57" s="178"/>
      <c r="BA57" s="179"/>
    </row>
    <row r="58" spans="1:53" s="170" customFormat="1" x14ac:dyDescent="0.15">
      <c r="A58" s="170">
        <v>2001</v>
      </c>
      <c r="B58" s="281"/>
      <c r="C58" s="395" t="s">
        <v>1046</v>
      </c>
      <c r="D58" s="395"/>
      <c r="E58" s="170">
        <v>146</v>
      </c>
      <c r="G58" s="232">
        <v>12</v>
      </c>
      <c r="J58" s="240">
        <v>12</v>
      </c>
      <c r="K58" s="213">
        <f t="shared" si="13"/>
        <v>100</v>
      </c>
      <c r="L58" s="213">
        <f t="shared" si="14"/>
        <v>0</v>
      </c>
      <c r="M58" s="213">
        <f t="shared" si="15"/>
        <v>0</v>
      </c>
      <c r="N58" s="234">
        <f t="shared" si="9"/>
        <v>100</v>
      </c>
      <c r="O58" s="212">
        <v>57.2</v>
      </c>
      <c r="P58" s="213"/>
      <c r="Q58" s="213"/>
      <c r="R58" s="214">
        <f t="shared" si="8"/>
        <v>57.2</v>
      </c>
      <c r="S58" s="170">
        <v>1</v>
      </c>
      <c r="T58" s="283"/>
      <c r="U58" s="281"/>
      <c r="V58" s="177" t="s">
        <v>1040</v>
      </c>
      <c r="W58" s="170" t="s">
        <v>74</v>
      </c>
      <c r="X58" s="170" t="s">
        <v>11</v>
      </c>
      <c r="Y58" s="178">
        <v>35.700000000000003</v>
      </c>
      <c r="Z58" s="170" t="s">
        <v>1041</v>
      </c>
      <c r="AA58" s="170" t="s">
        <v>22</v>
      </c>
      <c r="AB58" s="170" t="s">
        <v>11</v>
      </c>
      <c r="AC58" s="170">
        <v>17.899999999999999</v>
      </c>
      <c r="AD58" s="177" t="s">
        <v>1042</v>
      </c>
      <c r="AE58" s="170" t="s">
        <v>87</v>
      </c>
      <c r="AF58" s="170" t="s">
        <v>11</v>
      </c>
      <c r="AG58" s="178">
        <v>3.6</v>
      </c>
      <c r="AL58" s="177"/>
      <c r="AO58" s="178"/>
      <c r="AP58" s="177"/>
      <c r="AS58" s="178"/>
      <c r="AW58" s="178"/>
      <c r="BA58" s="179"/>
    </row>
    <row r="59" spans="1:53" s="170" customFormat="1" x14ac:dyDescent="0.15">
      <c r="A59" s="170">
        <v>2001</v>
      </c>
      <c r="B59" s="303">
        <v>37038</v>
      </c>
      <c r="C59" s="395" t="s">
        <v>1046</v>
      </c>
      <c r="D59" s="395"/>
      <c r="E59" s="170">
        <f>365-E58</f>
        <v>219</v>
      </c>
      <c r="F59" s="243" t="s">
        <v>327</v>
      </c>
      <c r="G59" s="232">
        <v>12</v>
      </c>
      <c r="J59" s="240">
        <v>12</v>
      </c>
      <c r="K59" s="213">
        <f t="shared" si="13"/>
        <v>100</v>
      </c>
      <c r="L59" s="213">
        <f t="shared" si="14"/>
        <v>0</v>
      </c>
      <c r="M59" s="213">
        <f t="shared" si="15"/>
        <v>0</v>
      </c>
      <c r="N59" s="234">
        <f t="shared" si="9"/>
        <v>100</v>
      </c>
      <c r="O59" s="212">
        <v>51.8</v>
      </c>
      <c r="P59" s="213"/>
      <c r="Q59" s="213"/>
      <c r="R59" s="214">
        <f t="shared" si="8"/>
        <v>51.8</v>
      </c>
      <c r="S59" s="170">
        <v>1</v>
      </c>
      <c r="T59" s="283">
        <v>37038</v>
      </c>
      <c r="U59" s="281"/>
      <c r="V59" s="177" t="s">
        <v>1040</v>
      </c>
      <c r="W59" s="170" t="s">
        <v>74</v>
      </c>
      <c r="X59" s="170" t="s">
        <v>11</v>
      </c>
      <c r="Y59" s="178">
        <v>33.9</v>
      </c>
      <c r="Z59" s="170" t="s">
        <v>1041</v>
      </c>
      <c r="AA59" s="170" t="s">
        <v>22</v>
      </c>
      <c r="AB59" s="170" t="s">
        <v>11</v>
      </c>
      <c r="AC59" s="170">
        <v>16.100000000000001</v>
      </c>
      <c r="AD59" s="177" t="s">
        <v>1042</v>
      </c>
      <c r="AE59" s="170" t="s">
        <v>87</v>
      </c>
      <c r="AF59" s="170" t="s">
        <v>11</v>
      </c>
      <c r="AG59" s="178">
        <v>1.8</v>
      </c>
      <c r="AL59" s="177"/>
      <c r="AO59" s="178"/>
      <c r="AP59" s="177"/>
      <c r="AS59" s="178"/>
      <c r="AW59" s="178"/>
      <c r="BA59" s="179"/>
    </row>
    <row r="60" spans="1:53" s="170" customFormat="1" x14ac:dyDescent="0.15">
      <c r="A60" s="170">
        <v>2002</v>
      </c>
      <c r="B60" s="281"/>
      <c r="C60" s="395" t="s">
        <v>1046</v>
      </c>
      <c r="D60" s="395"/>
      <c r="E60" s="170">
        <v>0</v>
      </c>
      <c r="G60" s="232">
        <v>12</v>
      </c>
      <c r="J60" s="240">
        <v>12</v>
      </c>
      <c r="K60" s="213">
        <f t="shared" si="13"/>
        <v>100</v>
      </c>
      <c r="L60" s="213">
        <f t="shared" si="14"/>
        <v>0</v>
      </c>
      <c r="M60" s="213">
        <f t="shared" si="15"/>
        <v>0</v>
      </c>
      <c r="N60" s="234">
        <f t="shared" si="9"/>
        <v>100</v>
      </c>
      <c r="O60" s="212">
        <v>51.8</v>
      </c>
      <c r="P60" s="213"/>
      <c r="Q60" s="213"/>
      <c r="R60" s="214">
        <f t="shared" si="8"/>
        <v>51.8</v>
      </c>
      <c r="S60" s="170">
        <v>1</v>
      </c>
      <c r="T60" s="283"/>
      <c r="U60" s="281"/>
      <c r="V60" s="177" t="s">
        <v>1040</v>
      </c>
      <c r="W60" s="170" t="s">
        <v>74</v>
      </c>
      <c r="X60" s="170" t="s">
        <v>11</v>
      </c>
      <c r="Y60" s="178">
        <v>33.9</v>
      </c>
      <c r="Z60" s="170" t="s">
        <v>1041</v>
      </c>
      <c r="AA60" s="170" t="s">
        <v>22</v>
      </c>
      <c r="AB60" s="170" t="s">
        <v>11</v>
      </c>
      <c r="AC60" s="170">
        <v>16.100000000000001</v>
      </c>
      <c r="AD60" s="177" t="s">
        <v>1042</v>
      </c>
      <c r="AE60" s="170" t="s">
        <v>87</v>
      </c>
      <c r="AF60" s="170" t="s">
        <v>11</v>
      </c>
      <c r="AG60" s="178">
        <v>1.8</v>
      </c>
      <c r="AL60" s="177"/>
      <c r="AO60" s="178"/>
      <c r="AP60" s="177"/>
      <c r="AS60" s="178"/>
      <c r="AW60" s="178"/>
      <c r="BA60" s="179"/>
    </row>
    <row r="61" spans="1:53" s="170" customFormat="1" x14ac:dyDescent="0.15">
      <c r="A61" s="170">
        <v>2002</v>
      </c>
      <c r="B61" s="281"/>
      <c r="C61" s="395" t="s">
        <v>1046</v>
      </c>
      <c r="D61" s="395"/>
      <c r="E61" s="170">
        <f>365-E60</f>
        <v>365</v>
      </c>
      <c r="G61" s="232">
        <v>12</v>
      </c>
      <c r="J61" s="240">
        <v>12</v>
      </c>
      <c r="K61" s="213">
        <f t="shared" si="13"/>
        <v>100</v>
      </c>
      <c r="L61" s="213">
        <f t="shared" si="14"/>
        <v>0</v>
      </c>
      <c r="M61" s="213">
        <f t="shared" si="15"/>
        <v>0</v>
      </c>
      <c r="N61" s="234">
        <f t="shared" si="9"/>
        <v>100</v>
      </c>
      <c r="O61" s="212">
        <v>51.8</v>
      </c>
      <c r="P61" s="213"/>
      <c r="Q61" s="213"/>
      <c r="R61" s="214">
        <f t="shared" si="8"/>
        <v>51.8</v>
      </c>
      <c r="S61" s="170">
        <v>1</v>
      </c>
      <c r="T61" s="283"/>
      <c r="U61" s="281"/>
      <c r="V61" s="177" t="s">
        <v>1040</v>
      </c>
      <c r="W61" s="170" t="s">
        <v>74</v>
      </c>
      <c r="X61" s="170" t="s">
        <v>11</v>
      </c>
      <c r="Y61" s="178">
        <v>33.9</v>
      </c>
      <c r="Z61" s="170" t="s">
        <v>1041</v>
      </c>
      <c r="AA61" s="170" t="s">
        <v>22</v>
      </c>
      <c r="AB61" s="170" t="s">
        <v>11</v>
      </c>
      <c r="AC61" s="170">
        <v>16.100000000000001</v>
      </c>
      <c r="AD61" s="177" t="s">
        <v>1042</v>
      </c>
      <c r="AE61" s="170" t="s">
        <v>87</v>
      </c>
      <c r="AF61" s="170" t="s">
        <v>11</v>
      </c>
      <c r="AG61" s="178">
        <v>1.8</v>
      </c>
      <c r="AL61" s="177"/>
      <c r="AO61" s="178"/>
      <c r="AP61" s="177"/>
      <c r="AS61" s="178"/>
      <c r="AW61" s="178"/>
      <c r="BA61" s="179"/>
    </row>
    <row r="62" spans="1:53" s="170" customFormat="1" x14ac:dyDescent="0.15">
      <c r="A62" s="170">
        <v>2003</v>
      </c>
      <c r="B62" s="281"/>
      <c r="C62" s="395" t="s">
        <v>1046</v>
      </c>
      <c r="D62" s="395"/>
      <c r="E62" s="170">
        <v>58</v>
      </c>
      <c r="G62" s="232">
        <v>12</v>
      </c>
      <c r="J62" s="240">
        <v>12</v>
      </c>
      <c r="K62" s="213">
        <f t="shared" si="13"/>
        <v>100</v>
      </c>
      <c r="L62" s="213">
        <f t="shared" si="14"/>
        <v>0</v>
      </c>
      <c r="M62" s="213">
        <f t="shared" si="15"/>
        <v>0</v>
      </c>
      <c r="N62" s="234">
        <f t="shared" si="9"/>
        <v>100</v>
      </c>
      <c r="O62" s="212">
        <v>51.8</v>
      </c>
      <c r="P62" s="213"/>
      <c r="Q62" s="213"/>
      <c r="R62" s="214">
        <f t="shared" si="8"/>
        <v>51.8</v>
      </c>
      <c r="S62" s="170">
        <v>1</v>
      </c>
      <c r="T62" s="283"/>
      <c r="U62" s="281"/>
      <c r="V62" s="177" t="s">
        <v>1040</v>
      </c>
      <c r="W62" s="170" t="s">
        <v>74</v>
      </c>
      <c r="X62" s="170" t="s">
        <v>11</v>
      </c>
      <c r="Y62" s="178">
        <v>33.9</v>
      </c>
      <c r="Z62" s="170" t="s">
        <v>1041</v>
      </c>
      <c r="AA62" s="170" t="s">
        <v>22</v>
      </c>
      <c r="AB62" s="170" t="s">
        <v>11</v>
      </c>
      <c r="AC62" s="170">
        <v>16.100000000000001</v>
      </c>
      <c r="AD62" s="177" t="s">
        <v>1042</v>
      </c>
      <c r="AE62" s="170" t="s">
        <v>87</v>
      </c>
      <c r="AF62" s="170" t="s">
        <v>11</v>
      </c>
      <c r="AG62" s="178">
        <v>1.8</v>
      </c>
      <c r="AL62" s="177"/>
      <c r="AO62" s="178"/>
      <c r="AP62" s="177"/>
      <c r="AS62" s="178"/>
      <c r="AW62" s="178"/>
      <c r="BA62" s="179"/>
    </row>
    <row r="63" spans="1:53" s="28" customFormat="1" x14ac:dyDescent="0.15">
      <c r="A63" s="28">
        <v>2003</v>
      </c>
      <c r="B63" s="293">
        <v>37680</v>
      </c>
      <c r="C63" s="394" t="s">
        <v>1045</v>
      </c>
      <c r="D63" s="394"/>
      <c r="E63" s="28">
        <f>365-E62</f>
        <v>307</v>
      </c>
      <c r="F63" s="28">
        <v>1</v>
      </c>
      <c r="G63" s="65">
        <v>4</v>
      </c>
      <c r="I63" s="28">
        <v>6</v>
      </c>
      <c r="J63" s="72">
        <v>12</v>
      </c>
      <c r="K63" s="46">
        <f t="shared" si="13"/>
        <v>33.333333333333329</v>
      </c>
      <c r="L63" s="46">
        <f t="shared" si="14"/>
        <v>0</v>
      </c>
      <c r="M63" s="46">
        <f t="shared" si="15"/>
        <v>50</v>
      </c>
      <c r="N63" s="67">
        <f t="shared" si="9"/>
        <v>83.333333333333329</v>
      </c>
      <c r="O63" s="45">
        <v>16.100000000000001</v>
      </c>
      <c r="P63" s="46"/>
      <c r="Q63" s="46">
        <v>42.8</v>
      </c>
      <c r="R63" s="47">
        <f t="shared" si="8"/>
        <v>58.9</v>
      </c>
      <c r="S63" s="28">
        <v>1</v>
      </c>
      <c r="T63" s="284"/>
      <c r="U63" s="293">
        <v>37680</v>
      </c>
      <c r="V63" s="37" t="s">
        <v>1047</v>
      </c>
      <c r="W63" s="28" t="s">
        <v>113</v>
      </c>
      <c r="X63" s="28" t="s">
        <v>12</v>
      </c>
      <c r="Y63" s="38">
        <v>35.700000000000003</v>
      </c>
      <c r="Z63" s="28" t="s">
        <v>1041</v>
      </c>
      <c r="AA63" s="28" t="s">
        <v>22</v>
      </c>
      <c r="AB63" s="28" t="s">
        <v>11</v>
      </c>
      <c r="AC63" s="28">
        <v>16.100000000000001</v>
      </c>
      <c r="AD63" s="37" t="s">
        <v>1043</v>
      </c>
      <c r="AE63" s="28" t="s">
        <v>20</v>
      </c>
      <c r="AF63" s="28" t="s">
        <v>12</v>
      </c>
      <c r="AG63" s="38">
        <v>7.1</v>
      </c>
      <c r="AL63" s="37"/>
      <c r="AO63" s="38"/>
      <c r="AP63" s="37"/>
      <c r="AS63" s="38"/>
      <c r="AW63" s="38"/>
      <c r="BA63" s="39"/>
    </row>
    <row r="64" spans="1:53" s="28" customFormat="1" x14ac:dyDescent="0.15">
      <c r="A64" s="28">
        <v>2004</v>
      </c>
      <c r="B64" s="293"/>
      <c r="C64" s="394" t="s">
        <v>1045</v>
      </c>
      <c r="D64" s="394"/>
      <c r="E64" s="28">
        <v>137</v>
      </c>
      <c r="G64" s="65">
        <v>4</v>
      </c>
      <c r="I64" s="28">
        <v>6</v>
      </c>
      <c r="J64" s="72">
        <v>12</v>
      </c>
      <c r="K64" s="46">
        <f t="shared" si="13"/>
        <v>33.333333333333329</v>
      </c>
      <c r="L64" s="46">
        <f t="shared" si="14"/>
        <v>0</v>
      </c>
      <c r="M64" s="46">
        <f t="shared" si="15"/>
        <v>50</v>
      </c>
      <c r="N64" s="67">
        <f t="shared" si="9"/>
        <v>83.333333333333329</v>
      </c>
      <c r="O64" s="45">
        <v>16.100000000000001</v>
      </c>
      <c r="P64" s="46"/>
      <c r="Q64" s="46">
        <v>42.8</v>
      </c>
      <c r="R64" s="47">
        <f t="shared" si="8"/>
        <v>58.9</v>
      </c>
      <c r="S64" s="28">
        <v>1</v>
      </c>
      <c r="T64" s="284"/>
      <c r="U64" s="293"/>
      <c r="V64" s="37" t="s">
        <v>1047</v>
      </c>
      <c r="W64" s="28" t="s">
        <v>113</v>
      </c>
      <c r="X64" s="28" t="s">
        <v>12</v>
      </c>
      <c r="Y64" s="38">
        <v>35.700000000000003</v>
      </c>
      <c r="Z64" s="28" t="s">
        <v>1041</v>
      </c>
      <c r="AA64" s="28" t="s">
        <v>22</v>
      </c>
      <c r="AB64" s="28" t="s">
        <v>11</v>
      </c>
      <c r="AC64" s="28">
        <v>16.100000000000001</v>
      </c>
      <c r="AD64" s="37" t="s">
        <v>1043</v>
      </c>
      <c r="AE64" s="28" t="s">
        <v>20</v>
      </c>
      <c r="AF64" s="28" t="s">
        <v>12</v>
      </c>
      <c r="AG64" s="38">
        <v>7.1</v>
      </c>
      <c r="AL64" s="37"/>
      <c r="AO64" s="38"/>
      <c r="AP64" s="37"/>
      <c r="AS64" s="38"/>
      <c r="AW64" s="38"/>
      <c r="BA64" s="39"/>
    </row>
    <row r="65" spans="1:53" s="28" customFormat="1" x14ac:dyDescent="0.15">
      <c r="A65" s="28">
        <v>2004</v>
      </c>
      <c r="B65" s="301">
        <v>38124</v>
      </c>
      <c r="C65" s="394" t="s">
        <v>1045</v>
      </c>
      <c r="D65" s="394"/>
      <c r="E65" s="28">
        <v>229</v>
      </c>
      <c r="F65" s="83">
        <v>0</v>
      </c>
      <c r="G65" s="65">
        <v>3</v>
      </c>
      <c r="I65" s="28">
        <v>6</v>
      </c>
      <c r="J65" s="72">
        <v>12</v>
      </c>
      <c r="K65" s="46">
        <f t="shared" si="13"/>
        <v>25</v>
      </c>
      <c r="L65" s="46">
        <f t="shared" si="14"/>
        <v>0</v>
      </c>
      <c r="M65" s="46">
        <f t="shared" si="15"/>
        <v>50</v>
      </c>
      <c r="N65" s="67">
        <f t="shared" si="9"/>
        <v>75</v>
      </c>
      <c r="O65" s="45">
        <v>16.100000000000001</v>
      </c>
      <c r="P65" s="46"/>
      <c r="Q65" s="46">
        <v>42.8</v>
      </c>
      <c r="R65" s="47">
        <f t="shared" si="8"/>
        <v>58.9</v>
      </c>
      <c r="S65" s="28">
        <v>1</v>
      </c>
      <c r="T65" s="284"/>
      <c r="U65" s="293"/>
      <c r="V65" s="37" t="s">
        <v>1047</v>
      </c>
      <c r="W65" s="28" t="s">
        <v>113</v>
      </c>
      <c r="X65" s="28" t="s">
        <v>12</v>
      </c>
      <c r="Y65" s="38">
        <v>35.700000000000003</v>
      </c>
      <c r="Z65" s="28" t="s">
        <v>1041</v>
      </c>
      <c r="AA65" s="28" t="s">
        <v>22</v>
      </c>
      <c r="AB65" s="28" t="s">
        <v>11</v>
      </c>
      <c r="AC65" s="28">
        <v>16.100000000000001</v>
      </c>
      <c r="AD65" s="37" t="s">
        <v>1043</v>
      </c>
      <c r="AE65" s="28" t="s">
        <v>20</v>
      </c>
      <c r="AF65" s="28" t="s">
        <v>12</v>
      </c>
      <c r="AG65" s="38">
        <v>7.1</v>
      </c>
      <c r="AL65" s="37"/>
      <c r="AO65" s="38"/>
      <c r="AP65" s="37"/>
      <c r="AS65" s="38"/>
      <c r="AW65" s="38"/>
      <c r="BA65" s="39"/>
    </row>
    <row r="66" spans="1:53" s="28" customFormat="1" x14ac:dyDescent="0.15">
      <c r="A66" s="28">
        <v>2005</v>
      </c>
      <c r="B66" s="293"/>
      <c r="C66" s="394" t="s">
        <v>1045</v>
      </c>
      <c r="D66" s="394"/>
      <c r="E66" s="28">
        <v>31</v>
      </c>
      <c r="G66" s="65">
        <v>3</v>
      </c>
      <c r="I66" s="28">
        <v>6</v>
      </c>
      <c r="J66" s="72">
        <v>12</v>
      </c>
      <c r="K66" s="46">
        <f t="shared" ref="K66:K78" si="16">G66/J66*100</f>
        <v>25</v>
      </c>
      <c r="L66" s="46">
        <f t="shared" ref="L66:L78" si="17">H66/J66*100</f>
        <v>0</v>
      </c>
      <c r="M66" s="46">
        <f t="shared" ref="M66:M78" si="18">I66/J66*100</f>
        <v>50</v>
      </c>
      <c r="N66" s="67">
        <f t="shared" si="9"/>
        <v>75</v>
      </c>
      <c r="O66" s="45">
        <v>16.100000000000001</v>
      </c>
      <c r="P66" s="46"/>
      <c r="Q66" s="46">
        <v>42.8</v>
      </c>
      <c r="R66" s="47">
        <f t="shared" si="8"/>
        <v>58.9</v>
      </c>
      <c r="S66" s="28">
        <v>1</v>
      </c>
      <c r="T66" s="284"/>
      <c r="U66" s="293"/>
      <c r="V66" s="37" t="s">
        <v>1047</v>
      </c>
      <c r="W66" s="28" t="s">
        <v>113</v>
      </c>
      <c r="X66" s="28" t="s">
        <v>12</v>
      </c>
      <c r="Y66" s="38">
        <v>35.700000000000003</v>
      </c>
      <c r="Z66" s="28" t="s">
        <v>1041</v>
      </c>
      <c r="AA66" s="28" t="s">
        <v>22</v>
      </c>
      <c r="AB66" s="28" t="s">
        <v>11</v>
      </c>
      <c r="AC66" s="28">
        <v>16.100000000000001</v>
      </c>
      <c r="AD66" s="37" t="s">
        <v>1043</v>
      </c>
      <c r="AE66" s="28" t="s">
        <v>20</v>
      </c>
      <c r="AF66" s="28" t="s">
        <v>12</v>
      </c>
      <c r="AG66" s="38">
        <v>7.1</v>
      </c>
      <c r="AL66" s="37"/>
      <c r="AO66" s="38"/>
      <c r="AP66" s="37"/>
      <c r="AS66" s="38"/>
      <c r="AW66" s="38"/>
      <c r="BA66" s="39"/>
    </row>
    <row r="67" spans="1:53" s="28" customFormat="1" x14ac:dyDescent="0.15">
      <c r="A67" s="28">
        <v>2005</v>
      </c>
      <c r="B67" s="301">
        <v>38384</v>
      </c>
      <c r="C67" s="394" t="s">
        <v>1045</v>
      </c>
      <c r="D67" s="394"/>
      <c r="E67" s="28">
        <v>334</v>
      </c>
      <c r="F67" s="83">
        <v>0</v>
      </c>
      <c r="G67" s="65">
        <v>3</v>
      </c>
      <c r="I67" s="28">
        <v>5</v>
      </c>
      <c r="J67" s="72">
        <v>12</v>
      </c>
      <c r="K67" s="46">
        <f>G67/J67*100</f>
        <v>25</v>
      </c>
      <c r="L67" s="46">
        <f>H67/J67*100</f>
        <v>0</v>
      </c>
      <c r="M67" s="46">
        <f>I67/J67*100</f>
        <v>41.666666666666671</v>
      </c>
      <c r="N67" s="67">
        <f t="shared" si="9"/>
        <v>66.666666666666671</v>
      </c>
      <c r="O67" s="45">
        <v>16.100000000000001</v>
      </c>
      <c r="P67" s="46"/>
      <c r="Q67" s="46">
        <v>42.8</v>
      </c>
      <c r="R67" s="47">
        <f t="shared" si="8"/>
        <v>58.9</v>
      </c>
      <c r="S67" s="28">
        <v>1</v>
      </c>
      <c r="T67" s="284"/>
      <c r="U67" s="293"/>
      <c r="V67" s="37" t="s">
        <v>1047</v>
      </c>
      <c r="W67" s="28" t="s">
        <v>113</v>
      </c>
      <c r="X67" s="28" t="s">
        <v>12</v>
      </c>
      <c r="Y67" s="38">
        <v>35.700000000000003</v>
      </c>
      <c r="Z67" s="28" t="s">
        <v>1041</v>
      </c>
      <c r="AA67" s="28" t="s">
        <v>22</v>
      </c>
      <c r="AB67" s="28" t="s">
        <v>11</v>
      </c>
      <c r="AC67" s="28">
        <v>16.100000000000001</v>
      </c>
      <c r="AD67" s="37" t="s">
        <v>1043</v>
      </c>
      <c r="AE67" s="28" t="s">
        <v>20</v>
      </c>
      <c r="AF67" s="28" t="s">
        <v>12</v>
      </c>
      <c r="AG67" s="38">
        <v>7.1</v>
      </c>
      <c r="AL67" s="37"/>
      <c r="AO67" s="38"/>
      <c r="AP67" s="37"/>
      <c r="AS67" s="38"/>
      <c r="AW67" s="38"/>
      <c r="BA67" s="39"/>
    </row>
    <row r="68" spans="1:53" s="28" customFormat="1" x14ac:dyDescent="0.15">
      <c r="A68" s="28">
        <v>2006</v>
      </c>
      <c r="B68" s="293"/>
      <c r="C68" s="394" t="s">
        <v>1045</v>
      </c>
      <c r="D68" s="394"/>
      <c r="E68" s="28">
        <v>140</v>
      </c>
      <c r="G68" s="65">
        <v>3</v>
      </c>
      <c r="I68" s="28">
        <v>5</v>
      </c>
      <c r="J68" s="72">
        <v>12</v>
      </c>
      <c r="K68" s="46">
        <f t="shared" si="16"/>
        <v>25</v>
      </c>
      <c r="L68" s="46">
        <f t="shared" si="17"/>
        <v>0</v>
      </c>
      <c r="M68" s="46">
        <f t="shared" si="18"/>
        <v>41.666666666666671</v>
      </c>
      <c r="N68" s="67">
        <f t="shared" si="9"/>
        <v>66.666666666666671</v>
      </c>
      <c r="O68" s="45">
        <v>16.100000000000001</v>
      </c>
      <c r="P68" s="46"/>
      <c r="Q68" s="46">
        <v>42.8</v>
      </c>
      <c r="R68" s="47">
        <f t="shared" si="8"/>
        <v>58.9</v>
      </c>
      <c r="S68" s="28">
        <v>1</v>
      </c>
      <c r="T68" s="284"/>
      <c r="U68" s="293"/>
      <c r="V68" s="37" t="s">
        <v>1047</v>
      </c>
      <c r="W68" s="28" t="s">
        <v>113</v>
      </c>
      <c r="X68" s="28" t="s">
        <v>12</v>
      </c>
      <c r="Y68" s="38">
        <v>35.700000000000003</v>
      </c>
      <c r="Z68" s="28" t="s">
        <v>1041</v>
      </c>
      <c r="AA68" s="28" t="s">
        <v>22</v>
      </c>
      <c r="AB68" s="28" t="s">
        <v>11</v>
      </c>
      <c r="AC68" s="28">
        <v>16.100000000000001</v>
      </c>
      <c r="AD68" s="37" t="s">
        <v>1043</v>
      </c>
      <c r="AE68" s="28" t="s">
        <v>20</v>
      </c>
      <c r="AF68" s="28" t="s">
        <v>12</v>
      </c>
      <c r="AG68" s="38">
        <v>7.1</v>
      </c>
      <c r="AL68" s="37"/>
      <c r="AO68" s="38"/>
      <c r="AP68" s="37"/>
      <c r="AS68" s="38"/>
      <c r="AW68" s="38"/>
      <c r="BA68" s="39"/>
    </row>
    <row r="69" spans="1:53" s="28" customFormat="1" x14ac:dyDescent="0.15">
      <c r="A69" s="28">
        <v>2006</v>
      </c>
      <c r="B69" s="301">
        <v>38858</v>
      </c>
      <c r="C69" s="394" t="s">
        <v>1045</v>
      </c>
      <c r="D69" s="394"/>
      <c r="E69" s="28">
        <v>23</v>
      </c>
      <c r="F69" s="83" t="s">
        <v>327</v>
      </c>
      <c r="G69" s="65">
        <v>3</v>
      </c>
      <c r="I69" s="28">
        <v>5</v>
      </c>
      <c r="J69" s="72">
        <v>12</v>
      </c>
      <c r="K69" s="46">
        <f>G69/J69*100</f>
        <v>25</v>
      </c>
      <c r="L69" s="46">
        <f>H69/J69*100</f>
        <v>0</v>
      </c>
      <c r="M69" s="46">
        <f>I69/J69*100</f>
        <v>41.666666666666671</v>
      </c>
      <c r="N69" s="67">
        <f t="shared" si="9"/>
        <v>66.666666666666671</v>
      </c>
      <c r="O69" s="45">
        <v>19.600000000000001</v>
      </c>
      <c r="P69" s="46"/>
      <c r="Q69" s="46">
        <v>41</v>
      </c>
      <c r="R69" s="47">
        <f t="shared" si="8"/>
        <v>60.6</v>
      </c>
      <c r="S69" s="28">
        <v>1</v>
      </c>
      <c r="T69" s="284">
        <v>38858</v>
      </c>
      <c r="U69" s="293"/>
      <c r="V69" s="37" t="s">
        <v>1047</v>
      </c>
      <c r="W69" s="28" t="s">
        <v>113</v>
      </c>
      <c r="X69" s="28" t="s">
        <v>12</v>
      </c>
      <c r="Y69" s="38">
        <v>32.1</v>
      </c>
      <c r="Z69" s="28" t="s">
        <v>1041</v>
      </c>
      <c r="AA69" s="28" t="s">
        <v>22</v>
      </c>
      <c r="AB69" s="28" t="s">
        <v>11</v>
      </c>
      <c r="AC69" s="28">
        <v>19.600000000000001</v>
      </c>
      <c r="AD69" s="37" t="s">
        <v>1043</v>
      </c>
      <c r="AE69" s="28" t="s">
        <v>20</v>
      </c>
      <c r="AF69" s="28" t="s">
        <v>12</v>
      </c>
      <c r="AG69" s="38">
        <v>8.9</v>
      </c>
      <c r="AL69" s="37"/>
      <c r="AO69" s="38"/>
      <c r="AP69" s="37"/>
      <c r="AS69" s="38"/>
      <c r="AW69" s="38"/>
      <c r="BA69" s="39"/>
    </row>
    <row r="70" spans="1:53" s="28" customFormat="1" x14ac:dyDescent="0.15">
      <c r="A70" s="28">
        <v>2006</v>
      </c>
      <c r="B70" s="301">
        <v>38881</v>
      </c>
      <c r="C70" s="394" t="s">
        <v>1045</v>
      </c>
      <c r="D70" s="394"/>
      <c r="E70" s="28">
        <v>202</v>
      </c>
      <c r="F70" s="83">
        <v>0</v>
      </c>
      <c r="G70" s="65">
        <v>6</v>
      </c>
      <c r="I70" s="28">
        <v>5</v>
      </c>
      <c r="J70" s="72">
        <v>12</v>
      </c>
      <c r="K70" s="46">
        <f t="shared" si="16"/>
        <v>50</v>
      </c>
      <c r="L70" s="46">
        <f t="shared" si="17"/>
        <v>0</v>
      </c>
      <c r="M70" s="46">
        <f t="shared" si="18"/>
        <v>41.666666666666671</v>
      </c>
      <c r="N70" s="67">
        <f t="shared" si="9"/>
        <v>91.666666666666671</v>
      </c>
      <c r="O70" s="45">
        <v>19.600000000000001</v>
      </c>
      <c r="P70" s="46"/>
      <c r="Q70" s="46">
        <v>41</v>
      </c>
      <c r="R70" s="47">
        <f t="shared" si="8"/>
        <v>60.6</v>
      </c>
      <c r="S70" s="28">
        <v>1</v>
      </c>
      <c r="T70" s="284"/>
      <c r="U70" s="293"/>
      <c r="V70" s="37" t="s">
        <v>1047</v>
      </c>
      <c r="W70" s="28" t="s">
        <v>113</v>
      </c>
      <c r="X70" s="28" t="s">
        <v>12</v>
      </c>
      <c r="Y70" s="38">
        <v>32.1</v>
      </c>
      <c r="Z70" s="28" t="s">
        <v>1041</v>
      </c>
      <c r="AA70" s="28" t="s">
        <v>22</v>
      </c>
      <c r="AB70" s="28" t="s">
        <v>11</v>
      </c>
      <c r="AC70" s="28">
        <v>19.600000000000001</v>
      </c>
      <c r="AD70" s="37" t="s">
        <v>1043</v>
      </c>
      <c r="AE70" s="28" t="s">
        <v>20</v>
      </c>
      <c r="AF70" s="28" t="s">
        <v>12</v>
      </c>
      <c r="AG70" s="38">
        <v>8.9</v>
      </c>
      <c r="AL70" s="37"/>
      <c r="AO70" s="38"/>
      <c r="AP70" s="37"/>
      <c r="AS70" s="38"/>
      <c r="AW70" s="38"/>
      <c r="BA70" s="39"/>
    </row>
    <row r="71" spans="1:53" s="28" customFormat="1" x14ac:dyDescent="0.15">
      <c r="A71" s="28">
        <v>2007</v>
      </c>
      <c r="B71" s="293"/>
      <c r="C71" s="394" t="s">
        <v>1045</v>
      </c>
      <c r="D71" s="394"/>
      <c r="E71" s="28">
        <v>196</v>
      </c>
      <c r="G71" s="65">
        <v>3</v>
      </c>
      <c r="I71" s="28">
        <v>5</v>
      </c>
      <c r="J71" s="72">
        <v>12</v>
      </c>
      <c r="K71" s="46">
        <f t="shared" si="16"/>
        <v>25</v>
      </c>
      <c r="L71" s="46">
        <f t="shared" si="17"/>
        <v>0</v>
      </c>
      <c r="M71" s="46">
        <f t="shared" si="18"/>
        <v>41.666666666666671</v>
      </c>
      <c r="N71" s="67">
        <f t="shared" si="9"/>
        <v>66.666666666666671</v>
      </c>
      <c r="O71" s="45">
        <v>19.600000000000001</v>
      </c>
      <c r="P71" s="46"/>
      <c r="Q71" s="46">
        <v>41</v>
      </c>
      <c r="R71" s="47">
        <f t="shared" si="8"/>
        <v>60.6</v>
      </c>
      <c r="S71" s="28">
        <v>1</v>
      </c>
      <c r="T71" s="284"/>
      <c r="U71" s="293"/>
      <c r="V71" s="37" t="s">
        <v>1047</v>
      </c>
      <c r="W71" s="28" t="s">
        <v>113</v>
      </c>
      <c r="X71" s="28" t="s">
        <v>12</v>
      </c>
      <c r="Y71" s="38">
        <v>32.1</v>
      </c>
      <c r="Z71" s="28" t="s">
        <v>1041</v>
      </c>
      <c r="AA71" s="28" t="s">
        <v>22</v>
      </c>
      <c r="AB71" s="28" t="s">
        <v>11</v>
      </c>
      <c r="AC71" s="28">
        <v>19.600000000000001</v>
      </c>
      <c r="AD71" s="37" t="s">
        <v>1043</v>
      </c>
      <c r="AE71" s="28" t="s">
        <v>20</v>
      </c>
      <c r="AF71" s="28" t="s">
        <v>12</v>
      </c>
      <c r="AG71" s="38">
        <v>8.9</v>
      </c>
      <c r="AL71" s="37"/>
      <c r="AO71" s="38"/>
      <c r="AP71" s="37"/>
      <c r="AS71" s="38"/>
      <c r="AW71" s="38"/>
      <c r="BA71" s="39"/>
    </row>
    <row r="72" spans="1:53" s="28" customFormat="1" x14ac:dyDescent="0.15">
      <c r="A72" s="28">
        <v>2007</v>
      </c>
      <c r="B72" s="301">
        <v>39279</v>
      </c>
      <c r="C72" s="394" t="s">
        <v>1045</v>
      </c>
      <c r="D72" s="394"/>
      <c r="E72" s="28">
        <v>169</v>
      </c>
      <c r="F72" s="83">
        <v>0</v>
      </c>
      <c r="G72" s="65">
        <v>6</v>
      </c>
      <c r="I72" s="28">
        <v>2</v>
      </c>
      <c r="J72" s="72">
        <v>12</v>
      </c>
      <c r="K72" s="46">
        <f t="shared" si="16"/>
        <v>50</v>
      </c>
      <c r="L72" s="46">
        <f t="shared" si="17"/>
        <v>0</v>
      </c>
      <c r="M72" s="46">
        <f t="shared" si="18"/>
        <v>16.666666666666664</v>
      </c>
      <c r="N72" s="67">
        <f t="shared" si="9"/>
        <v>66.666666666666657</v>
      </c>
      <c r="O72" s="45">
        <v>19.600000000000001</v>
      </c>
      <c r="P72" s="46"/>
      <c r="Q72" s="46">
        <v>8.9</v>
      </c>
      <c r="R72" s="47">
        <f t="shared" si="8"/>
        <v>28.5</v>
      </c>
      <c r="S72" s="28">
        <v>1</v>
      </c>
      <c r="T72" s="284"/>
      <c r="U72" s="293"/>
      <c r="V72" s="37" t="s">
        <v>1041</v>
      </c>
      <c r="W72" s="28" t="s">
        <v>22</v>
      </c>
      <c r="X72" s="28" t="s">
        <v>11</v>
      </c>
      <c r="Y72" s="38">
        <v>19.600000000000001</v>
      </c>
      <c r="Z72" s="28" t="s">
        <v>1043</v>
      </c>
      <c r="AA72" s="28" t="s">
        <v>20</v>
      </c>
      <c r="AB72" s="28" t="s">
        <v>12</v>
      </c>
      <c r="AC72" s="28">
        <v>8.9</v>
      </c>
      <c r="AD72" s="37"/>
      <c r="AG72" s="38"/>
      <c r="AL72" s="37"/>
      <c r="AO72" s="38"/>
      <c r="AP72" s="37"/>
      <c r="AS72" s="38"/>
      <c r="AW72" s="38"/>
      <c r="BA72" s="39"/>
    </row>
    <row r="73" spans="1:53" s="28" customFormat="1" x14ac:dyDescent="0.15">
      <c r="A73" s="28">
        <v>2008</v>
      </c>
      <c r="B73" s="293"/>
      <c r="C73" s="394" t="s">
        <v>1045</v>
      </c>
      <c r="D73" s="394"/>
      <c r="E73" s="28">
        <v>59</v>
      </c>
      <c r="G73" s="65">
        <v>6</v>
      </c>
      <c r="I73" s="28">
        <v>2</v>
      </c>
      <c r="J73" s="72">
        <v>12</v>
      </c>
      <c r="K73" s="46">
        <f t="shared" si="16"/>
        <v>50</v>
      </c>
      <c r="L73" s="46">
        <f t="shared" si="17"/>
        <v>0</v>
      </c>
      <c r="M73" s="46">
        <f t="shared" si="18"/>
        <v>16.666666666666664</v>
      </c>
      <c r="N73" s="67">
        <f t="shared" si="9"/>
        <v>66.666666666666657</v>
      </c>
      <c r="O73" s="45">
        <v>19.600000000000001</v>
      </c>
      <c r="P73" s="46"/>
      <c r="Q73" s="46">
        <v>8.9</v>
      </c>
      <c r="R73" s="47">
        <f t="shared" si="8"/>
        <v>28.5</v>
      </c>
      <c r="S73" s="28">
        <v>1</v>
      </c>
      <c r="T73" s="284"/>
      <c r="U73" s="293"/>
      <c r="V73" s="37" t="s">
        <v>1041</v>
      </c>
      <c r="W73" s="28" t="s">
        <v>22</v>
      </c>
      <c r="X73" s="28" t="s">
        <v>11</v>
      </c>
      <c r="Y73" s="38">
        <v>19.600000000000001</v>
      </c>
      <c r="Z73" s="28" t="s">
        <v>1043</v>
      </c>
      <c r="AA73" s="28" t="s">
        <v>20</v>
      </c>
      <c r="AB73" s="28" t="s">
        <v>12</v>
      </c>
      <c r="AC73" s="28">
        <v>8.9</v>
      </c>
      <c r="AD73" s="37"/>
      <c r="AG73" s="38"/>
      <c r="AL73" s="37"/>
      <c r="AO73" s="38"/>
      <c r="AP73" s="37"/>
      <c r="AS73" s="38"/>
      <c r="AW73" s="38"/>
      <c r="BA73" s="39"/>
    </row>
    <row r="74" spans="1:53" s="170" customFormat="1" x14ac:dyDescent="0.15">
      <c r="A74" s="170">
        <v>2008</v>
      </c>
      <c r="B74" s="281">
        <v>39507</v>
      </c>
      <c r="C74" s="395" t="s">
        <v>1048</v>
      </c>
      <c r="D74" s="395"/>
      <c r="E74" s="170">
        <v>307</v>
      </c>
      <c r="F74" s="170">
        <v>1</v>
      </c>
      <c r="G74" s="232">
        <v>3</v>
      </c>
      <c r="I74" s="170">
        <v>7</v>
      </c>
      <c r="J74" s="240">
        <v>12</v>
      </c>
      <c r="K74" s="213">
        <f t="shared" si="16"/>
        <v>25</v>
      </c>
      <c r="L74" s="213">
        <f t="shared" si="17"/>
        <v>0</v>
      </c>
      <c r="M74" s="213">
        <f t="shared" si="18"/>
        <v>58.333333333333336</v>
      </c>
      <c r="N74" s="234">
        <f t="shared" si="9"/>
        <v>83.333333333333343</v>
      </c>
      <c r="O74" s="212">
        <v>19.600000000000001</v>
      </c>
      <c r="P74" s="213"/>
      <c r="Q74" s="213">
        <v>41</v>
      </c>
      <c r="R74" s="214">
        <f t="shared" si="8"/>
        <v>60.6</v>
      </c>
      <c r="S74" s="170">
        <v>1</v>
      </c>
      <c r="T74" s="283"/>
      <c r="U74" s="281">
        <v>39507</v>
      </c>
      <c r="V74" s="177" t="s">
        <v>1047</v>
      </c>
      <c r="W74" s="170" t="s">
        <v>113</v>
      </c>
      <c r="X74" s="170" t="s">
        <v>12</v>
      </c>
      <c r="Y74" s="178">
        <v>32.1</v>
      </c>
      <c r="Z74" s="170" t="s">
        <v>1041</v>
      </c>
      <c r="AA74" s="170" t="s">
        <v>22</v>
      </c>
      <c r="AB74" s="170" t="s">
        <v>11</v>
      </c>
      <c r="AC74" s="170">
        <v>19.600000000000001</v>
      </c>
      <c r="AD74" s="177" t="s">
        <v>1043</v>
      </c>
      <c r="AE74" s="170" t="s">
        <v>20</v>
      </c>
      <c r="AF74" s="170" t="s">
        <v>12</v>
      </c>
      <c r="AG74" s="178">
        <v>8.9</v>
      </c>
      <c r="AL74" s="177"/>
      <c r="AO74" s="178"/>
      <c r="AP74" s="177"/>
      <c r="AS74" s="178"/>
      <c r="AW74" s="178"/>
      <c r="BA74" s="179"/>
    </row>
    <row r="75" spans="1:53" s="170" customFormat="1" x14ac:dyDescent="0.15">
      <c r="A75" s="170">
        <v>2009</v>
      </c>
      <c r="B75" s="281"/>
      <c r="C75" s="395" t="s">
        <v>1048</v>
      </c>
      <c r="D75" s="395"/>
      <c r="E75" s="170">
        <v>0</v>
      </c>
      <c r="G75" s="232">
        <v>3</v>
      </c>
      <c r="I75" s="170">
        <v>7</v>
      </c>
      <c r="J75" s="240">
        <v>12</v>
      </c>
      <c r="K75" s="213">
        <f t="shared" si="16"/>
        <v>25</v>
      </c>
      <c r="L75" s="213">
        <f t="shared" si="17"/>
        <v>0</v>
      </c>
      <c r="M75" s="213">
        <f t="shared" si="18"/>
        <v>58.333333333333336</v>
      </c>
      <c r="N75" s="234">
        <f t="shared" si="9"/>
        <v>83.333333333333343</v>
      </c>
      <c r="O75" s="212">
        <v>19.600000000000001</v>
      </c>
      <c r="P75" s="213"/>
      <c r="Q75" s="213">
        <v>41</v>
      </c>
      <c r="R75" s="214">
        <f t="shared" si="8"/>
        <v>60.6</v>
      </c>
      <c r="S75" s="170">
        <v>1</v>
      </c>
      <c r="T75" s="283"/>
      <c r="U75" s="281"/>
      <c r="V75" s="177" t="s">
        <v>1047</v>
      </c>
      <c r="W75" s="170" t="s">
        <v>113</v>
      </c>
      <c r="X75" s="170" t="s">
        <v>12</v>
      </c>
      <c r="Y75" s="178">
        <v>32.1</v>
      </c>
      <c r="Z75" s="170" t="s">
        <v>1041</v>
      </c>
      <c r="AA75" s="170" t="s">
        <v>22</v>
      </c>
      <c r="AB75" s="170" t="s">
        <v>11</v>
      </c>
      <c r="AC75" s="170">
        <v>19.600000000000001</v>
      </c>
      <c r="AD75" s="177" t="s">
        <v>1043</v>
      </c>
      <c r="AE75" s="170" t="s">
        <v>20</v>
      </c>
      <c r="AF75" s="170" t="s">
        <v>12</v>
      </c>
      <c r="AG75" s="178">
        <v>8.9</v>
      </c>
      <c r="AL75" s="177"/>
      <c r="AO75" s="178"/>
      <c r="AP75" s="177"/>
      <c r="AS75" s="178"/>
      <c r="AW75" s="178"/>
      <c r="BA75" s="179"/>
    </row>
    <row r="76" spans="1:53" s="170" customFormat="1" x14ac:dyDescent="0.15">
      <c r="A76" s="170">
        <v>2009</v>
      </c>
      <c r="B76" s="281"/>
      <c r="C76" s="395" t="s">
        <v>1048</v>
      </c>
      <c r="D76" s="395"/>
      <c r="E76" s="170">
        <v>365</v>
      </c>
      <c r="G76" s="232">
        <v>3</v>
      </c>
      <c r="I76" s="170">
        <v>7</v>
      </c>
      <c r="J76" s="240">
        <v>12</v>
      </c>
      <c r="K76" s="213">
        <f t="shared" si="16"/>
        <v>25</v>
      </c>
      <c r="L76" s="213">
        <f t="shared" si="17"/>
        <v>0</v>
      </c>
      <c r="M76" s="213">
        <f t="shared" si="18"/>
        <v>58.333333333333336</v>
      </c>
      <c r="N76" s="234">
        <f t="shared" si="9"/>
        <v>83.333333333333343</v>
      </c>
      <c r="O76" s="212">
        <v>19.600000000000001</v>
      </c>
      <c r="P76" s="213"/>
      <c r="Q76" s="213">
        <v>41</v>
      </c>
      <c r="R76" s="214">
        <f t="shared" si="8"/>
        <v>60.6</v>
      </c>
      <c r="S76" s="170">
        <v>1</v>
      </c>
      <c r="T76" s="283"/>
      <c r="U76" s="281"/>
      <c r="V76" s="177" t="s">
        <v>1047</v>
      </c>
      <c r="W76" s="170" t="s">
        <v>113</v>
      </c>
      <c r="X76" s="170" t="s">
        <v>12</v>
      </c>
      <c r="Y76" s="178">
        <v>32.1</v>
      </c>
      <c r="Z76" s="170" t="s">
        <v>1041</v>
      </c>
      <c r="AA76" s="170" t="s">
        <v>22</v>
      </c>
      <c r="AB76" s="170" t="s">
        <v>11</v>
      </c>
      <c r="AC76" s="170">
        <v>19.600000000000001</v>
      </c>
      <c r="AD76" s="177" t="s">
        <v>1043</v>
      </c>
      <c r="AE76" s="170" t="s">
        <v>20</v>
      </c>
      <c r="AF76" s="170" t="s">
        <v>12</v>
      </c>
      <c r="AG76" s="178">
        <v>8.9</v>
      </c>
      <c r="AL76" s="177"/>
      <c r="AO76" s="178"/>
      <c r="AP76" s="177"/>
      <c r="AS76" s="178"/>
      <c r="AW76" s="178"/>
      <c r="BA76" s="179"/>
    </row>
    <row r="77" spans="1:53" s="170" customFormat="1" x14ac:dyDescent="0.15">
      <c r="A77" s="170">
        <v>2010</v>
      </c>
      <c r="B77" s="281"/>
      <c r="C77" s="395" t="s">
        <v>1048</v>
      </c>
      <c r="D77" s="395"/>
      <c r="E77" s="170">
        <v>60</v>
      </c>
      <c r="G77" s="232">
        <v>3</v>
      </c>
      <c r="I77" s="170">
        <v>8</v>
      </c>
      <c r="J77" s="240">
        <v>12</v>
      </c>
      <c r="K77" s="213">
        <f t="shared" si="16"/>
        <v>25</v>
      </c>
      <c r="L77" s="213">
        <f t="shared" si="17"/>
        <v>0</v>
      </c>
      <c r="M77" s="213">
        <f t="shared" si="18"/>
        <v>66.666666666666657</v>
      </c>
      <c r="N77" s="234">
        <f t="shared" si="9"/>
        <v>91.666666666666657</v>
      </c>
      <c r="O77" s="212">
        <v>19.600000000000001</v>
      </c>
      <c r="P77" s="213"/>
      <c r="Q77" s="213">
        <v>41</v>
      </c>
      <c r="R77" s="214">
        <f t="shared" si="8"/>
        <v>60.6</v>
      </c>
      <c r="S77" s="170">
        <v>1</v>
      </c>
      <c r="T77" s="283"/>
      <c r="U77" s="281"/>
      <c r="V77" s="177" t="s">
        <v>1047</v>
      </c>
      <c r="W77" s="170" t="s">
        <v>113</v>
      </c>
      <c r="X77" s="170" t="s">
        <v>12</v>
      </c>
      <c r="Y77" s="178">
        <v>32.1</v>
      </c>
      <c r="Z77" s="170" t="s">
        <v>1041</v>
      </c>
      <c r="AA77" s="170" t="s">
        <v>22</v>
      </c>
      <c r="AB77" s="170" t="s">
        <v>11</v>
      </c>
      <c r="AC77" s="170">
        <v>19.600000000000001</v>
      </c>
      <c r="AD77" s="177" t="s">
        <v>1043</v>
      </c>
      <c r="AE77" s="170" t="s">
        <v>20</v>
      </c>
      <c r="AF77" s="170" t="s">
        <v>12</v>
      </c>
      <c r="AG77" s="178">
        <v>8.9</v>
      </c>
      <c r="AL77" s="177"/>
      <c r="AO77" s="178"/>
      <c r="AP77" s="177"/>
      <c r="AS77" s="178"/>
      <c r="AW77" s="178"/>
      <c r="BA77" s="179"/>
    </row>
    <row r="78" spans="1:53" s="170" customFormat="1" x14ac:dyDescent="0.15">
      <c r="A78" s="170">
        <v>2010</v>
      </c>
      <c r="B78" s="303">
        <v>40239</v>
      </c>
      <c r="C78" s="395" t="s">
        <v>1048</v>
      </c>
      <c r="D78" s="395"/>
      <c r="E78" s="170">
        <f>365-E77</f>
        <v>305</v>
      </c>
      <c r="F78" s="243">
        <v>0</v>
      </c>
      <c r="G78" s="232">
        <v>3</v>
      </c>
      <c r="I78" s="170">
        <v>5</v>
      </c>
      <c r="J78" s="240">
        <v>12</v>
      </c>
      <c r="K78" s="213">
        <f t="shared" si="16"/>
        <v>25</v>
      </c>
      <c r="L78" s="213">
        <f t="shared" si="17"/>
        <v>0</v>
      </c>
      <c r="M78" s="213">
        <f t="shared" si="18"/>
        <v>41.666666666666671</v>
      </c>
      <c r="N78" s="234">
        <f t="shared" si="9"/>
        <v>66.666666666666671</v>
      </c>
      <c r="O78" s="212">
        <v>19.600000000000001</v>
      </c>
      <c r="P78" s="213"/>
      <c r="Q78" s="213">
        <v>32.1</v>
      </c>
      <c r="R78" s="214">
        <f t="shared" si="8"/>
        <v>51.7</v>
      </c>
      <c r="S78" s="170">
        <v>1</v>
      </c>
      <c r="T78" s="283"/>
      <c r="U78" s="281"/>
      <c r="V78" s="177" t="s">
        <v>1047</v>
      </c>
      <c r="W78" s="170" t="s">
        <v>113</v>
      </c>
      <c r="X78" s="170" t="s">
        <v>12</v>
      </c>
      <c r="Y78" s="178">
        <v>32.1</v>
      </c>
      <c r="Z78" s="170" t="s">
        <v>1041</v>
      </c>
      <c r="AA78" s="170" t="s">
        <v>22</v>
      </c>
      <c r="AB78" s="170" t="s">
        <v>11</v>
      </c>
      <c r="AC78" s="170">
        <v>19.600000000000001</v>
      </c>
      <c r="AD78" s="177"/>
      <c r="AG78" s="178"/>
      <c r="AL78" s="177"/>
      <c r="AO78" s="178"/>
      <c r="AP78" s="177"/>
      <c r="AS78" s="178"/>
      <c r="AW78" s="178"/>
      <c r="BA78" s="179"/>
    </row>
    <row r="79" spans="1:53" s="170" customFormat="1" x14ac:dyDescent="0.15">
      <c r="A79" s="170">
        <v>2011</v>
      </c>
      <c r="B79" s="281"/>
      <c r="C79" s="395" t="s">
        <v>1048</v>
      </c>
      <c r="D79" s="395"/>
      <c r="E79" s="170">
        <v>141</v>
      </c>
      <c r="G79" s="232">
        <v>3</v>
      </c>
      <c r="I79" s="170">
        <v>5</v>
      </c>
      <c r="J79" s="240">
        <v>12</v>
      </c>
      <c r="K79" s="213">
        <f t="shared" ref="K79:K85" si="19">G79/J79*100</f>
        <v>25</v>
      </c>
      <c r="L79" s="213">
        <f t="shared" ref="L79:L85" si="20">H79/J79*100</f>
        <v>0</v>
      </c>
      <c r="M79" s="213">
        <f t="shared" ref="M79:M85" si="21">I79/J79*100</f>
        <v>41.666666666666671</v>
      </c>
      <c r="N79" s="234">
        <f t="shared" si="9"/>
        <v>66.666666666666671</v>
      </c>
      <c r="O79" s="212">
        <v>19.600000000000001</v>
      </c>
      <c r="P79" s="213"/>
      <c r="Q79" s="213">
        <v>32.1</v>
      </c>
      <c r="R79" s="214">
        <f t="shared" si="8"/>
        <v>51.7</v>
      </c>
      <c r="S79" s="170">
        <v>1</v>
      </c>
      <c r="T79" s="283"/>
      <c r="U79" s="281"/>
      <c r="V79" s="177" t="s">
        <v>1047</v>
      </c>
      <c r="W79" s="170" t="s">
        <v>113</v>
      </c>
      <c r="X79" s="170" t="s">
        <v>12</v>
      </c>
      <c r="Y79" s="178">
        <v>32.1</v>
      </c>
      <c r="Z79" s="170" t="s">
        <v>1041</v>
      </c>
      <c r="AA79" s="170" t="s">
        <v>22</v>
      </c>
      <c r="AB79" s="170" t="s">
        <v>11</v>
      </c>
      <c r="AC79" s="170">
        <v>19.600000000000001</v>
      </c>
      <c r="AD79" s="177"/>
      <c r="AG79" s="178"/>
      <c r="AL79" s="177"/>
      <c r="AO79" s="178"/>
      <c r="AP79" s="177"/>
      <c r="AS79" s="178"/>
      <c r="AW79" s="178"/>
      <c r="BA79" s="179"/>
    </row>
    <row r="80" spans="1:53" s="170" customFormat="1" x14ac:dyDescent="0.15">
      <c r="A80" s="170">
        <v>2011</v>
      </c>
      <c r="B80" s="303">
        <v>40685</v>
      </c>
      <c r="C80" s="395" t="s">
        <v>1048</v>
      </c>
      <c r="D80" s="395"/>
      <c r="E80" s="170">
        <v>75</v>
      </c>
      <c r="F80" s="243" t="s">
        <v>327</v>
      </c>
      <c r="G80" s="232">
        <v>3</v>
      </c>
      <c r="I80" s="170">
        <v>6</v>
      </c>
      <c r="J80" s="240">
        <v>12</v>
      </c>
      <c r="K80" s="213">
        <f t="shared" si="19"/>
        <v>25</v>
      </c>
      <c r="L80" s="213">
        <f t="shared" si="20"/>
        <v>0</v>
      </c>
      <c r="M80" s="213">
        <f t="shared" si="21"/>
        <v>50</v>
      </c>
      <c r="N80" s="234">
        <f>SUM(K80:M80)</f>
        <v>75</v>
      </c>
      <c r="O80" s="212">
        <v>16.100000000000001</v>
      </c>
      <c r="P80" s="213"/>
      <c r="Q80" s="213">
        <v>33.9</v>
      </c>
      <c r="R80" s="214">
        <f>SUM(O80:Q80)</f>
        <v>50</v>
      </c>
      <c r="S80" s="170">
        <v>1</v>
      </c>
      <c r="T80" s="283">
        <v>40685</v>
      </c>
      <c r="U80" s="281"/>
      <c r="V80" s="177" t="s">
        <v>1047</v>
      </c>
      <c r="W80" s="170" t="s">
        <v>113</v>
      </c>
      <c r="X80" s="170" t="s">
        <v>12</v>
      </c>
      <c r="Y80" s="178">
        <v>33.9</v>
      </c>
      <c r="Z80" s="170" t="s">
        <v>1041</v>
      </c>
      <c r="AA80" s="170" t="s">
        <v>22</v>
      </c>
      <c r="AB80" s="170" t="s">
        <v>11</v>
      </c>
      <c r="AC80" s="170">
        <v>16.100000000000001</v>
      </c>
      <c r="AD80" s="177"/>
      <c r="AG80" s="178"/>
      <c r="AL80" s="177"/>
      <c r="AO80" s="178"/>
      <c r="AP80" s="177"/>
      <c r="AS80" s="178"/>
      <c r="AW80" s="178"/>
      <c r="BA80" s="179"/>
    </row>
    <row r="81" spans="1:53" s="170" customFormat="1" x14ac:dyDescent="0.15">
      <c r="A81" s="170">
        <v>2011</v>
      </c>
      <c r="B81" s="303">
        <v>40760</v>
      </c>
      <c r="C81" s="395" t="s">
        <v>1048</v>
      </c>
      <c r="D81" s="395"/>
      <c r="E81" s="170">
        <v>149</v>
      </c>
      <c r="F81" s="243">
        <v>0</v>
      </c>
      <c r="G81" s="232"/>
      <c r="I81" s="170">
        <v>5</v>
      </c>
      <c r="J81" s="240">
        <v>12</v>
      </c>
      <c r="K81" s="213">
        <f t="shared" si="19"/>
        <v>0</v>
      </c>
      <c r="L81" s="213">
        <f t="shared" si="20"/>
        <v>0</v>
      </c>
      <c r="M81" s="213">
        <f t="shared" si="21"/>
        <v>41.666666666666671</v>
      </c>
      <c r="N81" s="234">
        <f t="shared" si="9"/>
        <v>41.666666666666671</v>
      </c>
      <c r="O81" s="212"/>
      <c r="P81" s="213"/>
      <c r="Q81" s="213">
        <v>33.9</v>
      </c>
      <c r="R81" s="214">
        <f t="shared" si="8"/>
        <v>33.9</v>
      </c>
      <c r="S81" s="170">
        <v>1</v>
      </c>
      <c r="T81" s="283"/>
      <c r="U81" s="281"/>
      <c r="V81" s="177" t="s">
        <v>1047</v>
      </c>
      <c r="W81" s="170" t="s">
        <v>113</v>
      </c>
      <c r="X81" s="170" t="s">
        <v>12</v>
      </c>
      <c r="Y81" s="178">
        <v>33.9</v>
      </c>
      <c r="AD81" s="177"/>
      <c r="AG81" s="178"/>
      <c r="AL81" s="177"/>
      <c r="AO81" s="178"/>
      <c r="AP81" s="177"/>
      <c r="AS81" s="178"/>
      <c r="AW81" s="178"/>
      <c r="BA81" s="179"/>
    </row>
    <row r="82" spans="1:53" s="170" customFormat="1" x14ac:dyDescent="0.15">
      <c r="A82" s="170">
        <v>2012</v>
      </c>
      <c r="B82" s="303"/>
      <c r="C82" s="395" t="s">
        <v>1048</v>
      </c>
      <c r="D82" s="395"/>
      <c r="E82" s="170">
        <v>82</v>
      </c>
      <c r="F82" s="243"/>
      <c r="G82" s="232"/>
      <c r="I82" s="170">
        <v>5</v>
      </c>
      <c r="J82" s="240">
        <v>12</v>
      </c>
      <c r="K82" s="213">
        <f t="shared" si="19"/>
        <v>0</v>
      </c>
      <c r="L82" s="213">
        <f t="shared" si="20"/>
        <v>0</v>
      </c>
      <c r="M82" s="213">
        <f t="shared" si="21"/>
        <v>41.666666666666671</v>
      </c>
      <c r="N82" s="234">
        <f t="shared" si="9"/>
        <v>41.666666666666671</v>
      </c>
      <c r="O82" s="212"/>
      <c r="P82" s="213"/>
      <c r="Q82" s="213">
        <v>33.9</v>
      </c>
      <c r="R82" s="214">
        <f t="shared" si="8"/>
        <v>33.9</v>
      </c>
      <c r="S82" s="170">
        <v>1</v>
      </c>
      <c r="T82" s="283"/>
      <c r="U82" s="281"/>
      <c r="V82" s="177" t="s">
        <v>1047</v>
      </c>
      <c r="W82" s="170" t="s">
        <v>113</v>
      </c>
      <c r="X82" s="170" t="s">
        <v>12</v>
      </c>
      <c r="Y82" s="178">
        <v>33.9</v>
      </c>
      <c r="AD82" s="177"/>
      <c r="AG82" s="178"/>
      <c r="AL82" s="177"/>
      <c r="AO82" s="178"/>
      <c r="AP82" s="177"/>
      <c r="AS82" s="178"/>
      <c r="AW82" s="178"/>
      <c r="BA82" s="179"/>
    </row>
    <row r="83" spans="1:53" s="170" customFormat="1" x14ac:dyDescent="0.15">
      <c r="A83" s="170">
        <v>2012</v>
      </c>
      <c r="B83" s="303">
        <v>40991</v>
      </c>
      <c r="C83" s="395" t="s">
        <v>1048</v>
      </c>
      <c r="D83" s="395"/>
      <c r="E83" s="170">
        <v>206</v>
      </c>
      <c r="F83" s="243">
        <v>0</v>
      </c>
      <c r="G83" s="232"/>
      <c r="I83" s="170">
        <v>4</v>
      </c>
      <c r="J83" s="240">
        <v>12</v>
      </c>
      <c r="K83" s="213">
        <f t="shared" si="19"/>
        <v>0</v>
      </c>
      <c r="L83" s="213">
        <f t="shared" si="20"/>
        <v>0</v>
      </c>
      <c r="M83" s="213">
        <f t="shared" si="21"/>
        <v>33.333333333333329</v>
      </c>
      <c r="N83" s="234">
        <f t="shared" si="9"/>
        <v>33.333333333333329</v>
      </c>
      <c r="O83" s="212"/>
      <c r="P83" s="213"/>
      <c r="Q83" s="213">
        <v>33.9</v>
      </c>
      <c r="R83" s="214">
        <f t="shared" si="8"/>
        <v>33.9</v>
      </c>
      <c r="S83" s="170">
        <v>1</v>
      </c>
      <c r="T83" s="283"/>
      <c r="U83" s="281"/>
      <c r="V83" s="177" t="s">
        <v>1047</v>
      </c>
      <c r="W83" s="170" t="s">
        <v>113</v>
      </c>
      <c r="X83" s="170" t="s">
        <v>12</v>
      </c>
      <c r="Y83" s="178">
        <v>33.9</v>
      </c>
      <c r="AD83" s="177"/>
      <c r="AG83" s="178"/>
      <c r="AL83" s="177"/>
      <c r="AO83" s="178"/>
      <c r="AP83" s="177"/>
      <c r="AS83" s="178"/>
      <c r="AW83" s="178"/>
      <c r="BA83" s="179"/>
    </row>
    <row r="84" spans="1:53" s="170" customFormat="1" x14ac:dyDescent="0.15">
      <c r="A84" s="170">
        <v>2012</v>
      </c>
      <c r="B84" s="303">
        <v>41197</v>
      </c>
      <c r="C84" s="395" t="s">
        <v>1048</v>
      </c>
      <c r="D84" s="395"/>
      <c r="E84" s="170">
        <v>78</v>
      </c>
      <c r="F84" s="243">
        <v>0</v>
      </c>
      <c r="G84" s="232"/>
      <c r="I84" s="170">
        <v>3</v>
      </c>
      <c r="J84" s="240">
        <v>12</v>
      </c>
      <c r="K84" s="213">
        <f t="shared" si="19"/>
        <v>0</v>
      </c>
      <c r="L84" s="213">
        <f t="shared" si="20"/>
        <v>0</v>
      </c>
      <c r="M84" s="213">
        <f t="shared" si="21"/>
        <v>25</v>
      </c>
      <c r="N84" s="234">
        <f t="shared" si="9"/>
        <v>25</v>
      </c>
      <c r="O84" s="212"/>
      <c r="P84" s="213"/>
      <c r="Q84" s="213">
        <v>33.9</v>
      </c>
      <c r="R84" s="214">
        <f t="shared" si="8"/>
        <v>33.9</v>
      </c>
      <c r="S84" s="170">
        <v>1</v>
      </c>
      <c r="T84" s="283"/>
      <c r="U84" s="281"/>
      <c r="V84" s="177" t="s">
        <v>1047</v>
      </c>
      <c r="W84" s="170" t="s">
        <v>113</v>
      </c>
      <c r="X84" s="170" t="s">
        <v>12</v>
      </c>
      <c r="Y84" s="178">
        <v>33.9</v>
      </c>
      <c r="AD84" s="177"/>
      <c r="AG84" s="178"/>
      <c r="AL84" s="177"/>
      <c r="AO84" s="178"/>
      <c r="AP84" s="177"/>
      <c r="AS84" s="178"/>
      <c r="AW84" s="178"/>
      <c r="BA84" s="179"/>
    </row>
    <row r="85" spans="1:53" s="170" customFormat="1" x14ac:dyDescent="0.15">
      <c r="A85" s="170">
        <v>2013</v>
      </c>
      <c r="B85" s="303"/>
      <c r="C85" s="395" t="s">
        <v>1048</v>
      </c>
      <c r="D85" s="395"/>
      <c r="E85" s="170">
        <v>58</v>
      </c>
      <c r="F85" s="243"/>
      <c r="G85" s="232"/>
      <c r="I85" s="170">
        <v>3</v>
      </c>
      <c r="J85" s="240">
        <v>12</v>
      </c>
      <c r="K85" s="213">
        <f t="shared" si="19"/>
        <v>0</v>
      </c>
      <c r="L85" s="213">
        <f t="shared" si="20"/>
        <v>0</v>
      </c>
      <c r="M85" s="213">
        <f t="shared" si="21"/>
        <v>25</v>
      </c>
      <c r="N85" s="234">
        <f t="shared" si="9"/>
        <v>25</v>
      </c>
      <c r="O85" s="212"/>
      <c r="P85" s="213"/>
      <c r="Q85" s="213">
        <v>33.9</v>
      </c>
      <c r="R85" s="214">
        <f t="shared" si="8"/>
        <v>33.9</v>
      </c>
      <c r="S85" s="170">
        <v>1</v>
      </c>
      <c r="T85" s="283"/>
      <c r="U85" s="281"/>
      <c r="V85" s="177" t="s">
        <v>1047</v>
      </c>
      <c r="W85" s="170" t="s">
        <v>113</v>
      </c>
      <c r="X85" s="170" t="s">
        <v>12</v>
      </c>
      <c r="Y85" s="178">
        <v>33.9</v>
      </c>
      <c r="AD85" s="177"/>
      <c r="AG85" s="178"/>
      <c r="AL85" s="177"/>
      <c r="AO85" s="178"/>
      <c r="AP85" s="177"/>
      <c r="AS85" s="178"/>
      <c r="AW85" s="178"/>
      <c r="BA85" s="179"/>
    </row>
    <row r="86" spans="1:53" s="28" customFormat="1" ht="11" customHeight="1" x14ac:dyDescent="0.15">
      <c r="A86" s="28">
        <v>2013</v>
      </c>
      <c r="B86" s="293">
        <v>41333</v>
      </c>
      <c r="C86" s="394" t="s">
        <v>1249</v>
      </c>
      <c r="D86" s="394"/>
      <c r="E86" s="28">
        <v>34</v>
      </c>
      <c r="F86" s="28">
        <v>1</v>
      </c>
      <c r="G86" s="65">
        <v>11</v>
      </c>
      <c r="J86" s="72">
        <v>12</v>
      </c>
      <c r="K86" s="46">
        <f>G86/J86*100</f>
        <v>91.666666666666657</v>
      </c>
      <c r="L86" s="46">
        <f>H86/J86*100</f>
        <v>0</v>
      </c>
      <c r="M86" s="46">
        <f>I86/J86*100</f>
        <v>0</v>
      </c>
      <c r="N86" s="67">
        <f t="shared" si="9"/>
        <v>91.666666666666657</v>
      </c>
      <c r="O86" s="45">
        <v>53.6</v>
      </c>
      <c r="P86" s="46"/>
      <c r="Q86" s="46"/>
      <c r="R86" s="47">
        <f t="shared" si="8"/>
        <v>53.6</v>
      </c>
      <c r="S86" s="28">
        <v>1</v>
      </c>
      <c r="T86" s="284"/>
      <c r="U86" s="293">
        <v>41333</v>
      </c>
      <c r="V86" s="37" t="s">
        <v>1040</v>
      </c>
      <c r="W86" s="28" t="s">
        <v>74</v>
      </c>
      <c r="X86" s="28" t="s">
        <v>11</v>
      </c>
      <c r="Y86" s="38">
        <v>35.700000000000003</v>
      </c>
      <c r="Z86" s="28" t="s">
        <v>1041</v>
      </c>
      <c r="AA86" s="28" t="s">
        <v>22</v>
      </c>
      <c r="AB86" s="28" t="s">
        <v>11</v>
      </c>
      <c r="AC86" s="28">
        <v>14.3</v>
      </c>
      <c r="AD86" s="37" t="s">
        <v>1250</v>
      </c>
      <c r="AE86" s="28" t="s">
        <v>106</v>
      </c>
      <c r="AF86" s="28" t="s">
        <v>11</v>
      </c>
      <c r="AG86" s="38">
        <v>3.6</v>
      </c>
      <c r="AL86" s="37"/>
      <c r="AO86" s="38"/>
      <c r="AP86" s="37"/>
      <c r="AS86" s="38"/>
      <c r="AW86" s="38"/>
      <c r="BA86" s="39"/>
    </row>
    <row r="87" spans="1:53" s="28" customFormat="1" ht="11" customHeight="1" x14ac:dyDescent="0.15">
      <c r="A87" s="28">
        <v>2013</v>
      </c>
      <c r="B87" s="301">
        <v>41367</v>
      </c>
      <c r="C87" s="394" t="s">
        <v>1249</v>
      </c>
      <c r="D87" s="394"/>
      <c r="E87" s="28">
        <f>365-E86-E85</f>
        <v>273</v>
      </c>
      <c r="F87" s="83">
        <v>0</v>
      </c>
      <c r="G87" s="65">
        <v>12</v>
      </c>
      <c r="J87" s="72">
        <v>12</v>
      </c>
      <c r="K87" s="46">
        <f>G87/J87*100</f>
        <v>100</v>
      </c>
      <c r="L87" s="46">
        <f>H87/J87*100</f>
        <v>0</v>
      </c>
      <c r="M87" s="46">
        <f>I87/J87*100</f>
        <v>0</v>
      </c>
      <c r="N87" s="67">
        <f t="shared" si="9"/>
        <v>100</v>
      </c>
      <c r="O87" s="45">
        <v>53.6</v>
      </c>
      <c r="P87" s="46"/>
      <c r="Q87" s="46"/>
      <c r="R87" s="47">
        <f>SUM(O87:Q87)</f>
        <v>53.6</v>
      </c>
      <c r="S87" s="28">
        <v>1</v>
      </c>
      <c r="T87" s="284"/>
      <c r="U87" s="293"/>
      <c r="V87" s="37" t="s">
        <v>1040</v>
      </c>
      <c r="W87" s="28" t="s">
        <v>74</v>
      </c>
      <c r="X87" s="28" t="s">
        <v>11</v>
      </c>
      <c r="Y87" s="38">
        <v>35.700000000000003</v>
      </c>
      <c r="Z87" s="28" t="s">
        <v>1041</v>
      </c>
      <c r="AA87" s="28" t="s">
        <v>22</v>
      </c>
      <c r="AB87" s="28" t="s">
        <v>11</v>
      </c>
      <c r="AC87" s="28">
        <v>14.3</v>
      </c>
      <c r="AD87" s="37" t="s">
        <v>1250</v>
      </c>
      <c r="AE87" s="28" t="s">
        <v>106</v>
      </c>
      <c r="AF87" s="28" t="s">
        <v>11</v>
      </c>
      <c r="AG87" s="38">
        <v>3.6</v>
      </c>
      <c r="AL87" s="37"/>
      <c r="AO87" s="38"/>
      <c r="AP87" s="37"/>
      <c r="AS87" s="38"/>
      <c r="AW87" s="38"/>
      <c r="BA87" s="39"/>
    </row>
    <row r="88" spans="1:53" s="28" customFormat="1" ht="11" customHeight="1" x14ac:dyDescent="0.15">
      <c r="A88" s="28">
        <v>2014</v>
      </c>
      <c r="B88" s="301"/>
      <c r="C88" s="394" t="s">
        <v>1249</v>
      </c>
      <c r="D88" s="394"/>
      <c r="E88" s="28">
        <v>61</v>
      </c>
      <c r="F88" s="83"/>
      <c r="G88" s="65">
        <v>12</v>
      </c>
      <c r="J88" s="72">
        <v>12</v>
      </c>
      <c r="K88" s="46">
        <f>G88/J88*100</f>
        <v>100</v>
      </c>
      <c r="L88" s="46">
        <f>H88/J88*100</f>
        <v>0</v>
      </c>
      <c r="M88" s="46">
        <f>I88/J88*100</f>
        <v>0</v>
      </c>
      <c r="N88" s="67">
        <f>SUM(K88:M88)</f>
        <v>100</v>
      </c>
      <c r="O88" s="45">
        <v>53.6</v>
      </c>
      <c r="P88" s="46"/>
      <c r="Q88" s="46"/>
      <c r="R88" s="47">
        <f>SUM(O88:Q88)</f>
        <v>53.6</v>
      </c>
      <c r="S88" s="28">
        <v>1</v>
      </c>
      <c r="T88" s="284"/>
      <c r="U88" s="293"/>
      <c r="V88" s="37" t="s">
        <v>1040</v>
      </c>
      <c r="W88" s="28" t="s">
        <v>74</v>
      </c>
      <c r="X88" s="28" t="s">
        <v>11</v>
      </c>
      <c r="Y88" s="38">
        <v>35.700000000000003</v>
      </c>
      <c r="Z88" s="28" t="s">
        <v>1041</v>
      </c>
      <c r="AA88" s="28" t="s">
        <v>22</v>
      </c>
      <c r="AB88" s="28" t="s">
        <v>11</v>
      </c>
      <c r="AC88" s="28">
        <v>14.3</v>
      </c>
      <c r="AD88" s="37" t="s">
        <v>1250</v>
      </c>
      <c r="AE88" s="28" t="s">
        <v>106</v>
      </c>
      <c r="AF88" s="28" t="s">
        <v>11</v>
      </c>
      <c r="AG88" s="38">
        <v>3.6</v>
      </c>
      <c r="AL88" s="37"/>
      <c r="AO88" s="38"/>
      <c r="AP88" s="37"/>
      <c r="AS88" s="38"/>
      <c r="AW88" s="38"/>
      <c r="BA88" s="39"/>
    </row>
    <row r="89" spans="1:53" s="28" customFormat="1" ht="11" customHeight="1" x14ac:dyDescent="0.15">
      <c r="A89" s="28">
        <v>2014</v>
      </c>
      <c r="B89" s="301">
        <v>41701</v>
      </c>
      <c r="C89" s="394" t="s">
        <v>1249</v>
      </c>
      <c r="D89" s="394"/>
      <c r="E89" s="28">
        <v>11</v>
      </c>
      <c r="F89" s="83">
        <v>0</v>
      </c>
      <c r="G89" s="65">
        <v>11</v>
      </c>
      <c r="J89" s="72">
        <v>12</v>
      </c>
      <c r="K89" s="46">
        <f>G89/J89*100</f>
        <v>91.666666666666657</v>
      </c>
      <c r="L89" s="46">
        <f>H89/J89*100</f>
        <v>0</v>
      </c>
      <c r="M89" s="46">
        <f>I89/J89*100</f>
        <v>0</v>
      </c>
      <c r="N89" s="67">
        <f>SUM(K89:M89)</f>
        <v>91.666666666666657</v>
      </c>
      <c r="O89" s="45">
        <v>53.6</v>
      </c>
      <c r="P89" s="46"/>
      <c r="Q89" s="46"/>
      <c r="R89" s="47">
        <f>SUM(O89:Q89)</f>
        <v>53.6</v>
      </c>
      <c r="S89" s="28">
        <v>1</v>
      </c>
      <c r="T89" s="284"/>
      <c r="U89" s="293"/>
      <c r="V89" s="37" t="s">
        <v>1040</v>
      </c>
      <c r="W89" s="28" t="s">
        <v>74</v>
      </c>
      <c r="X89" s="28" t="s">
        <v>11</v>
      </c>
      <c r="Y89" s="38">
        <v>35.700000000000003</v>
      </c>
      <c r="Z89" s="28" t="s">
        <v>1041</v>
      </c>
      <c r="AA89" s="28" t="s">
        <v>22</v>
      </c>
      <c r="AB89" s="28" t="s">
        <v>11</v>
      </c>
      <c r="AC89" s="28">
        <v>14.3</v>
      </c>
      <c r="AD89" s="37" t="s">
        <v>1250</v>
      </c>
      <c r="AE89" s="28" t="s">
        <v>106</v>
      </c>
      <c r="AF89" s="28" t="s">
        <v>11</v>
      </c>
      <c r="AG89" s="38">
        <v>3.6</v>
      </c>
      <c r="AL89" s="37"/>
      <c r="AO89" s="38"/>
      <c r="AP89" s="37"/>
      <c r="AS89" s="38"/>
      <c r="AW89" s="38"/>
      <c r="BA89" s="39"/>
    </row>
    <row r="90" spans="1:53" s="28" customFormat="1" ht="11" customHeight="1" x14ac:dyDescent="0.15">
      <c r="A90" s="28">
        <v>2014</v>
      </c>
      <c r="B90" s="301">
        <v>41712</v>
      </c>
      <c r="C90" s="394" t="s">
        <v>1249</v>
      </c>
      <c r="D90" s="394"/>
      <c r="E90" s="28">
        <v>293</v>
      </c>
      <c r="F90" s="83">
        <v>0</v>
      </c>
      <c r="G90" s="65">
        <v>8</v>
      </c>
      <c r="J90" s="72">
        <v>12</v>
      </c>
      <c r="K90" s="46">
        <f>G90/J90*100</f>
        <v>66.666666666666657</v>
      </c>
      <c r="L90" s="46">
        <f>H90/J90*100</f>
        <v>0</v>
      </c>
      <c r="M90" s="46">
        <f>I90/J90*100</f>
        <v>0</v>
      </c>
      <c r="N90" s="67">
        <f>SUM(K90:M90)</f>
        <v>66.666666666666657</v>
      </c>
      <c r="O90" s="45">
        <v>37.5</v>
      </c>
      <c r="P90" s="46"/>
      <c r="Q90" s="46"/>
      <c r="R90" s="47">
        <f>SUM(O90:Q90)</f>
        <v>37.5</v>
      </c>
      <c r="S90" s="28">
        <v>1</v>
      </c>
      <c r="T90" s="284"/>
      <c r="U90" s="293">
        <v>41712</v>
      </c>
      <c r="V90" s="37" t="s">
        <v>1040</v>
      </c>
      <c r="W90" s="28" t="s">
        <v>74</v>
      </c>
      <c r="X90" s="28" t="s">
        <v>11</v>
      </c>
      <c r="Y90" s="38">
        <v>35.700000000000003</v>
      </c>
      <c r="Z90" s="28" t="s">
        <v>1250</v>
      </c>
      <c r="AA90" s="28" t="s">
        <v>106</v>
      </c>
      <c r="AB90" s="28" t="s">
        <v>11</v>
      </c>
      <c r="AC90" s="28">
        <v>1.8</v>
      </c>
      <c r="AD90" s="37"/>
      <c r="AG90" s="38"/>
      <c r="AL90" s="37"/>
      <c r="AO90" s="38"/>
      <c r="AP90" s="37"/>
      <c r="AS90" s="38"/>
      <c r="AW90" s="38"/>
      <c r="BA90" s="39"/>
    </row>
    <row r="91" spans="1:53" s="28" customFormat="1" ht="11" customHeight="1" x14ac:dyDescent="0.15">
      <c r="A91" s="28">
        <v>2015</v>
      </c>
      <c r="B91" s="301"/>
      <c r="C91" s="394" t="s">
        <v>1249</v>
      </c>
      <c r="D91" s="394"/>
      <c r="E91" s="28">
        <v>0</v>
      </c>
      <c r="F91" s="83"/>
      <c r="G91" s="65">
        <v>9</v>
      </c>
      <c r="J91" s="72">
        <v>12</v>
      </c>
      <c r="K91" s="46">
        <f t="shared" ref="K91" si="22">G91/J91*100</f>
        <v>75</v>
      </c>
      <c r="L91" s="46">
        <f t="shared" ref="L91:L96" si="23">H91/J91*100</f>
        <v>0</v>
      </c>
      <c r="M91" s="46">
        <f t="shared" ref="M91:M96" si="24">I91/J91*100</f>
        <v>0</v>
      </c>
      <c r="N91" s="67">
        <f t="shared" ref="N91:N96" si="25">SUM(K91:M91)</f>
        <v>75</v>
      </c>
      <c r="O91" s="45">
        <v>37.5</v>
      </c>
      <c r="P91" s="46"/>
      <c r="Q91" s="46"/>
      <c r="R91" s="47">
        <f t="shared" ref="R91:R96" si="26">SUM(O91:Q91)</f>
        <v>37.5</v>
      </c>
      <c r="S91" s="28">
        <v>1</v>
      </c>
      <c r="T91" s="284"/>
      <c r="U91" s="293"/>
      <c r="V91" s="37" t="s">
        <v>1040</v>
      </c>
      <c r="W91" s="28" t="s">
        <v>74</v>
      </c>
      <c r="X91" s="28" t="s">
        <v>11</v>
      </c>
      <c r="Y91" s="38">
        <v>35.700000000000003</v>
      </c>
      <c r="Z91" s="28" t="s">
        <v>1250</v>
      </c>
      <c r="AA91" s="28" t="s">
        <v>106</v>
      </c>
      <c r="AB91" s="28" t="s">
        <v>11</v>
      </c>
      <c r="AC91" s="28">
        <v>1.8</v>
      </c>
      <c r="AD91" s="37"/>
      <c r="AG91" s="38"/>
      <c r="AL91" s="37"/>
      <c r="AO91" s="38"/>
      <c r="AP91" s="37"/>
      <c r="AS91" s="38"/>
      <c r="AW91" s="38"/>
      <c r="BA91" s="39"/>
    </row>
    <row r="92" spans="1:53" s="28" customFormat="1" ht="11" customHeight="1" x14ac:dyDescent="0.15">
      <c r="A92" s="28">
        <v>2015</v>
      </c>
      <c r="B92" s="301"/>
      <c r="C92" s="394" t="s">
        <v>1249</v>
      </c>
      <c r="D92" s="394"/>
      <c r="E92" s="28">
        <v>365</v>
      </c>
      <c r="F92" s="83"/>
      <c r="G92" s="65">
        <v>9</v>
      </c>
      <c r="J92" s="72">
        <v>12</v>
      </c>
      <c r="K92" s="46">
        <f t="shared" ref="K92:K97" si="27">G92/J92*100</f>
        <v>75</v>
      </c>
      <c r="L92" s="46">
        <f t="shared" si="23"/>
        <v>0</v>
      </c>
      <c r="M92" s="46">
        <f t="shared" si="24"/>
        <v>0</v>
      </c>
      <c r="N92" s="67">
        <f t="shared" si="25"/>
        <v>75</v>
      </c>
      <c r="O92" s="45">
        <v>37.5</v>
      </c>
      <c r="P92" s="46"/>
      <c r="Q92" s="46"/>
      <c r="R92" s="47">
        <f t="shared" si="26"/>
        <v>37.5</v>
      </c>
      <c r="S92" s="28">
        <v>1</v>
      </c>
      <c r="T92" s="284"/>
      <c r="U92" s="293"/>
      <c r="V92" s="37" t="s">
        <v>1040</v>
      </c>
      <c r="W92" s="28" t="s">
        <v>74</v>
      </c>
      <c r="X92" s="28" t="s">
        <v>11</v>
      </c>
      <c r="Y92" s="38">
        <v>35.700000000000003</v>
      </c>
      <c r="Z92" s="28" t="s">
        <v>1250</v>
      </c>
      <c r="AA92" s="28" t="s">
        <v>106</v>
      </c>
      <c r="AB92" s="28" t="s">
        <v>11</v>
      </c>
      <c r="AC92" s="28">
        <v>1.8</v>
      </c>
      <c r="AD92" s="37"/>
      <c r="AG92" s="38"/>
      <c r="AL92" s="37"/>
      <c r="AO92" s="38"/>
      <c r="AP92" s="37"/>
      <c r="AS92" s="38"/>
      <c r="AW92" s="38"/>
      <c r="BA92" s="39"/>
    </row>
    <row r="93" spans="1:53" s="28" customFormat="1" ht="11" customHeight="1" x14ac:dyDescent="0.15">
      <c r="A93" s="28">
        <v>2016</v>
      </c>
      <c r="B93" s="301"/>
      <c r="C93" s="394" t="s">
        <v>1249</v>
      </c>
      <c r="D93" s="394"/>
      <c r="E93" s="28">
        <v>88</v>
      </c>
      <c r="F93" s="83"/>
      <c r="G93" s="65">
        <v>9</v>
      </c>
      <c r="J93" s="72">
        <v>12</v>
      </c>
      <c r="K93" s="46">
        <f t="shared" si="27"/>
        <v>75</v>
      </c>
      <c r="L93" s="46">
        <f t="shared" si="23"/>
        <v>0</v>
      </c>
      <c r="M93" s="46">
        <f t="shared" si="24"/>
        <v>0</v>
      </c>
      <c r="N93" s="67">
        <f t="shared" si="25"/>
        <v>75</v>
      </c>
      <c r="O93" s="45">
        <v>37.5</v>
      </c>
      <c r="P93" s="46"/>
      <c r="Q93" s="46"/>
      <c r="R93" s="47">
        <f t="shared" si="26"/>
        <v>37.5</v>
      </c>
      <c r="S93" s="28">
        <v>1</v>
      </c>
      <c r="T93" s="284"/>
      <c r="U93" s="293"/>
      <c r="V93" s="37" t="s">
        <v>1040</v>
      </c>
      <c r="W93" s="28" t="s">
        <v>74</v>
      </c>
      <c r="X93" s="28" t="s">
        <v>11</v>
      </c>
      <c r="Y93" s="38">
        <v>35.700000000000003</v>
      </c>
      <c r="Z93" s="28" t="s">
        <v>1250</v>
      </c>
      <c r="AA93" s="28" t="s">
        <v>106</v>
      </c>
      <c r="AB93" s="28" t="s">
        <v>11</v>
      </c>
      <c r="AC93" s="28">
        <v>1.8</v>
      </c>
      <c r="AD93" s="37"/>
      <c r="AG93" s="38"/>
      <c r="AL93" s="37"/>
      <c r="AO93" s="38"/>
      <c r="AP93" s="37"/>
      <c r="AS93" s="38"/>
      <c r="AW93" s="38"/>
      <c r="BA93" s="39"/>
    </row>
    <row r="94" spans="1:53" s="28" customFormat="1" ht="11" customHeight="1" x14ac:dyDescent="0.15">
      <c r="A94" s="28">
        <v>2016</v>
      </c>
      <c r="B94" s="301">
        <v>42458</v>
      </c>
      <c r="C94" s="394" t="s">
        <v>1249</v>
      </c>
      <c r="D94" s="394"/>
      <c r="E94" s="28">
        <v>54</v>
      </c>
      <c r="F94" s="83">
        <v>0</v>
      </c>
      <c r="G94" s="65">
        <v>8</v>
      </c>
      <c r="J94" s="72">
        <v>12</v>
      </c>
      <c r="K94" s="46">
        <f t="shared" si="27"/>
        <v>66.666666666666657</v>
      </c>
      <c r="L94" s="46">
        <f t="shared" ref="L94" si="28">H94/J94*100</f>
        <v>0</v>
      </c>
      <c r="M94" s="46">
        <f t="shared" ref="M94" si="29">I94/J94*100</f>
        <v>0</v>
      </c>
      <c r="N94" s="67">
        <f t="shared" ref="N94" si="30">SUM(K94:M94)</f>
        <v>66.666666666666657</v>
      </c>
      <c r="O94" s="45">
        <v>35.700000000000003</v>
      </c>
      <c r="P94" s="46"/>
      <c r="Q94" s="46"/>
      <c r="R94" s="47">
        <f t="shared" ref="R94" si="31">SUM(O94:Q94)</f>
        <v>35.700000000000003</v>
      </c>
      <c r="S94" s="28">
        <v>1</v>
      </c>
      <c r="T94" s="284"/>
      <c r="U94" s="293"/>
      <c r="V94" s="37" t="s">
        <v>1040</v>
      </c>
      <c r="W94" s="28" t="s">
        <v>74</v>
      </c>
      <c r="X94" s="28" t="s">
        <v>11</v>
      </c>
      <c r="Y94" s="38">
        <v>35.700000000000003</v>
      </c>
      <c r="AD94" s="37"/>
      <c r="AG94" s="38"/>
      <c r="AL94" s="37"/>
      <c r="AO94" s="38"/>
      <c r="AP94" s="37"/>
      <c r="AS94" s="38"/>
      <c r="AW94" s="38"/>
      <c r="BA94" s="39"/>
    </row>
    <row r="95" spans="1:53" s="28" customFormat="1" ht="11" customHeight="1" x14ac:dyDescent="0.15">
      <c r="A95" s="28">
        <v>2016</v>
      </c>
      <c r="B95" s="301"/>
      <c r="C95" s="394" t="s">
        <v>1249</v>
      </c>
      <c r="D95" s="394"/>
      <c r="E95" s="28">
        <v>224</v>
      </c>
      <c r="F95" s="83"/>
      <c r="G95" s="65">
        <v>8</v>
      </c>
      <c r="J95" s="72">
        <v>12</v>
      </c>
      <c r="K95" s="46">
        <f t="shared" si="27"/>
        <v>66.666666666666657</v>
      </c>
      <c r="L95" s="46">
        <f t="shared" si="23"/>
        <v>0</v>
      </c>
      <c r="M95" s="46">
        <f t="shared" si="24"/>
        <v>0</v>
      </c>
      <c r="N95" s="67">
        <f t="shared" si="25"/>
        <v>66.666666666666657</v>
      </c>
      <c r="O95" s="45">
        <v>32.1</v>
      </c>
      <c r="P95" s="46"/>
      <c r="Q95" s="46"/>
      <c r="R95" s="47">
        <f t="shared" ref="R95" si="32">SUM(O95:Q95)</f>
        <v>32.1</v>
      </c>
      <c r="S95" s="28">
        <v>1</v>
      </c>
      <c r="T95" s="284">
        <v>42512</v>
      </c>
      <c r="U95" s="293"/>
      <c r="V95" s="37" t="s">
        <v>1040</v>
      </c>
      <c r="W95" s="28" t="s">
        <v>74</v>
      </c>
      <c r="X95" s="28" t="s">
        <v>11</v>
      </c>
      <c r="Y95" s="38">
        <v>32.1</v>
      </c>
      <c r="AD95" s="37"/>
      <c r="AG95" s="38"/>
      <c r="AL95" s="37"/>
      <c r="AO95" s="38"/>
      <c r="AP95" s="37"/>
      <c r="AS95" s="38"/>
      <c r="AW95" s="38"/>
      <c r="BA95" s="39"/>
    </row>
    <row r="96" spans="1:53" s="28" customFormat="1" ht="11" customHeight="1" x14ac:dyDescent="0.15">
      <c r="A96" s="28">
        <v>2017</v>
      </c>
      <c r="B96" s="301"/>
      <c r="C96" s="394" t="s">
        <v>1249</v>
      </c>
      <c r="D96" s="394"/>
      <c r="E96" s="28">
        <v>0</v>
      </c>
      <c r="F96" s="83"/>
      <c r="G96" s="65">
        <v>8</v>
      </c>
      <c r="J96" s="72">
        <v>12</v>
      </c>
      <c r="K96" s="46">
        <f t="shared" si="27"/>
        <v>66.666666666666657</v>
      </c>
      <c r="L96" s="46">
        <f t="shared" si="23"/>
        <v>0</v>
      </c>
      <c r="M96" s="46">
        <f t="shared" si="24"/>
        <v>0</v>
      </c>
      <c r="N96" s="67">
        <f t="shared" si="25"/>
        <v>66.666666666666657</v>
      </c>
      <c r="O96" s="45">
        <v>32.1</v>
      </c>
      <c r="P96" s="46"/>
      <c r="Q96" s="46"/>
      <c r="R96" s="47">
        <f t="shared" si="26"/>
        <v>32.1</v>
      </c>
      <c r="S96" s="28">
        <v>1</v>
      </c>
      <c r="T96" s="284"/>
      <c r="U96" s="293"/>
      <c r="V96" s="37" t="s">
        <v>1040</v>
      </c>
      <c r="W96" s="28" t="s">
        <v>74</v>
      </c>
      <c r="X96" s="28" t="s">
        <v>11</v>
      </c>
      <c r="Y96" s="38">
        <v>32.1</v>
      </c>
      <c r="AD96" s="37"/>
      <c r="AG96" s="38"/>
      <c r="AL96" s="37"/>
      <c r="AO96" s="38"/>
      <c r="AP96" s="37"/>
      <c r="AS96" s="38"/>
      <c r="AW96" s="38"/>
      <c r="BA96" s="39"/>
    </row>
    <row r="97" spans="1:53" s="28" customFormat="1" ht="11" customHeight="1" x14ac:dyDescent="0.15">
      <c r="A97" s="28">
        <v>2017</v>
      </c>
      <c r="B97" s="301"/>
      <c r="C97" s="394" t="s">
        <v>1249</v>
      </c>
      <c r="D97" s="394"/>
      <c r="E97" s="28">
        <v>365</v>
      </c>
      <c r="F97" s="83"/>
      <c r="G97" s="65">
        <v>8</v>
      </c>
      <c r="J97" s="72">
        <v>12</v>
      </c>
      <c r="K97" s="46">
        <f t="shared" si="27"/>
        <v>66.666666666666657</v>
      </c>
      <c r="L97" s="46">
        <f>H97/J97*100</f>
        <v>0</v>
      </c>
      <c r="M97" s="46">
        <f>I97/J97*100</f>
        <v>0</v>
      </c>
      <c r="N97" s="67">
        <f>SUM(K97:M97)</f>
        <v>66.666666666666657</v>
      </c>
      <c r="O97" s="45">
        <v>32.1</v>
      </c>
      <c r="P97" s="46"/>
      <c r="Q97" s="46"/>
      <c r="R97" s="47">
        <f t="shared" ref="R97:R109" si="33">SUM(O97:Q97)</f>
        <v>32.1</v>
      </c>
      <c r="S97" s="28">
        <v>1</v>
      </c>
      <c r="T97" s="284"/>
      <c r="U97" s="293"/>
      <c r="V97" s="37" t="s">
        <v>1040</v>
      </c>
      <c r="W97" s="28" t="s">
        <v>74</v>
      </c>
      <c r="X97" s="28" t="s">
        <v>11</v>
      </c>
      <c r="Y97" s="38">
        <v>32.1</v>
      </c>
      <c r="AD97" s="37"/>
      <c r="AG97" s="38"/>
      <c r="AL97" s="37"/>
      <c r="AO97" s="38"/>
      <c r="AP97" s="37"/>
      <c r="AS97" s="38"/>
      <c r="AW97" s="38"/>
      <c r="BA97" s="39"/>
    </row>
    <row r="98" spans="1:53" s="28" customFormat="1" ht="11" customHeight="1" x14ac:dyDescent="0.15">
      <c r="A98" s="28">
        <v>2018</v>
      </c>
      <c r="B98" s="301"/>
      <c r="C98" s="394" t="s">
        <v>1249</v>
      </c>
      <c r="D98" s="394"/>
      <c r="E98" s="28">
        <v>59</v>
      </c>
      <c r="F98" s="83"/>
      <c r="G98" s="65">
        <v>8</v>
      </c>
      <c r="J98" s="72">
        <v>12</v>
      </c>
      <c r="K98" s="46">
        <f t="shared" ref="K98:K99" si="34">G98/J98*100</f>
        <v>66.666666666666657</v>
      </c>
      <c r="L98" s="46">
        <f t="shared" ref="L98:L99" si="35">H98/J98*100</f>
        <v>0</v>
      </c>
      <c r="M98" s="46">
        <f t="shared" ref="M98:M99" si="36">I98/J98*100</f>
        <v>0</v>
      </c>
      <c r="N98" s="67">
        <f t="shared" ref="N98:N99" si="37">SUM(K98:M98)</f>
        <v>66.666666666666657</v>
      </c>
      <c r="O98" s="45">
        <v>32.1</v>
      </c>
      <c r="P98" s="46"/>
      <c r="Q98" s="46"/>
      <c r="R98" s="47">
        <f t="shared" si="33"/>
        <v>32.1</v>
      </c>
      <c r="S98" s="28">
        <v>1</v>
      </c>
      <c r="T98" s="284"/>
      <c r="U98" s="293"/>
      <c r="V98" s="37" t="s">
        <v>1040</v>
      </c>
      <c r="W98" s="28" t="s">
        <v>74</v>
      </c>
      <c r="X98" s="28" t="s">
        <v>11</v>
      </c>
      <c r="Y98" s="38">
        <v>32.1</v>
      </c>
      <c r="AD98" s="37"/>
      <c r="AG98" s="38"/>
      <c r="AL98" s="37"/>
      <c r="AO98" s="38"/>
      <c r="AP98" s="37"/>
      <c r="AS98" s="38"/>
      <c r="AW98" s="38"/>
      <c r="BA98" s="39"/>
    </row>
    <row r="99" spans="1:53" s="170" customFormat="1" x14ac:dyDescent="0.15">
      <c r="A99" s="170">
        <v>2018</v>
      </c>
      <c r="B99" s="281">
        <v>43160</v>
      </c>
      <c r="C99" s="395" t="s">
        <v>1388</v>
      </c>
      <c r="D99" s="395"/>
      <c r="E99" s="170">
        <v>306</v>
      </c>
      <c r="F99" s="170">
        <v>1</v>
      </c>
      <c r="G99" s="232">
        <v>6</v>
      </c>
      <c r="J99" s="240">
        <v>12</v>
      </c>
      <c r="K99" s="213">
        <f t="shared" si="34"/>
        <v>50</v>
      </c>
      <c r="L99" s="213">
        <f t="shared" si="35"/>
        <v>0</v>
      </c>
      <c r="M99" s="213">
        <f t="shared" si="36"/>
        <v>0</v>
      </c>
      <c r="N99" s="234">
        <f t="shared" si="37"/>
        <v>50</v>
      </c>
      <c r="O99" s="212">
        <v>32.1</v>
      </c>
      <c r="P99" s="213"/>
      <c r="Q99" s="213"/>
      <c r="R99" s="214">
        <f t="shared" si="33"/>
        <v>32.1</v>
      </c>
      <c r="S99" s="170">
        <v>1</v>
      </c>
      <c r="T99" s="283"/>
      <c r="U99" s="281">
        <v>43160</v>
      </c>
      <c r="V99" s="177" t="s">
        <v>1040</v>
      </c>
      <c r="W99" s="170" t="s">
        <v>74</v>
      </c>
      <c r="X99" s="170" t="s">
        <v>11</v>
      </c>
      <c r="Y99" s="178">
        <v>32.1</v>
      </c>
      <c r="AD99" s="177"/>
      <c r="AG99" s="178"/>
      <c r="AL99" s="177"/>
      <c r="AO99" s="178"/>
      <c r="AP99" s="177"/>
      <c r="AS99" s="178"/>
      <c r="AW99" s="178"/>
      <c r="BA99" s="179"/>
    </row>
    <row r="100" spans="1:53" s="170" customFormat="1" x14ac:dyDescent="0.15">
      <c r="A100" s="170">
        <v>2019</v>
      </c>
      <c r="B100" s="281"/>
      <c r="C100" s="395" t="s">
        <v>1388</v>
      </c>
      <c r="D100" s="395"/>
      <c r="E100" s="170">
        <v>121</v>
      </c>
      <c r="G100" s="232">
        <v>6</v>
      </c>
      <c r="J100" s="240">
        <v>12</v>
      </c>
      <c r="K100" s="213">
        <f t="shared" ref="K100:K101" si="38">G100/J100*100</f>
        <v>50</v>
      </c>
      <c r="L100" s="213">
        <f t="shared" ref="L100:L101" si="39">H100/J100*100</f>
        <v>0</v>
      </c>
      <c r="M100" s="213">
        <f t="shared" ref="M100:M101" si="40">I100/J100*100</f>
        <v>0</v>
      </c>
      <c r="N100" s="234">
        <f t="shared" ref="N100:N101" si="41">SUM(K100:M100)</f>
        <v>50</v>
      </c>
      <c r="O100" s="212">
        <v>32.1</v>
      </c>
      <c r="P100" s="213"/>
      <c r="Q100" s="213"/>
      <c r="R100" s="214">
        <f t="shared" si="33"/>
        <v>32.1</v>
      </c>
      <c r="S100" s="170">
        <v>1</v>
      </c>
      <c r="T100" s="283"/>
      <c r="U100" s="281"/>
      <c r="V100" s="177" t="s">
        <v>1040</v>
      </c>
      <c r="W100" s="170" t="s">
        <v>74</v>
      </c>
      <c r="X100" s="170" t="s">
        <v>11</v>
      </c>
      <c r="Y100" s="178">
        <v>32.1</v>
      </c>
      <c r="AD100" s="177"/>
      <c r="AG100" s="178"/>
      <c r="AL100" s="177"/>
      <c r="AO100" s="178"/>
      <c r="AP100" s="177"/>
      <c r="AS100" s="178"/>
      <c r="AW100" s="178"/>
      <c r="BA100" s="179"/>
    </row>
    <row r="101" spans="1:53" s="170" customFormat="1" x14ac:dyDescent="0.15">
      <c r="A101" s="170">
        <v>2019</v>
      </c>
      <c r="B101" s="303">
        <v>43587</v>
      </c>
      <c r="C101" s="395" t="s">
        <v>1388</v>
      </c>
      <c r="D101" s="395"/>
      <c r="E101" s="170">
        <v>214</v>
      </c>
      <c r="F101" s="243">
        <v>0</v>
      </c>
      <c r="G101" s="232">
        <v>5</v>
      </c>
      <c r="J101" s="240">
        <v>12</v>
      </c>
      <c r="K101" s="213">
        <f t="shared" si="38"/>
        <v>41.666666666666671</v>
      </c>
      <c r="L101" s="213">
        <f t="shared" si="39"/>
        <v>0</v>
      </c>
      <c r="M101" s="213">
        <f t="shared" si="40"/>
        <v>0</v>
      </c>
      <c r="N101" s="234">
        <f t="shared" si="41"/>
        <v>41.666666666666671</v>
      </c>
      <c r="O101" s="212">
        <v>32.1</v>
      </c>
      <c r="P101" s="213"/>
      <c r="Q101" s="213"/>
      <c r="R101" s="214">
        <f t="shared" si="33"/>
        <v>32.1</v>
      </c>
      <c r="S101" s="170">
        <v>1</v>
      </c>
      <c r="T101" s="283"/>
      <c r="U101" s="281"/>
      <c r="V101" s="177" t="s">
        <v>1040</v>
      </c>
      <c r="W101" s="170" t="s">
        <v>74</v>
      </c>
      <c r="X101" s="170" t="s">
        <v>11</v>
      </c>
      <c r="Y101" s="178">
        <v>32.1</v>
      </c>
      <c r="AD101" s="177"/>
      <c r="AG101" s="178"/>
      <c r="AL101" s="177"/>
      <c r="AO101" s="178"/>
      <c r="AP101" s="177"/>
      <c r="AS101" s="178"/>
      <c r="AW101" s="178"/>
      <c r="BA101" s="179"/>
    </row>
    <row r="102" spans="1:53" s="170" customFormat="1" x14ac:dyDescent="0.15">
      <c r="A102" s="170">
        <v>2019</v>
      </c>
      <c r="B102" s="303">
        <v>43801</v>
      </c>
      <c r="C102" s="395" t="s">
        <v>1388</v>
      </c>
      <c r="D102" s="395"/>
      <c r="E102" s="170">
        <v>30</v>
      </c>
      <c r="F102" s="243">
        <v>0</v>
      </c>
      <c r="G102" s="232">
        <v>7</v>
      </c>
      <c r="J102" s="240">
        <v>12</v>
      </c>
      <c r="K102" s="213">
        <f t="shared" ref="K102:K109" si="42">G102/J102*100</f>
        <v>58.333333333333336</v>
      </c>
      <c r="L102" s="213">
        <f t="shared" ref="L102:L109" si="43">H102/J102*100</f>
        <v>0</v>
      </c>
      <c r="M102" s="213">
        <f t="shared" ref="M102:M109" si="44">I102/J102*100</f>
        <v>0</v>
      </c>
      <c r="N102" s="234">
        <f t="shared" ref="N102:N109" si="45">SUM(K102:M102)</f>
        <v>58.333333333333336</v>
      </c>
      <c r="O102" s="212">
        <v>32.1</v>
      </c>
      <c r="P102" s="213"/>
      <c r="Q102" s="213"/>
      <c r="R102" s="214">
        <f t="shared" si="33"/>
        <v>32.1</v>
      </c>
      <c r="S102" s="170">
        <v>1</v>
      </c>
      <c r="T102" s="283"/>
      <c r="U102" s="281"/>
      <c r="V102" s="177" t="s">
        <v>1040</v>
      </c>
      <c r="W102" s="170" t="s">
        <v>74</v>
      </c>
      <c r="X102" s="170" t="s">
        <v>11</v>
      </c>
      <c r="Y102" s="178">
        <v>32.1</v>
      </c>
      <c r="AD102" s="177"/>
      <c r="AG102" s="178"/>
      <c r="AL102" s="177"/>
      <c r="AO102" s="178"/>
      <c r="AP102" s="177"/>
      <c r="AS102" s="178"/>
      <c r="AW102" s="178"/>
      <c r="BA102" s="179"/>
    </row>
    <row r="103" spans="1:53" s="170" customFormat="1" x14ac:dyDescent="0.15">
      <c r="A103" s="170">
        <v>2020</v>
      </c>
      <c r="B103" s="303"/>
      <c r="C103" s="395" t="s">
        <v>1388</v>
      </c>
      <c r="D103" s="395"/>
      <c r="E103" s="170">
        <v>211</v>
      </c>
      <c r="F103" s="246"/>
      <c r="G103" s="170">
        <v>7</v>
      </c>
      <c r="J103" s="240">
        <v>12</v>
      </c>
      <c r="K103" s="213">
        <f t="shared" si="42"/>
        <v>58.333333333333336</v>
      </c>
      <c r="L103" s="213">
        <f t="shared" si="43"/>
        <v>0</v>
      </c>
      <c r="M103" s="213">
        <f t="shared" si="44"/>
        <v>0</v>
      </c>
      <c r="N103" s="214">
        <f t="shared" si="45"/>
        <v>58.333333333333336</v>
      </c>
      <c r="O103" s="213">
        <v>32.1</v>
      </c>
      <c r="P103" s="213"/>
      <c r="Q103" s="213"/>
      <c r="R103" s="214">
        <f t="shared" si="33"/>
        <v>32.1</v>
      </c>
      <c r="S103" s="189">
        <v>1</v>
      </c>
      <c r="T103" s="283"/>
      <c r="U103" s="281"/>
      <c r="V103" s="177" t="s">
        <v>1040</v>
      </c>
      <c r="W103" s="170" t="s">
        <v>74</v>
      </c>
      <c r="X103" s="170" t="s">
        <v>11</v>
      </c>
      <c r="Y103" s="178">
        <v>32.1</v>
      </c>
      <c r="AC103" s="178"/>
      <c r="AG103" s="178"/>
      <c r="AK103" s="178"/>
      <c r="AO103" s="178"/>
      <c r="AS103" s="178"/>
      <c r="AW103" s="178"/>
      <c r="BA103" s="179"/>
    </row>
    <row r="104" spans="1:53" s="170" customFormat="1" x14ac:dyDescent="0.15">
      <c r="A104" s="170">
        <v>2020</v>
      </c>
      <c r="B104" s="303">
        <v>44041</v>
      </c>
      <c r="C104" s="395" t="s">
        <v>1388</v>
      </c>
      <c r="D104" s="395"/>
      <c r="E104" s="170">
        <v>155</v>
      </c>
      <c r="F104" s="246">
        <v>0</v>
      </c>
      <c r="G104" s="170">
        <v>11</v>
      </c>
      <c r="J104" s="240">
        <v>12</v>
      </c>
      <c r="K104" s="213">
        <f t="shared" si="42"/>
        <v>91.666666666666657</v>
      </c>
      <c r="L104" s="213">
        <f t="shared" si="43"/>
        <v>0</v>
      </c>
      <c r="M104" s="213">
        <f t="shared" si="44"/>
        <v>0</v>
      </c>
      <c r="N104" s="214">
        <f t="shared" si="45"/>
        <v>91.666666666666657</v>
      </c>
      <c r="O104" s="213">
        <v>32.1</v>
      </c>
      <c r="P104" s="213"/>
      <c r="Q104" s="213"/>
      <c r="R104" s="214">
        <f t="shared" si="33"/>
        <v>32.1</v>
      </c>
      <c r="S104" s="189">
        <v>1</v>
      </c>
      <c r="T104" s="283"/>
      <c r="U104" s="281"/>
      <c r="V104" s="177" t="s">
        <v>1040</v>
      </c>
      <c r="W104" s="170" t="s">
        <v>74</v>
      </c>
      <c r="X104" s="170" t="s">
        <v>11</v>
      </c>
      <c r="Y104" s="178">
        <v>32.1</v>
      </c>
      <c r="AC104" s="178"/>
      <c r="AG104" s="178"/>
      <c r="AK104" s="178"/>
      <c r="AO104" s="178"/>
      <c r="AS104" s="178"/>
      <c r="AW104" s="178"/>
      <c r="BA104" s="179"/>
    </row>
    <row r="105" spans="1:53" s="170" customFormat="1" x14ac:dyDescent="0.15">
      <c r="A105" s="170">
        <v>2021</v>
      </c>
      <c r="B105" s="303"/>
      <c r="C105" s="395" t="s">
        <v>1388</v>
      </c>
      <c r="D105" s="395"/>
      <c r="E105" s="170">
        <v>172</v>
      </c>
      <c r="F105" s="246"/>
      <c r="G105" s="170">
        <v>10</v>
      </c>
      <c r="J105" s="240">
        <v>12</v>
      </c>
      <c r="K105" s="213">
        <f t="shared" si="42"/>
        <v>83.333333333333343</v>
      </c>
      <c r="L105" s="213">
        <f t="shared" si="43"/>
        <v>0</v>
      </c>
      <c r="M105" s="213">
        <f t="shared" si="44"/>
        <v>0</v>
      </c>
      <c r="N105" s="214">
        <f t="shared" si="45"/>
        <v>83.333333333333343</v>
      </c>
      <c r="O105" s="213">
        <v>32.1</v>
      </c>
      <c r="P105" s="213"/>
      <c r="Q105" s="213"/>
      <c r="R105" s="214">
        <f t="shared" si="33"/>
        <v>32.1</v>
      </c>
      <c r="S105" s="189">
        <v>1</v>
      </c>
      <c r="T105" s="283"/>
      <c r="U105" s="281"/>
      <c r="V105" s="177" t="s">
        <v>1040</v>
      </c>
      <c r="W105" s="170" t="s">
        <v>74</v>
      </c>
      <c r="X105" s="170" t="s">
        <v>11</v>
      </c>
      <c r="Y105" s="178">
        <v>32.1</v>
      </c>
      <c r="AC105" s="178"/>
      <c r="AG105" s="178"/>
      <c r="AK105" s="178"/>
      <c r="AO105" s="178"/>
      <c r="AS105" s="178"/>
      <c r="AW105" s="178"/>
      <c r="BA105" s="179"/>
    </row>
    <row r="106" spans="1:53" s="170" customFormat="1" x14ac:dyDescent="0.15">
      <c r="A106" s="170">
        <v>2021</v>
      </c>
      <c r="B106" s="303">
        <v>44369</v>
      </c>
      <c r="C106" s="395" t="s">
        <v>1388</v>
      </c>
      <c r="D106" s="395"/>
      <c r="E106" s="170">
        <v>193</v>
      </c>
      <c r="F106" s="246">
        <v>0</v>
      </c>
      <c r="G106" s="170">
        <v>11</v>
      </c>
      <c r="J106" s="240">
        <v>12</v>
      </c>
      <c r="K106" s="213">
        <f t="shared" si="42"/>
        <v>91.666666666666657</v>
      </c>
      <c r="L106" s="213">
        <f t="shared" si="43"/>
        <v>0</v>
      </c>
      <c r="M106" s="213">
        <f t="shared" si="44"/>
        <v>0</v>
      </c>
      <c r="N106" s="214">
        <f t="shared" si="45"/>
        <v>91.666666666666657</v>
      </c>
      <c r="O106" s="213">
        <v>40.799999999999997</v>
      </c>
      <c r="P106" s="213"/>
      <c r="Q106" s="213"/>
      <c r="R106" s="214">
        <f t="shared" si="33"/>
        <v>40.799999999999997</v>
      </c>
      <c r="S106" s="189">
        <v>1</v>
      </c>
      <c r="T106" s="283">
        <v>44346</v>
      </c>
      <c r="U106" s="281"/>
      <c r="V106" s="177" t="s">
        <v>1040</v>
      </c>
      <c r="W106" s="170" t="s">
        <v>74</v>
      </c>
      <c r="X106" s="170" t="s">
        <v>11</v>
      </c>
      <c r="Y106" s="178">
        <v>40.799999999999997</v>
      </c>
      <c r="AC106" s="178"/>
      <c r="AG106" s="178"/>
      <c r="AK106" s="178"/>
      <c r="AO106" s="178"/>
      <c r="AS106" s="178"/>
      <c r="AW106" s="178"/>
      <c r="BA106" s="179"/>
    </row>
    <row r="107" spans="1:53" s="170" customFormat="1" x14ac:dyDescent="0.15">
      <c r="A107" s="170">
        <v>2022</v>
      </c>
      <c r="B107" s="303"/>
      <c r="C107" s="395" t="s">
        <v>1388</v>
      </c>
      <c r="D107" s="395"/>
      <c r="E107" s="170">
        <v>157</v>
      </c>
      <c r="F107" s="246"/>
      <c r="G107" s="170">
        <v>11</v>
      </c>
      <c r="J107" s="240">
        <v>12</v>
      </c>
      <c r="K107" s="213">
        <f t="shared" si="42"/>
        <v>91.666666666666657</v>
      </c>
      <c r="L107" s="213">
        <f t="shared" si="43"/>
        <v>0</v>
      </c>
      <c r="M107" s="213">
        <f t="shared" si="44"/>
        <v>0</v>
      </c>
      <c r="N107" s="214">
        <f t="shared" si="45"/>
        <v>91.666666666666657</v>
      </c>
      <c r="O107" s="213">
        <v>40.799999999999997</v>
      </c>
      <c r="P107" s="213"/>
      <c r="Q107" s="213"/>
      <c r="R107" s="214">
        <f t="shared" si="33"/>
        <v>40.799999999999997</v>
      </c>
      <c r="S107" s="189">
        <v>1</v>
      </c>
      <c r="T107" s="283"/>
      <c r="U107" s="281"/>
      <c r="V107" s="177" t="s">
        <v>1040</v>
      </c>
      <c r="W107" s="170" t="s">
        <v>74</v>
      </c>
      <c r="X107" s="170" t="s">
        <v>11</v>
      </c>
      <c r="Y107" s="178">
        <v>40.799999999999997</v>
      </c>
      <c r="AC107" s="178"/>
      <c r="AG107" s="178"/>
      <c r="AK107" s="178"/>
      <c r="AO107" s="178"/>
      <c r="AS107" s="178"/>
      <c r="AW107" s="178"/>
      <c r="BA107" s="179"/>
    </row>
    <row r="108" spans="1:53" s="170" customFormat="1" x14ac:dyDescent="0.15">
      <c r="A108" s="170">
        <v>2022</v>
      </c>
      <c r="B108" s="303">
        <v>44718</v>
      </c>
      <c r="C108" s="395" t="s">
        <v>1388</v>
      </c>
      <c r="D108" s="395"/>
      <c r="E108" s="170">
        <v>21</v>
      </c>
      <c r="F108" s="246">
        <v>0</v>
      </c>
      <c r="G108" s="170">
        <v>11</v>
      </c>
      <c r="J108" s="240">
        <v>11</v>
      </c>
      <c r="K108" s="213">
        <f t="shared" si="42"/>
        <v>100</v>
      </c>
      <c r="L108" s="213">
        <f t="shared" si="43"/>
        <v>0</v>
      </c>
      <c r="M108" s="213">
        <f t="shared" si="44"/>
        <v>0</v>
      </c>
      <c r="N108" s="214">
        <f t="shared" si="45"/>
        <v>100</v>
      </c>
      <c r="O108" s="213">
        <v>40.799999999999997</v>
      </c>
      <c r="P108" s="213"/>
      <c r="Q108" s="213"/>
      <c r="R108" s="214">
        <f t="shared" si="33"/>
        <v>40.799999999999997</v>
      </c>
      <c r="S108" s="189">
        <v>1</v>
      </c>
      <c r="T108" s="283"/>
      <c r="U108" s="281"/>
      <c r="V108" s="177" t="s">
        <v>1040</v>
      </c>
      <c r="W108" s="170" t="s">
        <v>1517</v>
      </c>
      <c r="X108" s="170" t="s">
        <v>11</v>
      </c>
      <c r="Y108" s="178">
        <v>40.799999999999997</v>
      </c>
      <c r="AC108" s="178"/>
      <c r="AG108" s="178"/>
      <c r="AK108" s="178"/>
      <c r="AO108" s="178"/>
      <c r="AS108" s="178"/>
      <c r="AW108" s="178"/>
      <c r="BA108" s="179"/>
    </row>
    <row r="109" spans="1:53" s="170" customFormat="1" x14ac:dyDescent="0.15">
      <c r="A109" s="170">
        <v>2022</v>
      </c>
      <c r="B109" s="303">
        <v>44739</v>
      </c>
      <c r="C109" s="395" t="s">
        <v>1388</v>
      </c>
      <c r="D109" s="395"/>
      <c r="E109" s="170">
        <v>187</v>
      </c>
      <c r="F109" s="246">
        <v>0</v>
      </c>
      <c r="G109" s="170">
        <v>12</v>
      </c>
      <c r="J109" s="240">
        <v>12</v>
      </c>
      <c r="K109" s="213">
        <f t="shared" si="42"/>
        <v>100</v>
      </c>
      <c r="L109" s="213">
        <f t="shared" si="43"/>
        <v>0</v>
      </c>
      <c r="M109" s="213">
        <f t="shared" si="44"/>
        <v>0</v>
      </c>
      <c r="N109" s="214">
        <f t="shared" si="45"/>
        <v>100</v>
      </c>
      <c r="O109" s="213">
        <v>40.799999999999997</v>
      </c>
      <c r="P109" s="213"/>
      <c r="Q109" s="213"/>
      <c r="R109" s="214">
        <f t="shared" si="33"/>
        <v>40.799999999999997</v>
      </c>
      <c r="S109" s="189">
        <v>1</v>
      </c>
      <c r="T109" s="283"/>
      <c r="U109" s="281"/>
      <c r="V109" s="177" t="s">
        <v>1040</v>
      </c>
      <c r="W109" s="170" t="s">
        <v>74</v>
      </c>
      <c r="X109" s="170" t="s">
        <v>11</v>
      </c>
      <c r="Y109" s="178">
        <v>40.799999999999997</v>
      </c>
      <c r="AC109" s="178"/>
      <c r="AG109" s="178"/>
      <c r="AK109" s="178"/>
      <c r="AO109" s="178"/>
      <c r="AS109" s="178"/>
      <c r="AW109" s="178"/>
      <c r="BA109" s="179"/>
    </row>
    <row r="110" spans="1:53" ht="18" customHeight="1" x14ac:dyDescent="0.15">
      <c r="B110" s="15" t="s">
        <v>1262</v>
      </c>
    </row>
    <row r="111" spans="1:53" ht="9" customHeight="1" x14ac:dyDescent="0.15"/>
    <row r="112" spans="1:53" s="194" customFormat="1" ht="9" customHeight="1" x14ac:dyDescent="0.15">
      <c r="A112" s="192"/>
      <c r="B112" s="193" t="s">
        <v>1213</v>
      </c>
      <c r="C112" s="193"/>
      <c r="D112" s="193"/>
      <c r="E112" s="193"/>
      <c r="F112" s="193"/>
      <c r="G112" s="193" t="s">
        <v>1214</v>
      </c>
      <c r="H112" s="193"/>
      <c r="I112" s="193"/>
      <c r="J112" s="193"/>
      <c r="K112" s="193"/>
      <c r="L112" s="193"/>
      <c r="M112" s="193"/>
      <c r="N112" s="193"/>
      <c r="R112" s="386" t="s">
        <v>1215</v>
      </c>
      <c r="S112" s="386"/>
      <c r="T112" s="386"/>
      <c r="U112" s="386"/>
      <c r="V112" s="386"/>
      <c r="W112" s="386"/>
      <c r="X112" s="195"/>
      <c r="Y112" s="195"/>
      <c r="AA112" s="195"/>
      <c r="AB112" s="195"/>
      <c r="AC112" s="195"/>
      <c r="AD112" s="195"/>
    </row>
    <row r="113" spans="1:30" s="199" customFormat="1" ht="9" customHeight="1" x14ac:dyDescent="0.15">
      <c r="A113" s="196"/>
      <c r="B113" s="197" t="s">
        <v>1217</v>
      </c>
      <c r="C113" s="198"/>
      <c r="D113" s="198"/>
      <c r="E113" s="198"/>
      <c r="F113" s="198"/>
      <c r="G113" s="197" t="s">
        <v>1216</v>
      </c>
      <c r="H113" s="198"/>
      <c r="I113" s="198"/>
      <c r="J113" s="198"/>
      <c r="K113" s="198"/>
      <c r="L113" s="198"/>
      <c r="M113" s="198"/>
      <c r="N113" s="198"/>
      <c r="R113" s="200" t="s">
        <v>1218</v>
      </c>
      <c r="S113" s="201"/>
      <c r="T113" s="202"/>
      <c r="U113" s="202"/>
      <c r="V113" s="202"/>
      <c r="W113" s="200" t="s">
        <v>1219</v>
      </c>
      <c r="X113" s="202"/>
      <c r="Y113" s="202"/>
      <c r="AA113" s="202"/>
      <c r="AB113" s="202"/>
      <c r="AC113" s="202"/>
      <c r="AD113" s="202"/>
    </row>
    <row r="114" spans="1:30" s="185" customFormat="1" ht="12" customHeight="1" x14ac:dyDescent="0.15">
      <c r="A114" s="203" t="s">
        <v>3</v>
      </c>
      <c r="B114" s="204" t="s">
        <v>8</v>
      </c>
      <c r="C114" s="204" t="s">
        <v>9</v>
      </c>
      <c r="D114" s="204" t="s">
        <v>10</v>
      </c>
      <c r="E114" s="205" t="s">
        <v>1193</v>
      </c>
      <c r="F114" s="204"/>
      <c r="G114" s="185" t="s">
        <v>3</v>
      </c>
      <c r="H114" s="387" t="s">
        <v>0</v>
      </c>
      <c r="I114" s="387"/>
      <c r="J114" s="387" t="s">
        <v>1</v>
      </c>
      <c r="K114" s="387"/>
      <c r="L114" s="387" t="s">
        <v>2</v>
      </c>
      <c r="M114" s="387"/>
      <c r="N114" s="388" t="s">
        <v>1193</v>
      </c>
      <c r="O114" s="388"/>
      <c r="P114" s="206"/>
      <c r="Q114" s="206"/>
      <c r="R114" s="207" t="s">
        <v>3</v>
      </c>
      <c r="S114" s="208" t="s">
        <v>135</v>
      </c>
      <c r="T114" s="206" t="s">
        <v>133</v>
      </c>
      <c r="U114" s="204" t="s">
        <v>134</v>
      </c>
      <c r="V114" s="206"/>
      <c r="W114" s="209" t="s">
        <v>26</v>
      </c>
    </row>
    <row r="115" spans="1:30" x14ac:dyDescent="0.15">
      <c r="A115" s="1">
        <v>1978</v>
      </c>
      <c r="B115" s="5">
        <f>(K9*($E9/365))</f>
        <v>44.682440846824399</v>
      </c>
      <c r="C115" s="5">
        <f>(L9*($E9/365))</f>
        <v>0</v>
      </c>
      <c r="D115" s="5">
        <f>(M9*($E9/365))</f>
        <v>14.89414694894147</v>
      </c>
      <c r="E115" s="17">
        <f t="shared" ref="E115:E126" si="46">SUM(B115:D115)</f>
        <v>59.576587795765867</v>
      </c>
      <c r="G115" s="1">
        <v>1978</v>
      </c>
      <c r="H115" s="392">
        <f>(O9/$R9*100*($E9/365))</f>
        <v>68.838494301830309</v>
      </c>
      <c r="I115" s="392"/>
      <c r="J115" s="392">
        <f>(P9/$R9*100*($E9/365))</f>
        <v>0</v>
      </c>
      <c r="K115" s="392"/>
      <c r="L115" s="392">
        <f>(Q9/$R9*100*($E9/365))</f>
        <v>13.079313917347759</v>
      </c>
      <c r="M115" s="392"/>
      <c r="N115" s="363">
        <f>H115+J115+L115</f>
        <v>81.91780821917807</v>
      </c>
      <c r="O115" s="363"/>
      <c r="R115" s="1">
        <v>1978</v>
      </c>
      <c r="S115" s="5">
        <f>(O9*($E9/365))</f>
        <v>49.150684931506845</v>
      </c>
      <c r="T115" s="5">
        <f>(P9*($E9/365))</f>
        <v>0</v>
      </c>
      <c r="U115" s="5">
        <f>(Q9*($E9/365))</f>
        <v>9.3386301369863016</v>
      </c>
      <c r="W115" s="10">
        <f t="shared" ref="W115:W126" si="47">SUM(S115:U115)</f>
        <v>58.489315068493148</v>
      </c>
      <c r="Y115" s="26" t="s">
        <v>1310</v>
      </c>
    </row>
    <row r="116" spans="1:30" x14ac:dyDescent="0.15">
      <c r="A116" s="1">
        <v>1979</v>
      </c>
      <c r="B116" s="5">
        <f>(K10*($E10/365))+(K11*($E11/365))</f>
        <v>56.064757160647567</v>
      </c>
      <c r="C116" s="5">
        <f>(L10*($E10/365))+(L11*($E11/365))</f>
        <v>0</v>
      </c>
      <c r="D116" s="5">
        <f>(M10*($E10/365))+(M11*($E11/365))</f>
        <v>18.181818181818183</v>
      </c>
      <c r="E116" s="17">
        <f t="shared" si="46"/>
        <v>74.246575342465746</v>
      </c>
      <c r="G116" s="1">
        <v>1979</v>
      </c>
      <c r="H116" s="392">
        <f>(O10/$R10*100*($E10/365))+(O11/$R11*100*($E11/365))</f>
        <v>84.033613445378137</v>
      </c>
      <c r="I116" s="392"/>
      <c r="J116" s="392">
        <f>(P10/$R10*100*($E10/365))+(P11/$R11*100*($E11/365))</f>
        <v>0</v>
      </c>
      <c r="K116" s="392"/>
      <c r="L116" s="392">
        <f>(Q10/$R10*100*($E10/365))+(Q11/$R11*100*($E11/365))</f>
        <v>15.966386554621847</v>
      </c>
      <c r="M116" s="392"/>
      <c r="N116" s="363">
        <f t="shared" ref="N116:N151" si="48">H116+J116+L116</f>
        <v>99.999999999999986</v>
      </c>
      <c r="O116" s="363"/>
      <c r="R116" s="1">
        <v>1979</v>
      </c>
      <c r="S116" s="5">
        <f>(O10*($E10/365))+(O11*($E11/365))</f>
        <v>60</v>
      </c>
      <c r="T116" s="5">
        <f>(P10*($E10/365))+(P11*($E11/365))</f>
        <v>0</v>
      </c>
      <c r="U116" s="5">
        <f>(Q10*($E10/365))+(Q11*($E11/365))</f>
        <v>11.4</v>
      </c>
      <c r="W116" s="10">
        <f t="shared" si="47"/>
        <v>71.400000000000006</v>
      </c>
    </row>
    <row r="117" spans="1:30" x14ac:dyDescent="0.15">
      <c r="A117" s="1">
        <v>1980</v>
      </c>
      <c r="B117" s="5">
        <f>(K12*($E12/366))+(K13*($E13/366))+(K14*($E14/366))</f>
        <v>69.200198708395433</v>
      </c>
      <c r="C117" s="5">
        <f>(L12*($E12/366))+(L13*($E13/366))+(L14*($E14/366))</f>
        <v>0</v>
      </c>
      <c r="D117" s="5">
        <f>(M12*($E12/366))+(M13*($E13/366))+(M14*($E14/366))</f>
        <v>12.617983109786389</v>
      </c>
      <c r="E117" s="17">
        <f t="shared" si="46"/>
        <v>81.818181818181827</v>
      </c>
      <c r="G117" s="1">
        <v>1980</v>
      </c>
      <c r="H117" s="392">
        <f>(O12/$R12*100*($E12/366))+(O13/$R13*100*($E13/366))+(O14/$R14*100*($E14/366))</f>
        <v>88.875878220140507</v>
      </c>
      <c r="I117" s="392"/>
      <c r="J117" s="392">
        <f>(P12/$R12*100*($E12/366))+(P13/$R13*100*($E13/366))+(P14/$R14*100*($E14/366))</f>
        <v>0</v>
      </c>
      <c r="K117" s="392"/>
      <c r="L117" s="392">
        <f>(Q12/$R12*100*($E12/366))+(Q13/$R13*100*($E13/366))+(Q14/$R14*100*($E14/366))</f>
        <v>11.124121779859482</v>
      </c>
      <c r="M117" s="392"/>
      <c r="N117" s="363">
        <f t="shared" si="48"/>
        <v>99.999999999999986</v>
      </c>
      <c r="O117" s="363"/>
      <c r="R117" s="1">
        <v>1980</v>
      </c>
      <c r="S117" s="5">
        <f>(O12*($E12/366))+(O13*($E13/366))+(O14*($E14/366))</f>
        <v>60</v>
      </c>
      <c r="T117" s="5">
        <f>(P12*($E12/366))+(P13*($E13/366))+(P14*($E14/366))</f>
        <v>0</v>
      </c>
      <c r="U117" s="5">
        <f>(Q12*($E12/366))+(Q13*($E13/366))+(Q14*($E14/366))</f>
        <v>7.942622950819672</v>
      </c>
      <c r="W117" s="10">
        <f t="shared" si="47"/>
        <v>67.942622950819668</v>
      </c>
    </row>
    <row r="118" spans="1:30" x14ac:dyDescent="0.15">
      <c r="A118" s="1">
        <v>1981</v>
      </c>
      <c r="B118" s="5">
        <f>(K15*($E15/365))+(K16*($E16/365))</f>
        <v>9.0909090909090917</v>
      </c>
      <c r="C118" s="5">
        <f>(L15*($E15/365))+(L16*($E16/365))</f>
        <v>0</v>
      </c>
      <c r="D118" s="5">
        <f>(M15*($E15/365))+(M16*($E16/365))</f>
        <v>0</v>
      </c>
      <c r="E118" s="17">
        <f t="shared" si="46"/>
        <v>9.0909090909090917</v>
      </c>
      <c r="G118" s="1">
        <v>1981</v>
      </c>
      <c r="H118" s="392">
        <f>(O15/$R15*100*($E15/365))+(O16/$R16*100*($E16/365))</f>
        <v>100</v>
      </c>
      <c r="I118" s="392"/>
      <c r="J118" s="392">
        <f>(P15/$R15*100*($E15/365))+(P16/$R16*100*($E16/365))</f>
        <v>0</v>
      </c>
      <c r="K118" s="392"/>
      <c r="L118" s="392">
        <f>(Q15/$R15*100*($E15/365))+(Q16/$R16*100*($E16/365))</f>
        <v>0</v>
      </c>
      <c r="M118" s="392"/>
      <c r="N118" s="363">
        <f t="shared" si="48"/>
        <v>100</v>
      </c>
      <c r="O118" s="363"/>
      <c r="R118" s="1">
        <v>1981</v>
      </c>
      <c r="S118" s="5">
        <f>(O15*($E15/365))+(O16*($E16/365))</f>
        <v>37.435068493150688</v>
      </c>
      <c r="T118" s="5">
        <f>(P15*($E15/365))+(P16*($E16/365))</f>
        <v>0</v>
      </c>
      <c r="U118" s="5">
        <f>(Q15*($E15/365))+(Q16*($E16/365))</f>
        <v>0</v>
      </c>
      <c r="W118" s="10">
        <f t="shared" si="47"/>
        <v>37.435068493150688</v>
      </c>
      <c r="Y118" s="26"/>
    </row>
    <row r="119" spans="1:30" x14ac:dyDescent="0.15">
      <c r="A119" s="1">
        <v>1982</v>
      </c>
      <c r="B119" s="5">
        <f>(K17*($E17/365))+(K18*($E18/365))</f>
        <v>47.34744707347447</v>
      </c>
      <c r="C119" s="5">
        <f>(L17*($E17/365))+(L18*($E18/365))</f>
        <v>0</v>
      </c>
      <c r="D119" s="5">
        <f>(M17*($E17/365))+(M18*($E18/365))</f>
        <v>0</v>
      </c>
      <c r="E119" s="17">
        <f t="shared" si="46"/>
        <v>47.34744707347447</v>
      </c>
      <c r="G119" s="1">
        <v>1982</v>
      </c>
      <c r="H119" s="392">
        <f>(O17/$R17*100*($E17/365))+(O18/$R18*100*($E18/365))</f>
        <v>100</v>
      </c>
      <c r="I119" s="392"/>
      <c r="J119" s="392">
        <f>(P17/$R17*100*($E17/365))+(P18/$R18*100*($E18/365))</f>
        <v>0</v>
      </c>
      <c r="K119" s="392"/>
      <c r="L119" s="392">
        <f>(Q17/$R17*100*($E17/365))+(Q18/$R18*100*($E18/365))</f>
        <v>0</v>
      </c>
      <c r="M119" s="392"/>
      <c r="N119" s="363">
        <f t="shared" si="48"/>
        <v>100</v>
      </c>
      <c r="O119" s="363"/>
      <c r="R119" s="1">
        <v>1982</v>
      </c>
      <c r="S119" s="5">
        <f>(O17*($E17/365))+(O18*($E18/365))</f>
        <v>22.9</v>
      </c>
      <c r="T119" s="5">
        <f>(P17*($E17/365))+(P18*($E18/365))</f>
        <v>0</v>
      </c>
      <c r="U119" s="5">
        <f>(Q17*($E17/365))+(Q18*($E18/365))</f>
        <v>0</v>
      </c>
      <c r="W119" s="10">
        <f t="shared" si="47"/>
        <v>22.9</v>
      </c>
    </row>
    <row r="120" spans="1:30" x14ac:dyDescent="0.15">
      <c r="A120" s="1">
        <v>1983</v>
      </c>
      <c r="B120" s="5">
        <f>(K19*($E19/365))+(K20*($E20/365))+(K21*($E21/365))</f>
        <v>61.120797011207969</v>
      </c>
      <c r="C120" s="5">
        <f>(L19*($E19/365))+(L20*($E20/365))+(L21*($E21/365))</f>
        <v>0</v>
      </c>
      <c r="D120" s="5">
        <f>(M19*($E19/365))+(M20*($E20/365))+(M21*($E21/365))</f>
        <v>0</v>
      </c>
      <c r="E120" s="17">
        <f t="shared" si="46"/>
        <v>61.120797011207969</v>
      </c>
      <c r="G120" s="1">
        <v>1983</v>
      </c>
      <c r="H120" s="392">
        <f>(O19/$R19*100*($E19/365))+(O20/$R20*100*($E20/365))+(O21/$R21*100*($E21/365))</f>
        <v>100</v>
      </c>
      <c r="I120" s="392"/>
      <c r="J120" s="392">
        <f>(P19/$R19*100*($E19/365))+(P20/$R20*100*($E20/365))+(P21/$R21*100*($E21/365))</f>
        <v>0</v>
      </c>
      <c r="K120" s="392"/>
      <c r="L120" s="392">
        <f>(Q19/$R19*100*($E19/365))+(Q20/$R20*100*($E20/365))+(Q21/$R21*100*($E21/365))</f>
        <v>0</v>
      </c>
      <c r="M120" s="392"/>
      <c r="N120" s="363">
        <f t="shared" si="48"/>
        <v>100</v>
      </c>
      <c r="O120" s="363"/>
      <c r="R120" s="1">
        <v>1983</v>
      </c>
      <c r="S120" s="5">
        <f>(O19*($E19/365))+(O20*($E20/365))+(O21*($E21/365))</f>
        <v>22.9</v>
      </c>
      <c r="T120" s="5">
        <f>(P19*($E19/365))+(P20*($E20/365))+(P21*($E21/365))</f>
        <v>0</v>
      </c>
      <c r="U120" s="5">
        <f>(Q19*($E19/365))+(Q20*($E20/365))+(Q21*($E21/365))</f>
        <v>0</v>
      </c>
      <c r="W120" s="10">
        <f t="shared" si="47"/>
        <v>22.9</v>
      </c>
    </row>
    <row r="121" spans="1:30" x14ac:dyDescent="0.15">
      <c r="A121" s="1">
        <v>1984</v>
      </c>
      <c r="B121" s="5">
        <f>(K22*($E22/366))+(K23*($E23/366))</f>
        <v>54.54545454545454</v>
      </c>
      <c r="C121" s="5">
        <f>(L22*($E22/366))+(L23*($E23/366))</f>
        <v>0</v>
      </c>
      <c r="D121" s="5">
        <f>(M22*($E22/366))+(M23*($E23/366))</f>
        <v>0</v>
      </c>
      <c r="E121" s="17">
        <f t="shared" si="46"/>
        <v>54.54545454545454</v>
      </c>
      <c r="G121" s="1">
        <v>1984</v>
      </c>
      <c r="H121" s="392">
        <f>(O22/$R22*100*($E22/366))+(O23/$R23*100*($E23/366))</f>
        <v>100</v>
      </c>
      <c r="I121" s="392"/>
      <c r="J121" s="392">
        <f>(P22/$R22*100*($E22/366))+(P23/$R23*100*($E23/366))</f>
        <v>0</v>
      </c>
      <c r="K121" s="392"/>
      <c r="L121" s="392">
        <f>(Q22/$R22*100*($E22/366))+(Q23/$R23*100*($E23/366))</f>
        <v>0</v>
      </c>
      <c r="M121" s="392"/>
      <c r="N121" s="363">
        <f t="shared" si="48"/>
        <v>100</v>
      </c>
      <c r="O121" s="363"/>
      <c r="R121" s="1">
        <v>1984</v>
      </c>
      <c r="S121" s="5">
        <f>(O22*($E22/366))+(O23*($E23/366))</f>
        <v>22.9</v>
      </c>
      <c r="T121" s="5">
        <f>(P22*($E22/366))+(P23*($E23/366))</f>
        <v>0</v>
      </c>
      <c r="U121" s="5">
        <f>(Q22*($E22/366))+(Q23*($E23/366))</f>
        <v>0</v>
      </c>
      <c r="W121" s="10">
        <f t="shared" si="47"/>
        <v>22.9</v>
      </c>
    </row>
    <row r="122" spans="1:30" x14ac:dyDescent="0.15">
      <c r="A122" s="1">
        <v>1985</v>
      </c>
      <c r="B122" s="5">
        <f>(K24*($E24/365))+(K25*($E25/365))+(K26*($E26/365))+(K27*($E27/365))</f>
        <v>66.467413864674128</v>
      </c>
      <c r="C122" s="5">
        <f>(L24*($E24/365))+(L25*($E25/365))+(L26*($E26/365))+(L27*($E27/365))</f>
        <v>0</v>
      </c>
      <c r="D122" s="5">
        <f>(M24*($E24/365))+(M25*($E25/365))+(M26*($E26/365))+(M27*($E27/365))</f>
        <v>0</v>
      </c>
      <c r="E122" s="17">
        <f t="shared" si="46"/>
        <v>66.467413864674128</v>
      </c>
      <c r="G122" s="1">
        <v>1985</v>
      </c>
      <c r="H122" s="392">
        <f>(O24/$R24*100*($E24/365))+(O25/$R25*100*($E25/365))+(O26/$R26*100*($E26/365))+(O27/$R27*100*($E27/365))</f>
        <v>100</v>
      </c>
      <c r="I122" s="392"/>
      <c r="J122" s="392">
        <f>(P24/$R24*100*($E24/365))+(P25/$R25*100*($E25/365))+(P26/$R26*100*($E26/365))+(P27/$R27*100*($E27/365))</f>
        <v>0</v>
      </c>
      <c r="K122" s="392"/>
      <c r="L122" s="392">
        <f>(Q24/$R24*100*($E24/365))+(Q25/$R25*100*($E25/365))+(Q26/$R26*100*($E26/365))+(Q27/$R27*100*($E27/365))</f>
        <v>0</v>
      </c>
      <c r="M122" s="392"/>
      <c r="N122" s="363">
        <f t="shared" si="48"/>
        <v>100</v>
      </c>
      <c r="O122" s="363"/>
      <c r="R122" s="1">
        <v>1985</v>
      </c>
      <c r="S122" s="5">
        <f>(O24*($E24/365))+(O25*($E25/365))+(O26*($E26/365))+(O27*($E27/365))</f>
        <v>56.98465753424658</v>
      </c>
      <c r="T122" s="5">
        <f>(P24*($E24/365))+(P25*($E25/365))+(P26*($E26/365))+(P27*($E27/365))</f>
        <v>0</v>
      </c>
      <c r="U122" s="5">
        <f>(Q24*($E24/365))+(Q25*($E25/365))+(Q26*($E26/365))+(Q27*($E27/365))</f>
        <v>0</v>
      </c>
      <c r="W122" s="10">
        <f t="shared" si="47"/>
        <v>56.98465753424658</v>
      </c>
    </row>
    <row r="123" spans="1:30" x14ac:dyDescent="0.15">
      <c r="A123" s="1">
        <v>1986</v>
      </c>
      <c r="B123" s="5">
        <f>(K28*($E28/365))+(K29*($E29/365))</f>
        <v>66.666666666666657</v>
      </c>
      <c r="C123" s="5">
        <f>(L28*($E28/365))+(L29*($E29/365))</f>
        <v>0</v>
      </c>
      <c r="D123" s="5">
        <f>(M28*($E28/365))+(M29*($E29/365))</f>
        <v>0</v>
      </c>
      <c r="E123" s="17">
        <f t="shared" si="46"/>
        <v>66.666666666666657</v>
      </c>
      <c r="G123" s="1">
        <v>1986</v>
      </c>
      <c r="H123" s="392">
        <f>(O28/$R28*100*($E28/365))+(O29/$R29*100*($E29/365))</f>
        <v>100</v>
      </c>
      <c r="I123" s="392"/>
      <c r="J123" s="392">
        <f>(P28/$R28*100*($E28/365))+(P29/$R29*100*($E29/365))</f>
        <v>0</v>
      </c>
      <c r="K123" s="392"/>
      <c r="L123" s="392">
        <f>(Q28/$R28*100*($E28/365))+(Q29/$R29*100*($E29/365))</f>
        <v>0</v>
      </c>
      <c r="M123" s="392"/>
      <c r="N123" s="363">
        <f t="shared" si="48"/>
        <v>100</v>
      </c>
      <c r="O123" s="363"/>
      <c r="R123" s="1">
        <v>1986</v>
      </c>
      <c r="S123" s="5">
        <f>(O28*($E28/365))+(O29*($E29/365))</f>
        <v>62.5</v>
      </c>
      <c r="T123" s="5">
        <f>(P28*($E28/365))+(P29*($E29/365))</f>
        <v>0</v>
      </c>
      <c r="U123" s="5">
        <f>(Q28*($E28/365))+(Q29*($E29/365))</f>
        <v>0</v>
      </c>
      <c r="W123" s="10">
        <f t="shared" si="47"/>
        <v>62.5</v>
      </c>
    </row>
    <row r="124" spans="1:30" x14ac:dyDescent="0.15">
      <c r="A124" s="1">
        <v>1987</v>
      </c>
      <c r="B124" s="5">
        <f>(K30*($E30/365))+(K31*($E31/365))</f>
        <v>66.666666666666657</v>
      </c>
      <c r="C124" s="5">
        <f>(L30*($E30/365))+(L31*($E31/365))</f>
        <v>0</v>
      </c>
      <c r="D124" s="5">
        <f>(M30*($E30/365))+(M31*($E31/365))</f>
        <v>0</v>
      </c>
      <c r="E124" s="17">
        <f t="shared" si="46"/>
        <v>66.666666666666657</v>
      </c>
      <c r="G124" s="1">
        <v>1987</v>
      </c>
      <c r="H124" s="392">
        <f>(O30/$R30*100*($E30/365))+(O31/$R31*100*($E31/365))</f>
        <v>100</v>
      </c>
      <c r="I124" s="392"/>
      <c r="J124" s="392">
        <f>(P30/$R30*100*($E30/365))+(P31/$R31*100*($E31/365))</f>
        <v>0</v>
      </c>
      <c r="K124" s="392"/>
      <c r="L124" s="392">
        <f>(Q30/$R30*100*($E30/365))+(Q31/$R31*100*($E31/365))</f>
        <v>0</v>
      </c>
      <c r="M124" s="392"/>
      <c r="N124" s="363">
        <f t="shared" si="48"/>
        <v>100</v>
      </c>
      <c r="O124" s="363"/>
      <c r="R124" s="1">
        <v>1987</v>
      </c>
      <c r="S124" s="5">
        <f>(O30*($E30/365))+(O31*($E31/365))</f>
        <v>62.5</v>
      </c>
      <c r="T124" s="5">
        <f>(P30*($E30/365))+(P31*($E31/365))</f>
        <v>0</v>
      </c>
      <c r="U124" s="5">
        <f>(Q30*($E30/365))+(Q31*($E31/365))</f>
        <v>0</v>
      </c>
      <c r="W124" s="10">
        <f t="shared" si="47"/>
        <v>62.5</v>
      </c>
    </row>
    <row r="125" spans="1:30" x14ac:dyDescent="0.15">
      <c r="A125" s="1">
        <v>1988</v>
      </c>
      <c r="B125" s="5">
        <f>(K32*($E32/366))+(K33*($E33/366))</f>
        <v>10.564663023679417</v>
      </c>
      <c r="C125" s="5">
        <f>(L32*($E32/366))+(L33*($E33/366))</f>
        <v>0</v>
      </c>
      <c r="D125" s="5">
        <f>(M32*($E32/366))+(M33*($E33/366))</f>
        <v>0</v>
      </c>
      <c r="E125" s="17">
        <f t="shared" si="46"/>
        <v>10.564663023679417</v>
      </c>
      <c r="G125" s="1">
        <v>1988</v>
      </c>
      <c r="H125" s="392">
        <f>(O32/$R32*100*($E32/365))</f>
        <v>15.890410958904111</v>
      </c>
      <c r="I125" s="392"/>
      <c r="J125" s="392">
        <f>(P32/$R32*100*($E32/365))</f>
        <v>0</v>
      </c>
      <c r="K125" s="392"/>
      <c r="L125" s="392">
        <f>(Q32/$R32*100*($E32/365))</f>
        <v>0</v>
      </c>
      <c r="M125" s="392"/>
      <c r="N125" s="363">
        <f t="shared" si="48"/>
        <v>15.890410958904111</v>
      </c>
      <c r="O125" s="363"/>
      <c r="R125" s="1">
        <v>1988</v>
      </c>
      <c r="S125" s="5">
        <f>(O32*($E32/366))+(O33*($E33/366))</f>
        <v>9.9043715846994544</v>
      </c>
      <c r="T125" s="5">
        <f>(P32*($E32/366))+(P33*($E33/366))</f>
        <v>0</v>
      </c>
      <c r="U125" s="5">
        <f>(Q32*($E32/366))+(Q33*($E33/366))</f>
        <v>0</v>
      </c>
      <c r="W125" s="10">
        <f t="shared" si="47"/>
        <v>9.9043715846994544</v>
      </c>
    </row>
    <row r="126" spans="1:30" s="3" customFormat="1" x14ac:dyDescent="0.15">
      <c r="A126" s="3">
        <v>1989</v>
      </c>
      <c r="B126" s="8">
        <f>(K34*($E34/365))+(K35*($E35/365))</f>
        <v>0</v>
      </c>
      <c r="C126" s="8">
        <f>(L34*($E34/365))+(L35*($E35/365))</f>
        <v>0</v>
      </c>
      <c r="D126" s="8">
        <f>(M34*($E34/365))+(M35*($E35/365))</f>
        <v>0</v>
      </c>
      <c r="E126" s="18">
        <f t="shared" si="46"/>
        <v>0</v>
      </c>
      <c r="G126" s="3">
        <v>1989</v>
      </c>
      <c r="H126" s="393">
        <v>0</v>
      </c>
      <c r="I126" s="393"/>
      <c r="J126" s="393">
        <v>0</v>
      </c>
      <c r="K126" s="393"/>
      <c r="L126" s="393">
        <v>0</v>
      </c>
      <c r="M126" s="393"/>
      <c r="N126" s="391">
        <f t="shared" si="48"/>
        <v>0</v>
      </c>
      <c r="O126" s="391"/>
      <c r="R126" s="3">
        <v>1989</v>
      </c>
      <c r="S126" s="8">
        <f>(O34*($E34/365))+(O35*($E35/365))</f>
        <v>0</v>
      </c>
      <c r="T126" s="8">
        <f>(P34*($E34/365))+(P35*($E35/365))</f>
        <v>0</v>
      </c>
      <c r="U126" s="8">
        <f>(Q34*($E34/365))+(Q35*($E35/365))</f>
        <v>0</v>
      </c>
      <c r="W126" s="21">
        <f t="shared" si="47"/>
        <v>0</v>
      </c>
    </row>
    <row r="127" spans="1:30" x14ac:dyDescent="0.15">
      <c r="A127" s="1">
        <v>1990</v>
      </c>
      <c r="B127" s="5">
        <f>(K36*($E36/365))+(K37*($E37/365))</f>
        <v>0</v>
      </c>
      <c r="C127" s="5">
        <f>(L36*($E36/365))+(L37*($E37/365))</f>
        <v>0</v>
      </c>
      <c r="D127" s="5">
        <f>(M36*($E36/365))+(M37*($E37/365))</f>
        <v>0</v>
      </c>
      <c r="E127" s="17">
        <f t="shared" ref="E127:E149" si="49">SUM(B127:D127)</f>
        <v>0</v>
      </c>
      <c r="G127" s="1">
        <v>1990</v>
      </c>
      <c r="H127" s="392">
        <v>0</v>
      </c>
      <c r="I127" s="392"/>
      <c r="J127" s="392">
        <v>0</v>
      </c>
      <c r="K127" s="392"/>
      <c r="L127" s="392">
        <v>0</v>
      </c>
      <c r="M127" s="392"/>
      <c r="N127" s="363">
        <f t="shared" si="48"/>
        <v>0</v>
      </c>
      <c r="O127" s="363"/>
      <c r="R127" s="1">
        <v>1990</v>
      </c>
      <c r="S127" s="5">
        <f>(O36*($E36/365))+(O37*($E37/365))</f>
        <v>0</v>
      </c>
      <c r="T127" s="5">
        <f>(P36*($E36/365))+(P37*($E37/365))</f>
        <v>0</v>
      </c>
      <c r="U127" s="5">
        <f>(Q36*($E36/365))+(Q37*($E37/365))</f>
        <v>0</v>
      </c>
      <c r="W127" s="10">
        <f>SUM(S127:U127)</f>
        <v>0</v>
      </c>
      <c r="Y127" s="26"/>
    </row>
    <row r="128" spans="1:30" x14ac:dyDescent="0.15">
      <c r="A128" s="1">
        <v>1991</v>
      </c>
      <c r="B128" s="5">
        <f>(K38*($E38/365))+(K39*($E39/365))</f>
        <v>0</v>
      </c>
      <c r="C128" s="5">
        <f>(L38*($E38/365))+(L39*($E39/365))</f>
        <v>0</v>
      </c>
      <c r="D128" s="5">
        <f>(M38*($E38/365))+(M39*($E39/365))</f>
        <v>0</v>
      </c>
      <c r="E128" s="17">
        <f t="shared" si="49"/>
        <v>0</v>
      </c>
      <c r="G128" s="1">
        <v>1991</v>
      </c>
      <c r="H128" s="392">
        <v>0</v>
      </c>
      <c r="I128" s="392"/>
      <c r="J128" s="392">
        <v>0</v>
      </c>
      <c r="K128" s="392"/>
      <c r="L128" s="392">
        <v>0</v>
      </c>
      <c r="M128" s="392"/>
      <c r="N128" s="363">
        <f t="shared" si="48"/>
        <v>0</v>
      </c>
      <c r="O128" s="363"/>
      <c r="R128" s="1">
        <v>1991</v>
      </c>
      <c r="S128" s="5">
        <f>(O38*($E38/365))+(O39*($E39/365))</f>
        <v>0</v>
      </c>
      <c r="T128" s="5">
        <f>(P38*($E38/365))+(P39*($E39/365))</f>
        <v>0</v>
      </c>
      <c r="U128" s="5">
        <f>(Q38*($E38/365))+(Q39*($E39/365))</f>
        <v>0</v>
      </c>
      <c r="W128" s="10">
        <f>SUM(S128:U128)</f>
        <v>0</v>
      </c>
    </row>
    <row r="129" spans="1:23" x14ac:dyDescent="0.15">
      <c r="A129" s="1">
        <v>1992</v>
      </c>
      <c r="B129" s="5">
        <f>(K40*($E40/366))+(K41*($E41/366))</f>
        <v>0</v>
      </c>
      <c r="C129" s="5">
        <f>(L40*($E40/366))+(L41*($E41/366))</f>
        <v>0</v>
      </c>
      <c r="D129" s="5">
        <f>(M40*($E40/366))+(M41*($E41/366))</f>
        <v>0</v>
      </c>
      <c r="E129" s="17">
        <f t="shared" si="49"/>
        <v>0</v>
      </c>
      <c r="G129" s="1">
        <v>1992</v>
      </c>
      <c r="H129" s="392">
        <v>0</v>
      </c>
      <c r="I129" s="392"/>
      <c r="J129" s="392">
        <v>0</v>
      </c>
      <c r="K129" s="392"/>
      <c r="L129" s="392">
        <v>0</v>
      </c>
      <c r="M129" s="392"/>
      <c r="N129" s="363">
        <f t="shared" si="48"/>
        <v>0</v>
      </c>
      <c r="O129" s="363"/>
      <c r="R129" s="1">
        <v>1992</v>
      </c>
      <c r="S129" s="5">
        <f>(O40*($E40/366))+(O41*($E41/366))</f>
        <v>0</v>
      </c>
      <c r="T129" s="5">
        <f>(P40*($E40/366))+(P41*($E41/366))</f>
        <v>0</v>
      </c>
      <c r="U129" s="5">
        <f>(Q40*($E40/366))+(Q41*($E41/366))</f>
        <v>0</v>
      </c>
      <c r="W129" s="10">
        <f t="shared" ref="W129:W149" si="50">SUM(S129:U129)</f>
        <v>0</v>
      </c>
    </row>
    <row r="130" spans="1:23" x14ac:dyDescent="0.15">
      <c r="A130" s="1">
        <v>1993</v>
      </c>
      <c r="B130" s="5">
        <f>(K42*($E42/365))+(K43*($E43/365))</f>
        <v>70.776255707762559</v>
      </c>
      <c r="C130" s="5">
        <f>(L42*($E42/365))+(L43*($E43/365))</f>
        <v>0</v>
      </c>
      <c r="D130" s="5">
        <f>(M42*($E42/365))+(M43*($E43/365))</f>
        <v>0</v>
      </c>
      <c r="E130" s="17">
        <f t="shared" si="49"/>
        <v>70.776255707762559</v>
      </c>
      <c r="G130" s="1">
        <v>1993</v>
      </c>
      <c r="H130" s="392">
        <f>0+(O43/$R43*100*($E43/365))</f>
        <v>84.93150684931507</v>
      </c>
      <c r="I130" s="392"/>
      <c r="J130" s="392">
        <f>0+(P43/$R43*100*($E43/365))</f>
        <v>0</v>
      </c>
      <c r="K130" s="392"/>
      <c r="L130" s="392">
        <f>0+(Q43/$R43*100*($E43/365))</f>
        <v>0</v>
      </c>
      <c r="M130" s="392"/>
      <c r="N130" s="363">
        <f t="shared" si="48"/>
        <v>84.93150684931507</v>
      </c>
      <c r="O130" s="363"/>
      <c r="R130" s="1">
        <v>1993</v>
      </c>
      <c r="S130" s="5">
        <f>(O42*($E42/365))+(O43*($E43/365))</f>
        <v>46.967123287671228</v>
      </c>
      <c r="T130" s="5">
        <f>(P42*($E42/365))+(P43*($E43/365))</f>
        <v>0</v>
      </c>
      <c r="U130" s="5">
        <f>(Q42*($E42/365))+(Q43*($E43/365))</f>
        <v>0</v>
      </c>
      <c r="W130" s="10">
        <f t="shared" si="50"/>
        <v>46.967123287671228</v>
      </c>
    </row>
    <row r="131" spans="1:23" x14ac:dyDescent="0.15">
      <c r="A131" s="1">
        <v>1994</v>
      </c>
      <c r="B131" s="5">
        <f>(K44*($E44/365))+(K45*($E45/365))</f>
        <v>83.333333333333343</v>
      </c>
      <c r="C131" s="5">
        <f>(L44*($E44/365))+(L45*($E45/365))</f>
        <v>0</v>
      </c>
      <c r="D131" s="5">
        <f>(M44*($E44/365))+(M45*($E45/365))</f>
        <v>0</v>
      </c>
      <c r="E131" s="17">
        <f t="shared" si="49"/>
        <v>83.333333333333343</v>
      </c>
      <c r="G131" s="1">
        <v>1994</v>
      </c>
      <c r="H131" s="392">
        <f>(O44/$R44*100*($E44/365))+(O45/$R45*100*($E45/365))</f>
        <v>100</v>
      </c>
      <c r="I131" s="392"/>
      <c r="J131" s="392">
        <f>(P44/$R44*100*($E44/365))+(P45/$R45*100*($E45/365))</f>
        <v>0</v>
      </c>
      <c r="K131" s="392"/>
      <c r="L131" s="392">
        <f>(Q44/$R44*100*($E44/365))+(Q45/$R45*100*($E45/365))</f>
        <v>0</v>
      </c>
      <c r="M131" s="392"/>
      <c r="N131" s="363">
        <f t="shared" si="48"/>
        <v>100</v>
      </c>
      <c r="O131" s="363"/>
      <c r="R131" s="1">
        <v>1994</v>
      </c>
      <c r="S131" s="5">
        <f>(O44*($E44/365))+(O45*($E45/365))</f>
        <v>55.3</v>
      </c>
      <c r="T131" s="5">
        <f>(P44*($E44/365))+(P45*($E45/365))</f>
        <v>0</v>
      </c>
      <c r="U131" s="5">
        <f>(Q44*($E44/365))+(Q45*($E45/365))</f>
        <v>0</v>
      </c>
      <c r="W131" s="10">
        <f t="shared" si="50"/>
        <v>55.3</v>
      </c>
    </row>
    <row r="132" spans="1:23" x14ac:dyDescent="0.15">
      <c r="A132" s="1">
        <v>1995</v>
      </c>
      <c r="B132" s="5">
        <f>(K46*($E46/365))+(K47*($E47/365))</f>
        <v>88.995433789954333</v>
      </c>
      <c r="C132" s="5">
        <f>(L46*($E46/365))+(L47*($E47/365))</f>
        <v>0</v>
      </c>
      <c r="D132" s="5">
        <f>(M46*($E46/365))+(M47*($E47/365))</f>
        <v>0</v>
      </c>
      <c r="E132" s="17">
        <f t="shared" si="49"/>
        <v>88.995433789954333</v>
      </c>
      <c r="G132" s="1">
        <v>1995</v>
      </c>
      <c r="H132" s="392">
        <f>(O46/$R46*100*($E46/365))+(O47/$R47*100*($E47/365))</f>
        <v>100</v>
      </c>
      <c r="I132" s="392"/>
      <c r="J132" s="392">
        <f>(P46/$R46*100*($E46/365))+(P47/$R47*100*($E47/365))</f>
        <v>0</v>
      </c>
      <c r="K132" s="392"/>
      <c r="L132" s="392">
        <f>(Q46/$R46*100*($E46/365))+(Q47/$R47*100*($E47/365))</f>
        <v>0</v>
      </c>
      <c r="M132" s="392"/>
      <c r="N132" s="363">
        <f t="shared" si="48"/>
        <v>100</v>
      </c>
      <c r="O132" s="363"/>
      <c r="R132" s="1">
        <v>1995</v>
      </c>
      <c r="S132" s="5">
        <f>(O46*($E46/365))+(O47*($E47/365))</f>
        <v>55.3</v>
      </c>
      <c r="T132" s="5">
        <f>(P46*($E46/365))+(P47*($E47/365))</f>
        <v>0</v>
      </c>
      <c r="U132" s="5">
        <f>(Q46*($E46/365))+(Q47*($E47/365))</f>
        <v>0</v>
      </c>
      <c r="W132" s="10">
        <f t="shared" si="50"/>
        <v>55.3</v>
      </c>
    </row>
    <row r="133" spans="1:23" x14ac:dyDescent="0.15">
      <c r="A133" s="1">
        <v>1996</v>
      </c>
      <c r="B133" s="5">
        <f>(K48*($E48/366))+(K49*($E49/366))</f>
        <v>91.666666666666657</v>
      </c>
      <c r="C133" s="5">
        <f>(L48*($E48/366))+(L49*($E49/366))</f>
        <v>0</v>
      </c>
      <c r="D133" s="5">
        <f>(M48*($E48/366))+(M49*($E49/366))</f>
        <v>0</v>
      </c>
      <c r="E133" s="17">
        <f t="shared" si="49"/>
        <v>91.666666666666657</v>
      </c>
      <c r="G133" s="1">
        <v>1996</v>
      </c>
      <c r="H133" s="392">
        <f>(O48/$R48*100*($E48/366))+(O49/$R49*100*($E49/366))</f>
        <v>100</v>
      </c>
      <c r="I133" s="392"/>
      <c r="J133" s="392">
        <f>(P48/$R48*100*($E48/366))+(P49/$R49*100*($E49/366))</f>
        <v>0</v>
      </c>
      <c r="K133" s="392"/>
      <c r="L133" s="392">
        <f>(Q48/$R48*100*($E48/366))+(Q49/$R49*100*($E49/366))</f>
        <v>0</v>
      </c>
      <c r="M133" s="392"/>
      <c r="N133" s="363">
        <f t="shared" si="48"/>
        <v>100</v>
      </c>
      <c r="O133" s="363"/>
      <c r="R133" s="1">
        <v>1996</v>
      </c>
      <c r="S133" s="5">
        <f>(O48*($E48/366))+(O49*($E49/366))</f>
        <v>54.278142076502732</v>
      </c>
      <c r="T133" s="5">
        <f>(P48*($E48/366))+(P49*($E49/366))</f>
        <v>0</v>
      </c>
      <c r="U133" s="5">
        <f>(Q48*($E48/366))+(Q49*($E49/366))</f>
        <v>0</v>
      </c>
      <c r="W133" s="10">
        <f t="shared" si="50"/>
        <v>54.278142076502732</v>
      </c>
    </row>
    <row r="134" spans="1:23" x14ac:dyDescent="0.15">
      <c r="A134" s="1">
        <v>1997</v>
      </c>
      <c r="B134" s="5">
        <f>(K50*($E50/365))+(K51*($E51/365))</f>
        <v>91.666666666666657</v>
      </c>
      <c r="C134" s="5">
        <f>(L50*($E50/365))+(L51*($E51/365))</f>
        <v>0</v>
      </c>
      <c r="D134" s="5">
        <f>(M50*($E50/365))+(M51*($E51/365))</f>
        <v>0</v>
      </c>
      <c r="E134" s="17">
        <f t="shared" si="49"/>
        <v>91.666666666666657</v>
      </c>
      <c r="G134" s="1">
        <v>1997</v>
      </c>
      <c r="H134" s="392">
        <f>(O50/$R50*100*($E50/365))+(O51/$R51*100*($E51/365))</f>
        <v>100</v>
      </c>
      <c r="I134" s="392"/>
      <c r="J134" s="392">
        <f>(P50/$R50*100*($E50/365))+(P51/$R51*100*($E51/365))</f>
        <v>0</v>
      </c>
      <c r="K134" s="392"/>
      <c r="L134" s="392">
        <f>(Q50/$R50*100*($E50/365))+(Q51/$R51*100*($E51/365))</f>
        <v>0</v>
      </c>
      <c r="M134" s="392"/>
      <c r="N134" s="363">
        <f t="shared" si="48"/>
        <v>100</v>
      </c>
      <c r="O134" s="363"/>
      <c r="R134" s="1">
        <v>1997</v>
      </c>
      <c r="S134" s="5">
        <f>(O50*($E50/365))+(O51*($E51/365))</f>
        <v>51.147945205479459</v>
      </c>
      <c r="T134" s="5">
        <f>(P50*($E50/365))+(P51*($E51/365))</f>
        <v>0</v>
      </c>
      <c r="U134" s="5">
        <f>(Q50*($E50/365))+(Q51*($E51/365))</f>
        <v>0</v>
      </c>
      <c r="W134" s="10">
        <f t="shared" si="50"/>
        <v>51.147945205479459</v>
      </c>
    </row>
    <row r="135" spans="1:23" x14ac:dyDescent="0.15">
      <c r="A135" s="1">
        <v>1998</v>
      </c>
      <c r="B135" s="5">
        <f>(K52*($E52/365))+(K53*($E53/365))</f>
        <v>84.657534246575352</v>
      </c>
      <c r="C135" s="5">
        <f>(L52*($E52/365))+(L53*($E53/365))</f>
        <v>0</v>
      </c>
      <c r="D135" s="5">
        <f>(M52*($E52/365))+(M53*($E53/365))</f>
        <v>14.018264840182646</v>
      </c>
      <c r="E135" s="17">
        <f t="shared" si="49"/>
        <v>98.675799086757991</v>
      </c>
      <c r="G135" s="1">
        <v>1998</v>
      </c>
      <c r="H135" s="392">
        <f>(O52/$R52*100*($E52/365))+(O53/$R53*100*($E53/365))</f>
        <v>88.675108283422787</v>
      </c>
      <c r="I135" s="392"/>
      <c r="J135" s="392">
        <f>(P52/$R52*100*($E52/365))+(P53/$R53*100*($E53/365))</f>
        <v>0</v>
      </c>
      <c r="K135" s="392"/>
      <c r="L135" s="392">
        <f>(Q52/$R52*100*($E52/365))+(Q53/$R53*100*($E53/365))</f>
        <v>11.324891716577206</v>
      </c>
      <c r="M135" s="392"/>
      <c r="N135" s="363">
        <f t="shared" si="48"/>
        <v>100</v>
      </c>
      <c r="O135" s="363"/>
      <c r="R135" s="1">
        <v>1998</v>
      </c>
      <c r="S135" s="5">
        <f>(O52*($E52/365))+(O53*($E53/365))</f>
        <v>53.783561643835618</v>
      </c>
      <c r="T135" s="5">
        <f>(P52*($E52/365))+(P53*($E53/365))</f>
        <v>0</v>
      </c>
      <c r="U135" s="5">
        <f>(Q52*($E52/365))+(Q53*($E53/365))</f>
        <v>7.4857534246575348</v>
      </c>
      <c r="W135" s="10">
        <f t="shared" si="50"/>
        <v>61.269315068493157</v>
      </c>
    </row>
    <row r="136" spans="1:23" x14ac:dyDescent="0.15">
      <c r="A136" s="1">
        <v>1999</v>
      </c>
      <c r="B136" s="5">
        <f>(K54*($E54/365))+(K55*($E55/365))</f>
        <v>99.817351598173516</v>
      </c>
      <c r="C136" s="5">
        <f>(L54*($E54/365))+(L55*($E55/365))</f>
        <v>0</v>
      </c>
      <c r="D136" s="5">
        <f>(M54*($E54/365))+(M55*($E55/365))</f>
        <v>0.18264840182648398</v>
      </c>
      <c r="E136" s="17">
        <f t="shared" si="49"/>
        <v>100</v>
      </c>
      <c r="G136" s="1">
        <v>1999</v>
      </c>
      <c r="H136" s="392">
        <f>(O54/$R54*100*($E54/365))+(O55/$R55*100*($E55/365))</f>
        <v>99.85244440760161</v>
      </c>
      <c r="I136" s="392"/>
      <c r="J136" s="392">
        <f>(P54/$R54*100*($E54/365))+(P55/$R55*100*($E55/365))</f>
        <v>0</v>
      </c>
      <c r="K136" s="392"/>
      <c r="L136" s="392">
        <f>(Q54/$R54*100*($E54/365))+(Q55/$R55*100*($E55/365))</f>
        <v>0.14755559239840008</v>
      </c>
      <c r="M136" s="392"/>
      <c r="N136" s="363">
        <f t="shared" si="48"/>
        <v>100.00000000000001</v>
      </c>
      <c r="O136" s="363"/>
      <c r="R136" s="1">
        <v>1999</v>
      </c>
      <c r="S136" s="5">
        <f>(O54*($E54/365))+(O55*($E55/365))</f>
        <v>57.2</v>
      </c>
      <c r="T136" s="5">
        <f>(P54*($E54/365))+(P55*($E55/365))</f>
        <v>0</v>
      </c>
      <c r="U136" s="5">
        <f>(Q54*($E54/365))+(Q55*($E55/365))</f>
        <v>9.7534246575342473E-2</v>
      </c>
      <c r="W136" s="10">
        <f t="shared" si="50"/>
        <v>57.297534246575346</v>
      </c>
    </row>
    <row r="137" spans="1:23" x14ac:dyDescent="0.15">
      <c r="A137" s="1">
        <v>2000</v>
      </c>
      <c r="B137" s="5">
        <f>(K56*($E56/366))+(K57*($E57/366))</f>
        <v>100</v>
      </c>
      <c r="C137" s="5">
        <f>(L56*($E56/366))+(L57*($E57/366))</f>
        <v>0</v>
      </c>
      <c r="D137" s="5">
        <f>(M56*($E56/366))+(M57*($E57/366))</f>
        <v>0</v>
      </c>
      <c r="E137" s="17">
        <f t="shared" si="49"/>
        <v>100</v>
      </c>
      <c r="G137" s="1">
        <v>2000</v>
      </c>
      <c r="H137" s="392">
        <f>(O56/$R56*100*($E56/366))+(O57/$R57*100*($E57/366))</f>
        <v>100</v>
      </c>
      <c r="I137" s="392"/>
      <c r="J137" s="392">
        <f>(P56/$R56*100*($E56/366))+(P57/$R57*100*($E57/366))</f>
        <v>0</v>
      </c>
      <c r="K137" s="392"/>
      <c r="L137" s="392">
        <f>(Q56/$R56*100*($E56/366))+(Q57/$R57*100*($E57/366))</f>
        <v>0</v>
      </c>
      <c r="M137" s="392"/>
      <c r="N137" s="363">
        <f t="shared" si="48"/>
        <v>100</v>
      </c>
      <c r="O137" s="363"/>
      <c r="R137" s="1">
        <v>2000</v>
      </c>
      <c r="S137" s="5">
        <f>(O56*($E56/366))+(O57*($E57/366))</f>
        <v>57.2</v>
      </c>
      <c r="T137" s="5">
        <f>(P56*($E56/366))+(P57*($E57/366))</f>
        <v>0</v>
      </c>
      <c r="U137" s="5">
        <f>(Q56*($E56/366))+(Q57*($E57/366))</f>
        <v>0</v>
      </c>
      <c r="W137" s="10">
        <f t="shared" si="50"/>
        <v>57.2</v>
      </c>
    </row>
    <row r="138" spans="1:23" x14ac:dyDescent="0.15">
      <c r="A138" s="1">
        <v>2001</v>
      </c>
      <c r="B138" s="5">
        <f>(K58*($E58/365))+(K59*($E59/365))</f>
        <v>100</v>
      </c>
      <c r="C138" s="5">
        <f>(L58*($E58/365))+(L59*($E59/365))</f>
        <v>0</v>
      </c>
      <c r="D138" s="5">
        <f>(M58*($E58/365))+(M59*($E59/365))</f>
        <v>0</v>
      </c>
      <c r="E138" s="17">
        <f t="shared" si="49"/>
        <v>100</v>
      </c>
      <c r="G138" s="1">
        <v>2001</v>
      </c>
      <c r="H138" s="392">
        <f>(O58/$R58*100*($E58/365))+(O59/$R59*100*($E59/365))</f>
        <v>100</v>
      </c>
      <c r="I138" s="392"/>
      <c r="J138" s="392">
        <f>(P58/$R58*100*($E58/365))+(P59/$R59*100*($E59/365))</f>
        <v>0</v>
      </c>
      <c r="K138" s="392"/>
      <c r="L138" s="392">
        <f>(Q58/$R58*100*($E58/365))+(Q59/$R59*100*($E59/365))</f>
        <v>0</v>
      </c>
      <c r="M138" s="392"/>
      <c r="N138" s="363">
        <f t="shared" si="48"/>
        <v>100</v>
      </c>
      <c r="O138" s="363"/>
      <c r="R138" s="1">
        <v>2001</v>
      </c>
      <c r="S138" s="5">
        <f>(O58*($E58/365))+(O59*($E59/365))</f>
        <v>53.96</v>
      </c>
      <c r="T138" s="5">
        <f>(P58*($E58/365))+(P59*($E59/365))</f>
        <v>0</v>
      </c>
      <c r="U138" s="5">
        <f>(Q58*($E58/365))+(Q59*($E59/365))</f>
        <v>0</v>
      </c>
      <c r="W138" s="10">
        <f t="shared" si="50"/>
        <v>53.96</v>
      </c>
    </row>
    <row r="139" spans="1:23" x14ac:dyDescent="0.15">
      <c r="A139" s="1">
        <v>2002</v>
      </c>
      <c r="B139" s="5">
        <f>(K60*($E60/365))+(K61*($E61/365))</f>
        <v>100</v>
      </c>
      <c r="C139" s="5">
        <f>(L60*($E60/365))+(L61*($E61/365))</f>
        <v>0</v>
      </c>
      <c r="D139" s="5">
        <f>(M60*($E60/365))+(M61*($E61/365))</f>
        <v>0</v>
      </c>
      <c r="E139" s="17">
        <f t="shared" si="49"/>
        <v>100</v>
      </c>
      <c r="G139" s="1">
        <v>2002</v>
      </c>
      <c r="H139" s="392">
        <f>(O60/$R60*100*($E60/365))+(O61/$R61*100*($E61/365))</f>
        <v>100</v>
      </c>
      <c r="I139" s="392"/>
      <c r="J139" s="392">
        <f>(P60/$R60*100*($E60/365))+(P61/$R61*100*($E61/365))</f>
        <v>0</v>
      </c>
      <c r="K139" s="392"/>
      <c r="L139" s="392">
        <f>(Q60/$R60*100*($E60/365))+(Q61/$R61*100*($E61/365))</f>
        <v>0</v>
      </c>
      <c r="M139" s="392"/>
      <c r="N139" s="363">
        <f t="shared" si="48"/>
        <v>100</v>
      </c>
      <c r="O139" s="363"/>
      <c r="R139" s="1">
        <v>2002</v>
      </c>
      <c r="S139" s="5">
        <f>(O60*($E60/365))+(O61*($E61/365))</f>
        <v>51.8</v>
      </c>
      <c r="T139" s="5">
        <f>(P60*($E60/365))+(P61*($E61/365))</f>
        <v>0</v>
      </c>
      <c r="U139" s="5">
        <f>(Q60*($E60/365))+(Q61*($E61/365))</f>
        <v>0</v>
      </c>
      <c r="W139" s="10">
        <f t="shared" si="50"/>
        <v>51.8</v>
      </c>
    </row>
    <row r="140" spans="1:23" x14ac:dyDescent="0.15">
      <c r="A140" s="1">
        <v>2003</v>
      </c>
      <c r="B140" s="5">
        <f>(K62*($E62/365))+(K63*($E63/365))</f>
        <v>43.926940639269404</v>
      </c>
      <c r="C140" s="5">
        <f>(L62*($E62/365))+(L63*($E63/365))</f>
        <v>0</v>
      </c>
      <c r="D140" s="5">
        <f>(M62*($E62/365))+(M63*($E63/365))</f>
        <v>42.054794520547944</v>
      </c>
      <c r="E140" s="17">
        <f t="shared" si="49"/>
        <v>85.981735159817347</v>
      </c>
      <c r="G140" s="1">
        <v>2003</v>
      </c>
      <c r="H140" s="392">
        <f>(O62/$R62*100*($E62/365))+(O63/$R63*100*($E63/365))</f>
        <v>38.881317301207062</v>
      </c>
      <c r="I140" s="392"/>
      <c r="J140" s="392">
        <f>(P62/$R62*100*($E62/365))+(P63/$R63*100*($E63/365))</f>
        <v>0</v>
      </c>
      <c r="K140" s="392"/>
      <c r="L140" s="392">
        <f>(Q62/$R62*100*($E62/365))+(Q63/$R63*100*($E63/365))</f>
        <v>61.118682698792938</v>
      </c>
      <c r="M140" s="392"/>
      <c r="N140" s="363">
        <f t="shared" si="48"/>
        <v>100</v>
      </c>
      <c r="O140" s="363"/>
      <c r="R140" s="1">
        <v>2003</v>
      </c>
      <c r="S140" s="5">
        <f>(O62*($E62/365))+(O63*($E63/365))</f>
        <v>21.772876712328767</v>
      </c>
      <c r="T140" s="5">
        <f>(P62*($E62/365))+(P63*($E63/365))</f>
        <v>0</v>
      </c>
      <c r="U140" s="5">
        <f>(Q62*($E62/365))+(Q63*($E63/365))</f>
        <v>35.998904109589041</v>
      </c>
      <c r="W140" s="10">
        <f t="shared" si="50"/>
        <v>57.771780821917808</v>
      </c>
    </row>
    <row r="141" spans="1:23" x14ac:dyDescent="0.15">
      <c r="A141" s="1">
        <v>2004</v>
      </c>
      <c r="B141" s="5">
        <f>(K64*($E64/366))+(K65*($E65/366))</f>
        <v>28.119307832422585</v>
      </c>
      <c r="C141" s="5">
        <f>(L64*($E64/366))+(L65*($E65/366))</f>
        <v>0</v>
      </c>
      <c r="D141" s="5">
        <f>(M64*($E64/366))+(M65*($E65/366))</f>
        <v>50</v>
      </c>
      <c r="E141" s="17">
        <f t="shared" si="49"/>
        <v>78.119307832422578</v>
      </c>
      <c r="G141" s="1">
        <v>2004</v>
      </c>
      <c r="H141" s="392">
        <f>(O64/$R64*100*($E64/366))+(O65/$R65*100*($E65/366))</f>
        <v>27.334465195246182</v>
      </c>
      <c r="I141" s="392"/>
      <c r="J141" s="392">
        <f>(P64/$R64*100*($E64/366))+(P65/$R65*100*($E65/366))</f>
        <v>0</v>
      </c>
      <c r="K141" s="392"/>
      <c r="L141" s="392">
        <f>(Q64/$R64*100*($E64/366))+(Q65/$R65*100*($E65/366))</f>
        <v>72.665534804753833</v>
      </c>
      <c r="M141" s="392"/>
      <c r="N141" s="363">
        <f t="shared" si="48"/>
        <v>100.00000000000001</v>
      </c>
      <c r="O141" s="363"/>
      <c r="R141" s="1">
        <v>2004</v>
      </c>
      <c r="S141" s="5">
        <f>(O64*($E64/366))+(O65*($E65/366))</f>
        <v>16.100000000000001</v>
      </c>
      <c r="T141" s="5">
        <f>(P64*($E64/366))+(P65*($E65/366))</f>
        <v>0</v>
      </c>
      <c r="U141" s="5">
        <f>(Q64*($E64/366))+(Q65*($E65/366))</f>
        <v>42.8</v>
      </c>
      <c r="W141" s="10">
        <f t="shared" si="50"/>
        <v>58.9</v>
      </c>
    </row>
    <row r="142" spans="1:23" x14ac:dyDescent="0.15">
      <c r="A142" s="1">
        <v>2005</v>
      </c>
      <c r="B142" s="5">
        <f>(K66*($E66/365))+(K67*($E67/365))</f>
        <v>25</v>
      </c>
      <c r="C142" s="5">
        <f>(L66*($E66/365))+(L67*($E67/365))</f>
        <v>0</v>
      </c>
      <c r="D142" s="5">
        <f>(M66*($E66/365))+(M67*($E67/365))</f>
        <v>42.374429223744301</v>
      </c>
      <c r="E142" s="17">
        <f>SUM(B142:D142)</f>
        <v>67.374429223744301</v>
      </c>
      <c r="G142" s="1">
        <v>2005</v>
      </c>
      <c r="H142" s="392">
        <f>(O66/$R66*100*($E66/365))+(O67/$R67*100*($E67/365))</f>
        <v>27.334465195246182</v>
      </c>
      <c r="I142" s="392"/>
      <c r="J142" s="392">
        <f>(P66/$R66*100*($E66/365))+(P67/$R67*100*($E67/365))</f>
        <v>0</v>
      </c>
      <c r="K142" s="392"/>
      <c r="L142" s="392">
        <f>(Q66/$R66*100*($E66/365))+(Q67/$R67*100*($E67/365))</f>
        <v>72.665534804753818</v>
      </c>
      <c r="M142" s="392"/>
      <c r="N142" s="363">
        <f>H142+J142+L142</f>
        <v>100</v>
      </c>
      <c r="O142" s="363"/>
      <c r="R142" s="1">
        <v>2005</v>
      </c>
      <c r="S142" s="5">
        <f>(O66*($E66/365))+(O67*($E67/365))</f>
        <v>16.100000000000001</v>
      </c>
      <c r="T142" s="5">
        <f>(P66*($E66/365))+(P67*($E67/365))</f>
        <v>0</v>
      </c>
      <c r="U142" s="5">
        <f>(Q66*($E66/365))+(Q67*($E67/365))</f>
        <v>42.8</v>
      </c>
      <c r="W142" s="10">
        <f t="shared" si="50"/>
        <v>58.9</v>
      </c>
    </row>
    <row r="143" spans="1:23" x14ac:dyDescent="0.15">
      <c r="A143" s="1">
        <v>2006</v>
      </c>
      <c r="B143" s="5">
        <f>(K68*($E68/365))*(K69*($E69/365))+(K70*($E70/365))</f>
        <v>42.777256520923245</v>
      </c>
      <c r="C143" s="5">
        <f>(L68*($E68/365))+($L69*($E69/365))+(L70*($E70/365))</f>
        <v>0</v>
      </c>
      <c r="D143" s="5">
        <f>(M68*($E68/365))+(M69*($E69/365))+(M70*($E70/365))</f>
        <v>41.666666666666671</v>
      </c>
      <c r="E143" s="17">
        <f t="shared" si="49"/>
        <v>84.443923187589917</v>
      </c>
      <c r="G143" s="1">
        <v>2006</v>
      </c>
      <c r="H143" s="392">
        <f>(O68/$R68*100*($E68/365))+(O69/$R69*100*($E69/365))+(O70/$R70*100*($E70/365))</f>
        <v>30.422062603032174</v>
      </c>
      <c r="I143" s="392"/>
      <c r="J143" s="392">
        <f>(P68/$R68*100*($E68/365))+(P69/$R69*100*($E69/365))+(P70/$R70*100*($E70/365))</f>
        <v>0</v>
      </c>
      <c r="K143" s="392"/>
      <c r="L143" s="392">
        <f>(Q68/$R68*100*($E68/365))+(Q69/$R69*100*($E69/365))+(Q70/$R70*100*($E70/365))</f>
        <v>69.577937396967826</v>
      </c>
      <c r="M143" s="392"/>
      <c r="N143" s="363">
        <f t="shared" si="48"/>
        <v>100</v>
      </c>
      <c r="O143" s="363"/>
      <c r="R143" s="1">
        <v>2006</v>
      </c>
      <c r="S143" s="5">
        <f>(O68*($E68/365))+(O69*($E69/365))+(O70*($E70/365))</f>
        <v>18.257534246575343</v>
      </c>
      <c r="T143" s="5">
        <f>(P68*($E68/365))+(P69*($E69/365))+(P70*($E70/365))</f>
        <v>0</v>
      </c>
      <c r="U143" s="5">
        <f>(Q68*($E68/365))+(Q69*($E69/365))+(Q70*($E70/365))</f>
        <v>41.690410958904103</v>
      </c>
      <c r="W143" s="10">
        <f t="shared" si="50"/>
        <v>59.947945205479442</v>
      </c>
    </row>
    <row r="144" spans="1:23" x14ac:dyDescent="0.15">
      <c r="A144" s="1">
        <v>2007</v>
      </c>
      <c r="B144" s="5">
        <f>(K71*($E71/365))+(K72*($E72/365))</f>
        <v>36.575342465753423</v>
      </c>
      <c r="C144" s="5">
        <f>(L71*($E71/365))+(L72*($E72/365))</f>
        <v>0</v>
      </c>
      <c r="D144" s="5">
        <f>(M71*($E71/365))+(M72*($E72/365))</f>
        <v>30.091324200913245</v>
      </c>
      <c r="E144" s="17">
        <f t="shared" si="49"/>
        <v>66.666666666666671</v>
      </c>
      <c r="G144" s="1">
        <v>2007</v>
      </c>
      <c r="H144" s="392">
        <f>(O71/$R71*100*($E71/365))+(O72/$R72*100*($E72/365))</f>
        <v>49.210219363681148</v>
      </c>
      <c r="I144" s="392"/>
      <c r="J144" s="392">
        <f>(P71/$R71*100*($E71/365))+(P72/$R72*100*($E72/365))</f>
        <v>0</v>
      </c>
      <c r="K144" s="392"/>
      <c r="L144" s="392">
        <f>(Q71/$R71*100*($E71/365))+(Q72/$R72*100*($E72/365))</f>
        <v>50.789780636318859</v>
      </c>
      <c r="M144" s="392"/>
      <c r="N144" s="363">
        <f t="shared" si="48"/>
        <v>100</v>
      </c>
      <c r="O144" s="363"/>
      <c r="R144" s="1">
        <v>2007</v>
      </c>
      <c r="S144" s="5">
        <f>(O71*($E71/365))+(O72*($E72/365))</f>
        <v>19.600000000000001</v>
      </c>
      <c r="T144" s="5">
        <f>(P71*($E71/365))+(P72*($E72/365))</f>
        <v>0</v>
      </c>
      <c r="U144" s="5">
        <f>(Q71*($E71/365))+(Q72*($E72/365))</f>
        <v>26.137260273972604</v>
      </c>
      <c r="W144" s="10">
        <f t="shared" si="50"/>
        <v>45.737260273972609</v>
      </c>
    </row>
    <row r="145" spans="1:23" x14ac:dyDescent="0.15">
      <c r="A145" s="1">
        <v>2008</v>
      </c>
      <c r="B145" s="5">
        <f>(K73*($E73/366))+(K74*($E74/366))</f>
        <v>29.030054644808743</v>
      </c>
      <c r="C145" s="5">
        <f>(L73*($E73/366))+(L74*($E74/366))</f>
        <v>0</v>
      </c>
      <c r="D145" s="5">
        <f>(M73*($E73/366))+(M74*($E74/366))</f>
        <v>51.616575591985431</v>
      </c>
      <c r="E145" s="17">
        <f t="shared" si="49"/>
        <v>80.646630236794181</v>
      </c>
      <c r="G145" s="1">
        <v>2008</v>
      </c>
      <c r="H145" s="392">
        <f>(O73/$R73*100*($E73/366))+(O74/$R74*100*($E74/366))</f>
        <v>38.215619663778298</v>
      </c>
      <c r="I145" s="392"/>
      <c r="J145" s="392">
        <f>(P73/$R73*100*($E73/366))+(P74/$R74*100*($E74/366))</f>
        <v>0</v>
      </c>
      <c r="K145" s="392"/>
      <c r="L145" s="392">
        <f>(Q73/$R73*100*($E73/366))+(Q74/$R74*100*($E74/366))</f>
        <v>61.784380336221723</v>
      </c>
      <c r="M145" s="392"/>
      <c r="N145" s="363">
        <f t="shared" si="48"/>
        <v>100.00000000000003</v>
      </c>
      <c r="O145" s="363"/>
      <c r="R145" s="1">
        <v>2008</v>
      </c>
      <c r="S145" s="5">
        <f>(O73*($E73/366))+(O74*($E74/366))</f>
        <v>19.600000000000001</v>
      </c>
      <c r="T145" s="5">
        <f>(P73*($E73/366))+(P74*($E74/366))</f>
        <v>0</v>
      </c>
      <c r="U145" s="5">
        <f>(Q73*($E73/366))+(Q74*($E74/366))</f>
        <v>35.825409836065575</v>
      </c>
      <c r="W145" s="10">
        <f t="shared" si="50"/>
        <v>55.425409836065576</v>
      </c>
    </row>
    <row r="146" spans="1:23" x14ac:dyDescent="0.15">
      <c r="A146" s="1">
        <v>2009</v>
      </c>
      <c r="B146" s="5">
        <f>(K75*($E75/365))+(K76*($E76/365))</f>
        <v>25</v>
      </c>
      <c r="C146" s="5">
        <f>(L75*($E75/365))+(L76*($E76/365))</f>
        <v>0</v>
      </c>
      <c r="D146" s="5">
        <f>(M75*($E75/365))+(M76*($E76/365))</f>
        <v>58.333333333333336</v>
      </c>
      <c r="E146" s="17">
        <f t="shared" si="49"/>
        <v>83.333333333333343</v>
      </c>
      <c r="G146" s="1">
        <v>2009</v>
      </c>
      <c r="H146" s="392">
        <f>(O75/$R75*100*($E75/365))+(O76/$R76*100*($E76/365))</f>
        <v>32.343234323432348</v>
      </c>
      <c r="I146" s="392"/>
      <c r="J146" s="392">
        <f>(P75/$R75*100*($E75/365))+(P76/$R76*100*($E76/365))</f>
        <v>0</v>
      </c>
      <c r="K146" s="392"/>
      <c r="L146" s="392">
        <f>(Q75/$R75*100*($E75/365))+(Q76/$R76*100*($E76/365))</f>
        <v>67.656765676567659</v>
      </c>
      <c r="M146" s="392"/>
      <c r="N146" s="363">
        <f t="shared" si="48"/>
        <v>100</v>
      </c>
      <c r="O146" s="363"/>
      <c r="R146" s="1">
        <v>2009</v>
      </c>
      <c r="S146" s="5">
        <f>(O75*($E75/365))+(O76*($E76/365))</f>
        <v>19.600000000000001</v>
      </c>
      <c r="T146" s="5">
        <f>(P75*($E75/365))+(P76*($E76/365))</f>
        <v>0</v>
      </c>
      <c r="U146" s="5">
        <f>(Q75*($E75/365))+(Q76*($E76/365))</f>
        <v>41</v>
      </c>
      <c r="W146" s="10">
        <f t="shared" si="50"/>
        <v>60.6</v>
      </c>
    </row>
    <row r="147" spans="1:23" x14ac:dyDescent="0.15">
      <c r="A147" s="1">
        <v>2010</v>
      </c>
      <c r="B147" s="5">
        <f>(K77*($E77/365))+(K78*($E78/365))</f>
        <v>25</v>
      </c>
      <c r="C147" s="5">
        <f>(L77*($E77/365))+(L78*($E78/365))</f>
        <v>0</v>
      </c>
      <c r="D147" s="5">
        <f>(M77*($E77/365))+(M78*($E78/365))</f>
        <v>45.776255707762559</v>
      </c>
      <c r="E147" s="17">
        <f t="shared" si="49"/>
        <v>70.776255707762559</v>
      </c>
      <c r="G147" s="1">
        <v>2010</v>
      </c>
      <c r="H147" s="392">
        <f>(O77/$R77*100*($E77/365))+(O78/$R78*100*($E78/365))</f>
        <v>36.995771859319419</v>
      </c>
      <c r="I147" s="392"/>
      <c r="J147" s="392">
        <f>(P77/$R77*100*($E77/365))+(P78/$R78*100*($E78/365))</f>
        <v>0</v>
      </c>
      <c r="K147" s="392"/>
      <c r="L147" s="392">
        <f>(Q77/$R77*100*($E77/365))+(Q78/$R78*100*($E78/365))</f>
        <v>63.004228140680581</v>
      </c>
      <c r="M147" s="392"/>
      <c r="N147" s="363">
        <f t="shared" si="48"/>
        <v>100</v>
      </c>
      <c r="O147" s="363"/>
      <c r="R147" s="1">
        <v>2010</v>
      </c>
      <c r="S147" s="5">
        <f>(O77*($E77/365))+(O78*($E78/365))</f>
        <v>19.600000000000001</v>
      </c>
      <c r="T147" s="5">
        <f>(P77*($E77/365))+(P78*($E78/365))</f>
        <v>0</v>
      </c>
      <c r="U147" s="5">
        <f>(Q77*($E77/365))+(Q78*($E78/365))</f>
        <v>33.563013698630137</v>
      </c>
      <c r="W147" s="10">
        <f t="shared" si="50"/>
        <v>53.163013698630138</v>
      </c>
    </row>
    <row r="148" spans="1:23" x14ac:dyDescent="0.15">
      <c r="A148" s="1">
        <v>2011</v>
      </c>
      <c r="B148" s="5">
        <f>(K79*($E79/365))+(K80*($E80/365))+(K81*($E81/365))</f>
        <v>14.794520547945206</v>
      </c>
      <c r="C148" s="5">
        <f>(L79*($E79/365))+(L80*($E80/365))+(L81*($E81/365))</f>
        <v>0</v>
      </c>
      <c r="D148" s="5">
        <f>(M79*($E79/365))+(M80*($E80/365))+(M81*($E81/365))</f>
        <v>43.37899543378996</v>
      </c>
      <c r="E148" s="17">
        <f t="shared" si="49"/>
        <v>58.173515981735164</v>
      </c>
      <c r="G148" s="1">
        <v>2011</v>
      </c>
      <c r="H148" s="392">
        <f>(O79/$R79*100*($E79/365))+(O80/$R80*100*($E80/365))+(O81/$R81*100*($E81/365))</f>
        <v>21.261519302615191</v>
      </c>
      <c r="I148" s="392"/>
      <c r="J148" s="392">
        <f>(P79/$R79*100*($E79/365))+(P80/$R80*100*($E80/365))+(P81/$R81*100*($E81/365))</f>
        <v>0</v>
      </c>
      <c r="K148" s="392"/>
      <c r="L148" s="392">
        <f>(Q79/$R79*100*($E79/365))+(Q80/$R80*100*($E80/365))+(Q81/$R81*100*($E81/365))</f>
        <v>78.738480697384801</v>
      </c>
      <c r="M148" s="392"/>
      <c r="N148" s="363">
        <f t="shared" si="48"/>
        <v>100</v>
      </c>
      <c r="O148" s="363"/>
      <c r="R148" s="1">
        <v>2011</v>
      </c>
      <c r="S148" s="5">
        <f>(O79*($E79/365))+(O80*($E80/365))+(O81*($E81/365))</f>
        <v>10.879726027397261</v>
      </c>
      <c r="T148" s="5">
        <f>(P79*($E79/365))+(P80*($E80/365))+(P81*($E81/365))</f>
        <v>0</v>
      </c>
      <c r="U148" s="5">
        <f>(Q79*($E79/365))+(Q80*($E80/365))+(Q81*($E81/365))</f>
        <v>33.204657534246579</v>
      </c>
      <c r="W148" s="10">
        <f t="shared" si="50"/>
        <v>44.08438356164384</v>
      </c>
    </row>
    <row r="149" spans="1:23" x14ac:dyDescent="0.15">
      <c r="A149" s="1">
        <v>2012</v>
      </c>
      <c r="B149" s="5">
        <f>(K82*($E82/366))+(K83*($E83/366))+(K84*($E84/366))</f>
        <v>0</v>
      </c>
      <c r="C149" s="5">
        <f>(L82*($E82/366))+(L83*($E83/366))+(L84*($E84/366))</f>
        <v>0</v>
      </c>
      <c r="D149" s="5">
        <f>(M82*($E82/366))+(M83*($E83/366))+(M84*($E84/366))</f>
        <v>33.424408014571945</v>
      </c>
      <c r="E149" s="17">
        <f t="shared" si="49"/>
        <v>33.424408014571945</v>
      </c>
      <c r="G149" s="1">
        <v>2012</v>
      </c>
      <c r="H149" s="392">
        <f>(O82/$R82*100*($E82/366))+(O83/$R83*100*($E83/366))+(O84/$R84*100*($E84/366))</f>
        <v>0</v>
      </c>
      <c r="I149" s="392"/>
      <c r="J149" s="392">
        <f>(P82/$R82*100*($E82/366))+(P83/$R83*100*($E83/366))+(P84/$R84*100*($E84/366))</f>
        <v>0</v>
      </c>
      <c r="K149" s="392"/>
      <c r="L149" s="392">
        <f>(Q82/$R82*100*($E82/366))+(Q83/$R83*100*($E83/366))+(Q84/$R84*100*($E84/366))</f>
        <v>99.999999999999986</v>
      </c>
      <c r="M149" s="392"/>
      <c r="N149" s="363">
        <f t="shared" si="48"/>
        <v>99.999999999999986</v>
      </c>
      <c r="O149" s="363"/>
      <c r="R149" s="1">
        <v>2012</v>
      </c>
      <c r="S149" s="5">
        <f>(O82*($E82/366))+(O83*($E83/366))+(O84*($E84/366))</f>
        <v>0</v>
      </c>
      <c r="T149" s="5">
        <f>(P82*($E82/366))+(P83*($E83/366))+(P84*($E84/366))</f>
        <v>0</v>
      </c>
      <c r="U149" s="5">
        <f>(Q82*($E82/366))+(Q83*($E83/366))+(Q84*($E84/366))</f>
        <v>33.9</v>
      </c>
      <c r="W149" s="10">
        <f t="shared" si="50"/>
        <v>33.9</v>
      </c>
    </row>
    <row r="150" spans="1:23" x14ac:dyDescent="0.15">
      <c r="A150" s="1">
        <v>2013</v>
      </c>
      <c r="B150" s="5">
        <f>(K85*($E85/365))+(K86*($E86/365))+(K87*($E87/365))</f>
        <v>83.333333333333343</v>
      </c>
      <c r="C150" s="5">
        <f>(L85*($E85/365))+(L86*($E86/365))+(L87*($E87/365))</f>
        <v>0</v>
      </c>
      <c r="D150" s="5">
        <f>(M85*($E85/365))+(M86*($E86/365))+(M87*($E87/365))</f>
        <v>3.9726027397260277</v>
      </c>
      <c r="E150" s="17">
        <f t="shared" ref="E150:E155" si="51">SUM(B150:D150)</f>
        <v>87.305936073059371</v>
      </c>
      <c r="G150" s="1">
        <v>2013</v>
      </c>
      <c r="H150" s="392">
        <f>(O85/$R85*100*($E85/365))+(O86/$R86*100*($E86/365))+(O87/$R87*100*($E87/365))</f>
        <v>84.109589041095902</v>
      </c>
      <c r="I150" s="392"/>
      <c r="J150" s="392">
        <f>(P85/$R85*100*($E85/365))+(P86/$R86*100*($E86/365))+(P87/$R87*100*($E87/365))</f>
        <v>0</v>
      </c>
      <c r="K150" s="392"/>
      <c r="L150" s="392">
        <f>(Q85/$R85*100*($E85/365))+(Q86/$R86*100*($E86/365))+(Q87/$R87*100*($E87/365))</f>
        <v>15.890410958904111</v>
      </c>
      <c r="M150" s="392"/>
      <c r="N150" s="363">
        <f t="shared" si="48"/>
        <v>100.00000000000001</v>
      </c>
      <c r="O150" s="363"/>
      <c r="R150" s="1">
        <v>2013</v>
      </c>
      <c r="S150" s="5">
        <f>(O85*($E85/365))+(O86*($E86/365))+(O87*($E87/365))</f>
        <v>45.082739726027398</v>
      </c>
      <c r="T150" s="5">
        <f>(P85*($E85/365))+(P86*($E86/365))+(P87*($E87/365))</f>
        <v>0</v>
      </c>
      <c r="U150" s="5">
        <f>(Q85*($E85/365))+(Q86*($E86/365))+(Q87*($E87/365))</f>
        <v>5.3868493150684937</v>
      </c>
      <c r="W150" s="10">
        <f t="shared" ref="W150:W154" si="52">SUM(S150:U150)</f>
        <v>50.469589041095894</v>
      </c>
    </row>
    <row r="151" spans="1:23" x14ac:dyDescent="0.15">
      <c r="A151" s="1">
        <v>2014</v>
      </c>
      <c r="B151" s="5">
        <f>(K88*($E88/365))+(K89*($E89/365))+(K90*($E90/365))</f>
        <v>72.990867579908667</v>
      </c>
      <c r="C151" s="5">
        <f>(L88*($E88/365))+(L89*($E89/365))+(L90*($E90/365))</f>
        <v>0</v>
      </c>
      <c r="D151" s="5">
        <f>(M88*($E88/365))+(M89*($E89/365))+(M90*($E90/365))</f>
        <v>0</v>
      </c>
      <c r="E151" s="17">
        <f t="shared" si="51"/>
        <v>72.990867579908667</v>
      </c>
      <c r="G151" s="1">
        <v>2014</v>
      </c>
      <c r="H151" s="392">
        <f>(O88/$R88*100*($E88/365))+(O89/$R89*100*($E89/365))+(O90/$R90*100*($E90/365))</f>
        <v>100</v>
      </c>
      <c r="I151" s="392"/>
      <c r="J151" s="392">
        <f>(P88/$R88*100*($E88/365))+(P89/$R89*100*($E89/365))+(P90/$R90*100*($E90/365))</f>
        <v>0</v>
      </c>
      <c r="K151" s="392"/>
      <c r="L151" s="392">
        <f>(Q88/$R88*100*($E88/365))+(Q89/$R89*100*($E89/365))+(Q90/$R90*100*($E90/365))</f>
        <v>0</v>
      </c>
      <c r="M151" s="392"/>
      <c r="N151" s="363">
        <f t="shared" si="48"/>
        <v>100</v>
      </c>
      <c r="O151" s="363"/>
      <c r="R151" s="1">
        <v>2014</v>
      </c>
      <c r="S151" s="5">
        <f>(O88*($E88/365))+(O89*($E89/365))+(O90*($E90/365))</f>
        <v>40.675890410958907</v>
      </c>
      <c r="T151" s="5">
        <f>(P88*($E88/365))+(P89*($E89/365))+(P90*($E90/365))</f>
        <v>0</v>
      </c>
      <c r="U151" s="5">
        <f>(Q88*($E88/365))+(Q89*($E89/365))+(Q90*($E90/365))</f>
        <v>0</v>
      </c>
      <c r="W151" s="10">
        <f t="shared" si="52"/>
        <v>40.675890410958907</v>
      </c>
    </row>
    <row r="152" spans="1:23" x14ac:dyDescent="0.15">
      <c r="A152" s="1">
        <v>2015</v>
      </c>
      <c r="B152" s="5">
        <f>(K91*($E91/365))+(K92*($E92/365))</f>
        <v>75</v>
      </c>
      <c r="C152" s="5">
        <f>(L91*($E91/365))+(L92*($E92/365))</f>
        <v>0</v>
      </c>
      <c r="D152" s="5">
        <f>(M91*($E91/365))+(M92*($E92/365))</f>
        <v>0</v>
      </c>
      <c r="E152" s="17">
        <f t="shared" si="51"/>
        <v>75</v>
      </c>
      <c r="G152" s="1">
        <v>2015</v>
      </c>
      <c r="H152" s="392">
        <f>(O91/$R91*100*($E91/365))+(O92/$R92*100*($E92/365))</f>
        <v>100</v>
      </c>
      <c r="I152" s="392"/>
      <c r="J152" s="392">
        <f>(P91/$R91*100*($E91/365))+(P92/$R92*100*($E92/365))</f>
        <v>0</v>
      </c>
      <c r="K152" s="392"/>
      <c r="L152" s="392">
        <f>(Q91/$R91*100*($E91/365))+(Q92/$R92*100*($E92/365))</f>
        <v>0</v>
      </c>
      <c r="M152" s="392"/>
      <c r="N152" s="363">
        <f>H152+J152+L152</f>
        <v>100</v>
      </c>
      <c r="O152" s="363"/>
      <c r="R152" s="1">
        <v>2015</v>
      </c>
      <c r="S152" s="5">
        <f>(O91*($E91/365))+(O92*($E92/365))</f>
        <v>37.5</v>
      </c>
      <c r="T152" s="5">
        <f>(P91*($E91/365))+(P92*($E92/365))</f>
        <v>0</v>
      </c>
      <c r="U152" s="5">
        <f>(Q91*($E91/365))+(Q92*($E92/365))</f>
        <v>0</v>
      </c>
      <c r="W152" s="10">
        <f t="shared" si="52"/>
        <v>37.5</v>
      </c>
    </row>
    <row r="153" spans="1:23" x14ac:dyDescent="0.15">
      <c r="A153" s="1">
        <v>2016</v>
      </c>
      <c r="B153" s="5">
        <f>(K93*($E93/366))+K94*(E94/366)+(K95*($E95/366))</f>
        <v>68.670309653916206</v>
      </c>
      <c r="C153" s="5">
        <f>(L93*($E93/366))+L94*(E94/366)+(L95*($E95/366))</f>
        <v>0</v>
      </c>
      <c r="D153" s="5">
        <f>(M93*($E93/366))+M94*(E94/366)+(M95*($E95/366))</f>
        <v>0</v>
      </c>
      <c r="E153" s="17">
        <f t="shared" si="51"/>
        <v>68.670309653916206</v>
      </c>
      <c r="G153" s="1">
        <v>2016</v>
      </c>
      <c r="H153" s="392">
        <f>(O93/$R93*100*($E93/366))+(O94/R94*100*(E94/366))+(O95/$R95*100*($E95/366))</f>
        <v>100</v>
      </c>
      <c r="I153" s="392"/>
      <c r="J153" s="392">
        <f>(P93/$R93*100*($E93/366))+(P94/R94*100*(E94/366))+(P95/$R95*100*($E95/366))</f>
        <v>0</v>
      </c>
      <c r="K153" s="392"/>
      <c r="L153" s="392">
        <f>(Q93/$R93*100*($E93/366))+(Q94/R94*100*(E94/366))+(Q95/$R95*100*($E95/366))</f>
        <v>0</v>
      </c>
      <c r="M153" s="392"/>
      <c r="N153" s="363">
        <f>H153+J153+L153</f>
        <v>100</v>
      </c>
      <c r="O153" s="363"/>
      <c r="R153" s="1">
        <v>2016</v>
      </c>
      <c r="S153" s="5">
        <f>(O93*($E93/366))+(O94*(E94/366))+(O95*($E95/366))</f>
        <v>33.929508196721315</v>
      </c>
      <c r="T153" s="5">
        <f>(P93*($E93/366))+(P94*(E94/366))+(P95*($E95/366))</f>
        <v>0</v>
      </c>
      <c r="U153" s="5">
        <f>(Q93*($E93/366))+(Q94*(E94/366))+(Q95*($E95/366))</f>
        <v>0</v>
      </c>
      <c r="W153" s="10">
        <f t="shared" si="52"/>
        <v>33.929508196721315</v>
      </c>
    </row>
    <row r="154" spans="1:23" x14ac:dyDescent="0.15">
      <c r="A154" s="1">
        <v>2017</v>
      </c>
      <c r="B154" s="5">
        <f>(K96*($E96/365))+(K97*($E97/365))</f>
        <v>66.666666666666657</v>
      </c>
      <c r="C154" s="5">
        <f>(L96*($E96/365))+(L97*($E97/365))</f>
        <v>0</v>
      </c>
      <c r="D154" s="5">
        <f>(M96*($E96/365))+(M97*($E97/365))</f>
        <v>0</v>
      </c>
      <c r="E154" s="17">
        <f t="shared" si="51"/>
        <v>66.666666666666657</v>
      </c>
      <c r="G154" s="1">
        <v>2017</v>
      </c>
      <c r="H154" s="392">
        <f>(O96/$R96*100*($E96/365))+(O97/$R97*100*($E97/365))</f>
        <v>100</v>
      </c>
      <c r="I154" s="392"/>
      <c r="J154" s="392">
        <f>(P96/$R96*100*($E96/365))+(P97/$R97*100*($E97/365))</f>
        <v>0</v>
      </c>
      <c r="K154" s="392"/>
      <c r="L154" s="392">
        <f>(Q96/$R96*100*($E96/365))+(Q97/$R97*100*($E97/365))</f>
        <v>0</v>
      </c>
      <c r="M154" s="392"/>
      <c r="N154" s="363">
        <f>H154+J154+L154</f>
        <v>100</v>
      </c>
      <c r="O154" s="363"/>
      <c r="R154" s="1">
        <v>2017</v>
      </c>
      <c r="S154" s="5">
        <f>(O96*($E96/365))+(O97*($E97/365))</f>
        <v>32.1</v>
      </c>
      <c r="T154" s="5">
        <f>(P96*($E96/365))+(P97*($E97/365))</f>
        <v>0</v>
      </c>
      <c r="U154" s="5">
        <f>(Q96*($E96/365))+(Q97*($E97/365))</f>
        <v>0</v>
      </c>
      <c r="W154" s="10">
        <f t="shared" si="52"/>
        <v>32.1</v>
      </c>
    </row>
    <row r="155" spans="1:23" x14ac:dyDescent="0.15">
      <c r="A155" s="1">
        <v>2018</v>
      </c>
      <c r="B155" s="5">
        <f>(K98*($E98/365))+(K99*($E99/365))</f>
        <v>52.694063926940643</v>
      </c>
      <c r="C155" s="5">
        <f>(L98*($E98/365))+(L99*($E99/365))</f>
        <v>0</v>
      </c>
      <c r="D155" s="5">
        <f>(M98*($E98/365))+(M99*($E99/365))</f>
        <v>0</v>
      </c>
      <c r="E155" s="17">
        <f t="shared" si="51"/>
        <v>52.694063926940643</v>
      </c>
      <c r="G155" s="1">
        <v>2018</v>
      </c>
      <c r="H155" s="392">
        <f>(O98/$R98*100*($E98/365))+(O99/$R99*100*($E99/365))</f>
        <v>100</v>
      </c>
      <c r="I155" s="392"/>
      <c r="J155" s="392">
        <f>(P98/$R98*100*($E98/365))+(P99/$R99*100*($E99/365))</f>
        <v>0</v>
      </c>
      <c r="K155" s="392"/>
      <c r="L155" s="392">
        <f>(Q98/$R98*100*($E98/365))+(Q99/$R99*100*($E99/365))</f>
        <v>0</v>
      </c>
      <c r="M155" s="392"/>
      <c r="N155" s="363">
        <f>H155+J155+L155</f>
        <v>100</v>
      </c>
      <c r="O155" s="363"/>
      <c r="R155" s="1">
        <v>2018</v>
      </c>
      <c r="S155" s="5">
        <f>(O98*($E98/365))+(O99*($E99/365))</f>
        <v>32.1</v>
      </c>
      <c r="T155" s="5">
        <f>(P98*($E98/365))+(P99*($E99/365))</f>
        <v>0</v>
      </c>
      <c r="U155" s="5">
        <f>(Q98*($E98/365))+(Q99*($E99/365))</f>
        <v>0</v>
      </c>
      <c r="W155" s="10">
        <f>SUM(S155:U155)</f>
        <v>32.1</v>
      </c>
    </row>
    <row r="156" spans="1:23" x14ac:dyDescent="0.15">
      <c r="A156" s="1">
        <v>2019</v>
      </c>
      <c r="B156" s="5">
        <f>(K100*($E100/365))+(K101*($E101/365))+(K102*(E102/365))</f>
        <v>45.799086757990871</v>
      </c>
      <c r="C156" s="5">
        <f>(L100*($E100/365))+(L101*($E101/365))+(L102*(E102/365))</f>
        <v>0</v>
      </c>
      <c r="D156" s="5">
        <f>(M100*($E100/365))+(M101*($E101/365))+(M102*(E102/365))</f>
        <v>0</v>
      </c>
      <c r="E156" s="17">
        <f t="shared" ref="E156:E157" si="53">SUM(B156:D156)</f>
        <v>45.799086757990871</v>
      </c>
      <c r="G156" s="1">
        <v>2019</v>
      </c>
      <c r="H156" s="392">
        <f>(O100/$R100*100*($E100/365))+(O101/$R101*100*($E101/365))+(O102/R102*100*(E102/365))</f>
        <v>100</v>
      </c>
      <c r="I156" s="392"/>
      <c r="J156" s="392">
        <f>(P101/$R100*100*($E100/365))+(P101/$R101*100*($E101/365))+(P102/R102*100*(E102/365))</f>
        <v>0</v>
      </c>
      <c r="K156" s="392"/>
      <c r="L156" s="392">
        <f>(Q100/$R100*100*($E100/365))+(Q101/$R101*100*($E101/365))+(Q102/R102*100*(E102/365))</f>
        <v>0</v>
      </c>
      <c r="M156" s="392"/>
      <c r="N156" s="363">
        <f>H156+J156+L156</f>
        <v>100</v>
      </c>
      <c r="O156" s="363"/>
      <c r="R156" s="1">
        <v>2019</v>
      </c>
      <c r="S156" s="5">
        <f>(O100*($E100/365))+(O101*($E101/365))+(O102*(E102/365))</f>
        <v>32.1</v>
      </c>
      <c r="T156" s="5">
        <f>(P100*($E100/365))+(P101*($E101/365))+(P102*(E102/365))</f>
        <v>0</v>
      </c>
      <c r="U156" s="5">
        <f>(Q100*($E100/365))+(Q101*($E101/365))+(Q102*(E102/365))</f>
        <v>0</v>
      </c>
      <c r="W156" s="10">
        <f t="shared" ref="W156:W157" si="54">SUM(S156:U156)</f>
        <v>32.1</v>
      </c>
    </row>
    <row r="157" spans="1:23" x14ac:dyDescent="0.15">
      <c r="A157" s="1">
        <v>2020</v>
      </c>
      <c r="B157" s="5">
        <f>(K103*($E103/366))+(K104*($E104/366))</f>
        <v>72.449908925318766</v>
      </c>
      <c r="C157" s="5">
        <f>(L103*($E103/366))+(L104*($E104/366))</f>
        <v>0</v>
      </c>
      <c r="D157" s="5">
        <f>(M103*($E103/366))+(M104*($E104/366))</f>
        <v>0</v>
      </c>
      <c r="E157" s="17">
        <f t="shared" si="53"/>
        <v>72.449908925318766</v>
      </c>
      <c r="G157" s="1">
        <v>2020</v>
      </c>
      <c r="H157" s="392">
        <f>(O103/$R103*100*($E103/366))+(O104/$R104*100*($E104/366))</f>
        <v>100</v>
      </c>
      <c r="I157" s="392"/>
      <c r="J157" s="392">
        <f>(P103/$R103*100*($E103/366))+(P104/$R104*100*($E104/366))</f>
        <v>0</v>
      </c>
      <c r="K157" s="392"/>
      <c r="L157" s="392">
        <f>(Q103/$R103*100*($E103/366))+(Q104/$R104*100*($E104/366))</f>
        <v>0</v>
      </c>
      <c r="M157" s="392"/>
      <c r="N157" s="363">
        <f t="shared" ref="N157" si="55">H157+J157+L157</f>
        <v>100</v>
      </c>
      <c r="O157" s="363"/>
      <c r="R157" s="1">
        <v>2020</v>
      </c>
      <c r="S157" s="5">
        <f>(O103*($E103/366))+(O104*($E104/366))</f>
        <v>32.1</v>
      </c>
      <c r="T157" s="5">
        <f>(P103*($E103/366))+(P104*($E104/366))</f>
        <v>0</v>
      </c>
      <c r="U157" s="5">
        <f>(Q103*($E103/366))+(Q104*($E104/366))</f>
        <v>0</v>
      </c>
      <c r="W157" s="10">
        <f t="shared" si="54"/>
        <v>32.1</v>
      </c>
    </row>
    <row r="158" spans="1:23" x14ac:dyDescent="0.15">
      <c r="A158" s="1">
        <v>2021</v>
      </c>
      <c r="B158" s="5">
        <f>(K105*($E105/365))+(K106*($E106/365))</f>
        <v>87.739726027397268</v>
      </c>
      <c r="C158" s="5">
        <f>(L105*($E105/365))+(L106*($E106/365))</f>
        <v>0</v>
      </c>
      <c r="D158" s="5">
        <f>(M105*($E105/365))+(M106*($E106/365))</f>
        <v>0</v>
      </c>
      <c r="E158" s="17">
        <f>SUM(B158:D158)</f>
        <v>87.739726027397268</v>
      </c>
      <c r="G158" s="1">
        <v>2021</v>
      </c>
      <c r="H158" s="392">
        <f>(O105/$R105*100*($E105/365))+(O106/$R106*100*($E106/365))</f>
        <v>100</v>
      </c>
      <c r="I158" s="392"/>
      <c r="J158" s="392">
        <f>(P105/$R105*100*($E105/365))+(P106/$R106*100*($E106/365))</f>
        <v>0</v>
      </c>
      <c r="K158" s="392"/>
      <c r="L158" s="392">
        <f>(Q105/$R105*100*($E105/365))+(Q106/$R106*100*($E106/365))</f>
        <v>0</v>
      </c>
      <c r="M158" s="392"/>
      <c r="N158" s="363">
        <f>SUM(H158:J158)</f>
        <v>100</v>
      </c>
      <c r="O158" s="363"/>
      <c r="R158" s="1">
        <v>2021</v>
      </c>
      <c r="S158" s="5">
        <f>(O105*($E105/365))+(O106*($E106/365))</f>
        <v>36.700273972602744</v>
      </c>
      <c r="T158" s="5">
        <f>(P105*($E105/365))+(P106*($E106/365))</f>
        <v>0</v>
      </c>
      <c r="U158" s="5">
        <f>(Q105*($E105/365))+(Q106*($E106/365))</f>
        <v>0</v>
      </c>
      <c r="W158" s="10">
        <f>SUM(S158:U158)</f>
        <v>36.700273972602744</v>
      </c>
    </row>
    <row r="159" spans="1:23" x14ac:dyDescent="0.15">
      <c r="A159" s="1">
        <v>2022</v>
      </c>
      <c r="B159" s="5">
        <f>(K107*($E107/365))+(K108*($E108/365))+(K109*($E109/365))</f>
        <v>96.415525114155258</v>
      </c>
      <c r="C159" s="5">
        <f>(L107*($E107/365))+(L108*($E108/365))+(L109*($E109/365))</f>
        <v>0</v>
      </c>
      <c r="D159" s="5">
        <f>(M107*($E107/365))+(M108*($E108/365))+(M109*($E109/365))</f>
        <v>0</v>
      </c>
      <c r="E159" s="17">
        <f>SUM(B159:D159)</f>
        <v>96.415525114155258</v>
      </c>
      <c r="G159" s="1">
        <v>2022</v>
      </c>
      <c r="H159" s="392">
        <f>(O107/$R107*100*($E107/365))+(O108/$R108*100*($E108/365))+(O109/$R109*100*($E109/365))</f>
        <v>100</v>
      </c>
      <c r="I159" s="392"/>
      <c r="J159" s="392">
        <f>(P107/$R107*100*($E107/365))+(P108/$R108*100*($E108/365))+(P109/$R109*100*($E109/365))</f>
        <v>0</v>
      </c>
      <c r="K159" s="392"/>
      <c r="L159" s="392">
        <f>(Q107/$R107*100*($E107/365))+(Q108/$R108*100*($E108/365))+(Q109/$R109*100*($E109/365))</f>
        <v>0</v>
      </c>
      <c r="M159" s="392"/>
      <c r="N159" s="363">
        <f>SUM(H159:J159)</f>
        <v>100</v>
      </c>
      <c r="O159" s="363"/>
      <c r="R159" s="1">
        <v>2022</v>
      </c>
      <c r="S159" s="5">
        <f>(O107*($E107/365))+(O108*($E108/365))+(O109*($E109/365))</f>
        <v>40.799999999999997</v>
      </c>
      <c r="T159" s="5">
        <f>(P107*($E107/365))+(P108*($E108/365))+(P109*($E109/365))</f>
        <v>0</v>
      </c>
      <c r="U159" s="5">
        <f>(Q107*($E107/365))+(Q108*($E108/365))+(Q109*($E109/365))</f>
        <v>0</v>
      </c>
      <c r="W159" s="10">
        <f>SUM(S159:U159)</f>
        <v>40.799999999999997</v>
      </c>
    </row>
  </sheetData>
  <mergeCells count="318">
    <mergeCell ref="N153:O153"/>
    <mergeCell ref="H152:I152"/>
    <mergeCell ref="J152:K152"/>
    <mergeCell ref="L152:M152"/>
    <mergeCell ref="N152:O152"/>
    <mergeCell ref="H155:I155"/>
    <mergeCell ref="J155:K155"/>
    <mergeCell ref="H158:I158"/>
    <mergeCell ref="J158:K158"/>
    <mergeCell ref="L158:M158"/>
    <mergeCell ref="N158:O158"/>
    <mergeCell ref="H157:I157"/>
    <mergeCell ref="J157:K157"/>
    <mergeCell ref="L157:M157"/>
    <mergeCell ref="N157:O157"/>
    <mergeCell ref="H156:I156"/>
    <mergeCell ref="J156:K156"/>
    <mergeCell ref="L156:M156"/>
    <mergeCell ref="N156:O156"/>
    <mergeCell ref="N155:O155"/>
    <mergeCell ref="H154:I154"/>
    <mergeCell ref="J154:K154"/>
    <mergeCell ref="L154:M154"/>
    <mergeCell ref="N154:O154"/>
    <mergeCell ref="C86:D86"/>
    <mergeCell ref="C87:D87"/>
    <mergeCell ref="C95:D95"/>
    <mergeCell ref="C98:D98"/>
    <mergeCell ref="C99:D99"/>
    <mergeCell ref="C100:D100"/>
    <mergeCell ref="C101:D101"/>
    <mergeCell ref="H136:I136"/>
    <mergeCell ref="C105:D105"/>
    <mergeCell ref="C102:D102"/>
    <mergeCell ref="C94:D94"/>
    <mergeCell ref="C103:D103"/>
    <mergeCell ref="C104:D104"/>
    <mergeCell ref="C107:D107"/>
    <mergeCell ref="H116:I116"/>
    <mergeCell ref="C109:D109"/>
    <mergeCell ref="C108:D108"/>
    <mergeCell ref="L155:M155"/>
    <mergeCell ref="C106:D106"/>
    <mergeCell ref="H153:I153"/>
    <mergeCell ref="J153:K153"/>
    <mergeCell ref="L153:M153"/>
    <mergeCell ref="J129:K129"/>
    <mergeCell ref="J130:K130"/>
    <mergeCell ref="H124:I124"/>
    <mergeCell ref="H151:I151"/>
    <mergeCell ref="J150:K150"/>
    <mergeCell ref="H150:I150"/>
    <mergeCell ref="L144:M144"/>
    <mergeCell ref="H148:I148"/>
    <mergeCell ref="H145:I145"/>
    <mergeCell ref="H146:I146"/>
    <mergeCell ref="J144:K144"/>
    <mergeCell ref="J145:K145"/>
    <mergeCell ref="L141:M141"/>
    <mergeCell ref="L142:M142"/>
    <mergeCell ref="H143:I143"/>
    <mergeCell ref="J118:K118"/>
    <mergeCell ref="J119:K119"/>
    <mergeCell ref="J137:K137"/>
    <mergeCell ref="J138:K138"/>
    <mergeCell ref="AT4:AW4"/>
    <mergeCell ref="AX4:BA4"/>
    <mergeCell ref="L124:M124"/>
    <mergeCell ref="H126:I126"/>
    <mergeCell ref="J126:K126"/>
    <mergeCell ref="L118:M118"/>
    <mergeCell ref="L119:M119"/>
    <mergeCell ref="N118:O118"/>
    <mergeCell ref="N119:O119"/>
    <mergeCell ref="H122:I122"/>
    <mergeCell ref="J122:K122"/>
    <mergeCell ref="H123:I123"/>
    <mergeCell ref="J123:K123"/>
    <mergeCell ref="V40:Y40"/>
    <mergeCell ref="V41:Y41"/>
    <mergeCell ref="V42:Y42"/>
    <mergeCell ref="L117:M117"/>
    <mergeCell ref="H125:I125"/>
    <mergeCell ref="J125:K125"/>
    <mergeCell ref="H117:I117"/>
    <mergeCell ref="H118:I118"/>
    <mergeCell ref="H119:I119"/>
    <mergeCell ref="H120:I120"/>
    <mergeCell ref="L115:M115"/>
    <mergeCell ref="C39:D39"/>
    <mergeCell ref="C40:D40"/>
    <mergeCell ref="Z4:AC4"/>
    <mergeCell ref="AD4:AG4"/>
    <mergeCell ref="AH4:AK4"/>
    <mergeCell ref="AL4:AO4"/>
    <mergeCell ref="U4:U5"/>
    <mergeCell ref="V4:Y4"/>
    <mergeCell ref="AP4:AS4"/>
    <mergeCell ref="S4:S5"/>
    <mergeCell ref="T4:T5"/>
    <mergeCell ref="V35:Y35"/>
    <mergeCell ref="V36:Y36"/>
    <mergeCell ref="V37:Y37"/>
    <mergeCell ref="V38:Y38"/>
    <mergeCell ref="C15:D15"/>
    <mergeCell ref="C23:D23"/>
    <mergeCell ref="C26:D26"/>
    <mergeCell ref="C27:D27"/>
    <mergeCell ref="C28:D28"/>
    <mergeCell ref="C32:D32"/>
    <mergeCell ref="V33:Y33"/>
    <mergeCell ref="V34:Y34"/>
    <mergeCell ref="V39:Y39"/>
    <mergeCell ref="C41:D41"/>
    <mergeCell ref="C42:D42"/>
    <mergeCell ref="C43:D43"/>
    <mergeCell ref="C69:D69"/>
    <mergeCell ref="C80:D80"/>
    <mergeCell ref="C52:D52"/>
    <mergeCell ref="C53:D53"/>
    <mergeCell ref="C54:D54"/>
    <mergeCell ref="J121:K121"/>
    <mergeCell ref="C78:D78"/>
    <mergeCell ref="C68:D68"/>
    <mergeCell ref="C70:D70"/>
    <mergeCell ref="C71:D71"/>
    <mergeCell ref="C72:D72"/>
    <mergeCell ref="C67:D67"/>
    <mergeCell ref="C66:D66"/>
    <mergeCell ref="C58:D58"/>
    <mergeCell ref="H121:I121"/>
    <mergeCell ref="H114:I114"/>
    <mergeCell ref="J114:K114"/>
    <mergeCell ref="C77:D77"/>
    <mergeCell ref="C91:D91"/>
    <mergeCell ref="C92:D92"/>
    <mergeCell ref="C85:D85"/>
    <mergeCell ref="A4:A5"/>
    <mergeCell ref="B4:B5"/>
    <mergeCell ref="C4:D5"/>
    <mergeCell ref="E4:E5"/>
    <mergeCell ref="F4:F5"/>
    <mergeCell ref="G4:J4"/>
    <mergeCell ref="C9:D9"/>
    <mergeCell ref="C36:D36"/>
    <mergeCell ref="K4:N4"/>
    <mergeCell ref="C16:D16"/>
    <mergeCell ref="C17:D17"/>
    <mergeCell ref="C18:D18"/>
    <mergeCell ref="C19:D19"/>
    <mergeCell ref="C20:D20"/>
    <mergeCell ref="C22:D22"/>
    <mergeCell ref="C10:D10"/>
    <mergeCell ref="C33:D33"/>
    <mergeCell ref="C34:D34"/>
    <mergeCell ref="C29:D29"/>
    <mergeCell ref="C30:D30"/>
    <mergeCell ref="C31:D31"/>
    <mergeCell ref="C11:D11"/>
    <mergeCell ref="C12:D12"/>
    <mergeCell ref="C14:D14"/>
    <mergeCell ref="G3:M3"/>
    <mergeCell ref="O3:Q3"/>
    <mergeCell ref="C37:D37"/>
    <mergeCell ref="C38:D38"/>
    <mergeCell ref="O4:R4"/>
    <mergeCell ref="C65:D65"/>
    <mergeCell ref="C46:D46"/>
    <mergeCell ref="C47:D47"/>
    <mergeCell ref="C48:D48"/>
    <mergeCell ref="C35:D35"/>
    <mergeCell ref="C6:D8"/>
    <mergeCell ref="C13:D13"/>
    <mergeCell ref="C21:D21"/>
    <mergeCell ref="C24:D24"/>
    <mergeCell ref="C25:D25"/>
    <mergeCell ref="C63:D63"/>
    <mergeCell ref="C64:D64"/>
    <mergeCell ref="C49:D49"/>
    <mergeCell ref="C44:D44"/>
    <mergeCell ref="C45:D45"/>
    <mergeCell ref="C61:D61"/>
    <mergeCell ref="C55:D55"/>
    <mergeCell ref="C56:D56"/>
    <mergeCell ref="C57:D57"/>
    <mergeCell ref="C50:D50"/>
    <mergeCell ref="C51:D51"/>
    <mergeCell ref="C59:D59"/>
    <mergeCell ref="C60:D60"/>
    <mergeCell ref="C83:D83"/>
    <mergeCell ref="J117:K117"/>
    <mergeCell ref="J120:K120"/>
    <mergeCell ref="C75:D75"/>
    <mergeCell ref="C76:D76"/>
    <mergeCell ref="C79:D79"/>
    <mergeCell ref="C73:D73"/>
    <mergeCell ref="C74:D74"/>
    <mergeCell ref="C81:D81"/>
    <mergeCell ref="C84:D84"/>
    <mergeCell ref="C82:D82"/>
    <mergeCell ref="C93:D93"/>
    <mergeCell ref="C96:D96"/>
    <mergeCell ref="C97:D97"/>
    <mergeCell ref="H115:I115"/>
    <mergeCell ref="J115:K115"/>
    <mergeCell ref="C62:D62"/>
    <mergeCell ref="C88:D88"/>
    <mergeCell ref="C89:D89"/>
    <mergeCell ref="C90:D90"/>
    <mergeCell ref="L150:M150"/>
    <mergeCell ref="H127:I127"/>
    <mergeCell ref="H128:I128"/>
    <mergeCell ref="N120:O120"/>
    <mergeCell ref="N121:O121"/>
    <mergeCell ref="L121:M121"/>
    <mergeCell ref="N122:O122"/>
    <mergeCell ref="L122:M122"/>
    <mergeCell ref="N123:O123"/>
    <mergeCell ref="L120:M120"/>
    <mergeCell ref="H149:I149"/>
    <mergeCell ref="J131:K131"/>
    <mergeCell ref="J132:K132"/>
    <mergeCell ref="J133:K133"/>
    <mergeCell ref="N149:O149"/>
    <mergeCell ref="J148:K148"/>
    <mergeCell ref="J140:K140"/>
    <mergeCell ref="J141:K141"/>
    <mergeCell ref="J142:K142"/>
    <mergeCell ref="N134:O134"/>
    <mergeCell ref="L135:M135"/>
    <mergeCell ref="L136:M136"/>
    <mergeCell ref="N135:O135"/>
    <mergeCell ref="N124:O124"/>
    <mergeCell ref="J116:K116"/>
    <mergeCell ref="L116:M116"/>
    <mergeCell ref="N116:O116"/>
    <mergeCell ref="N127:O127"/>
    <mergeCell ref="N128:O128"/>
    <mergeCell ref="N129:O129"/>
    <mergeCell ref="N130:O130"/>
    <mergeCell ref="L125:M125"/>
    <mergeCell ref="L126:M126"/>
    <mergeCell ref="N126:O126"/>
    <mergeCell ref="L129:M129"/>
    <mergeCell ref="L130:M130"/>
    <mergeCell ref="N125:O125"/>
    <mergeCell ref="L127:M127"/>
    <mergeCell ref="L128:M128"/>
    <mergeCell ref="J128:K128"/>
    <mergeCell ref="J147:K147"/>
    <mergeCell ref="H147:I147"/>
    <mergeCell ref="J124:K124"/>
    <mergeCell ref="H137:I137"/>
    <mergeCell ref="H138:I138"/>
    <mergeCell ref="H139:I139"/>
    <mergeCell ref="H130:I130"/>
    <mergeCell ref="J127:K127"/>
    <mergeCell ref="J135:K135"/>
    <mergeCell ref="H131:I131"/>
    <mergeCell ref="H132:I132"/>
    <mergeCell ref="H133:I133"/>
    <mergeCell ref="H134:I134"/>
    <mergeCell ref="J134:K134"/>
    <mergeCell ref="H135:I135"/>
    <mergeCell ref="H129:I129"/>
    <mergeCell ref="H144:I144"/>
    <mergeCell ref="J143:K143"/>
    <mergeCell ref="J146:K146"/>
    <mergeCell ref="H140:I140"/>
    <mergeCell ref="H141:I141"/>
    <mergeCell ref="H142:I142"/>
    <mergeCell ref="J139:K139"/>
    <mergeCell ref="J136:K136"/>
    <mergeCell ref="N143:O143"/>
    <mergeCell ref="L137:M137"/>
    <mergeCell ref="L138:M138"/>
    <mergeCell ref="L145:M145"/>
    <mergeCell ref="L147:M147"/>
    <mergeCell ref="R112:W112"/>
    <mergeCell ref="N114:O114"/>
    <mergeCell ref="N117:O117"/>
    <mergeCell ref="N132:O132"/>
    <mergeCell ref="N133:O133"/>
    <mergeCell ref="L146:M146"/>
    <mergeCell ref="L139:M139"/>
    <mergeCell ref="L140:M140"/>
    <mergeCell ref="N115:O115"/>
    <mergeCell ref="N136:O136"/>
    <mergeCell ref="L134:M134"/>
    <mergeCell ref="N131:O131"/>
    <mergeCell ref="L131:M131"/>
    <mergeCell ref="L132:M132"/>
    <mergeCell ref="L133:M133"/>
    <mergeCell ref="L114:M114"/>
    <mergeCell ref="H159:I159"/>
    <mergeCell ref="J159:K159"/>
    <mergeCell ref="L159:M159"/>
    <mergeCell ref="N159:O159"/>
    <mergeCell ref="J151:K151"/>
    <mergeCell ref="L151:M151"/>
    <mergeCell ref="N151:O151"/>
    <mergeCell ref="L123:M123"/>
    <mergeCell ref="L148:M148"/>
    <mergeCell ref="L143:M143"/>
    <mergeCell ref="J149:K149"/>
    <mergeCell ref="N150:O150"/>
    <mergeCell ref="N147:O147"/>
    <mergeCell ref="N148:O148"/>
    <mergeCell ref="N145:O145"/>
    <mergeCell ref="N146:O146"/>
    <mergeCell ref="L149:M149"/>
    <mergeCell ref="N137:O137"/>
    <mergeCell ref="N144:O144"/>
    <mergeCell ref="N138:O138"/>
    <mergeCell ref="N139:O139"/>
    <mergeCell ref="N140:O140"/>
    <mergeCell ref="N141:O141"/>
    <mergeCell ref="N142:O142"/>
  </mergeCells>
  <phoneticPr fontId="0" type="noConversion"/>
  <pageMargins left="0.78740157499999996" right="0.78740157499999996" top="0.984251969" bottom="0.984251969" header="0.4921259845" footer="0.4921259845"/>
  <pageSetup paperSize="9" scale="57" fitToWidth="0" orientation="landscape"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A117"/>
  <sheetViews>
    <sheetView zoomScale="107" zoomScaleNormal="120" workbookViewId="0">
      <pane xSplit="1" ySplit="5" topLeftCell="AQ73"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137</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28" customFormat="1" x14ac:dyDescent="0.15">
      <c r="A6" s="28">
        <v>1990</v>
      </c>
      <c r="B6" s="40"/>
      <c r="C6" s="405" t="s">
        <v>1261</v>
      </c>
      <c r="D6" s="405"/>
      <c r="E6" s="28">
        <v>176</v>
      </c>
      <c r="G6" s="65"/>
      <c r="J6" s="72"/>
      <c r="K6" s="46"/>
      <c r="L6" s="46"/>
      <c r="M6" s="46"/>
      <c r="N6" s="67"/>
      <c r="O6" s="45"/>
      <c r="P6" s="46"/>
      <c r="Q6" s="46"/>
      <c r="R6" s="47"/>
      <c r="T6" s="49"/>
      <c r="U6" s="40"/>
      <c r="V6" s="37"/>
      <c r="Y6" s="38"/>
      <c r="AD6" s="37"/>
      <c r="AG6" s="38"/>
      <c r="AL6" s="37"/>
      <c r="AO6" s="38"/>
      <c r="AP6" s="37"/>
      <c r="AS6" s="38"/>
      <c r="AW6" s="38"/>
      <c r="BA6" s="39"/>
    </row>
    <row r="7" spans="1:53" s="170" customFormat="1" x14ac:dyDescent="0.15">
      <c r="A7" s="170">
        <v>1990</v>
      </c>
      <c r="B7" s="281">
        <v>33050</v>
      </c>
      <c r="C7" s="395" t="s">
        <v>1054</v>
      </c>
      <c r="D7" s="395"/>
      <c r="E7" s="170">
        <v>189</v>
      </c>
      <c r="F7" s="170" t="s">
        <v>335</v>
      </c>
      <c r="G7" s="232">
        <v>10</v>
      </c>
      <c r="H7" s="170">
        <v>3</v>
      </c>
      <c r="J7" s="240">
        <v>21</v>
      </c>
      <c r="K7" s="213">
        <f t="shared" ref="K7:K37" si="0">G7/J7*100</f>
        <v>47.619047619047613</v>
      </c>
      <c r="L7" s="213">
        <f t="shared" ref="L7:L37" si="1">H7/J7*100</f>
        <v>14.285714285714285</v>
      </c>
      <c r="M7" s="213">
        <f t="shared" ref="M7:M37" si="2">I7/J7*100</f>
        <v>0</v>
      </c>
      <c r="N7" s="234">
        <f t="shared" ref="N7:N37" si="3">SUM(K7:M7)</f>
        <v>61.904761904761898</v>
      </c>
      <c r="O7" s="212">
        <v>63</v>
      </c>
      <c r="P7" s="213">
        <v>20</v>
      </c>
      <c r="Q7" s="213"/>
      <c r="R7" s="214">
        <f t="shared" ref="R7:R57" si="4">SUM(O7:Q7)</f>
        <v>83</v>
      </c>
      <c r="S7" s="170">
        <v>3</v>
      </c>
      <c r="T7" s="283">
        <v>33033</v>
      </c>
      <c r="U7" s="281">
        <v>33050</v>
      </c>
      <c r="V7" s="177" t="s">
        <v>1068</v>
      </c>
      <c r="W7" s="170" t="s">
        <v>22</v>
      </c>
      <c r="X7" s="170" t="s">
        <v>11</v>
      </c>
      <c r="Y7" s="178">
        <v>63</v>
      </c>
      <c r="Z7" s="170" t="s">
        <v>1069</v>
      </c>
      <c r="AA7" s="170" t="s">
        <v>1070</v>
      </c>
      <c r="AB7" s="170" t="s">
        <v>18</v>
      </c>
      <c r="AC7" s="170">
        <v>11</v>
      </c>
      <c r="AD7" s="177" t="s">
        <v>1071</v>
      </c>
      <c r="AE7" s="170" t="s">
        <v>17</v>
      </c>
      <c r="AF7" s="170" t="s">
        <v>18</v>
      </c>
      <c r="AG7" s="178">
        <v>9</v>
      </c>
      <c r="AL7" s="177"/>
      <c r="AO7" s="178"/>
      <c r="AP7" s="177"/>
      <c r="AS7" s="178"/>
      <c r="AW7" s="178"/>
      <c r="BA7" s="179"/>
    </row>
    <row r="8" spans="1:53" s="170" customFormat="1" x14ac:dyDescent="0.15">
      <c r="A8" s="170">
        <v>1991</v>
      </c>
      <c r="B8" s="281"/>
      <c r="C8" s="395" t="s">
        <v>1054</v>
      </c>
      <c r="D8" s="395"/>
      <c r="E8" s="170">
        <v>0</v>
      </c>
      <c r="G8" s="232">
        <v>10</v>
      </c>
      <c r="H8" s="170">
        <v>3</v>
      </c>
      <c r="J8" s="240">
        <v>21</v>
      </c>
      <c r="K8" s="213">
        <f t="shared" si="0"/>
        <v>47.619047619047613</v>
      </c>
      <c r="L8" s="213">
        <f t="shared" si="1"/>
        <v>14.285714285714285</v>
      </c>
      <c r="M8" s="213">
        <f t="shared" si="2"/>
        <v>0</v>
      </c>
      <c r="N8" s="234">
        <f t="shared" si="3"/>
        <v>61.904761904761898</v>
      </c>
      <c r="O8" s="212">
        <v>63</v>
      </c>
      <c r="P8" s="213">
        <v>20</v>
      </c>
      <c r="Q8" s="213"/>
      <c r="R8" s="214">
        <f t="shared" si="4"/>
        <v>83</v>
      </c>
      <c r="S8" s="170">
        <v>3</v>
      </c>
      <c r="T8" s="283"/>
      <c r="U8" s="281"/>
      <c r="V8" s="177" t="s">
        <v>1068</v>
      </c>
      <c r="W8" s="170" t="s">
        <v>22</v>
      </c>
      <c r="X8" s="170" t="s">
        <v>11</v>
      </c>
      <c r="Y8" s="178">
        <v>63</v>
      </c>
      <c r="Z8" s="170" t="s">
        <v>1069</v>
      </c>
      <c r="AA8" s="170" t="s">
        <v>1070</v>
      </c>
      <c r="AB8" s="170" t="s">
        <v>18</v>
      </c>
      <c r="AC8" s="170">
        <v>11</v>
      </c>
      <c r="AD8" s="177" t="s">
        <v>1071</v>
      </c>
      <c r="AE8" s="170" t="s">
        <v>17</v>
      </c>
      <c r="AF8" s="170" t="s">
        <v>18</v>
      </c>
      <c r="AG8" s="178">
        <v>9</v>
      </c>
      <c r="AL8" s="177"/>
      <c r="AO8" s="178"/>
      <c r="AP8" s="177"/>
      <c r="AS8" s="178"/>
      <c r="AW8" s="178"/>
      <c r="BA8" s="179"/>
    </row>
    <row r="9" spans="1:53" s="170" customFormat="1" x14ac:dyDescent="0.15">
      <c r="A9" s="170">
        <v>1991</v>
      </c>
      <c r="B9" s="281"/>
      <c r="C9" s="395" t="s">
        <v>1054</v>
      </c>
      <c r="D9" s="395"/>
      <c r="E9" s="170">
        <v>365</v>
      </c>
      <c r="G9" s="232">
        <v>10</v>
      </c>
      <c r="H9" s="170">
        <v>3</v>
      </c>
      <c r="J9" s="240">
        <v>21</v>
      </c>
      <c r="K9" s="213">
        <f t="shared" si="0"/>
        <v>47.619047619047613</v>
      </c>
      <c r="L9" s="213">
        <f t="shared" si="1"/>
        <v>14.285714285714285</v>
      </c>
      <c r="M9" s="213">
        <f t="shared" si="2"/>
        <v>0</v>
      </c>
      <c r="N9" s="234">
        <f t="shared" si="3"/>
        <v>61.904761904761898</v>
      </c>
      <c r="O9" s="212">
        <v>63</v>
      </c>
      <c r="P9" s="213">
        <v>20</v>
      </c>
      <c r="Q9" s="213"/>
      <c r="R9" s="214">
        <f t="shared" si="4"/>
        <v>83</v>
      </c>
      <c r="S9" s="170">
        <v>3</v>
      </c>
      <c r="T9" s="283"/>
      <c r="U9" s="281"/>
      <c r="V9" s="177" t="s">
        <v>1068</v>
      </c>
      <c r="W9" s="170" t="s">
        <v>22</v>
      </c>
      <c r="X9" s="170" t="s">
        <v>11</v>
      </c>
      <c r="Y9" s="178">
        <v>63</v>
      </c>
      <c r="Z9" s="170" t="s">
        <v>1069</v>
      </c>
      <c r="AA9" s="170" t="s">
        <v>1070</v>
      </c>
      <c r="AB9" s="170" t="s">
        <v>18</v>
      </c>
      <c r="AC9" s="170">
        <v>11</v>
      </c>
      <c r="AD9" s="177" t="s">
        <v>1071</v>
      </c>
      <c r="AE9" s="170" t="s">
        <v>17</v>
      </c>
      <c r="AF9" s="170" t="s">
        <v>18</v>
      </c>
      <c r="AG9" s="178">
        <v>9</v>
      </c>
      <c r="AL9" s="177"/>
      <c r="AO9" s="178"/>
      <c r="AP9" s="177"/>
      <c r="AS9" s="178"/>
      <c r="AW9" s="178"/>
      <c r="BA9" s="179"/>
    </row>
    <row r="10" spans="1:53" s="170" customFormat="1" x14ac:dyDescent="0.15">
      <c r="A10" s="170">
        <v>1992</v>
      </c>
      <c r="B10" s="281"/>
      <c r="C10" s="395" t="s">
        <v>1054</v>
      </c>
      <c r="D10" s="395"/>
      <c r="E10" s="170">
        <v>184</v>
      </c>
      <c r="G10" s="232">
        <v>10</v>
      </c>
      <c r="H10" s="170">
        <v>3</v>
      </c>
      <c r="J10" s="240">
        <v>21</v>
      </c>
      <c r="K10" s="213">
        <f t="shared" si="0"/>
        <v>47.619047619047613</v>
      </c>
      <c r="L10" s="213">
        <f t="shared" si="1"/>
        <v>14.285714285714285</v>
      </c>
      <c r="M10" s="213">
        <f t="shared" si="2"/>
        <v>0</v>
      </c>
      <c r="N10" s="234">
        <f t="shared" si="3"/>
        <v>61.904761904761898</v>
      </c>
      <c r="O10" s="212">
        <v>63</v>
      </c>
      <c r="P10" s="213">
        <v>20</v>
      </c>
      <c r="Q10" s="213"/>
      <c r="R10" s="214">
        <f t="shared" si="4"/>
        <v>83</v>
      </c>
      <c r="S10" s="170">
        <v>3</v>
      </c>
      <c r="T10" s="283"/>
      <c r="U10" s="281"/>
      <c r="V10" s="177" t="s">
        <v>1068</v>
      </c>
      <c r="W10" s="170" t="s">
        <v>22</v>
      </c>
      <c r="X10" s="170" t="s">
        <v>11</v>
      </c>
      <c r="Y10" s="178">
        <v>63</v>
      </c>
      <c r="Z10" s="170" t="s">
        <v>1069</v>
      </c>
      <c r="AA10" s="170" t="s">
        <v>1070</v>
      </c>
      <c r="AB10" s="170" t="s">
        <v>18</v>
      </c>
      <c r="AC10" s="170">
        <v>11</v>
      </c>
      <c r="AD10" s="177" t="s">
        <v>1071</v>
      </c>
      <c r="AE10" s="170" t="s">
        <v>17</v>
      </c>
      <c r="AF10" s="170" t="s">
        <v>18</v>
      </c>
      <c r="AG10" s="178">
        <v>9</v>
      </c>
      <c r="AL10" s="177"/>
      <c r="AO10" s="178"/>
      <c r="AP10" s="177"/>
      <c r="AS10" s="178"/>
      <c r="AW10" s="178"/>
      <c r="BA10" s="179"/>
    </row>
    <row r="11" spans="1:53" s="28" customFormat="1" x14ac:dyDescent="0.15">
      <c r="A11" s="28">
        <v>1992</v>
      </c>
      <c r="B11" s="293">
        <v>33788</v>
      </c>
      <c r="C11" s="394" t="s">
        <v>1055</v>
      </c>
      <c r="D11" s="394"/>
      <c r="E11" s="28">
        <v>182</v>
      </c>
      <c r="F11" s="28">
        <v>1</v>
      </c>
      <c r="G11" s="65">
        <v>15</v>
      </c>
      <c r="H11" s="28">
        <v>4</v>
      </c>
      <c r="J11" s="72">
        <v>19</v>
      </c>
      <c r="K11" s="46">
        <f t="shared" si="0"/>
        <v>78.94736842105263</v>
      </c>
      <c r="L11" s="46">
        <f t="shared" si="1"/>
        <v>21.052631578947366</v>
      </c>
      <c r="M11" s="46">
        <f t="shared" si="2"/>
        <v>0</v>
      </c>
      <c r="N11" s="67">
        <f t="shared" si="3"/>
        <v>100</v>
      </c>
      <c r="O11" s="45">
        <v>45</v>
      </c>
      <c r="P11" s="46">
        <v>7.5</v>
      </c>
      <c r="Q11" s="46"/>
      <c r="R11" s="47">
        <f t="shared" si="4"/>
        <v>52.5</v>
      </c>
      <c r="S11" s="28">
        <v>2</v>
      </c>
      <c r="T11" s="284">
        <v>33761</v>
      </c>
      <c r="U11" s="293">
        <v>33788</v>
      </c>
      <c r="V11" s="37" t="s">
        <v>1072</v>
      </c>
      <c r="W11" s="28" t="s">
        <v>74</v>
      </c>
      <c r="X11" s="28" t="s">
        <v>11</v>
      </c>
      <c r="Y11" s="38">
        <v>38</v>
      </c>
      <c r="Z11" s="37" t="s">
        <v>1071</v>
      </c>
      <c r="AA11" s="28" t="s">
        <v>17</v>
      </c>
      <c r="AB11" s="28" t="s">
        <v>18</v>
      </c>
      <c r="AC11" s="28">
        <v>7.5</v>
      </c>
      <c r="AD11" s="37" t="s">
        <v>1073</v>
      </c>
      <c r="AE11" s="28" t="s">
        <v>87</v>
      </c>
      <c r="AF11" s="28" t="s">
        <v>11</v>
      </c>
      <c r="AG11" s="38">
        <v>7</v>
      </c>
      <c r="AL11" s="37"/>
      <c r="AO11" s="38"/>
      <c r="AP11" s="37"/>
      <c r="AS11" s="38"/>
      <c r="AW11" s="38"/>
      <c r="BA11" s="39"/>
    </row>
    <row r="12" spans="1:53" s="28" customFormat="1" x14ac:dyDescent="0.15">
      <c r="A12" s="28">
        <v>1993</v>
      </c>
      <c r="B12" s="293"/>
      <c r="C12" s="394" t="s">
        <v>1055</v>
      </c>
      <c r="D12" s="394"/>
      <c r="E12" s="28">
        <v>0</v>
      </c>
      <c r="G12" s="65">
        <v>15</v>
      </c>
      <c r="H12" s="28">
        <v>4</v>
      </c>
      <c r="J12" s="72">
        <v>19</v>
      </c>
      <c r="K12" s="46">
        <f t="shared" si="0"/>
        <v>78.94736842105263</v>
      </c>
      <c r="L12" s="46">
        <f t="shared" si="1"/>
        <v>21.052631578947366</v>
      </c>
      <c r="M12" s="46">
        <f t="shared" si="2"/>
        <v>0</v>
      </c>
      <c r="N12" s="67">
        <f t="shared" si="3"/>
        <v>100</v>
      </c>
      <c r="O12" s="45">
        <v>45</v>
      </c>
      <c r="P12" s="46">
        <v>7.5</v>
      </c>
      <c r="Q12" s="46"/>
      <c r="R12" s="47">
        <f t="shared" si="4"/>
        <v>52.5</v>
      </c>
      <c r="S12" s="28">
        <v>2</v>
      </c>
      <c r="T12" s="284"/>
      <c r="U12" s="293"/>
      <c r="V12" s="37" t="s">
        <v>1072</v>
      </c>
      <c r="W12" s="28" t="s">
        <v>74</v>
      </c>
      <c r="X12" s="28" t="s">
        <v>11</v>
      </c>
      <c r="Y12" s="38">
        <v>38</v>
      </c>
      <c r="Z12" s="28" t="s">
        <v>1071</v>
      </c>
      <c r="AA12" s="28" t="s">
        <v>17</v>
      </c>
      <c r="AB12" s="28" t="s">
        <v>18</v>
      </c>
      <c r="AC12" s="28">
        <v>7.5</v>
      </c>
      <c r="AD12" s="37" t="s">
        <v>1073</v>
      </c>
      <c r="AE12" s="28" t="s">
        <v>87</v>
      </c>
      <c r="AF12" s="28" t="s">
        <v>11</v>
      </c>
      <c r="AG12" s="38">
        <v>7</v>
      </c>
      <c r="AL12" s="37"/>
      <c r="AO12" s="38"/>
      <c r="AP12" s="37"/>
      <c r="AS12" s="38"/>
      <c r="AW12" s="38"/>
      <c r="BA12" s="39"/>
    </row>
    <row r="13" spans="1:53" s="28" customFormat="1" x14ac:dyDescent="0.15">
      <c r="A13" s="28">
        <v>1993</v>
      </c>
      <c r="B13" s="293"/>
      <c r="C13" s="394" t="s">
        <v>1055</v>
      </c>
      <c r="D13" s="394"/>
      <c r="E13" s="28">
        <v>365</v>
      </c>
      <c r="G13" s="65">
        <v>15</v>
      </c>
      <c r="H13" s="28">
        <v>4</v>
      </c>
      <c r="J13" s="72">
        <v>19</v>
      </c>
      <c r="K13" s="46">
        <f t="shared" si="0"/>
        <v>78.94736842105263</v>
      </c>
      <c r="L13" s="46">
        <f t="shared" si="1"/>
        <v>21.052631578947366</v>
      </c>
      <c r="M13" s="46">
        <f t="shared" si="2"/>
        <v>0</v>
      </c>
      <c r="N13" s="67">
        <f t="shared" si="3"/>
        <v>100</v>
      </c>
      <c r="O13" s="45">
        <v>45</v>
      </c>
      <c r="P13" s="46">
        <v>7.5</v>
      </c>
      <c r="Q13" s="46"/>
      <c r="R13" s="47">
        <f t="shared" si="4"/>
        <v>52.5</v>
      </c>
      <c r="S13" s="28">
        <v>2</v>
      </c>
      <c r="T13" s="284"/>
      <c r="U13" s="293"/>
      <c r="V13" s="37" t="s">
        <v>1072</v>
      </c>
      <c r="W13" s="28" t="s">
        <v>74</v>
      </c>
      <c r="X13" s="28" t="s">
        <v>11</v>
      </c>
      <c r="Y13" s="38">
        <v>38</v>
      </c>
      <c r="Z13" s="37" t="s">
        <v>1071</v>
      </c>
      <c r="AA13" s="28" t="s">
        <v>17</v>
      </c>
      <c r="AB13" s="28" t="s">
        <v>18</v>
      </c>
      <c r="AC13" s="28">
        <v>7.5</v>
      </c>
      <c r="AD13" s="37" t="s">
        <v>1073</v>
      </c>
      <c r="AE13" s="28" t="s">
        <v>87</v>
      </c>
      <c r="AF13" s="28" t="s">
        <v>11</v>
      </c>
      <c r="AG13" s="38">
        <v>7</v>
      </c>
      <c r="AL13" s="37"/>
      <c r="AO13" s="38"/>
      <c r="AP13" s="37"/>
      <c r="AS13" s="38"/>
      <c r="AW13" s="38"/>
      <c r="BA13" s="39"/>
    </row>
    <row r="14" spans="1:53" s="28" customFormat="1" x14ac:dyDescent="0.15">
      <c r="A14" s="28">
        <v>1994</v>
      </c>
      <c r="B14" s="293"/>
      <c r="C14" s="394" t="s">
        <v>1055</v>
      </c>
      <c r="D14" s="394"/>
      <c r="E14" s="28">
        <v>16</v>
      </c>
      <c r="G14" s="65">
        <v>15</v>
      </c>
      <c r="H14" s="28">
        <v>4</v>
      </c>
      <c r="J14" s="72">
        <v>19</v>
      </c>
      <c r="K14" s="46">
        <f t="shared" si="0"/>
        <v>78.94736842105263</v>
      </c>
      <c r="L14" s="46">
        <f t="shared" si="1"/>
        <v>21.052631578947366</v>
      </c>
      <c r="M14" s="46">
        <f t="shared" si="2"/>
        <v>0</v>
      </c>
      <c r="N14" s="67">
        <f t="shared" si="3"/>
        <v>100</v>
      </c>
      <c r="O14" s="45">
        <v>45</v>
      </c>
      <c r="P14" s="46">
        <v>7.5</v>
      </c>
      <c r="Q14" s="46"/>
      <c r="R14" s="47">
        <f t="shared" si="4"/>
        <v>52.5</v>
      </c>
      <c r="S14" s="28">
        <v>2</v>
      </c>
      <c r="T14" s="284"/>
      <c r="U14" s="293"/>
      <c r="V14" s="37" t="s">
        <v>1072</v>
      </c>
      <c r="W14" s="28" t="s">
        <v>74</v>
      </c>
      <c r="X14" s="28" t="s">
        <v>11</v>
      </c>
      <c r="Y14" s="38">
        <v>38</v>
      </c>
      <c r="Z14" s="28" t="s">
        <v>1071</v>
      </c>
      <c r="AA14" s="28" t="s">
        <v>17</v>
      </c>
      <c r="AB14" s="28" t="s">
        <v>18</v>
      </c>
      <c r="AC14" s="28">
        <v>7.5</v>
      </c>
      <c r="AD14" s="37" t="s">
        <v>1073</v>
      </c>
      <c r="AE14" s="28" t="s">
        <v>87</v>
      </c>
      <c r="AF14" s="28" t="s">
        <v>11</v>
      </c>
      <c r="AG14" s="38">
        <v>7</v>
      </c>
      <c r="AL14" s="37"/>
      <c r="AO14" s="38"/>
      <c r="AP14" s="37"/>
      <c r="AS14" s="38"/>
      <c r="AW14" s="38"/>
      <c r="BA14" s="39"/>
    </row>
    <row r="15" spans="1:53" s="28" customFormat="1" x14ac:dyDescent="0.15">
      <c r="A15" s="28">
        <v>1994</v>
      </c>
      <c r="B15" s="301">
        <v>34351</v>
      </c>
      <c r="C15" s="394" t="s">
        <v>1055</v>
      </c>
      <c r="D15" s="394"/>
      <c r="E15" s="28">
        <v>349</v>
      </c>
      <c r="F15" s="83">
        <v>0</v>
      </c>
      <c r="G15" s="65">
        <v>15</v>
      </c>
      <c r="H15" s="28">
        <v>3</v>
      </c>
      <c r="J15" s="72">
        <v>19</v>
      </c>
      <c r="K15" s="46">
        <f t="shared" si="0"/>
        <v>78.94736842105263</v>
      </c>
      <c r="L15" s="46">
        <f t="shared" si="1"/>
        <v>15.789473684210526</v>
      </c>
      <c r="M15" s="46">
        <f t="shared" si="2"/>
        <v>0</v>
      </c>
      <c r="N15" s="67">
        <f t="shared" si="3"/>
        <v>94.73684210526315</v>
      </c>
      <c r="O15" s="45">
        <v>45</v>
      </c>
      <c r="P15" s="46">
        <v>7.5</v>
      </c>
      <c r="Q15" s="46"/>
      <c r="R15" s="47">
        <f t="shared" si="4"/>
        <v>52.5</v>
      </c>
      <c r="S15" s="28">
        <v>2</v>
      </c>
      <c r="T15" s="284"/>
      <c r="U15" s="293"/>
      <c r="V15" s="37" t="s">
        <v>1072</v>
      </c>
      <c r="W15" s="28" t="s">
        <v>74</v>
      </c>
      <c r="X15" s="28" t="s">
        <v>11</v>
      </c>
      <c r="Y15" s="38">
        <v>38</v>
      </c>
      <c r="Z15" s="37" t="s">
        <v>1071</v>
      </c>
      <c r="AA15" s="28" t="s">
        <v>17</v>
      </c>
      <c r="AB15" s="28" t="s">
        <v>18</v>
      </c>
      <c r="AC15" s="28">
        <v>7.5</v>
      </c>
      <c r="AD15" s="37" t="s">
        <v>1073</v>
      </c>
      <c r="AE15" s="28" t="s">
        <v>87</v>
      </c>
      <c r="AF15" s="28" t="s">
        <v>11</v>
      </c>
      <c r="AG15" s="38">
        <v>7</v>
      </c>
      <c r="AL15" s="37"/>
      <c r="AO15" s="38"/>
      <c r="AP15" s="37"/>
      <c r="AS15" s="38"/>
      <c r="AW15" s="38"/>
      <c r="BA15" s="39"/>
    </row>
    <row r="16" spans="1:53" s="28" customFormat="1" x14ac:dyDescent="0.15">
      <c r="A16" s="28">
        <v>1995</v>
      </c>
      <c r="B16" s="293"/>
      <c r="C16" s="394" t="s">
        <v>1055</v>
      </c>
      <c r="D16" s="394"/>
      <c r="E16" s="28">
        <v>0</v>
      </c>
      <c r="G16" s="65">
        <v>15</v>
      </c>
      <c r="H16" s="28">
        <v>3</v>
      </c>
      <c r="J16" s="72">
        <v>19</v>
      </c>
      <c r="K16" s="46">
        <f t="shared" si="0"/>
        <v>78.94736842105263</v>
      </c>
      <c r="L16" s="46">
        <f t="shared" si="1"/>
        <v>15.789473684210526</v>
      </c>
      <c r="M16" s="46">
        <f t="shared" si="2"/>
        <v>0</v>
      </c>
      <c r="N16" s="67">
        <f t="shared" si="3"/>
        <v>94.73684210526315</v>
      </c>
      <c r="O16" s="45">
        <v>45</v>
      </c>
      <c r="P16" s="46">
        <v>7.5</v>
      </c>
      <c r="Q16" s="46"/>
      <c r="R16" s="47">
        <f t="shared" si="4"/>
        <v>52.5</v>
      </c>
      <c r="S16" s="28">
        <v>2</v>
      </c>
      <c r="T16" s="284"/>
      <c r="U16" s="293"/>
      <c r="V16" s="37" t="s">
        <v>1072</v>
      </c>
      <c r="W16" s="28" t="s">
        <v>74</v>
      </c>
      <c r="X16" s="28" t="s">
        <v>11</v>
      </c>
      <c r="Y16" s="38">
        <v>38</v>
      </c>
      <c r="Z16" s="28" t="s">
        <v>1071</v>
      </c>
      <c r="AA16" s="28" t="s">
        <v>17</v>
      </c>
      <c r="AB16" s="28" t="s">
        <v>18</v>
      </c>
      <c r="AC16" s="28">
        <v>7.5</v>
      </c>
      <c r="AD16" s="37" t="s">
        <v>1073</v>
      </c>
      <c r="AE16" s="28" t="s">
        <v>87</v>
      </c>
      <c r="AF16" s="28" t="s">
        <v>11</v>
      </c>
      <c r="AG16" s="38">
        <v>7</v>
      </c>
      <c r="AL16" s="37"/>
      <c r="AO16" s="38"/>
      <c r="AP16" s="37"/>
      <c r="AS16" s="38"/>
      <c r="AW16" s="38"/>
      <c r="BA16" s="39"/>
    </row>
    <row r="17" spans="1:53" s="28" customFormat="1" x14ac:dyDescent="0.15">
      <c r="A17" s="28">
        <v>1995</v>
      </c>
      <c r="B17" s="293"/>
      <c r="C17" s="394" t="s">
        <v>1055</v>
      </c>
      <c r="D17" s="394"/>
      <c r="E17" s="28">
        <v>365</v>
      </c>
      <c r="G17" s="65">
        <v>15</v>
      </c>
      <c r="H17" s="28">
        <v>3</v>
      </c>
      <c r="J17" s="72">
        <v>19</v>
      </c>
      <c r="K17" s="46">
        <f t="shared" si="0"/>
        <v>78.94736842105263</v>
      </c>
      <c r="L17" s="46">
        <f t="shared" si="1"/>
        <v>15.789473684210526</v>
      </c>
      <c r="M17" s="46">
        <f t="shared" si="2"/>
        <v>0</v>
      </c>
      <c r="N17" s="67">
        <f t="shared" si="3"/>
        <v>94.73684210526315</v>
      </c>
      <c r="O17" s="45">
        <v>45</v>
      </c>
      <c r="P17" s="46">
        <v>7.5</v>
      </c>
      <c r="Q17" s="46"/>
      <c r="R17" s="47">
        <f t="shared" si="4"/>
        <v>52.5</v>
      </c>
      <c r="S17" s="28">
        <v>2</v>
      </c>
      <c r="T17" s="284"/>
      <c r="U17" s="293"/>
      <c r="V17" s="37" t="s">
        <v>1072</v>
      </c>
      <c r="W17" s="28" t="s">
        <v>74</v>
      </c>
      <c r="X17" s="28" t="s">
        <v>11</v>
      </c>
      <c r="Y17" s="38">
        <v>38</v>
      </c>
      <c r="Z17" s="37" t="s">
        <v>1071</v>
      </c>
      <c r="AA17" s="28" t="s">
        <v>17</v>
      </c>
      <c r="AB17" s="28" t="s">
        <v>18</v>
      </c>
      <c r="AC17" s="28">
        <v>7.5</v>
      </c>
      <c r="AD17" s="37" t="s">
        <v>1073</v>
      </c>
      <c r="AE17" s="28" t="s">
        <v>87</v>
      </c>
      <c r="AF17" s="28" t="s">
        <v>11</v>
      </c>
      <c r="AG17" s="38">
        <v>7</v>
      </c>
      <c r="AL17" s="37"/>
      <c r="AO17" s="38"/>
      <c r="AP17" s="37"/>
      <c r="AS17" s="38"/>
      <c r="AW17" s="38"/>
      <c r="BA17" s="39"/>
    </row>
    <row r="18" spans="1:53" s="28" customFormat="1" x14ac:dyDescent="0.15">
      <c r="A18" s="28">
        <v>1996</v>
      </c>
      <c r="B18" s="293"/>
      <c r="C18" s="394" t="s">
        <v>1055</v>
      </c>
      <c r="D18" s="394"/>
      <c r="E18" s="28">
        <v>206</v>
      </c>
      <c r="G18" s="65">
        <v>15</v>
      </c>
      <c r="H18" s="28">
        <v>3</v>
      </c>
      <c r="J18" s="72">
        <v>19</v>
      </c>
      <c r="K18" s="46">
        <f t="shared" si="0"/>
        <v>78.94736842105263</v>
      </c>
      <c r="L18" s="46">
        <f t="shared" si="1"/>
        <v>15.789473684210526</v>
      </c>
      <c r="M18" s="46">
        <f t="shared" si="2"/>
        <v>0</v>
      </c>
      <c r="N18" s="67">
        <f t="shared" si="3"/>
        <v>94.73684210526315</v>
      </c>
      <c r="O18" s="45">
        <v>45</v>
      </c>
      <c r="P18" s="46">
        <v>7.5</v>
      </c>
      <c r="Q18" s="46"/>
      <c r="R18" s="47">
        <f t="shared" si="4"/>
        <v>52.5</v>
      </c>
      <c r="S18" s="28">
        <v>2</v>
      </c>
      <c r="T18" s="284"/>
      <c r="U18" s="293"/>
      <c r="V18" s="37" t="s">
        <v>1072</v>
      </c>
      <c r="W18" s="28" t="s">
        <v>74</v>
      </c>
      <c r="X18" s="28" t="s">
        <v>11</v>
      </c>
      <c r="Y18" s="38">
        <v>38</v>
      </c>
      <c r="Z18" s="28" t="s">
        <v>1071</v>
      </c>
      <c r="AA18" s="28" t="s">
        <v>17</v>
      </c>
      <c r="AB18" s="28" t="s">
        <v>18</v>
      </c>
      <c r="AC18" s="28">
        <v>7.5</v>
      </c>
      <c r="AD18" s="37" t="s">
        <v>1073</v>
      </c>
      <c r="AE18" s="28" t="s">
        <v>87</v>
      </c>
      <c r="AF18" s="28" t="s">
        <v>11</v>
      </c>
      <c r="AG18" s="38">
        <v>7</v>
      </c>
      <c r="AL18" s="37"/>
      <c r="AO18" s="38"/>
      <c r="AP18" s="37"/>
      <c r="AS18" s="38"/>
      <c r="AW18" s="38"/>
      <c r="BA18" s="39"/>
    </row>
    <row r="19" spans="1:53" s="170" customFormat="1" x14ac:dyDescent="0.15">
      <c r="A19" s="170">
        <v>1996</v>
      </c>
      <c r="B19" s="281">
        <v>35271</v>
      </c>
      <c r="C19" s="395" t="s">
        <v>1056</v>
      </c>
      <c r="D19" s="395"/>
      <c r="E19" s="170">
        <v>160</v>
      </c>
      <c r="F19" s="170">
        <v>1</v>
      </c>
      <c r="G19" s="232">
        <v>12</v>
      </c>
      <c r="H19" s="170">
        <v>4</v>
      </c>
      <c r="J19" s="240">
        <v>16</v>
      </c>
      <c r="K19" s="213">
        <f t="shared" si="0"/>
        <v>75</v>
      </c>
      <c r="L19" s="213">
        <f t="shared" si="1"/>
        <v>25</v>
      </c>
      <c r="M19" s="213">
        <f t="shared" si="2"/>
        <v>0</v>
      </c>
      <c r="N19" s="234">
        <f t="shared" si="3"/>
        <v>100</v>
      </c>
      <c r="O19" s="212">
        <v>40.5</v>
      </c>
      <c r="P19" s="213">
        <v>9</v>
      </c>
      <c r="Q19" s="213"/>
      <c r="R19" s="214">
        <f t="shared" si="4"/>
        <v>49.5</v>
      </c>
      <c r="S19" s="170">
        <v>5</v>
      </c>
      <c r="T19" s="283">
        <v>35217</v>
      </c>
      <c r="U19" s="281">
        <v>35271</v>
      </c>
      <c r="V19" s="177" t="s">
        <v>1072</v>
      </c>
      <c r="W19" s="170" t="s">
        <v>74</v>
      </c>
      <c r="X19" s="170" t="s">
        <v>11</v>
      </c>
      <c r="Y19" s="178">
        <v>34</v>
      </c>
      <c r="Z19" s="177" t="s">
        <v>1071</v>
      </c>
      <c r="AA19" s="170" t="s">
        <v>17</v>
      </c>
      <c r="AB19" s="170" t="s">
        <v>18</v>
      </c>
      <c r="AC19" s="170">
        <v>9</v>
      </c>
      <c r="AD19" s="177" t="s">
        <v>1073</v>
      </c>
      <c r="AE19" s="170" t="s">
        <v>87</v>
      </c>
      <c r="AF19" s="170" t="s">
        <v>11</v>
      </c>
      <c r="AG19" s="178">
        <v>6.5</v>
      </c>
      <c r="AL19" s="177"/>
      <c r="AO19" s="178"/>
      <c r="AP19" s="177"/>
      <c r="AS19" s="178"/>
      <c r="AW19" s="178"/>
      <c r="BA19" s="179"/>
    </row>
    <row r="20" spans="1:53" s="170" customFormat="1" x14ac:dyDescent="0.15">
      <c r="A20" s="170">
        <v>1997</v>
      </c>
      <c r="B20" s="281"/>
      <c r="C20" s="395" t="s">
        <v>1056</v>
      </c>
      <c r="D20" s="395"/>
      <c r="E20" s="170">
        <v>311</v>
      </c>
      <c r="G20" s="232">
        <v>12</v>
      </c>
      <c r="H20" s="170">
        <v>4</v>
      </c>
      <c r="J20" s="240">
        <v>16</v>
      </c>
      <c r="K20" s="213">
        <f t="shared" si="0"/>
        <v>75</v>
      </c>
      <c r="L20" s="213">
        <f t="shared" si="1"/>
        <v>25</v>
      </c>
      <c r="M20" s="213">
        <f t="shared" si="2"/>
        <v>0</v>
      </c>
      <c r="N20" s="234">
        <f t="shared" si="3"/>
        <v>100</v>
      </c>
      <c r="O20" s="212">
        <v>40.5</v>
      </c>
      <c r="P20" s="213">
        <v>9</v>
      </c>
      <c r="Q20" s="213"/>
      <c r="R20" s="214">
        <f t="shared" si="4"/>
        <v>49.5</v>
      </c>
      <c r="S20" s="170">
        <v>5</v>
      </c>
      <c r="T20" s="283"/>
      <c r="U20" s="281"/>
      <c r="V20" s="177" t="s">
        <v>1072</v>
      </c>
      <c r="W20" s="170" t="s">
        <v>74</v>
      </c>
      <c r="X20" s="170" t="s">
        <v>11</v>
      </c>
      <c r="Y20" s="178">
        <v>34</v>
      </c>
      <c r="Z20" s="170" t="s">
        <v>1071</v>
      </c>
      <c r="AA20" s="170" t="s">
        <v>17</v>
      </c>
      <c r="AB20" s="170" t="s">
        <v>18</v>
      </c>
      <c r="AC20" s="170">
        <v>9</v>
      </c>
      <c r="AD20" s="177" t="s">
        <v>1073</v>
      </c>
      <c r="AE20" s="170" t="s">
        <v>87</v>
      </c>
      <c r="AF20" s="170" t="s">
        <v>11</v>
      </c>
      <c r="AG20" s="178">
        <v>6.5</v>
      </c>
      <c r="AL20" s="177"/>
      <c r="AO20" s="178"/>
      <c r="AP20" s="177"/>
      <c r="AS20" s="178"/>
      <c r="AW20" s="178"/>
      <c r="BA20" s="179"/>
    </row>
    <row r="21" spans="1:53" s="170" customFormat="1" x14ac:dyDescent="0.15">
      <c r="A21" s="170">
        <v>1997</v>
      </c>
      <c r="B21" s="303">
        <v>35742</v>
      </c>
      <c r="C21" s="395" t="s">
        <v>1056</v>
      </c>
      <c r="D21" s="395"/>
      <c r="E21" s="170">
        <v>54</v>
      </c>
      <c r="F21" s="243">
        <v>0</v>
      </c>
      <c r="G21" s="232">
        <v>11</v>
      </c>
      <c r="H21" s="170">
        <v>4</v>
      </c>
      <c r="J21" s="240">
        <v>16</v>
      </c>
      <c r="K21" s="213">
        <f t="shared" si="0"/>
        <v>68.75</v>
      </c>
      <c r="L21" s="213">
        <f t="shared" si="1"/>
        <v>25</v>
      </c>
      <c r="M21" s="213">
        <f t="shared" si="2"/>
        <v>0</v>
      </c>
      <c r="N21" s="234">
        <f t="shared" si="3"/>
        <v>93.75</v>
      </c>
      <c r="O21" s="212">
        <v>40.5</v>
      </c>
      <c r="P21" s="213">
        <v>9</v>
      </c>
      <c r="Q21" s="213"/>
      <c r="R21" s="214">
        <f t="shared" si="4"/>
        <v>49.5</v>
      </c>
      <c r="S21" s="170">
        <v>5</v>
      </c>
      <c r="T21" s="283"/>
      <c r="U21" s="281"/>
      <c r="V21" s="177" t="s">
        <v>1072</v>
      </c>
      <c r="W21" s="170" t="s">
        <v>74</v>
      </c>
      <c r="X21" s="170" t="s">
        <v>11</v>
      </c>
      <c r="Y21" s="178">
        <v>34</v>
      </c>
      <c r="Z21" s="177" t="s">
        <v>1071</v>
      </c>
      <c r="AA21" s="170" t="s">
        <v>17</v>
      </c>
      <c r="AB21" s="170" t="s">
        <v>18</v>
      </c>
      <c r="AC21" s="170">
        <v>9</v>
      </c>
      <c r="AD21" s="177" t="s">
        <v>1073</v>
      </c>
      <c r="AE21" s="170" t="s">
        <v>87</v>
      </c>
      <c r="AF21" s="170" t="s">
        <v>11</v>
      </c>
      <c r="AG21" s="178">
        <v>6.5</v>
      </c>
      <c r="AL21" s="177"/>
      <c r="AO21" s="178"/>
      <c r="AP21" s="177"/>
      <c r="AS21" s="178"/>
      <c r="AW21" s="178"/>
      <c r="BA21" s="179"/>
    </row>
    <row r="22" spans="1:53" s="170" customFormat="1" x14ac:dyDescent="0.15">
      <c r="A22" s="170">
        <v>1998</v>
      </c>
      <c r="B22" s="281"/>
      <c r="C22" s="395" t="s">
        <v>1056</v>
      </c>
      <c r="D22" s="395"/>
      <c r="E22" s="170">
        <v>27</v>
      </c>
      <c r="G22" s="232">
        <v>11</v>
      </c>
      <c r="H22" s="170">
        <v>4</v>
      </c>
      <c r="J22" s="240">
        <v>16</v>
      </c>
      <c r="K22" s="213">
        <f t="shared" si="0"/>
        <v>68.75</v>
      </c>
      <c r="L22" s="213">
        <f t="shared" si="1"/>
        <v>25</v>
      </c>
      <c r="M22" s="213">
        <f t="shared" si="2"/>
        <v>0</v>
      </c>
      <c r="N22" s="234">
        <f t="shared" si="3"/>
        <v>93.75</v>
      </c>
      <c r="O22" s="212">
        <v>40.5</v>
      </c>
      <c r="P22" s="213">
        <v>9</v>
      </c>
      <c r="Q22" s="213"/>
      <c r="R22" s="214">
        <f t="shared" si="4"/>
        <v>49.5</v>
      </c>
      <c r="S22" s="170">
        <v>5</v>
      </c>
      <c r="T22" s="283"/>
      <c r="U22" s="281"/>
      <c r="V22" s="177" t="s">
        <v>1072</v>
      </c>
      <c r="W22" s="170" t="s">
        <v>74</v>
      </c>
      <c r="X22" s="170" t="s">
        <v>11</v>
      </c>
      <c r="Y22" s="178">
        <v>34</v>
      </c>
      <c r="Z22" s="170" t="s">
        <v>1071</v>
      </c>
      <c r="AA22" s="170" t="s">
        <v>17</v>
      </c>
      <c r="AB22" s="170" t="s">
        <v>18</v>
      </c>
      <c r="AC22" s="170">
        <v>9</v>
      </c>
      <c r="AD22" s="177" t="s">
        <v>1073</v>
      </c>
      <c r="AE22" s="170" t="s">
        <v>87</v>
      </c>
      <c r="AF22" s="170" t="s">
        <v>11</v>
      </c>
      <c r="AG22" s="178">
        <v>6.5</v>
      </c>
      <c r="AL22" s="177"/>
      <c r="AO22" s="178"/>
      <c r="AP22" s="177"/>
      <c r="AS22" s="178"/>
      <c r="AW22" s="178"/>
      <c r="BA22" s="179"/>
    </row>
    <row r="23" spans="1:53" s="28" customFormat="1" x14ac:dyDescent="0.15">
      <c r="A23" s="28">
        <v>1998</v>
      </c>
      <c r="B23" s="293">
        <v>35823</v>
      </c>
      <c r="C23" s="394" t="s">
        <v>1057</v>
      </c>
      <c r="D23" s="394"/>
      <c r="E23" s="28">
        <v>203</v>
      </c>
      <c r="F23" s="28">
        <v>2</v>
      </c>
      <c r="G23" s="65">
        <v>7</v>
      </c>
      <c r="H23" s="28">
        <v>3</v>
      </c>
      <c r="J23" s="72">
        <v>17</v>
      </c>
      <c r="K23" s="46">
        <f t="shared" si="0"/>
        <v>41.17647058823529</v>
      </c>
      <c r="L23" s="46">
        <f t="shared" si="1"/>
        <v>17.647058823529413</v>
      </c>
      <c r="M23" s="46">
        <f t="shared" si="2"/>
        <v>0</v>
      </c>
      <c r="N23" s="67">
        <f t="shared" si="3"/>
        <v>58.823529411764703</v>
      </c>
      <c r="O23" s="45">
        <v>40.5</v>
      </c>
      <c r="P23" s="46">
        <v>9</v>
      </c>
      <c r="Q23" s="46"/>
      <c r="R23" s="47">
        <f>SUM(O23:Q23)</f>
        <v>49.5</v>
      </c>
      <c r="S23" s="28">
        <v>6</v>
      </c>
      <c r="T23" s="284"/>
      <c r="U23" s="293">
        <v>35823</v>
      </c>
      <c r="V23" s="37" t="s">
        <v>1072</v>
      </c>
      <c r="W23" s="28" t="s">
        <v>74</v>
      </c>
      <c r="X23" s="28" t="s">
        <v>11</v>
      </c>
      <c r="Y23" s="38">
        <v>34</v>
      </c>
      <c r="Z23" s="37" t="s">
        <v>1071</v>
      </c>
      <c r="AA23" s="28" t="s">
        <v>17</v>
      </c>
      <c r="AB23" s="28" t="s">
        <v>18</v>
      </c>
      <c r="AC23" s="28">
        <v>9</v>
      </c>
      <c r="AD23" s="37" t="s">
        <v>1073</v>
      </c>
      <c r="AE23" s="28" t="s">
        <v>87</v>
      </c>
      <c r="AF23" s="28" t="s">
        <v>11</v>
      </c>
      <c r="AG23" s="38">
        <v>6.5</v>
      </c>
      <c r="AL23" s="37"/>
      <c r="AO23" s="38"/>
      <c r="AP23" s="37"/>
      <c r="AS23" s="38"/>
      <c r="AW23" s="38"/>
      <c r="BA23" s="39"/>
    </row>
    <row r="24" spans="1:53" s="170" customFormat="1" x14ac:dyDescent="0.15">
      <c r="A24" s="170">
        <v>1998</v>
      </c>
      <c r="B24" s="281">
        <v>36026</v>
      </c>
      <c r="C24" s="395" t="s">
        <v>1058</v>
      </c>
      <c r="D24" s="395"/>
      <c r="E24" s="170">
        <v>135</v>
      </c>
      <c r="F24" s="170">
        <v>1</v>
      </c>
      <c r="G24" s="232"/>
      <c r="I24" s="170">
        <v>18</v>
      </c>
      <c r="J24" s="240">
        <v>19</v>
      </c>
      <c r="K24" s="213">
        <f t="shared" si="0"/>
        <v>0</v>
      </c>
      <c r="L24" s="213">
        <f t="shared" si="1"/>
        <v>0</v>
      </c>
      <c r="M24" s="213">
        <f t="shared" si="2"/>
        <v>94.73684210526315</v>
      </c>
      <c r="N24" s="234">
        <f t="shared" si="3"/>
        <v>94.73684210526315</v>
      </c>
      <c r="O24" s="212"/>
      <c r="P24" s="213"/>
      <c r="Q24" s="213">
        <v>37</v>
      </c>
      <c r="R24" s="214">
        <f t="shared" si="4"/>
        <v>37</v>
      </c>
      <c r="S24" s="170">
        <v>4</v>
      </c>
      <c r="T24" s="283">
        <v>35966</v>
      </c>
      <c r="U24" s="281">
        <v>36026</v>
      </c>
      <c r="V24" s="177" t="s">
        <v>1074</v>
      </c>
      <c r="W24" s="170" t="s">
        <v>20</v>
      </c>
      <c r="X24" s="170" t="s">
        <v>12</v>
      </c>
      <c r="Y24" s="178">
        <v>37</v>
      </c>
      <c r="AD24" s="177"/>
      <c r="AG24" s="178"/>
      <c r="AL24" s="177"/>
      <c r="AO24" s="178"/>
      <c r="AP24" s="177"/>
      <c r="AS24" s="178"/>
      <c r="AW24" s="178"/>
      <c r="BA24" s="179"/>
    </row>
    <row r="25" spans="1:53" s="170" customFormat="1" x14ac:dyDescent="0.15">
      <c r="A25" s="170">
        <v>1999</v>
      </c>
      <c r="B25" s="281"/>
      <c r="C25" s="395" t="s">
        <v>1058</v>
      </c>
      <c r="D25" s="395"/>
      <c r="E25" s="170">
        <v>200</v>
      </c>
      <c r="G25" s="232"/>
      <c r="I25" s="170">
        <v>18</v>
      </c>
      <c r="J25" s="240">
        <v>19</v>
      </c>
      <c r="K25" s="213">
        <f t="shared" si="0"/>
        <v>0</v>
      </c>
      <c r="L25" s="213">
        <f t="shared" si="1"/>
        <v>0</v>
      </c>
      <c r="M25" s="213">
        <f t="shared" si="2"/>
        <v>94.73684210526315</v>
      </c>
      <c r="N25" s="234">
        <f t="shared" si="3"/>
        <v>94.73684210526315</v>
      </c>
      <c r="O25" s="212"/>
      <c r="P25" s="213"/>
      <c r="Q25" s="213">
        <v>37</v>
      </c>
      <c r="R25" s="214">
        <f t="shared" si="4"/>
        <v>37</v>
      </c>
      <c r="S25" s="170">
        <v>4</v>
      </c>
      <c r="T25" s="283"/>
      <c r="U25" s="281"/>
      <c r="V25" s="177" t="s">
        <v>1074</v>
      </c>
      <c r="W25" s="170" t="s">
        <v>20</v>
      </c>
      <c r="X25" s="170" t="s">
        <v>12</v>
      </c>
      <c r="Y25" s="178">
        <v>37</v>
      </c>
      <c r="AD25" s="177"/>
      <c r="AG25" s="178"/>
      <c r="AL25" s="177"/>
      <c r="AO25" s="178"/>
      <c r="AP25" s="177"/>
      <c r="AS25" s="178"/>
      <c r="AW25" s="178"/>
      <c r="BA25" s="179"/>
    </row>
    <row r="26" spans="1:53" s="170" customFormat="1" x14ac:dyDescent="0.15">
      <c r="A26" s="170">
        <v>1999</v>
      </c>
      <c r="B26" s="303">
        <v>36361</v>
      </c>
      <c r="C26" s="395" t="s">
        <v>1058</v>
      </c>
      <c r="D26" s="395"/>
      <c r="E26" s="170">
        <v>132</v>
      </c>
      <c r="F26" s="243">
        <v>0</v>
      </c>
      <c r="G26" s="232"/>
      <c r="I26" s="170">
        <v>17</v>
      </c>
      <c r="J26" s="240">
        <v>18</v>
      </c>
      <c r="K26" s="213">
        <f>G26/J26*100</f>
        <v>0</v>
      </c>
      <c r="L26" s="213">
        <f>H26/J26*100</f>
        <v>0</v>
      </c>
      <c r="M26" s="213">
        <f>I26/J26*100</f>
        <v>94.444444444444443</v>
      </c>
      <c r="N26" s="234">
        <f>SUM(K26:M26)</f>
        <v>94.444444444444443</v>
      </c>
      <c r="O26" s="212"/>
      <c r="P26" s="213"/>
      <c r="Q26" s="213">
        <v>37</v>
      </c>
      <c r="R26" s="214">
        <f>SUM(O26:Q26)</f>
        <v>37</v>
      </c>
      <c r="S26" s="170">
        <v>4</v>
      </c>
      <c r="T26" s="283"/>
      <c r="U26" s="281"/>
      <c r="V26" s="177" t="s">
        <v>1074</v>
      </c>
      <c r="W26" s="170" t="s">
        <v>20</v>
      </c>
      <c r="X26" s="170" t="s">
        <v>12</v>
      </c>
      <c r="Y26" s="178">
        <v>37</v>
      </c>
      <c r="AD26" s="177"/>
      <c r="AG26" s="178"/>
      <c r="AL26" s="177"/>
      <c r="AO26" s="178"/>
      <c r="AP26" s="177"/>
      <c r="AS26" s="178"/>
      <c r="AW26" s="178"/>
      <c r="BA26" s="179"/>
    </row>
    <row r="27" spans="1:53" s="170" customFormat="1" x14ac:dyDescent="0.15">
      <c r="A27" s="170">
        <v>1999</v>
      </c>
      <c r="B27" s="303">
        <v>36493</v>
      </c>
      <c r="C27" s="395" t="s">
        <v>1058</v>
      </c>
      <c r="D27" s="395"/>
      <c r="E27" s="170">
        <v>33</v>
      </c>
      <c r="F27" s="243">
        <v>0</v>
      </c>
      <c r="G27" s="232"/>
      <c r="I27" s="170">
        <v>16</v>
      </c>
      <c r="J27" s="240">
        <v>17</v>
      </c>
      <c r="K27" s="213">
        <f t="shared" si="0"/>
        <v>0</v>
      </c>
      <c r="L27" s="213">
        <f t="shared" si="1"/>
        <v>0</v>
      </c>
      <c r="M27" s="213">
        <f t="shared" si="2"/>
        <v>94.117647058823522</v>
      </c>
      <c r="N27" s="234">
        <f t="shared" si="3"/>
        <v>94.117647058823522</v>
      </c>
      <c r="O27" s="212"/>
      <c r="P27" s="213"/>
      <c r="Q27" s="213">
        <v>37</v>
      </c>
      <c r="R27" s="214">
        <f t="shared" si="4"/>
        <v>37</v>
      </c>
      <c r="S27" s="170">
        <v>4</v>
      </c>
      <c r="T27" s="283"/>
      <c r="U27" s="281"/>
      <c r="V27" s="177" t="s">
        <v>1074</v>
      </c>
      <c r="W27" s="170" t="s">
        <v>20</v>
      </c>
      <c r="X27" s="170" t="s">
        <v>12</v>
      </c>
      <c r="Y27" s="178">
        <v>37</v>
      </c>
      <c r="AD27" s="177"/>
      <c r="AG27" s="178"/>
      <c r="AL27" s="177"/>
      <c r="AO27" s="178"/>
      <c r="AP27" s="177"/>
      <c r="AS27" s="178"/>
      <c r="AW27" s="178"/>
      <c r="BA27" s="179"/>
    </row>
    <row r="28" spans="1:53" s="170" customFormat="1" x14ac:dyDescent="0.15">
      <c r="A28" s="170">
        <v>2000</v>
      </c>
      <c r="B28" s="281"/>
      <c r="C28" s="395" t="s">
        <v>1058</v>
      </c>
      <c r="D28" s="395"/>
      <c r="E28" s="170">
        <v>0</v>
      </c>
      <c r="G28" s="232"/>
      <c r="I28" s="170">
        <v>16</v>
      </c>
      <c r="J28" s="240">
        <v>17</v>
      </c>
      <c r="K28" s="213">
        <f t="shared" si="0"/>
        <v>0</v>
      </c>
      <c r="L28" s="213">
        <f t="shared" si="1"/>
        <v>0</v>
      </c>
      <c r="M28" s="213">
        <f t="shared" si="2"/>
        <v>94.117647058823522</v>
      </c>
      <c r="N28" s="234">
        <f t="shared" si="3"/>
        <v>94.117647058823522</v>
      </c>
      <c r="O28" s="212"/>
      <c r="P28" s="213"/>
      <c r="Q28" s="213">
        <v>37</v>
      </c>
      <c r="R28" s="214">
        <f t="shared" si="4"/>
        <v>37</v>
      </c>
      <c r="S28" s="170">
        <v>4</v>
      </c>
      <c r="T28" s="283"/>
      <c r="U28" s="281"/>
      <c r="V28" s="177" t="s">
        <v>1074</v>
      </c>
      <c r="W28" s="170" t="s">
        <v>20</v>
      </c>
      <c r="X28" s="170" t="s">
        <v>12</v>
      </c>
      <c r="Y28" s="178">
        <v>37</v>
      </c>
      <c r="AD28" s="177"/>
      <c r="AG28" s="178"/>
      <c r="AL28" s="177"/>
      <c r="AO28" s="178"/>
      <c r="AP28" s="177"/>
      <c r="AS28" s="178"/>
      <c r="AW28" s="178"/>
      <c r="BA28" s="179"/>
    </row>
    <row r="29" spans="1:53" s="170" customFormat="1" x14ac:dyDescent="0.15">
      <c r="A29" s="170">
        <v>2000</v>
      </c>
      <c r="B29" s="281"/>
      <c r="C29" s="395" t="s">
        <v>1058</v>
      </c>
      <c r="D29" s="395"/>
      <c r="E29" s="170">
        <v>366</v>
      </c>
      <c r="G29" s="232"/>
      <c r="I29" s="170">
        <v>16</v>
      </c>
      <c r="J29" s="240">
        <v>17</v>
      </c>
      <c r="K29" s="213">
        <f t="shared" si="0"/>
        <v>0</v>
      </c>
      <c r="L29" s="213">
        <f t="shared" si="1"/>
        <v>0</v>
      </c>
      <c r="M29" s="213">
        <f t="shared" si="2"/>
        <v>94.117647058823522</v>
      </c>
      <c r="N29" s="234">
        <f t="shared" si="3"/>
        <v>94.117647058823522</v>
      </c>
      <c r="O29" s="212"/>
      <c r="P29" s="213"/>
      <c r="Q29" s="213">
        <v>37</v>
      </c>
      <c r="R29" s="214">
        <f t="shared" si="4"/>
        <v>37</v>
      </c>
      <c r="S29" s="170">
        <v>4</v>
      </c>
      <c r="T29" s="283"/>
      <c r="U29" s="281"/>
      <c r="V29" s="177" t="s">
        <v>1074</v>
      </c>
      <c r="W29" s="170" t="s">
        <v>20</v>
      </c>
      <c r="X29" s="170" t="s">
        <v>12</v>
      </c>
      <c r="Y29" s="178">
        <v>37</v>
      </c>
      <c r="AD29" s="177"/>
      <c r="AG29" s="178"/>
      <c r="AL29" s="177"/>
      <c r="AO29" s="178"/>
      <c r="AP29" s="177"/>
      <c r="AS29" s="178"/>
      <c r="AW29" s="178"/>
      <c r="BA29" s="179"/>
    </row>
    <row r="30" spans="1:53" s="170" customFormat="1" x14ac:dyDescent="0.15">
      <c r="A30" s="170">
        <v>2001</v>
      </c>
      <c r="B30" s="281"/>
      <c r="C30" s="395" t="s">
        <v>1058</v>
      </c>
      <c r="D30" s="395"/>
      <c r="E30" s="170">
        <v>0</v>
      </c>
      <c r="G30" s="232"/>
      <c r="I30" s="170">
        <v>16</v>
      </c>
      <c r="J30" s="240">
        <v>17</v>
      </c>
      <c r="K30" s="213">
        <f t="shared" si="0"/>
        <v>0</v>
      </c>
      <c r="L30" s="213">
        <f t="shared" si="1"/>
        <v>0</v>
      </c>
      <c r="M30" s="213">
        <f t="shared" si="2"/>
        <v>94.117647058823522</v>
      </c>
      <c r="N30" s="234">
        <f t="shared" si="3"/>
        <v>94.117647058823522</v>
      </c>
      <c r="O30" s="212"/>
      <c r="P30" s="213"/>
      <c r="Q30" s="213">
        <v>37</v>
      </c>
      <c r="R30" s="214">
        <f t="shared" si="4"/>
        <v>37</v>
      </c>
      <c r="S30" s="170">
        <v>4</v>
      </c>
      <c r="T30" s="283"/>
      <c r="U30" s="281"/>
      <c r="V30" s="177" t="s">
        <v>1074</v>
      </c>
      <c r="W30" s="170" t="s">
        <v>20</v>
      </c>
      <c r="X30" s="170" t="s">
        <v>12</v>
      </c>
      <c r="Y30" s="178">
        <v>37</v>
      </c>
      <c r="AD30" s="177"/>
      <c r="AG30" s="178"/>
      <c r="AL30" s="177"/>
      <c r="AO30" s="178"/>
      <c r="AP30" s="177"/>
      <c r="AS30" s="178"/>
      <c r="AW30" s="178"/>
      <c r="BA30" s="179"/>
    </row>
    <row r="31" spans="1:53" s="170" customFormat="1" x14ac:dyDescent="0.15">
      <c r="A31" s="170">
        <v>2001</v>
      </c>
      <c r="B31" s="281"/>
      <c r="C31" s="395" t="s">
        <v>1058</v>
      </c>
      <c r="D31" s="395"/>
      <c r="E31" s="170">
        <v>365</v>
      </c>
      <c r="G31" s="232"/>
      <c r="I31" s="170">
        <v>16</v>
      </c>
      <c r="J31" s="240">
        <v>17</v>
      </c>
      <c r="K31" s="213">
        <f t="shared" si="0"/>
        <v>0</v>
      </c>
      <c r="L31" s="213">
        <f t="shared" si="1"/>
        <v>0</v>
      </c>
      <c r="M31" s="213">
        <f t="shared" si="2"/>
        <v>94.117647058823522</v>
      </c>
      <c r="N31" s="234">
        <f t="shared" si="3"/>
        <v>94.117647058823522</v>
      </c>
      <c r="O31" s="212"/>
      <c r="P31" s="213"/>
      <c r="Q31" s="213">
        <v>37</v>
      </c>
      <c r="R31" s="214">
        <f t="shared" si="4"/>
        <v>37</v>
      </c>
      <c r="S31" s="170">
        <v>4</v>
      </c>
      <c r="T31" s="283"/>
      <c r="U31" s="281"/>
      <c r="V31" s="177" t="s">
        <v>1074</v>
      </c>
      <c r="W31" s="170" t="s">
        <v>20</v>
      </c>
      <c r="X31" s="170" t="s">
        <v>12</v>
      </c>
      <c r="Y31" s="178">
        <v>37</v>
      </c>
      <c r="AD31" s="177"/>
      <c r="AG31" s="178"/>
      <c r="AL31" s="177"/>
      <c r="AO31" s="178"/>
      <c r="AP31" s="177"/>
      <c r="AS31" s="178"/>
      <c r="AW31" s="178"/>
      <c r="BA31" s="179"/>
    </row>
    <row r="32" spans="1:53" s="170" customFormat="1" x14ac:dyDescent="0.15">
      <c r="A32" s="170">
        <v>2002</v>
      </c>
      <c r="B32" s="304"/>
      <c r="C32" s="395" t="s">
        <v>1058</v>
      </c>
      <c r="D32" s="395"/>
      <c r="E32" s="170">
        <v>195</v>
      </c>
      <c r="G32" s="232"/>
      <c r="I32" s="170">
        <v>16</v>
      </c>
      <c r="J32" s="240">
        <v>17</v>
      </c>
      <c r="K32" s="213">
        <f t="shared" si="0"/>
        <v>0</v>
      </c>
      <c r="L32" s="213">
        <f t="shared" si="1"/>
        <v>0</v>
      </c>
      <c r="M32" s="213">
        <f t="shared" si="2"/>
        <v>94.117647058823522</v>
      </c>
      <c r="N32" s="234">
        <f t="shared" si="3"/>
        <v>94.117647058823522</v>
      </c>
      <c r="O32" s="212"/>
      <c r="P32" s="213"/>
      <c r="Q32" s="213">
        <v>37</v>
      </c>
      <c r="R32" s="214">
        <f t="shared" si="4"/>
        <v>37</v>
      </c>
      <c r="S32" s="170">
        <v>4</v>
      </c>
      <c r="T32" s="283"/>
      <c r="U32" s="281"/>
      <c r="V32" s="177" t="s">
        <v>1074</v>
      </c>
      <c r="W32" s="170" t="s">
        <v>20</v>
      </c>
      <c r="X32" s="170" t="s">
        <v>12</v>
      </c>
      <c r="Y32" s="178">
        <v>37</v>
      </c>
      <c r="AD32" s="177"/>
      <c r="AG32" s="178"/>
      <c r="AL32" s="177"/>
      <c r="AO32" s="178"/>
      <c r="AP32" s="177"/>
      <c r="AS32" s="178"/>
      <c r="AW32" s="178"/>
      <c r="BA32" s="179"/>
    </row>
    <row r="33" spans="1:53" s="28" customFormat="1" x14ac:dyDescent="0.15">
      <c r="A33" s="28">
        <v>2002</v>
      </c>
      <c r="B33" s="275">
        <v>37452</v>
      </c>
      <c r="C33" s="394" t="s">
        <v>1059</v>
      </c>
      <c r="D33" s="394"/>
      <c r="E33" s="28">
        <v>170</v>
      </c>
      <c r="F33" s="28">
        <v>1</v>
      </c>
      <c r="G33" s="65">
        <v>3</v>
      </c>
      <c r="H33" s="28">
        <v>3</v>
      </c>
      <c r="I33" s="28">
        <v>11</v>
      </c>
      <c r="J33" s="72">
        <v>17</v>
      </c>
      <c r="K33" s="46">
        <f t="shared" si="0"/>
        <v>17.647058823529413</v>
      </c>
      <c r="L33" s="46">
        <f t="shared" si="1"/>
        <v>17.647058823529413</v>
      </c>
      <c r="M33" s="46">
        <f t="shared" si="2"/>
        <v>64.705882352941174</v>
      </c>
      <c r="N33" s="67">
        <f t="shared" si="3"/>
        <v>100</v>
      </c>
      <c r="O33" s="45">
        <v>4.5</v>
      </c>
      <c r="P33" s="46">
        <v>11</v>
      </c>
      <c r="Q33" s="46">
        <v>35</v>
      </c>
      <c r="R33" s="47">
        <f t="shared" si="4"/>
        <v>50.5</v>
      </c>
      <c r="S33" s="28">
        <v>2</v>
      </c>
      <c r="T33" s="284">
        <v>37422</v>
      </c>
      <c r="U33" s="293">
        <v>37452</v>
      </c>
      <c r="V33" s="37" t="s">
        <v>1074</v>
      </c>
      <c r="W33" s="28" t="s">
        <v>20</v>
      </c>
      <c r="X33" s="28" t="s">
        <v>12</v>
      </c>
      <c r="Y33" s="38">
        <v>35</v>
      </c>
      <c r="Z33" s="28" t="s">
        <v>1071</v>
      </c>
      <c r="AA33" s="28" t="s">
        <v>17</v>
      </c>
      <c r="AB33" s="28" t="s">
        <v>18</v>
      </c>
      <c r="AC33" s="28">
        <v>11</v>
      </c>
      <c r="AD33" s="37" t="s">
        <v>1075</v>
      </c>
      <c r="AE33" s="28" t="s">
        <v>1076</v>
      </c>
      <c r="AF33" s="28" t="s">
        <v>11</v>
      </c>
      <c r="AG33" s="38">
        <v>4.5</v>
      </c>
      <c r="AL33" s="37"/>
      <c r="AO33" s="38"/>
      <c r="AP33" s="37"/>
      <c r="AS33" s="38"/>
      <c r="AW33" s="38"/>
      <c r="BA33" s="39"/>
    </row>
    <row r="34" spans="1:53" s="28" customFormat="1" x14ac:dyDescent="0.15">
      <c r="A34" s="28">
        <v>2003</v>
      </c>
      <c r="B34" s="275"/>
      <c r="C34" s="394" t="s">
        <v>1059</v>
      </c>
      <c r="D34" s="394"/>
      <c r="E34" s="28">
        <v>159</v>
      </c>
      <c r="G34" s="65">
        <v>3</v>
      </c>
      <c r="H34" s="28">
        <v>3</v>
      </c>
      <c r="I34" s="28">
        <v>11</v>
      </c>
      <c r="J34" s="72">
        <v>17</v>
      </c>
      <c r="K34" s="46">
        <f t="shared" si="0"/>
        <v>17.647058823529413</v>
      </c>
      <c r="L34" s="46">
        <f t="shared" si="1"/>
        <v>17.647058823529413</v>
      </c>
      <c r="M34" s="46">
        <f t="shared" si="2"/>
        <v>64.705882352941174</v>
      </c>
      <c r="N34" s="67">
        <f t="shared" si="3"/>
        <v>100</v>
      </c>
      <c r="O34" s="45">
        <v>4.5</v>
      </c>
      <c r="P34" s="46">
        <v>11</v>
      </c>
      <c r="Q34" s="46">
        <v>35</v>
      </c>
      <c r="R34" s="47">
        <f t="shared" si="4"/>
        <v>50.5</v>
      </c>
      <c r="S34" s="28">
        <v>2</v>
      </c>
      <c r="T34" s="284"/>
      <c r="U34" s="293"/>
      <c r="V34" s="37" t="s">
        <v>1074</v>
      </c>
      <c r="W34" s="28" t="s">
        <v>20</v>
      </c>
      <c r="X34" s="28" t="s">
        <v>12</v>
      </c>
      <c r="Y34" s="38">
        <v>35</v>
      </c>
      <c r="Z34" s="28" t="s">
        <v>1071</v>
      </c>
      <c r="AA34" s="28" t="s">
        <v>17</v>
      </c>
      <c r="AB34" s="28" t="s">
        <v>18</v>
      </c>
      <c r="AC34" s="28">
        <v>11</v>
      </c>
      <c r="AD34" s="37" t="s">
        <v>1075</v>
      </c>
      <c r="AE34" s="28" t="s">
        <v>1076</v>
      </c>
      <c r="AF34" s="28" t="s">
        <v>11</v>
      </c>
      <c r="AG34" s="38">
        <v>4.5</v>
      </c>
      <c r="AL34" s="37"/>
      <c r="AO34" s="38"/>
      <c r="AP34" s="37"/>
      <c r="AS34" s="38"/>
      <c r="AW34" s="38"/>
      <c r="BA34" s="39"/>
    </row>
    <row r="35" spans="1:53" s="28" customFormat="1" x14ac:dyDescent="0.15">
      <c r="A35" s="28">
        <v>2003</v>
      </c>
      <c r="B35" s="301">
        <v>37781</v>
      </c>
      <c r="C35" s="394" t="s">
        <v>1059</v>
      </c>
      <c r="D35" s="394"/>
      <c r="E35" s="28">
        <v>99</v>
      </c>
      <c r="F35" s="83">
        <v>0</v>
      </c>
      <c r="G35" s="65">
        <v>3</v>
      </c>
      <c r="H35" s="28">
        <v>3</v>
      </c>
      <c r="I35" s="28">
        <v>10</v>
      </c>
      <c r="J35" s="72">
        <v>17</v>
      </c>
      <c r="K35" s="46">
        <f>G35/J35*100</f>
        <v>17.647058823529413</v>
      </c>
      <c r="L35" s="46">
        <f>H35/J35*100</f>
        <v>17.647058823529413</v>
      </c>
      <c r="M35" s="46">
        <f>I35/J35*100</f>
        <v>58.82352941176471</v>
      </c>
      <c r="N35" s="67">
        <f>SUM(K35:M35)</f>
        <v>94.117647058823536</v>
      </c>
      <c r="O35" s="45">
        <v>4.5</v>
      </c>
      <c r="P35" s="46">
        <v>11</v>
      </c>
      <c r="Q35" s="46">
        <v>35</v>
      </c>
      <c r="R35" s="47">
        <f>SUM(O35:Q35)</f>
        <v>50.5</v>
      </c>
      <c r="S35" s="28">
        <v>2</v>
      </c>
      <c r="T35" s="284"/>
      <c r="U35" s="293"/>
      <c r="V35" s="37" t="s">
        <v>1074</v>
      </c>
      <c r="W35" s="28" t="s">
        <v>20</v>
      </c>
      <c r="X35" s="28" t="s">
        <v>12</v>
      </c>
      <c r="Y35" s="38">
        <v>35</v>
      </c>
      <c r="Z35" s="28" t="s">
        <v>1071</v>
      </c>
      <c r="AA35" s="28" t="s">
        <v>17</v>
      </c>
      <c r="AB35" s="28" t="s">
        <v>18</v>
      </c>
      <c r="AC35" s="28">
        <v>11</v>
      </c>
      <c r="AD35" s="37" t="s">
        <v>1075</v>
      </c>
      <c r="AE35" s="28" t="s">
        <v>1076</v>
      </c>
      <c r="AF35" s="28" t="s">
        <v>11</v>
      </c>
      <c r="AG35" s="38">
        <v>4.5</v>
      </c>
      <c r="AL35" s="37"/>
      <c r="AO35" s="38"/>
      <c r="AP35" s="37"/>
      <c r="AS35" s="38"/>
      <c r="AW35" s="38"/>
      <c r="BA35" s="39"/>
    </row>
    <row r="36" spans="1:53" s="28" customFormat="1" x14ac:dyDescent="0.15">
      <c r="A36" s="28">
        <v>2003</v>
      </c>
      <c r="B36" s="301">
        <v>37880</v>
      </c>
      <c r="C36" s="394" t="s">
        <v>1059</v>
      </c>
      <c r="D36" s="394"/>
      <c r="E36" s="28">
        <v>107</v>
      </c>
      <c r="F36" s="83">
        <v>0</v>
      </c>
      <c r="G36" s="65">
        <v>3</v>
      </c>
      <c r="H36" s="28">
        <v>3</v>
      </c>
      <c r="I36" s="28">
        <v>9</v>
      </c>
      <c r="J36" s="72">
        <v>17</v>
      </c>
      <c r="K36" s="46">
        <f t="shared" si="0"/>
        <v>17.647058823529413</v>
      </c>
      <c r="L36" s="46">
        <f t="shared" si="1"/>
        <v>17.647058823529413</v>
      </c>
      <c r="M36" s="46">
        <f t="shared" si="2"/>
        <v>52.941176470588239</v>
      </c>
      <c r="N36" s="67">
        <f t="shared" si="3"/>
        <v>88.235294117647072</v>
      </c>
      <c r="O36" s="45">
        <v>4.5</v>
      </c>
      <c r="P36" s="46">
        <v>11</v>
      </c>
      <c r="Q36" s="46">
        <v>35</v>
      </c>
      <c r="R36" s="47">
        <f t="shared" si="4"/>
        <v>50.5</v>
      </c>
      <c r="S36" s="28">
        <v>2</v>
      </c>
      <c r="T36" s="284"/>
      <c r="U36" s="293"/>
      <c r="V36" s="37" t="s">
        <v>1074</v>
      </c>
      <c r="W36" s="28" t="s">
        <v>20</v>
      </c>
      <c r="X36" s="28" t="s">
        <v>12</v>
      </c>
      <c r="Y36" s="38">
        <v>35</v>
      </c>
      <c r="Z36" s="28" t="s">
        <v>1071</v>
      </c>
      <c r="AA36" s="28" t="s">
        <v>17</v>
      </c>
      <c r="AB36" s="28" t="s">
        <v>18</v>
      </c>
      <c r="AC36" s="28">
        <v>11</v>
      </c>
      <c r="AD36" s="37" t="s">
        <v>1075</v>
      </c>
      <c r="AE36" s="28" t="s">
        <v>1076</v>
      </c>
      <c r="AF36" s="28" t="s">
        <v>11</v>
      </c>
      <c r="AG36" s="38">
        <v>4.5</v>
      </c>
      <c r="AL36" s="37"/>
      <c r="AO36" s="38"/>
      <c r="AP36" s="37"/>
      <c r="AS36" s="38"/>
      <c r="AW36" s="38"/>
      <c r="BA36" s="39"/>
    </row>
    <row r="37" spans="1:53" s="28" customFormat="1" x14ac:dyDescent="0.15">
      <c r="A37" s="28">
        <v>2004</v>
      </c>
      <c r="B37" s="275"/>
      <c r="C37" s="394" t="s">
        <v>1059</v>
      </c>
      <c r="D37" s="394"/>
      <c r="E37" s="28">
        <v>216</v>
      </c>
      <c r="G37" s="65">
        <v>3</v>
      </c>
      <c r="H37" s="28">
        <v>3</v>
      </c>
      <c r="I37" s="28">
        <v>9</v>
      </c>
      <c r="J37" s="72">
        <v>17</v>
      </c>
      <c r="K37" s="46">
        <f t="shared" si="0"/>
        <v>17.647058823529413</v>
      </c>
      <c r="L37" s="46">
        <f t="shared" si="1"/>
        <v>17.647058823529413</v>
      </c>
      <c r="M37" s="46">
        <f t="shared" si="2"/>
        <v>52.941176470588239</v>
      </c>
      <c r="N37" s="67">
        <f t="shared" si="3"/>
        <v>88.235294117647072</v>
      </c>
      <c r="O37" s="45">
        <v>4.5</v>
      </c>
      <c r="P37" s="46">
        <v>11</v>
      </c>
      <c r="Q37" s="46">
        <v>35</v>
      </c>
      <c r="R37" s="47">
        <f t="shared" si="4"/>
        <v>50.5</v>
      </c>
      <c r="S37" s="28">
        <v>2</v>
      </c>
      <c r="T37" s="284"/>
      <c r="U37" s="293"/>
      <c r="V37" s="37" t="s">
        <v>1074</v>
      </c>
      <c r="W37" s="28" t="s">
        <v>20</v>
      </c>
      <c r="X37" s="28" t="s">
        <v>12</v>
      </c>
      <c r="Y37" s="38">
        <v>35</v>
      </c>
      <c r="Z37" s="28" t="s">
        <v>1071</v>
      </c>
      <c r="AA37" s="28" t="s">
        <v>17</v>
      </c>
      <c r="AB37" s="28" t="s">
        <v>18</v>
      </c>
      <c r="AC37" s="28">
        <v>11</v>
      </c>
      <c r="AD37" s="37" t="s">
        <v>1075</v>
      </c>
      <c r="AE37" s="28" t="s">
        <v>1076</v>
      </c>
      <c r="AF37" s="28" t="s">
        <v>11</v>
      </c>
      <c r="AG37" s="38">
        <v>4.5</v>
      </c>
      <c r="AL37" s="37"/>
      <c r="AO37" s="38"/>
      <c r="AP37" s="37"/>
      <c r="AS37" s="38"/>
      <c r="AW37" s="38"/>
      <c r="BA37" s="39"/>
    </row>
    <row r="38" spans="1:53" s="170" customFormat="1" x14ac:dyDescent="0.15">
      <c r="A38" s="170">
        <v>2004</v>
      </c>
      <c r="B38" s="304">
        <v>38203</v>
      </c>
      <c r="C38" s="395" t="s">
        <v>1060</v>
      </c>
      <c r="D38" s="395"/>
      <c r="E38" s="170">
        <v>150</v>
      </c>
      <c r="F38" s="170">
        <v>2</v>
      </c>
      <c r="G38" s="232">
        <v>3</v>
      </c>
      <c r="H38" s="170">
        <v>3</v>
      </c>
      <c r="I38" s="170">
        <v>12</v>
      </c>
      <c r="J38" s="240">
        <v>18</v>
      </c>
      <c r="K38" s="213">
        <f t="shared" ref="K38:K52" si="5">G38/J38*100</f>
        <v>16.666666666666664</v>
      </c>
      <c r="L38" s="213">
        <f t="shared" ref="L38:L52" si="6">H38/J38*100</f>
        <v>16.666666666666664</v>
      </c>
      <c r="M38" s="213">
        <f t="shared" ref="M38:M52" si="7">I38/J38*100</f>
        <v>66.666666666666657</v>
      </c>
      <c r="N38" s="234">
        <f t="shared" ref="N38:N58" si="8">SUM(K38:M38)</f>
        <v>99.999999999999986</v>
      </c>
      <c r="O38" s="212">
        <v>4.5</v>
      </c>
      <c r="P38" s="213">
        <v>11</v>
      </c>
      <c r="Q38" s="213">
        <v>35</v>
      </c>
      <c r="R38" s="214">
        <f t="shared" si="4"/>
        <v>50.5</v>
      </c>
      <c r="S38" s="170">
        <v>2</v>
      </c>
      <c r="T38" s="283"/>
      <c r="U38" s="281">
        <v>38203</v>
      </c>
      <c r="V38" s="177" t="s">
        <v>1074</v>
      </c>
      <c r="W38" s="170" t="s">
        <v>20</v>
      </c>
      <c r="X38" s="170" t="s">
        <v>12</v>
      </c>
      <c r="Y38" s="178">
        <v>35</v>
      </c>
      <c r="Z38" s="170" t="s">
        <v>1071</v>
      </c>
      <c r="AA38" s="170" t="s">
        <v>17</v>
      </c>
      <c r="AB38" s="170" t="s">
        <v>18</v>
      </c>
      <c r="AC38" s="170">
        <v>11</v>
      </c>
      <c r="AD38" s="177" t="s">
        <v>1075</v>
      </c>
      <c r="AE38" s="170" t="s">
        <v>1076</v>
      </c>
      <c r="AF38" s="170" t="s">
        <v>11</v>
      </c>
      <c r="AG38" s="178">
        <v>4.5</v>
      </c>
      <c r="AL38" s="177"/>
      <c r="AO38" s="178"/>
      <c r="AP38" s="177"/>
      <c r="AS38" s="178"/>
      <c r="AW38" s="178"/>
      <c r="BA38" s="179"/>
    </row>
    <row r="39" spans="1:53" s="170" customFormat="1" x14ac:dyDescent="0.15">
      <c r="A39" s="170">
        <v>2005</v>
      </c>
      <c r="B39" s="304"/>
      <c r="C39" s="395" t="s">
        <v>1060</v>
      </c>
      <c r="D39" s="395"/>
      <c r="E39" s="170">
        <v>114</v>
      </c>
      <c r="G39" s="232">
        <v>3</v>
      </c>
      <c r="H39" s="170">
        <v>3</v>
      </c>
      <c r="I39" s="170">
        <v>12</v>
      </c>
      <c r="J39" s="240">
        <v>18</v>
      </c>
      <c r="K39" s="213">
        <f t="shared" si="5"/>
        <v>16.666666666666664</v>
      </c>
      <c r="L39" s="213">
        <f t="shared" si="6"/>
        <v>16.666666666666664</v>
      </c>
      <c r="M39" s="213">
        <f t="shared" si="7"/>
        <v>66.666666666666657</v>
      </c>
      <c r="N39" s="234">
        <f t="shared" si="8"/>
        <v>99.999999999999986</v>
      </c>
      <c r="O39" s="212">
        <v>4.5</v>
      </c>
      <c r="P39" s="213">
        <v>11</v>
      </c>
      <c r="Q39" s="213">
        <v>35</v>
      </c>
      <c r="R39" s="214">
        <f t="shared" si="4"/>
        <v>50.5</v>
      </c>
      <c r="S39" s="170">
        <v>2</v>
      </c>
      <c r="T39" s="283"/>
      <c r="U39" s="281"/>
      <c r="V39" s="177" t="s">
        <v>1074</v>
      </c>
      <c r="W39" s="170" t="s">
        <v>20</v>
      </c>
      <c r="X39" s="170" t="s">
        <v>12</v>
      </c>
      <c r="Y39" s="178">
        <v>35</v>
      </c>
      <c r="Z39" s="170" t="s">
        <v>1071</v>
      </c>
      <c r="AA39" s="170" t="s">
        <v>17</v>
      </c>
      <c r="AB39" s="170" t="s">
        <v>18</v>
      </c>
      <c r="AC39" s="170">
        <v>11</v>
      </c>
      <c r="AD39" s="177" t="s">
        <v>1075</v>
      </c>
      <c r="AE39" s="170" t="s">
        <v>1076</v>
      </c>
      <c r="AF39" s="170" t="s">
        <v>11</v>
      </c>
      <c r="AG39" s="178">
        <v>4.5</v>
      </c>
      <c r="AL39" s="177"/>
      <c r="AO39" s="178"/>
      <c r="AP39" s="177"/>
      <c r="AS39" s="178"/>
      <c r="AW39" s="178"/>
      <c r="BA39" s="179"/>
    </row>
    <row r="40" spans="1:53" s="28" customFormat="1" x14ac:dyDescent="0.15">
      <c r="A40" s="28">
        <v>2005</v>
      </c>
      <c r="B40" s="275">
        <v>38467</v>
      </c>
      <c r="C40" s="394" t="s">
        <v>1061</v>
      </c>
      <c r="D40" s="394"/>
      <c r="E40" s="28">
        <v>114</v>
      </c>
      <c r="F40" s="28">
        <v>2</v>
      </c>
      <c r="G40" s="65">
        <v>2</v>
      </c>
      <c r="H40" s="28">
        <v>3</v>
      </c>
      <c r="I40" s="28">
        <v>9</v>
      </c>
      <c r="J40" s="72">
        <v>18</v>
      </c>
      <c r="K40" s="46">
        <f>G40/J40*100</f>
        <v>11.111111111111111</v>
      </c>
      <c r="L40" s="46">
        <f>H40/J40*100</f>
        <v>16.666666666666664</v>
      </c>
      <c r="M40" s="46">
        <f>I40/J40*100</f>
        <v>50</v>
      </c>
      <c r="N40" s="67">
        <f>SUM(K40:M40)</f>
        <v>77.777777777777771</v>
      </c>
      <c r="O40" s="45">
        <v>4.5</v>
      </c>
      <c r="P40" s="46">
        <v>11</v>
      </c>
      <c r="Q40" s="46">
        <v>35</v>
      </c>
      <c r="R40" s="47">
        <f>SUM(O40:Q40)</f>
        <v>50.5</v>
      </c>
      <c r="S40" s="28">
        <v>2</v>
      </c>
      <c r="T40" s="284"/>
      <c r="U40" s="293">
        <v>38467</v>
      </c>
      <c r="V40" s="37" t="s">
        <v>1074</v>
      </c>
      <c r="W40" s="28" t="s">
        <v>20</v>
      </c>
      <c r="X40" s="28" t="s">
        <v>12</v>
      </c>
      <c r="Y40" s="38">
        <v>35</v>
      </c>
      <c r="Z40" s="28" t="s">
        <v>1071</v>
      </c>
      <c r="AA40" s="28" t="s">
        <v>17</v>
      </c>
      <c r="AB40" s="28" t="s">
        <v>18</v>
      </c>
      <c r="AC40" s="28">
        <v>11</v>
      </c>
      <c r="AD40" s="37" t="s">
        <v>1075</v>
      </c>
      <c r="AE40" s="28" t="s">
        <v>1076</v>
      </c>
      <c r="AF40" s="28" t="s">
        <v>11</v>
      </c>
      <c r="AG40" s="38">
        <v>4.5</v>
      </c>
      <c r="AL40" s="37"/>
      <c r="AO40" s="38"/>
      <c r="AP40" s="37"/>
      <c r="AS40" s="38"/>
      <c r="AW40" s="38"/>
      <c r="BA40" s="39"/>
    </row>
    <row r="41" spans="1:53" s="28" customFormat="1" x14ac:dyDescent="0.15">
      <c r="A41" s="28">
        <v>2005</v>
      </c>
      <c r="B41" s="301">
        <v>38581</v>
      </c>
      <c r="C41" s="394" t="s">
        <v>1061</v>
      </c>
      <c r="D41" s="394"/>
      <c r="E41" s="28">
        <v>79</v>
      </c>
      <c r="F41" s="83">
        <v>0</v>
      </c>
      <c r="G41" s="65">
        <v>2</v>
      </c>
      <c r="H41" s="28">
        <v>3</v>
      </c>
      <c r="I41" s="28">
        <v>8</v>
      </c>
      <c r="J41" s="72">
        <v>18</v>
      </c>
      <c r="K41" s="46">
        <f>G41/J41*100</f>
        <v>11.111111111111111</v>
      </c>
      <c r="L41" s="46">
        <f>H41/J41*100</f>
        <v>16.666666666666664</v>
      </c>
      <c r="M41" s="46">
        <f>I41/J41*100</f>
        <v>44.444444444444443</v>
      </c>
      <c r="N41" s="67">
        <f>SUM(K41:M41)</f>
        <v>72.222222222222214</v>
      </c>
      <c r="O41" s="45">
        <v>4.5</v>
      </c>
      <c r="P41" s="46">
        <v>11</v>
      </c>
      <c r="Q41" s="46">
        <v>35</v>
      </c>
      <c r="R41" s="47">
        <f>SUM(O41:Q41)</f>
        <v>50.5</v>
      </c>
      <c r="S41" s="28">
        <v>2</v>
      </c>
      <c r="T41" s="284"/>
      <c r="U41" s="293"/>
      <c r="V41" s="37" t="s">
        <v>1074</v>
      </c>
      <c r="W41" s="28" t="s">
        <v>20</v>
      </c>
      <c r="X41" s="28" t="s">
        <v>12</v>
      </c>
      <c r="Y41" s="38">
        <v>35</v>
      </c>
      <c r="Z41" s="28" t="s">
        <v>1071</v>
      </c>
      <c r="AA41" s="28" t="s">
        <v>17</v>
      </c>
      <c r="AB41" s="28" t="s">
        <v>18</v>
      </c>
      <c r="AC41" s="28">
        <v>11</v>
      </c>
      <c r="AD41" s="37" t="s">
        <v>1075</v>
      </c>
      <c r="AE41" s="28" t="s">
        <v>1076</v>
      </c>
      <c r="AF41" s="28" t="s">
        <v>11</v>
      </c>
      <c r="AG41" s="38">
        <v>4.5</v>
      </c>
      <c r="AL41" s="37"/>
      <c r="AO41" s="38"/>
      <c r="AP41" s="37"/>
      <c r="AS41" s="38"/>
      <c r="AW41" s="38"/>
      <c r="BA41" s="39"/>
    </row>
    <row r="42" spans="1:53" s="28" customFormat="1" x14ac:dyDescent="0.15">
      <c r="A42" s="28">
        <v>2005</v>
      </c>
      <c r="B42" s="301">
        <v>38660</v>
      </c>
      <c r="C42" s="394" t="s">
        <v>1061</v>
      </c>
      <c r="D42" s="394"/>
      <c r="E42" s="28">
        <v>58</v>
      </c>
      <c r="F42" s="83">
        <v>0</v>
      </c>
      <c r="G42" s="65">
        <v>2</v>
      </c>
      <c r="H42" s="28">
        <v>3</v>
      </c>
      <c r="I42" s="28">
        <v>7</v>
      </c>
      <c r="J42" s="72">
        <v>18</v>
      </c>
      <c r="K42" s="46">
        <f t="shared" si="5"/>
        <v>11.111111111111111</v>
      </c>
      <c r="L42" s="46">
        <f t="shared" si="6"/>
        <v>16.666666666666664</v>
      </c>
      <c r="M42" s="46">
        <f t="shared" si="7"/>
        <v>38.888888888888893</v>
      </c>
      <c r="N42" s="67">
        <f t="shared" si="8"/>
        <v>66.666666666666671</v>
      </c>
      <c r="O42" s="45">
        <v>4.5</v>
      </c>
      <c r="P42" s="46">
        <v>11</v>
      </c>
      <c r="Q42" s="46">
        <v>35</v>
      </c>
      <c r="R42" s="47">
        <f t="shared" si="4"/>
        <v>50.5</v>
      </c>
      <c r="S42" s="28">
        <v>2</v>
      </c>
      <c r="T42" s="284"/>
      <c r="U42" s="293"/>
      <c r="V42" s="37" t="s">
        <v>1074</v>
      </c>
      <c r="W42" s="28" t="s">
        <v>20</v>
      </c>
      <c r="X42" s="28" t="s">
        <v>12</v>
      </c>
      <c r="Y42" s="38">
        <v>35</v>
      </c>
      <c r="Z42" s="28" t="s">
        <v>1071</v>
      </c>
      <c r="AA42" s="28" t="s">
        <v>17</v>
      </c>
      <c r="AB42" s="28" t="s">
        <v>18</v>
      </c>
      <c r="AC42" s="28">
        <v>11</v>
      </c>
      <c r="AD42" s="37" t="s">
        <v>1075</v>
      </c>
      <c r="AE42" s="28" t="s">
        <v>1076</v>
      </c>
      <c r="AF42" s="28" t="s">
        <v>11</v>
      </c>
      <c r="AG42" s="38">
        <v>4.5</v>
      </c>
      <c r="AL42" s="37"/>
      <c r="AO42" s="38"/>
      <c r="AP42" s="37"/>
      <c r="AS42" s="38"/>
      <c r="AW42" s="38"/>
      <c r="BA42" s="39"/>
    </row>
    <row r="43" spans="1:53" s="28" customFormat="1" x14ac:dyDescent="0.15">
      <c r="A43" s="28">
        <v>2006</v>
      </c>
      <c r="B43" s="275"/>
      <c r="C43" s="394" t="s">
        <v>1061</v>
      </c>
      <c r="D43" s="394"/>
      <c r="E43" s="28">
        <v>246</v>
      </c>
      <c r="G43" s="65">
        <v>2</v>
      </c>
      <c r="H43" s="28">
        <v>3</v>
      </c>
      <c r="I43" s="28">
        <v>7</v>
      </c>
      <c r="J43" s="72">
        <v>17</v>
      </c>
      <c r="K43" s="46">
        <f t="shared" si="5"/>
        <v>11.76470588235294</v>
      </c>
      <c r="L43" s="46">
        <f t="shared" si="6"/>
        <v>17.647058823529413</v>
      </c>
      <c r="M43" s="46">
        <f t="shared" si="7"/>
        <v>41.17647058823529</v>
      </c>
      <c r="N43" s="67">
        <f t="shared" si="8"/>
        <v>70.588235294117652</v>
      </c>
      <c r="O43" s="45">
        <v>4.5</v>
      </c>
      <c r="P43" s="46">
        <v>11</v>
      </c>
      <c r="Q43" s="46">
        <v>35</v>
      </c>
      <c r="R43" s="47">
        <f t="shared" si="4"/>
        <v>50.5</v>
      </c>
      <c r="S43" s="28">
        <v>2</v>
      </c>
      <c r="T43" s="284"/>
      <c r="U43" s="293"/>
      <c r="V43" s="37" t="s">
        <v>1074</v>
      </c>
      <c r="W43" s="28" t="s">
        <v>20</v>
      </c>
      <c r="X43" s="28" t="s">
        <v>12</v>
      </c>
      <c r="Y43" s="38">
        <v>35</v>
      </c>
      <c r="Z43" s="28" t="s">
        <v>1071</v>
      </c>
      <c r="AA43" s="28" t="s">
        <v>17</v>
      </c>
      <c r="AB43" s="28" t="s">
        <v>18</v>
      </c>
      <c r="AC43" s="28">
        <v>11</v>
      </c>
      <c r="AD43" s="37" t="s">
        <v>1075</v>
      </c>
      <c r="AE43" s="28" t="s">
        <v>1076</v>
      </c>
      <c r="AF43" s="28" t="s">
        <v>11</v>
      </c>
      <c r="AG43" s="38">
        <v>4.5</v>
      </c>
      <c r="AL43" s="37"/>
      <c r="AO43" s="38"/>
      <c r="AP43" s="37"/>
      <c r="AS43" s="38"/>
      <c r="AW43" s="38"/>
      <c r="BA43" s="39"/>
    </row>
    <row r="44" spans="1:53" s="170" customFormat="1" x14ac:dyDescent="0.15">
      <c r="A44" s="170">
        <v>2006</v>
      </c>
      <c r="B44" s="304">
        <v>38964</v>
      </c>
      <c r="C44" s="395" t="s">
        <v>1062</v>
      </c>
      <c r="D44" s="395"/>
      <c r="E44" s="170">
        <v>119</v>
      </c>
      <c r="F44" s="170">
        <v>1</v>
      </c>
      <c r="G44" s="232">
        <v>9</v>
      </c>
      <c r="J44" s="240">
        <v>15</v>
      </c>
      <c r="K44" s="213">
        <f t="shared" si="5"/>
        <v>60</v>
      </c>
      <c r="L44" s="213">
        <f t="shared" si="6"/>
        <v>0</v>
      </c>
      <c r="M44" s="213">
        <f t="shared" si="7"/>
        <v>0</v>
      </c>
      <c r="N44" s="234">
        <f t="shared" si="8"/>
        <v>60</v>
      </c>
      <c r="O44" s="212">
        <v>40.5</v>
      </c>
      <c r="P44" s="213"/>
      <c r="Q44" s="213"/>
      <c r="R44" s="214">
        <f t="shared" si="4"/>
        <v>40.5</v>
      </c>
      <c r="S44" s="170">
        <v>4</v>
      </c>
      <c r="T44" s="283">
        <v>38870</v>
      </c>
      <c r="U44" s="281">
        <v>38964</v>
      </c>
      <c r="V44" s="177" t="s">
        <v>1072</v>
      </c>
      <c r="W44" s="170" t="s">
        <v>74</v>
      </c>
      <c r="X44" s="170" t="s">
        <v>11</v>
      </c>
      <c r="Y44" s="178">
        <v>40.5</v>
      </c>
      <c r="AD44" s="177"/>
      <c r="AG44" s="178"/>
      <c r="AL44" s="177"/>
      <c r="AO44" s="178"/>
      <c r="AP44" s="177"/>
      <c r="AS44" s="178"/>
      <c r="AW44" s="178"/>
      <c r="BA44" s="179"/>
    </row>
    <row r="45" spans="1:53" s="170" customFormat="1" x14ac:dyDescent="0.15">
      <c r="A45" s="170">
        <v>2007</v>
      </c>
      <c r="B45" s="304"/>
      <c r="C45" s="395" t="s">
        <v>1062</v>
      </c>
      <c r="D45" s="395"/>
      <c r="E45" s="170">
        <v>8</v>
      </c>
      <c r="G45" s="232">
        <v>9</v>
      </c>
      <c r="J45" s="240">
        <v>15</v>
      </c>
      <c r="K45" s="213">
        <f t="shared" si="5"/>
        <v>60</v>
      </c>
      <c r="L45" s="213">
        <f t="shared" si="6"/>
        <v>0</v>
      </c>
      <c r="M45" s="213">
        <f t="shared" si="7"/>
        <v>0</v>
      </c>
      <c r="N45" s="234">
        <f t="shared" si="8"/>
        <v>60</v>
      </c>
      <c r="O45" s="212">
        <v>40.5</v>
      </c>
      <c r="P45" s="213"/>
      <c r="Q45" s="213"/>
      <c r="R45" s="214">
        <f t="shared" si="4"/>
        <v>40.5</v>
      </c>
      <c r="S45" s="170">
        <v>4</v>
      </c>
      <c r="T45" s="283"/>
      <c r="U45" s="281"/>
      <c r="V45" s="177" t="s">
        <v>1072</v>
      </c>
      <c r="W45" s="170" t="s">
        <v>74</v>
      </c>
      <c r="X45" s="170" t="s">
        <v>11</v>
      </c>
      <c r="Y45" s="178">
        <v>40.5</v>
      </c>
      <c r="AD45" s="177"/>
      <c r="AG45" s="178"/>
      <c r="AL45" s="177"/>
      <c r="AO45" s="178"/>
      <c r="AP45" s="177"/>
      <c r="AS45" s="178"/>
      <c r="AW45" s="178"/>
      <c r="BA45" s="179"/>
    </row>
    <row r="46" spans="1:53" s="28" customFormat="1" x14ac:dyDescent="0.15">
      <c r="A46" s="28">
        <v>2007</v>
      </c>
      <c r="B46" s="275">
        <v>39091</v>
      </c>
      <c r="C46" s="394" t="s">
        <v>1063</v>
      </c>
      <c r="D46" s="394"/>
      <c r="E46" s="28">
        <v>357</v>
      </c>
      <c r="F46" s="28">
        <v>5</v>
      </c>
      <c r="G46" s="65">
        <v>9</v>
      </c>
      <c r="H46" s="28">
        <v>4</v>
      </c>
      <c r="I46" s="28">
        <v>3</v>
      </c>
      <c r="J46" s="72">
        <v>18</v>
      </c>
      <c r="K46" s="46">
        <f t="shared" si="5"/>
        <v>50</v>
      </c>
      <c r="L46" s="46">
        <f t="shared" si="6"/>
        <v>22.222222222222221</v>
      </c>
      <c r="M46" s="46">
        <f t="shared" si="7"/>
        <v>16.666666666666664</v>
      </c>
      <c r="N46" s="67">
        <f t="shared" si="8"/>
        <v>88.888888888888886</v>
      </c>
      <c r="O46" s="45">
        <v>40.5</v>
      </c>
      <c r="P46" s="46">
        <v>6.5</v>
      </c>
      <c r="Q46" s="46">
        <v>3</v>
      </c>
      <c r="R46" s="47">
        <f t="shared" si="4"/>
        <v>50</v>
      </c>
      <c r="S46" s="28">
        <v>5</v>
      </c>
      <c r="T46" s="284"/>
      <c r="U46" s="293">
        <v>39091</v>
      </c>
      <c r="V46" s="37" t="s">
        <v>1072</v>
      </c>
      <c r="W46" s="28" t="s">
        <v>74</v>
      </c>
      <c r="X46" s="28" t="s">
        <v>11</v>
      </c>
      <c r="Y46" s="38">
        <v>40.5</v>
      </c>
      <c r="Z46" s="28" t="s">
        <v>1071</v>
      </c>
      <c r="AA46" s="28" t="s">
        <v>17</v>
      </c>
      <c r="AB46" s="28" t="s">
        <v>18</v>
      </c>
      <c r="AC46" s="28">
        <v>6.5</v>
      </c>
      <c r="AD46" s="37" t="s">
        <v>1077</v>
      </c>
      <c r="AE46" s="28" t="s">
        <v>216</v>
      </c>
      <c r="AF46" s="28" t="s">
        <v>12</v>
      </c>
      <c r="AG46" s="38">
        <v>3</v>
      </c>
      <c r="AL46" s="37"/>
      <c r="AO46" s="38"/>
      <c r="AP46" s="37"/>
      <c r="AS46" s="38"/>
      <c r="AW46" s="38"/>
      <c r="BA46" s="39"/>
    </row>
    <row r="47" spans="1:53" s="28" customFormat="1" x14ac:dyDescent="0.15">
      <c r="A47" s="28">
        <v>2008</v>
      </c>
      <c r="B47" s="275"/>
      <c r="C47" s="394" t="s">
        <v>1063</v>
      </c>
      <c r="D47" s="394"/>
      <c r="E47" s="28">
        <v>0</v>
      </c>
      <c r="G47" s="65">
        <v>9</v>
      </c>
      <c r="H47" s="28">
        <v>4</v>
      </c>
      <c r="I47" s="28">
        <v>3</v>
      </c>
      <c r="J47" s="72">
        <v>18</v>
      </c>
      <c r="K47" s="46">
        <f t="shared" si="5"/>
        <v>50</v>
      </c>
      <c r="L47" s="46">
        <f t="shared" si="6"/>
        <v>22.222222222222221</v>
      </c>
      <c r="M47" s="46">
        <f t="shared" si="7"/>
        <v>16.666666666666664</v>
      </c>
      <c r="N47" s="67">
        <f t="shared" si="8"/>
        <v>88.888888888888886</v>
      </c>
      <c r="O47" s="45">
        <v>40.5</v>
      </c>
      <c r="P47" s="46">
        <v>6.5</v>
      </c>
      <c r="Q47" s="46">
        <v>3</v>
      </c>
      <c r="R47" s="47">
        <f t="shared" si="4"/>
        <v>50</v>
      </c>
      <c r="S47" s="28">
        <v>5</v>
      </c>
      <c r="T47" s="284"/>
      <c r="U47" s="293"/>
      <c r="V47" s="37" t="s">
        <v>1072</v>
      </c>
      <c r="W47" s="28" t="s">
        <v>74</v>
      </c>
      <c r="X47" s="28" t="s">
        <v>11</v>
      </c>
      <c r="Y47" s="38">
        <v>40.5</v>
      </c>
      <c r="Z47" s="28" t="s">
        <v>1071</v>
      </c>
      <c r="AA47" s="28" t="s">
        <v>17</v>
      </c>
      <c r="AB47" s="28" t="s">
        <v>18</v>
      </c>
      <c r="AC47" s="28">
        <v>6.5</v>
      </c>
      <c r="AD47" s="37" t="s">
        <v>1077</v>
      </c>
      <c r="AE47" s="28" t="s">
        <v>216</v>
      </c>
      <c r="AF47" s="28" t="s">
        <v>12</v>
      </c>
      <c r="AG47" s="38">
        <v>3</v>
      </c>
      <c r="AL47" s="37"/>
      <c r="AO47" s="38"/>
      <c r="AP47" s="37"/>
      <c r="AS47" s="38"/>
      <c r="AW47" s="38"/>
      <c r="BA47" s="39"/>
    </row>
    <row r="48" spans="1:53" s="28" customFormat="1" x14ac:dyDescent="0.15">
      <c r="A48" s="28">
        <v>2008</v>
      </c>
      <c r="B48" s="275"/>
      <c r="C48" s="394" t="s">
        <v>1063</v>
      </c>
      <c r="D48" s="394"/>
      <c r="E48" s="28">
        <v>366</v>
      </c>
      <c r="G48" s="65">
        <v>9</v>
      </c>
      <c r="H48" s="28">
        <v>4</v>
      </c>
      <c r="I48" s="28">
        <v>3</v>
      </c>
      <c r="J48" s="72">
        <v>18</v>
      </c>
      <c r="K48" s="46">
        <f t="shared" si="5"/>
        <v>50</v>
      </c>
      <c r="L48" s="46">
        <f t="shared" si="6"/>
        <v>22.222222222222221</v>
      </c>
      <c r="M48" s="46">
        <f t="shared" si="7"/>
        <v>16.666666666666664</v>
      </c>
      <c r="N48" s="67">
        <f t="shared" si="8"/>
        <v>88.888888888888886</v>
      </c>
      <c r="O48" s="45">
        <v>40.5</v>
      </c>
      <c r="P48" s="46">
        <v>6.5</v>
      </c>
      <c r="Q48" s="46">
        <v>3</v>
      </c>
      <c r="R48" s="47">
        <f t="shared" si="4"/>
        <v>50</v>
      </c>
      <c r="S48" s="28">
        <v>5</v>
      </c>
      <c r="T48" s="284"/>
      <c r="U48" s="293"/>
      <c r="V48" s="37" t="s">
        <v>1072</v>
      </c>
      <c r="W48" s="28" t="s">
        <v>74</v>
      </c>
      <c r="X48" s="28" t="s">
        <v>11</v>
      </c>
      <c r="Y48" s="38">
        <v>40.5</v>
      </c>
      <c r="Z48" s="28" t="s">
        <v>1071</v>
      </c>
      <c r="AA48" s="28" t="s">
        <v>17</v>
      </c>
      <c r="AB48" s="28" t="s">
        <v>18</v>
      </c>
      <c r="AC48" s="28">
        <v>6.5</v>
      </c>
      <c r="AD48" s="37" t="s">
        <v>1077</v>
      </c>
      <c r="AE48" s="28" t="s">
        <v>216</v>
      </c>
      <c r="AF48" s="28" t="s">
        <v>12</v>
      </c>
      <c r="AG48" s="38">
        <v>3</v>
      </c>
      <c r="AL48" s="37"/>
      <c r="AO48" s="38"/>
      <c r="AP48" s="37"/>
      <c r="AS48" s="38"/>
      <c r="AW48" s="38"/>
      <c r="BA48" s="39"/>
    </row>
    <row r="49" spans="1:53" s="28" customFormat="1" x14ac:dyDescent="0.15">
      <c r="A49" s="28">
        <v>2009</v>
      </c>
      <c r="B49" s="275"/>
      <c r="C49" s="394" t="s">
        <v>1063</v>
      </c>
      <c r="D49" s="394"/>
      <c r="E49" s="28">
        <v>127</v>
      </c>
      <c r="G49" s="65">
        <v>9</v>
      </c>
      <c r="H49" s="28">
        <v>4</v>
      </c>
      <c r="I49" s="28">
        <v>3</v>
      </c>
      <c r="J49" s="72">
        <v>18</v>
      </c>
      <c r="K49" s="46">
        <f t="shared" si="5"/>
        <v>50</v>
      </c>
      <c r="L49" s="46">
        <f t="shared" si="6"/>
        <v>22.222222222222221</v>
      </c>
      <c r="M49" s="46">
        <f t="shared" si="7"/>
        <v>16.666666666666664</v>
      </c>
      <c r="N49" s="67">
        <f t="shared" si="8"/>
        <v>88.888888888888886</v>
      </c>
      <c r="O49" s="45">
        <v>40.5</v>
      </c>
      <c r="P49" s="46">
        <v>6.5</v>
      </c>
      <c r="Q49" s="46">
        <v>3</v>
      </c>
      <c r="R49" s="47">
        <f t="shared" si="4"/>
        <v>50</v>
      </c>
      <c r="S49" s="28">
        <v>5</v>
      </c>
      <c r="T49" s="284"/>
      <c r="U49" s="293"/>
      <c r="V49" s="37" t="s">
        <v>1072</v>
      </c>
      <c r="W49" s="28" t="s">
        <v>74</v>
      </c>
      <c r="X49" s="28" t="s">
        <v>11</v>
      </c>
      <c r="Y49" s="38">
        <v>40.5</v>
      </c>
      <c r="Z49" s="28" t="s">
        <v>1071</v>
      </c>
      <c r="AA49" s="28" t="s">
        <v>17</v>
      </c>
      <c r="AB49" s="28" t="s">
        <v>18</v>
      </c>
      <c r="AC49" s="28">
        <v>6.5</v>
      </c>
      <c r="AD49" s="37" t="s">
        <v>1077</v>
      </c>
      <c r="AE49" s="28" t="s">
        <v>216</v>
      </c>
      <c r="AF49" s="28" t="s">
        <v>12</v>
      </c>
      <c r="AG49" s="38">
        <v>3</v>
      </c>
      <c r="AL49" s="37"/>
      <c r="AO49" s="38"/>
      <c r="AP49" s="37"/>
      <c r="AS49" s="38"/>
      <c r="AW49" s="38"/>
      <c r="BA49" s="39"/>
    </row>
    <row r="50" spans="1:53" s="170" customFormat="1" x14ac:dyDescent="0.15">
      <c r="A50" s="170">
        <v>2009</v>
      </c>
      <c r="B50" s="304">
        <v>39941</v>
      </c>
      <c r="C50" s="395" t="s">
        <v>1064</v>
      </c>
      <c r="D50" s="395"/>
      <c r="E50" s="170">
        <v>238</v>
      </c>
      <c r="F50" s="170">
        <v>5</v>
      </c>
      <c r="G50" s="232">
        <v>0</v>
      </c>
      <c r="H50" s="170">
        <v>0</v>
      </c>
      <c r="I50" s="170">
        <v>0</v>
      </c>
      <c r="J50" s="240">
        <v>18</v>
      </c>
      <c r="K50" s="213">
        <f t="shared" si="5"/>
        <v>0</v>
      </c>
      <c r="L50" s="213">
        <f t="shared" si="6"/>
        <v>0</v>
      </c>
      <c r="M50" s="213">
        <f t="shared" si="7"/>
        <v>0</v>
      </c>
      <c r="N50" s="234">
        <f t="shared" si="8"/>
        <v>0</v>
      </c>
      <c r="O50" s="212">
        <v>0</v>
      </c>
      <c r="P50" s="213">
        <v>0</v>
      </c>
      <c r="Q50" s="213">
        <v>0</v>
      </c>
      <c r="R50" s="214">
        <f t="shared" si="4"/>
        <v>0</v>
      </c>
      <c r="S50" s="170">
        <v>7</v>
      </c>
      <c r="T50" s="283"/>
      <c r="U50" s="281">
        <v>39941</v>
      </c>
      <c r="V50" s="241" t="s">
        <v>798</v>
      </c>
      <c r="Y50" s="178"/>
      <c r="AD50" s="177"/>
      <c r="AG50" s="178"/>
      <c r="AL50" s="177"/>
      <c r="AO50" s="178"/>
      <c r="AP50" s="177"/>
      <c r="AS50" s="178"/>
      <c r="AW50" s="178"/>
      <c r="BA50" s="179"/>
    </row>
    <row r="51" spans="1:53" s="170" customFormat="1" x14ac:dyDescent="0.15">
      <c r="A51" s="170">
        <v>2010</v>
      </c>
      <c r="B51" s="304"/>
      <c r="C51" s="395" t="s">
        <v>1064</v>
      </c>
      <c r="D51" s="395"/>
      <c r="E51" s="170">
        <v>193</v>
      </c>
      <c r="G51" s="232">
        <v>0</v>
      </c>
      <c r="H51" s="170">
        <v>0</v>
      </c>
      <c r="I51" s="170">
        <v>0</v>
      </c>
      <c r="J51" s="240">
        <v>18</v>
      </c>
      <c r="K51" s="213">
        <f t="shared" si="5"/>
        <v>0</v>
      </c>
      <c r="L51" s="213">
        <f t="shared" si="6"/>
        <v>0</v>
      </c>
      <c r="M51" s="213">
        <f t="shared" si="7"/>
        <v>0</v>
      </c>
      <c r="N51" s="234">
        <f t="shared" si="8"/>
        <v>0</v>
      </c>
      <c r="O51" s="212">
        <v>0</v>
      </c>
      <c r="P51" s="213">
        <v>0</v>
      </c>
      <c r="Q51" s="213">
        <v>0</v>
      </c>
      <c r="R51" s="214">
        <f t="shared" si="4"/>
        <v>0</v>
      </c>
      <c r="S51" s="170">
        <v>7</v>
      </c>
      <c r="T51" s="283"/>
      <c r="U51" s="281"/>
      <c r="V51" s="241" t="s">
        <v>798</v>
      </c>
      <c r="Y51" s="178"/>
      <c r="AD51" s="177"/>
      <c r="AG51" s="178"/>
      <c r="AL51" s="177"/>
      <c r="AO51" s="178"/>
      <c r="AP51" s="177"/>
      <c r="AS51" s="178"/>
      <c r="AW51" s="178"/>
      <c r="BA51" s="179"/>
    </row>
    <row r="52" spans="1:53" s="28" customFormat="1" x14ac:dyDescent="0.15">
      <c r="A52" s="28">
        <v>2010</v>
      </c>
      <c r="B52" s="275">
        <v>40372</v>
      </c>
      <c r="C52" s="394" t="s">
        <v>1065</v>
      </c>
      <c r="D52" s="394"/>
      <c r="E52" s="28">
        <v>172</v>
      </c>
      <c r="F52" s="28">
        <v>1</v>
      </c>
      <c r="G52" s="65">
        <v>14</v>
      </c>
      <c r="J52" s="72">
        <v>15</v>
      </c>
      <c r="K52" s="46">
        <f t="shared" si="5"/>
        <v>93.333333333333329</v>
      </c>
      <c r="L52" s="46">
        <f t="shared" si="6"/>
        <v>0</v>
      </c>
      <c r="M52" s="46">
        <f t="shared" si="7"/>
        <v>0</v>
      </c>
      <c r="N52" s="67">
        <f t="shared" si="8"/>
        <v>93.333333333333329</v>
      </c>
      <c r="O52" s="45">
        <v>59</v>
      </c>
      <c r="P52" s="46"/>
      <c r="Q52" s="46"/>
      <c r="R52" s="47">
        <f t="shared" si="4"/>
        <v>59</v>
      </c>
      <c r="S52" s="28">
        <v>2</v>
      </c>
      <c r="T52" s="284">
        <v>40327</v>
      </c>
      <c r="U52" s="293">
        <v>40372</v>
      </c>
      <c r="V52" s="37" t="s">
        <v>1072</v>
      </c>
      <c r="W52" s="28" t="s">
        <v>74</v>
      </c>
      <c r="X52" s="28" t="s">
        <v>11</v>
      </c>
      <c r="Y52" s="38">
        <v>26.5</v>
      </c>
      <c r="Z52" s="28" t="s">
        <v>1078</v>
      </c>
      <c r="AA52" s="28" t="s">
        <v>76</v>
      </c>
      <c r="AB52" s="28" t="s">
        <v>11</v>
      </c>
      <c r="AC52" s="28">
        <v>20.5</v>
      </c>
      <c r="AD52" s="37" t="s">
        <v>1079</v>
      </c>
      <c r="AE52" s="28" t="s">
        <v>78</v>
      </c>
      <c r="AF52" s="28" t="s">
        <v>11</v>
      </c>
      <c r="AG52" s="38">
        <v>12</v>
      </c>
      <c r="AL52" s="37"/>
      <c r="AO52" s="38"/>
      <c r="AP52" s="37"/>
      <c r="AS52" s="38"/>
      <c r="AW52" s="38"/>
      <c r="BA52" s="39"/>
    </row>
    <row r="53" spans="1:53" s="28" customFormat="1" x14ac:dyDescent="0.15">
      <c r="A53" s="28">
        <v>2011</v>
      </c>
      <c r="B53" s="275"/>
      <c r="C53" s="394" t="s">
        <v>1065</v>
      </c>
      <c r="D53" s="394"/>
      <c r="E53" s="28">
        <v>110</v>
      </c>
      <c r="G53" s="65">
        <v>14</v>
      </c>
      <c r="J53" s="72">
        <v>15</v>
      </c>
      <c r="K53" s="46">
        <f t="shared" ref="K53:K62" si="9">G53/J53*100</f>
        <v>93.333333333333329</v>
      </c>
      <c r="L53" s="46">
        <f t="shared" ref="L53:L62" si="10">H53/J53*100</f>
        <v>0</v>
      </c>
      <c r="M53" s="46">
        <f t="shared" ref="M53:M62" si="11">I53/J53*100</f>
        <v>0</v>
      </c>
      <c r="N53" s="67">
        <f t="shared" si="8"/>
        <v>93.333333333333329</v>
      </c>
      <c r="O53" s="45">
        <v>59</v>
      </c>
      <c r="P53" s="46"/>
      <c r="Q53" s="46"/>
      <c r="R53" s="47">
        <f t="shared" si="4"/>
        <v>59</v>
      </c>
      <c r="S53" s="28">
        <v>2</v>
      </c>
      <c r="T53" s="284"/>
      <c r="U53" s="293"/>
      <c r="V53" s="37" t="s">
        <v>1072</v>
      </c>
      <c r="W53" s="28" t="s">
        <v>74</v>
      </c>
      <c r="X53" s="28" t="s">
        <v>11</v>
      </c>
      <c r="Y53" s="38">
        <v>26.5</v>
      </c>
      <c r="Z53" s="28" t="s">
        <v>1078</v>
      </c>
      <c r="AA53" s="28" t="s">
        <v>76</v>
      </c>
      <c r="AB53" s="28" t="s">
        <v>11</v>
      </c>
      <c r="AC53" s="28">
        <v>20.5</v>
      </c>
      <c r="AD53" s="37" t="s">
        <v>1079</v>
      </c>
      <c r="AE53" s="28" t="s">
        <v>78</v>
      </c>
      <c r="AF53" s="28" t="s">
        <v>11</v>
      </c>
      <c r="AG53" s="38">
        <v>12</v>
      </c>
      <c r="AL53" s="37"/>
      <c r="AO53" s="38"/>
      <c r="AP53" s="37"/>
      <c r="AS53" s="38"/>
      <c r="AW53" s="38"/>
      <c r="BA53" s="39"/>
    </row>
    <row r="54" spans="1:53" s="28" customFormat="1" x14ac:dyDescent="0.15">
      <c r="A54" s="28">
        <v>2011</v>
      </c>
      <c r="B54" s="301">
        <v>40654</v>
      </c>
      <c r="C54" s="394" t="s">
        <v>1065</v>
      </c>
      <c r="D54" s="394"/>
      <c r="E54" s="28">
        <v>255</v>
      </c>
      <c r="F54" s="83">
        <v>0</v>
      </c>
      <c r="G54" s="65">
        <v>13</v>
      </c>
      <c r="J54" s="72">
        <v>15</v>
      </c>
      <c r="K54" s="46">
        <f t="shared" si="9"/>
        <v>86.666666666666671</v>
      </c>
      <c r="L54" s="46">
        <f t="shared" si="10"/>
        <v>0</v>
      </c>
      <c r="M54" s="46">
        <f t="shared" si="11"/>
        <v>0</v>
      </c>
      <c r="N54" s="67">
        <f>SUM(K54:M54)</f>
        <v>86.666666666666671</v>
      </c>
      <c r="O54" s="45">
        <v>59</v>
      </c>
      <c r="P54" s="46"/>
      <c r="Q54" s="46"/>
      <c r="R54" s="47">
        <f>SUM(O54:Q54)</f>
        <v>59</v>
      </c>
      <c r="S54" s="28">
        <v>2</v>
      </c>
      <c r="T54" s="284"/>
      <c r="U54" s="293"/>
      <c r="V54" s="37" t="s">
        <v>1072</v>
      </c>
      <c r="W54" s="28" t="s">
        <v>74</v>
      </c>
      <c r="X54" s="28" t="s">
        <v>11</v>
      </c>
      <c r="Y54" s="38">
        <v>26.5</v>
      </c>
      <c r="Z54" s="28" t="s">
        <v>1078</v>
      </c>
      <c r="AA54" s="28" t="s">
        <v>76</v>
      </c>
      <c r="AB54" s="28" t="s">
        <v>11</v>
      </c>
      <c r="AC54" s="28">
        <v>20.5</v>
      </c>
      <c r="AD54" s="37" t="s">
        <v>1079</v>
      </c>
      <c r="AE54" s="28" t="s">
        <v>78</v>
      </c>
      <c r="AF54" s="28" t="s">
        <v>11</v>
      </c>
      <c r="AG54" s="38">
        <v>12</v>
      </c>
      <c r="AL54" s="37"/>
      <c r="AO54" s="38"/>
      <c r="AP54" s="37"/>
      <c r="AS54" s="38"/>
      <c r="AW54" s="38"/>
      <c r="BA54" s="39"/>
    </row>
    <row r="55" spans="1:53" s="28" customFormat="1" x14ac:dyDescent="0.15">
      <c r="A55" s="28">
        <v>2012</v>
      </c>
      <c r="B55" s="275"/>
      <c r="C55" s="394" t="s">
        <v>1065</v>
      </c>
      <c r="D55" s="394"/>
      <c r="E55" s="28">
        <v>122</v>
      </c>
      <c r="G55" s="65">
        <v>13</v>
      </c>
      <c r="J55" s="72">
        <v>15</v>
      </c>
      <c r="K55" s="46">
        <f t="shared" si="9"/>
        <v>86.666666666666671</v>
      </c>
      <c r="L55" s="46">
        <f t="shared" si="10"/>
        <v>0</v>
      </c>
      <c r="M55" s="46">
        <f t="shared" si="11"/>
        <v>0</v>
      </c>
      <c r="N55" s="67">
        <f t="shared" si="8"/>
        <v>86.666666666666671</v>
      </c>
      <c r="O55" s="45">
        <v>59</v>
      </c>
      <c r="P55" s="46"/>
      <c r="Q55" s="46"/>
      <c r="R55" s="47">
        <f t="shared" si="4"/>
        <v>59</v>
      </c>
      <c r="S55" s="28">
        <v>2</v>
      </c>
      <c r="T55" s="284"/>
      <c r="U55" s="293"/>
      <c r="V55" s="37" t="s">
        <v>1072</v>
      </c>
      <c r="W55" s="28" t="s">
        <v>74</v>
      </c>
      <c r="X55" s="28" t="s">
        <v>11</v>
      </c>
      <c r="Y55" s="38">
        <v>26.5</v>
      </c>
      <c r="Z55" s="28" t="s">
        <v>1078</v>
      </c>
      <c r="AA55" s="28" t="s">
        <v>76</v>
      </c>
      <c r="AB55" s="28" t="s">
        <v>11</v>
      </c>
      <c r="AC55" s="28">
        <v>20.5</v>
      </c>
      <c r="AD55" s="37" t="s">
        <v>1079</v>
      </c>
      <c r="AE55" s="28" t="s">
        <v>78</v>
      </c>
      <c r="AF55" s="28" t="s">
        <v>11</v>
      </c>
      <c r="AG55" s="38">
        <v>12</v>
      </c>
      <c r="AL55" s="37"/>
      <c r="AO55" s="38"/>
      <c r="AP55" s="37"/>
      <c r="AS55" s="38"/>
      <c r="AW55" s="38"/>
      <c r="BA55" s="39"/>
    </row>
    <row r="56" spans="1:53" s="28" customFormat="1" x14ac:dyDescent="0.15">
      <c r="A56" s="28">
        <v>2012</v>
      </c>
      <c r="B56" s="301">
        <v>41031</v>
      </c>
      <c r="C56" s="394" t="s">
        <v>1065</v>
      </c>
      <c r="D56" s="394"/>
      <c r="E56" s="28">
        <v>224</v>
      </c>
      <c r="F56" s="83">
        <v>0</v>
      </c>
      <c r="G56" s="65">
        <v>12</v>
      </c>
      <c r="J56" s="72">
        <v>15</v>
      </c>
      <c r="K56" s="46">
        <f t="shared" si="9"/>
        <v>80</v>
      </c>
      <c r="L56" s="46">
        <f t="shared" si="10"/>
        <v>0</v>
      </c>
      <c r="M56" s="46">
        <f t="shared" si="11"/>
        <v>0</v>
      </c>
      <c r="N56" s="67">
        <f t="shared" si="8"/>
        <v>80</v>
      </c>
      <c r="O56" s="45">
        <v>59</v>
      </c>
      <c r="P56" s="46"/>
      <c r="Q56" s="46"/>
      <c r="R56" s="47">
        <f t="shared" si="4"/>
        <v>59</v>
      </c>
      <c r="S56" s="28">
        <v>2</v>
      </c>
      <c r="T56" s="284"/>
      <c r="U56" s="293"/>
      <c r="V56" s="37" t="s">
        <v>1072</v>
      </c>
      <c r="W56" s="28" t="s">
        <v>74</v>
      </c>
      <c r="X56" s="28" t="s">
        <v>11</v>
      </c>
      <c r="Y56" s="38">
        <v>26.5</v>
      </c>
      <c r="Z56" s="28" t="s">
        <v>1078</v>
      </c>
      <c r="AA56" s="28" t="s">
        <v>76</v>
      </c>
      <c r="AB56" s="28" t="s">
        <v>11</v>
      </c>
      <c r="AC56" s="28">
        <v>20.5</v>
      </c>
      <c r="AD56" s="37" t="s">
        <v>1079</v>
      </c>
      <c r="AE56" s="28" t="s">
        <v>78</v>
      </c>
      <c r="AF56" s="28" t="s">
        <v>11</v>
      </c>
      <c r="AG56" s="38">
        <v>12</v>
      </c>
      <c r="AL56" s="37"/>
      <c r="AO56" s="38"/>
      <c r="AP56" s="37"/>
      <c r="AS56" s="38"/>
      <c r="AW56" s="38"/>
      <c r="BA56" s="39"/>
    </row>
    <row r="57" spans="1:53" s="28" customFormat="1" x14ac:dyDescent="0.15">
      <c r="A57" s="28">
        <v>2012</v>
      </c>
      <c r="B57" s="301">
        <v>41255</v>
      </c>
      <c r="C57" s="394" t="s">
        <v>1065</v>
      </c>
      <c r="D57" s="394"/>
      <c r="E57" s="28">
        <f>366-E56-E55</f>
        <v>20</v>
      </c>
      <c r="F57" s="83">
        <v>0</v>
      </c>
      <c r="G57" s="65">
        <v>12</v>
      </c>
      <c r="J57" s="72">
        <v>16</v>
      </c>
      <c r="K57" s="46">
        <f t="shared" si="9"/>
        <v>75</v>
      </c>
      <c r="L57" s="46">
        <f t="shared" si="10"/>
        <v>0</v>
      </c>
      <c r="M57" s="46">
        <f t="shared" si="11"/>
        <v>0</v>
      </c>
      <c r="N57" s="67">
        <f t="shared" si="8"/>
        <v>75</v>
      </c>
      <c r="O57" s="45">
        <v>59</v>
      </c>
      <c r="P57" s="46"/>
      <c r="Q57" s="46"/>
      <c r="R57" s="47">
        <f t="shared" si="4"/>
        <v>59</v>
      </c>
      <c r="S57" s="28">
        <v>2</v>
      </c>
      <c r="T57" s="284"/>
      <c r="U57" s="293"/>
      <c r="V57" s="37" t="s">
        <v>1072</v>
      </c>
      <c r="W57" s="28" t="s">
        <v>74</v>
      </c>
      <c r="X57" s="28" t="s">
        <v>11</v>
      </c>
      <c r="Y57" s="38">
        <v>26.5</v>
      </c>
      <c r="Z57" s="28" t="s">
        <v>1078</v>
      </c>
      <c r="AA57" s="28" t="s">
        <v>76</v>
      </c>
      <c r="AB57" s="28" t="s">
        <v>11</v>
      </c>
      <c r="AC57" s="28">
        <v>20.5</v>
      </c>
      <c r="AD57" s="37" t="s">
        <v>1079</v>
      </c>
      <c r="AE57" s="28" t="s">
        <v>78</v>
      </c>
      <c r="AF57" s="28" t="s">
        <v>11</v>
      </c>
      <c r="AG57" s="38">
        <v>12</v>
      </c>
      <c r="AL57" s="37"/>
      <c r="AO57" s="38"/>
      <c r="AP57" s="37"/>
      <c r="AS57" s="38"/>
      <c r="AW57" s="38"/>
      <c r="BA57" s="39"/>
    </row>
    <row r="58" spans="1:53" s="28" customFormat="1" x14ac:dyDescent="0.15">
      <c r="A58" s="28">
        <v>2013</v>
      </c>
      <c r="B58" s="301"/>
      <c r="C58" s="394" t="s">
        <v>1065</v>
      </c>
      <c r="D58" s="394"/>
      <c r="E58" s="28">
        <v>77</v>
      </c>
      <c r="F58" s="83"/>
      <c r="G58" s="65">
        <v>12</v>
      </c>
      <c r="J58" s="72">
        <v>16</v>
      </c>
      <c r="K58" s="46">
        <f t="shared" si="9"/>
        <v>75</v>
      </c>
      <c r="L58" s="46">
        <f t="shared" si="10"/>
        <v>0</v>
      </c>
      <c r="M58" s="46">
        <f t="shared" si="11"/>
        <v>0</v>
      </c>
      <c r="N58" s="67">
        <f t="shared" si="8"/>
        <v>75</v>
      </c>
      <c r="O58" s="45">
        <v>59</v>
      </c>
      <c r="P58" s="46"/>
      <c r="Q58" s="46"/>
      <c r="R58" s="47">
        <f>SUM(O58:Q58)</f>
        <v>59</v>
      </c>
      <c r="S58" s="28">
        <v>2</v>
      </c>
      <c r="T58" s="284"/>
      <c r="U58" s="293"/>
      <c r="V58" s="37" t="s">
        <v>1072</v>
      </c>
      <c r="W58" s="28" t="s">
        <v>74</v>
      </c>
      <c r="X58" s="28" t="s">
        <v>11</v>
      </c>
      <c r="Y58" s="38">
        <v>26.5</v>
      </c>
      <c r="Z58" s="28" t="s">
        <v>1078</v>
      </c>
      <c r="AA58" s="28" t="s">
        <v>76</v>
      </c>
      <c r="AB58" s="28" t="s">
        <v>11</v>
      </c>
      <c r="AC58" s="28">
        <v>20.5</v>
      </c>
      <c r="AD58" s="37" t="s">
        <v>1079</v>
      </c>
      <c r="AE58" s="28" t="s">
        <v>78</v>
      </c>
      <c r="AF58" s="28" t="s">
        <v>11</v>
      </c>
      <c r="AG58" s="38">
        <v>12</v>
      </c>
      <c r="AL58" s="37"/>
      <c r="AO58" s="38"/>
      <c r="AP58" s="37"/>
      <c r="AS58" s="38"/>
      <c r="AW58" s="38"/>
      <c r="BA58" s="39"/>
    </row>
    <row r="59" spans="1:53" s="28" customFormat="1" x14ac:dyDescent="0.15">
      <c r="A59" s="28">
        <v>2013</v>
      </c>
      <c r="B59" s="301">
        <v>41352</v>
      </c>
      <c r="C59" s="394" t="s">
        <v>1065</v>
      </c>
      <c r="D59" s="394"/>
      <c r="E59" s="28">
        <v>113</v>
      </c>
      <c r="F59" s="83">
        <v>0</v>
      </c>
      <c r="G59" s="65">
        <v>11</v>
      </c>
      <c r="J59" s="72">
        <v>16</v>
      </c>
      <c r="K59" s="46">
        <f t="shared" si="9"/>
        <v>68.75</v>
      </c>
      <c r="L59" s="46">
        <f t="shared" si="10"/>
        <v>0</v>
      </c>
      <c r="M59" s="46">
        <f t="shared" si="11"/>
        <v>0</v>
      </c>
      <c r="N59" s="67">
        <f>SUM(K59:M59)</f>
        <v>68.75</v>
      </c>
      <c r="O59" s="45">
        <v>59</v>
      </c>
      <c r="P59" s="46"/>
      <c r="Q59" s="46"/>
      <c r="R59" s="47">
        <f>SUM(O59:Q59)</f>
        <v>59</v>
      </c>
      <c r="S59" s="28">
        <v>2</v>
      </c>
      <c r="T59" s="284"/>
      <c r="U59" s="293"/>
      <c r="V59" s="37" t="s">
        <v>1072</v>
      </c>
      <c r="W59" s="28" t="s">
        <v>74</v>
      </c>
      <c r="X59" s="28" t="s">
        <v>11</v>
      </c>
      <c r="Y59" s="38">
        <v>26.5</v>
      </c>
      <c r="Z59" s="28" t="s">
        <v>1078</v>
      </c>
      <c r="AA59" s="28" t="s">
        <v>76</v>
      </c>
      <c r="AB59" s="28" t="s">
        <v>11</v>
      </c>
      <c r="AC59" s="28">
        <v>20.5</v>
      </c>
      <c r="AD59" s="37" t="s">
        <v>1079</v>
      </c>
      <c r="AE59" s="28" t="s">
        <v>78</v>
      </c>
      <c r="AF59" s="28" t="s">
        <v>11</v>
      </c>
      <c r="AG59" s="38">
        <v>12</v>
      </c>
      <c r="AL59" s="37"/>
      <c r="AO59" s="38"/>
      <c r="AP59" s="37"/>
      <c r="AS59" s="38"/>
      <c r="AW59" s="38"/>
      <c r="BA59" s="39"/>
    </row>
    <row r="60" spans="1:53" s="170" customFormat="1" x14ac:dyDescent="0.15">
      <c r="A60" s="170">
        <v>2013</v>
      </c>
      <c r="B60" s="304">
        <v>41465</v>
      </c>
      <c r="C60" s="395" t="s">
        <v>1251</v>
      </c>
      <c r="D60" s="395"/>
      <c r="E60" s="170">
        <f>365-E59-E58</f>
        <v>175</v>
      </c>
      <c r="F60" s="170">
        <v>2</v>
      </c>
      <c r="G60" s="232"/>
      <c r="H60" s="170">
        <v>1</v>
      </c>
      <c r="J60" s="240">
        <v>15</v>
      </c>
      <c r="K60" s="213">
        <f t="shared" si="9"/>
        <v>0</v>
      </c>
      <c r="L60" s="213">
        <f t="shared" si="10"/>
        <v>6.666666666666667</v>
      </c>
      <c r="M60" s="213">
        <f t="shared" si="11"/>
        <v>0</v>
      </c>
      <c r="N60" s="234">
        <f>SUM(K60:M60)</f>
        <v>6.666666666666667</v>
      </c>
      <c r="O60" s="212">
        <v>0</v>
      </c>
      <c r="P60" s="213">
        <v>0</v>
      </c>
      <c r="Q60" s="213">
        <v>0</v>
      </c>
      <c r="R60" s="214">
        <f>SUM(O60:Q60)</f>
        <v>0</v>
      </c>
      <c r="S60" s="170">
        <v>7</v>
      </c>
      <c r="T60" s="283"/>
      <c r="U60" s="281">
        <v>41465</v>
      </c>
      <c r="V60" s="241" t="s">
        <v>1257</v>
      </c>
      <c r="Y60" s="178"/>
      <c r="AD60" s="177"/>
      <c r="AG60" s="178"/>
      <c r="AL60" s="177"/>
      <c r="AO60" s="178"/>
      <c r="AP60" s="177"/>
      <c r="AS60" s="178"/>
      <c r="AW60" s="178"/>
      <c r="BA60" s="179"/>
    </row>
    <row r="61" spans="1:53" s="170" customFormat="1" x14ac:dyDescent="0.15">
      <c r="A61" s="170">
        <v>2014</v>
      </c>
      <c r="B61" s="304"/>
      <c r="C61" s="395" t="s">
        <v>1251</v>
      </c>
      <c r="D61" s="395"/>
      <c r="E61" s="170">
        <v>28</v>
      </c>
      <c r="G61" s="232"/>
      <c r="H61" s="170">
        <v>1</v>
      </c>
      <c r="J61" s="240">
        <v>15</v>
      </c>
      <c r="K61" s="213">
        <f t="shared" si="9"/>
        <v>0</v>
      </c>
      <c r="L61" s="213">
        <f t="shared" si="10"/>
        <v>6.666666666666667</v>
      </c>
      <c r="M61" s="213">
        <f t="shared" si="11"/>
        <v>0</v>
      </c>
      <c r="N61" s="234">
        <f>SUM(K61:M61)</f>
        <v>6.666666666666667</v>
      </c>
      <c r="O61" s="212">
        <v>0</v>
      </c>
      <c r="P61" s="213">
        <v>0</v>
      </c>
      <c r="Q61" s="213">
        <v>0</v>
      </c>
      <c r="R61" s="214">
        <f>SUM(O61:Q61)</f>
        <v>0</v>
      </c>
      <c r="S61" s="170">
        <v>7</v>
      </c>
      <c r="T61" s="283"/>
      <c r="U61" s="281"/>
      <c r="V61" s="241" t="s">
        <v>1257</v>
      </c>
      <c r="Y61" s="178"/>
      <c r="AD61" s="177"/>
      <c r="AG61" s="178"/>
      <c r="AL61" s="177"/>
      <c r="AO61" s="178"/>
      <c r="AP61" s="177"/>
      <c r="AS61" s="178"/>
      <c r="AW61" s="178"/>
      <c r="BA61" s="179"/>
    </row>
    <row r="62" spans="1:53" s="28" customFormat="1" x14ac:dyDescent="0.15">
      <c r="A62" s="28">
        <v>2014</v>
      </c>
      <c r="B62" s="275">
        <v>41668</v>
      </c>
      <c r="C62" s="394" t="s">
        <v>1282</v>
      </c>
      <c r="D62" s="394"/>
      <c r="E62" s="28">
        <v>337</v>
      </c>
      <c r="F62" s="28">
        <v>1</v>
      </c>
      <c r="G62" s="65">
        <v>6</v>
      </c>
      <c r="H62" s="28">
        <v>3</v>
      </c>
      <c r="I62" s="28">
        <v>8</v>
      </c>
      <c r="J62" s="72">
        <v>17</v>
      </c>
      <c r="K62" s="46">
        <f t="shared" si="9"/>
        <v>35.294117647058826</v>
      </c>
      <c r="L62" s="46">
        <f t="shared" si="10"/>
        <v>17.647058823529413</v>
      </c>
      <c r="M62" s="46">
        <f t="shared" si="11"/>
        <v>47.058823529411761</v>
      </c>
      <c r="N62" s="67">
        <f>SUM(K62:M62)</f>
        <v>100</v>
      </c>
      <c r="O62" s="45">
        <v>23.5</v>
      </c>
      <c r="P62" s="46">
        <v>7</v>
      </c>
      <c r="Q62" s="46">
        <v>25</v>
      </c>
      <c r="R62" s="47">
        <f>SUM(O62:Q62)</f>
        <v>55.5</v>
      </c>
      <c r="S62" s="28">
        <v>2</v>
      </c>
      <c r="T62" s="284">
        <v>41573</v>
      </c>
      <c r="U62" s="293">
        <v>41668</v>
      </c>
      <c r="V62" s="37" t="s">
        <v>1074</v>
      </c>
      <c r="W62" s="28" t="s">
        <v>20</v>
      </c>
      <c r="X62" s="28" t="s">
        <v>12</v>
      </c>
      <c r="Y62" s="38">
        <v>25</v>
      </c>
      <c r="Z62" s="28" t="s">
        <v>885</v>
      </c>
      <c r="AA62" s="28" t="s">
        <v>1308</v>
      </c>
      <c r="AB62" s="28" t="s">
        <v>11</v>
      </c>
      <c r="AC62" s="28">
        <v>23.5</v>
      </c>
      <c r="AD62" s="37" t="s">
        <v>1071</v>
      </c>
      <c r="AE62" s="28" t="s">
        <v>17</v>
      </c>
      <c r="AF62" s="28" t="s">
        <v>18</v>
      </c>
      <c r="AG62" s="38">
        <v>7</v>
      </c>
      <c r="AL62" s="37"/>
      <c r="AO62" s="38"/>
      <c r="AP62" s="37"/>
      <c r="AS62" s="38"/>
      <c r="AW62" s="38"/>
      <c r="BA62" s="39"/>
    </row>
    <row r="63" spans="1:53" s="28" customFormat="1" x14ac:dyDescent="0.15">
      <c r="A63" s="28">
        <v>2015</v>
      </c>
      <c r="B63" s="275"/>
      <c r="C63" s="394" t="s">
        <v>1282</v>
      </c>
      <c r="D63" s="394"/>
      <c r="E63" s="28">
        <v>0</v>
      </c>
      <c r="G63" s="65">
        <v>6</v>
      </c>
      <c r="H63" s="28">
        <v>3</v>
      </c>
      <c r="I63" s="28">
        <v>8</v>
      </c>
      <c r="J63" s="72">
        <v>17</v>
      </c>
      <c r="K63" s="46">
        <f t="shared" ref="K63:K65" si="12">G63/J63*100</f>
        <v>35.294117647058826</v>
      </c>
      <c r="L63" s="46">
        <f t="shared" ref="L63:L65" si="13">H63/J63*100</f>
        <v>17.647058823529413</v>
      </c>
      <c r="M63" s="46">
        <f t="shared" ref="M63:M65" si="14">I63/J63*100</f>
        <v>47.058823529411761</v>
      </c>
      <c r="N63" s="67">
        <f t="shared" ref="N63:N65" si="15">SUM(K63:M63)</f>
        <v>100</v>
      </c>
      <c r="O63" s="45">
        <v>23.5</v>
      </c>
      <c r="P63" s="46">
        <v>7</v>
      </c>
      <c r="Q63" s="46">
        <v>25</v>
      </c>
      <c r="R63" s="47">
        <f t="shared" ref="R63:R65" si="16">SUM(O63:Q63)</f>
        <v>55.5</v>
      </c>
      <c r="S63" s="28">
        <v>2</v>
      </c>
      <c r="T63" s="284"/>
      <c r="U63" s="293"/>
      <c r="V63" s="37" t="s">
        <v>1074</v>
      </c>
      <c r="W63" s="28" t="s">
        <v>20</v>
      </c>
      <c r="X63" s="28" t="s">
        <v>12</v>
      </c>
      <c r="Y63" s="38">
        <v>25</v>
      </c>
      <c r="Z63" s="28" t="s">
        <v>885</v>
      </c>
      <c r="AA63" s="28" t="s">
        <v>1308</v>
      </c>
      <c r="AB63" s="28" t="s">
        <v>11</v>
      </c>
      <c r="AC63" s="28">
        <v>23.5</v>
      </c>
      <c r="AD63" s="37" t="s">
        <v>1071</v>
      </c>
      <c r="AE63" s="28" t="s">
        <v>17</v>
      </c>
      <c r="AF63" s="28" t="s">
        <v>18</v>
      </c>
      <c r="AG63" s="38">
        <v>7</v>
      </c>
      <c r="AL63" s="37"/>
      <c r="AO63" s="38"/>
      <c r="AP63" s="37"/>
      <c r="AS63" s="38"/>
      <c r="AW63" s="38"/>
      <c r="BA63" s="39"/>
    </row>
    <row r="64" spans="1:53" s="28" customFormat="1" x14ac:dyDescent="0.15">
      <c r="A64" s="28">
        <v>2015</v>
      </c>
      <c r="B64" s="275"/>
      <c r="C64" s="394" t="s">
        <v>1282</v>
      </c>
      <c r="D64" s="394"/>
      <c r="E64" s="28">
        <v>365</v>
      </c>
      <c r="G64" s="65">
        <v>6</v>
      </c>
      <c r="H64" s="28">
        <v>3</v>
      </c>
      <c r="I64" s="28">
        <v>8</v>
      </c>
      <c r="J64" s="72">
        <v>17</v>
      </c>
      <c r="K64" s="46">
        <f t="shared" si="12"/>
        <v>35.294117647058826</v>
      </c>
      <c r="L64" s="46">
        <f t="shared" si="13"/>
        <v>17.647058823529413</v>
      </c>
      <c r="M64" s="46">
        <f t="shared" si="14"/>
        <v>47.058823529411761</v>
      </c>
      <c r="N64" s="67">
        <f t="shared" si="15"/>
        <v>100</v>
      </c>
      <c r="O64" s="45">
        <v>23.5</v>
      </c>
      <c r="P64" s="46">
        <v>7</v>
      </c>
      <c r="Q64" s="46">
        <v>25</v>
      </c>
      <c r="R64" s="47">
        <f t="shared" si="16"/>
        <v>55.5</v>
      </c>
      <c r="S64" s="28">
        <v>2</v>
      </c>
      <c r="T64" s="284"/>
      <c r="U64" s="293"/>
      <c r="V64" s="37" t="s">
        <v>1074</v>
      </c>
      <c r="W64" s="28" t="s">
        <v>20</v>
      </c>
      <c r="X64" s="28" t="s">
        <v>12</v>
      </c>
      <c r="Y64" s="38">
        <v>25</v>
      </c>
      <c r="Z64" s="28" t="s">
        <v>885</v>
      </c>
      <c r="AA64" s="28" t="s">
        <v>1308</v>
      </c>
      <c r="AB64" s="28" t="s">
        <v>11</v>
      </c>
      <c r="AC64" s="28">
        <v>23.5</v>
      </c>
      <c r="AD64" s="37" t="s">
        <v>1071</v>
      </c>
      <c r="AE64" s="28" t="s">
        <v>17</v>
      </c>
      <c r="AF64" s="28" t="s">
        <v>18</v>
      </c>
      <c r="AG64" s="38">
        <v>7</v>
      </c>
      <c r="AL64" s="37"/>
      <c r="AO64" s="38"/>
      <c r="AP64" s="37"/>
      <c r="AS64" s="38"/>
      <c r="AW64" s="38"/>
      <c r="BA64" s="39"/>
    </row>
    <row r="65" spans="1:53" s="28" customFormat="1" x14ac:dyDescent="0.15">
      <c r="A65" s="28">
        <v>2016</v>
      </c>
      <c r="B65" s="275"/>
      <c r="C65" s="394" t="s">
        <v>1282</v>
      </c>
      <c r="D65" s="394"/>
      <c r="E65" s="28">
        <v>0</v>
      </c>
      <c r="G65" s="65">
        <v>6</v>
      </c>
      <c r="H65" s="28">
        <v>3</v>
      </c>
      <c r="I65" s="28">
        <v>8</v>
      </c>
      <c r="J65" s="72">
        <v>17</v>
      </c>
      <c r="K65" s="46">
        <f t="shared" si="12"/>
        <v>35.294117647058826</v>
      </c>
      <c r="L65" s="46">
        <f t="shared" si="13"/>
        <v>17.647058823529413</v>
      </c>
      <c r="M65" s="46">
        <f t="shared" si="14"/>
        <v>47.058823529411761</v>
      </c>
      <c r="N65" s="67">
        <f t="shared" si="15"/>
        <v>100</v>
      </c>
      <c r="O65" s="45">
        <v>23.5</v>
      </c>
      <c r="P65" s="46">
        <v>7</v>
      </c>
      <c r="Q65" s="46">
        <v>25</v>
      </c>
      <c r="R65" s="47">
        <f t="shared" si="16"/>
        <v>55.5</v>
      </c>
      <c r="S65" s="28">
        <v>2</v>
      </c>
      <c r="T65" s="284"/>
      <c r="U65" s="293"/>
      <c r="V65" s="37" t="s">
        <v>1074</v>
      </c>
      <c r="W65" s="28" t="s">
        <v>20</v>
      </c>
      <c r="X65" s="28" t="s">
        <v>12</v>
      </c>
      <c r="Y65" s="38">
        <v>25</v>
      </c>
      <c r="Z65" s="28" t="s">
        <v>885</v>
      </c>
      <c r="AA65" s="28" t="s">
        <v>1308</v>
      </c>
      <c r="AB65" s="28" t="s">
        <v>11</v>
      </c>
      <c r="AC65" s="28">
        <v>23.5</v>
      </c>
      <c r="AD65" s="37" t="s">
        <v>1071</v>
      </c>
      <c r="AE65" s="28" t="s">
        <v>17</v>
      </c>
      <c r="AF65" s="28" t="s">
        <v>18</v>
      </c>
      <c r="AG65" s="38">
        <v>7</v>
      </c>
      <c r="AL65" s="37"/>
      <c r="AO65" s="38"/>
      <c r="AP65" s="37"/>
      <c r="AS65" s="38"/>
      <c r="AW65" s="38"/>
      <c r="BA65" s="39"/>
    </row>
    <row r="66" spans="1:53" s="28" customFormat="1" x14ac:dyDescent="0.15">
      <c r="A66" s="28">
        <v>2016</v>
      </c>
      <c r="B66" s="275"/>
      <c r="C66" s="394" t="s">
        <v>1282</v>
      </c>
      <c r="D66" s="394"/>
      <c r="E66" s="28">
        <v>366</v>
      </c>
      <c r="G66" s="65">
        <v>6</v>
      </c>
      <c r="H66" s="28">
        <v>3</v>
      </c>
      <c r="I66" s="28">
        <v>8</v>
      </c>
      <c r="J66" s="72">
        <v>17</v>
      </c>
      <c r="K66" s="46">
        <f t="shared" ref="K66" si="17">G66/J66*100</f>
        <v>35.294117647058826</v>
      </c>
      <c r="L66" s="46">
        <f t="shared" ref="L66" si="18">H66/J66*100</f>
        <v>17.647058823529413</v>
      </c>
      <c r="M66" s="46">
        <f t="shared" ref="M66" si="19">I66/J66*100</f>
        <v>47.058823529411761</v>
      </c>
      <c r="N66" s="67">
        <f t="shared" ref="N66" si="20">SUM(K66:M66)</f>
        <v>100</v>
      </c>
      <c r="O66" s="45">
        <v>23.5</v>
      </c>
      <c r="P66" s="46">
        <v>7</v>
      </c>
      <c r="Q66" s="46">
        <v>25</v>
      </c>
      <c r="R66" s="47">
        <f t="shared" ref="R66" si="21">SUM(O66:Q66)</f>
        <v>55.5</v>
      </c>
      <c r="S66" s="28">
        <v>2</v>
      </c>
      <c r="T66" s="284"/>
      <c r="U66" s="293"/>
      <c r="V66" s="37" t="s">
        <v>1074</v>
      </c>
      <c r="W66" s="28" t="s">
        <v>20</v>
      </c>
      <c r="X66" s="28" t="s">
        <v>12</v>
      </c>
      <c r="Y66" s="38">
        <v>25</v>
      </c>
      <c r="Z66" s="28" t="s">
        <v>885</v>
      </c>
      <c r="AA66" s="28" t="s">
        <v>1308</v>
      </c>
      <c r="AB66" s="28" t="s">
        <v>11</v>
      </c>
      <c r="AC66" s="28">
        <v>23.5</v>
      </c>
      <c r="AD66" s="37" t="s">
        <v>1071</v>
      </c>
      <c r="AE66" s="28" t="s">
        <v>17</v>
      </c>
      <c r="AF66" s="28" t="s">
        <v>18</v>
      </c>
      <c r="AG66" s="38">
        <v>7</v>
      </c>
      <c r="AL66" s="37"/>
      <c r="AO66" s="38"/>
      <c r="AP66" s="37"/>
      <c r="AS66" s="38"/>
      <c r="AW66" s="38"/>
      <c r="BA66" s="39"/>
    </row>
    <row r="67" spans="1:53" s="28" customFormat="1" x14ac:dyDescent="0.15">
      <c r="A67" s="28">
        <v>2017</v>
      </c>
      <c r="B67" s="275"/>
      <c r="C67" s="394" t="s">
        <v>1282</v>
      </c>
      <c r="D67" s="394"/>
      <c r="E67" s="28">
        <v>346</v>
      </c>
      <c r="G67" s="65">
        <v>6</v>
      </c>
      <c r="H67" s="28">
        <v>3</v>
      </c>
      <c r="I67" s="28">
        <v>8</v>
      </c>
      <c r="J67" s="72">
        <v>17</v>
      </c>
      <c r="K67" s="46">
        <f t="shared" ref="K67" si="22">G67/J67*100</f>
        <v>35.294117647058826</v>
      </c>
      <c r="L67" s="46">
        <f t="shared" ref="L67" si="23">H67/J67*100</f>
        <v>17.647058823529413</v>
      </c>
      <c r="M67" s="46">
        <f t="shared" ref="M67" si="24">I67/J67*100</f>
        <v>47.058823529411761</v>
      </c>
      <c r="N67" s="67">
        <f t="shared" ref="N67" si="25">SUM(K67:M67)</f>
        <v>100</v>
      </c>
      <c r="O67" s="45">
        <v>23.5</v>
      </c>
      <c r="P67" s="46">
        <v>7</v>
      </c>
      <c r="Q67" s="46">
        <v>25</v>
      </c>
      <c r="R67" s="47">
        <f t="shared" ref="R67:R68" si="26">SUM(O67:Q67)</f>
        <v>55.5</v>
      </c>
      <c r="S67" s="28">
        <v>2</v>
      </c>
      <c r="T67" s="284"/>
      <c r="U67" s="293"/>
      <c r="V67" s="37" t="s">
        <v>1074</v>
      </c>
      <c r="W67" s="28" t="s">
        <v>20</v>
      </c>
      <c r="X67" s="28" t="s">
        <v>12</v>
      </c>
      <c r="Y67" s="38">
        <v>25</v>
      </c>
      <c r="Z67" s="28" t="s">
        <v>885</v>
      </c>
      <c r="AA67" s="28" t="s">
        <v>1308</v>
      </c>
      <c r="AB67" s="28" t="s">
        <v>11</v>
      </c>
      <c r="AC67" s="28">
        <v>23.5</v>
      </c>
      <c r="AD67" s="37" t="s">
        <v>1071</v>
      </c>
      <c r="AE67" s="28" t="s">
        <v>17</v>
      </c>
      <c r="AF67" s="28" t="s">
        <v>18</v>
      </c>
      <c r="AG67" s="38">
        <v>7</v>
      </c>
      <c r="AL67" s="37"/>
      <c r="AO67" s="38"/>
      <c r="AP67" s="37"/>
      <c r="AS67" s="38"/>
      <c r="AW67" s="38"/>
      <c r="BA67" s="39"/>
    </row>
    <row r="68" spans="1:53" s="170" customFormat="1" x14ac:dyDescent="0.15">
      <c r="A68" s="170">
        <v>2017</v>
      </c>
      <c r="B68" s="304">
        <v>43082</v>
      </c>
      <c r="C68" s="395" t="s">
        <v>1365</v>
      </c>
      <c r="D68" s="395"/>
      <c r="E68" s="170">
        <v>19</v>
      </c>
      <c r="F68" s="170">
        <v>1</v>
      </c>
      <c r="G68" s="232">
        <v>15</v>
      </c>
      <c r="J68" s="240">
        <v>15</v>
      </c>
      <c r="K68" s="213">
        <f t="shared" ref="K68:K69" si="27">G68/J68*100</f>
        <v>100</v>
      </c>
      <c r="L68" s="213">
        <f t="shared" ref="L68:L69" si="28">H68/J68*100</f>
        <v>0</v>
      </c>
      <c r="M68" s="213">
        <f t="shared" ref="M68:M69" si="29">I68/J68*100</f>
        <v>0</v>
      </c>
      <c r="N68" s="234">
        <f t="shared" ref="N68:N69" si="30">SUM(K68:M68)</f>
        <v>100</v>
      </c>
      <c r="O68" s="212">
        <v>39</v>
      </c>
      <c r="P68" s="213">
        <v>0</v>
      </c>
      <c r="Q68" s="213">
        <v>0</v>
      </c>
      <c r="R68" s="214">
        <f t="shared" si="26"/>
        <v>39</v>
      </c>
      <c r="S68" s="170">
        <v>4</v>
      </c>
      <c r="T68" s="283">
        <v>43029</v>
      </c>
      <c r="U68" s="281">
        <v>43082</v>
      </c>
      <c r="V68" s="177" t="s">
        <v>885</v>
      </c>
      <c r="W68" s="170" t="s">
        <v>1308</v>
      </c>
      <c r="X68" s="170" t="s">
        <v>11</v>
      </c>
      <c r="Y68" s="178">
        <v>39</v>
      </c>
      <c r="AD68" s="177"/>
      <c r="AG68" s="178"/>
      <c r="AL68" s="177"/>
      <c r="AO68" s="178"/>
      <c r="AP68" s="177"/>
      <c r="AS68" s="178"/>
      <c r="AW68" s="178"/>
      <c r="BA68" s="179"/>
    </row>
    <row r="69" spans="1:53" s="170" customFormat="1" x14ac:dyDescent="0.15">
      <c r="A69" s="170">
        <v>2018</v>
      </c>
      <c r="B69" s="304"/>
      <c r="C69" s="395" t="s">
        <v>1365</v>
      </c>
      <c r="D69" s="395"/>
      <c r="E69" s="170">
        <v>177</v>
      </c>
      <c r="G69" s="232">
        <v>15</v>
      </c>
      <c r="J69" s="240">
        <v>15</v>
      </c>
      <c r="K69" s="213">
        <f t="shared" si="27"/>
        <v>100</v>
      </c>
      <c r="L69" s="213">
        <f t="shared" si="28"/>
        <v>0</v>
      </c>
      <c r="M69" s="213">
        <f t="shared" si="29"/>
        <v>0</v>
      </c>
      <c r="N69" s="234">
        <f t="shared" si="30"/>
        <v>100</v>
      </c>
      <c r="O69" s="212">
        <v>39</v>
      </c>
      <c r="P69" s="213">
        <v>0</v>
      </c>
      <c r="Q69" s="213">
        <v>0</v>
      </c>
      <c r="R69" s="214">
        <f t="shared" ref="R69:R70" si="31">SUM(O69:Q69)</f>
        <v>39</v>
      </c>
      <c r="S69" s="170">
        <v>4</v>
      </c>
      <c r="T69" s="283"/>
      <c r="U69" s="281"/>
      <c r="V69" s="177" t="s">
        <v>885</v>
      </c>
      <c r="W69" s="170" t="s">
        <v>1308</v>
      </c>
      <c r="X69" s="170" t="s">
        <v>11</v>
      </c>
      <c r="Y69" s="178">
        <v>39</v>
      </c>
      <c r="AD69" s="177"/>
      <c r="AG69" s="178"/>
      <c r="AL69" s="177"/>
      <c r="AO69" s="178"/>
      <c r="AP69" s="177"/>
      <c r="AS69" s="178"/>
      <c r="AW69" s="178"/>
      <c r="BA69" s="179"/>
    </row>
    <row r="70" spans="1:53" s="28" customFormat="1" x14ac:dyDescent="0.15">
      <c r="A70" s="28">
        <v>2018</v>
      </c>
      <c r="B70" s="275">
        <v>43278</v>
      </c>
      <c r="C70" s="394" t="s">
        <v>1389</v>
      </c>
      <c r="D70" s="394"/>
      <c r="E70" s="28">
        <v>188</v>
      </c>
      <c r="F70" s="28">
        <v>1</v>
      </c>
      <c r="G70" s="65">
        <v>10</v>
      </c>
      <c r="I70" s="28">
        <v>5</v>
      </c>
      <c r="J70" s="72">
        <v>15</v>
      </c>
      <c r="K70" s="46">
        <f t="shared" ref="K70" si="32">G70/J70*100</f>
        <v>66.666666666666657</v>
      </c>
      <c r="L70" s="46">
        <f t="shared" ref="L70" si="33">H70/J70*100</f>
        <v>0</v>
      </c>
      <c r="M70" s="46">
        <f t="shared" ref="M70" si="34">I70/J70*100</f>
        <v>33.333333333333329</v>
      </c>
      <c r="N70" s="67">
        <f t="shared" ref="N70" si="35">SUM(K70:M70)</f>
        <v>99.999999999999986</v>
      </c>
      <c r="O70" s="45">
        <v>39</v>
      </c>
      <c r="P70" s="46">
        <v>0</v>
      </c>
      <c r="Q70" s="46">
        <v>7.5</v>
      </c>
      <c r="R70" s="47">
        <f t="shared" si="31"/>
        <v>46.5</v>
      </c>
      <c r="S70" s="28">
        <v>5</v>
      </c>
      <c r="T70" s="284"/>
      <c r="U70" s="275">
        <v>43278</v>
      </c>
      <c r="V70" s="37" t="s">
        <v>885</v>
      </c>
      <c r="W70" s="28" t="s">
        <v>1308</v>
      </c>
      <c r="X70" s="28" t="s">
        <v>11</v>
      </c>
      <c r="Y70" s="38">
        <v>39</v>
      </c>
      <c r="Z70" s="28" t="s">
        <v>1074</v>
      </c>
      <c r="AA70" s="28" t="s">
        <v>20</v>
      </c>
      <c r="AB70" s="28" t="s">
        <v>12</v>
      </c>
      <c r="AC70" s="28">
        <v>7.5</v>
      </c>
      <c r="AD70" s="37"/>
      <c r="AG70" s="38"/>
      <c r="AL70" s="37"/>
      <c r="AO70" s="38"/>
      <c r="AP70" s="37"/>
      <c r="AS70" s="38"/>
      <c r="AW70" s="38"/>
      <c r="BA70" s="39"/>
    </row>
    <row r="71" spans="1:53" s="28" customFormat="1" x14ac:dyDescent="0.15">
      <c r="A71" s="28">
        <v>2019</v>
      </c>
      <c r="B71" s="275"/>
      <c r="C71" s="394" t="s">
        <v>1389</v>
      </c>
      <c r="D71" s="394"/>
      <c r="E71" s="28">
        <v>0</v>
      </c>
      <c r="G71" s="65">
        <v>10</v>
      </c>
      <c r="I71" s="28">
        <v>5</v>
      </c>
      <c r="J71" s="72">
        <v>15</v>
      </c>
      <c r="K71" s="46">
        <f t="shared" ref="K71:K78" si="36">G71/J71*100</f>
        <v>66.666666666666657</v>
      </c>
      <c r="L71" s="46">
        <f t="shared" ref="L71:L78" si="37">H71/J71*100</f>
        <v>0</v>
      </c>
      <c r="M71" s="46">
        <f t="shared" ref="M71:M78" si="38">I71/J71*100</f>
        <v>33.333333333333329</v>
      </c>
      <c r="N71" s="67">
        <f t="shared" ref="N71:N78" si="39">SUM(K71:M71)</f>
        <v>99.999999999999986</v>
      </c>
      <c r="O71" s="45">
        <v>39</v>
      </c>
      <c r="P71" s="46">
        <v>0</v>
      </c>
      <c r="Q71" s="46">
        <v>7.5</v>
      </c>
      <c r="R71" s="47">
        <f t="shared" ref="R71:R76" si="40">SUM(O71:Q71)</f>
        <v>46.5</v>
      </c>
      <c r="S71" s="28">
        <v>5</v>
      </c>
      <c r="T71" s="284"/>
      <c r="U71" s="275"/>
      <c r="V71" s="37" t="s">
        <v>885</v>
      </c>
      <c r="W71" s="28" t="s">
        <v>1308</v>
      </c>
      <c r="X71" s="28" t="s">
        <v>11</v>
      </c>
      <c r="Y71" s="38">
        <v>39</v>
      </c>
      <c r="Z71" s="28" t="s">
        <v>1074</v>
      </c>
      <c r="AA71" s="28" t="s">
        <v>20</v>
      </c>
      <c r="AB71" s="28" t="s">
        <v>12</v>
      </c>
      <c r="AC71" s="28">
        <v>7.5</v>
      </c>
      <c r="AD71" s="37"/>
      <c r="AG71" s="38"/>
      <c r="AL71" s="37"/>
      <c r="AO71" s="38"/>
      <c r="AP71" s="37"/>
      <c r="AS71" s="38"/>
      <c r="AW71" s="38"/>
      <c r="BA71" s="39"/>
    </row>
    <row r="72" spans="1:53" s="28" customFormat="1" x14ac:dyDescent="0.15">
      <c r="A72" s="28">
        <v>2019</v>
      </c>
      <c r="B72" s="275"/>
      <c r="C72" s="394" t="s">
        <v>1389</v>
      </c>
      <c r="D72" s="394"/>
      <c r="E72" s="28">
        <v>365</v>
      </c>
      <c r="F72" s="39"/>
      <c r="G72" s="28">
        <v>10</v>
      </c>
      <c r="I72" s="28">
        <v>5</v>
      </c>
      <c r="J72" s="72">
        <v>15</v>
      </c>
      <c r="K72" s="46">
        <f t="shared" si="36"/>
        <v>66.666666666666657</v>
      </c>
      <c r="L72" s="46">
        <f t="shared" si="37"/>
        <v>0</v>
      </c>
      <c r="M72" s="46">
        <f t="shared" si="38"/>
        <v>33.333333333333329</v>
      </c>
      <c r="N72" s="67">
        <f t="shared" si="39"/>
        <v>99.999999999999986</v>
      </c>
      <c r="O72" s="45">
        <v>39</v>
      </c>
      <c r="P72" s="46">
        <v>0</v>
      </c>
      <c r="Q72" s="46">
        <v>7.5</v>
      </c>
      <c r="R72" s="47">
        <f t="shared" si="40"/>
        <v>46.5</v>
      </c>
      <c r="S72" s="28">
        <v>5</v>
      </c>
      <c r="T72" s="284"/>
      <c r="U72" s="275"/>
      <c r="V72" s="37" t="s">
        <v>885</v>
      </c>
      <c r="W72" s="28" t="s">
        <v>1308</v>
      </c>
      <c r="X72" s="28" t="s">
        <v>11</v>
      </c>
      <c r="Y72" s="38">
        <v>39</v>
      </c>
      <c r="Z72" s="28" t="s">
        <v>1074</v>
      </c>
      <c r="AA72" s="28" t="s">
        <v>20</v>
      </c>
      <c r="AB72" s="28" t="s">
        <v>12</v>
      </c>
      <c r="AC72" s="28">
        <v>7.5</v>
      </c>
      <c r="AD72" s="37"/>
      <c r="AG72" s="38"/>
      <c r="AK72" s="38"/>
      <c r="AO72" s="38"/>
      <c r="AP72" s="37"/>
      <c r="AS72" s="38"/>
      <c r="AW72" s="38"/>
      <c r="BA72" s="39"/>
    </row>
    <row r="73" spans="1:53" s="28" customFormat="1" x14ac:dyDescent="0.15">
      <c r="A73" s="28">
        <v>2020</v>
      </c>
      <c r="B73" s="275"/>
      <c r="C73" s="394" t="s">
        <v>1389</v>
      </c>
      <c r="D73" s="394"/>
      <c r="E73" s="28">
        <v>0</v>
      </c>
      <c r="F73" s="39"/>
      <c r="G73" s="28">
        <v>10</v>
      </c>
      <c r="I73" s="28">
        <v>5</v>
      </c>
      <c r="J73" s="72">
        <v>15</v>
      </c>
      <c r="K73" s="46">
        <f t="shared" si="36"/>
        <v>66.666666666666657</v>
      </c>
      <c r="L73" s="46">
        <f t="shared" si="37"/>
        <v>0</v>
      </c>
      <c r="M73" s="46">
        <f t="shared" si="38"/>
        <v>33.333333333333329</v>
      </c>
      <c r="N73" s="67">
        <f t="shared" si="39"/>
        <v>99.999999999999986</v>
      </c>
      <c r="O73" s="45">
        <v>39</v>
      </c>
      <c r="P73" s="46">
        <v>0</v>
      </c>
      <c r="Q73" s="46">
        <v>7.5</v>
      </c>
      <c r="R73" s="47">
        <f t="shared" si="40"/>
        <v>46.5</v>
      </c>
      <c r="S73" s="36">
        <v>5</v>
      </c>
      <c r="T73" s="284"/>
      <c r="U73" s="275"/>
      <c r="V73" s="37" t="s">
        <v>885</v>
      </c>
      <c r="W73" s="28" t="s">
        <v>1308</v>
      </c>
      <c r="X73" s="28" t="s">
        <v>11</v>
      </c>
      <c r="Y73" s="38">
        <v>39</v>
      </c>
      <c r="Z73" s="28" t="s">
        <v>1074</v>
      </c>
      <c r="AA73" s="28" t="s">
        <v>20</v>
      </c>
      <c r="AB73" s="28" t="s">
        <v>12</v>
      </c>
      <c r="AC73" s="38">
        <v>7.5</v>
      </c>
      <c r="AG73" s="38"/>
      <c r="AK73" s="38"/>
      <c r="AO73" s="38"/>
      <c r="AS73" s="38"/>
      <c r="AW73" s="38"/>
      <c r="BA73" s="39"/>
    </row>
    <row r="74" spans="1:53" s="28" customFormat="1" x14ac:dyDescent="0.15">
      <c r="A74" s="28">
        <v>2020</v>
      </c>
      <c r="B74" s="275"/>
      <c r="C74" s="394" t="s">
        <v>1389</v>
      </c>
      <c r="D74" s="394"/>
      <c r="E74" s="28">
        <v>366</v>
      </c>
      <c r="F74" s="39"/>
      <c r="G74" s="28">
        <v>10</v>
      </c>
      <c r="I74" s="28">
        <v>5</v>
      </c>
      <c r="J74" s="72">
        <v>15</v>
      </c>
      <c r="K74" s="46">
        <f t="shared" si="36"/>
        <v>66.666666666666657</v>
      </c>
      <c r="L74" s="46">
        <f t="shared" si="37"/>
        <v>0</v>
      </c>
      <c r="M74" s="46">
        <f t="shared" si="38"/>
        <v>33.333333333333329</v>
      </c>
      <c r="N74" s="67">
        <f t="shared" si="39"/>
        <v>99.999999999999986</v>
      </c>
      <c r="O74" s="45">
        <v>39</v>
      </c>
      <c r="P74" s="46">
        <v>0</v>
      </c>
      <c r="Q74" s="46">
        <v>7.5</v>
      </c>
      <c r="R74" s="47">
        <f t="shared" si="40"/>
        <v>46.5</v>
      </c>
      <c r="S74" s="36">
        <v>5</v>
      </c>
      <c r="T74" s="284"/>
      <c r="U74" s="275"/>
      <c r="V74" s="37" t="s">
        <v>885</v>
      </c>
      <c r="W74" s="28" t="s">
        <v>1308</v>
      </c>
      <c r="X74" s="28" t="s">
        <v>11</v>
      </c>
      <c r="Y74" s="38">
        <v>39</v>
      </c>
      <c r="Z74" s="28" t="s">
        <v>1074</v>
      </c>
      <c r="AA74" s="28" t="s">
        <v>20</v>
      </c>
      <c r="AB74" s="28" t="s">
        <v>12</v>
      </c>
      <c r="AC74" s="38">
        <v>7.5</v>
      </c>
      <c r="AG74" s="38"/>
      <c r="AK74" s="38"/>
      <c r="AO74" s="38"/>
      <c r="AS74" s="38"/>
      <c r="AW74" s="38"/>
      <c r="BA74" s="39"/>
    </row>
    <row r="75" spans="1:53" s="28" customFormat="1" x14ac:dyDescent="0.15">
      <c r="A75" s="28">
        <v>2021</v>
      </c>
      <c r="B75" s="275"/>
      <c r="C75" s="394" t="s">
        <v>1389</v>
      </c>
      <c r="D75" s="394"/>
      <c r="E75" s="28">
        <v>350</v>
      </c>
      <c r="F75" s="39"/>
      <c r="G75" s="28">
        <v>10</v>
      </c>
      <c r="I75" s="28">
        <v>5</v>
      </c>
      <c r="J75" s="72">
        <v>15</v>
      </c>
      <c r="K75" s="46">
        <f t="shared" si="36"/>
        <v>66.666666666666657</v>
      </c>
      <c r="L75" s="46">
        <f t="shared" si="37"/>
        <v>0</v>
      </c>
      <c r="M75" s="46">
        <f t="shared" si="38"/>
        <v>33.333333333333329</v>
      </c>
      <c r="N75" s="67">
        <f t="shared" si="39"/>
        <v>99.999999999999986</v>
      </c>
      <c r="O75" s="45">
        <v>36</v>
      </c>
      <c r="P75" s="46">
        <v>0</v>
      </c>
      <c r="Q75" s="46">
        <v>0</v>
      </c>
      <c r="R75" s="47">
        <f t="shared" si="40"/>
        <v>36</v>
      </c>
      <c r="S75" s="36">
        <v>5</v>
      </c>
      <c r="T75" s="284">
        <v>44478</v>
      </c>
      <c r="U75" s="275"/>
      <c r="V75" s="37" t="s">
        <v>885</v>
      </c>
      <c r="W75" s="28" t="s">
        <v>1308</v>
      </c>
      <c r="X75" s="28" t="s">
        <v>11</v>
      </c>
      <c r="Y75" s="38">
        <v>36</v>
      </c>
      <c r="Z75" s="28" t="s">
        <v>1074</v>
      </c>
      <c r="AA75" s="28" t="s">
        <v>20</v>
      </c>
      <c r="AB75" s="28" t="s">
        <v>12</v>
      </c>
      <c r="AC75" s="38">
        <v>0</v>
      </c>
      <c r="AG75" s="38"/>
      <c r="AK75" s="38"/>
      <c r="AO75" s="38"/>
      <c r="AS75" s="38"/>
      <c r="AW75" s="38"/>
      <c r="BA75" s="39"/>
    </row>
    <row r="76" spans="1:53" s="170" customFormat="1" x14ac:dyDescent="0.15">
      <c r="A76" s="170">
        <v>2021</v>
      </c>
      <c r="B76" s="304">
        <v>44547</v>
      </c>
      <c r="C76" s="395" t="s">
        <v>1496</v>
      </c>
      <c r="D76" s="395"/>
      <c r="E76" s="170">
        <v>15</v>
      </c>
      <c r="F76" s="170">
        <v>1</v>
      </c>
      <c r="G76" s="232">
        <v>12</v>
      </c>
      <c r="H76" s="170">
        <v>6</v>
      </c>
      <c r="J76" s="240">
        <v>18</v>
      </c>
      <c r="K76" s="213">
        <f t="shared" si="36"/>
        <v>66.666666666666657</v>
      </c>
      <c r="L76" s="213">
        <f t="shared" si="37"/>
        <v>33.333333333333329</v>
      </c>
      <c r="M76" s="213">
        <f t="shared" si="38"/>
        <v>0</v>
      </c>
      <c r="N76" s="234">
        <f t="shared" si="39"/>
        <v>99.999999999999986</v>
      </c>
      <c r="O76" s="212">
        <v>40.5</v>
      </c>
      <c r="P76" s="213">
        <v>13.5</v>
      </c>
      <c r="Q76" s="213">
        <v>0</v>
      </c>
      <c r="R76" s="214">
        <f t="shared" si="40"/>
        <v>54</v>
      </c>
      <c r="S76" s="170">
        <v>3</v>
      </c>
      <c r="T76" s="283"/>
      <c r="U76" s="281">
        <v>44547</v>
      </c>
      <c r="V76" s="177" t="s">
        <v>1072</v>
      </c>
      <c r="W76" s="170" t="s">
        <v>74</v>
      </c>
      <c r="X76" s="170" t="s">
        <v>11</v>
      </c>
      <c r="Y76" s="178">
        <v>17</v>
      </c>
      <c r="Z76" s="170" t="s">
        <v>1071</v>
      </c>
      <c r="AA76" s="170" t="s">
        <v>17</v>
      </c>
      <c r="AB76" s="170" t="s">
        <v>18</v>
      </c>
      <c r="AC76" s="170">
        <v>11.5</v>
      </c>
      <c r="AD76" s="177" t="s">
        <v>1497</v>
      </c>
      <c r="AE76" s="170" t="s">
        <v>76</v>
      </c>
      <c r="AF76" s="170" t="s">
        <v>11</v>
      </c>
      <c r="AG76" s="178">
        <v>7</v>
      </c>
      <c r="AH76" s="170" t="s">
        <v>1498</v>
      </c>
      <c r="AI76" s="170" t="s">
        <v>1050</v>
      </c>
      <c r="AJ76" s="170" t="s">
        <v>11</v>
      </c>
      <c r="AK76" s="170">
        <v>16.5</v>
      </c>
      <c r="AL76" s="177" t="s">
        <v>1499</v>
      </c>
      <c r="AM76" s="170" t="s">
        <v>899</v>
      </c>
      <c r="AN76" s="170" t="s">
        <v>18</v>
      </c>
      <c r="AO76" s="178">
        <v>2</v>
      </c>
      <c r="AP76" s="177"/>
      <c r="AS76" s="178"/>
      <c r="AW76" s="178"/>
      <c r="BA76" s="179"/>
    </row>
    <row r="77" spans="1:53" s="170" customFormat="1" x14ac:dyDescent="0.15">
      <c r="A77" s="170">
        <v>2022</v>
      </c>
      <c r="B77" s="304"/>
      <c r="C77" s="395" t="s">
        <v>1496</v>
      </c>
      <c r="D77" s="395"/>
      <c r="E77" s="170">
        <v>0</v>
      </c>
      <c r="G77" s="232">
        <v>12</v>
      </c>
      <c r="H77" s="170">
        <v>6</v>
      </c>
      <c r="J77" s="240">
        <v>18</v>
      </c>
      <c r="K77" s="213">
        <f t="shared" si="36"/>
        <v>66.666666666666657</v>
      </c>
      <c r="L77" s="213">
        <f t="shared" si="37"/>
        <v>33.333333333333329</v>
      </c>
      <c r="M77" s="213">
        <f t="shared" si="38"/>
        <v>0</v>
      </c>
      <c r="N77" s="234">
        <f t="shared" si="39"/>
        <v>99.999999999999986</v>
      </c>
      <c r="O77" s="212">
        <v>40.5</v>
      </c>
      <c r="P77" s="213">
        <v>13.5</v>
      </c>
      <c r="Q77" s="213">
        <v>0</v>
      </c>
      <c r="R77" s="214">
        <f t="shared" ref="R77:R78" si="41">SUM(O77:Q77)</f>
        <v>54</v>
      </c>
      <c r="S77" s="170">
        <v>3</v>
      </c>
      <c r="T77" s="283"/>
      <c r="U77" s="281"/>
      <c r="V77" s="177" t="s">
        <v>1072</v>
      </c>
      <c r="W77" s="170" t="s">
        <v>74</v>
      </c>
      <c r="X77" s="170" t="s">
        <v>11</v>
      </c>
      <c r="Y77" s="178">
        <v>17</v>
      </c>
      <c r="Z77" s="170" t="s">
        <v>1071</v>
      </c>
      <c r="AA77" s="170" t="s">
        <v>17</v>
      </c>
      <c r="AB77" s="170" t="s">
        <v>18</v>
      </c>
      <c r="AC77" s="170">
        <v>11.5</v>
      </c>
      <c r="AD77" s="177" t="s">
        <v>1497</v>
      </c>
      <c r="AE77" s="170" t="s">
        <v>76</v>
      </c>
      <c r="AF77" s="170" t="s">
        <v>11</v>
      </c>
      <c r="AG77" s="178">
        <v>7</v>
      </c>
      <c r="AH77" s="170" t="s">
        <v>1498</v>
      </c>
      <c r="AI77" s="170" t="s">
        <v>1050</v>
      </c>
      <c r="AJ77" s="170" t="s">
        <v>11</v>
      </c>
      <c r="AK77" s="170">
        <v>16.5</v>
      </c>
      <c r="AL77" s="177" t="s">
        <v>1499</v>
      </c>
      <c r="AM77" s="170" t="s">
        <v>899</v>
      </c>
      <c r="AN77" s="170" t="s">
        <v>18</v>
      </c>
      <c r="AO77" s="178">
        <v>2</v>
      </c>
      <c r="AP77" s="177"/>
      <c r="AS77" s="178"/>
      <c r="AW77" s="178"/>
      <c r="BA77" s="179"/>
    </row>
    <row r="78" spans="1:53" s="170" customFormat="1" x14ac:dyDescent="0.15">
      <c r="A78" s="170">
        <v>2022</v>
      </c>
      <c r="B78" s="304"/>
      <c r="C78" s="395" t="s">
        <v>1496</v>
      </c>
      <c r="D78" s="395"/>
      <c r="E78" s="170">
        <v>365</v>
      </c>
      <c r="G78" s="232">
        <v>12</v>
      </c>
      <c r="H78" s="170">
        <v>6</v>
      </c>
      <c r="J78" s="240">
        <v>18</v>
      </c>
      <c r="K78" s="213">
        <f t="shared" si="36"/>
        <v>66.666666666666657</v>
      </c>
      <c r="L78" s="213">
        <f t="shared" si="37"/>
        <v>33.333333333333329</v>
      </c>
      <c r="M78" s="213">
        <f t="shared" si="38"/>
        <v>0</v>
      </c>
      <c r="N78" s="234">
        <f t="shared" si="39"/>
        <v>99.999999999999986</v>
      </c>
      <c r="O78" s="212">
        <v>40.5</v>
      </c>
      <c r="P78" s="213">
        <v>13.5</v>
      </c>
      <c r="Q78" s="213">
        <v>0</v>
      </c>
      <c r="R78" s="214">
        <f t="shared" si="41"/>
        <v>54</v>
      </c>
      <c r="S78" s="170">
        <v>3</v>
      </c>
      <c r="T78" s="283"/>
      <c r="U78" s="281"/>
      <c r="V78" s="177" t="s">
        <v>1072</v>
      </c>
      <c r="W78" s="170" t="s">
        <v>74</v>
      </c>
      <c r="X78" s="170" t="s">
        <v>11</v>
      </c>
      <c r="Y78" s="178">
        <v>17</v>
      </c>
      <c r="Z78" s="170" t="s">
        <v>1071</v>
      </c>
      <c r="AA78" s="170" t="s">
        <v>17</v>
      </c>
      <c r="AB78" s="170" t="s">
        <v>18</v>
      </c>
      <c r="AC78" s="170">
        <v>11.5</v>
      </c>
      <c r="AD78" s="177" t="s">
        <v>1497</v>
      </c>
      <c r="AE78" s="170" t="s">
        <v>76</v>
      </c>
      <c r="AF78" s="170" t="s">
        <v>11</v>
      </c>
      <c r="AG78" s="178">
        <v>7</v>
      </c>
      <c r="AH78" s="170" t="s">
        <v>1498</v>
      </c>
      <c r="AI78" s="170" t="s">
        <v>1050</v>
      </c>
      <c r="AJ78" s="170" t="s">
        <v>11</v>
      </c>
      <c r="AK78" s="170">
        <v>16.5</v>
      </c>
      <c r="AL78" s="177" t="s">
        <v>1499</v>
      </c>
      <c r="AM78" s="170" t="s">
        <v>899</v>
      </c>
      <c r="AN78" s="170" t="s">
        <v>18</v>
      </c>
      <c r="AO78" s="178">
        <v>2</v>
      </c>
      <c r="AP78" s="177"/>
      <c r="AS78" s="178"/>
      <c r="AW78" s="178"/>
      <c r="BA78" s="179"/>
    </row>
    <row r="79" spans="1:53" ht="9" customHeight="1" x14ac:dyDescent="0.15"/>
    <row r="80" spans="1:53" ht="18" customHeight="1" x14ac:dyDescent="0.15">
      <c r="B80" s="15" t="s">
        <v>1262</v>
      </c>
    </row>
    <row r="81" spans="1:30" ht="9" customHeight="1" x14ac:dyDescent="0.15"/>
    <row r="82" spans="1:30" s="194" customFormat="1" ht="9" customHeight="1" x14ac:dyDescent="0.15">
      <c r="A82" s="192"/>
      <c r="B82" s="193" t="s">
        <v>1213</v>
      </c>
      <c r="C82" s="193"/>
      <c r="D82" s="193"/>
      <c r="E82" s="193"/>
      <c r="F82" s="193"/>
      <c r="G82" s="193" t="s">
        <v>1214</v>
      </c>
      <c r="H82" s="193"/>
      <c r="I82" s="193"/>
      <c r="J82" s="193"/>
      <c r="K82" s="193"/>
      <c r="L82" s="193"/>
      <c r="M82" s="193"/>
      <c r="N82" s="193"/>
      <c r="R82" s="386" t="s">
        <v>1215</v>
      </c>
      <c r="S82" s="386"/>
      <c r="T82" s="386"/>
      <c r="U82" s="386"/>
      <c r="V82" s="386"/>
      <c r="W82" s="386"/>
      <c r="X82" s="195"/>
      <c r="Y82" s="195"/>
      <c r="AA82" s="195"/>
      <c r="AB82" s="195"/>
      <c r="AC82" s="195"/>
      <c r="AD82" s="195"/>
    </row>
    <row r="83" spans="1:30" s="199" customFormat="1" ht="9" customHeight="1" x14ac:dyDescent="0.15">
      <c r="A83" s="196"/>
      <c r="B83" s="197" t="s">
        <v>1217</v>
      </c>
      <c r="C83" s="198"/>
      <c r="D83" s="198"/>
      <c r="E83" s="198"/>
      <c r="F83" s="198"/>
      <c r="G83" s="197" t="s">
        <v>1216</v>
      </c>
      <c r="H83" s="198"/>
      <c r="I83" s="198"/>
      <c r="J83" s="198"/>
      <c r="K83" s="198"/>
      <c r="L83" s="198"/>
      <c r="M83" s="198"/>
      <c r="N83" s="198"/>
      <c r="R83" s="200" t="s">
        <v>1218</v>
      </c>
      <c r="S83" s="201"/>
      <c r="T83" s="202"/>
      <c r="U83" s="202"/>
      <c r="V83" s="202"/>
      <c r="W83" s="200" t="s">
        <v>1219</v>
      </c>
      <c r="X83" s="202"/>
      <c r="Y83" s="202"/>
      <c r="AA83" s="202"/>
      <c r="AB83" s="202"/>
      <c r="AC83" s="202"/>
      <c r="AD83" s="202"/>
    </row>
    <row r="84" spans="1:30" s="185" customFormat="1" ht="12" customHeight="1" x14ac:dyDescent="0.15">
      <c r="A84" s="203" t="s">
        <v>3</v>
      </c>
      <c r="B84" s="204" t="s">
        <v>8</v>
      </c>
      <c r="C84" s="204" t="s">
        <v>9</v>
      </c>
      <c r="D84" s="204" t="s">
        <v>10</v>
      </c>
      <c r="E84" s="205" t="s">
        <v>1193</v>
      </c>
      <c r="F84" s="204"/>
      <c r="G84" s="185" t="s">
        <v>3</v>
      </c>
      <c r="H84" s="387" t="s">
        <v>0</v>
      </c>
      <c r="I84" s="387"/>
      <c r="J84" s="387" t="s">
        <v>1</v>
      </c>
      <c r="K84" s="387"/>
      <c r="L84" s="387" t="s">
        <v>2</v>
      </c>
      <c r="M84" s="387"/>
      <c r="N84" s="388" t="s">
        <v>1193</v>
      </c>
      <c r="O84" s="388"/>
      <c r="P84" s="206"/>
      <c r="Q84" s="206"/>
      <c r="R84" s="207" t="s">
        <v>3</v>
      </c>
      <c r="S84" s="208" t="s">
        <v>135</v>
      </c>
      <c r="T84" s="206" t="s">
        <v>133</v>
      </c>
      <c r="U84" s="204" t="s">
        <v>134</v>
      </c>
      <c r="V84" s="206"/>
      <c r="W84" s="209" t="s">
        <v>26</v>
      </c>
    </row>
    <row r="85" spans="1:30" x14ac:dyDescent="0.15">
      <c r="A85" s="1">
        <v>1990</v>
      </c>
      <c r="B85" s="5">
        <f>(K7*($E7/189))</f>
        <v>47.619047619047613</v>
      </c>
      <c r="C85" s="5">
        <f>(L7*($E7/189))</f>
        <v>14.285714285714285</v>
      </c>
      <c r="D85" s="5">
        <f>(M7*($E7/189))</f>
        <v>0</v>
      </c>
      <c r="E85" s="17">
        <f>SUM(B85:D85)</f>
        <v>61.904761904761898</v>
      </c>
      <c r="G85" s="1">
        <v>1990</v>
      </c>
      <c r="H85" s="365">
        <f>(O7/$R7*100*($E7/189))</f>
        <v>75.903614457831324</v>
      </c>
      <c r="I85" s="365"/>
      <c r="J85" s="365">
        <f>(P7/$R7*100*($E7/189))</f>
        <v>24.096385542168676</v>
      </c>
      <c r="K85" s="365"/>
      <c r="L85" s="365">
        <f>(Q7/$R7*100*($E7/189))</f>
        <v>0</v>
      </c>
      <c r="M85" s="365"/>
      <c r="N85" s="363">
        <f>SUM(H85:M85)</f>
        <v>100</v>
      </c>
      <c r="O85" s="363"/>
      <c r="R85" s="1">
        <v>1990</v>
      </c>
      <c r="S85" s="5">
        <f>(O7*($E7/189))</f>
        <v>63</v>
      </c>
      <c r="T85" s="5">
        <f>(P7*($E7/189))</f>
        <v>20</v>
      </c>
      <c r="U85" s="5">
        <f>(Q7*($E7/189))</f>
        <v>0</v>
      </c>
      <c r="W85" s="10">
        <f>SUM(S85:U85)</f>
        <v>83</v>
      </c>
      <c r="Y85" s="27" t="s">
        <v>1138</v>
      </c>
    </row>
    <row r="86" spans="1:30" x14ac:dyDescent="0.15">
      <c r="A86" s="1">
        <v>1991</v>
      </c>
      <c r="B86" s="5">
        <f>(K8*($E8/365))+(K9*($E9/365))</f>
        <v>47.619047619047613</v>
      </c>
      <c r="C86" s="5">
        <f>(L8*($E8/365))+(L9*($E9/365))</f>
        <v>14.285714285714285</v>
      </c>
      <c r="D86" s="5">
        <f>(M8*($E8/365))+(M9*($E9/365))</f>
        <v>0</v>
      </c>
      <c r="E86" s="17">
        <f t="shared" ref="E86:E107" si="42">SUM(B86:D86)</f>
        <v>61.904761904761898</v>
      </c>
      <c r="G86" s="1">
        <v>1991</v>
      </c>
      <c r="H86" s="362">
        <f>(O8/$R8*100*($E8/365))+(O9/$R9*100*($E9/365))</f>
        <v>75.903614457831324</v>
      </c>
      <c r="I86" s="362"/>
      <c r="J86" s="362">
        <f>(P8/$R8*100*($E8/365))+(P9/$R9*100*($E9/365))</f>
        <v>24.096385542168676</v>
      </c>
      <c r="K86" s="362"/>
      <c r="L86" s="362">
        <f>(Q8/$R8*100*($E8/365))+(Q9/$R9*100*($E9/365))</f>
        <v>0</v>
      </c>
      <c r="M86" s="362"/>
      <c r="N86" s="363">
        <f t="shared" ref="N86:N107" si="43">SUM(H86:M86)</f>
        <v>100</v>
      </c>
      <c r="O86" s="363"/>
      <c r="R86" s="1">
        <v>1991</v>
      </c>
      <c r="S86" s="5">
        <f>(O8*($E8/365))+(O9*($E9/365))</f>
        <v>63</v>
      </c>
      <c r="T86" s="5">
        <f>(P8*($E8/365))+(P9*($E9/365))</f>
        <v>20</v>
      </c>
      <c r="U86" s="5">
        <f>(Q8*($E8/365))+(Q9*($E9/365))</f>
        <v>0</v>
      </c>
      <c r="W86" s="10">
        <f t="shared" ref="W86:W107" si="44">SUM(S86:U86)</f>
        <v>83</v>
      </c>
    </row>
    <row r="87" spans="1:30" x14ac:dyDescent="0.15">
      <c r="A87" s="1">
        <v>1992</v>
      </c>
      <c r="B87" s="5">
        <f>(K10*($E10/366))+(K11*($E11/366))</f>
        <v>63.19761151512661</v>
      </c>
      <c r="C87" s="5">
        <f>(L10*($E10/366))+(L11*($E11/366))</f>
        <v>17.650684087267347</v>
      </c>
      <c r="D87" s="5">
        <f>(M10*($E10/366))+(M11*($E11/366))</f>
        <v>0</v>
      </c>
      <c r="E87" s="17">
        <f t="shared" si="42"/>
        <v>80.848295602393961</v>
      </c>
      <c r="G87" s="1">
        <v>1992</v>
      </c>
      <c r="H87" s="362">
        <f>(O10/$R10*100*($E10/366))+(O11/$R11*100*($E11/366))</f>
        <v>80.78214497333596</v>
      </c>
      <c r="I87" s="362"/>
      <c r="J87" s="362">
        <f>(P10/$R10*100*($E10/366))+(P11/$R11*100*($E11/366))</f>
        <v>19.217855026664033</v>
      </c>
      <c r="K87" s="362"/>
      <c r="L87" s="362">
        <f>(Q10/$R10*100*($E10/366))+(Q11/$R11*100*($E11/366))</f>
        <v>0</v>
      </c>
      <c r="M87" s="362"/>
      <c r="N87" s="363">
        <f t="shared" si="43"/>
        <v>100</v>
      </c>
      <c r="O87" s="363"/>
      <c r="R87" s="1">
        <v>1992</v>
      </c>
      <c r="S87" s="5">
        <f>(O10*($E10/366))+(O11*($E11/366))</f>
        <v>54.049180327868854</v>
      </c>
      <c r="T87" s="5">
        <f>(P10*($E10/366))+(P11*($E11/366))</f>
        <v>13.784153005464482</v>
      </c>
      <c r="U87" s="5">
        <f>(Q10*($E10/366))+(Q11*($E11/366))</f>
        <v>0</v>
      </c>
      <c r="W87" s="10">
        <f t="shared" si="44"/>
        <v>67.833333333333343</v>
      </c>
    </row>
    <row r="88" spans="1:30" x14ac:dyDescent="0.15">
      <c r="A88" s="1">
        <v>1993</v>
      </c>
      <c r="B88" s="5">
        <f>(K12*($E12/365))+(K13*($E13/365))</f>
        <v>78.94736842105263</v>
      </c>
      <c r="C88" s="5">
        <f>(L12*($E12/365))+(L13*($E13/365))</f>
        <v>21.052631578947366</v>
      </c>
      <c r="D88" s="5">
        <f>(M12*($E12/365))+(M13*($E13/365))</f>
        <v>0</v>
      </c>
      <c r="E88" s="17">
        <f t="shared" si="42"/>
        <v>100</v>
      </c>
      <c r="G88" s="1">
        <v>1993</v>
      </c>
      <c r="H88" s="362">
        <f>(O12/$R12*100*($E12/365))+(O13/$R13*100*($E13/365))</f>
        <v>85.714285714285708</v>
      </c>
      <c r="I88" s="362"/>
      <c r="J88" s="362">
        <f>(P12/$R12*100*($E12/365))+(P13/$R13*100*($E13/365))</f>
        <v>14.285714285714285</v>
      </c>
      <c r="K88" s="362"/>
      <c r="L88" s="362">
        <f>(Q12/$R12*100*($E12/365))+(Q13/$R13*100*($E13/365))</f>
        <v>0</v>
      </c>
      <c r="M88" s="362"/>
      <c r="N88" s="363">
        <f t="shared" si="43"/>
        <v>100</v>
      </c>
      <c r="O88" s="363"/>
      <c r="R88" s="1">
        <v>1993</v>
      </c>
      <c r="S88" s="5">
        <f>(O12*($E12/365))+(O13*($E13/365))</f>
        <v>45</v>
      </c>
      <c r="T88" s="5">
        <f>(P12*($E12/365))+(P13*($E13/365))</f>
        <v>7.5</v>
      </c>
      <c r="U88" s="5">
        <f>(Q12*($E12/365))+(Q13*($E13/365))</f>
        <v>0</v>
      </c>
      <c r="W88" s="10">
        <f t="shared" si="44"/>
        <v>52.5</v>
      </c>
    </row>
    <row r="89" spans="1:30" x14ac:dyDescent="0.15">
      <c r="A89" s="1">
        <v>1994</v>
      </c>
      <c r="B89" s="5">
        <f>(K14*($E14/365))+(K15*($E15/365))</f>
        <v>78.94736842105263</v>
      </c>
      <c r="C89" s="5">
        <f>(L14*($E14/365))+(L15*($E15/365))</f>
        <v>16.020187454938714</v>
      </c>
      <c r="D89" s="5">
        <f>(M14*($E14/365))+(M15*($E15/365))</f>
        <v>0</v>
      </c>
      <c r="E89" s="17">
        <f t="shared" si="42"/>
        <v>94.967555875991337</v>
      </c>
      <c r="G89" s="1">
        <v>1994</v>
      </c>
      <c r="H89" s="362">
        <f>(O14/$R14*100*($E14/365))+(O15/$R15*100*($E15/365))</f>
        <v>85.714285714285694</v>
      </c>
      <c r="I89" s="362"/>
      <c r="J89" s="362">
        <f>(P14/$R14*100*($E14/365))+(P15/$R15*100*($E15/365))</f>
        <v>14.285714285714285</v>
      </c>
      <c r="K89" s="362"/>
      <c r="L89" s="362">
        <f>(Q14/$R14*100*($E14/365))+(Q15/$R15*100*($E15/365))</f>
        <v>0</v>
      </c>
      <c r="M89" s="362"/>
      <c r="N89" s="363">
        <f t="shared" si="43"/>
        <v>99.999999999999972</v>
      </c>
      <c r="O89" s="363"/>
      <c r="R89" s="1">
        <v>1994</v>
      </c>
      <c r="S89" s="5">
        <f>(O14*($E14/365))+(O15*($E15/365))</f>
        <v>45</v>
      </c>
      <c r="T89" s="5">
        <f>(P14*($E14/365))+(P15*($E15/365))</f>
        <v>7.5</v>
      </c>
      <c r="U89" s="5">
        <f>(Q14*($E14/365))+(Q15*($E15/365))</f>
        <v>0</v>
      </c>
      <c r="W89" s="10">
        <f t="shared" si="44"/>
        <v>52.5</v>
      </c>
    </row>
    <row r="90" spans="1:30" x14ac:dyDescent="0.15">
      <c r="A90" s="1">
        <v>1995</v>
      </c>
      <c r="B90" s="5">
        <f>(K16*($E16/365))+(K17*($E17/365))</f>
        <v>78.94736842105263</v>
      </c>
      <c r="C90" s="5">
        <f>(L16*($E16/365))+(L17*($E17/365))</f>
        <v>15.789473684210526</v>
      </c>
      <c r="D90" s="5">
        <f>(M16*($E16/365))+(M17*($E17/365))</f>
        <v>0</v>
      </c>
      <c r="E90" s="17">
        <f t="shared" si="42"/>
        <v>94.73684210526315</v>
      </c>
      <c r="G90" s="1">
        <v>1995</v>
      </c>
      <c r="H90" s="362">
        <f>(O16/$R16*100*($E16/365))+(O17/$R17*100*($E17/365))</f>
        <v>85.714285714285708</v>
      </c>
      <c r="I90" s="362"/>
      <c r="J90" s="362">
        <f>(P16/$R16*100*($E16/365))+(P17/$R17*100*($E17/365))</f>
        <v>14.285714285714285</v>
      </c>
      <c r="K90" s="362"/>
      <c r="L90" s="362">
        <f>(Q16/$R16*100*($E16/365))+(Q17/$R17*100*($E17/365))</f>
        <v>0</v>
      </c>
      <c r="M90" s="362"/>
      <c r="N90" s="363">
        <f t="shared" si="43"/>
        <v>100</v>
      </c>
      <c r="O90" s="363"/>
      <c r="R90" s="1">
        <v>1995</v>
      </c>
      <c r="S90" s="5">
        <f>(O16*($E16/365))+(O17*($E17/365))</f>
        <v>45</v>
      </c>
      <c r="T90" s="5">
        <f>(P16*($E16/365))+(P17*($E17/365))</f>
        <v>7.5</v>
      </c>
      <c r="U90" s="5">
        <f>(Q16*($E16/365))+(Q17*($E17/365))</f>
        <v>0</v>
      </c>
      <c r="W90" s="10">
        <f t="shared" si="44"/>
        <v>52.5</v>
      </c>
    </row>
    <row r="91" spans="1:30" x14ac:dyDescent="0.15">
      <c r="A91" s="1">
        <v>1996</v>
      </c>
      <c r="B91" s="5">
        <f>(K18*($E18/366))+(K19*($E19/366))</f>
        <v>77.221742881794654</v>
      </c>
      <c r="C91" s="5">
        <f>(L18*($E18/366))+(L19*($E19/366))</f>
        <v>19.815933275812483</v>
      </c>
      <c r="D91" s="5">
        <f>(M18*($E18/366))+(M19*($E19/366))</f>
        <v>0</v>
      </c>
      <c r="E91" s="17">
        <f t="shared" si="42"/>
        <v>97.037676157607137</v>
      </c>
      <c r="G91" s="1">
        <v>1996</v>
      </c>
      <c r="H91" s="362">
        <f>(O18/$R18*100*($E18/366))+(O19/$R19*100*($E19/366))</f>
        <v>84.011070896316795</v>
      </c>
      <c r="I91" s="362"/>
      <c r="J91" s="362">
        <f>(P18/$R18*100*($E18/366))+(P19/$R19*100*($E19/366))</f>
        <v>15.988929103683201</v>
      </c>
      <c r="K91" s="362"/>
      <c r="L91" s="362">
        <f>(Q18/$R18*100*($E18/366))+(Q19/$R19*100*($E19/366))</f>
        <v>0</v>
      </c>
      <c r="M91" s="362"/>
      <c r="N91" s="363">
        <f t="shared" si="43"/>
        <v>100</v>
      </c>
      <c r="O91" s="363"/>
      <c r="R91" s="1">
        <v>1996</v>
      </c>
      <c r="S91" s="5">
        <f>(O18*($E18/366))+(O19*($E19/366))</f>
        <v>43.032786885245898</v>
      </c>
      <c r="T91" s="5">
        <f>(P18*($E18/366))+(P19*($E19/366))</f>
        <v>8.1557377049180317</v>
      </c>
      <c r="U91" s="5">
        <f>(Q18*($E18/366))+(Q19*($E19/366))</f>
        <v>0</v>
      </c>
      <c r="W91" s="10">
        <f t="shared" si="44"/>
        <v>51.188524590163929</v>
      </c>
    </row>
    <row r="92" spans="1:30" x14ac:dyDescent="0.15">
      <c r="A92" s="1">
        <v>1997</v>
      </c>
      <c r="B92" s="5">
        <f>(K20*($E20/365))+(K21*($E21/365))</f>
        <v>74.075342465753423</v>
      </c>
      <c r="C92" s="5">
        <f>(L20*($E20/365))+(L21*($E21/365))</f>
        <v>25.000000000000004</v>
      </c>
      <c r="D92" s="5">
        <f>(M20*($E20/365))+(M21*($E21/365))</f>
        <v>0</v>
      </c>
      <c r="E92" s="17">
        <f t="shared" si="42"/>
        <v>99.075342465753423</v>
      </c>
      <c r="G92" s="1">
        <v>1997</v>
      </c>
      <c r="H92" s="362">
        <f>(O20/$R20*100*($E20/365))+(O21/$R21*100*($E21/365))</f>
        <v>81.818181818181827</v>
      </c>
      <c r="I92" s="362"/>
      <c r="J92" s="362">
        <f>(P20/$R20*100*($E20/365))+(P21/$R21*100*($E21/365))</f>
        <v>18.181818181818183</v>
      </c>
      <c r="K92" s="362"/>
      <c r="L92" s="362">
        <f>(Q20/$R20*100*($E20/365))+(Q21/$R21*100*($E21/365))</f>
        <v>0</v>
      </c>
      <c r="M92" s="362"/>
      <c r="N92" s="363">
        <f t="shared" si="43"/>
        <v>100.00000000000001</v>
      </c>
      <c r="O92" s="363"/>
      <c r="R92" s="1">
        <v>1997</v>
      </c>
      <c r="S92" s="5">
        <f>(O20*($E20/365))+(O21*($E21/365))</f>
        <v>40.5</v>
      </c>
      <c r="T92" s="5">
        <f>(P20*($E20/365))+(P21*($E21/365))</f>
        <v>9</v>
      </c>
      <c r="U92" s="5">
        <f>(Q20*($E20/365))+(Q21*($E21/365))</f>
        <v>0</v>
      </c>
      <c r="W92" s="10">
        <f t="shared" si="44"/>
        <v>49.5</v>
      </c>
    </row>
    <row r="93" spans="1:30" x14ac:dyDescent="0.15">
      <c r="A93" s="1">
        <v>1998</v>
      </c>
      <c r="B93" s="5">
        <f>(K22*($E22/365))+(K23*($E23/365))+(K24*($E24/365))</f>
        <v>27.986502820306207</v>
      </c>
      <c r="C93" s="5">
        <f>(L22*($E22/365))+(L23*($E23/365))+(L24*($E24/365))</f>
        <v>11.663980660757456</v>
      </c>
      <c r="D93" s="5">
        <f>(M22*($E22/365))+(M23*($E23/365))+(M24*($E24/365))</f>
        <v>35.039653929343906</v>
      </c>
      <c r="E93" s="17">
        <f t="shared" si="42"/>
        <v>74.690137410407573</v>
      </c>
      <c r="G93" s="1">
        <v>1998</v>
      </c>
      <c r="H93" s="362">
        <f>(O22/$R22*100*($E22/365))+(O23/$R23*100*($E23/365))+(O24/$R24*100*($E24/365))</f>
        <v>51.556662515566636</v>
      </c>
      <c r="I93" s="362"/>
      <c r="J93" s="362">
        <f>(P22/$R22*100*($E22/365))+(P23/$R23*100*($E23/365))+(P24/$R24*100*($E24/365))</f>
        <v>11.457036114570363</v>
      </c>
      <c r="K93" s="362"/>
      <c r="L93" s="362">
        <f>(Q22/$R22*100*($E22/365))+(Q23/$R23*100*($E23/365))+(Q24/$R24*100*($E24/365))</f>
        <v>36.986301369863014</v>
      </c>
      <c r="M93" s="362"/>
      <c r="N93" s="363">
        <f t="shared" si="43"/>
        <v>100.00000000000001</v>
      </c>
      <c r="O93" s="363"/>
      <c r="R93" s="1">
        <v>1998</v>
      </c>
      <c r="S93" s="5">
        <f>(O22*($E22/365))+(O23*($E23/365))+(O24*($E24/365))</f>
        <v>25.520547945205482</v>
      </c>
      <c r="T93" s="5">
        <f>(P22*($E22/365))+(P23*($E23/365))+(P24*($E24/365))</f>
        <v>5.6712328767123292</v>
      </c>
      <c r="U93" s="5">
        <f>(Q22*($E22/365))+(Q23*($E23/365))+(Q24*($E24/365))</f>
        <v>13.684931506849315</v>
      </c>
      <c r="W93" s="10">
        <f t="shared" si="44"/>
        <v>44.876712328767127</v>
      </c>
    </row>
    <row r="94" spans="1:30" x14ac:dyDescent="0.15">
      <c r="A94" s="1">
        <v>1999</v>
      </c>
      <c r="B94" s="5">
        <f>(K25*($E25/365))+(K26*($E26/365))+(K27*($E27/365))</f>
        <v>0</v>
      </c>
      <c r="C94" s="5">
        <f>(L25*($E25/365))+(L26*($E26/365))+(L27*($E27/365))</f>
        <v>0</v>
      </c>
      <c r="D94" s="5">
        <f>(M25*($E25/365))+(M26*($E26/365))+(M27*($E27/365))</f>
        <v>94.575116275782122</v>
      </c>
      <c r="E94" s="17">
        <f t="shared" si="42"/>
        <v>94.575116275782122</v>
      </c>
      <c r="G94" s="1">
        <v>1999</v>
      </c>
      <c r="H94" s="362">
        <f>(O25/$R25*100*($E25/365))+(O26/$R26*100*($E26/365))+(O27/$R27*100*($E27/365))</f>
        <v>0</v>
      </c>
      <c r="I94" s="362"/>
      <c r="J94" s="362">
        <f>(P25/$R25*100*($E25/365))+(P26/$R26*100*($E26/365))+(P27/$R27*100*($E27/365))</f>
        <v>0</v>
      </c>
      <c r="K94" s="362"/>
      <c r="L94" s="362">
        <f>(Q25/$R25*100*($E25/365))+(Q26/$R26*100*($E26/365))+(Q27/$R27*100*($E27/365))</f>
        <v>100</v>
      </c>
      <c r="M94" s="362"/>
      <c r="N94" s="363">
        <f t="shared" si="43"/>
        <v>100</v>
      </c>
      <c r="O94" s="363"/>
      <c r="R94" s="1">
        <v>1999</v>
      </c>
      <c r="S94" s="5">
        <f>(O25*($E25/365))+(O26*($E26/365))+(O27*($E27/365))</f>
        <v>0</v>
      </c>
      <c r="T94" s="5">
        <f>(P25*($E25/365))+(P26*($E26/365))+(P27*($E27/365))</f>
        <v>0</v>
      </c>
      <c r="U94" s="5">
        <f>(Q25*($E25/365))+(Q26*($E26/365))+(Q27*($E27/365))</f>
        <v>37</v>
      </c>
      <c r="W94" s="10">
        <f t="shared" si="44"/>
        <v>37</v>
      </c>
    </row>
    <row r="95" spans="1:30" x14ac:dyDescent="0.15">
      <c r="A95" s="1">
        <v>2000</v>
      </c>
      <c r="B95" s="5">
        <f>(K28*($E28/366))+(K29*($E29/366))</f>
        <v>0</v>
      </c>
      <c r="C95" s="5">
        <f>(L28*($E28/366))+(L29*($E29/366))</f>
        <v>0</v>
      </c>
      <c r="D95" s="5">
        <f>(M28*($E28/366))+(M29*($E29/366))</f>
        <v>94.117647058823522</v>
      </c>
      <c r="E95" s="17">
        <f t="shared" si="42"/>
        <v>94.117647058823522</v>
      </c>
      <c r="G95" s="1">
        <v>2000</v>
      </c>
      <c r="H95" s="362">
        <f>(O28/$R28*100*($E28/366))+(O29/$R29*100*($E29/366))</f>
        <v>0</v>
      </c>
      <c r="I95" s="362"/>
      <c r="J95" s="362">
        <f>(P28/$R28*100*($E28/366))+(P29/$R29*100*($E29/366))</f>
        <v>0</v>
      </c>
      <c r="K95" s="362"/>
      <c r="L95" s="362">
        <f>(Q28/$R28*100*($E28/366))+(Q29/$R29*100*($E29/366))</f>
        <v>100</v>
      </c>
      <c r="M95" s="362"/>
      <c r="N95" s="363">
        <f t="shared" si="43"/>
        <v>100</v>
      </c>
      <c r="O95" s="363"/>
      <c r="R95" s="1">
        <v>2000</v>
      </c>
      <c r="S95" s="5">
        <f>(O28*($E28/366))+(O29*($E29/366))</f>
        <v>0</v>
      </c>
      <c r="T95" s="5">
        <f>(P28*($E28/366))+(P29*($E29/366))</f>
        <v>0</v>
      </c>
      <c r="U95" s="5">
        <f>(Q28*($E28/366))+(Q29*($E29/366))</f>
        <v>37</v>
      </c>
      <c r="W95" s="10">
        <f t="shared" si="44"/>
        <v>37</v>
      </c>
    </row>
    <row r="96" spans="1:30" x14ac:dyDescent="0.15">
      <c r="A96" s="1">
        <v>2001</v>
      </c>
      <c r="B96" s="5">
        <f>(K30*($E30/365))+(K31*($E31/365))</f>
        <v>0</v>
      </c>
      <c r="C96" s="5">
        <f>(L30*($E30/365))+(L31*($E31/365))</f>
        <v>0</v>
      </c>
      <c r="D96" s="5">
        <f>(M30*($E30/365))+(M31*($E31/365))</f>
        <v>94.117647058823522</v>
      </c>
      <c r="E96" s="17">
        <f t="shared" si="42"/>
        <v>94.117647058823522</v>
      </c>
      <c r="G96" s="1">
        <v>2001</v>
      </c>
      <c r="H96" s="362">
        <f>(O30/$R30*100*($E30/365))+(O31/$R31*100*($E31/365))</f>
        <v>0</v>
      </c>
      <c r="I96" s="362"/>
      <c r="J96" s="362">
        <f>(P30/$R30*100*($E30/365))+(P31/$R31*100*($E31/365))</f>
        <v>0</v>
      </c>
      <c r="K96" s="362"/>
      <c r="L96" s="362">
        <f>(Q30/$R30*100*($E30/365))+(Q31/$R31*100*($E31/365))</f>
        <v>100</v>
      </c>
      <c r="M96" s="362"/>
      <c r="N96" s="363">
        <f t="shared" si="43"/>
        <v>100</v>
      </c>
      <c r="O96" s="363"/>
      <c r="R96" s="1">
        <v>2001</v>
      </c>
      <c r="S96" s="5">
        <f>(O30*($E30/365))+(O31*($E31/365))</f>
        <v>0</v>
      </c>
      <c r="T96" s="5">
        <f>(P30*($E30/365))+(P31*($E31/365))</f>
        <v>0</v>
      </c>
      <c r="U96" s="5">
        <f>(Q30*($E30/365))+(Q31*($E31/365))</f>
        <v>37</v>
      </c>
      <c r="W96" s="10">
        <f t="shared" si="44"/>
        <v>37</v>
      </c>
    </row>
    <row r="97" spans="1:23" x14ac:dyDescent="0.15">
      <c r="A97" s="1">
        <v>2002</v>
      </c>
      <c r="B97" s="5">
        <f>(K32*($E32/365))+(K33*($E33/365))</f>
        <v>8.2191780821917817</v>
      </c>
      <c r="C97" s="5">
        <f>(L32*($E32/365))+(L33*($E33/365))</f>
        <v>8.2191780821917817</v>
      </c>
      <c r="D97" s="5">
        <f>(M32*($E32/365))+(M33*($E33/365))</f>
        <v>80.419016921837226</v>
      </c>
      <c r="E97" s="17">
        <f t="shared" si="42"/>
        <v>96.85737308622079</v>
      </c>
      <c r="G97" s="1">
        <v>2002</v>
      </c>
      <c r="H97" s="362">
        <f>(O32/$R32*100*($E32/365))+(O33/$R33*100*($E33/365))</f>
        <v>4.15027804150278</v>
      </c>
      <c r="I97" s="362"/>
      <c r="J97" s="362">
        <f>(P32/$R32*100*($E32/365))+(P33/$R33*100*($E33/365))</f>
        <v>10.145124101451241</v>
      </c>
      <c r="K97" s="362"/>
      <c r="L97" s="362">
        <f>(Q32/$R32*100*($E32/365))+(Q33/$R33*100*($E33/365))</f>
        <v>85.704597857045968</v>
      </c>
      <c r="M97" s="362"/>
      <c r="N97" s="363">
        <f t="shared" si="43"/>
        <v>99.999999999999986</v>
      </c>
      <c r="O97" s="363"/>
      <c r="R97" s="1">
        <v>2002</v>
      </c>
      <c r="S97" s="5">
        <f>(O32*($E32/365))+(O33*($E33/365))</f>
        <v>2.095890410958904</v>
      </c>
      <c r="T97" s="5">
        <f>(P32*($E32/365))+(P33*($E33/365))</f>
        <v>5.1232876712328768</v>
      </c>
      <c r="U97" s="5">
        <f>(Q32*($E32/365))+(Q33*($E33/365))</f>
        <v>36.06849315068493</v>
      </c>
      <c r="W97" s="10">
        <f t="shared" si="44"/>
        <v>43.287671232876711</v>
      </c>
    </row>
    <row r="98" spans="1:23" x14ac:dyDescent="0.15">
      <c r="A98" s="1">
        <v>2003</v>
      </c>
      <c r="B98" s="5">
        <f>(K34*($E34/365))+(K35*($E35/365))+(K36*($E36/365))</f>
        <v>17.647058823529413</v>
      </c>
      <c r="C98" s="5">
        <f>(L34*($E34/365))+(L35*($E35/365))+(L36*($E36/365))</f>
        <v>17.647058823529413</v>
      </c>
      <c r="D98" s="5">
        <f>(M34*($E34/365))+(M35*($E35/365))+(M36*($E36/365))</f>
        <v>59.661563255439162</v>
      </c>
      <c r="E98" s="17">
        <f t="shared" si="42"/>
        <v>94.955680902497988</v>
      </c>
      <c r="G98" s="1">
        <v>2003</v>
      </c>
      <c r="H98" s="362">
        <f>(O34/$R34*100*($E34/365))+(O35/$R35*100*($E35/365))+(O36/$R36*100*($E36/365))</f>
        <v>8.9108910891089099</v>
      </c>
      <c r="I98" s="362"/>
      <c r="J98" s="362">
        <f>(P34/$R34*100*($E34/365))+(P35/$R35*100*($E35/365))+(P36/$R36*100*($E36/365))</f>
        <v>21.782178217821784</v>
      </c>
      <c r="K98" s="362"/>
      <c r="L98" s="362">
        <f>(Q34/$R34*100*($E34/365))+(Q35/$R35*100*($E35/365))+(Q36/$R36*100*($E36/365))</f>
        <v>69.306930693069305</v>
      </c>
      <c r="M98" s="362"/>
      <c r="N98" s="363">
        <f t="shared" si="43"/>
        <v>100</v>
      </c>
      <c r="O98" s="363"/>
      <c r="R98" s="1">
        <v>2003</v>
      </c>
      <c r="S98" s="5">
        <f>(O34*($E34/365))+(O35*($E35/365))+(O36*($E36/365))</f>
        <v>4.5</v>
      </c>
      <c r="T98" s="5">
        <f>(P34*($E34/365))+(P35*($E35/365))+(P36*($E36/365))</f>
        <v>11</v>
      </c>
      <c r="U98" s="5">
        <f>(Q34*($E34/365))+(Q35*($E35/365))+(Q36*($E36/365))</f>
        <v>35</v>
      </c>
      <c r="W98" s="10">
        <f t="shared" si="44"/>
        <v>50.5</v>
      </c>
    </row>
    <row r="99" spans="1:23" x14ac:dyDescent="0.15">
      <c r="A99" s="1">
        <v>2004</v>
      </c>
      <c r="B99" s="5">
        <f>(K37*($E37/366))+(K38*($E38/366))</f>
        <v>17.245258759241402</v>
      </c>
      <c r="C99" s="5">
        <f>(L37*($E37/366))+(L38*($E38/366))</f>
        <v>17.245258759241402</v>
      </c>
      <c r="D99" s="5">
        <f>(M37*($E37/366))+(M38*($E38/366))</f>
        <v>58.566377370620373</v>
      </c>
      <c r="E99" s="17">
        <f t="shared" si="42"/>
        <v>93.056894889103177</v>
      </c>
      <c r="G99" s="1">
        <v>2004</v>
      </c>
      <c r="H99" s="362">
        <f>(O37/$R37*100*($E37/366))+(O38/$R38*100*($E38/366))</f>
        <v>8.9108910891089099</v>
      </c>
      <c r="I99" s="362"/>
      <c r="J99" s="362">
        <f>(P37/$R37*100*($E37/366))+(P38/$R38*100*($E38/366))</f>
        <v>21.782178217821784</v>
      </c>
      <c r="K99" s="362"/>
      <c r="L99" s="362">
        <f>(Q37/$R37*100*($E37/366))+(Q38/$R38*100*($E38/366))</f>
        <v>69.306930693069305</v>
      </c>
      <c r="M99" s="362"/>
      <c r="N99" s="363">
        <f t="shared" si="43"/>
        <v>100</v>
      </c>
      <c r="O99" s="363"/>
      <c r="R99" s="1">
        <v>2004</v>
      </c>
      <c r="S99" s="5">
        <f>(O37*($E37/366))+(O38*($E38/366))</f>
        <v>4.5</v>
      </c>
      <c r="T99" s="5">
        <f>(P37*($E37/366))+(P38*($E38/366))</f>
        <v>11</v>
      </c>
      <c r="U99" s="5">
        <f>(Q37*($E37/366))+(Q38*($E38/366))</f>
        <v>35</v>
      </c>
      <c r="W99" s="10">
        <f t="shared" si="44"/>
        <v>50.5</v>
      </c>
    </row>
    <row r="100" spans="1:23" x14ac:dyDescent="0.15">
      <c r="A100" s="1">
        <v>2005</v>
      </c>
      <c r="B100" s="5">
        <f>(K39*($E39/365))+(K40*($E40/365))+(K41*($E41/365))+(K42*($E42/365))</f>
        <v>12.84627092846271</v>
      </c>
      <c r="C100" s="5">
        <f>(L39*($E39/365))+(L40*($E40/365))+(L41*($E41/365))+(L42*($E42/365))</f>
        <v>16.666666666666664</v>
      </c>
      <c r="D100" s="5">
        <f>(M39*($E39/365))+(M40*($E40/365))+(M41*($E41/365))+(M42*($E42/365))</f>
        <v>52.237442922374434</v>
      </c>
      <c r="E100" s="17">
        <f>SUM(B100:D100)</f>
        <v>81.7503805175038</v>
      </c>
      <c r="G100" s="1">
        <v>2005</v>
      </c>
      <c r="H100" s="362">
        <f>(O39/$R39*100*($E39/365))+(O40/$R40*100*($E40/365))+(O41/$R41*100*($E41/365))+(O42/$R42*100*($E42/365))</f>
        <v>8.9108910891089099</v>
      </c>
      <c r="I100" s="362"/>
      <c r="J100" s="362">
        <f>(P39/$R39*100*($E39/365))+(P40/$R40*100*($E40/365))+(P41/$R41*100*($E41/365))+(P42/$R42*100*($E42/365))</f>
        <v>21.782178217821784</v>
      </c>
      <c r="K100" s="362"/>
      <c r="L100" s="362">
        <f>(Q39/$R39*100*($E39/365))+(Q40/$R40*100*($E40/365))+(Q41/$R41*100*($E41/365))+(Q42/$R42*100*($E42/365))</f>
        <v>69.306930693069305</v>
      </c>
      <c r="M100" s="362"/>
      <c r="N100" s="363">
        <f t="shared" si="43"/>
        <v>100</v>
      </c>
      <c r="O100" s="363"/>
      <c r="R100" s="1">
        <v>2005</v>
      </c>
      <c r="S100" s="5">
        <f>(O39*($E39/365))+(O40*($E40/365))+(O41*($E41/365))+(O42*($E42/365))</f>
        <v>4.5</v>
      </c>
      <c r="T100" s="5">
        <f>(P39*($E39/365))+(P40*($E40/365))+(P41*($E41/365))+(P42*($E42/365))</f>
        <v>11</v>
      </c>
      <c r="U100" s="5">
        <f>(Q39*($E39/365))+(Q40*($E40/365))+(Q41*($E41/365))+(Q42*($E42/365))</f>
        <v>35</v>
      </c>
      <c r="W100" s="10">
        <f t="shared" si="44"/>
        <v>50.5</v>
      </c>
    </row>
    <row r="101" spans="1:23" x14ac:dyDescent="0.15">
      <c r="A101" s="1">
        <v>2006</v>
      </c>
      <c r="B101" s="5">
        <f>(K43*($E43/365))+(K44*($E44/365))</f>
        <v>27.490733279613213</v>
      </c>
      <c r="C101" s="5">
        <f>(L43*($E43/365))+(L44*($E44/365))</f>
        <v>11.893634165995167</v>
      </c>
      <c r="D101" s="5">
        <f>(M43*($E43/365))+(M44*($E44/365))</f>
        <v>27.751813053988716</v>
      </c>
      <c r="E101" s="17">
        <f t="shared" si="42"/>
        <v>67.136180499597089</v>
      </c>
      <c r="G101" s="1">
        <v>2006</v>
      </c>
      <c r="H101" s="362">
        <f>(O43/$R43*100*($E43/365))+(O44/$R44*100*($E44/365))</f>
        <v>38.608436186084361</v>
      </c>
      <c r="I101" s="362"/>
      <c r="J101" s="362">
        <f>(P43/$R43*100*($E43/365))+(P44/$R44*100*($E44/365))</f>
        <v>14.680591346805915</v>
      </c>
      <c r="K101" s="362"/>
      <c r="L101" s="362">
        <f>(Q43/$R43*100*($E43/365))+(Q44/$R44*100*($E44/365))</f>
        <v>46.710972467109727</v>
      </c>
      <c r="M101" s="362"/>
      <c r="N101" s="363">
        <f t="shared" si="43"/>
        <v>100</v>
      </c>
      <c r="O101" s="363"/>
      <c r="R101" s="1">
        <v>2006</v>
      </c>
      <c r="S101" s="5">
        <f>(O43*($E43/365))+(O44*($E44/365))</f>
        <v>16.236986301369864</v>
      </c>
      <c r="T101" s="5">
        <f>(P43*($E43/365))+(P44*($E44/365))</f>
        <v>7.4136986301369863</v>
      </c>
      <c r="U101" s="5">
        <f>(Q43*($E43/365))+(Q44*($E44/365))</f>
        <v>23.589041095890412</v>
      </c>
      <c r="W101" s="10">
        <f t="shared" si="44"/>
        <v>47.239726027397268</v>
      </c>
    </row>
    <row r="102" spans="1:23" x14ac:dyDescent="0.15">
      <c r="A102" s="1">
        <v>2007</v>
      </c>
      <c r="B102" s="5">
        <f>(K45*($E45/365))+(K46*($E46/365))</f>
        <v>50.219178082191775</v>
      </c>
      <c r="C102" s="5">
        <f>(L45*($E45/365))+(L46*($E46/365))</f>
        <v>21.735159817351597</v>
      </c>
      <c r="D102" s="5">
        <f>(M45*($E45/365))+(M46*($E46/365))</f>
        <v>16.301369863013697</v>
      </c>
      <c r="E102" s="17">
        <f t="shared" si="42"/>
        <v>88.25570776255708</v>
      </c>
      <c r="G102" s="1">
        <v>2007</v>
      </c>
      <c r="H102" s="362">
        <f>(O45/$R45*100*($E45/365))+(O46/$R46*100*($E46/365))</f>
        <v>81.416438356164377</v>
      </c>
      <c r="I102" s="362"/>
      <c r="J102" s="362">
        <f>(P45/$R45*100*($E45/365))+(P46/$R46*100*($E46/365))</f>
        <v>12.715068493150685</v>
      </c>
      <c r="K102" s="362"/>
      <c r="L102" s="362">
        <f>(Q45/$R45*100*($E45/365))+(Q46/$R46*100*($E46/365))</f>
        <v>5.8684931506849312</v>
      </c>
      <c r="M102" s="362"/>
      <c r="N102" s="363">
        <f t="shared" si="43"/>
        <v>99.999999999999986</v>
      </c>
      <c r="O102" s="363"/>
      <c r="R102" s="1">
        <v>2007</v>
      </c>
      <c r="S102" s="5">
        <f>(O45*($E45/365))+(O46*($E46/365))</f>
        <v>40.5</v>
      </c>
      <c r="T102" s="5">
        <f>(P45*($E45/365))+(P46*($E46/365))</f>
        <v>6.3575342465753426</v>
      </c>
      <c r="U102" s="5">
        <f>(Q45*($E45/365))+(Q46*($E46/365))</f>
        <v>2.9342465753424656</v>
      </c>
      <c r="W102" s="10">
        <f t="shared" si="44"/>
        <v>49.791780821917804</v>
      </c>
    </row>
    <row r="103" spans="1:23" x14ac:dyDescent="0.15">
      <c r="A103" s="1">
        <v>2008</v>
      </c>
      <c r="B103" s="5">
        <f>(K47*($E47/366))+(K48*($E48/366))</f>
        <v>50</v>
      </c>
      <c r="C103" s="5">
        <f>(L47*($E47/366))+(L48*($E48/366))</f>
        <v>22.222222222222221</v>
      </c>
      <c r="D103" s="5">
        <f>(M47*($E47/366))+(M48*($E48/366))</f>
        <v>16.666666666666664</v>
      </c>
      <c r="E103" s="17">
        <f t="shared" si="42"/>
        <v>88.888888888888886</v>
      </c>
      <c r="G103" s="1">
        <v>2008</v>
      </c>
      <c r="H103" s="362">
        <f>(O47/$R47*100*($E47/366))+(O48/$R48*100*($E48/366))</f>
        <v>81</v>
      </c>
      <c r="I103" s="362"/>
      <c r="J103" s="362">
        <f>(P47/$R47*100*($E47/366))+(P48/$R48*100*($E48/366))</f>
        <v>13</v>
      </c>
      <c r="K103" s="362"/>
      <c r="L103" s="362">
        <f>(Q47/$R47*100*($E47/366))+(Q48/$R48*100*($E48/366))</f>
        <v>6</v>
      </c>
      <c r="M103" s="362"/>
      <c r="N103" s="363">
        <f t="shared" si="43"/>
        <v>100</v>
      </c>
      <c r="O103" s="363"/>
      <c r="R103" s="1">
        <v>2008</v>
      </c>
      <c r="S103" s="5">
        <f>(O47*($E47/366))+(O48*($E48/366))</f>
        <v>40.5</v>
      </c>
      <c r="T103" s="5">
        <f>(P47*($E47/366))+(P48*($E48/366))</f>
        <v>6.5</v>
      </c>
      <c r="U103" s="5">
        <f>(Q47*($E47/366))+(Q48*($E48/366))</f>
        <v>3</v>
      </c>
      <c r="W103" s="10">
        <f t="shared" si="44"/>
        <v>50</v>
      </c>
    </row>
    <row r="104" spans="1:23" x14ac:dyDescent="0.15">
      <c r="A104" s="1">
        <v>2009</v>
      </c>
      <c r="B104" s="5">
        <f>(K49*($E49/365))+(K50*($E50/365))</f>
        <v>17.397260273972602</v>
      </c>
      <c r="C104" s="5">
        <f>(L49*($E49/365))+(L50*($E50/365))</f>
        <v>7.7321156773211568</v>
      </c>
      <c r="D104" s="5">
        <f>(M49*($E49/365))+(M50*($E50/365))</f>
        <v>5.7990867579908674</v>
      </c>
      <c r="E104" s="17">
        <f t="shared" si="42"/>
        <v>30.928462709284627</v>
      </c>
      <c r="G104" s="1">
        <v>2009</v>
      </c>
      <c r="H104" s="362">
        <f>(O49/$R49*100*($E49/365))</f>
        <v>28.183561643835617</v>
      </c>
      <c r="I104" s="362"/>
      <c r="J104" s="362">
        <f>(P49/$R49*100*($E49/365))</f>
        <v>4.5232876712328771</v>
      </c>
      <c r="K104" s="362"/>
      <c r="L104" s="362">
        <f>(Q49/$R49*100*($E49/365))</f>
        <v>2.0876712328767124</v>
      </c>
      <c r="M104" s="362"/>
      <c r="N104" s="363">
        <f t="shared" si="43"/>
        <v>34.794520547945211</v>
      </c>
      <c r="O104" s="363"/>
      <c r="R104" s="1">
        <v>2009</v>
      </c>
      <c r="S104" s="5">
        <f>(O49*($E49/365))+(O50*($E50/365))</f>
        <v>14.091780821917808</v>
      </c>
      <c r="T104" s="5">
        <f>(P49*($E49/365))+(P50*($E50/365))</f>
        <v>2.2616438356164386</v>
      </c>
      <c r="U104" s="5">
        <f>(Q49*($E49/365))+(Q50*($E50/365))</f>
        <v>1.0438356164383562</v>
      </c>
      <c r="W104" s="10">
        <f t="shared" si="44"/>
        <v>17.397260273972606</v>
      </c>
    </row>
    <row r="105" spans="1:23" x14ac:dyDescent="0.15">
      <c r="A105" s="1">
        <v>2010</v>
      </c>
      <c r="B105" s="5">
        <f>(K51*($E51/365))+(K52*($E52/365))</f>
        <v>43.981735159817347</v>
      </c>
      <c r="C105" s="5">
        <f>(L51*($E51/365))+(L52*($E52/365))</f>
        <v>0</v>
      </c>
      <c r="D105" s="5">
        <f>(M51*($E51/365))+(M52*($E52/365))</f>
        <v>0</v>
      </c>
      <c r="E105" s="17">
        <f t="shared" si="42"/>
        <v>43.981735159817347</v>
      </c>
      <c r="G105" s="1">
        <v>2010</v>
      </c>
      <c r="H105" s="362">
        <f>(O52/$R52*100*($E52/365))</f>
        <v>47.12328767123288</v>
      </c>
      <c r="I105" s="362"/>
      <c r="J105" s="362">
        <f>(P52/$R52*100*($E52/365))</f>
        <v>0</v>
      </c>
      <c r="K105" s="362"/>
      <c r="L105" s="362">
        <f>(Q52/$R52*100*($E52/365))</f>
        <v>0</v>
      </c>
      <c r="M105" s="362"/>
      <c r="N105" s="363">
        <f t="shared" si="43"/>
        <v>47.12328767123288</v>
      </c>
      <c r="O105" s="363"/>
      <c r="R105" s="1">
        <v>2010</v>
      </c>
      <c r="S105" s="5">
        <f>(O51*($E51/365))+(O52*($E52/365))</f>
        <v>27.802739726027397</v>
      </c>
      <c r="T105" s="5">
        <f>(P51*($E51/365))+(P52*($E52/365))</f>
        <v>0</v>
      </c>
      <c r="U105" s="5">
        <f>(Q51*($E51/365))+(Q52*($E52/365))</f>
        <v>0</v>
      </c>
      <c r="W105" s="10">
        <f t="shared" si="44"/>
        <v>27.802739726027397</v>
      </c>
    </row>
    <row r="106" spans="1:23" x14ac:dyDescent="0.15">
      <c r="A106" s="1">
        <v>2011</v>
      </c>
      <c r="B106" s="5">
        <f>(K53*($E53/365))+(K54*($E54/365))</f>
        <v>88.675799086757991</v>
      </c>
      <c r="C106" s="5">
        <f>(L53*($E53/365))+(L54*($E54/365))</f>
        <v>0</v>
      </c>
      <c r="D106" s="5">
        <f>(M53*($E53/365))+(M54*($E54/365))</f>
        <v>0</v>
      </c>
      <c r="E106" s="17">
        <f t="shared" si="42"/>
        <v>88.675799086757991</v>
      </c>
      <c r="G106" s="1">
        <v>2011</v>
      </c>
      <c r="H106" s="362">
        <f>(O53/$R53*100*($E53/365))+(O54/$R54*100*($E54/365))</f>
        <v>100</v>
      </c>
      <c r="I106" s="362"/>
      <c r="J106" s="362">
        <f>(P53/$R53*100*($E53/365))+(P54/$R54*100*($E54/365))</f>
        <v>0</v>
      </c>
      <c r="K106" s="362"/>
      <c r="L106" s="362">
        <f>(Q53/$R53*100*($E53/365))+(Q54/$R54*100*($E54/365))</f>
        <v>0</v>
      </c>
      <c r="M106" s="362"/>
      <c r="N106" s="363">
        <f t="shared" si="43"/>
        <v>100</v>
      </c>
      <c r="O106" s="363"/>
      <c r="R106" s="1">
        <v>2011</v>
      </c>
      <c r="S106" s="5">
        <f>(O53*($E53/365))+(O54*($E54/365))</f>
        <v>59</v>
      </c>
      <c r="T106" s="5">
        <f>(P53*($E53/365))+(P54*($E54/365))</f>
        <v>0</v>
      </c>
      <c r="U106" s="5">
        <f>(Q53*($E53/365))+(Q54*($E54/365))</f>
        <v>0</v>
      </c>
      <c r="W106" s="10">
        <f t="shared" si="44"/>
        <v>59</v>
      </c>
    </row>
    <row r="107" spans="1:23" x14ac:dyDescent="0.15">
      <c r="A107" s="1">
        <v>2012</v>
      </c>
      <c r="B107" s="5">
        <f>(K55*($E55/366))+(K56*($E56/366))+(K57*($E57/366))</f>
        <v>81.948998178506372</v>
      </c>
      <c r="C107" s="5">
        <f>(L55*($E55/366))+(L56*($E56/366))+(L57*($E57/366))</f>
        <v>0</v>
      </c>
      <c r="D107" s="5">
        <f>(M55*($E55/366))+(M56*($E56/366))+(M57*($E57/366))</f>
        <v>0</v>
      </c>
      <c r="E107" s="17">
        <f t="shared" si="42"/>
        <v>81.948998178506372</v>
      </c>
      <c r="G107" s="1">
        <v>2012</v>
      </c>
      <c r="H107" s="362">
        <f>(O55/$R55*100*($E55/366))+(O56/$R56*100*($E56/366))+(O57/$R57*100*($E57/366))</f>
        <v>100</v>
      </c>
      <c r="I107" s="362"/>
      <c r="J107" s="362">
        <f>(P55/$R55*100*($E55/366))+(P56/$R56*100*($E56/366))+(P57/$R57*100*($E57/366))</f>
        <v>0</v>
      </c>
      <c r="K107" s="362"/>
      <c r="L107" s="362">
        <f>(Q55/$R55*100*($E55/366))+(Q56/$R56*100*($E56/366))+(Q57/$R57*100*($E57/366))</f>
        <v>0</v>
      </c>
      <c r="M107" s="362"/>
      <c r="N107" s="363">
        <f t="shared" si="43"/>
        <v>100</v>
      </c>
      <c r="O107" s="363"/>
      <c r="R107" s="1">
        <v>2012</v>
      </c>
      <c r="S107" s="5">
        <f>(O55*($E55/366))+(O56*($E56/366))+(O57*($E57/366))</f>
        <v>59</v>
      </c>
      <c r="T107" s="5">
        <f>(P55*($E55/366))+(P56*($E56/366))+(P57*($E57/366))</f>
        <v>0</v>
      </c>
      <c r="U107" s="5">
        <f>(Q55*($E55/366))+(Q56*($E56/366))+(Q57*($E57/366))</f>
        <v>0</v>
      </c>
      <c r="W107" s="10">
        <f t="shared" si="44"/>
        <v>59</v>
      </c>
    </row>
    <row r="108" spans="1:23" x14ac:dyDescent="0.15">
      <c r="A108" s="1">
        <v>2013</v>
      </c>
      <c r="B108" s="5">
        <f>(K58*($E58/365))+(K59*($E59/365))+(K60*($E60/365))</f>
        <v>37.106164383561641</v>
      </c>
      <c r="C108" s="5">
        <f>(L58*($E58/365))+(L59*($E59/365))+(L60*($E60/365))</f>
        <v>3.1963470319634704</v>
      </c>
      <c r="D108" s="5">
        <f>(M58*($E58/365))+(M59*($E59/365))+(M60*($E60/365))</f>
        <v>0</v>
      </c>
      <c r="E108" s="17">
        <f>SUM(B108:D108)</f>
        <v>40.30251141552511</v>
      </c>
      <c r="G108" s="1">
        <v>2013</v>
      </c>
      <c r="H108" s="362">
        <f>(O58/$R58*100*($E58/365))+(O59/$R59*100*($E59/365))</f>
        <v>52.054794520547944</v>
      </c>
      <c r="I108" s="362"/>
      <c r="J108" s="362">
        <f>(P58/$R58*100*($E58/365))+(P59/$R59*100*($E59/365))</f>
        <v>0</v>
      </c>
      <c r="K108" s="362"/>
      <c r="L108" s="362">
        <f>(Q58/$R58*100*($E58/365))+(Q59/$R59*100*($E59/365))</f>
        <v>0</v>
      </c>
      <c r="M108" s="362"/>
      <c r="N108" s="363">
        <f>SUM(H108:M108)</f>
        <v>52.054794520547944</v>
      </c>
      <c r="O108" s="363"/>
      <c r="R108" s="1">
        <v>2013</v>
      </c>
      <c r="S108" s="5">
        <f>(O58*($E58/365))+(O59*($E59/365))+(O60*($E60/365))</f>
        <v>30.712328767123289</v>
      </c>
      <c r="T108" s="5">
        <f>(P58*($E58/365))+(P59*($E59/365))+(P60*($E60/365))</f>
        <v>0</v>
      </c>
      <c r="U108" s="5">
        <f>(Q58*($E58/365))+(Q59*($E59/365))+(Q60*($E60/365))</f>
        <v>0</v>
      </c>
      <c r="W108" s="10">
        <f>SUM(S108:U108)</f>
        <v>30.712328767123289</v>
      </c>
    </row>
    <row r="109" spans="1:23" x14ac:dyDescent="0.15">
      <c r="A109" s="1">
        <v>2014</v>
      </c>
      <c r="B109" s="5">
        <f>(K61*($E61/365))+(K62*($E62/365))</f>
        <v>32.586623690572118</v>
      </c>
      <c r="C109" s="5">
        <f>(L61*($E61/365))+(L62*($E62/365))</f>
        <v>16.804727370400215</v>
      </c>
      <c r="D109" s="5">
        <f>(M61*($E61/365))+(M62*($E62/365))</f>
        <v>43.448831587429488</v>
      </c>
      <c r="E109" s="17">
        <f>SUM(B109:D109)</f>
        <v>92.840182648401822</v>
      </c>
      <c r="G109" s="1">
        <v>2014</v>
      </c>
      <c r="H109" s="362">
        <f>(O62/$R62*100*($E62/365))</f>
        <v>39.094162655806493</v>
      </c>
      <c r="I109" s="362"/>
      <c r="J109" s="362">
        <f>(P62/$R62*100*($E62/365))</f>
        <v>11.645069727261507</v>
      </c>
      <c r="K109" s="362"/>
      <c r="L109" s="362">
        <f>(Q62/$R62*100*($E62/365))</f>
        <v>41.589534740219669</v>
      </c>
      <c r="M109" s="362"/>
      <c r="N109" s="363">
        <f>SUM(H109:M109)</f>
        <v>92.328767123287662</v>
      </c>
      <c r="O109" s="363"/>
      <c r="R109" s="1">
        <v>2014</v>
      </c>
      <c r="S109" s="5">
        <f>(O61*($E61/365))+(O62*($E62/365))</f>
        <v>21.697260273972603</v>
      </c>
      <c r="T109" s="5">
        <f>(P61*($E61/365))+(P62*($E62/365))</f>
        <v>6.463013698630137</v>
      </c>
      <c r="U109" s="5">
        <f>(Q61*($E61/365))+(Q62*($E62/365))</f>
        <v>23.082191780821919</v>
      </c>
      <c r="W109" s="10">
        <f>SUM(S109:U109)</f>
        <v>51.242465753424653</v>
      </c>
    </row>
    <row r="110" spans="1:23" x14ac:dyDescent="0.15">
      <c r="A110" s="1">
        <v>2015</v>
      </c>
      <c r="B110" s="5">
        <f>(K63*($E63/365))+(K64*($E64/365))</f>
        <v>35.294117647058826</v>
      </c>
      <c r="C110" s="5">
        <f>(L63*($E63/365))+(L64*($E64/365))</f>
        <v>17.647058823529413</v>
      </c>
      <c r="D110" s="5">
        <f>(M63*($E63/365))+(M64*($E64/365))</f>
        <v>47.058823529411761</v>
      </c>
      <c r="E110" s="17">
        <f>SUM(B110:D110)</f>
        <v>100</v>
      </c>
      <c r="G110" s="1">
        <v>2015</v>
      </c>
      <c r="H110" s="362">
        <f>(O63/$R63*100*($E63/365))+(O64/$R64*100*($E64/365))</f>
        <v>42.342342342342342</v>
      </c>
      <c r="I110" s="362"/>
      <c r="J110" s="362">
        <f>(P63/$R63*100*($E63/365))+(P64/$R64*100*($E64/365))</f>
        <v>12.612612612612612</v>
      </c>
      <c r="K110" s="362"/>
      <c r="L110" s="362">
        <f>(Q63/$R63*100*($E63/365))+(Q64/$R64*100*($E64/365))</f>
        <v>45.045045045045043</v>
      </c>
      <c r="M110" s="362"/>
      <c r="N110" s="363">
        <f>SUM(H110:M110)</f>
        <v>100</v>
      </c>
      <c r="O110" s="363"/>
      <c r="R110" s="1">
        <v>2015</v>
      </c>
      <c r="S110" s="5">
        <f>(O63*($E63/365))+(O64*($E64/365))</f>
        <v>23.5</v>
      </c>
      <c r="T110" s="5">
        <f>(P63*($E63/365))+(P64*($E64/365))</f>
        <v>7</v>
      </c>
      <c r="U110" s="5">
        <f>(Q63*($E63/365))+(Q64*($E64/365))</f>
        <v>25</v>
      </c>
      <c r="W110" s="10">
        <f>SUM(S110:U110)</f>
        <v>55.5</v>
      </c>
    </row>
    <row r="111" spans="1:23" x14ac:dyDescent="0.15">
      <c r="A111" s="1">
        <v>2016</v>
      </c>
      <c r="B111" s="5">
        <f>(K65*($E65/366))+(K66*($E66/366))</f>
        <v>35.294117647058826</v>
      </c>
      <c r="C111" s="5">
        <f>(L65*($E65/366))+(L66*($E66/366))</f>
        <v>17.647058823529413</v>
      </c>
      <c r="D111" s="5">
        <f>(M65*($E65/366))+(M66*($E66/366))</f>
        <v>47.058823529411761</v>
      </c>
      <c r="E111" s="17">
        <f>SUM(B111:D111)</f>
        <v>100</v>
      </c>
      <c r="G111" s="1">
        <v>2016</v>
      </c>
      <c r="H111" s="362">
        <f>(O65/$R65*100*($E65/366))+(O66/$R66*100*($E66/366))</f>
        <v>42.342342342342342</v>
      </c>
      <c r="I111" s="362"/>
      <c r="J111" s="362">
        <f>(P65/$R65*100*($E65/366))+(P66/$R66*100*($E66/366))</f>
        <v>12.612612612612612</v>
      </c>
      <c r="K111" s="362"/>
      <c r="L111" s="362">
        <f>(Q65/$R65*100*($E65/366))+(Q66/$R66*100*($E66/366))</f>
        <v>45.045045045045043</v>
      </c>
      <c r="M111" s="362"/>
      <c r="N111" s="363">
        <f>SUM(H111:M111)</f>
        <v>100</v>
      </c>
      <c r="O111" s="363"/>
      <c r="R111" s="1">
        <v>2016</v>
      </c>
      <c r="S111" s="5">
        <f>(O65*($E65/366))+(O66*($E66/366))</f>
        <v>23.5</v>
      </c>
      <c r="T111" s="5">
        <f>(P65*($E65/366))+(P66*($E66/366))</f>
        <v>7</v>
      </c>
      <c r="U111" s="5">
        <f>(Q65*($E65/366))+(Q66*($E66/366))</f>
        <v>25</v>
      </c>
      <c r="W111" s="10">
        <f>SUM(S111:U111)</f>
        <v>55.5</v>
      </c>
    </row>
    <row r="112" spans="1:23" x14ac:dyDescent="0.15">
      <c r="A112" s="1">
        <v>2017</v>
      </c>
      <c r="B112" s="5">
        <f>(K67*($E67/365))+(K68*($E68/365))</f>
        <v>38.662369057211926</v>
      </c>
      <c r="C112" s="5">
        <f>(L67*($E67/365))+(L68*($E68/365))</f>
        <v>16.728444802578565</v>
      </c>
      <c r="D112" s="5">
        <f>(M67*($E67/365))+(M68*($E68/365))</f>
        <v>44.609186140209502</v>
      </c>
      <c r="E112" s="17">
        <f>SUM(B112:D112)</f>
        <v>100</v>
      </c>
      <c r="G112" s="1">
        <v>2017</v>
      </c>
      <c r="H112" s="362">
        <f>(O67/$R67*100*($E67/365))+(O68/$R68*100*($E68/365))</f>
        <v>45.34369986424781</v>
      </c>
      <c r="I112" s="362"/>
      <c r="J112" s="362">
        <f>(P67/$R67*100*($E67/365))+(P68/$R68*100*($E68/365))</f>
        <v>11.956065654695792</v>
      </c>
      <c r="K112" s="362"/>
      <c r="L112" s="362">
        <f>(Q67/$R67*100*($E67/365))+(Q68/$R68*100*($E68/365))</f>
        <v>42.700234481056398</v>
      </c>
      <c r="M112" s="362"/>
      <c r="N112" s="363">
        <f>SUM(H112:M112)</f>
        <v>100</v>
      </c>
      <c r="O112" s="363"/>
      <c r="R112" s="1">
        <v>2017</v>
      </c>
      <c r="S112" s="5">
        <f>(O67*($E67/365))+(O68*($E68/365))</f>
        <v>24.30684931506849</v>
      </c>
      <c r="T112" s="5">
        <f>(P67*($E67/365))+(P68*($E68/365))</f>
        <v>6.6356164383561644</v>
      </c>
      <c r="U112" s="5">
        <f>(Q67*($E67/365))+(Q68*($E68/365))</f>
        <v>23.698630136986303</v>
      </c>
      <c r="W112" s="10">
        <f>SUM(S112:U112)</f>
        <v>54.641095890410959</v>
      </c>
    </row>
    <row r="113" spans="1:23" x14ac:dyDescent="0.15">
      <c r="A113" s="1">
        <v>2018</v>
      </c>
      <c r="B113" s="5">
        <f>(K69*($E69/365))+(K70*($E70/365))</f>
        <v>82.831050228310488</v>
      </c>
      <c r="C113" s="5">
        <f>(L69*($E69/365))+(L70*($E70/365))</f>
        <v>0</v>
      </c>
      <c r="D113" s="5">
        <f>(M69*($E69/365))+(M70*($E70/365))</f>
        <v>17.168949771689494</v>
      </c>
      <c r="E113" s="17">
        <f t="shared" ref="E113" si="45">SUM(B113:D113)</f>
        <v>99.999999999999986</v>
      </c>
      <c r="G113" s="1">
        <v>2018</v>
      </c>
      <c r="H113" s="362">
        <f>(O69/$R69*100*($E69/365))+(O70/$R70*100*($E70/365))</f>
        <v>91.692443658859929</v>
      </c>
      <c r="I113" s="362"/>
      <c r="J113" s="362">
        <f>(P69/$R69*100*($E69/365))+(P70/$R70*100*($E70/365))</f>
        <v>0</v>
      </c>
      <c r="K113" s="362"/>
      <c r="L113" s="362">
        <f>(Q69/$R69*100*($E69/365))+(Q70/$R70*100*($E70/365))</f>
        <v>8.3075563411400797</v>
      </c>
      <c r="M113" s="362"/>
      <c r="N113" s="363">
        <f t="shared" ref="N113" si="46">SUM(H113:M113)</f>
        <v>100.00000000000001</v>
      </c>
      <c r="O113" s="363"/>
      <c r="R113" s="1">
        <v>2018</v>
      </c>
      <c r="S113" s="5">
        <f>(O69*($E69/365))+(O70*($E70/365))</f>
        <v>39</v>
      </c>
      <c r="T113" s="5">
        <f>(P69*($E69/365))+(P70*($E70/365))</f>
        <v>0</v>
      </c>
      <c r="U113" s="5">
        <f>(Q69*($E69/365))+(Q70*($E70/365))</f>
        <v>3.8630136986301369</v>
      </c>
      <c r="W113" s="10">
        <f t="shared" ref="W113" si="47">SUM(S113:U113)</f>
        <v>42.863013698630134</v>
      </c>
    </row>
    <row r="114" spans="1:23" x14ac:dyDescent="0.15">
      <c r="A114" s="1">
        <v>2019</v>
      </c>
      <c r="B114" s="5">
        <f>(K71*($E71/365))+(K72*($E72/365))</f>
        <v>66.666666666666657</v>
      </c>
      <c r="C114" s="5">
        <f>(L71*($E71/365))+(L72*($E72/365))</f>
        <v>0</v>
      </c>
      <c r="D114" s="5">
        <f>(M71*($E71/365))+(M72*($E72/365))</f>
        <v>33.333333333333329</v>
      </c>
      <c r="E114" s="17">
        <f t="shared" ref="E114:E115" si="48">SUM(B114:D114)</f>
        <v>99.999999999999986</v>
      </c>
      <c r="G114" s="1">
        <v>2019</v>
      </c>
      <c r="H114" s="362">
        <f>(O71/$R71*100*($E71/365))+(O72/$R72*100*($E72/365))</f>
        <v>83.870967741935488</v>
      </c>
      <c r="I114" s="362"/>
      <c r="J114" s="362">
        <f>(P71/$R71*100*($E71/365))+(P72/$R72*100*($E72/365))</f>
        <v>0</v>
      </c>
      <c r="K114" s="362"/>
      <c r="L114" s="362">
        <f>(Q71/$R71*100*($E71/365))+(Q72/$R72*100*($E72/365))</f>
        <v>16.129032258064516</v>
      </c>
      <c r="M114" s="362"/>
      <c r="N114" s="363">
        <f t="shared" ref="N114" si="49">SUM(H114:M114)</f>
        <v>100</v>
      </c>
      <c r="O114" s="363"/>
      <c r="R114" s="1">
        <v>2019</v>
      </c>
      <c r="S114" s="5">
        <f>(O71*($E71/365))+(O72*($E72/365))</f>
        <v>39</v>
      </c>
      <c r="T114" s="5">
        <f>(P71*($E71/365))+(P72*($E72/365))</f>
        <v>0</v>
      </c>
      <c r="U114" s="5">
        <f>(Q71*($E71/365))+(Q72*($E72/365))</f>
        <v>7.5</v>
      </c>
      <c r="W114" s="10">
        <f t="shared" ref="W114:W115" si="50">SUM(S114:U114)</f>
        <v>46.5</v>
      </c>
    </row>
    <row r="115" spans="1:23" x14ac:dyDescent="0.15">
      <c r="A115" s="1">
        <v>2020</v>
      </c>
      <c r="B115" s="5">
        <f>(K73*($E73/366))+(K74*($E74/366))</f>
        <v>66.666666666666657</v>
      </c>
      <c r="C115" s="5">
        <f>(L73*($E73/366))+(L74*($E74/366))</f>
        <v>0</v>
      </c>
      <c r="D115" s="5">
        <f>(M73*($E73/366))+(M74*($E74/366))</f>
        <v>33.333333333333329</v>
      </c>
      <c r="E115" s="17">
        <f t="shared" si="48"/>
        <v>99.999999999999986</v>
      </c>
      <c r="G115" s="1">
        <v>2020</v>
      </c>
      <c r="H115" s="362">
        <f>(O73/$R73*100*($E73/366))+(O74/$R74*100*($E74/366))</f>
        <v>83.870967741935488</v>
      </c>
      <c r="I115" s="362"/>
      <c r="J115" s="362">
        <f>(P73/$R73*100*($E73/366))+(P74/$R74*100*($E74/366))</f>
        <v>0</v>
      </c>
      <c r="K115" s="362"/>
      <c r="L115" s="362">
        <f>(Q73/$R73*100*($E73/366))+(Q74/$R74*100*($E74/366))</f>
        <v>16.129032258064516</v>
      </c>
      <c r="M115" s="362"/>
      <c r="N115" s="363">
        <f t="shared" ref="N115" si="51">SUM(H115:M115)</f>
        <v>100</v>
      </c>
      <c r="O115" s="363"/>
      <c r="R115" s="1">
        <v>2020</v>
      </c>
      <c r="S115" s="5">
        <f>(O73*($E73/366))+(O74*($E74/366))</f>
        <v>39</v>
      </c>
      <c r="T115" s="5">
        <f>(P73*($E73/366))+(P74*($E74/366))</f>
        <v>0</v>
      </c>
      <c r="U115" s="5">
        <f>(Q73*($E73/366))+(Q74*($E74/366))</f>
        <v>7.5</v>
      </c>
      <c r="W115" s="10">
        <f t="shared" si="50"/>
        <v>46.5</v>
      </c>
    </row>
    <row r="116" spans="1:23" x14ac:dyDescent="0.15">
      <c r="A116" s="1">
        <v>2021</v>
      </c>
      <c r="B116" s="5">
        <f>(K75*($E75/365))+(K76*($E76/365))</f>
        <v>66.666666666666657</v>
      </c>
      <c r="C116" s="5">
        <f>(L75*($E75/365))+(L76*($E76/365))</f>
        <v>1.3698630136986298</v>
      </c>
      <c r="D116" s="5">
        <f>(M75*($E75/365))+(M76*($E76/365))</f>
        <v>31.963470319634698</v>
      </c>
      <c r="E116" s="17">
        <f>SUM(B116:D116)</f>
        <v>99.999999999999986</v>
      </c>
      <c r="G116" s="1">
        <v>2021</v>
      </c>
      <c r="H116" s="362">
        <f>(O75/$R75*100*($E75/365))+(O76/$R76*100*($E76/365))</f>
        <v>98.972602739726014</v>
      </c>
      <c r="I116" s="362"/>
      <c r="J116" s="362">
        <f>(P75/$R75*100*($E75/365))+(P76/$R76*100*($E76/365))</f>
        <v>1.0273972602739725</v>
      </c>
      <c r="K116" s="362"/>
      <c r="L116" s="362">
        <f>(Q75/$R75*100*($E75/365))+(Q76/$R76*100*($E76/365))</f>
        <v>0</v>
      </c>
      <c r="M116" s="362"/>
      <c r="N116" s="363">
        <f>SUM(H116:M116)</f>
        <v>99.999999999999986</v>
      </c>
      <c r="O116" s="363"/>
      <c r="R116" s="1">
        <v>2021</v>
      </c>
      <c r="S116" s="5">
        <f>(O75*($E75/365))+(O76*($E76/365))</f>
        <v>36.184931506849317</v>
      </c>
      <c r="T116" s="5">
        <f>(P75*($E75/365))+(P76*($E76/365))</f>
        <v>0.5547945205479452</v>
      </c>
      <c r="U116" s="5">
        <f>(Q75*($E75/365))+(Q76*($E76/365))</f>
        <v>0</v>
      </c>
      <c r="W116" s="10">
        <f>SUM(S116:U116)</f>
        <v>36.739726027397261</v>
      </c>
    </row>
    <row r="117" spans="1:23" x14ac:dyDescent="0.15">
      <c r="A117" s="1">
        <v>2022</v>
      </c>
      <c r="B117" s="5">
        <f>(K78*($E78/365))+(K77*($E77/365))</f>
        <v>66.666666666666657</v>
      </c>
      <c r="C117" s="5">
        <f>(L78*($E78/365))+(L77*($E77/365))</f>
        <v>33.333333333333329</v>
      </c>
      <c r="D117" s="5">
        <f>(M78*($E78/365))+(M77*($E77/365))</f>
        <v>0</v>
      </c>
      <c r="E117" s="17">
        <f>SUM(B117:D117)</f>
        <v>99.999999999999986</v>
      </c>
      <c r="G117" s="1">
        <v>2022</v>
      </c>
      <c r="H117" s="362">
        <f>(O78/$R78*100*($E78/365))+(O77/$R77*100*($E77/365))</f>
        <v>75</v>
      </c>
      <c r="I117" s="362"/>
      <c r="J117" s="362">
        <f>(P78/$R78*100*($E78/365))+(P77/$R77*100*($E77/365))</f>
        <v>25</v>
      </c>
      <c r="K117" s="362"/>
      <c r="L117" s="362">
        <f>(Q78/$R78*100*($E78/365))+(Q77/$R77*100*($E77/365))</f>
        <v>0</v>
      </c>
      <c r="M117" s="362"/>
      <c r="N117" s="363">
        <f>SUM(H117:M117)</f>
        <v>100</v>
      </c>
      <c r="O117" s="363"/>
      <c r="R117" s="1">
        <v>2022</v>
      </c>
      <c r="S117" s="5">
        <f>(O78*($E78/365))+(O77*($E77/365))</f>
        <v>40.5</v>
      </c>
      <c r="T117" s="5">
        <f>(P78*($E78/365))+(P77*($E77/365))</f>
        <v>13.5</v>
      </c>
      <c r="U117" s="5">
        <f>(Q78*($E78/365))+(Q77*($E77/365))</f>
        <v>0</v>
      </c>
      <c r="W117" s="10">
        <f>SUM(S117:U117)</f>
        <v>54</v>
      </c>
    </row>
  </sheetData>
  <mergeCells count="231">
    <mergeCell ref="C78:D78"/>
    <mergeCell ref="H117:I117"/>
    <mergeCell ref="J117:K117"/>
    <mergeCell ref="L117:M117"/>
    <mergeCell ref="N117:O117"/>
    <mergeCell ref="N116:O116"/>
    <mergeCell ref="C75:D75"/>
    <mergeCell ref="C76:D76"/>
    <mergeCell ref="H116:I116"/>
    <mergeCell ref="J116:K116"/>
    <mergeCell ref="L116:M116"/>
    <mergeCell ref="L114:M114"/>
    <mergeCell ref="N114:O114"/>
    <mergeCell ref="N111:O111"/>
    <mergeCell ref="L96:M96"/>
    <mergeCell ref="J93:K93"/>
    <mergeCell ref="N95:O95"/>
    <mergeCell ref="J96:K96"/>
    <mergeCell ref="H94:I94"/>
    <mergeCell ref="J94:K94"/>
    <mergeCell ref="H93:I93"/>
    <mergeCell ref="N96:O96"/>
    <mergeCell ref="L97:M97"/>
    <mergeCell ref="N93:O93"/>
    <mergeCell ref="C73:D73"/>
    <mergeCell ref="C74:D74"/>
    <mergeCell ref="H115:I115"/>
    <mergeCell ref="J115:K115"/>
    <mergeCell ref="L115:M115"/>
    <mergeCell ref="N115:O115"/>
    <mergeCell ref="L95:M95"/>
    <mergeCell ref="N103:O103"/>
    <mergeCell ref="H95:I95"/>
    <mergeCell ref="H96:I96"/>
    <mergeCell ref="H97:I97"/>
    <mergeCell ref="H102:I102"/>
    <mergeCell ref="H103:I103"/>
    <mergeCell ref="H101:I101"/>
    <mergeCell ref="J97:K97"/>
    <mergeCell ref="J98:K98"/>
    <mergeCell ref="J100:K100"/>
    <mergeCell ref="H100:I100"/>
    <mergeCell ref="J95:K95"/>
    <mergeCell ref="N99:O99"/>
    <mergeCell ref="N92:O92"/>
    <mergeCell ref="L91:M91"/>
    <mergeCell ref="H114:I114"/>
    <mergeCell ref="J114:K114"/>
    <mergeCell ref="R82:W82"/>
    <mergeCell ref="L84:M84"/>
    <mergeCell ref="N84:O84"/>
    <mergeCell ref="H85:I85"/>
    <mergeCell ref="H86:I86"/>
    <mergeCell ref="H87:I87"/>
    <mergeCell ref="H91:I91"/>
    <mergeCell ref="J91:K91"/>
    <mergeCell ref="J92:K92"/>
    <mergeCell ref="H92:I92"/>
    <mergeCell ref="L92:M92"/>
    <mergeCell ref="N91:O91"/>
    <mergeCell ref="N94:O94"/>
    <mergeCell ref="N97:O97"/>
    <mergeCell ref="N98:O98"/>
    <mergeCell ref="L93:M93"/>
    <mergeCell ref="L98:M98"/>
    <mergeCell ref="L94:M94"/>
    <mergeCell ref="L103:M103"/>
    <mergeCell ref="J99:K99"/>
    <mergeCell ref="H99:I99"/>
    <mergeCell ref="N100:O100"/>
    <mergeCell ref="L99:M99"/>
    <mergeCell ref="L100:M100"/>
    <mergeCell ref="L101:M101"/>
    <mergeCell ref="L102:M102"/>
    <mergeCell ref="H98:I98"/>
    <mergeCell ref="J101:K101"/>
    <mergeCell ref="J102:K102"/>
    <mergeCell ref="J103:K103"/>
    <mergeCell ref="N101:O101"/>
    <mergeCell ref="N102:O102"/>
    <mergeCell ref="AT4:AW4"/>
    <mergeCell ref="AX4:BA4"/>
    <mergeCell ref="K4:N4"/>
    <mergeCell ref="O4:R4"/>
    <mergeCell ref="Z4:AC4"/>
    <mergeCell ref="AD4:AG4"/>
    <mergeCell ref="AH4:AK4"/>
    <mergeCell ref="AL4:AO4"/>
    <mergeCell ref="AP4:AS4"/>
    <mergeCell ref="V4:Y4"/>
    <mergeCell ref="G3:M3"/>
    <mergeCell ref="O3:Q3"/>
    <mergeCell ref="A4:A5"/>
    <mergeCell ref="B4:B5"/>
    <mergeCell ref="C4:D5"/>
    <mergeCell ref="E4:E5"/>
    <mergeCell ref="F4:F5"/>
    <mergeCell ref="G4:J4"/>
    <mergeCell ref="C6:D6"/>
    <mergeCell ref="C7:D7"/>
    <mergeCell ref="C8:D8"/>
    <mergeCell ref="S4:S5"/>
    <mergeCell ref="T4:T5"/>
    <mergeCell ref="U4:U5"/>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4:D24"/>
    <mergeCell ref="C25:D25"/>
    <mergeCell ref="C27:D27"/>
    <mergeCell ref="C28:D28"/>
    <mergeCell ref="C23:D23"/>
    <mergeCell ref="C26:D26"/>
    <mergeCell ref="C43:D43"/>
    <mergeCell ref="C29:D29"/>
    <mergeCell ref="C30:D30"/>
    <mergeCell ref="C31:D31"/>
    <mergeCell ref="C32:D32"/>
    <mergeCell ref="C33:D33"/>
    <mergeCell ref="C34:D34"/>
    <mergeCell ref="C35:D35"/>
    <mergeCell ref="C40:D40"/>
    <mergeCell ref="C41:D41"/>
    <mergeCell ref="C44:D44"/>
    <mergeCell ref="C45:D45"/>
    <mergeCell ref="C46:D46"/>
    <mergeCell ref="C47:D47"/>
    <mergeCell ref="C48:D48"/>
    <mergeCell ref="C36:D36"/>
    <mergeCell ref="C37:D37"/>
    <mergeCell ref="C38:D38"/>
    <mergeCell ref="C39:D39"/>
    <mergeCell ref="C42:D42"/>
    <mergeCell ref="C58:D58"/>
    <mergeCell ref="C49:D49"/>
    <mergeCell ref="C50:D50"/>
    <mergeCell ref="C51:D51"/>
    <mergeCell ref="C52:D52"/>
    <mergeCell ref="C53:D53"/>
    <mergeCell ref="C54:D54"/>
    <mergeCell ref="L89:M89"/>
    <mergeCell ref="C56:D56"/>
    <mergeCell ref="C57:D57"/>
    <mergeCell ref="C55:D55"/>
    <mergeCell ref="C63:D63"/>
    <mergeCell ref="C64:D64"/>
    <mergeCell ref="C65:D65"/>
    <mergeCell ref="C66:D66"/>
    <mergeCell ref="C67:D67"/>
    <mergeCell ref="C68:D68"/>
    <mergeCell ref="C71:D71"/>
    <mergeCell ref="C72:D72"/>
    <mergeCell ref="C69:D69"/>
    <mergeCell ref="C70:D70"/>
    <mergeCell ref="H84:I84"/>
    <mergeCell ref="J84:K84"/>
    <mergeCell ref="C59:D59"/>
    <mergeCell ref="C60:D60"/>
    <mergeCell ref="J89:K89"/>
    <mergeCell ref="J90:K90"/>
    <mergeCell ref="N85:O85"/>
    <mergeCell ref="N86:O86"/>
    <mergeCell ref="N87:O87"/>
    <mergeCell ref="N88:O88"/>
    <mergeCell ref="L85:M85"/>
    <mergeCell ref="L86:M86"/>
    <mergeCell ref="J85:K85"/>
    <mergeCell ref="J86:K86"/>
    <mergeCell ref="J87:K87"/>
    <mergeCell ref="J88:K88"/>
    <mergeCell ref="H88:I88"/>
    <mergeCell ref="H89:I89"/>
    <mergeCell ref="H90:I90"/>
    <mergeCell ref="N89:O89"/>
    <mergeCell ref="N90:O90"/>
    <mergeCell ref="C61:D61"/>
    <mergeCell ref="C62:D62"/>
    <mergeCell ref="L90:M90"/>
    <mergeCell ref="L87:M87"/>
    <mergeCell ref="L88:M88"/>
    <mergeCell ref="C77:D77"/>
    <mergeCell ref="H107:I107"/>
    <mergeCell ref="N105:O105"/>
    <mergeCell ref="N104:O104"/>
    <mergeCell ref="J106:K106"/>
    <mergeCell ref="L105:M105"/>
    <mergeCell ref="J105:K105"/>
    <mergeCell ref="H105:I105"/>
    <mergeCell ref="H106:I106"/>
    <mergeCell ref="H104:I104"/>
    <mergeCell ref="J104:K104"/>
    <mergeCell ref="L106:M106"/>
    <mergeCell ref="L104:M104"/>
    <mergeCell ref="J107:K107"/>
    <mergeCell ref="L107:M107"/>
    <mergeCell ref="N107:O107"/>
    <mergeCell ref="H113:I113"/>
    <mergeCell ref="J113:K113"/>
    <mergeCell ref="L113:M113"/>
    <mergeCell ref="N113:O113"/>
    <mergeCell ref="H108:I108"/>
    <mergeCell ref="J108:K108"/>
    <mergeCell ref="L108:M108"/>
    <mergeCell ref="N108:O108"/>
    <mergeCell ref="N106:O106"/>
    <mergeCell ref="H110:I110"/>
    <mergeCell ref="J110:K110"/>
    <mergeCell ref="L110:M110"/>
    <mergeCell ref="N110:O110"/>
    <mergeCell ref="H112:I112"/>
    <mergeCell ref="J112:K112"/>
    <mergeCell ref="L112:M112"/>
    <mergeCell ref="N112:O112"/>
    <mergeCell ref="H109:I109"/>
    <mergeCell ref="J109:K109"/>
    <mergeCell ref="L109:M109"/>
    <mergeCell ref="N109:O109"/>
    <mergeCell ref="H111:I111"/>
    <mergeCell ref="J111:K111"/>
    <mergeCell ref="L111:M111"/>
  </mergeCells>
  <phoneticPr fontId="23"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A204"/>
  <sheetViews>
    <sheetView zoomScale="116" zoomScaleNormal="120" workbookViewId="0">
      <pane xSplit="1" ySplit="5" topLeftCell="AR126" activePane="bottomRight" state="frozen"/>
      <selection pane="topRight" activeCell="B1" sqref="B1"/>
      <selection pane="bottomLeft" activeCell="A6" sqref="A6"/>
      <selection pane="bottomRight" activeCell="A2"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52</v>
      </c>
    </row>
    <row r="3" spans="1:53" x14ac:dyDescent="0.15">
      <c r="G3" s="397"/>
      <c r="H3" s="397"/>
      <c r="I3" s="397"/>
      <c r="J3" s="397"/>
      <c r="K3" s="397"/>
      <c r="L3" s="397"/>
      <c r="M3" s="397"/>
      <c r="O3" s="397"/>
      <c r="P3" s="397"/>
      <c r="Q3" s="397"/>
      <c r="R3" s="4"/>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139" customFormat="1" x14ac:dyDescent="0.15">
      <c r="A6" s="145">
        <v>1959</v>
      </c>
      <c r="B6" s="294"/>
      <c r="C6" s="382" t="s">
        <v>244</v>
      </c>
      <c r="D6" s="382"/>
      <c r="E6" s="139">
        <v>0</v>
      </c>
      <c r="G6" s="147">
        <v>7</v>
      </c>
      <c r="I6" s="139">
        <v>9</v>
      </c>
      <c r="J6" s="153">
        <v>16</v>
      </c>
      <c r="K6" s="133">
        <f>G6/J6*100</f>
        <v>43.75</v>
      </c>
      <c r="L6" s="133">
        <f>H6/J6*100</f>
        <v>0</v>
      </c>
      <c r="M6" s="133">
        <f>I6/J6*100</f>
        <v>56.25</v>
      </c>
      <c r="N6" s="149">
        <f>SUM(K6:M6)</f>
        <v>100</v>
      </c>
      <c r="O6" s="132">
        <v>13.1</v>
      </c>
      <c r="P6" s="133"/>
      <c r="Q6" s="133">
        <v>40</v>
      </c>
      <c r="R6" s="134">
        <f>SUM(O6:Q6)</f>
        <v>53.1</v>
      </c>
      <c r="S6" s="139">
        <v>2</v>
      </c>
      <c r="T6" s="306"/>
      <c r="U6" s="294"/>
      <c r="V6" s="138" t="s">
        <v>101</v>
      </c>
      <c r="W6" s="139" t="s">
        <v>20</v>
      </c>
      <c r="X6" s="139" t="s">
        <v>12</v>
      </c>
      <c r="Y6" s="140">
        <v>40</v>
      </c>
      <c r="Z6" s="139" t="s">
        <v>102</v>
      </c>
      <c r="AA6" s="139" t="s">
        <v>22</v>
      </c>
      <c r="AB6" s="139" t="s">
        <v>11</v>
      </c>
      <c r="AC6" s="139">
        <v>8</v>
      </c>
      <c r="AD6" s="138" t="s">
        <v>103</v>
      </c>
      <c r="AE6" s="139" t="s">
        <v>99</v>
      </c>
      <c r="AF6" s="139" t="s">
        <v>11</v>
      </c>
      <c r="AG6" s="140">
        <v>5.0999999999999996</v>
      </c>
      <c r="AH6" s="138"/>
      <c r="AL6" s="138"/>
      <c r="AO6" s="140"/>
      <c r="AP6" s="138"/>
      <c r="AS6" s="140"/>
      <c r="AW6" s="140"/>
      <c r="BA6" s="141"/>
    </row>
    <row r="7" spans="1:53" s="139" customFormat="1" x14ac:dyDescent="0.15">
      <c r="A7" s="145">
        <v>1959</v>
      </c>
      <c r="B7" s="294"/>
      <c r="C7" s="382" t="s">
        <v>244</v>
      </c>
      <c r="D7" s="382"/>
      <c r="E7" s="139">
        <v>365</v>
      </c>
      <c r="G7" s="147">
        <v>7</v>
      </c>
      <c r="I7" s="139">
        <v>9</v>
      </c>
      <c r="J7" s="153">
        <v>16</v>
      </c>
      <c r="K7" s="133">
        <f>G7/J7*100</f>
        <v>43.75</v>
      </c>
      <c r="L7" s="133">
        <f>H7/J7*100</f>
        <v>0</v>
      </c>
      <c r="M7" s="133">
        <f>I7/J7*100</f>
        <v>56.25</v>
      </c>
      <c r="N7" s="149">
        <f>SUM(K7:M7)</f>
        <v>100</v>
      </c>
      <c r="O7" s="132">
        <v>13.1</v>
      </c>
      <c r="P7" s="133"/>
      <c r="Q7" s="133">
        <v>40</v>
      </c>
      <c r="R7" s="134">
        <f>SUM(O7:Q7)</f>
        <v>53.1</v>
      </c>
      <c r="S7" s="139">
        <v>2</v>
      </c>
      <c r="T7" s="306"/>
      <c r="U7" s="294"/>
      <c r="V7" s="138" t="s">
        <v>101</v>
      </c>
      <c r="W7" s="139" t="s">
        <v>20</v>
      </c>
      <c r="X7" s="139" t="s">
        <v>12</v>
      </c>
      <c r="Y7" s="140">
        <v>40</v>
      </c>
      <c r="Z7" s="139" t="s">
        <v>102</v>
      </c>
      <c r="AA7" s="139" t="s">
        <v>22</v>
      </c>
      <c r="AB7" s="139" t="s">
        <v>11</v>
      </c>
      <c r="AC7" s="139">
        <v>8</v>
      </c>
      <c r="AD7" s="138" t="s">
        <v>103</v>
      </c>
      <c r="AE7" s="139" t="s">
        <v>99</v>
      </c>
      <c r="AF7" s="139" t="s">
        <v>11</v>
      </c>
      <c r="AG7" s="140">
        <v>5.0999999999999996</v>
      </c>
      <c r="AH7" s="138"/>
      <c r="AL7" s="138"/>
      <c r="AO7" s="140"/>
      <c r="AP7" s="138"/>
      <c r="AS7" s="140"/>
      <c r="AW7" s="140"/>
      <c r="BA7" s="141"/>
    </row>
    <row r="8" spans="1:53" s="28" customFormat="1" x14ac:dyDescent="0.15">
      <c r="A8" s="51">
        <v>1960</v>
      </c>
      <c r="B8" s="293"/>
      <c r="C8" s="370" t="s">
        <v>244</v>
      </c>
      <c r="D8" s="370"/>
      <c r="E8" s="28">
        <v>51</v>
      </c>
      <c r="G8" s="65">
        <v>7</v>
      </c>
      <c r="I8" s="28">
        <v>9</v>
      </c>
      <c r="J8" s="72">
        <v>16</v>
      </c>
      <c r="K8" s="46">
        <f>G8/J8*100</f>
        <v>43.75</v>
      </c>
      <c r="L8" s="46">
        <f>H8/J8*100</f>
        <v>0</v>
      </c>
      <c r="M8" s="46">
        <f>I8/J8*100</f>
        <v>56.25</v>
      </c>
      <c r="N8" s="67">
        <f>SUM(K8:M8)</f>
        <v>100</v>
      </c>
      <c r="O8" s="45">
        <v>13.1</v>
      </c>
      <c r="P8" s="46"/>
      <c r="Q8" s="46">
        <v>40</v>
      </c>
      <c r="R8" s="47">
        <f>SUM(O8:Q8)</f>
        <v>53.1</v>
      </c>
      <c r="S8" s="28">
        <v>2</v>
      </c>
      <c r="T8" s="284"/>
      <c r="U8" s="293"/>
      <c r="V8" s="37" t="s">
        <v>101</v>
      </c>
      <c r="W8" s="28" t="s">
        <v>20</v>
      </c>
      <c r="X8" s="28" t="s">
        <v>12</v>
      </c>
      <c r="Y8" s="38">
        <v>40</v>
      </c>
      <c r="Z8" s="28" t="s">
        <v>102</v>
      </c>
      <c r="AA8" s="28" t="s">
        <v>22</v>
      </c>
      <c r="AB8" s="28" t="s">
        <v>11</v>
      </c>
      <c r="AC8" s="28">
        <v>8</v>
      </c>
      <c r="AD8" s="37" t="s">
        <v>103</v>
      </c>
      <c r="AE8" s="28" t="s">
        <v>99</v>
      </c>
      <c r="AF8" s="28" t="s">
        <v>11</v>
      </c>
      <c r="AG8" s="38">
        <v>5.0999999999999996</v>
      </c>
      <c r="AH8" s="37"/>
      <c r="AL8" s="37"/>
      <c r="AO8" s="38"/>
      <c r="AP8" s="37"/>
      <c r="AS8" s="38"/>
      <c r="AW8" s="38"/>
      <c r="BA8" s="39"/>
    </row>
    <row r="9" spans="1:53" s="170" customFormat="1" x14ac:dyDescent="0.15">
      <c r="A9" s="215">
        <v>1960</v>
      </c>
      <c r="B9" s="281">
        <v>21967</v>
      </c>
      <c r="C9" s="369" t="s">
        <v>245</v>
      </c>
      <c r="D9" s="369"/>
      <c r="E9" s="170">
        <v>271</v>
      </c>
      <c r="F9" s="170">
        <v>3</v>
      </c>
      <c r="G9" s="232">
        <v>7</v>
      </c>
      <c r="I9" s="170">
        <v>8</v>
      </c>
      <c r="J9" s="240">
        <v>15</v>
      </c>
      <c r="K9" s="213">
        <f>G9/J9*100</f>
        <v>46.666666666666664</v>
      </c>
      <c r="L9" s="213">
        <f>H9/J9*100</f>
        <v>0</v>
      </c>
      <c r="M9" s="213">
        <f>I9/J9*100</f>
        <v>53.333333333333336</v>
      </c>
      <c r="N9" s="234">
        <f t="shared" ref="N9:N72" si="0">SUM(K9:M9)</f>
        <v>100</v>
      </c>
      <c r="O9" s="212">
        <v>13.1</v>
      </c>
      <c r="P9" s="213"/>
      <c r="Q9" s="213">
        <v>40</v>
      </c>
      <c r="R9" s="214">
        <f t="shared" ref="R9:R72" si="1">SUM(O9:Q9)</f>
        <v>53.1</v>
      </c>
      <c r="S9" s="170">
        <v>2</v>
      </c>
      <c r="T9" s="283"/>
      <c r="U9" s="281">
        <v>21967</v>
      </c>
      <c r="V9" s="177" t="s">
        <v>101</v>
      </c>
      <c r="W9" s="170" t="s">
        <v>20</v>
      </c>
      <c r="X9" s="170" t="s">
        <v>12</v>
      </c>
      <c r="Y9" s="178">
        <v>40</v>
      </c>
      <c r="Z9" s="170" t="s">
        <v>102</v>
      </c>
      <c r="AA9" s="170" t="s">
        <v>22</v>
      </c>
      <c r="AB9" s="170" t="s">
        <v>11</v>
      </c>
      <c r="AC9" s="170">
        <v>8</v>
      </c>
      <c r="AD9" s="177" t="s">
        <v>103</v>
      </c>
      <c r="AE9" s="170" t="s">
        <v>99</v>
      </c>
      <c r="AF9" s="170" t="s">
        <v>11</v>
      </c>
      <c r="AG9" s="178">
        <v>5.0999999999999996</v>
      </c>
      <c r="AH9" s="177"/>
      <c r="AL9" s="177"/>
      <c r="AO9" s="178"/>
      <c r="AP9" s="177"/>
      <c r="AS9" s="178"/>
      <c r="AW9" s="178"/>
      <c r="BA9" s="179"/>
    </row>
    <row r="10" spans="1:53" s="28" customFormat="1" x14ac:dyDescent="0.15">
      <c r="A10" s="51">
        <v>1960</v>
      </c>
      <c r="B10" s="293">
        <v>22238</v>
      </c>
      <c r="C10" s="370" t="s">
        <v>246</v>
      </c>
      <c r="D10" s="370"/>
      <c r="E10" s="28">
        <v>44</v>
      </c>
      <c r="F10" s="28">
        <v>1</v>
      </c>
      <c r="G10" s="65">
        <v>5</v>
      </c>
      <c r="I10" s="28">
        <v>11</v>
      </c>
      <c r="J10" s="72">
        <v>17</v>
      </c>
      <c r="K10" s="46">
        <f t="shared" ref="K10:K15" si="2">G10/J10*100</f>
        <v>29.411764705882355</v>
      </c>
      <c r="L10" s="46">
        <f t="shared" ref="L10:L15" si="3">H10/J10*100</f>
        <v>0</v>
      </c>
      <c r="M10" s="46">
        <f t="shared" ref="M10:M15" si="4">I10/J10*100</f>
        <v>64.705882352941174</v>
      </c>
      <c r="N10" s="67">
        <f t="shared" si="0"/>
        <v>94.117647058823536</v>
      </c>
      <c r="O10" s="45">
        <v>6.3</v>
      </c>
      <c r="P10" s="46"/>
      <c r="Q10" s="46">
        <v>43.4</v>
      </c>
      <c r="R10" s="47">
        <f t="shared" si="1"/>
        <v>49.699999999999996</v>
      </c>
      <c r="S10" s="28">
        <v>5</v>
      </c>
      <c r="T10" s="284">
        <v>22235</v>
      </c>
      <c r="U10" s="293">
        <v>22238</v>
      </c>
      <c r="V10" s="37" t="s">
        <v>101</v>
      </c>
      <c r="W10" s="28" t="s">
        <v>20</v>
      </c>
      <c r="X10" s="28" t="s">
        <v>12</v>
      </c>
      <c r="Y10" s="38">
        <v>43.4</v>
      </c>
      <c r="Z10" s="28" t="s">
        <v>102</v>
      </c>
      <c r="AA10" s="28" t="s">
        <v>22</v>
      </c>
      <c r="AB10" s="28" t="s">
        <v>11</v>
      </c>
      <c r="AC10" s="28">
        <v>6.3</v>
      </c>
      <c r="AD10" s="37"/>
      <c r="AG10" s="38"/>
      <c r="AL10" s="37"/>
      <c r="AO10" s="38"/>
      <c r="AP10" s="37"/>
      <c r="AS10" s="38"/>
      <c r="AW10" s="38"/>
      <c r="BA10" s="39"/>
    </row>
    <row r="11" spans="1:53" s="28" customFormat="1" x14ac:dyDescent="0.15">
      <c r="A11" s="51">
        <v>1961</v>
      </c>
      <c r="B11" s="293"/>
      <c r="C11" s="370" t="s">
        <v>246</v>
      </c>
      <c r="D11" s="370"/>
      <c r="E11" s="28">
        <v>0</v>
      </c>
      <c r="G11" s="65">
        <v>5</v>
      </c>
      <c r="I11" s="28">
        <v>11</v>
      </c>
      <c r="J11" s="72">
        <v>17</v>
      </c>
      <c r="K11" s="46">
        <f t="shared" si="2"/>
        <v>29.411764705882355</v>
      </c>
      <c r="L11" s="46">
        <f t="shared" si="3"/>
        <v>0</v>
      </c>
      <c r="M11" s="46">
        <f t="shared" si="4"/>
        <v>64.705882352941174</v>
      </c>
      <c r="N11" s="67">
        <f t="shared" si="0"/>
        <v>94.117647058823536</v>
      </c>
      <c r="O11" s="45">
        <v>6.3</v>
      </c>
      <c r="P11" s="46"/>
      <c r="Q11" s="46">
        <v>43.4</v>
      </c>
      <c r="R11" s="47">
        <f t="shared" si="1"/>
        <v>49.699999999999996</v>
      </c>
      <c r="S11" s="28">
        <v>5</v>
      </c>
      <c r="T11" s="284"/>
      <c r="U11" s="293"/>
      <c r="V11" s="37" t="s">
        <v>101</v>
      </c>
      <c r="W11" s="28" t="s">
        <v>20</v>
      </c>
      <c r="X11" s="28" t="s">
        <v>12</v>
      </c>
      <c r="Y11" s="38">
        <v>43.4</v>
      </c>
      <c r="Z11" s="28" t="s">
        <v>102</v>
      </c>
      <c r="AA11" s="28" t="s">
        <v>22</v>
      </c>
      <c r="AB11" s="28" t="s">
        <v>11</v>
      </c>
      <c r="AC11" s="28">
        <v>6.3</v>
      </c>
      <c r="AD11" s="37"/>
      <c r="AG11" s="38"/>
      <c r="AL11" s="37"/>
      <c r="AO11" s="38"/>
      <c r="AP11" s="37"/>
      <c r="AS11" s="38"/>
      <c r="AW11" s="38"/>
      <c r="BA11" s="39"/>
    </row>
    <row r="12" spans="1:53" s="28" customFormat="1" x14ac:dyDescent="0.15">
      <c r="A12" s="51">
        <v>1961</v>
      </c>
      <c r="B12" s="293"/>
      <c r="C12" s="370" t="s">
        <v>246</v>
      </c>
      <c r="D12" s="370"/>
      <c r="E12" s="28">
        <f>365-E11</f>
        <v>365</v>
      </c>
      <c r="G12" s="65">
        <v>5</v>
      </c>
      <c r="I12" s="28">
        <v>11</v>
      </c>
      <c r="J12" s="72">
        <v>17</v>
      </c>
      <c r="K12" s="46">
        <f t="shared" si="2"/>
        <v>29.411764705882355</v>
      </c>
      <c r="L12" s="46">
        <f t="shared" si="3"/>
        <v>0</v>
      </c>
      <c r="M12" s="46">
        <f t="shared" si="4"/>
        <v>64.705882352941174</v>
      </c>
      <c r="N12" s="67">
        <f t="shared" si="0"/>
        <v>94.117647058823536</v>
      </c>
      <c r="O12" s="45">
        <v>6.3</v>
      </c>
      <c r="P12" s="46"/>
      <c r="Q12" s="46">
        <v>43.4</v>
      </c>
      <c r="R12" s="47">
        <f t="shared" si="1"/>
        <v>49.699999999999996</v>
      </c>
      <c r="S12" s="28">
        <v>5</v>
      </c>
      <c r="T12" s="284"/>
      <c r="U12" s="293"/>
      <c r="V12" s="37" t="s">
        <v>101</v>
      </c>
      <c r="W12" s="28" t="s">
        <v>20</v>
      </c>
      <c r="X12" s="28" t="s">
        <v>12</v>
      </c>
      <c r="Y12" s="38">
        <v>43.4</v>
      </c>
      <c r="Z12" s="28" t="s">
        <v>102</v>
      </c>
      <c r="AA12" s="28" t="s">
        <v>22</v>
      </c>
      <c r="AB12" s="28" t="s">
        <v>11</v>
      </c>
      <c r="AC12" s="28">
        <v>6.3</v>
      </c>
      <c r="AD12" s="37"/>
      <c r="AG12" s="38"/>
      <c r="AL12" s="37"/>
      <c r="AO12" s="38"/>
      <c r="AP12" s="37"/>
      <c r="AS12" s="38"/>
      <c r="AW12" s="38"/>
      <c r="BA12" s="39"/>
    </row>
    <row r="13" spans="1:53" s="28" customFormat="1" x14ac:dyDescent="0.15">
      <c r="A13" s="51">
        <v>1962</v>
      </c>
      <c r="B13" s="293"/>
      <c r="C13" s="370" t="s">
        <v>246</v>
      </c>
      <c r="D13" s="370"/>
      <c r="E13" s="28">
        <v>246</v>
      </c>
      <c r="G13" s="65">
        <v>5</v>
      </c>
      <c r="I13" s="28">
        <v>11</v>
      </c>
      <c r="J13" s="72">
        <v>17</v>
      </c>
      <c r="K13" s="46">
        <f t="shared" si="2"/>
        <v>29.411764705882355</v>
      </c>
      <c r="L13" s="46">
        <f t="shared" si="3"/>
        <v>0</v>
      </c>
      <c r="M13" s="46">
        <f t="shared" si="4"/>
        <v>64.705882352941174</v>
      </c>
      <c r="N13" s="67">
        <f t="shared" si="0"/>
        <v>94.117647058823536</v>
      </c>
      <c r="O13" s="45">
        <v>6.3</v>
      </c>
      <c r="P13" s="46"/>
      <c r="Q13" s="46">
        <v>43.4</v>
      </c>
      <c r="R13" s="47">
        <f t="shared" si="1"/>
        <v>49.699999999999996</v>
      </c>
      <c r="S13" s="28">
        <v>5</v>
      </c>
      <c r="T13" s="284"/>
      <c r="U13" s="293"/>
      <c r="V13" s="37" t="s">
        <v>101</v>
      </c>
      <c r="W13" s="28" t="s">
        <v>20</v>
      </c>
      <c r="X13" s="28" t="s">
        <v>12</v>
      </c>
      <c r="Y13" s="38">
        <v>43.4</v>
      </c>
      <c r="Z13" s="28" t="s">
        <v>102</v>
      </c>
      <c r="AA13" s="28" t="s">
        <v>22</v>
      </c>
      <c r="AB13" s="28" t="s">
        <v>11</v>
      </c>
      <c r="AC13" s="28">
        <v>6.3</v>
      </c>
      <c r="AD13" s="37"/>
      <c r="AG13" s="38"/>
      <c r="AL13" s="37"/>
      <c r="AO13" s="38"/>
      <c r="AP13" s="37"/>
      <c r="AS13" s="38"/>
      <c r="AW13" s="38"/>
      <c r="BA13" s="39"/>
    </row>
    <row r="14" spans="1:53" s="170" customFormat="1" x14ac:dyDescent="0.15">
      <c r="A14" s="215">
        <v>1962</v>
      </c>
      <c r="B14" s="281">
        <v>22893</v>
      </c>
      <c r="C14" s="369" t="s">
        <v>247</v>
      </c>
      <c r="D14" s="369"/>
      <c r="E14" s="170">
        <f>365-E13</f>
        <v>119</v>
      </c>
      <c r="F14" s="170">
        <v>3</v>
      </c>
      <c r="G14" s="232">
        <v>5</v>
      </c>
      <c r="I14" s="170">
        <v>11</v>
      </c>
      <c r="J14" s="240">
        <v>17</v>
      </c>
      <c r="K14" s="213">
        <f t="shared" si="2"/>
        <v>29.411764705882355</v>
      </c>
      <c r="L14" s="213">
        <f t="shared" si="3"/>
        <v>0</v>
      </c>
      <c r="M14" s="213">
        <f t="shared" si="4"/>
        <v>64.705882352941174</v>
      </c>
      <c r="N14" s="234">
        <f t="shared" si="0"/>
        <v>94.117647058823536</v>
      </c>
      <c r="O14" s="212">
        <v>6.3</v>
      </c>
      <c r="P14" s="213"/>
      <c r="Q14" s="213">
        <v>43.4</v>
      </c>
      <c r="R14" s="214">
        <f t="shared" si="1"/>
        <v>49.699999999999996</v>
      </c>
      <c r="S14" s="170">
        <v>5</v>
      </c>
      <c r="T14" s="283"/>
      <c r="U14" s="281">
        <v>22893</v>
      </c>
      <c r="V14" s="177" t="s">
        <v>101</v>
      </c>
      <c r="W14" s="170" t="s">
        <v>20</v>
      </c>
      <c r="X14" s="170" t="s">
        <v>12</v>
      </c>
      <c r="Y14" s="178">
        <v>43.4</v>
      </c>
      <c r="Z14" s="170" t="s">
        <v>102</v>
      </c>
      <c r="AA14" s="170" t="s">
        <v>22</v>
      </c>
      <c r="AB14" s="170" t="s">
        <v>11</v>
      </c>
      <c r="AC14" s="170">
        <v>6.3</v>
      </c>
      <c r="AD14" s="177"/>
      <c r="AG14" s="178"/>
      <c r="AL14" s="177"/>
      <c r="AO14" s="178"/>
      <c r="AP14" s="177"/>
      <c r="AS14" s="178"/>
      <c r="AW14" s="178"/>
      <c r="BA14" s="179"/>
    </row>
    <row r="15" spans="1:53" s="170" customFormat="1" x14ac:dyDescent="0.15">
      <c r="A15" s="215">
        <v>1963</v>
      </c>
      <c r="B15" s="281"/>
      <c r="C15" s="369" t="s">
        <v>247</v>
      </c>
      <c r="D15" s="369"/>
      <c r="E15" s="170">
        <v>0</v>
      </c>
      <c r="G15" s="232">
        <v>5</v>
      </c>
      <c r="I15" s="170">
        <v>11</v>
      </c>
      <c r="J15" s="240">
        <v>17</v>
      </c>
      <c r="K15" s="213">
        <f t="shared" si="2"/>
        <v>29.411764705882355</v>
      </c>
      <c r="L15" s="213">
        <f t="shared" si="3"/>
        <v>0</v>
      </c>
      <c r="M15" s="213">
        <f t="shared" si="4"/>
        <v>64.705882352941174</v>
      </c>
      <c r="N15" s="234">
        <f t="shared" si="0"/>
        <v>94.117647058823536</v>
      </c>
      <c r="O15" s="212">
        <v>6.3</v>
      </c>
      <c r="P15" s="213"/>
      <c r="Q15" s="213">
        <v>43.4</v>
      </c>
      <c r="R15" s="214">
        <f t="shared" si="1"/>
        <v>49.699999999999996</v>
      </c>
      <c r="S15" s="170">
        <v>5</v>
      </c>
      <c r="T15" s="283"/>
      <c r="U15" s="281"/>
      <c r="V15" s="177" t="s">
        <v>101</v>
      </c>
      <c r="W15" s="170" t="s">
        <v>20</v>
      </c>
      <c r="X15" s="170" t="s">
        <v>12</v>
      </c>
      <c r="Y15" s="178">
        <v>43.4</v>
      </c>
      <c r="Z15" s="170" t="s">
        <v>102</v>
      </c>
      <c r="AA15" s="170" t="s">
        <v>22</v>
      </c>
      <c r="AB15" s="170" t="s">
        <v>11</v>
      </c>
      <c r="AC15" s="170">
        <v>6.3</v>
      </c>
      <c r="AD15" s="177"/>
      <c r="AG15" s="178"/>
      <c r="AL15" s="177"/>
      <c r="AO15" s="178"/>
      <c r="AP15" s="177"/>
      <c r="AS15" s="178"/>
      <c r="AW15" s="178"/>
      <c r="BA15" s="179"/>
    </row>
    <row r="16" spans="1:53" s="170" customFormat="1" x14ac:dyDescent="0.15">
      <c r="A16" s="215">
        <v>1963</v>
      </c>
      <c r="B16" s="281"/>
      <c r="C16" s="369" t="s">
        <v>247</v>
      </c>
      <c r="D16" s="369"/>
      <c r="E16" s="170">
        <v>365</v>
      </c>
      <c r="G16" s="232">
        <v>5</v>
      </c>
      <c r="I16" s="170">
        <v>11</v>
      </c>
      <c r="J16" s="240">
        <v>17</v>
      </c>
      <c r="K16" s="213">
        <f>G16/J16*100</f>
        <v>29.411764705882355</v>
      </c>
      <c r="L16" s="213">
        <f>H16/J16*100</f>
        <v>0</v>
      </c>
      <c r="M16" s="213">
        <f>I16/J16*100</f>
        <v>64.705882352941174</v>
      </c>
      <c r="N16" s="234">
        <f t="shared" si="0"/>
        <v>94.117647058823536</v>
      </c>
      <c r="O16" s="212">
        <v>6.3</v>
      </c>
      <c r="P16" s="213"/>
      <c r="Q16" s="213">
        <v>43.4</v>
      </c>
      <c r="R16" s="214">
        <f t="shared" si="1"/>
        <v>49.699999999999996</v>
      </c>
      <c r="S16" s="170">
        <v>5</v>
      </c>
      <c r="T16" s="283"/>
      <c r="U16" s="281"/>
      <c r="V16" s="177" t="s">
        <v>101</v>
      </c>
      <c r="W16" s="170" t="s">
        <v>20</v>
      </c>
      <c r="X16" s="170" t="s">
        <v>12</v>
      </c>
      <c r="Y16" s="178">
        <v>43.4</v>
      </c>
      <c r="Z16" s="170" t="s">
        <v>102</v>
      </c>
      <c r="AA16" s="170" t="s">
        <v>22</v>
      </c>
      <c r="AB16" s="170" t="s">
        <v>11</v>
      </c>
      <c r="AC16" s="170">
        <v>6.3</v>
      </c>
      <c r="AD16" s="177"/>
      <c r="AG16" s="178"/>
      <c r="AL16" s="177"/>
      <c r="AO16" s="178"/>
      <c r="AP16" s="177"/>
      <c r="AS16" s="178"/>
      <c r="AW16" s="178"/>
      <c r="BA16" s="179"/>
    </row>
    <row r="17" spans="1:53" s="170" customFormat="1" x14ac:dyDescent="0.15">
      <c r="A17" s="215">
        <v>1964</v>
      </c>
      <c r="B17" s="281"/>
      <c r="C17" s="369" t="s">
        <v>247</v>
      </c>
      <c r="D17" s="369"/>
      <c r="E17" s="170">
        <v>269</v>
      </c>
      <c r="G17" s="232">
        <v>5</v>
      </c>
      <c r="I17" s="170">
        <v>11</v>
      </c>
      <c r="J17" s="240">
        <v>17</v>
      </c>
      <c r="K17" s="213">
        <f>G17/J17*100</f>
        <v>29.411764705882355</v>
      </c>
      <c r="L17" s="213">
        <f>H17/J17*100</f>
        <v>0</v>
      </c>
      <c r="M17" s="213">
        <f>I17/J17*100</f>
        <v>64.705882352941174</v>
      </c>
      <c r="N17" s="234">
        <f t="shared" si="0"/>
        <v>94.117647058823536</v>
      </c>
      <c r="O17" s="212">
        <v>6.3</v>
      </c>
      <c r="P17" s="213"/>
      <c r="Q17" s="213">
        <v>43.4</v>
      </c>
      <c r="R17" s="214">
        <f t="shared" si="1"/>
        <v>49.699999999999996</v>
      </c>
      <c r="S17" s="170">
        <v>5</v>
      </c>
      <c r="T17" s="283"/>
      <c r="U17" s="281"/>
      <c r="V17" s="177" t="s">
        <v>101</v>
      </c>
      <c r="W17" s="170" t="s">
        <v>20</v>
      </c>
      <c r="X17" s="170" t="s">
        <v>12</v>
      </c>
      <c r="Y17" s="178">
        <v>43.4</v>
      </c>
      <c r="Z17" s="170" t="s">
        <v>102</v>
      </c>
      <c r="AA17" s="170" t="s">
        <v>22</v>
      </c>
      <c r="AB17" s="170" t="s">
        <v>11</v>
      </c>
      <c r="AC17" s="170">
        <v>6.3</v>
      </c>
      <c r="AD17" s="177"/>
      <c r="AG17" s="178"/>
      <c r="AL17" s="177"/>
      <c r="AO17" s="178"/>
      <c r="AP17" s="177"/>
      <c r="AS17" s="178"/>
      <c r="AW17" s="178"/>
      <c r="BA17" s="179"/>
    </row>
    <row r="18" spans="1:53" s="28" customFormat="1" x14ac:dyDescent="0.15">
      <c r="A18" s="51">
        <v>1964</v>
      </c>
      <c r="B18" s="293">
        <v>23646</v>
      </c>
      <c r="C18" s="370" t="s">
        <v>248</v>
      </c>
      <c r="D18" s="370"/>
      <c r="E18" s="28">
        <v>97</v>
      </c>
      <c r="F18" s="28">
        <v>1</v>
      </c>
      <c r="G18" s="65"/>
      <c r="I18" s="28">
        <v>17</v>
      </c>
      <c r="J18" s="72">
        <v>17</v>
      </c>
      <c r="K18" s="46">
        <f>G18/J18*100</f>
        <v>0</v>
      </c>
      <c r="L18" s="46">
        <f>H18/J18*100</f>
        <v>0</v>
      </c>
      <c r="M18" s="46">
        <f>I18/J18*100</f>
        <v>100</v>
      </c>
      <c r="N18" s="67">
        <f t="shared" si="0"/>
        <v>100</v>
      </c>
      <c r="O18" s="45"/>
      <c r="P18" s="46"/>
      <c r="Q18" s="46">
        <v>43.4</v>
      </c>
      <c r="R18" s="47">
        <f t="shared" si="1"/>
        <v>43.4</v>
      </c>
      <c r="S18" s="28">
        <v>4</v>
      </c>
      <c r="T18" s="284">
        <v>23642</v>
      </c>
      <c r="U18" s="293">
        <v>23646</v>
      </c>
      <c r="V18" s="37" t="s">
        <v>101</v>
      </c>
      <c r="W18" s="28" t="s">
        <v>20</v>
      </c>
      <c r="X18" s="28" t="s">
        <v>12</v>
      </c>
      <c r="Y18" s="38">
        <v>43.4</v>
      </c>
      <c r="AD18" s="37"/>
      <c r="AG18" s="38"/>
      <c r="AL18" s="37"/>
      <c r="AO18" s="38"/>
      <c r="AP18" s="37"/>
      <c r="AS18" s="38"/>
      <c r="AW18" s="38"/>
      <c r="BA18" s="39"/>
    </row>
    <row r="19" spans="1:53" s="28" customFormat="1" x14ac:dyDescent="0.15">
      <c r="A19" s="51">
        <v>1965</v>
      </c>
      <c r="B19" s="293"/>
      <c r="C19" s="370" t="s">
        <v>248</v>
      </c>
      <c r="D19" s="370"/>
      <c r="E19" s="28">
        <v>0</v>
      </c>
      <c r="G19" s="65"/>
      <c r="I19" s="28">
        <v>17</v>
      </c>
      <c r="J19" s="72">
        <v>17</v>
      </c>
      <c r="K19" s="46">
        <f t="shared" ref="K19:K24" si="5">G19/J19*100</f>
        <v>0</v>
      </c>
      <c r="L19" s="46">
        <f t="shared" ref="L19:L24" si="6">H19/J19*100</f>
        <v>0</v>
      </c>
      <c r="M19" s="46">
        <f t="shared" ref="M19:M24" si="7">I19/J19*100</f>
        <v>100</v>
      </c>
      <c r="N19" s="67">
        <f t="shared" si="0"/>
        <v>100</v>
      </c>
      <c r="O19" s="45"/>
      <c r="P19" s="46"/>
      <c r="Q19" s="46">
        <v>43.4</v>
      </c>
      <c r="R19" s="47">
        <f t="shared" si="1"/>
        <v>43.4</v>
      </c>
      <c r="S19" s="28">
        <v>4</v>
      </c>
      <c r="T19" s="284"/>
      <c r="U19" s="293"/>
      <c r="V19" s="37" t="s">
        <v>101</v>
      </c>
      <c r="W19" s="28" t="s">
        <v>20</v>
      </c>
      <c r="X19" s="28" t="s">
        <v>12</v>
      </c>
      <c r="Y19" s="38">
        <v>43.4</v>
      </c>
      <c r="AD19" s="37"/>
      <c r="AG19" s="38"/>
      <c r="AL19" s="37"/>
      <c r="AO19" s="38"/>
      <c r="AP19" s="37"/>
      <c r="AS19" s="38"/>
      <c r="AW19" s="38"/>
      <c r="BA19" s="39"/>
    </row>
    <row r="20" spans="1:53" s="28" customFormat="1" x14ac:dyDescent="0.15">
      <c r="A20" s="51">
        <v>1965</v>
      </c>
      <c r="B20" s="293"/>
      <c r="C20" s="370" t="s">
        <v>248</v>
      </c>
      <c r="D20" s="370"/>
      <c r="E20" s="28">
        <v>365</v>
      </c>
      <c r="G20" s="65"/>
      <c r="I20" s="28">
        <v>17</v>
      </c>
      <c r="J20" s="72">
        <v>17</v>
      </c>
      <c r="K20" s="46">
        <f t="shared" si="5"/>
        <v>0</v>
      </c>
      <c r="L20" s="46">
        <f t="shared" si="6"/>
        <v>0</v>
      </c>
      <c r="M20" s="46">
        <f t="shared" si="7"/>
        <v>100</v>
      </c>
      <c r="N20" s="67">
        <f t="shared" si="0"/>
        <v>100</v>
      </c>
      <c r="O20" s="45"/>
      <c r="P20" s="46"/>
      <c r="Q20" s="46">
        <v>43.4</v>
      </c>
      <c r="R20" s="47">
        <f t="shared" si="1"/>
        <v>43.4</v>
      </c>
      <c r="S20" s="28">
        <v>4</v>
      </c>
      <c r="T20" s="284"/>
      <c r="U20" s="293"/>
      <c r="V20" s="37" t="s">
        <v>101</v>
      </c>
      <c r="W20" s="28" t="s">
        <v>20</v>
      </c>
      <c r="X20" s="28" t="s">
        <v>12</v>
      </c>
      <c r="Y20" s="38">
        <v>43.4</v>
      </c>
      <c r="AD20" s="37"/>
      <c r="AG20" s="38"/>
      <c r="AL20" s="37"/>
      <c r="AO20" s="38"/>
      <c r="AP20" s="37"/>
      <c r="AS20" s="38"/>
      <c r="AW20" s="38"/>
      <c r="BA20" s="39"/>
    </row>
    <row r="21" spans="1:53" s="28" customFormat="1" x14ac:dyDescent="0.15">
      <c r="A21" s="51">
        <v>1966</v>
      </c>
      <c r="B21" s="293"/>
      <c r="C21" s="370" t="s">
        <v>248</v>
      </c>
      <c r="D21" s="370"/>
      <c r="E21" s="28">
        <v>331</v>
      </c>
      <c r="G21" s="65"/>
      <c r="I21" s="28">
        <v>17</v>
      </c>
      <c r="J21" s="72">
        <v>17</v>
      </c>
      <c r="K21" s="46">
        <f t="shared" si="5"/>
        <v>0</v>
      </c>
      <c r="L21" s="46">
        <f t="shared" si="6"/>
        <v>0</v>
      </c>
      <c r="M21" s="46">
        <f t="shared" si="7"/>
        <v>100</v>
      </c>
      <c r="N21" s="67">
        <f t="shared" si="0"/>
        <v>100</v>
      </c>
      <c r="O21" s="45"/>
      <c r="P21" s="46"/>
      <c r="Q21" s="46">
        <v>43.4</v>
      </c>
      <c r="R21" s="47">
        <f t="shared" si="1"/>
        <v>43.4</v>
      </c>
      <c r="S21" s="28">
        <v>4</v>
      </c>
      <c r="T21" s="284"/>
      <c r="U21" s="293"/>
      <c r="V21" s="37" t="s">
        <v>101</v>
      </c>
      <c r="W21" s="28" t="s">
        <v>20</v>
      </c>
      <c r="X21" s="28" t="s">
        <v>12</v>
      </c>
      <c r="Y21" s="38">
        <v>43.4</v>
      </c>
      <c r="AD21" s="37"/>
      <c r="AG21" s="38"/>
      <c r="AL21" s="37"/>
      <c r="AO21" s="38"/>
      <c r="AP21" s="37"/>
      <c r="AS21" s="38"/>
      <c r="AW21" s="38"/>
      <c r="BA21" s="39"/>
    </row>
    <row r="22" spans="1:53" s="170" customFormat="1" x14ac:dyDescent="0.15">
      <c r="A22" s="215">
        <v>1966</v>
      </c>
      <c r="B22" s="281">
        <v>24439</v>
      </c>
      <c r="C22" s="369" t="s">
        <v>249</v>
      </c>
      <c r="D22" s="369"/>
      <c r="E22" s="170">
        <v>34</v>
      </c>
      <c r="F22" s="170">
        <v>1</v>
      </c>
      <c r="G22" s="232"/>
      <c r="I22" s="170">
        <v>19</v>
      </c>
      <c r="J22" s="240">
        <v>19</v>
      </c>
      <c r="K22" s="213">
        <f t="shared" si="5"/>
        <v>0</v>
      </c>
      <c r="L22" s="213">
        <f t="shared" si="6"/>
        <v>0</v>
      </c>
      <c r="M22" s="213">
        <f t="shared" si="7"/>
        <v>100</v>
      </c>
      <c r="N22" s="234">
        <f t="shared" si="0"/>
        <v>100</v>
      </c>
      <c r="O22" s="212"/>
      <c r="P22" s="213"/>
      <c r="Q22" s="213">
        <v>39.4</v>
      </c>
      <c r="R22" s="214">
        <f t="shared" si="1"/>
        <v>39.4</v>
      </c>
      <c r="S22" s="170">
        <v>4</v>
      </c>
      <c r="T22" s="283">
        <v>24433</v>
      </c>
      <c r="U22" s="281">
        <v>24439</v>
      </c>
      <c r="V22" s="177" t="s">
        <v>101</v>
      </c>
      <c r="W22" s="170" t="s">
        <v>20</v>
      </c>
      <c r="X22" s="170" t="s">
        <v>12</v>
      </c>
      <c r="Y22" s="178">
        <v>39.4</v>
      </c>
      <c r="AD22" s="177"/>
      <c r="AG22" s="178"/>
      <c r="AL22" s="177"/>
      <c r="AO22" s="178"/>
      <c r="AP22" s="177"/>
      <c r="AS22" s="178"/>
      <c r="AW22" s="178"/>
      <c r="BA22" s="179"/>
    </row>
    <row r="23" spans="1:53" s="170" customFormat="1" x14ac:dyDescent="0.15">
      <c r="A23" s="215">
        <v>1967</v>
      </c>
      <c r="B23" s="281"/>
      <c r="C23" s="369" t="s">
        <v>249</v>
      </c>
      <c r="D23" s="369"/>
      <c r="E23" s="170">
        <v>0</v>
      </c>
      <c r="G23" s="232"/>
      <c r="I23" s="170">
        <v>19</v>
      </c>
      <c r="J23" s="240">
        <v>19</v>
      </c>
      <c r="K23" s="213">
        <f t="shared" si="5"/>
        <v>0</v>
      </c>
      <c r="L23" s="213">
        <f t="shared" si="6"/>
        <v>0</v>
      </c>
      <c r="M23" s="213">
        <f t="shared" si="7"/>
        <v>100</v>
      </c>
      <c r="N23" s="234">
        <f t="shared" si="0"/>
        <v>100</v>
      </c>
      <c r="O23" s="212"/>
      <c r="P23" s="213"/>
      <c r="Q23" s="213">
        <v>39.4</v>
      </c>
      <c r="R23" s="214">
        <f t="shared" si="1"/>
        <v>39.4</v>
      </c>
      <c r="S23" s="170">
        <v>4</v>
      </c>
      <c r="T23" s="283"/>
      <c r="U23" s="281"/>
      <c r="V23" s="177" t="s">
        <v>101</v>
      </c>
      <c r="W23" s="170" t="s">
        <v>20</v>
      </c>
      <c r="X23" s="170" t="s">
        <v>12</v>
      </c>
      <c r="Y23" s="178">
        <v>39.4</v>
      </c>
      <c r="AD23" s="177"/>
      <c r="AG23" s="178"/>
      <c r="AL23" s="177"/>
      <c r="AO23" s="178"/>
      <c r="AP23" s="177"/>
      <c r="AS23" s="178"/>
      <c r="AW23" s="178"/>
      <c r="BA23" s="179"/>
    </row>
    <row r="24" spans="1:53" s="170" customFormat="1" x14ac:dyDescent="0.15">
      <c r="A24" s="215">
        <v>1967</v>
      </c>
      <c r="B24" s="281"/>
      <c r="C24" s="369" t="s">
        <v>249</v>
      </c>
      <c r="D24" s="369"/>
      <c r="E24" s="170">
        <v>365</v>
      </c>
      <c r="G24" s="232"/>
      <c r="I24" s="170">
        <v>19</v>
      </c>
      <c r="J24" s="240">
        <v>19</v>
      </c>
      <c r="K24" s="213">
        <f t="shared" si="5"/>
        <v>0</v>
      </c>
      <c r="L24" s="213">
        <f t="shared" si="6"/>
        <v>0</v>
      </c>
      <c r="M24" s="213">
        <f t="shared" si="7"/>
        <v>100</v>
      </c>
      <c r="N24" s="234">
        <f t="shared" si="0"/>
        <v>100</v>
      </c>
      <c r="O24" s="212"/>
      <c r="P24" s="213"/>
      <c r="Q24" s="213">
        <v>39.4</v>
      </c>
      <c r="R24" s="214">
        <f t="shared" si="1"/>
        <v>39.4</v>
      </c>
      <c r="S24" s="170">
        <v>4</v>
      </c>
      <c r="T24" s="283"/>
      <c r="U24" s="281"/>
      <c r="V24" s="177" t="s">
        <v>101</v>
      </c>
      <c r="W24" s="170" t="s">
        <v>20</v>
      </c>
      <c r="X24" s="170" t="s">
        <v>12</v>
      </c>
      <c r="Y24" s="178">
        <v>39.4</v>
      </c>
      <c r="AD24" s="177"/>
      <c r="AG24" s="178"/>
      <c r="AL24" s="177"/>
      <c r="AO24" s="178"/>
      <c r="AP24" s="177"/>
      <c r="AS24" s="178"/>
      <c r="AW24" s="178"/>
      <c r="BA24" s="179"/>
    </row>
    <row r="25" spans="1:53" s="170" customFormat="1" x14ac:dyDescent="0.15">
      <c r="A25" s="215">
        <v>1968</v>
      </c>
      <c r="B25" s="281"/>
      <c r="C25" s="369" t="s">
        <v>249</v>
      </c>
      <c r="D25" s="369"/>
      <c r="E25" s="170">
        <v>31</v>
      </c>
      <c r="G25" s="232"/>
      <c r="I25" s="170">
        <v>19</v>
      </c>
      <c r="J25" s="240">
        <v>19</v>
      </c>
      <c r="K25" s="213">
        <f>G25/J25*100</f>
        <v>0</v>
      </c>
      <c r="L25" s="213">
        <f>H25/J25*100</f>
        <v>0</v>
      </c>
      <c r="M25" s="213">
        <f>I25/J25*100</f>
        <v>100</v>
      </c>
      <c r="N25" s="234">
        <f t="shared" si="0"/>
        <v>100</v>
      </c>
      <c r="O25" s="212"/>
      <c r="P25" s="213"/>
      <c r="Q25" s="213">
        <v>39.4</v>
      </c>
      <c r="R25" s="214">
        <f t="shared" si="1"/>
        <v>39.4</v>
      </c>
      <c r="S25" s="170">
        <v>4</v>
      </c>
      <c r="T25" s="283"/>
      <c r="U25" s="281"/>
      <c r="V25" s="177" t="s">
        <v>101</v>
      </c>
      <c r="W25" s="170" t="s">
        <v>20</v>
      </c>
      <c r="X25" s="170" t="s">
        <v>12</v>
      </c>
      <c r="Y25" s="178">
        <v>39.4</v>
      </c>
      <c r="AD25" s="177"/>
      <c r="AG25" s="178"/>
      <c r="AL25" s="177"/>
      <c r="AO25" s="178"/>
      <c r="AP25" s="177"/>
      <c r="AS25" s="178"/>
      <c r="AW25" s="178"/>
      <c r="BA25" s="179"/>
    </row>
    <row r="26" spans="1:53" s="28" customFormat="1" x14ac:dyDescent="0.15">
      <c r="A26" s="51">
        <v>1968</v>
      </c>
      <c r="B26" s="293">
        <v>24869</v>
      </c>
      <c r="C26" s="370" t="s">
        <v>250</v>
      </c>
      <c r="D26" s="370"/>
      <c r="E26" s="28">
        <v>335</v>
      </c>
      <c r="F26" s="28">
        <v>5</v>
      </c>
      <c r="G26" s="65">
        <v>17</v>
      </c>
      <c r="J26" s="72">
        <v>17</v>
      </c>
      <c r="K26" s="46">
        <f t="shared" ref="K26:K31" si="8">G26/J26*100</f>
        <v>100</v>
      </c>
      <c r="L26" s="46">
        <f t="shared" ref="L26:L31" si="9">H26/J26*100</f>
        <v>0</v>
      </c>
      <c r="M26" s="46">
        <f t="shared" ref="M26:M31" si="10">I26/J26*100</f>
        <v>0</v>
      </c>
      <c r="N26" s="67">
        <f t="shared" si="0"/>
        <v>100</v>
      </c>
      <c r="O26" s="45">
        <v>55.9</v>
      </c>
      <c r="P26" s="46"/>
      <c r="Q26" s="46"/>
      <c r="R26" s="47">
        <f t="shared" si="1"/>
        <v>55.9</v>
      </c>
      <c r="S26" s="28">
        <v>2</v>
      </c>
      <c r="T26" s="284">
        <v>24860</v>
      </c>
      <c r="U26" s="293">
        <v>24869</v>
      </c>
      <c r="V26" s="37" t="s">
        <v>102</v>
      </c>
      <c r="W26" s="28" t="s">
        <v>22</v>
      </c>
      <c r="X26" s="28" t="s">
        <v>11</v>
      </c>
      <c r="Y26" s="38">
        <v>15.4</v>
      </c>
      <c r="Z26" s="28" t="s">
        <v>72</v>
      </c>
      <c r="AA26" s="28" t="s">
        <v>87</v>
      </c>
      <c r="AB26" s="28" t="s">
        <v>11</v>
      </c>
      <c r="AC26" s="28">
        <v>19.399999999999999</v>
      </c>
      <c r="AD26" s="37" t="s">
        <v>104</v>
      </c>
      <c r="AE26" s="28" t="s">
        <v>74</v>
      </c>
      <c r="AF26" s="28" t="s">
        <v>11</v>
      </c>
      <c r="AG26" s="38">
        <v>21.1</v>
      </c>
      <c r="AL26" s="37"/>
      <c r="AO26" s="38"/>
      <c r="AP26" s="37"/>
      <c r="AS26" s="38"/>
      <c r="AW26" s="38"/>
      <c r="BA26" s="39"/>
    </row>
    <row r="27" spans="1:53" s="28" customFormat="1" x14ac:dyDescent="0.15">
      <c r="A27" s="51">
        <v>1969</v>
      </c>
      <c r="B27" s="293"/>
      <c r="C27" s="370" t="s">
        <v>250</v>
      </c>
      <c r="D27" s="370"/>
      <c r="E27" s="28">
        <v>0</v>
      </c>
      <c r="G27" s="65">
        <v>17</v>
      </c>
      <c r="J27" s="72">
        <v>17</v>
      </c>
      <c r="K27" s="46">
        <f t="shared" si="8"/>
        <v>100</v>
      </c>
      <c r="L27" s="46">
        <f t="shared" si="9"/>
        <v>0</v>
      </c>
      <c r="M27" s="46">
        <f t="shared" si="10"/>
        <v>0</v>
      </c>
      <c r="N27" s="67">
        <f t="shared" si="0"/>
        <v>100</v>
      </c>
      <c r="O27" s="45">
        <v>55.9</v>
      </c>
      <c r="P27" s="46"/>
      <c r="Q27" s="46"/>
      <c r="R27" s="47">
        <f t="shared" si="1"/>
        <v>55.9</v>
      </c>
      <c r="S27" s="28">
        <v>2</v>
      </c>
      <c r="T27" s="284"/>
      <c r="U27" s="293"/>
      <c r="V27" s="37" t="s">
        <v>102</v>
      </c>
      <c r="W27" s="28" t="s">
        <v>22</v>
      </c>
      <c r="X27" s="28" t="s">
        <v>11</v>
      </c>
      <c r="Y27" s="38">
        <v>15.4</v>
      </c>
      <c r="Z27" s="28" t="s">
        <v>72</v>
      </c>
      <c r="AA27" s="28" t="s">
        <v>87</v>
      </c>
      <c r="AB27" s="28" t="s">
        <v>11</v>
      </c>
      <c r="AC27" s="28">
        <v>19.399999999999999</v>
      </c>
      <c r="AD27" s="37" t="s">
        <v>104</v>
      </c>
      <c r="AE27" s="28" t="s">
        <v>74</v>
      </c>
      <c r="AF27" s="28" t="s">
        <v>11</v>
      </c>
      <c r="AG27" s="38">
        <v>21.1</v>
      </c>
      <c r="AL27" s="37"/>
      <c r="AO27" s="38"/>
      <c r="AP27" s="37"/>
      <c r="AS27" s="38"/>
      <c r="AW27" s="38"/>
      <c r="BA27" s="39"/>
    </row>
    <row r="28" spans="1:53" s="28" customFormat="1" x14ac:dyDescent="0.15">
      <c r="A28" s="51">
        <v>1969</v>
      </c>
      <c r="B28" s="293"/>
      <c r="C28" s="370" t="s">
        <v>250</v>
      </c>
      <c r="D28" s="370"/>
      <c r="E28" s="28">
        <v>365</v>
      </c>
      <c r="G28" s="65">
        <v>17</v>
      </c>
      <c r="J28" s="72">
        <v>17</v>
      </c>
      <c r="K28" s="46">
        <f t="shared" si="8"/>
        <v>100</v>
      </c>
      <c r="L28" s="46">
        <f t="shared" si="9"/>
        <v>0</v>
      </c>
      <c r="M28" s="46">
        <f t="shared" si="10"/>
        <v>0</v>
      </c>
      <c r="N28" s="67">
        <f t="shared" si="0"/>
        <v>100</v>
      </c>
      <c r="O28" s="45">
        <v>55.9</v>
      </c>
      <c r="P28" s="46"/>
      <c r="Q28" s="46"/>
      <c r="R28" s="47">
        <f t="shared" si="1"/>
        <v>55.9</v>
      </c>
      <c r="S28" s="28">
        <v>2</v>
      </c>
      <c r="T28" s="284"/>
      <c r="U28" s="293"/>
      <c r="V28" s="37" t="s">
        <v>102</v>
      </c>
      <c r="W28" s="28" t="s">
        <v>22</v>
      </c>
      <c r="X28" s="28" t="s">
        <v>11</v>
      </c>
      <c r="Y28" s="38">
        <v>15.4</v>
      </c>
      <c r="Z28" s="28" t="s">
        <v>72</v>
      </c>
      <c r="AA28" s="28" t="s">
        <v>87</v>
      </c>
      <c r="AB28" s="28" t="s">
        <v>11</v>
      </c>
      <c r="AC28" s="28">
        <v>19.399999999999999</v>
      </c>
      <c r="AD28" s="37" t="s">
        <v>104</v>
      </c>
      <c r="AE28" s="28" t="s">
        <v>74</v>
      </c>
      <c r="AF28" s="28" t="s">
        <v>11</v>
      </c>
      <c r="AG28" s="38">
        <v>21.1</v>
      </c>
      <c r="AL28" s="37"/>
      <c r="AO28" s="38"/>
      <c r="AP28" s="37"/>
      <c r="AS28" s="38"/>
      <c r="AW28" s="38"/>
      <c r="BA28" s="39"/>
    </row>
    <row r="29" spans="1:53" s="28" customFormat="1" x14ac:dyDescent="0.15">
      <c r="A29" s="51">
        <v>1970</v>
      </c>
      <c r="B29" s="293"/>
      <c r="C29" s="370" t="s">
        <v>250</v>
      </c>
      <c r="D29" s="370"/>
      <c r="E29" s="28">
        <v>0</v>
      </c>
      <c r="G29" s="65">
        <v>17</v>
      </c>
      <c r="J29" s="72">
        <v>17</v>
      </c>
      <c r="K29" s="46">
        <f t="shared" si="8"/>
        <v>100</v>
      </c>
      <c r="L29" s="46">
        <f t="shared" si="9"/>
        <v>0</v>
      </c>
      <c r="M29" s="46">
        <f t="shared" si="10"/>
        <v>0</v>
      </c>
      <c r="N29" s="67">
        <f t="shared" si="0"/>
        <v>100</v>
      </c>
      <c r="O29" s="45">
        <v>55.9</v>
      </c>
      <c r="P29" s="46"/>
      <c r="Q29" s="46"/>
      <c r="R29" s="47">
        <f t="shared" si="1"/>
        <v>55.9</v>
      </c>
      <c r="S29" s="28">
        <v>2</v>
      </c>
      <c r="T29" s="284"/>
      <c r="U29" s="293"/>
      <c r="V29" s="37" t="s">
        <v>102</v>
      </c>
      <c r="W29" s="28" t="s">
        <v>22</v>
      </c>
      <c r="X29" s="28" t="s">
        <v>11</v>
      </c>
      <c r="Y29" s="38">
        <v>15.4</v>
      </c>
      <c r="Z29" s="28" t="s">
        <v>72</v>
      </c>
      <c r="AA29" s="28" t="s">
        <v>87</v>
      </c>
      <c r="AB29" s="28" t="s">
        <v>11</v>
      </c>
      <c r="AC29" s="28">
        <v>19.399999999999999</v>
      </c>
      <c r="AD29" s="37" t="s">
        <v>104</v>
      </c>
      <c r="AE29" s="28" t="s">
        <v>74</v>
      </c>
      <c r="AF29" s="28" t="s">
        <v>11</v>
      </c>
      <c r="AG29" s="38">
        <v>21.1</v>
      </c>
      <c r="AL29" s="37"/>
      <c r="AO29" s="38"/>
      <c r="AP29" s="37"/>
      <c r="AS29" s="38"/>
      <c r="AW29" s="38"/>
      <c r="BA29" s="39"/>
    </row>
    <row r="30" spans="1:53" s="28" customFormat="1" x14ac:dyDescent="0.15">
      <c r="A30" s="51">
        <v>1970</v>
      </c>
      <c r="B30" s="293"/>
      <c r="C30" s="370" t="s">
        <v>250</v>
      </c>
      <c r="D30" s="370"/>
      <c r="E30" s="28">
        <v>365</v>
      </c>
      <c r="G30" s="65">
        <v>17</v>
      </c>
      <c r="J30" s="72">
        <v>17</v>
      </c>
      <c r="K30" s="46">
        <f t="shared" si="8"/>
        <v>100</v>
      </c>
      <c r="L30" s="46">
        <f t="shared" si="9"/>
        <v>0</v>
      </c>
      <c r="M30" s="46">
        <f t="shared" si="10"/>
        <v>0</v>
      </c>
      <c r="N30" s="67">
        <f t="shared" si="0"/>
        <v>100</v>
      </c>
      <c r="O30" s="45">
        <v>55.9</v>
      </c>
      <c r="P30" s="46"/>
      <c r="Q30" s="46"/>
      <c r="R30" s="47">
        <f t="shared" si="1"/>
        <v>55.9</v>
      </c>
      <c r="S30" s="28">
        <v>2</v>
      </c>
      <c r="T30" s="284"/>
      <c r="U30" s="293"/>
      <c r="V30" s="37" t="s">
        <v>102</v>
      </c>
      <c r="W30" s="28" t="s">
        <v>22</v>
      </c>
      <c r="X30" s="28" t="s">
        <v>11</v>
      </c>
      <c r="Y30" s="38">
        <v>15.4</v>
      </c>
      <c r="Z30" s="28" t="s">
        <v>72</v>
      </c>
      <c r="AA30" s="28" t="s">
        <v>87</v>
      </c>
      <c r="AB30" s="28" t="s">
        <v>11</v>
      </c>
      <c r="AC30" s="28">
        <v>19.399999999999999</v>
      </c>
      <c r="AD30" s="37" t="s">
        <v>104</v>
      </c>
      <c r="AE30" s="28" t="s">
        <v>74</v>
      </c>
      <c r="AF30" s="28" t="s">
        <v>11</v>
      </c>
      <c r="AG30" s="38">
        <v>21.1</v>
      </c>
      <c r="AL30" s="37"/>
      <c r="AO30" s="38"/>
      <c r="AP30" s="37"/>
      <c r="AS30" s="38"/>
      <c r="AW30" s="38"/>
      <c r="BA30" s="39"/>
    </row>
    <row r="31" spans="1:53" s="28" customFormat="1" x14ac:dyDescent="0.15">
      <c r="A31" s="51">
        <v>1971</v>
      </c>
      <c r="B31" s="293"/>
      <c r="C31" s="370" t="s">
        <v>250</v>
      </c>
      <c r="D31" s="370"/>
      <c r="E31" s="28">
        <v>283</v>
      </c>
      <c r="G31" s="65">
        <v>17</v>
      </c>
      <c r="J31" s="72">
        <v>17</v>
      </c>
      <c r="K31" s="46">
        <f t="shared" si="8"/>
        <v>100</v>
      </c>
      <c r="L31" s="46">
        <f t="shared" si="9"/>
        <v>0</v>
      </c>
      <c r="M31" s="46">
        <f t="shared" si="10"/>
        <v>0</v>
      </c>
      <c r="N31" s="67">
        <f t="shared" si="0"/>
        <v>100</v>
      </c>
      <c r="O31" s="45">
        <v>55.9</v>
      </c>
      <c r="P31" s="46"/>
      <c r="Q31" s="46"/>
      <c r="R31" s="47">
        <f t="shared" si="1"/>
        <v>55.9</v>
      </c>
      <c r="S31" s="28">
        <v>2</v>
      </c>
      <c r="T31" s="284"/>
      <c r="U31" s="293"/>
      <c r="V31" s="37" t="s">
        <v>102</v>
      </c>
      <c r="W31" s="28" t="s">
        <v>22</v>
      </c>
      <c r="X31" s="28" t="s">
        <v>11</v>
      </c>
      <c r="Y31" s="38">
        <v>15.4</v>
      </c>
      <c r="Z31" s="28" t="s">
        <v>72</v>
      </c>
      <c r="AA31" s="28" t="s">
        <v>87</v>
      </c>
      <c r="AB31" s="28" t="s">
        <v>11</v>
      </c>
      <c r="AC31" s="28">
        <v>19.399999999999999</v>
      </c>
      <c r="AD31" s="37" t="s">
        <v>104</v>
      </c>
      <c r="AE31" s="28" t="s">
        <v>74</v>
      </c>
      <c r="AF31" s="28" t="s">
        <v>11</v>
      </c>
      <c r="AG31" s="38">
        <v>21.1</v>
      </c>
      <c r="AL31" s="37"/>
      <c r="AO31" s="38"/>
      <c r="AP31" s="37"/>
      <c r="AS31" s="38"/>
      <c r="AW31" s="38"/>
      <c r="BA31" s="39"/>
    </row>
    <row r="32" spans="1:53" s="170" customFormat="1" x14ac:dyDescent="0.15">
      <c r="A32" s="215">
        <v>1971</v>
      </c>
      <c r="B32" s="281">
        <v>26217</v>
      </c>
      <c r="C32" s="369" t="s">
        <v>251</v>
      </c>
      <c r="D32" s="369"/>
      <c r="E32" s="170">
        <v>82</v>
      </c>
      <c r="F32" s="170">
        <v>1</v>
      </c>
      <c r="G32" s="232"/>
      <c r="I32" s="170">
        <v>17</v>
      </c>
      <c r="J32" s="240">
        <v>18</v>
      </c>
      <c r="K32" s="213">
        <f>G32/J32*100</f>
        <v>0</v>
      </c>
      <c r="L32" s="213">
        <f>H32/J32*100</f>
        <v>0</v>
      </c>
      <c r="M32" s="213">
        <f>I32/J32*100</f>
        <v>94.444444444444443</v>
      </c>
      <c r="N32" s="234">
        <f t="shared" si="0"/>
        <v>94.444444444444443</v>
      </c>
      <c r="O32" s="212"/>
      <c r="P32" s="213"/>
      <c r="Q32" s="213">
        <v>40</v>
      </c>
      <c r="R32" s="214">
        <f t="shared" si="1"/>
        <v>40</v>
      </c>
      <c r="S32" s="170">
        <v>4</v>
      </c>
      <c r="T32" s="283">
        <v>26197</v>
      </c>
      <c r="U32" s="281">
        <v>26217</v>
      </c>
      <c r="V32" s="177" t="s">
        <v>101</v>
      </c>
      <c r="W32" s="170" t="s">
        <v>20</v>
      </c>
      <c r="X32" s="170" t="s">
        <v>12</v>
      </c>
      <c r="Y32" s="178">
        <v>40</v>
      </c>
      <c r="AD32" s="177"/>
      <c r="AG32" s="178"/>
      <c r="AL32" s="177"/>
      <c r="AO32" s="178"/>
      <c r="AP32" s="177"/>
      <c r="AS32" s="178"/>
      <c r="AW32" s="178"/>
      <c r="BA32" s="179"/>
    </row>
    <row r="33" spans="1:53" s="170" customFormat="1" x14ac:dyDescent="0.15">
      <c r="A33" s="215">
        <v>1972</v>
      </c>
      <c r="B33" s="281"/>
      <c r="C33" s="369" t="s">
        <v>251</v>
      </c>
      <c r="D33" s="369"/>
      <c r="E33" s="170">
        <v>278</v>
      </c>
      <c r="G33" s="232"/>
      <c r="I33" s="170">
        <v>17</v>
      </c>
      <c r="J33" s="240">
        <v>18</v>
      </c>
      <c r="K33" s="213">
        <f t="shared" ref="K33:K38" si="11">G33/J33*100</f>
        <v>0</v>
      </c>
      <c r="L33" s="213">
        <f t="shared" ref="L33:L38" si="12">H33/J33*100</f>
        <v>0</v>
      </c>
      <c r="M33" s="213">
        <f t="shared" ref="M33:M38" si="13">I33/J33*100</f>
        <v>94.444444444444443</v>
      </c>
      <c r="N33" s="234">
        <f t="shared" si="0"/>
        <v>94.444444444444443</v>
      </c>
      <c r="O33" s="212"/>
      <c r="P33" s="213"/>
      <c r="Q33" s="213">
        <v>40</v>
      </c>
      <c r="R33" s="214">
        <f t="shared" si="1"/>
        <v>40</v>
      </c>
      <c r="S33" s="170">
        <v>4</v>
      </c>
      <c r="T33" s="283"/>
      <c r="U33" s="281"/>
      <c r="V33" s="177" t="s">
        <v>101</v>
      </c>
      <c r="W33" s="170" t="s">
        <v>20</v>
      </c>
      <c r="X33" s="170" t="s">
        <v>12</v>
      </c>
      <c r="Y33" s="178">
        <v>40</v>
      </c>
      <c r="AD33" s="177"/>
      <c r="AG33" s="178"/>
      <c r="AL33" s="177"/>
      <c r="AO33" s="178"/>
      <c r="AP33" s="177"/>
      <c r="AS33" s="178"/>
      <c r="AW33" s="178"/>
      <c r="BA33" s="179"/>
    </row>
    <row r="34" spans="1:53" s="28" customFormat="1" x14ac:dyDescent="0.15">
      <c r="A34" s="51">
        <v>1972</v>
      </c>
      <c r="B34" s="293">
        <v>26577</v>
      </c>
      <c r="C34" s="370" t="s">
        <v>252</v>
      </c>
      <c r="D34" s="370"/>
      <c r="E34" s="28">
        <v>88</v>
      </c>
      <c r="F34" s="28">
        <v>2</v>
      </c>
      <c r="G34" s="65"/>
      <c r="I34" s="28">
        <v>17</v>
      </c>
      <c r="J34" s="72">
        <v>18</v>
      </c>
      <c r="K34" s="46">
        <f t="shared" si="11"/>
        <v>0</v>
      </c>
      <c r="L34" s="46">
        <f t="shared" si="12"/>
        <v>0</v>
      </c>
      <c r="M34" s="46">
        <f t="shared" si="13"/>
        <v>94.444444444444443</v>
      </c>
      <c r="N34" s="67">
        <f t="shared" si="0"/>
        <v>94.444444444444443</v>
      </c>
      <c r="O34" s="45"/>
      <c r="P34" s="46"/>
      <c r="Q34" s="46">
        <v>40</v>
      </c>
      <c r="R34" s="47">
        <f t="shared" si="1"/>
        <v>40</v>
      </c>
      <c r="S34" s="28">
        <v>4</v>
      </c>
      <c r="T34" s="284"/>
      <c r="U34" s="293">
        <v>26577</v>
      </c>
      <c r="V34" s="37" t="s">
        <v>101</v>
      </c>
      <c r="W34" s="28" t="s">
        <v>20</v>
      </c>
      <c r="X34" s="28" t="s">
        <v>12</v>
      </c>
      <c r="Y34" s="38">
        <v>40</v>
      </c>
      <c r="AD34" s="37"/>
      <c r="AG34" s="38"/>
      <c r="AL34" s="37"/>
      <c r="AO34" s="38"/>
      <c r="AP34" s="37"/>
      <c r="AS34" s="38"/>
      <c r="AW34" s="38"/>
      <c r="BA34" s="39"/>
    </row>
    <row r="35" spans="1:53" s="28" customFormat="1" x14ac:dyDescent="0.15">
      <c r="A35" s="51">
        <v>1973</v>
      </c>
      <c r="B35" s="293"/>
      <c r="C35" s="370" t="s">
        <v>252</v>
      </c>
      <c r="D35" s="370"/>
      <c r="E35" s="28">
        <v>352</v>
      </c>
      <c r="G35" s="65"/>
      <c r="I35" s="28">
        <v>17</v>
      </c>
      <c r="J35" s="72">
        <v>18</v>
      </c>
      <c r="K35" s="46">
        <f t="shared" si="11"/>
        <v>0</v>
      </c>
      <c r="L35" s="46">
        <f t="shared" si="12"/>
        <v>0</v>
      </c>
      <c r="M35" s="46">
        <f t="shared" si="13"/>
        <v>94.444444444444443</v>
      </c>
      <c r="N35" s="67">
        <f t="shared" si="0"/>
        <v>94.444444444444443</v>
      </c>
      <c r="O35" s="45"/>
      <c r="P35" s="46"/>
      <c r="Q35" s="46">
        <v>40</v>
      </c>
      <c r="R35" s="47">
        <f t="shared" si="1"/>
        <v>40</v>
      </c>
      <c r="S35" s="28">
        <v>4</v>
      </c>
      <c r="T35" s="284"/>
      <c r="U35" s="293"/>
      <c r="V35" s="37" t="s">
        <v>101</v>
      </c>
      <c r="W35" s="28" t="s">
        <v>20</v>
      </c>
      <c r="X35" s="28" t="s">
        <v>12</v>
      </c>
      <c r="Y35" s="38">
        <v>40</v>
      </c>
      <c r="AD35" s="37"/>
      <c r="AG35" s="38"/>
      <c r="AL35" s="37"/>
      <c r="AO35" s="38"/>
      <c r="AP35" s="37"/>
      <c r="AS35" s="38"/>
      <c r="AW35" s="38"/>
      <c r="BA35" s="39"/>
    </row>
    <row r="36" spans="1:53" s="170" customFormat="1" x14ac:dyDescent="0.15">
      <c r="A36" s="215">
        <v>1973</v>
      </c>
      <c r="B36" s="281">
        <v>27017</v>
      </c>
      <c r="C36" s="369" t="s">
        <v>253</v>
      </c>
      <c r="D36" s="369"/>
      <c r="E36" s="170">
        <v>13</v>
      </c>
      <c r="F36" s="170">
        <v>1</v>
      </c>
      <c r="G36" s="232">
        <v>12</v>
      </c>
      <c r="J36" s="240">
        <v>12</v>
      </c>
      <c r="K36" s="213">
        <f t="shared" si="11"/>
        <v>100</v>
      </c>
      <c r="L36" s="213">
        <f t="shared" si="12"/>
        <v>0</v>
      </c>
      <c r="M36" s="213">
        <f t="shared" si="13"/>
        <v>0</v>
      </c>
      <c r="N36" s="234">
        <f t="shared" si="0"/>
        <v>100</v>
      </c>
      <c r="O36" s="212">
        <v>12.6</v>
      </c>
      <c r="P36" s="213"/>
      <c r="Q36" s="213"/>
      <c r="R36" s="214">
        <f t="shared" si="1"/>
        <v>12.6</v>
      </c>
      <c r="S36" s="170">
        <v>4</v>
      </c>
      <c r="T36" s="283">
        <v>27002</v>
      </c>
      <c r="U36" s="281">
        <v>27017</v>
      </c>
      <c r="V36" s="177" t="s">
        <v>72</v>
      </c>
      <c r="W36" s="170" t="s">
        <v>87</v>
      </c>
      <c r="X36" s="170" t="s">
        <v>11</v>
      </c>
      <c r="Y36" s="178">
        <v>12.6</v>
      </c>
      <c r="AD36" s="177"/>
      <c r="AG36" s="178"/>
      <c r="AL36" s="177"/>
      <c r="AO36" s="178"/>
      <c r="AP36" s="177"/>
      <c r="AS36" s="178"/>
      <c r="AW36" s="178"/>
      <c r="BA36" s="179"/>
    </row>
    <row r="37" spans="1:53" s="170" customFormat="1" x14ac:dyDescent="0.15">
      <c r="A37" s="215">
        <v>1974</v>
      </c>
      <c r="B37" s="281"/>
      <c r="C37" s="369" t="s">
        <v>253</v>
      </c>
      <c r="D37" s="369"/>
      <c r="E37" s="170">
        <v>0</v>
      </c>
      <c r="G37" s="232">
        <v>12</v>
      </c>
      <c r="J37" s="240">
        <v>12</v>
      </c>
      <c r="K37" s="213">
        <f t="shared" si="11"/>
        <v>100</v>
      </c>
      <c r="L37" s="213">
        <f t="shared" si="12"/>
        <v>0</v>
      </c>
      <c r="M37" s="213">
        <f t="shared" si="13"/>
        <v>0</v>
      </c>
      <c r="N37" s="234">
        <f t="shared" si="0"/>
        <v>100</v>
      </c>
      <c r="O37" s="212">
        <v>12.6</v>
      </c>
      <c r="P37" s="213"/>
      <c r="Q37" s="213"/>
      <c r="R37" s="214">
        <f t="shared" si="1"/>
        <v>12.6</v>
      </c>
      <c r="S37" s="170">
        <v>4</v>
      </c>
      <c r="T37" s="283"/>
      <c r="U37" s="281"/>
      <c r="V37" s="177" t="s">
        <v>72</v>
      </c>
      <c r="W37" s="170" t="s">
        <v>87</v>
      </c>
      <c r="X37" s="170" t="s">
        <v>11</v>
      </c>
      <c r="Y37" s="178">
        <v>12.6</v>
      </c>
      <c r="AD37" s="177"/>
      <c r="AG37" s="178"/>
      <c r="AL37" s="177"/>
      <c r="AO37" s="178"/>
      <c r="AP37" s="177"/>
      <c r="AS37" s="178"/>
      <c r="AW37" s="178"/>
      <c r="BA37" s="179"/>
    </row>
    <row r="38" spans="1:53" s="170" customFormat="1" x14ac:dyDescent="0.15">
      <c r="A38" s="215">
        <v>1974</v>
      </c>
      <c r="B38" s="281"/>
      <c r="C38" s="369" t="s">
        <v>253</v>
      </c>
      <c r="D38" s="369"/>
      <c r="E38" s="170">
        <v>365</v>
      </c>
      <c r="G38" s="232">
        <v>12</v>
      </c>
      <c r="J38" s="240">
        <v>12</v>
      </c>
      <c r="K38" s="213">
        <f t="shared" si="11"/>
        <v>100</v>
      </c>
      <c r="L38" s="213">
        <f t="shared" si="12"/>
        <v>0</v>
      </c>
      <c r="M38" s="213">
        <f t="shared" si="13"/>
        <v>0</v>
      </c>
      <c r="N38" s="234">
        <f t="shared" si="0"/>
        <v>100</v>
      </c>
      <c r="O38" s="212">
        <v>12.6</v>
      </c>
      <c r="P38" s="213"/>
      <c r="Q38" s="213"/>
      <c r="R38" s="214">
        <f t="shared" si="1"/>
        <v>12.6</v>
      </c>
      <c r="S38" s="170">
        <v>4</v>
      </c>
      <c r="T38" s="283"/>
      <c r="U38" s="281"/>
      <c r="V38" s="177" t="s">
        <v>72</v>
      </c>
      <c r="W38" s="170" t="s">
        <v>87</v>
      </c>
      <c r="X38" s="170" t="s">
        <v>11</v>
      </c>
      <c r="Y38" s="178">
        <v>12.6</v>
      </c>
      <c r="AD38" s="177"/>
      <c r="AG38" s="178"/>
      <c r="AL38" s="177"/>
      <c r="AO38" s="178"/>
      <c r="AP38" s="177"/>
      <c r="AS38" s="178"/>
      <c r="AW38" s="178"/>
      <c r="BA38" s="179"/>
    </row>
    <row r="39" spans="1:53" s="170" customFormat="1" x14ac:dyDescent="0.15">
      <c r="A39" s="215">
        <v>1975</v>
      </c>
      <c r="B39" s="281"/>
      <c r="C39" s="369" t="s">
        <v>253</v>
      </c>
      <c r="D39" s="369"/>
      <c r="E39" s="170">
        <v>43</v>
      </c>
      <c r="G39" s="232">
        <v>12</v>
      </c>
      <c r="J39" s="240">
        <v>12</v>
      </c>
      <c r="K39" s="213">
        <f>G39/J39*100</f>
        <v>100</v>
      </c>
      <c r="L39" s="213">
        <f>H39/J39*100</f>
        <v>0</v>
      </c>
      <c r="M39" s="213">
        <f>I39/J39*100</f>
        <v>0</v>
      </c>
      <c r="N39" s="234">
        <f t="shared" si="0"/>
        <v>100</v>
      </c>
      <c r="O39" s="212">
        <v>12.6</v>
      </c>
      <c r="P39" s="213"/>
      <c r="Q39" s="213"/>
      <c r="R39" s="214">
        <f t="shared" si="1"/>
        <v>12.6</v>
      </c>
      <c r="S39" s="170">
        <v>4</v>
      </c>
      <c r="T39" s="283"/>
      <c r="U39" s="281"/>
      <c r="V39" s="177" t="s">
        <v>72</v>
      </c>
      <c r="W39" s="170" t="s">
        <v>87</v>
      </c>
      <c r="X39" s="170" t="s">
        <v>11</v>
      </c>
      <c r="Y39" s="178">
        <v>12.6</v>
      </c>
      <c r="AD39" s="177"/>
      <c r="AG39" s="178"/>
      <c r="AL39" s="177"/>
      <c r="AO39" s="178"/>
      <c r="AP39" s="177"/>
      <c r="AS39" s="178"/>
      <c r="AW39" s="178"/>
      <c r="BA39" s="179"/>
    </row>
    <row r="40" spans="1:53" s="28" customFormat="1" x14ac:dyDescent="0.15">
      <c r="A40" s="51">
        <v>1975</v>
      </c>
      <c r="B40" s="293">
        <v>27438</v>
      </c>
      <c r="C40" s="370" t="s">
        <v>254</v>
      </c>
      <c r="D40" s="370"/>
      <c r="E40" s="28">
        <v>322</v>
      </c>
      <c r="F40" s="28">
        <v>1</v>
      </c>
      <c r="G40" s="65"/>
      <c r="I40" s="28">
        <v>15</v>
      </c>
      <c r="J40" s="72">
        <v>15</v>
      </c>
      <c r="K40" s="46">
        <f t="shared" ref="K40:K45" si="14">G40/J40*100</f>
        <v>0</v>
      </c>
      <c r="L40" s="46">
        <f t="shared" ref="L40:L45" si="15">H40/J40*100</f>
        <v>0</v>
      </c>
      <c r="M40" s="46">
        <f t="shared" ref="M40:M45" si="16">I40/J40*100</f>
        <v>100</v>
      </c>
      <c r="N40" s="67">
        <f t="shared" si="0"/>
        <v>100</v>
      </c>
      <c r="O40" s="45"/>
      <c r="P40" s="46"/>
      <c r="Q40" s="46">
        <v>30.3</v>
      </c>
      <c r="R40" s="47">
        <f t="shared" si="1"/>
        <v>30.3</v>
      </c>
      <c r="S40" s="28">
        <v>4</v>
      </c>
      <c r="T40" s="284">
        <v>27403</v>
      </c>
      <c r="U40" s="293">
        <v>27438</v>
      </c>
      <c r="V40" s="37" t="s">
        <v>101</v>
      </c>
      <c r="W40" s="28" t="s">
        <v>20</v>
      </c>
      <c r="X40" s="28" t="s">
        <v>12</v>
      </c>
      <c r="Y40" s="38">
        <v>30.3</v>
      </c>
      <c r="AD40" s="37"/>
      <c r="AG40" s="38"/>
      <c r="AL40" s="37"/>
      <c r="AO40" s="38"/>
      <c r="AP40" s="37"/>
      <c r="AS40" s="38"/>
      <c r="AW40" s="38"/>
      <c r="BA40" s="39"/>
    </row>
    <row r="41" spans="1:53" s="28" customFormat="1" x14ac:dyDescent="0.15">
      <c r="A41" s="51">
        <v>1976</v>
      </c>
      <c r="B41" s="293"/>
      <c r="C41" s="370" t="s">
        <v>254</v>
      </c>
      <c r="D41" s="370"/>
      <c r="E41" s="28">
        <v>0</v>
      </c>
      <c r="G41" s="65"/>
      <c r="I41" s="28">
        <v>15</v>
      </c>
      <c r="J41" s="72">
        <v>15</v>
      </c>
      <c r="K41" s="46">
        <f t="shared" si="14"/>
        <v>0</v>
      </c>
      <c r="L41" s="46">
        <f t="shared" si="15"/>
        <v>0</v>
      </c>
      <c r="M41" s="46">
        <f t="shared" si="16"/>
        <v>100</v>
      </c>
      <c r="N41" s="67">
        <f t="shared" si="0"/>
        <v>100</v>
      </c>
      <c r="O41" s="45"/>
      <c r="P41" s="46"/>
      <c r="Q41" s="46">
        <v>30.3</v>
      </c>
      <c r="R41" s="47">
        <f t="shared" si="1"/>
        <v>30.3</v>
      </c>
      <c r="S41" s="28">
        <v>4</v>
      </c>
      <c r="T41" s="284"/>
      <c r="U41" s="293"/>
      <c r="V41" s="37" t="s">
        <v>101</v>
      </c>
      <c r="W41" s="28" t="s">
        <v>20</v>
      </c>
      <c r="X41" s="28" t="s">
        <v>12</v>
      </c>
      <c r="Y41" s="38">
        <v>30.3</v>
      </c>
      <c r="AD41" s="37"/>
      <c r="AG41" s="38"/>
      <c r="AL41" s="37"/>
      <c r="AO41" s="38"/>
      <c r="AP41" s="37"/>
      <c r="AS41" s="38"/>
      <c r="AW41" s="38"/>
      <c r="BA41" s="39"/>
    </row>
    <row r="42" spans="1:53" s="28" customFormat="1" x14ac:dyDescent="0.15">
      <c r="A42" s="51">
        <v>1976</v>
      </c>
      <c r="B42" s="293"/>
      <c r="C42" s="370" t="s">
        <v>254</v>
      </c>
      <c r="D42" s="370"/>
      <c r="E42" s="28">
        <v>366</v>
      </c>
      <c r="G42" s="65"/>
      <c r="I42" s="28">
        <v>15</v>
      </c>
      <c r="J42" s="72">
        <v>15</v>
      </c>
      <c r="K42" s="46">
        <f t="shared" si="14"/>
        <v>0</v>
      </c>
      <c r="L42" s="46">
        <f t="shared" si="15"/>
        <v>0</v>
      </c>
      <c r="M42" s="46">
        <f t="shared" si="16"/>
        <v>100</v>
      </c>
      <c r="N42" s="67">
        <f t="shared" si="0"/>
        <v>100</v>
      </c>
      <c r="O42" s="45"/>
      <c r="P42" s="46"/>
      <c r="Q42" s="46">
        <v>30.3</v>
      </c>
      <c r="R42" s="47">
        <f t="shared" si="1"/>
        <v>30.3</v>
      </c>
      <c r="S42" s="28">
        <v>4</v>
      </c>
      <c r="T42" s="284"/>
      <c r="U42" s="293"/>
      <c r="V42" s="37" t="s">
        <v>101</v>
      </c>
      <c r="W42" s="28" t="s">
        <v>20</v>
      </c>
      <c r="X42" s="28" t="s">
        <v>12</v>
      </c>
      <c r="Y42" s="38">
        <v>30.3</v>
      </c>
      <c r="AD42" s="37"/>
      <c r="AG42" s="38"/>
      <c r="AL42" s="37"/>
      <c r="AO42" s="38"/>
      <c r="AP42" s="37"/>
      <c r="AS42" s="38"/>
      <c r="AW42" s="38"/>
      <c r="BA42" s="39"/>
    </row>
    <row r="43" spans="1:53" s="28" customFormat="1" x14ac:dyDescent="0.15">
      <c r="A43" s="51">
        <v>1977</v>
      </c>
      <c r="B43" s="293"/>
      <c r="C43" s="370" t="s">
        <v>254</v>
      </c>
      <c r="D43" s="370"/>
      <c r="E43" s="28">
        <v>55</v>
      </c>
      <c r="G43" s="65"/>
      <c r="I43" s="28">
        <v>15</v>
      </c>
      <c r="J43" s="72">
        <v>15</v>
      </c>
      <c r="K43" s="46">
        <f t="shared" si="14"/>
        <v>0</v>
      </c>
      <c r="L43" s="46">
        <f t="shared" si="15"/>
        <v>0</v>
      </c>
      <c r="M43" s="46">
        <f t="shared" si="16"/>
        <v>100</v>
      </c>
      <c r="N43" s="67">
        <f t="shared" si="0"/>
        <v>100</v>
      </c>
      <c r="O43" s="45"/>
      <c r="P43" s="46"/>
      <c r="Q43" s="46">
        <v>30.3</v>
      </c>
      <c r="R43" s="47">
        <f t="shared" si="1"/>
        <v>30.3</v>
      </c>
      <c r="S43" s="28">
        <v>4</v>
      </c>
      <c r="T43" s="284"/>
      <c r="U43" s="293"/>
      <c r="V43" s="37" t="s">
        <v>101</v>
      </c>
      <c r="W43" s="28" t="s">
        <v>20</v>
      </c>
      <c r="X43" s="28" t="s">
        <v>12</v>
      </c>
      <c r="Y43" s="38">
        <v>30.3</v>
      </c>
      <c r="AD43" s="37"/>
      <c r="AG43" s="38"/>
      <c r="AL43" s="37"/>
      <c r="AO43" s="38"/>
      <c r="AP43" s="37"/>
      <c r="AS43" s="38"/>
      <c r="AW43" s="38"/>
      <c r="BA43" s="39"/>
    </row>
    <row r="44" spans="1:53" s="170" customFormat="1" x14ac:dyDescent="0.15">
      <c r="A44" s="215">
        <v>1977</v>
      </c>
      <c r="B44" s="281">
        <v>28181</v>
      </c>
      <c r="C44" s="369" t="s">
        <v>255</v>
      </c>
      <c r="D44" s="369"/>
      <c r="E44" s="170">
        <v>310</v>
      </c>
      <c r="F44" s="170">
        <v>5</v>
      </c>
      <c r="G44" s="232"/>
      <c r="I44" s="170">
        <v>17</v>
      </c>
      <c r="J44" s="240">
        <v>17</v>
      </c>
      <c r="K44" s="213">
        <f t="shared" si="14"/>
        <v>0</v>
      </c>
      <c r="L44" s="213">
        <f t="shared" si="15"/>
        <v>0</v>
      </c>
      <c r="M44" s="213">
        <f t="shared" si="16"/>
        <v>100</v>
      </c>
      <c r="N44" s="234">
        <f t="shared" si="0"/>
        <v>100</v>
      </c>
      <c r="O44" s="212"/>
      <c r="P44" s="213"/>
      <c r="Q44" s="213">
        <v>37.1</v>
      </c>
      <c r="R44" s="214">
        <f t="shared" si="1"/>
        <v>37.1</v>
      </c>
      <c r="S44" s="170">
        <v>4</v>
      </c>
      <c r="T44" s="283">
        <v>28171</v>
      </c>
      <c r="U44" s="281">
        <v>28181</v>
      </c>
      <c r="V44" s="177" t="s">
        <v>101</v>
      </c>
      <c r="W44" s="170" t="s">
        <v>20</v>
      </c>
      <c r="X44" s="170" t="s">
        <v>12</v>
      </c>
      <c r="Y44" s="178">
        <v>37.1</v>
      </c>
      <c r="AD44" s="177"/>
      <c r="AG44" s="178"/>
      <c r="AL44" s="177"/>
      <c r="AO44" s="178"/>
      <c r="AP44" s="177"/>
      <c r="AS44" s="178"/>
      <c r="AW44" s="178"/>
      <c r="BA44" s="179"/>
    </row>
    <row r="45" spans="1:53" s="170" customFormat="1" x14ac:dyDescent="0.15">
      <c r="A45" s="215">
        <v>1978</v>
      </c>
      <c r="B45" s="281"/>
      <c r="C45" s="369" t="s">
        <v>255</v>
      </c>
      <c r="D45" s="369"/>
      <c r="E45" s="170">
        <v>241</v>
      </c>
      <c r="G45" s="232"/>
      <c r="I45" s="170">
        <v>17</v>
      </c>
      <c r="J45" s="240">
        <v>17</v>
      </c>
      <c r="K45" s="213">
        <f t="shared" si="14"/>
        <v>0</v>
      </c>
      <c r="L45" s="213">
        <f t="shared" si="15"/>
        <v>0</v>
      </c>
      <c r="M45" s="213">
        <f t="shared" si="16"/>
        <v>100</v>
      </c>
      <c r="N45" s="234">
        <f t="shared" si="0"/>
        <v>100</v>
      </c>
      <c r="O45" s="212"/>
      <c r="P45" s="213"/>
      <c r="Q45" s="213">
        <v>37.1</v>
      </c>
      <c r="R45" s="214">
        <f t="shared" si="1"/>
        <v>37.1</v>
      </c>
      <c r="S45" s="170">
        <v>4</v>
      </c>
      <c r="T45" s="283"/>
      <c r="U45" s="281"/>
      <c r="V45" s="177" t="s">
        <v>101</v>
      </c>
      <c r="W45" s="170" t="s">
        <v>20</v>
      </c>
      <c r="X45" s="170" t="s">
        <v>12</v>
      </c>
      <c r="Y45" s="178">
        <v>37.1</v>
      </c>
      <c r="AD45" s="177"/>
      <c r="AG45" s="178"/>
      <c r="AL45" s="177"/>
      <c r="AO45" s="178"/>
      <c r="AP45" s="177"/>
      <c r="AS45" s="178"/>
      <c r="AW45" s="178"/>
      <c r="BA45" s="179"/>
    </row>
    <row r="46" spans="1:53" s="28" customFormat="1" x14ac:dyDescent="0.15">
      <c r="A46" s="51">
        <v>1978</v>
      </c>
      <c r="B46" s="293">
        <v>28732</v>
      </c>
      <c r="C46" s="370" t="s">
        <v>256</v>
      </c>
      <c r="D46" s="370"/>
      <c r="E46" s="28">
        <v>124</v>
      </c>
      <c r="F46" s="28">
        <v>7</v>
      </c>
      <c r="G46" s="65">
        <v>7</v>
      </c>
      <c r="I46" s="28">
        <v>14</v>
      </c>
      <c r="J46" s="72">
        <v>21</v>
      </c>
      <c r="K46" s="46">
        <f t="shared" ref="K46:K51" si="17">G46/J46*100</f>
        <v>33.333333333333329</v>
      </c>
      <c r="L46" s="46">
        <f t="shared" ref="L46:L51" si="18">H46/J46*100</f>
        <v>0</v>
      </c>
      <c r="M46" s="46">
        <f t="shared" ref="M46:M51" si="19">I46/J46*100</f>
        <v>66.666666666666657</v>
      </c>
      <c r="N46" s="67">
        <f t="shared" si="0"/>
        <v>99.999999999999986</v>
      </c>
      <c r="O46" s="45">
        <v>12</v>
      </c>
      <c r="P46" s="46"/>
      <c r="Q46" s="46">
        <v>37.1</v>
      </c>
      <c r="R46" s="47">
        <f t="shared" si="1"/>
        <v>49.1</v>
      </c>
      <c r="S46" s="28">
        <v>5</v>
      </c>
      <c r="T46" s="284"/>
      <c r="U46" s="293">
        <v>28732</v>
      </c>
      <c r="V46" s="37" t="s">
        <v>101</v>
      </c>
      <c r="W46" s="28" t="s">
        <v>20</v>
      </c>
      <c r="X46" s="28" t="s">
        <v>12</v>
      </c>
      <c r="Y46" s="38">
        <v>37.1</v>
      </c>
      <c r="Z46" s="28" t="s">
        <v>72</v>
      </c>
      <c r="AA46" s="28" t="s">
        <v>87</v>
      </c>
      <c r="AB46" s="28" t="s">
        <v>11</v>
      </c>
      <c r="AC46" s="28">
        <v>12</v>
      </c>
      <c r="AD46" s="37"/>
      <c r="AG46" s="38"/>
      <c r="AL46" s="37"/>
      <c r="AO46" s="38"/>
      <c r="AP46" s="37"/>
      <c r="AS46" s="38"/>
      <c r="AW46" s="38"/>
      <c r="BA46" s="39"/>
    </row>
    <row r="47" spans="1:53" s="28" customFormat="1" x14ac:dyDescent="0.15">
      <c r="A47" s="51">
        <v>1979</v>
      </c>
      <c r="B47" s="293"/>
      <c r="C47" s="370" t="s">
        <v>256</v>
      </c>
      <c r="D47" s="370"/>
      <c r="E47" s="28">
        <v>298</v>
      </c>
      <c r="G47" s="65">
        <v>7</v>
      </c>
      <c r="I47" s="28">
        <v>14</v>
      </c>
      <c r="J47" s="72">
        <v>21</v>
      </c>
      <c r="K47" s="46">
        <f t="shared" si="17"/>
        <v>33.333333333333329</v>
      </c>
      <c r="L47" s="46">
        <f t="shared" si="18"/>
        <v>0</v>
      </c>
      <c r="M47" s="46">
        <f t="shared" si="19"/>
        <v>66.666666666666657</v>
      </c>
      <c r="N47" s="67">
        <f t="shared" si="0"/>
        <v>99.999999999999986</v>
      </c>
      <c r="O47" s="45">
        <v>12</v>
      </c>
      <c r="P47" s="46"/>
      <c r="Q47" s="46">
        <v>37.1</v>
      </c>
      <c r="R47" s="47">
        <f t="shared" si="1"/>
        <v>49.1</v>
      </c>
      <c r="S47" s="28">
        <v>5</v>
      </c>
      <c r="T47" s="284"/>
      <c r="U47" s="293"/>
      <c r="V47" s="37" t="s">
        <v>101</v>
      </c>
      <c r="W47" s="28" t="s">
        <v>20</v>
      </c>
      <c r="X47" s="28" t="s">
        <v>12</v>
      </c>
      <c r="Y47" s="38">
        <v>37.1</v>
      </c>
      <c r="Z47" s="28" t="s">
        <v>72</v>
      </c>
      <c r="AA47" s="28" t="s">
        <v>87</v>
      </c>
      <c r="AB47" s="28" t="s">
        <v>11</v>
      </c>
      <c r="AC47" s="28">
        <v>12</v>
      </c>
      <c r="AD47" s="37"/>
      <c r="AG47" s="38"/>
      <c r="AL47" s="37"/>
      <c r="AO47" s="38"/>
      <c r="AP47" s="37"/>
      <c r="AS47" s="38"/>
      <c r="AW47" s="38"/>
      <c r="BA47" s="39"/>
    </row>
    <row r="48" spans="1:53" s="170" customFormat="1" x14ac:dyDescent="0.15">
      <c r="A48" s="215">
        <v>1979</v>
      </c>
      <c r="B48" s="281">
        <v>29154</v>
      </c>
      <c r="C48" s="369" t="s">
        <v>257</v>
      </c>
      <c r="D48" s="369"/>
      <c r="E48" s="170">
        <v>67</v>
      </c>
      <c r="F48" s="170">
        <v>4</v>
      </c>
      <c r="G48" s="232"/>
      <c r="I48" s="170">
        <v>17</v>
      </c>
      <c r="J48" s="240">
        <v>17</v>
      </c>
      <c r="K48" s="213">
        <f t="shared" si="17"/>
        <v>0</v>
      </c>
      <c r="L48" s="213">
        <f t="shared" si="18"/>
        <v>0</v>
      </c>
      <c r="M48" s="213">
        <f t="shared" si="19"/>
        <v>100</v>
      </c>
      <c r="N48" s="234">
        <f t="shared" si="0"/>
        <v>100</v>
      </c>
      <c r="O48" s="212"/>
      <c r="P48" s="213"/>
      <c r="Q48" s="213">
        <v>38.9</v>
      </c>
      <c r="R48" s="214">
        <f t="shared" si="1"/>
        <v>38.9</v>
      </c>
      <c r="S48" s="170">
        <v>4</v>
      </c>
      <c r="T48" s="283">
        <v>29151</v>
      </c>
      <c r="U48" s="281">
        <v>29154</v>
      </c>
      <c r="V48" s="177" t="s">
        <v>101</v>
      </c>
      <c r="W48" s="170" t="s">
        <v>20</v>
      </c>
      <c r="X48" s="170" t="s">
        <v>12</v>
      </c>
      <c r="Y48" s="178">
        <v>38.9</v>
      </c>
      <c r="AD48" s="177"/>
      <c r="AG48" s="178"/>
      <c r="AL48" s="177"/>
      <c r="AO48" s="178"/>
      <c r="AP48" s="177"/>
      <c r="AS48" s="178"/>
      <c r="AW48" s="178"/>
      <c r="BA48" s="179"/>
    </row>
    <row r="49" spans="1:53" s="170" customFormat="1" x14ac:dyDescent="0.15">
      <c r="A49" s="215">
        <v>1980</v>
      </c>
      <c r="B49" s="281"/>
      <c r="C49" s="369" t="s">
        <v>257</v>
      </c>
      <c r="D49" s="369"/>
      <c r="E49" s="170">
        <v>0</v>
      </c>
      <c r="G49" s="232"/>
      <c r="I49" s="170">
        <v>17</v>
      </c>
      <c r="J49" s="240">
        <v>17</v>
      </c>
      <c r="K49" s="213">
        <f t="shared" si="17"/>
        <v>0</v>
      </c>
      <c r="L49" s="213">
        <f t="shared" si="18"/>
        <v>0</v>
      </c>
      <c r="M49" s="213">
        <f t="shared" si="19"/>
        <v>100</v>
      </c>
      <c r="N49" s="234">
        <f t="shared" si="0"/>
        <v>100</v>
      </c>
      <c r="O49" s="212"/>
      <c r="P49" s="213"/>
      <c r="Q49" s="213">
        <v>38.9</v>
      </c>
      <c r="R49" s="214">
        <f t="shared" si="1"/>
        <v>38.9</v>
      </c>
      <c r="S49" s="170">
        <v>4</v>
      </c>
      <c r="T49" s="283"/>
      <c r="U49" s="281"/>
      <c r="V49" s="177" t="s">
        <v>101</v>
      </c>
      <c r="W49" s="170" t="s">
        <v>20</v>
      </c>
      <c r="X49" s="170" t="s">
        <v>12</v>
      </c>
      <c r="Y49" s="178">
        <v>38.9</v>
      </c>
      <c r="AD49" s="177"/>
      <c r="AG49" s="178"/>
      <c r="AL49" s="177"/>
      <c r="AO49" s="178"/>
      <c r="AP49" s="177"/>
      <c r="AS49" s="178"/>
      <c r="AW49" s="178"/>
      <c r="BA49" s="179"/>
    </row>
    <row r="50" spans="1:53" s="170" customFormat="1" x14ac:dyDescent="0.15">
      <c r="A50" s="215">
        <v>1980</v>
      </c>
      <c r="B50" s="281"/>
      <c r="C50" s="369" t="s">
        <v>257</v>
      </c>
      <c r="D50" s="369"/>
      <c r="E50" s="170">
        <v>366</v>
      </c>
      <c r="G50" s="232"/>
      <c r="I50" s="170">
        <v>17</v>
      </c>
      <c r="J50" s="240">
        <v>17</v>
      </c>
      <c r="K50" s="213">
        <f t="shared" si="17"/>
        <v>0</v>
      </c>
      <c r="L50" s="213">
        <f t="shared" si="18"/>
        <v>0</v>
      </c>
      <c r="M50" s="213">
        <f t="shared" si="19"/>
        <v>100</v>
      </c>
      <c r="N50" s="234">
        <f t="shared" si="0"/>
        <v>100</v>
      </c>
      <c r="O50" s="212"/>
      <c r="P50" s="213"/>
      <c r="Q50" s="213">
        <v>38.9</v>
      </c>
      <c r="R50" s="214">
        <f t="shared" si="1"/>
        <v>38.9</v>
      </c>
      <c r="S50" s="170">
        <v>4</v>
      </c>
      <c r="T50" s="283"/>
      <c r="U50" s="281"/>
      <c r="V50" s="177" t="s">
        <v>101</v>
      </c>
      <c r="W50" s="170" t="s">
        <v>20</v>
      </c>
      <c r="X50" s="170" t="s">
        <v>12</v>
      </c>
      <c r="Y50" s="178">
        <v>38.9</v>
      </c>
      <c r="AD50" s="177"/>
      <c r="AG50" s="178"/>
      <c r="AL50" s="177"/>
      <c r="AO50" s="178"/>
      <c r="AP50" s="177"/>
      <c r="AS50" s="178"/>
      <c r="AW50" s="178"/>
      <c r="BA50" s="179"/>
    </row>
    <row r="51" spans="1:53" s="170" customFormat="1" x14ac:dyDescent="0.15">
      <c r="A51" s="215">
        <v>1981</v>
      </c>
      <c r="B51" s="281"/>
      <c r="C51" s="369" t="s">
        <v>257</v>
      </c>
      <c r="D51" s="369"/>
      <c r="E51" s="170">
        <v>364</v>
      </c>
      <c r="G51" s="232"/>
      <c r="I51" s="170">
        <v>17</v>
      </c>
      <c r="J51" s="240">
        <v>17</v>
      </c>
      <c r="K51" s="213">
        <f t="shared" si="17"/>
        <v>0</v>
      </c>
      <c r="L51" s="213">
        <f t="shared" si="18"/>
        <v>0</v>
      </c>
      <c r="M51" s="213">
        <f t="shared" si="19"/>
        <v>100</v>
      </c>
      <c r="N51" s="234">
        <f t="shared" si="0"/>
        <v>100</v>
      </c>
      <c r="O51" s="212"/>
      <c r="P51" s="213"/>
      <c r="Q51" s="213">
        <v>38.9</v>
      </c>
      <c r="R51" s="214">
        <f t="shared" si="1"/>
        <v>38.9</v>
      </c>
      <c r="S51" s="170">
        <v>4</v>
      </c>
      <c r="T51" s="283"/>
      <c r="U51" s="281"/>
      <c r="V51" s="177" t="s">
        <v>101</v>
      </c>
      <c r="W51" s="170" t="s">
        <v>20</v>
      </c>
      <c r="X51" s="170" t="s">
        <v>12</v>
      </c>
      <c r="Y51" s="178">
        <v>38.9</v>
      </c>
      <c r="AD51" s="177"/>
      <c r="AG51" s="178"/>
      <c r="AL51" s="177"/>
      <c r="AO51" s="178"/>
      <c r="AP51" s="177"/>
      <c r="AS51" s="178"/>
      <c r="AW51" s="178"/>
      <c r="BA51" s="179"/>
    </row>
    <row r="52" spans="1:53" s="28" customFormat="1" x14ac:dyDescent="0.15">
      <c r="A52" s="51">
        <v>1981</v>
      </c>
      <c r="B52" s="293">
        <v>29951</v>
      </c>
      <c r="C52" s="370" t="s">
        <v>258</v>
      </c>
      <c r="D52" s="370"/>
      <c r="E52" s="28">
        <v>1</v>
      </c>
      <c r="F52" s="28">
        <v>5</v>
      </c>
      <c r="G52" s="65"/>
      <c r="I52" s="28">
        <v>20</v>
      </c>
      <c r="J52" s="72">
        <v>20</v>
      </c>
      <c r="K52" s="46">
        <f>G52/J52*100</f>
        <v>0</v>
      </c>
      <c r="L52" s="46">
        <f>H52/J52*100</f>
        <v>0</v>
      </c>
      <c r="M52" s="46">
        <f>I52/J52*100</f>
        <v>100</v>
      </c>
      <c r="N52" s="67">
        <f t="shared" si="0"/>
        <v>100</v>
      </c>
      <c r="O52" s="45"/>
      <c r="P52" s="46"/>
      <c r="Q52" s="46">
        <v>33.700000000000003</v>
      </c>
      <c r="R52" s="47">
        <f t="shared" si="1"/>
        <v>33.700000000000003</v>
      </c>
      <c r="S52" s="28">
        <v>4</v>
      </c>
      <c r="T52" s="284">
        <v>29928</v>
      </c>
      <c r="U52" s="293">
        <v>29951</v>
      </c>
      <c r="V52" s="37" t="s">
        <v>101</v>
      </c>
      <c r="W52" s="28" t="s">
        <v>20</v>
      </c>
      <c r="X52" s="28" t="s">
        <v>12</v>
      </c>
      <c r="Y52" s="38">
        <v>33.700000000000003</v>
      </c>
      <c r="AD52" s="37"/>
      <c r="AG52" s="38"/>
      <c r="AL52" s="37"/>
      <c r="AO52" s="38"/>
      <c r="AP52" s="37"/>
      <c r="AS52" s="38"/>
      <c r="AW52" s="38"/>
      <c r="BA52" s="39"/>
    </row>
    <row r="53" spans="1:53" s="28" customFormat="1" x14ac:dyDescent="0.15">
      <c r="A53" s="51">
        <v>1982</v>
      </c>
      <c r="B53" s="293"/>
      <c r="C53" s="370" t="s">
        <v>258</v>
      </c>
      <c r="D53" s="370"/>
      <c r="E53" s="28">
        <v>252</v>
      </c>
      <c r="G53" s="65"/>
      <c r="I53" s="28">
        <v>20</v>
      </c>
      <c r="J53" s="72">
        <v>20</v>
      </c>
      <c r="K53" s="46">
        <f t="shared" ref="K53:K58" si="20">G53/J53*100</f>
        <v>0</v>
      </c>
      <c r="L53" s="46">
        <f t="shared" ref="L53:L58" si="21">H53/J53*100</f>
        <v>0</v>
      </c>
      <c r="M53" s="46">
        <f t="shared" ref="M53:M58" si="22">I53/J53*100</f>
        <v>100</v>
      </c>
      <c r="N53" s="67">
        <f t="shared" si="0"/>
        <v>100</v>
      </c>
      <c r="O53" s="45"/>
      <c r="P53" s="46"/>
      <c r="Q53" s="46">
        <v>33.700000000000003</v>
      </c>
      <c r="R53" s="47">
        <f t="shared" si="1"/>
        <v>33.700000000000003</v>
      </c>
      <c r="S53" s="28">
        <v>4</v>
      </c>
      <c r="T53" s="284"/>
      <c r="U53" s="293"/>
      <c r="V53" s="37" t="s">
        <v>101</v>
      </c>
      <c r="W53" s="28" t="s">
        <v>20</v>
      </c>
      <c r="X53" s="28" t="s">
        <v>12</v>
      </c>
      <c r="Y53" s="38">
        <v>33.700000000000003</v>
      </c>
      <c r="AD53" s="37"/>
      <c r="AG53" s="38"/>
      <c r="AL53" s="37"/>
      <c r="AO53" s="38"/>
      <c r="AP53" s="37"/>
      <c r="AS53" s="38"/>
      <c r="AW53" s="38"/>
      <c r="BA53" s="39"/>
    </row>
    <row r="54" spans="1:53" s="170" customFormat="1" x14ac:dyDescent="0.15">
      <c r="A54" s="215">
        <v>1982</v>
      </c>
      <c r="B54" s="281">
        <v>30204</v>
      </c>
      <c r="C54" s="369" t="s">
        <v>259</v>
      </c>
      <c r="D54" s="369"/>
      <c r="E54" s="170">
        <v>113</v>
      </c>
      <c r="F54" s="170">
        <v>4</v>
      </c>
      <c r="G54" s="232">
        <v>16</v>
      </c>
      <c r="H54" s="170">
        <v>5</v>
      </c>
      <c r="J54" s="240">
        <v>21</v>
      </c>
      <c r="K54" s="213">
        <f t="shared" si="20"/>
        <v>76.19047619047619</v>
      </c>
      <c r="L54" s="213">
        <f t="shared" si="21"/>
        <v>23.809523809523807</v>
      </c>
      <c r="M54" s="213">
        <f t="shared" si="22"/>
        <v>0</v>
      </c>
      <c r="N54" s="234">
        <f t="shared" si="0"/>
        <v>100</v>
      </c>
      <c r="O54" s="212">
        <v>26.9</v>
      </c>
      <c r="P54" s="213">
        <v>8.6</v>
      </c>
      <c r="Q54" s="213"/>
      <c r="R54" s="214">
        <f t="shared" si="1"/>
        <v>35.5</v>
      </c>
      <c r="S54" s="170">
        <v>5</v>
      </c>
      <c r="T54" s="283"/>
      <c r="U54" s="281">
        <v>30204</v>
      </c>
      <c r="V54" s="177" t="s">
        <v>104</v>
      </c>
      <c r="W54" s="170" t="s">
        <v>74</v>
      </c>
      <c r="X54" s="170" t="s">
        <v>11</v>
      </c>
      <c r="Y54" s="178">
        <v>14.9</v>
      </c>
      <c r="Z54" s="170" t="s">
        <v>72</v>
      </c>
      <c r="AA54" s="170" t="s">
        <v>87</v>
      </c>
      <c r="AB54" s="170" t="s">
        <v>11</v>
      </c>
      <c r="AC54" s="170">
        <v>12</v>
      </c>
      <c r="AD54" s="177" t="s">
        <v>105</v>
      </c>
      <c r="AE54" s="170" t="s">
        <v>106</v>
      </c>
      <c r="AF54" s="170" t="s">
        <v>18</v>
      </c>
      <c r="AG54" s="178">
        <v>8.6</v>
      </c>
      <c r="AL54" s="177"/>
      <c r="AO54" s="178"/>
      <c r="AP54" s="177"/>
      <c r="AS54" s="178"/>
      <c r="AW54" s="178"/>
      <c r="BA54" s="179"/>
    </row>
    <row r="55" spans="1:53" s="170" customFormat="1" x14ac:dyDescent="0.15">
      <c r="A55" s="215">
        <v>1983</v>
      </c>
      <c r="B55" s="281"/>
      <c r="C55" s="369" t="s">
        <v>259</v>
      </c>
      <c r="D55" s="369"/>
      <c r="E55" s="170">
        <v>0</v>
      </c>
      <c r="G55" s="232">
        <v>16</v>
      </c>
      <c r="H55" s="170">
        <v>5</v>
      </c>
      <c r="J55" s="240">
        <v>21</v>
      </c>
      <c r="K55" s="213">
        <f t="shared" si="20"/>
        <v>76.19047619047619</v>
      </c>
      <c r="L55" s="213">
        <f t="shared" si="21"/>
        <v>23.809523809523807</v>
      </c>
      <c r="M55" s="213">
        <f t="shared" si="22"/>
        <v>0</v>
      </c>
      <c r="N55" s="234">
        <f t="shared" si="0"/>
        <v>100</v>
      </c>
      <c r="O55" s="212">
        <v>26.9</v>
      </c>
      <c r="P55" s="213">
        <v>8.6</v>
      </c>
      <c r="Q55" s="213"/>
      <c r="R55" s="214">
        <f t="shared" si="1"/>
        <v>35.5</v>
      </c>
      <c r="S55" s="170">
        <v>5</v>
      </c>
      <c r="T55" s="283"/>
      <c r="U55" s="281"/>
      <c r="V55" s="177" t="s">
        <v>104</v>
      </c>
      <c r="W55" s="170" t="s">
        <v>74</v>
      </c>
      <c r="X55" s="170" t="s">
        <v>11</v>
      </c>
      <c r="Y55" s="178">
        <v>14.9</v>
      </c>
      <c r="Z55" s="170" t="s">
        <v>72</v>
      </c>
      <c r="AA55" s="170" t="s">
        <v>87</v>
      </c>
      <c r="AB55" s="170" t="s">
        <v>11</v>
      </c>
      <c r="AC55" s="170">
        <v>12</v>
      </c>
      <c r="AD55" s="177" t="s">
        <v>105</v>
      </c>
      <c r="AE55" s="170" t="s">
        <v>106</v>
      </c>
      <c r="AF55" s="170" t="s">
        <v>18</v>
      </c>
      <c r="AG55" s="178">
        <v>8.6</v>
      </c>
      <c r="AL55" s="177"/>
      <c r="AO55" s="178"/>
      <c r="AP55" s="177"/>
      <c r="AS55" s="178"/>
      <c r="AW55" s="178"/>
      <c r="BA55" s="179"/>
    </row>
    <row r="56" spans="1:53" s="170" customFormat="1" x14ac:dyDescent="0.15">
      <c r="A56" s="215">
        <v>1983</v>
      </c>
      <c r="B56" s="281"/>
      <c r="C56" s="369" t="s">
        <v>259</v>
      </c>
      <c r="D56" s="369"/>
      <c r="E56" s="170">
        <v>365</v>
      </c>
      <c r="G56" s="232">
        <v>16</v>
      </c>
      <c r="H56" s="170">
        <v>5</v>
      </c>
      <c r="J56" s="240">
        <v>21</v>
      </c>
      <c r="K56" s="213">
        <f t="shared" si="20"/>
        <v>76.19047619047619</v>
      </c>
      <c r="L56" s="213">
        <f t="shared" si="21"/>
        <v>23.809523809523807</v>
      </c>
      <c r="M56" s="213">
        <f t="shared" si="22"/>
        <v>0</v>
      </c>
      <c r="N56" s="234">
        <f t="shared" si="0"/>
        <v>100</v>
      </c>
      <c r="O56" s="212">
        <v>26.9</v>
      </c>
      <c r="P56" s="213">
        <v>8.6</v>
      </c>
      <c r="Q56" s="213"/>
      <c r="R56" s="214">
        <f t="shared" si="1"/>
        <v>35.5</v>
      </c>
      <c r="S56" s="170">
        <v>5</v>
      </c>
      <c r="T56" s="283"/>
      <c r="U56" s="281"/>
      <c r="V56" s="177" t="s">
        <v>104</v>
      </c>
      <c r="W56" s="170" t="s">
        <v>74</v>
      </c>
      <c r="X56" s="170" t="s">
        <v>11</v>
      </c>
      <c r="Y56" s="178">
        <v>14.9</v>
      </c>
      <c r="Z56" s="170" t="s">
        <v>72</v>
      </c>
      <c r="AA56" s="170" t="s">
        <v>87</v>
      </c>
      <c r="AB56" s="170" t="s">
        <v>11</v>
      </c>
      <c r="AC56" s="170">
        <v>12</v>
      </c>
      <c r="AD56" s="177" t="s">
        <v>105</v>
      </c>
      <c r="AE56" s="170" t="s">
        <v>106</v>
      </c>
      <c r="AF56" s="170" t="s">
        <v>18</v>
      </c>
      <c r="AG56" s="178">
        <v>8.6</v>
      </c>
      <c r="AL56" s="177"/>
      <c r="AO56" s="178"/>
      <c r="AP56" s="177"/>
      <c r="AS56" s="178"/>
      <c r="AW56" s="178"/>
      <c r="BA56" s="179"/>
    </row>
    <row r="57" spans="1:53" s="170" customFormat="1" x14ac:dyDescent="0.15">
      <c r="A57" s="215">
        <v>1984</v>
      </c>
      <c r="B57" s="281"/>
      <c r="C57" s="369" t="s">
        <v>259</v>
      </c>
      <c r="D57" s="369"/>
      <c r="E57" s="170">
        <v>20</v>
      </c>
      <c r="G57" s="232">
        <v>16</v>
      </c>
      <c r="H57" s="170">
        <v>5</v>
      </c>
      <c r="J57" s="240">
        <v>21</v>
      </c>
      <c r="K57" s="213">
        <f t="shared" si="20"/>
        <v>76.19047619047619</v>
      </c>
      <c r="L57" s="213">
        <f t="shared" si="21"/>
        <v>23.809523809523807</v>
      </c>
      <c r="M57" s="213">
        <f t="shared" si="22"/>
        <v>0</v>
      </c>
      <c r="N57" s="234">
        <f t="shared" si="0"/>
        <v>100</v>
      </c>
      <c r="O57" s="212">
        <v>26.9</v>
      </c>
      <c r="P57" s="213">
        <v>8.6</v>
      </c>
      <c r="Q57" s="213"/>
      <c r="R57" s="214">
        <f t="shared" si="1"/>
        <v>35.5</v>
      </c>
      <c r="S57" s="170">
        <v>5</v>
      </c>
      <c r="T57" s="283"/>
      <c r="U57" s="281"/>
      <c r="V57" s="177" t="s">
        <v>104</v>
      </c>
      <c r="W57" s="170" t="s">
        <v>74</v>
      </c>
      <c r="X57" s="170" t="s">
        <v>11</v>
      </c>
      <c r="Y57" s="178">
        <v>14.9</v>
      </c>
      <c r="Z57" s="170" t="s">
        <v>72</v>
      </c>
      <c r="AA57" s="170" t="s">
        <v>87</v>
      </c>
      <c r="AB57" s="170" t="s">
        <v>11</v>
      </c>
      <c r="AC57" s="170">
        <v>12</v>
      </c>
      <c r="AD57" s="177" t="s">
        <v>105</v>
      </c>
      <c r="AE57" s="170" t="s">
        <v>106</v>
      </c>
      <c r="AF57" s="170" t="s">
        <v>18</v>
      </c>
      <c r="AG57" s="178">
        <v>8.6</v>
      </c>
      <c r="AL57" s="177"/>
      <c r="AO57" s="178"/>
      <c r="AP57" s="177"/>
      <c r="AS57" s="178"/>
      <c r="AW57" s="178"/>
      <c r="BA57" s="179"/>
    </row>
    <row r="58" spans="1:53" s="28" customFormat="1" x14ac:dyDescent="0.15">
      <c r="A58" s="51">
        <v>1984</v>
      </c>
      <c r="B58" s="293">
        <v>30702</v>
      </c>
      <c r="C58" s="370" t="s">
        <v>260</v>
      </c>
      <c r="D58" s="370"/>
      <c r="E58" s="28">
        <v>346</v>
      </c>
      <c r="F58" s="28">
        <v>5</v>
      </c>
      <c r="G58" s="65">
        <v>16</v>
      </c>
      <c r="H58" s="28">
        <v>5</v>
      </c>
      <c r="J58" s="72">
        <v>21</v>
      </c>
      <c r="K58" s="46">
        <f t="shared" si="20"/>
        <v>76.19047619047619</v>
      </c>
      <c r="L58" s="46">
        <f t="shared" si="21"/>
        <v>23.809523809523807</v>
      </c>
      <c r="M58" s="46">
        <f t="shared" si="22"/>
        <v>0</v>
      </c>
      <c r="N58" s="67">
        <f t="shared" si="0"/>
        <v>100</v>
      </c>
      <c r="O58" s="45">
        <v>36.6</v>
      </c>
      <c r="P58" s="46">
        <v>4.5999999999999996</v>
      </c>
      <c r="Q58" s="46"/>
      <c r="R58" s="47">
        <f t="shared" si="1"/>
        <v>41.2</v>
      </c>
      <c r="S58" s="28">
        <v>5</v>
      </c>
      <c r="T58" s="284">
        <v>30691</v>
      </c>
      <c r="U58" s="293">
        <v>30702</v>
      </c>
      <c r="V58" s="37" t="s">
        <v>104</v>
      </c>
      <c r="W58" s="28" t="s">
        <v>74</v>
      </c>
      <c r="X58" s="28" t="s">
        <v>11</v>
      </c>
      <c r="Y58" s="38">
        <v>24</v>
      </c>
      <c r="Z58" s="28" t="s">
        <v>72</v>
      </c>
      <c r="AA58" s="28" t="s">
        <v>87</v>
      </c>
      <c r="AB58" s="28" t="s">
        <v>11</v>
      </c>
      <c r="AC58" s="28">
        <v>12.6</v>
      </c>
      <c r="AD58" s="37" t="s">
        <v>105</v>
      </c>
      <c r="AE58" s="28" t="s">
        <v>106</v>
      </c>
      <c r="AF58" s="28" t="s">
        <v>18</v>
      </c>
      <c r="AG58" s="38">
        <v>4.5999999999999996</v>
      </c>
      <c r="AL58" s="37"/>
      <c r="AO58" s="38"/>
      <c r="AP58" s="37"/>
      <c r="AS58" s="38"/>
      <c r="AW58" s="38"/>
      <c r="BA58" s="39"/>
    </row>
    <row r="59" spans="1:53" s="28" customFormat="1" x14ac:dyDescent="0.15">
      <c r="A59" s="51">
        <v>1985</v>
      </c>
      <c r="B59" s="293"/>
      <c r="C59" s="370" t="s">
        <v>260</v>
      </c>
      <c r="D59" s="370"/>
      <c r="E59" s="28">
        <v>0</v>
      </c>
      <c r="G59" s="65">
        <v>16</v>
      </c>
      <c r="H59" s="28">
        <v>5</v>
      </c>
      <c r="J59" s="72">
        <v>21</v>
      </c>
      <c r="K59" s="46">
        <f>G59/J59*100</f>
        <v>76.19047619047619</v>
      </c>
      <c r="L59" s="46">
        <f>H59/J59*100</f>
        <v>23.809523809523807</v>
      </c>
      <c r="M59" s="46">
        <f>I59/J59*100</f>
        <v>0</v>
      </c>
      <c r="N59" s="67">
        <f t="shared" si="0"/>
        <v>100</v>
      </c>
      <c r="O59" s="45">
        <v>36.6</v>
      </c>
      <c r="P59" s="46">
        <v>4.5999999999999996</v>
      </c>
      <c r="Q59" s="46"/>
      <c r="R59" s="47">
        <f t="shared" si="1"/>
        <v>41.2</v>
      </c>
      <c r="S59" s="28">
        <v>5</v>
      </c>
      <c r="T59" s="284"/>
      <c r="U59" s="293"/>
      <c r="V59" s="37" t="s">
        <v>104</v>
      </c>
      <c r="W59" s="28" t="s">
        <v>74</v>
      </c>
      <c r="X59" s="28" t="s">
        <v>11</v>
      </c>
      <c r="Y59" s="38">
        <v>24</v>
      </c>
      <c r="Z59" s="28" t="s">
        <v>72</v>
      </c>
      <c r="AA59" s="28" t="s">
        <v>87</v>
      </c>
      <c r="AB59" s="28" t="s">
        <v>11</v>
      </c>
      <c r="AC59" s="28">
        <v>12.6</v>
      </c>
      <c r="AD59" s="37" t="s">
        <v>105</v>
      </c>
      <c r="AE59" s="28" t="s">
        <v>106</v>
      </c>
      <c r="AF59" s="28" t="s">
        <v>18</v>
      </c>
      <c r="AG59" s="38">
        <v>4.5999999999999996</v>
      </c>
      <c r="AL59" s="37"/>
      <c r="AO59" s="38"/>
      <c r="AP59" s="37"/>
      <c r="AS59" s="38"/>
      <c r="AW59" s="38"/>
      <c r="BA59" s="39"/>
    </row>
    <row r="60" spans="1:53" s="28" customFormat="1" x14ac:dyDescent="0.15">
      <c r="A60" s="51">
        <v>1985</v>
      </c>
      <c r="B60" s="293"/>
      <c r="C60" s="370" t="s">
        <v>260</v>
      </c>
      <c r="D60" s="370"/>
      <c r="E60" s="28">
        <v>365</v>
      </c>
      <c r="G60" s="65">
        <v>16</v>
      </c>
      <c r="H60" s="28">
        <v>5</v>
      </c>
      <c r="J60" s="72">
        <v>21</v>
      </c>
      <c r="K60" s="46">
        <f t="shared" ref="K60:K65" si="23">G60/J60*100</f>
        <v>76.19047619047619</v>
      </c>
      <c r="L60" s="46">
        <f t="shared" ref="L60:L65" si="24">H60/J60*100</f>
        <v>23.809523809523807</v>
      </c>
      <c r="M60" s="46">
        <f t="shared" ref="M60:M65" si="25">I60/J60*100</f>
        <v>0</v>
      </c>
      <c r="N60" s="67">
        <f t="shared" si="0"/>
        <v>100</v>
      </c>
      <c r="O60" s="45">
        <v>36.6</v>
      </c>
      <c r="P60" s="46">
        <v>4.5999999999999996</v>
      </c>
      <c r="Q60" s="46"/>
      <c r="R60" s="47">
        <f t="shared" si="1"/>
        <v>41.2</v>
      </c>
      <c r="S60" s="28">
        <v>5</v>
      </c>
      <c r="T60" s="284"/>
      <c r="U60" s="293"/>
      <c r="V60" s="37" t="s">
        <v>104</v>
      </c>
      <c r="W60" s="28" t="s">
        <v>74</v>
      </c>
      <c r="X60" s="28" t="s">
        <v>11</v>
      </c>
      <c r="Y60" s="38">
        <v>24</v>
      </c>
      <c r="Z60" s="28" t="s">
        <v>72</v>
      </c>
      <c r="AA60" s="28" t="s">
        <v>87</v>
      </c>
      <c r="AB60" s="28" t="s">
        <v>11</v>
      </c>
      <c r="AC60" s="28">
        <v>12.6</v>
      </c>
      <c r="AD60" s="37" t="s">
        <v>105</v>
      </c>
      <c r="AE60" s="28" t="s">
        <v>106</v>
      </c>
      <c r="AF60" s="28" t="s">
        <v>18</v>
      </c>
      <c r="AG60" s="38">
        <v>4.5999999999999996</v>
      </c>
      <c r="AL60" s="37"/>
      <c r="AO60" s="38"/>
      <c r="AP60" s="37"/>
      <c r="AS60" s="38"/>
      <c r="AW60" s="38"/>
      <c r="BA60" s="39"/>
    </row>
    <row r="61" spans="1:53" s="28" customFormat="1" x14ac:dyDescent="0.15">
      <c r="A61" s="51">
        <v>1986</v>
      </c>
      <c r="B61" s="293"/>
      <c r="C61" s="370" t="s">
        <v>260</v>
      </c>
      <c r="D61" s="370"/>
      <c r="E61" s="28">
        <v>0</v>
      </c>
      <c r="G61" s="65">
        <v>16</v>
      </c>
      <c r="H61" s="28">
        <v>5</v>
      </c>
      <c r="J61" s="72">
        <v>21</v>
      </c>
      <c r="K61" s="46">
        <f t="shared" si="23"/>
        <v>76.19047619047619</v>
      </c>
      <c r="L61" s="46">
        <f t="shared" si="24"/>
        <v>23.809523809523807</v>
      </c>
      <c r="M61" s="46">
        <f t="shared" si="25"/>
        <v>0</v>
      </c>
      <c r="N61" s="67">
        <f t="shared" si="0"/>
        <v>100</v>
      </c>
      <c r="O61" s="45">
        <v>36.6</v>
      </c>
      <c r="P61" s="46">
        <v>4.5999999999999996</v>
      </c>
      <c r="Q61" s="46"/>
      <c r="R61" s="47">
        <f t="shared" si="1"/>
        <v>41.2</v>
      </c>
      <c r="S61" s="28">
        <v>5</v>
      </c>
      <c r="T61" s="284"/>
      <c r="U61" s="293"/>
      <c r="V61" s="37" t="s">
        <v>104</v>
      </c>
      <c r="W61" s="28" t="s">
        <v>74</v>
      </c>
      <c r="X61" s="28" t="s">
        <v>11</v>
      </c>
      <c r="Y61" s="38">
        <v>24</v>
      </c>
      <c r="Z61" s="28" t="s">
        <v>72</v>
      </c>
      <c r="AA61" s="28" t="s">
        <v>87</v>
      </c>
      <c r="AB61" s="28" t="s">
        <v>11</v>
      </c>
      <c r="AC61" s="28">
        <v>12.6</v>
      </c>
      <c r="AD61" s="37" t="s">
        <v>105</v>
      </c>
      <c r="AE61" s="28" t="s">
        <v>106</v>
      </c>
      <c r="AF61" s="28" t="s">
        <v>18</v>
      </c>
      <c r="AG61" s="38">
        <v>4.5999999999999996</v>
      </c>
      <c r="AL61" s="37"/>
      <c r="AO61" s="38"/>
      <c r="AP61" s="37"/>
      <c r="AS61" s="38"/>
      <c r="AW61" s="38"/>
      <c r="BA61" s="39"/>
    </row>
    <row r="62" spans="1:53" s="28" customFormat="1" x14ac:dyDescent="0.15">
      <c r="A62" s="51">
        <v>1986</v>
      </c>
      <c r="B62" s="293"/>
      <c r="C62" s="370" t="s">
        <v>260</v>
      </c>
      <c r="D62" s="370"/>
      <c r="E62" s="28">
        <v>365</v>
      </c>
      <c r="G62" s="65">
        <v>16</v>
      </c>
      <c r="H62" s="28">
        <v>5</v>
      </c>
      <c r="J62" s="72">
        <v>21</v>
      </c>
      <c r="K62" s="46">
        <f t="shared" si="23"/>
        <v>76.19047619047619</v>
      </c>
      <c r="L62" s="46">
        <f t="shared" si="24"/>
        <v>23.809523809523807</v>
      </c>
      <c r="M62" s="46">
        <f t="shared" si="25"/>
        <v>0</v>
      </c>
      <c r="N62" s="67">
        <f t="shared" si="0"/>
        <v>100</v>
      </c>
      <c r="O62" s="45">
        <v>36.6</v>
      </c>
      <c r="P62" s="46">
        <v>4.5999999999999996</v>
      </c>
      <c r="Q62" s="46"/>
      <c r="R62" s="47">
        <f t="shared" si="1"/>
        <v>41.2</v>
      </c>
      <c r="S62" s="28">
        <v>5</v>
      </c>
      <c r="T62" s="284"/>
      <c r="U62" s="293"/>
      <c r="V62" s="37" t="s">
        <v>104</v>
      </c>
      <c r="W62" s="28" t="s">
        <v>74</v>
      </c>
      <c r="X62" s="28" t="s">
        <v>11</v>
      </c>
      <c r="Y62" s="38">
        <v>24</v>
      </c>
      <c r="Z62" s="28" t="s">
        <v>72</v>
      </c>
      <c r="AA62" s="28" t="s">
        <v>87</v>
      </c>
      <c r="AB62" s="28" t="s">
        <v>11</v>
      </c>
      <c r="AC62" s="28">
        <v>12.6</v>
      </c>
      <c r="AD62" s="37" t="s">
        <v>105</v>
      </c>
      <c r="AE62" s="28" t="s">
        <v>106</v>
      </c>
      <c r="AF62" s="28" t="s">
        <v>18</v>
      </c>
      <c r="AG62" s="38">
        <v>4.5999999999999996</v>
      </c>
      <c r="AL62" s="37"/>
      <c r="AO62" s="38"/>
      <c r="AP62" s="37"/>
      <c r="AS62" s="38"/>
      <c r="AW62" s="38"/>
      <c r="BA62" s="39"/>
    </row>
    <row r="63" spans="1:53" s="28" customFormat="1" x14ac:dyDescent="0.15">
      <c r="A63" s="51">
        <v>1987</v>
      </c>
      <c r="B63" s="293"/>
      <c r="C63" s="370" t="s">
        <v>260</v>
      </c>
      <c r="D63" s="370"/>
      <c r="E63" s="28">
        <v>252</v>
      </c>
      <c r="G63" s="65">
        <v>16</v>
      </c>
      <c r="H63" s="28">
        <v>5</v>
      </c>
      <c r="J63" s="72">
        <v>21</v>
      </c>
      <c r="K63" s="46">
        <f t="shared" si="23"/>
        <v>76.19047619047619</v>
      </c>
      <c r="L63" s="46">
        <f t="shared" si="24"/>
        <v>23.809523809523807</v>
      </c>
      <c r="M63" s="46">
        <f t="shared" si="25"/>
        <v>0</v>
      </c>
      <c r="N63" s="67">
        <f t="shared" si="0"/>
        <v>100</v>
      </c>
      <c r="O63" s="45">
        <v>36.6</v>
      </c>
      <c r="P63" s="46">
        <v>4.5999999999999996</v>
      </c>
      <c r="Q63" s="46"/>
      <c r="R63" s="47">
        <f t="shared" si="1"/>
        <v>41.2</v>
      </c>
      <c r="S63" s="28">
        <v>5</v>
      </c>
      <c r="T63" s="284"/>
      <c r="U63" s="293"/>
      <c r="V63" s="37" t="s">
        <v>104</v>
      </c>
      <c r="W63" s="28" t="s">
        <v>74</v>
      </c>
      <c r="X63" s="28" t="s">
        <v>11</v>
      </c>
      <c r="Y63" s="38">
        <v>24</v>
      </c>
      <c r="Z63" s="28" t="s">
        <v>72</v>
      </c>
      <c r="AA63" s="28" t="s">
        <v>87</v>
      </c>
      <c r="AB63" s="28" t="s">
        <v>11</v>
      </c>
      <c r="AC63" s="28">
        <v>12.6</v>
      </c>
      <c r="AD63" s="37" t="s">
        <v>105</v>
      </c>
      <c r="AE63" s="28" t="s">
        <v>106</v>
      </c>
      <c r="AF63" s="28" t="s">
        <v>18</v>
      </c>
      <c r="AG63" s="38">
        <v>4.5999999999999996</v>
      </c>
      <c r="AL63" s="37"/>
      <c r="AO63" s="38"/>
      <c r="AP63" s="37"/>
      <c r="AS63" s="38"/>
      <c r="AW63" s="38"/>
      <c r="BA63" s="39"/>
    </row>
    <row r="64" spans="1:53" s="170" customFormat="1" x14ac:dyDescent="0.15">
      <c r="A64" s="215">
        <v>1987</v>
      </c>
      <c r="B64" s="281">
        <v>32030</v>
      </c>
      <c r="C64" s="369" t="s">
        <v>261</v>
      </c>
      <c r="D64" s="369"/>
      <c r="E64" s="170">
        <v>113</v>
      </c>
      <c r="F64" s="170">
        <v>1</v>
      </c>
      <c r="G64" s="232">
        <v>18</v>
      </c>
      <c r="H64" s="170">
        <v>4</v>
      </c>
      <c r="J64" s="240">
        <v>22</v>
      </c>
      <c r="K64" s="213">
        <f t="shared" si="23"/>
        <v>81.818181818181827</v>
      </c>
      <c r="L64" s="213">
        <f t="shared" si="24"/>
        <v>18.181818181818183</v>
      </c>
      <c r="M64" s="213">
        <f t="shared" si="25"/>
        <v>0</v>
      </c>
      <c r="N64" s="234">
        <f t="shared" si="0"/>
        <v>100.00000000000001</v>
      </c>
      <c r="O64" s="212">
        <v>32.6</v>
      </c>
      <c r="P64" s="213">
        <f>5.1+2.4</f>
        <v>7.5</v>
      </c>
      <c r="Q64" s="213"/>
      <c r="R64" s="214">
        <f t="shared" si="1"/>
        <v>40.1</v>
      </c>
      <c r="S64" s="170">
        <v>5</v>
      </c>
      <c r="T64" s="283">
        <v>32028</v>
      </c>
      <c r="U64" s="281">
        <v>32030</v>
      </c>
      <c r="V64" s="177" t="s">
        <v>104</v>
      </c>
      <c r="W64" s="170" t="s">
        <v>74</v>
      </c>
      <c r="X64" s="170" t="s">
        <v>11</v>
      </c>
      <c r="Y64" s="178">
        <v>21.7</v>
      </c>
      <c r="Z64" s="170" t="s">
        <v>72</v>
      </c>
      <c r="AA64" s="170" t="s">
        <v>87</v>
      </c>
      <c r="AB64" s="170" t="s">
        <v>11</v>
      </c>
      <c r="AC64" s="170">
        <v>10.9</v>
      </c>
      <c r="AD64" s="177" t="s">
        <v>105</v>
      </c>
      <c r="AE64" s="170" t="s">
        <v>106</v>
      </c>
      <c r="AF64" s="170" t="s">
        <v>18</v>
      </c>
      <c r="AG64" s="178">
        <v>5.0999999999999996</v>
      </c>
      <c r="AH64" s="170" t="s">
        <v>264</v>
      </c>
      <c r="AI64" s="170" t="s">
        <v>17</v>
      </c>
      <c r="AJ64" s="170" t="s">
        <v>18</v>
      </c>
      <c r="AK64" s="170">
        <v>2.4</v>
      </c>
      <c r="AL64" s="177"/>
      <c r="AO64" s="178"/>
      <c r="AP64" s="177"/>
      <c r="AS64" s="178"/>
      <c r="AW64" s="178"/>
      <c r="BA64" s="179"/>
    </row>
    <row r="65" spans="1:53" s="170" customFormat="1" x14ac:dyDescent="0.15">
      <c r="A65" s="215">
        <v>1988</v>
      </c>
      <c r="B65" s="281"/>
      <c r="C65" s="369" t="s">
        <v>261</v>
      </c>
      <c r="D65" s="369"/>
      <c r="E65" s="170">
        <v>154</v>
      </c>
      <c r="G65" s="232">
        <v>18</v>
      </c>
      <c r="H65" s="170">
        <v>4</v>
      </c>
      <c r="J65" s="240">
        <v>22</v>
      </c>
      <c r="K65" s="213">
        <f t="shared" si="23"/>
        <v>81.818181818181827</v>
      </c>
      <c r="L65" s="213">
        <f t="shared" si="24"/>
        <v>18.181818181818183</v>
      </c>
      <c r="M65" s="213">
        <f t="shared" si="25"/>
        <v>0</v>
      </c>
      <c r="N65" s="234">
        <f t="shared" si="0"/>
        <v>100.00000000000001</v>
      </c>
      <c r="O65" s="212">
        <v>32.6</v>
      </c>
      <c r="P65" s="213">
        <f>5.1+2.4</f>
        <v>7.5</v>
      </c>
      <c r="Q65" s="213"/>
      <c r="R65" s="214">
        <f t="shared" si="1"/>
        <v>40.1</v>
      </c>
      <c r="S65" s="170">
        <v>5</v>
      </c>
      <c r="T65" s="283"/>
      <c r="U65" s="281"/>
      <c r="V65" s="177" t="s">
        <v>104</v>
      </c>
      <c r="W65" s="170" t="s">
        <v>74</v>
      </c>
      <c r="X65" s="170" t="s">
        <v>11</v>
      </c>
      <c r="Y65" s="178">
        <v>21.7</v>
      </c>
      <c r="Z65" s="170" t="s">
        <v>72</v>
      </c>
      <c r="AA65" s="170" t="s">
        <v>87</v>
      </c>
      <c r="AB65" s="170" t="s">
        <v>11</v>
      </c>
      <c r="AC65" s="170">
        <v>10.9</v>
      </c>
      <c r="AD65" s="177" t="s">
        <v>105</v>
      </c>
      <c r="AE65" s="170" t="s">
        <v>106</v>
      </c>
      <c r="AF65" s="170" t="s">
        <v>18</v>
      </c>
      <c r="AG65" s="178">
        <v>5.0999999999999996</v>
      </c>
      <c r="AH65" s="170" t="s">
        <v>264</v>
      </c>
      <c r="AI65" s="170" t="s">
        <v>17</v>
      </c>
      <c r="AJ65" s="170" t="s">
        <v>18</v>
      </c>
      <c r="AK65" s="170">
        <v>2.4</v>
      </c>
      <c r="AL65" s="177"/>
      <c r="AO65" s="178"/>
      <c r="AP65" s="177"/>
      <c r="AS65" s="178"/>
      <c r="AW65" s="178"/>
      <c r="BA65" s="179"/>
    </row>
    <row r="66" spans="1:53" s="28" customFormat="1" x14ac:dyDescent="0.15">
      <c r="A66" s="51">
        <v>1988</v>
      </c>
      <c r="B66" s="293">
        <v>32297</v>
      </c>
      <c r="C66" s="370" t="s">
        <v>262</v>
      </c>
      <c r="D66" s="370"/>
      <c r="E66" s="28">
        <v>212</v>
      </c>
      <c r="F66" s="28">
        <v>5</v>
      </c>
      <c r="G66" s="65">
        <v>21</v>
      </c>
      <c r="J66" s="72">
        <v>21</v>
      </c>
      <c r="K66" s="46">
        <f>G66/J66*100</f>
        <v>100</v>
      </c>
      <c r="L66" s="46">
        <f>H66/J66*100</f>
        <v>0</v>
      </c>
      <c r="M66" s="46">
        <f>I66/J66*100</f>
        <v>0</v>
      </c>
      <c r="N66" s="67">
        <f t="shared" si="0"/>
        <v>100</v>
      </c>
      <c r="O66" s="45">
        <v>38.299999999999997</v>
      </c>
      <c r="P66" s="46"/>
      <c r="Q66" s="46"/>
      <c r="R66" s="47">
        <f t="shared" si="1"/>
        <v>38.299999999999997</v>
      </c>
      <c r="S66" s="28">
        <v>5</v>
      </c>
      <c r="T66" s="284">
        <v>32273</v>
      </c>
      <c r="U66" s="293">
        <v>32297</v>
      </c>
      <c r="V66" s="37" t="s">
        <v>104</v>
      </c>
      <c r="W66" s="28" t="s">
        <v>74</v>
      </c>
      <c r="X66" s="28" t="s">
        <v>11</v>
      </c>
      <c r="Y66" s="38">
        <v>20</v>
      </c>
      <c r="Z66" s="28" t="s">
        <v>72</v>
      </c>
      <c r="AA66" s="28" t="s">
        <v>87</v>
      </c>
      <c r="AB66" s="28" t="s">
        <v>11</v>
      </c>
      <c r="AC66" s="28">
        <v>12.6</v>
      </c>
      <c r="AD66" s="37" t="s">
        <v>102</v>
      </c>
      <c r="AE66" s="28" t="s">
        <v>22</v>
      </c>
      <c r="AF66" s="28" t="s">
        <v>11</v>
      </c>
      <c r="AG66" s="38">
        <v>5.7</v>
      </c>
      <c r="AL66" s="37"/>
      <c r="AO66" s="38"/>
      <c r="AP66" s="37"/>
      <c r="AS66" s="38"/>
      <c r="AW66" s="38"/>
      <c r="BA66" s="39"/>
    </row>
    <row r="67" spans="1:53" s="28" customFormat="1" x14ac:dyDescent="0.15">
      <c r="A67" s="28">
        <v>1989</v>
      </c>
      <c r="B67" s="293"/>
      <c r="C67" s="370" t="s">
        <v>262</v>
      </c>
      <c r="D67" s="370"/>
      <c r="E67" s="28">
        <v>0</v>
      </c>
      <c r="G67" s="65">
        <v>21</v>
      </c>
      <c r="J67" s="72">
        <v>21</v>
      </c>
      <c r="K67" s="46">
        <f>G67/J67*100</f>
        <v>100</v>
      </c>
      <c r="L67" s="46">
        <f>H67/J67*100</f>
        <v>0</v>
      </c>
      <c r="M67" s="46">
        <f>I67/J67*100</f>
        <v>0</v>
      </c>
      <c r="N67" s="67">
        <f t="shared" si="0"/>
        <v>100</v>
      </c>
      <c r="O67" s="45">
        <v>38.299999999999997</v>
      </c>
      <c r="P67" s="46"/>
      <c r="Q67" s="46"/>
      <c r="R67" s="47">
        <f t="shared" si="1"/>
        <v>38.299999999999997</v>
      </c>
      <c r="S67" s="28">
        <v>5</v>
      </c>
      <c r="T67" s="284"/>
      <c r="U67" s="293"/>
      <c r="V67" s="37" t="s">
        <v>104</v>
      </c>
      <c r="W67" s="28" t="s">
        <v>74</v>
      </c>
      <c r="X67" s="28" t="s">
        <v>11</v>
      </c>
      <c r="Y67" s="38">
        <v>20</v>
      </c>
      <c r="Z67" s="28" t="s">
        <v>72</v>
      </c>
      <c r="AA67" s="28" t="s">
        <v>87</v>
      </c>
      <c r="AB67" s="28" t="s">
        <v>11</v>
      </c>
      <c r="AC67" s="28">
        <v>12.6</v>
      </c>
      <c r="AD67" s="37" t="s">
        <v>102</v>
      </c>
      <c r="AE67" s="28" t="s">
        <v>22</v>
      </c>
      <c r="AF67" s="28" t="s">
        <v>11</v>
      </c>
      <c r="AG67" s="38">
        <v>5.7</v>
      </c>
      <c r="AL67" s="37"/>
      <c r="AO67" s="38"/>
      <c r="AP67" s="37"/>
      <c r="AS67" s="38"/>
      <c r="AW67" s="38"/>
      <c r="BA67" s="39"/>
    </row>
    <row r="68" spans="1:53" s="73" customFormat="1" x14ac:dyDescent="0.15">
      <c r="A68" s="73">
        <v>1989</v>
      </c>
      <c r="B68" s="300"/>
      <c r="C68" s="401" t="s">
        <v>262</v>
      </c>
      <c r="D68" s="401"/>
      <c r="E68" s="73">
        <v>365</v>
      </c>
      <c r="G68" s="74">
        <v>21</v>
      </c>
      <c r="J68" s="75">
        <v>21</v>
      </c>
      <c r="K68" s="76">
        <f>G68/J68*100</f>
        <v>100</v>
      </c>
      <c r="L68" s="76">
        <f>H68/J68*100</f>
        <v>0</v>
      </c>
      <c r="M68" s="76">
        <f>I68/J68*100</f>
        <v>0</v>
      </c>
      <c r="N68" s="77">
        <f t="shared" si="0"/>
        <v>100</v>
      </c>
      <c r="O68" s="78">
        <v>38.299999999999997</v>
      </c>
      <c r="P68" s="76"/>
      <c r="Q68" s="76"/>
      <c r="R68" s="79">
        <f t="shared" si="1"/>
        <v>38.299999999999997</v>
      </c>
      <c r="S68" s="73">
        <v>5</v>
      </c>
      <c r="T68" s="302"/>
      <c r="U68" s="300"/>
      <c r="V68" s="80" t="s">
        <v>104</v>
      </c>
      <c r="W68" s="73" t="s">
        <v>74</v>
      </c>
      <c r="X68" s="73" t="s">
        <v>11</v>
      </c>
      <c r="Y68" s="81">
        <v>20</v>
      </c>
      <c r="Z68" s="73" t="s">
        <v>72</v>
      </c>
      <c r="AA68" s="73" t="s">
        <v>87</v>
      </c>
      <c r="AB68" s="73" t="s">
        <v>11</v>
      </c>
      <c r="AC68" s="73">
        <v>12.6</v>
      </c>
      <c r="AD68" s="80" t="s">
        <v>102</v>
      </c>
      <c r="AE68" s="73" t="s">
        <v>22</v>
      </c>
      <c r="AF68" s="73" t="s">
        <v>11</v>
      </c>
      <c r="AG68" s="81">
        <v>5.7</v>
      </c>
      <c r="AL68" s="80"/>
      <c r="AO68" s="81"/>
      <c r="AP68" s="80"/>
      <c r="AS68" s="81"/>
      <c r="AW68" s="81"/>
      <c r="BA68" s="82"/>
    </row>
    <row r="69" spans="1:53" s="28" customFormat="1" x14ac:dyDescent="0.15">
      <c r="A69" s="28">
        <v>1990</v>
      </c>
      <c r="B69" s="293"/>
      <c r="C69" s="370" t="s">
        <v>262</v>
      </c>
      <c r="D69" s="370"/>
      <c r="E69" s="28">
        <v>351</v>
      </c>
      <c r="G69" s="65">
        <v>21</v>
      </c>
      <c r="J69" s="72">
        <v>21</v>
      </c>
      <c r="K69" s="46">
        <v>100</v>
      </c>
      <c r="L69" s="46">
        <v>0</v>
      </c>
      <c r="M69" s="46">
        <v>0</v>
      </c>
      <c r="N69" s="67">
        <f t="shared" si="0"/>
        <v>100</v>
      </c>
      <c r="O69" s="45">
        <v>38.299999999999997</v>
      </c>
      <c r="P69" s="46"/>
      <c r="Q69" s="46"/>
      <c r="R69" s="47">
        <f t="shared" si="1"/>
        <v>38.299999999999997</v>
      </c>
      <c r="S69" s="28">
        <v>5</v>
      </c>
      <c r="T69" s="284"/>
      <c r="U69" s="293"/>
      <c r="V69" s="37" t="s">
        <v>104</v>
      </c>
      <c r="W69" s="28" t="s">
        <v>74</v>
      </c>
      <c r="X69" s="28" t="s">
        <v>11</v>
      </c>
      <c r="Y69" s="38">
        <v>20</v>
      </c>
      <c r="Z69" s="28" t="s">
        <v>72</v>
      </c>
      <c r="AA69" s="28" t="s">
        <v>87</v>
      </c>
      <c r="AB69" s="28" t="s">
        <v>11</v>
      </c>
      <c r="AC69" s="28">
        <v>12.6</v>
      </c>
      <c r="AD69" s="37" t="s">
        <v>102</v>
      </c>
      <c r="AE69" s="28" t="s">
        <v>22</v>
      </c>
      <c r="AF69" s="28" t="s">
        <v>11</v>
      </c>
      <c r="AG69" s="38">
        <v>5.7</v>
      </c>
      <c r="AL69" s="37"/>
      <c r="AO69" s="38"/>
      <c r="AP69" s="37"/>
      <c r="AS69" s="38"/>
      <c r="AW69" s="38"/>
      <c r="BA69" s="39"/>
    </row>
    <row r="70" spans="1:53" s="170" customFormat="1" x14ac:dyDescent="0.15">
      <c r="A70" s="170">
        <v>1990</v>
      </c>
      <c r="B70" s="281">
        <v>33225</v>
      </c>
      <c r="C70" s="369" t="s">
        <v>263</v>
      </c>
      <c r="D70" s="369"/>
      <c r="E70" s="170">
        <f>365-E69</f>
        <v>14</v>
      </c>
      <c r="F70" s="170">
        <v>5</v>
      </c>
      <c r="G70" s="232">
        <v>19</v>
      </c>
      <c r="J70" s="240">
        <v>19</v>
      </c>
      <c r="K70" s="213">
        <f>G70/J70*100</f>
        <v>100</v>
      </c>
      <c r="L70" s="213">
        <f>H70/J70*100</f>
        <v>0</v>
      </c>
      <c r="M70" s="213">
        <f>I70/J70*100</f>
        <v>0</v>
      </c>
      <c r="N70" s="234">
        <f t="shared" si="0"/>
        <v>100</v>
      </c>
      <c r="O70" s="212">
        <v>33.700000000000003</v>
      </c>
      <c r="P70" s="213"/>
      <c r="Q70" s="213"/>
      <c r="R70" s="214">
        <f t="shared" si="1"/>
        <v>33.700000000000003</v>
      </c>
      <c r="S70" s="170">
        <v>5</v>
      </c>
      <c r="T70" s="283">
        <v>33219</v>
      </c>
      <c r="U70" s="281">
        <v>33225</v>
      </c>
      <c r="V70" s="177" t="s">
        <v>104</v>
      </c>
      <c r="W70" s="170" t="s">
        <v>74</v>
      </c>
      <c r="X70" s="170" t="s">
        <v>11</v>
      </c>
      <c r="Y70" s="178">
        <v>17.100000000000001</v>
      </c>
      <c r="Z70" s="170" t="s">
        <v>72</v>
      </c>
      <c r="AA70" s="170" t="s">
        <v>87</v>
      </c>
      <c r="AB70" s="170" t="s">
        <v>11</v>
      </c>
      <c r="AC70" s="170">
        <v>16.600000000000001</v>
      </c>
      <c r="AD70" s="177"/>
      <c r="AG70" s="178"/>
      <c r="AL70" s="177"/>
      <c r="AO70" s="178"/>
      <c r="AP70" s="177"/>
      <c r="AS70" s="178"/>
      <c r="AW70" s="178"/>
      <c r="BA70" s="179"/>
    </row>
    <row r="71" spans="1:53" s="170" customFormat="1" x14ac:dyDescent="0.15">
      <c r="A71" s="170">
        <v>1991</v>
      </c>
      <c r="B71" s="281"/>
      <c r="C71" s="369" t="s">
        <v>263</v>
      </c>
      <c r="D71" s="369"/>
      <c r="E71" s="170">
        <v>0</v>
      </c>
      <c r="G71" s="232">
        <v>19</v>
      </c>
      <c r="J71" s="240">
        <v>19</v>
      </c>
      <c r="K71" s="213">
        <f>G71/J71*100</f>
        <v>100</v>
      </c>
      <c r="L71" s="213">
        <f>H71/J71*100</f>
        <v>0</v>
      </c>
      <c r="M71" s="213">
        <f>I71/J71*100</f>
        <v>0</v>
      </c>
      <c r="N71" s="234">
        <f t="shared" si="0"/>
        <v>100</v>
      </c>
      <c r="O71" s="212">
        <v>33.700000000000003</v>
      </c>
      <c r="P71" s="213"/>
      <c r="Q71" s="213"/>
      <c r="R71" s="214">
        <f t="shared" si="1"/>
        <v>33.700000000000003</v>
      </c>
      <c r="S71" s="170">
        <v>5</v>
      </c>
      <c r="T71" s="283"/>
      <c r="U71" s="281"/>
      <c r="V71" s="177" t="s">
        <v>104</v>
      </c>
      <c r="W71" s="170" t="s">
        <v>74</v>
      </c>
      <c r="X71" s="170" t="s">
        <v>11</v>
      </c>
      <c r="Y71" s="178">
        <v>17.100000000000001</v>
      </c>
      <c r="Z71" s="170" t="s">
        <v>72</v>
      </c>
      <c r="AA71" s="170" t="s">
        <v>87</v>
      </c>
      <c r="AB71" s="170" t="s">
        <v>11</v>
      </c>
      <c r="AC71" s="170">
        <v>16.600000000000001</v>
      </c>
      <c r="AD71" s="177"/>
      <c r="AG71" s="178"/>
      <c r="AL71" s="177"/>
      <c r="AO71" s="178"/>
      <c r="AP71" s="177"/>
      <c r="AS71" s="178"/>
      <c r="AW71" s="178"/>
      <c r="BA71" s="179"/>
    </row>
    <row r="72" spans="1:53" s="170" customFormat="1" x14ac:dyDescent="0.15">
      <c r="A72" s="170">
        <v>1991</v>
      </c>
      <c r="B72" s="281"/>
      <c r="C72" s="369" t="s">
        <v>263</v>
      </c>
      <c r="D72" s="369"/>
      <c r="E72" s="170">
        <f>365-E71</f>
        <v>365</v>
      </c>
      <c r="G72" s="232">
        <v>19</v>
      </c>
      <c r="J72" s="240">
        <v>19</v>
      </c>
      <c r="K72" s="213">
        <f>G72/J72*100</f>
        <v>100</v>
      </c>
      <c r="L72" s="213">
        <f>H72/J72*100</f>
        <v>0</v>
      </c>
      <c r="M72" s="213">
        <f>I72/J72*100</f>
        <v>0</v>
      </c>
      <c r="N72" s="234">
        <f t="shared" si="0"/>
        <v>100</v>
      </c>
      <c r="O72" s="212">
        <v>33.700000000000003</v>
      </c>
      <c r="P72" s="213"/>
      <c r="Q72" s="213"/>
      <c r="R72" s="214">
        <f t="shared" si="1"/>
        <v>33.700000000000003</v>
      </c>
      <c r="S72" s="170">
        <v>5</v>
      </c>
      <c r="T72" s="283"/>
      <c r="U72" s="281"/>
      <c r="V72" s="177" t="s">
        <v>104</v>
      </c>
      <c r="W72" s="170" t="s">
        <v>74</v>
      </c>
      <c r="X72" s="170" t="s">
        <v>11</v>
      </c>
      <c r="Y72" s="178">
        <v>17.100000000000001</v>
      </c>
      <c r="Z72" s="170" t="s">
        <v>72</v>
      </c>
      <c r="AA72" s="170" t="s">
        <v>87</v>
      </c>
      <c r="AB72" s="170" t="s">
        <v>11</v>
      </c>
      <c r="AC72" s="170">
        <v>16.600000000000001</v>
      </c>
      <c r="AD72" s="177"/>
      <c r="AG72" s="178"/>
      <c r="AL72" s="177"/>
      <c r="AO72" s="178"/>
      <c r="AP72" s="177"/>
      <c r="AS72" s="178"/>
      <c r="AW72" s="178"/>
      <c r="BA72" s="179"/>
    </row>
    <row r="73" spans="1:53" s="170" customFormat="1" x14ac:dyDescent="0.15">
      <c r="A73" s="170">
        <v>1992</v>
      </c>
      <c r="B73" s="281"/>
      <c r="C73" s="369" t="s">
        <v>263</v>
      </c>
      <c r="D73" s="369"/>
      <c r="E73" s="170">
        <v>0</v>
      </c>
      <c r="G73" s="232">
        <v>19</v>
      </c>
      <c r="J73" s="240">
        <v>19</v>
      </c>
      <c r="K73" s="213">
        <f>G73/J73*100</f>
        <v>100</v>
      </c>
      <c r="L73" s="213">
        <f>H73/J73*100</f>
        <v>0</v>
      </c>
      <c r="M73" s="213">
        <f>I73/J73*100</f>
        <v>0</v>
      </c>
      <c r="N73" s="234">
        <f t="shared" ref="N73:N116" si="26">SUM(K73:M73)</f>
        <v>100</v>
      </c>
      <c r="O73" s="212">
        <v>33.700000000000003</v>
      </c>
      <c r="P73" s="213"/>
      <c r="Q73" s="213"/>
      <c r="R73" s="214">
        <f t="shared" ref="R73:R116" si="27">SUM(O73:Q73)</f>
        <v>33.700000000000003</v>
      </c>
      <c r="S73" s="170">
        <v>5</v>
      </c>
      <c r="T73" s="283"/>
      <c r="U73" s="281"/>
      <c r="V73" s="177" t="s">
        <v>104</v>
      </c>
      <c r="W73" s="170" t="s">
        <v>74</v>
      </c>
      <c r="X73" s="170" t="s">
        <v>11</v>
      </c>
      <c r="Y73" s="178">
        <v>17.100000000000001</v>
      </c>
      <c r="Z73" s="170" t="s">
        <v>72</v>
      </c>
      <c r="AA73" s="170" t="s">
        <v>87</v>
      </c>
      <c r="AB73" s="170" t="s">
        <v>11</v>
      </c>
      <c r="AC73" s="170">
        <v>16.600000000000001</v>
      </c>
      <c r="AD73" s="177"/>
      <c r="AG73" s="178"/>
      <c r="AL73" s="177"/>
      <c r="AO73" s="178"/>
      <c r="AP73" s="177"/>
      <c r="AS73" s="178"/>
      <c r="AW73" s="178"/>
      <c r="BA73" s="179"/>
    </row>
    <row r="74" spans="1:53" s="170" customFormat="1" x14ac:dyDescent="0.15">
      <c r="A74" s="170">
        <v>1992</v>
      </c>
      <c r="B74" s="281"/>
      <c r="C74" s="369" t="s">
        <v>263</v>
      </c>
      <c r="D74" s="369"/>
      <c r="E74" s="170">
        <v>366</v>
      </c>
      <c r="G74" s="232">
        <v>19</v>
      </c>
      <c r="J74" s="240">
        <v>19</v>
      </c>
      <c r="K74" s="213">
        <f>G74/J74*100</f>
        <v>100</v>
      </c>
      <c r="L74" s="213">
        <f>H74/J74*100</f>
        <v>0</v>
      </c>
      <c r="M74" s="213">
        <f>I74/J74*100</f>
        <v>0</v>
      </c>
      <c r="N74" s="234">
        <f t="shared" si="26"/>
        <v>100</v>
      </c>
      <c r="O74" s="212">
        <v>33.700000000000003</v>
      </c>
      <c r="P74" s="213"/>
      <c r="Q74" s="213"/>
      <c r="R74" s="214">
        <f t="shared" si="27"/>
        <v>33.700000000000003</v>
      </c>
      <c r="S74" s="170">
        <v>5</v>
      </c>
      <c r="T74" s="283"/>
      <c r="U74" s="281"/>
      <c r="V74" s="177" t="s">
        <v>104</v>
      </c>
      <c r="W74" s="170" t="s">
        <v>74</v>
      </c>
      <c r="X74" s="170" t="s">
        <v>11</v>
      </c>
      <c r="Y74" s="178">
        <v>17.100000000000001</v>
      </c>
      <c r="Z74" s="170" t="s">
        <v>72</v>
      </c>
      <c r="AA74" s="170" t="s">
        <v>87</v>
      </c>
      <c r="AB74" s="170" t="s">
        <v>11</v>
      </c>
      <c r="AC74" s="170">
        <v>16.600000000000001</v>
      </c>
      <c r="AD74" s="177"/>
      <c r="AG74" s="178"/>
      <c r="AL74" s="177"/>
      <c r="AO74" s="178"/>
      <c r="AP74" s="177"/>
      <c r="AS74" s="178"/>
      <c r="AW74" s="178"/>
      <c r="BA74" s="179"/>
    </row>
    <row r="75" spans="1:53" s="170" customFormat="1" x14ac:dyDescent="0.15">
      <c r="A75" s="170">
        <v>1993</v>
      </c>
      <c r="B75" s="281"/>
      <c r="C75" s="369" t="s">
        <v>263</v>
      </c>
      <c r="D75" s="369"/>
      <c r="E75" s="170">
        <v>24</v>
      </c>
      <c r="G75" s="232">
        <v>19</v>
      </c>
      <c r="J75" s="240">
        <v>19</v>
      </c>
      <c r="K75" s="213">
        <f t="shared" ref="K75:K100" si="28">G75/J75*100</f>
        <v>100</v>
      </c>
      <c r="L75" s="213">
        <f t="shared" ref="L75:L100" si="29">H75/J75*100</f>
        <v>0</v>
      </c>
      <c r="M75" s="213">
        <f t="shared" ref="M75:M100" si="30">I75/J75*100</f>
        <v>0</v>
      </c>
      <c r="N75" s="234">
        <f t="shared" si="26"/>
        <v>100</v>
      </c>
      <c r="O75" s="212">
        <v>33.700000000000003</v>
      </c>
      <c r="P75" s="213"/>
      <c r="Q75" s="213"/>
      <c r="R75" s="214">
        <f t="shared" si="27"/>
        <v>33.700000000000003</v>
      </c>
      <c r="S75" s="170">
        <v>5</v>
      </c>
      <c r="T75" s="283"/>
      <c r="U75" s="281"/>
      <c r="V75" s="177" t="s">
        <v>104</v>
      </c>
      <c r="W75" s="170" t="s">
        <v>74</v>
      </c>
      <c r="X75" s="170" t="s">
        <v>11</v>
      </c>
      <c r="Y75" s="178">
        <v>17.100000000000001</v>
      </c>
      <c r="Z75" s="170" t="s">
        <v>72</v>
      </c>
      <c r="AA75" s="170" t="s">
        <v>87</v>
      </c>
      <c r="AB75" s="170" t="s">
        <v>11</v>
      </c>
      <c r="AC75" s="170">
        <v>16.600000000000001</v>
      </c>
      <c r="AD75" s="177"/>
      <c r="AG75" s="178"/>
      <c r="AL75" s="177"/>
      <c r="AO75" s="178"/>
      <c r="AP75" s="177"/>
      <c r="AS75" s="178"/>
      <c r="AW75" s="178"/>
      <c r="BA75" s="179"/>
    </row>
    <row r="76" spans="1:53" s="28" customFormat="1" x14ac:dyDescent="0.15">
      <c r="A76" s="28">
        <v>1993</v>
      </c>
      <c r="B76" s="293">
        <v>33994</v>
      </c>
      <c r="C76" s="394" t="s">
        <v>265</v>
      </c>
      <c r="D76" s="394"/>
      <c r="E76" s="28">
        <f>365-E75</f>
        <v>341</v>
      </c>
      <c r="F76" s="28">
        <v>2</v>
      </c>
      <c r="G76" s="65">
        <v>3</v>
      </c>
      <c r="H76" s="28">
        <v>6</v>
      </c>
      <c r="I76" s="28">
        <v>15</v>
      </c>
      <c r="J76" s="72">
        <v>24</v>
      </c>
      <c r="K76" s="46">
        <f t="shared" si="28"/>
        <v>12.5</v>
      </c>
      <c r="L76" s="46">
        <f t="shared" si="29"/>
        <v>25</v>
      </c>
      <c r="M76" s="46">
        <f t="shared" si="30"/>
        <v>62.5</v>
      </c>
      <c r="N76" s="67">
        <f t="shared" si="26"/>
        <v>100</v>
      </c>
      <c r="O76" s="45">
        <v>4</v>
      </c>
      <c r="P76" s="46">
        <v>7.4</v>
      </c>
      <c r="Q76" s="46">
        <v>39.4</v>
      </c>
      <c r="R76" s="47">
        <f t="shared" si="27"/>
        <v>50.8</v>
      </c>
      <c r="S76" s="28">
        <v>2</v>
      </c>
      <c r="T76" s="284"/>
      <c r="U76" s="293">
        <v>33994</v>
      </c>
      <c r="V76" s="37" t="s">
        <v>101</v>
      </c>
      <c r="W76" s="28" t="s">
        <v>20</v>
      </c>
      <c r="X76" s="28" t="s">
        <v>12</v>
      </c>
      <c r="Y76" s="38">
        <v>39.4</v>
      </c>
      <c r="Z76" s="28" t="s">
        <v>102</v>
      </c>
      <c r="AA76" s="28" t="s">
        <v>22</v>
      </c>
      <c r="AB76" s="28" t="s">
        <v>11</v>
      </c>
      <c r="AC76" s="28">
        <v>4</v>
      </c>
      <c r="AD76" s="37" t="s">
        <v>105</v>
      </c>
      <c r="AE76" s="28" t="s">
        <v>106</v>
      </c>
      <c r="AF76" s="28" t="s">
        <v>18</v>
      </c>
      <c r="AG76" s="38">
        <v>5.0999999999999996</v>
      </c>
      <c r="AH76" s="37" t="s">
        <v>264</v>
      </c>
      <c r="AI76" s="28" t="s">
        <v>17</v>
      </c>
      <c r="AJ76" s="28" t="s">
        <v>18</v>
      </c>
      <c r="AK76" s="38">
        <v>2.2999999999999998</v>
      </c>
      <c r="AL76" s="37"/>
      <c r="AO76" s="38"/>
      <c r="AP76" s="37"/>
      <c r="AS76" s="38"/>
      <c r="AW76" s="38"/>
      <c r="BA76" s="39"/>
    </row>
    <row r="77" spans="1:53" s="28" customFormat="1" x14ac:dyDescent="0.15">
      <c r="A77" s="28">
        <v>1994</v>
      </c>
      <c r="B77" s="293"/>
      <c r="C77" s="394" t="s">
        <v>265</v>
      </c>
      <c r="D77" s="394"/>
      <c r="E77" s="28">
        <v>270</v>
      </c>
      <c r="G77" s="65">
        <v>3</v>
      </c>
      <c r="H77" s="28">
        <v>6</v>
      </c>
      <c r="I77" s="28">
        <v>15</v>
      </c>
      <c r="J77" s="72">
        <v>24</v>
      </c>
      <c r="K77" s="46">
        <f t="shared" si="28"/>
        <v>12.5</v>
      </c>
      <c r="L77" s="46">
        <f t="shared" si="29"/>
        <v>25</v>
      </c>
      <c r="M77" s="46">
        <f t="shared" si="30"/>
        <v>62.5</v>
      </c>
      <c r="N77" s="67">
        <f t="shared" si="26"/>
        <v>100</v>
      </c>
      <c r="O77" s="45">
        <v>4</v>
      </c>
      <c r="P77" s="46">
        <v>7.4</v>
      </c>
      <c r="Q77" s="46">
        <v>39.4</v>
      </c>
      <c r="R77" s="47">
        <f t="shared" si="27"/>
        <v>50.8</v>
      </c>
      <c r="S77" s="28">
        <v>2</v>
      </c>
      <c r="T77" s="284"/>
      <c r="U77" s="293"/>
      <c r="V77" s="37" t="s">
        <v>101</v>
      </c>
      <c r="W77" s="28" t="s">
        <v>20</v>
      </c>
      <c r="X77" s="28" t="s">
        <v>12</v>
      </c>
      <c r="Y77" s="38">
        <v>39.4</v>
      </c>
      <c r="Z77" s="28" t="s">
        <v>102</v>
      </c>
      <c r="AA77" s="28" t="s">
        <v>22</v>
      </c>
      <c r="AB77" s="28" t="s">
        <v>11</v>
      </c>
      <c r="AC77" s="28">
        <v>4</v>
      </c>
      <c r="AD77" s="37" t="s">
        <v>105</v>
      </c>
      <c r="AE77" s="28" t="s">
        <v>106</v>
      </c>
      <c r="AF77" s="28" t="s">
        <v>18</v>
      </c>
      <c r="AG77" s="38">
        <v>5.0999999999999996</v>
      </c>
      <c r="AH77" s="37" t="s">
        <v>264</v>
      </c>
      <c r="AI77" s="28" t="s">
        <v>17</v>
      </c>
      <c r="AJ77" s="28" t="s">
        <v>18</v>
      </c>
      <c r="AK77" s="38">
        <v>2.2999999999999998</v>
      </c>
      <c r="AL77" s="37"/>
      <c r="AO77" s="38"/>
      <c r="AP77" s="37"/>
      <c r="AS77" s="38"/>
      <c r="AW77" s="38"/>
      <c r="BA77" s="39"/>
    </row>
    <row r="78" spans="1:53" s="170" customFormat="1" x14ac:dyDescent="0.15">
      <c r="A78" s="170">
        <v>1994</v>
      </c>
      <c r="B78" s="281">
        <v>34604</v>
      </c>
      <c r="C78" s="395" t="s">
        <v>266</v>
      </c>
      <c r="D78" s="395"/>
      <c r="E78" s="170">
        <f>365-E77</f>
        <v>95</v>
      </c>
      <c r="F78" s="170">
        <v>1</v>
      </c>
      <c r="G78" s="232">
        <v>3</v>
      </c>
      <c r="H78" s="170">
        <v>2</v>
      </c>
      <c r="I78" s="170">
        <v>15</v>
      </c>
      <c r="J78" s="240">
        <v>20</v>
      </c>
      <c r="K78" s="213">
        <f t="shared" si="28"/>
        <v>15</v>
      </c>
      <c r="L78" s="213">
        <f t="shared" si="29"/>
        <v>10</v>
      </c>
      <c r="M78" s="213">
        <f t="shared" si="30"/>
        <v>75</v>
      </c>
      <c r="N78" s="234">
        <f t="shared" si="26"/>
        <v>100</v>
      </c>
      <c r="O78" s="212">
        <v>4.5999999999999996</v>
      </c>
      <c r="P78" s="213">
        <v>2.9</v>
      </c>
      <c r="Q78" s="213">
        <v>35.4</v>
      </c>
      <c r="R78" s="214">
        <f t="shared" si="27"/>
        <v>42.9</v>
      </c>
      <c r="S78" s="170">
        <v>5</v>
      </c>
      <c r="T78" s="283">
        <v>34598</v>
      </c>
      <c r="U78" s="281">
        <v>34604</v>
      </c>
      <c r="V78" s="177" t="s">
        <v>101</v>
      </c>
      <c r="W78" s="170" t="s">
        <v>20</v>
      </c>
      <c r="X78" s="170" t="s">
        <v>12</v>
      </c>
      <c r="Y78" s="178">
        <v>35.4</v>
      </c>
      <c r="Z78" s="170" t="s">
        <v>102</v>
      </c>
      <c r="AA78" s="170" t="s">
        <v>22</v>
      </c>
      <c r="AB78" s="170" t="s">
        <v>11</v>
      </c>
      <c r="AC78" s="170">
        <v>4.5999999999999996</v>
      </c>
      <c r="AD78" s="177" t="s">
        <v>105</v>
      </c>
      <c r="AE78" s="170" t="s">
        <v>106</v>
      </c>
      <c r="AF78" s="170" t="s">
        <v>18</v>
      </c>
      <c r="AG78" s="178">
        <v>2.9</v>
      </c>
      <c r="AL78" s="177"/>
      <c r="AO78" s="178"/>
      <c r="AP78" s="177"/>
      <c r="AS78" s="178"/>
      <c r="AW78" s="178"/>
      <c r="BA78" s="179"/>
    </row>
    <row r="79" spans="1:53" s="170" customFormat="1" x14ac:dyDescent="0.15">
      <c r="A79" s="170">
        <v>1995</v>
      </c>
      <c r="B79" s="281"/>
      <c r="C79" s="395" t="s">
        <v>266</v>
      </c>
      <c r="D79" s="395"/>
      <c r="E79" s="170">
        <v>0</v>
      </c>
      <c r="G79" s="232">
        <v>3</v>
      </c>
      <c r="H79" s="170">
        <v>2</v>
      </c>
      <c r="I79" s="170">
        <v>15</v>
      </c>
      <c r="J79" s="240">
        <v>20</v>
      </c>
      <c r="K79" s="213">
        <f t="shared" si="28"/>
        <v>15</v>
      </c>
      <c r="L79" s="213">
        <f t="shared" si="29"/>
        <v>10</v>
      </c>
      <c r="M79" s="213">
        <f t="shared" si="30"/>
        <v>75</v>
      </c>
      <c r="N79" s="234">
        <f t="shared" si="26"/>
        <v>100</v>
      </c>
      <c r="O79" s="212">
        <v>4.5999999999999996</v>
      </c>
      <c r="P79" s="213">
        <v>2.9</v>
      </c>
      <c r="Q79" s="213">
        <v>35.4</v>
      </c>
      <c r="R79" s="214">
        <f t="shared" si="27"/>
        <v>42.9</v>
      </c>
      <c r="S79" s="170">
        <v>5</v>
      </c>
      <c r="T79" s="283"/>
      <c r="U79" s="281"/>
      <c r="V79" s="177" t="s">
        <v>101</v>
      </c>
      <c r="W79" s="170" t="s">
        <v>20</v>
      </c>
      <c r="X79" s="170" t="s">
        <v>12</v>
      </c>
      <c r="Y79" s="178">
        <v>35.4</v>
      </c>
      <c r="Z79" s="170" t="s">
        <v>102</v>
      </c>
      <c r="AA79" s="170" t="s">
        <v>22</v>
      </c>
      <c r="AB79" s="170" t="s">
        <v>11</v>
      </c>
      <c r="AC79" s="170">
        <v>4.5999999999999996</v>
      </c>
      <c r="AD79" s="177" t="s">
        <v>105</v>
      </c>
      <c r="AE79" s="170" t="s">
        <v>106</v>
      </c>
      <c r="AF79" s="170" t="s">
        <v>18</v>
      </c>
      <c r="AG79" s="178">
        <v>2.9</v>
      </c>
      <c r="AL79" s="177"/>
      <c r="AO79" s="178"/>
      <c r="AP79" s="177"/>
      <c r="AS79" s="178"/>
      <c r="AW79" s="178"/>
      <c r="BA79" s="179"/>
    </row>
    <row r="80" spans="1:53" s="170" customFormat="1" x14ac:dyDescent="0.15">
      <c r="A80" s="170">
        <v>1995</v>
      </c>
      <c r="B80" s="281"/>
      <c r="C80" s="395" t="s">
        <v>266</v>
      </c>
      <c r="D80" s="395"/>
      <c r="E80" s="170">
        <f>365-E79</f>
        <v>365</v>
      </c>
      <c r="G80" s="232">
        <v>3</v>
      </c>
      <c r="H80" s="170">
        <v>2</v>
      </c>
      <c r="I80" s="170">
        <v>15</v>
      </c>
      <c r="J80" s="240">
        <v>20</v>
      </c>
      <c r="K80" s="213">
        <f t="shared" si="28"/>
        <v>15</v>
      </c>
      <c r="L80" s="213">
        <f t="shared" si="29"/>
        <v>10</v>
      </c>
      <c r="M80" s="213">
        <f t="shared" si="30"/>
        <v>75</v>
      </c>
      <c r="N80" s="234">
        <f t="shared" si="26"/>
        <v>100</v>
      </c>
      <c r="O80" s="212">
        <v>4.5999999999999996</v>
      </c>
      <c r="P80" s="213">
        <v>2.9</v>
      </c>
      <c r="Q80" s="213">
        <v>35.4</v>
      </c>
      <c r="R80" s="214">
        <f t="shared" si="27"/>
        <v>42.9</v>
      </c>
      <c r="S80" s="170">
        <v>5</v>
      </c>
      <c r="T80" s="283"/>
      <c r="U80" s="281"/>
      <c r="V80" s="177" t="s">
        <v>101</v>
      </c>
      <c r="W80" s="170" t="s">
        <v>20</v>
      </c>
      <c r="X80" s="170" t="s">
        <v>12</v>
      </c>
      <c r="Y80" s="178">
        <v>35.4</v>
      </c>
      <c r="Z80" s="170" t="s">
        <v>102</v>
      </c>
      <c r="AA80" s="170" t="s">
        <v>22</v>
      </c>
      <c r="AB80" s="170" t="s">
        <v>11</v>
      </c>
      <c r="AC80" s="170">
        <v>4.5999999999999996</v>
      </c>
      <c r="AD80" s="177" t="s">
        <v>105</v>
      </c>
      <c r="AE80" s="170" t="s">
        <v>106</v>
      </c>
      <c r="AF80" s="170" t="s">
        <v>18</v>
      </c>
      <c r="AG80" s="178">
        <v>2.9</v>
      </c>
      <c r="AL80" s="177"/>
      <c r="AO80" s="178"/>
      <c r="AP80" s="177"/>
      <c r="AS80" s="178"/>
      <c r="AW80" s="178"/>
      <c r="BA80" s="179"/>
    </row>
    <row r="81" spans="1:53" s="170" customFormat="1" x14ac:dyDescent="0.15">
      <c r="A81" s="170">
        <v>1996</v>
      </c>
      <c r="B81" s="281"/>
      <c r="C81" s="395" t="s">
        <v>266</v>
      </c>
      <c r="D81" s="395"/>
      <c r="E81" s="170">
        <v>364</v>
      </c>
      <c r="G81" s="232">
        <v>3</v>
      </c>
      <c r="H81" s="170">
        <v>2</v>
      </c>
      <c r="I81" s="170">
        <v>15</v>
      </c>
      <c r="J81" s="240">
        <v>20</v>
      </c>
      <c r="K81" s="213">
        <f t="shared" si="28"/>
        <v>15</v>
      </c>
      <c r="L81" s="213">
        <f t="shared" si="29"/>
        <v>10</v>
      </c>
      <c r="M81" s="213">
        <f t="shared" si="30"/>
        <v>75</v>
      </c>
      <c r="N81" s="234">
        <f t="shared" si="26"/>
        <v>100</v>
      </c>
      <c r="O81" s="212">
        <v>4.5999999999999996</v>
      </c>
      <c r="P81" s="213">
        <v>2.9</v>
      </c>
      <c r="Q81" s="213">
        <v>35.4</v>
      </c>
      <c r="R81" s="214">
        <f t="shared" si="27"/>
        <v>42.9</v>
      </c>
      <c r="S81" s="170">
        <v>5</v>
      </c>
      <c r="T81" s="283"/>
      <c r="U81" s="281"/>
      <c r="V81" s="177" t="s">
        <v>101</v>
      </c>
      <c r="W81" s="170" t="s">
        <v>20</v>
      </c>
      <c r="X81" s="170" t="s">
        <v>12</v>
      </c>
      <c r="Y81" s="178">
        <v>35.4</v>
      </c>
      <c r="Z81" s="170" t="s">
        <v>102</v>
      </c>
      <c r="AA81" s="170" t="s">
        <v>22</v>
      </c>
      <c r="AB81" s="170" t="s">
        <v>11</v>
      </c>
      <c r="AC81" s="170">
        <v>4.5999999999999996</v>
      </c>
      <c r="AD81" s="177" t="s">
        <v>105</v>
      </c>
      <c r="AE81" s="170" t="s">
        <v>106</v>
      </c>
      <c r="AF81" s="170" t="s">
        <v>18</v>
      </c>
      <c r="AG81" s="178">
        <v>2.9</v>
      </c>
      <c r="AL81" s="177"/>
      <c r="AO81" s="178"/>
      <c r="AP81" s="177"/>
      <c r="AS81" s="178"/>
      <c r="AW81" s="178"/>
      <c r="BA81" s="179"/>
    </row>
    <row r="82" spans="1:53" s="28" customFormat="1" x14ac:dyDescent="0.15">
      <c r="A82" s="28">
        <v>1996</v>
      </c>
      <c r="B82" s="293">
        <v>35429</v>
      </c>
      <c r="C82" s="394" t="s">
        <v>267</v>
      </c>
      <c r="D82" s="394"/>
      <c r="E82" s="28">
        <v>2</v>
      </c>
      <c r="F82" s="28">
        <v>4</v>
      </c>
      <c r="G82" s="65">
        <v>4</v>
      </c>
      <c r="I82" s="28">
        <v>15</v>
      </c>
      <c r="J82" s="72">
        <v>19</v>
      </c>
      <c r="K82" s="46">
        <f t="shared" si="28"/>
        <v>21.052631578947366</v>
      </c>
      <c r="L82" s="46">
        <f t="shared" si="29"/>
        <v>0</v>
      </c>
      <c r="M82" s="46">
        <f t="shared" si="30"/>
        <v>78.94736842105263</v>
      </c>
      <c r="N82" s="67">
        <f t="shared" si="26"/>
        <v>100</v>
      </c>
      <c r="O82" s="45">
        <v>4.5999999999999996</v>
      </c>
      <c r="P82" s="46"/>
      <c r="Q82" s="46">
        <v>35.4</v>
      </c>
      <c r="R82" s="47">
        <f t="shared" si="27"/>
        <v>40</v>
      </c>
      <c r="S82" s="28">
        <v>5</v>
      </c>
      <c r="T82" s="284"/>
      <c r="U82" s="293">
        <v>35429</v>
      </c>
      <c r="V82" s="37" t="s">
        <v>101</v>
      </c>
      <c r="W82" s="28" t="s">
        <v>20</v>
      </c>
      <c r="X82" s="28" t="s">
        <v>12</v>
      </c>
      <c r="Y82" s="38">
        <v>35.4</v>
      </c>
      <c r="Z82" s="28" t="s">
        <v>102</v>
      </c>
      <c r="AA82" s="28" t="s">
        <v>22</v>
      </c>
      <c r="AB82" s="28" t="s">
        <v>11</v>
      </c>
      <c r="AC82" s="28">
        <v>4.5999999999999996</v>
      </c>
      <c r="AD82" s="37"/>
      <c r="AG82" s="38"/>
      <c r="AL82" s="37"/>
      <c r="AO82" s="38"/>
      <c r="AP82" s="37"/>
      <c r="AS82" s="38"/>
      <c r="AW82" s="38"/>
      <c r="BA82" s="39"/>
    </row>
    <row r="83" spans="1:53" s="28" customFormat="1" x14ac:dyDescent="0.15">
      <c r="A83" s="28">
        <v>1997</v>
      </c>
      <c r="B83" s="293"/>
      <c r="C83" s="394" t="s">
        <v>267</v>
      </c>
      <c r="D83" s="394"/>
      <c r="E83" s="28">
        <v>292</v>
      </c>
      <c r="G83" s="65">
        <v>4</v>
      </c>
      <c r="I83" s="28">
        <v>15</v>
      </c>
      <c r="J83" s="72">
        <v>19</v>
      </c>
      <c r="K83" s="46">
        <f t="shared" si="28"/>
        <v>21.052631578947366</v>
      </c>
      <c r="L83" s="46">
        <f t="shared" si="29"/>
        <v>0</v>
      </c>
      <c r="M83" s="46">
        <f t="shared" si="30"/>
        <v>78.94736842105263</v>
      </c>
      <c r="N83" s="67">
        <f t="shared" si="26"/>
        <v>100</v>
      </c>
      <c r="O83" s="45">
        <v>4.5999999999999996</v>
      </c>
      <c r="P83" s="46"/>
      <c r="Q83" s="46">
        <v>35.4</v>
      </c>
      <c r="R83" s="47">
        <f t="shared" si="27"/>
        <v>40</v>
      </c>
      <c r="S83" s="28">
        <v>5</v>
      </c>
      <c r="T83" s="284"/>
      <c r="U83" s="293"/>
      <c r="V83" s="37" t="s">
        <v>101</v>
      </c>
      <c r="W83" s="28" t="s">
        <v>20</v>
      </c>
      <c r="X83" s="28" t="s">
        <v>12</v>
      </c>
      <c r="Y83" s="38">
        <v>35.4</v>
      </c>
      <c r="Z83" s="28" t="s">
        <v>102</v>
      </c>
      <c r="AA83" s="28" t="s">
        <v>22</v>
      </c>
      <c r="AB83" s="28" t="s">
        <v>11</v>
      </c>
      <c r="AC83" s="28">
        <v>4.5999999999999996</v>
      </c>
      <c r="AD83" s="37"/>
      <c r="AG83" s="38"/>
      <c r="AL83" s="37"/>
      <c r="AO83" s="38"/>
      <c r="AP83" s="37"/>
      <c r="AS83" s="38"/>
      <c r="AW83" s="38"/>
      <c r="BA83" s="39"/>
    </row>
    <row r="84" spans="1:53" s="28" customFormat="1" x14ac:dyDescent="0.15">
      <c r="A84" s="28">
        <v>1997</v>
      </c>
      <c r="B84" s="301">
        <v>35723</v>
      </c>
      <c r="C84" s="394" t="s">
        <v>267</v>
      </c>
      <c r="D84" s="394"/>
      <c r="E84" s="28">
        <f>365-E83</f>
        <v>73</v>
      </c>
      <c r="F84" s="83">
        <v>0</v>
      </c>
      <c r="G84" s="65">
        <v>4</v>
      </c>
      <c r="I84" s="28">
        <v>16</v>
      </c>
      <c r="J84" s="72">
        <v>20</v>
      </c>
      <c r="K84" s="46">
        <f t="shared" si="28"/>
        <v>20</v>
      </c>
      <c r="L84" s="46">
        <f t="shared" si="29"/>
        <v>0</v>
      </c>
      <c r="M84" s="46">
        <f t="shared" si="30"/>
        <v>80</v>
      </c>
      <c r="N84" s="67">
        <f t="shared" si="26"/>
        <v>100</v>
      </c>
      <c r="O84" s="45">
        <v>4.5999999999999996</v>
      </c>
      <c r="P84" s="46"/>
      <c r="Q84" s="46">
        <v>35.4</v>
      </c>
      <c r="R84" s="47">
        <f t="shared" si="27"/>
        <v>40</v>
      </c>
      <c r="S84" s="28">
        <v>5</v>
      </c>
      <c r="T84" s="284"/>
      <c r="U84" s="293"/>
      <c r="V84" s="37" t="s">
        <v>101</v>
      </c>
      <c r="W84" s="28" t="s">
        <v>20</v>
      </c>
      <c r="X84" s="28" t="s">
        <v>12</v>
      </c>
      <c r="Y84" s="38">
        <v>35.4</v>
      </c>
      <c r="Z84" s="28" t="s">
        <v>102</v>
      </c>
      <c r="AA84" s="28" t="s">
        <v>22</v>
      </c>
      <c r="AB84" s="28" t="s">
        <v>11</v>
      </c>
      <c r="AC84" s="28">
        <v>4.5999999999999996</v>
      </c>
      <c r="AD84" s="37"/>
      <c r="AG84" s="38"/>
      <c r="AL84" s="37"/>
      <c r="AO84" s="38"/>
      <c r="AP84" s="37"/>
      <c r="AS84" s="38"/>
      <c r="AW84" s="38"/>
      <c r="BA84" s="39"/>
    </row>
    <row r="85" spans="1:53" s="28" customFormat="1" x14ac:dyDescent="0.15">
      <c r="A85" s="28">
        <v>1998</v>
      </c>
      <c r="B85" s="293"/>
      <c r="C85" s="394" t="s">
        <v>267</v>
      </c>
      <c r="D85" s="394"/>
      <c r="E85" s="28">
        <v>81</v>
      </c>
      <c r="G85" s="65">
        <v>4</v>
      </c>
      <c r="I85" s="28">
        <v>16</v>
      </c>
      <c r="J85" s="72">
        <v>20</v>
      </c>
      <c r="K85" s="46">
        <f t="shared" si="28"/>
        <v>20</v>
      </c>
      <c r="L85" s="46">
        <f t="shared" si="29"/>
        <v>0</v>
      </c>
      <c r="M85" s="46">
        <f t="shared" si="30"/>
        <v>80</v>
      </c>
      <c r="N85" s="67">
        <f t="shared" si="26"/>
        <v>100</v>
      </c>
      <c r="O85" s="45">
        <v>4.5999999999999996</v>
      </c>
      <c r="P85" s="46"/>
      <c r="Q85" s="46">
        <v>35.4</v>
      </c>
      <c r="R85" s="47">
        <f t="shared" si="27"/>
        <v>40</v>
      </c>
      <c r="S85" s="28">
        <v>5</v>
      </c>
      <c r="T85" s="284"/>
      <c r="U85" s="293"/>
      <c r="V85" s="37" t="s">
        <v>101</v>
      </c>
      <c r="W85" s="28" t="s">
        <v>20</v>
      </c>
      <c r="X85" s="28" t="s">
        <v>12</v>
      </c>
      <c r="Y85" s="38">
        <v>35.4</v>
      </c>
      <c r="Z85" s="28" t="s">
        <v>102</v>
      </c>
      <c r="AA85" s="28" t="s">
        <v>22</v>
      </c>
      <c r="AB85" s="28" t="s">
        <v>11</v>
      </c>
      <c r="AC85" s="28">
        <v>4.5999999999999996</v>
      </c>
      <c r="AD85" s="37"/>
      <c r="AG85" s="38"/>
      <c r="AL85" s="37"/>
      <c r="AO85" s="38"/>
      <c r="AP85" s="37"/>
      <c r="AS85" s="38"/>
      <c r="AW85" s="38"/>
      <c r="BA85" s="39"/>
    </row>
    <row r="86" spans="1:53" s="170" customFormat="1" x14ac:dyDescent="0.15">
      <c r="A86" s="170">
        <v>1998</v>
      </c>
      <c r="B86" s="281">
        <v>35877</v>
      </c>
      <c r="C86" s="395" t="s">
        <v>268</v>
      </c>
      <c r="D86" s="395"/>
      <c r="E86" s="170">
        <f>365-E85</f>
        <v>284</v>
      </c>
      <c r="F86" s="170">
        <v>1</v>
      </c>
      <c r="G86" s="232">
        <v>4</v>
      </c>
      <c r="I86" s="170">
        <v>16</v>
      </c>
      <c r="J86" s="240">
        <v>20</v>
      </c>
      <c r="K86" s="213">
        <f t="shared" si="28"/>
        <v>20</v>
      </c>
      <c r="L86" s="213">
        <f t="shared" si="29"/>
        <v>0</v>
      </c>
      <c r="M86" s="213">
        <f t="shared" si="30"/>
        <v>80</v>
      </c>
      <c r="N86" s="234">
        <f t="shared" si="26"/>
        <v>100</v>
      </c>
      <c r="O86" s="212">
        <v>4</v>
      </c>
      <c r="P86" s="213"/>
      <c r="Q86" s="213">
        <v>36</v>
      </c>
      <c r="R86" s="214">
        <f t="shared" si="27"/>
        <v>40</v>
      </c>
      <c r="S86" s="170">
        <v>5</v>
      </c>
      <c r="T86" s="283">
        <v>35865</v>
      </c>
      <c r="U86" s="281">
        <v>35877</v>
      </c>
      <c r="V86" s="177" t="s">
        <v>101</v>
      </c>
      <c r="W86" s="170" t="s">
        <v>20</v>
      </c>
      <c r="X86" s="170" t="s">
        <v>12</v>
      </c>
      <c r="Y86" s="178">
        <v>36</v>
      </c>
      <c r="Z86" s="170" t="s">
        <v>102</v>
      </c>
      <c r="AA86" s="170" t="s">
        <v>22</v>
      </c>
      <c r="AB86" s="170" t="s">
        <v>11</v>
      </c>
      <c r="AC86" s="170">
        <v>4</v>
      </c>
      <c r="AD86" s="177"/>
      <c r="AG86" s="178"/>
      <c r="AL86" s="177"/>
      <c r="AO86" s="178"/>
      <c r="AP86" s="177"/>
      <c r="AS86" s="178"/>
      <c r="AW86" s="178"/>
      <c r="BA86" s="179"/>
    </row>
    <row r="87" spans="1:53" s="170" customFormat="1" x14ac:dyDescent="0.15">
      <c r="A87" s="170">
        <v>1999</v>
      </c>
      <c r="B87" s="281"/>
      <c r="C87" s="395" t="s">
        <v>268</v>
      </c>
      <c r="D87" s="395"/>
      <c r="E87" s="170">
        <v>0</v>
      </c>
      <c r="G87" s="232">
        <v>4</v>
      </c>
      <c r="I87" s="170">
        <v>16</v>
      </c>
      <c r="J87" s="240">
        <v>20</v>
      </c>
      <c r="K87" s="213">
        <f t="shared" si="28"/>
        <v>20</v>
      </c>
      <c r="L87" s="213">
        <f t="shared" si="29"/>
        <v>0</v>
      </c>
      <c r="M87" s="213">
        <f t="shared" si="30"/>
        <v>80</v>
      </c>
      <c r="N87" s="234">
        <f t="shared" si="26"/>
        <v>100</v>
      </c>
      <c r="O87" s="212">
        <v>4</v>
      </c>
      <c r="P87" s="213"/>
      <c r="Q87" s="213">
        <v>36</v>
      </c>
      <c r="R87" s="214">
        <f t="shared" si="27"/>
        <v>40</v>
      </c>
      <c r="S87" s="170">
        <v>5</v>
      </c>
      <c r="T87" s="283"/>
      <c r="U87" s="281"/>
      <c r="V87" s="177" t="s">
        <v>101</v>
      </c>
      <c r="W87" s="170" t="s">
        <v>20</v>
      </c>
      <c r="X87" s="170" t="s">
        <v>12</v>
      </c>
      <c r="Y87" s="178">
        <v>36</v>
      </c>
      <c r="Z87" s="170" t="s">
        <v>102</v>
      </c>
      <c r="AA87" s="170" t="s">
        <v>22</v>
      </c>
      <c r="AB87" s="170" t="s">
        <v>11</v>
      </c>
      <c r="AC87" s="170">
        <v>4</v>
      </c>
      <c r="AD87" s="177"/>
      <c r="AG87" s="178"/>
      <c r="AL87" s="177"/>
      <c r="AO87" s="178"/>
      <c r="AP87" s="177"/>
      <c r="AS87" s="178"/>
      <c r="AW87" s="178"/>
      <c r="BA87" s="179"/>
    </row>
    <row r="88" spans="1:53" s="170" customFormat="1" x14ac:dyDescent="0.15">
      <c r="A88" s="170">
        <v>1999</v>
      </c>
      <c r="B88" s="281"/>
      <c r="C88" s="395" t="s">
        <v>268</v>
      </c>
      <c r="D88" s="395"/>
      <c r="E88" s="170">
        <f>365-E87</f>
        <v>365</v>
      </c>
      <c r="G88" s="232">
        <v>4</v>
      </c>
      <c r="I88" s="170">
        <v>16</v>
      </c>
      <c r="J88" s="240">
        <v>20</v>
      </c>
      <c r="K88" s="213">
        <f t="shared" si="28"/>
        <v>20</v>
      </c>
      <c r="L88" s="213">
        <f t="shared" si="29"/>
        <v>0</v>
      </c>
      <c r="M88" s="213">
        <f t="shared" si="30"/>
        <v>80</v>
      </c>
      <c r="N88" s="234">
        <f t="shared" si="26"/>
        <v>100</v>
      </c>
      <c r="O88" s="212">
        <v>4</v>
      </c>
      <c r="P88" s="213"/>
      <c r="Q88" s="213">
        <v>36</v>
      </c>
      <c r="R88" s="214">
        <f t="shared" si="27"/>
        <v>40</v>
      </c>
      <c r="S88" s="170">
        <v>5</v>
      </c>
      <c r="T88" s="283"/>
      <c r="U88" s="281"/>
      <c r="V88" s="177" t="s">
        <v>101</v>
      </c>
      <c r="W88" s="170" t="s">
        <v>20</v>
      </c>
      <c r="X88" s="170" t="s">
        <v>12</v>
      </c>
      <c r="Y88" s="178">
        <v>36</v>
      </c>
      <c r="Z88" s="170" t="s">
        <v>102</v>
      </c>
      <c r="AA88" s="170" t="s">
        <v>22</v>
      </c>
      <c r="AB88" s="170" t="s">
        <v>11</v>
      </c>
      <c r="AC88" s="170">
        <v>4</v>
      </c>
      <c r="AD88" s="177"/>
      <c r="AG88" s="178"/>
      <c r="AL88" s="177"/>
      <c r="AO88" s="178"/>
      <c r="AP88" s="177"/>
      <c r="AS88" s="178"/>
      <c r="AW88" s="178"/>
      <c r="BA88" s="179"/>
    </row>
    <row r="89" spans="1:53" s="170" customFormat="1" x14ac:dyDescent="0.15">
      <c r="A89" s="170">
        <v>2000</v>
      </c>
      <c r="B89" s="281"/>
      <c r="C89" s="395" t="s">
        <v>268</v>
      </c>
      <c r="D89" s="395"/>
      <c r="E89" s="170">
        <v>0</v>
      </c>
      <c r="G89" s="232">
        <v>4</v>
      </c>
      <c r="I89" s="170">
        <v>16</v>
      </c>
      <c r="J89" s="240">
        <v>20</v>
      </c>
      <c r="K89" s="213">
        <f t="shared" si="28"/>
        <v>20</v>
      </c>
      <c r="L89" s="213">
        <f t="shared" si="29"/>
        <v>0</v>
      </c>
      <c r="M89" s="213">
        <f t="shared" si="30"/>
        <v>80</v>
      </c>
      <c r="N89" s="234">
        <f t="shared" si="26"/>
        <v>100</v>
      </c>
      <c r="O89" s="212">
        <v>4</v>
      </c>
      <c r="P89" s="213"/>
      <c r="Q89" s="213">
        <v>36</v>
      </c>
      <c r="R89" s="214">
        <f t="shared" si="27"/>
        <v>40</v>
      </c>
      <c r="S89" s="170">
        <v>5</v>
      </c>
      <c r="T89" s="283"/>
      <c r="U89" s="281"/>
      <c r="V89" s="177" t="s">
        <v>101</v>
      </c>
      <c r="W89" s="170" t="s">
        <v>20</v>
      </c>
      <c r="X89" s="170" t="s">
        <v>12</v>
      </c>
      <c r="Y89" s="178">
        <v>36</v>
      </c>
      <c r="Z89" s="170" t="s">
        <v>102</v>
      </c>
      <c r="AA89" s="170" t="s">
        <v>22</v>
      </c>
      <c r="AB89" s="170" t="s">
        <v>11</v>
      </c>
      <c r="AC89" s="170">
        <v>4</v>
      </c>
      <c r="AD89" s="177"/>
      <c r="AG89" s="178"/>
      <c r="AL89" s="177"/>
      <c r="AO89" s="178"/>
      <c r="AP89" s="177"/>
      <c r="AS89" s="178"/>
      <c r="AW89" s="178"/>
      <c r="BA89" s="179"/>
    </row>
    <row r="90" spans="1:53" s="170" customFormat="1" x14ac:dyDescent="0.15">
      <c r="A90" s="170">
        <v>2000</v>
      </c>
      <c r="B90" s="281"/>
      <c r="C90" s="395" t="s">
        <v>268</v>
      </c>
      <c r="D90" s="395"/>
      <c r="E90" s="170">
        <v>366</v>
      </c>
      <c r="G90" s="232">
        <v>4</v>
      </c>
      <c r="I90" s="170">
        <v>16</v>
      </c>
      <c r="J90" s="240">
        <v>20</v>
      </c>
      <c r="K90" s="213">
        <f t="shared" si="28"/>
        <v>20</v>
      </c>
      <c r="L90" s="213">
        <f t="shared" si="29"/>
        <v>0</v>
      </c>
      <c r="M90" s="213">
        <f t="shared" si="30"/>
        <v>80</v>
      </c>
      <c r="N90" s="234">
        <f t="shared" si="26"/>
        <v>100</v>
      </c>
      <c r="O90" s="212">
        <v>4</v>
      </c>
      <c r="P90" s="213"/>
      <c r="Q90" s="213">
        <v>36</v>
      </c>
      <c r="R90" s="214">
        <f t="shared" si="27"/>
        <v>40</v>
      </c>
      <c r="S90" s="170">
        <v>5</v>
      </c>
      <c r="T90" s="283"/>
      <c r="U90" s="281"/>
      <c r="V90" s="177" t="s">
        <v>101</v>
      </c>
      <c r="W90" s="170" t="s">
        <v>20</v>
      </c>
      <c r="X90" s="170" t="s">
        <v>12</v>
      </c>
      <c r="Y90" s="178">
        <v>36</v>
      </c>
      <c r="Z90" s="170" t="s">
        <v>102</v>
      </c>
      <c r="AA90" s="170" t="s">
        <v>22</v>
      </c>
      <c r="AB90" s="170" t="s">
        <v>11</v>
      </c>
      <c r="AC90" s="170">
        <v>4</v>
      </c>
      <c r="AD90" s="177"/>
      <c r="AG90" s="178"/>
      <c r="AL90" s="177"/>
      <c r="AO90" s="178"/>
      <c r="AP90" s="177"/>
      <c r="AS90" s="178"/>
      <c r="AW90" s="178"/>
      <c r="BA90" s="179"/>
    </row>
    <row r="91" spans="1:53" s="170" customFormat="1" x14ac:dyDescent="0.15">
      <c r="A91" s="170">
        <v>2001</v>
      </c>
      <c r="B91" s="281"/>
      <c r="C91" s="395" t="s">
        <v>268</v>
      </c>
      <c r="D91" s="395"/>
      <c r="E91" s="170">
        <v>330</v>
      </c>
      <c r="G91" s="232">
        <v>4</v>
      </c>
      <c r="I91" s="170">
        <v>16</v>
      </c>
      <c r="J91" s="240">
        <v>20</v>
      </c>
      <c r="K91" s="213">
        <f t="shared" si="28"/>
        <v>20</v>
      </c>
      <c r="L91" s="213">
        <f t="shared" si="29"/>
        <v>0</v>
      </c>
      <c r="M91" s="213">
        <f t="shared" si="30"/>
        <v>80</v>
      </c>
      <c r="N91" s="234">
        <f t="shared" si="26"/>
        <v>100</v>
      </c>
      <c r="O91" s="212">
        <v>4</v>
      </c>
      <c r="P91" s="213"/>
      <c r="Q91" s="213">
        <v>36</v>
      </c>
      <c r="R91" s="214">
        <f t="shared" si="27"/>
        <v>40</v>
      </c>
      <c r="S91" s="170">
        <v>5</v>
      </c>
      <c r="T91" s="283"/>
      <c r="U91" s="281"/>
      <c r="V91" s="177" t="s">
        <v>101</v>
      </c>
      <c r="W91" s="170" t="s">
        <v>20</v>
      </c>
      <c r="X91" s="170" t="s">
        <v>12</v>
      </c>
      <c r="Y91" s="178">
        <v>36</v>
      </c>
      <c r="Z91" s="170" t="s">
        <v>102</v>
      </c>
      <c r="AA91" s="170" t="s">
        <v>22</v>
      </c>
      <c r="AB91" s="170" t="s">
        <v>11</v>
      </c>
      <c r="AC91" s="170">
        <v>4</v>
      </c>
      <c r="AD91" s="177"/>
      <c r="AG91" s="178"/>
      <c r="AL91" s="177"/>
      <c r="AO91" s="178"/>
      <c r="AP91" s="177"/>
      <c r="AS91" s="178"/>
      <c r="AW91" s="178"/>
      <c r="BA91" s="179"/>
    </row>
    <row r="92" spans="1:53" s="28" customFormat="1" x14ac:dyDescent="0.15">
      <c r="A92" s="28">
        <v>2001</v>
      </c>
      <c r="B92" s="293">
        <v>37222</v>
      </c>
      <c r="C92" s="394" t="s">
        <v>269</v>
      </c>
      <c r="D92" s="394"/>
      <c r="E92" s="28">
        <f>365-E91</f>
        <v>35</v>
      </c>
      <c r="F92" s="28">
        <v>1</v>
      </c>
      <c r="G92" s="65">
        <v>18</v>
      </c>
      <c r="J92" s="72">
        <v>18</v>
      </c>
      <c r="K92" s="46">
        <f t="shared" si="28"/>
        <v>100</v>
      </c>
      <c r="L92" s="46">
        <f t="shared" si="29"/>
        <v>0</v>
      </c>
      <c r="M92" s="46">
        <f t="shared" si="30"/>
        <v>0</v>
      </c>
      <c r="N92" s="67">
        <f t="shared" si="26"/>
        <v>100</v>
      </c>
      <c r="O92" s="45">
        <v>41.1</v>
      </c>
      <c r="P92" s="46"/>
      <c r="Q92" s="46"/>
      <c r="R92" s="47">
        <f t="shared" si="27"/>
        <v>41.1</v>
      </c>
      <c r="S92" s="28">
        <v>5</v>
      </c>
      <c r="T92" s="284">
        <v>37215</v>
      </c>
      <c r="U92" s="293">
        <v>37222</v>
      </c>
      <c r="V92" s="37" t="s">
        <v>72</v>
      </c>
      <c r="W92" s="28" t="s">
        <v>87</v>
      </c>
      <c r="X92" s="28" t="s">
        <v>11</v>
      </c>
      <c r="Y92" s="38">
        <v>32</v>
      </c>
      <c r="Z92" s="28" t="s">
        <v>104</v>
      </c>
      <c r="AA92" s="28" t="s">
        <v>74</v>
      </c>
      <c r="AB92" s="28" t="s">
        <v>11</v>
      </c>
      <c r="AC92" s="28">
        <v>9.1</v>
      </c>
      <c r="AD92" s="37"/>
      <c r="AG92" s="38"/>
      <c r="AL92" s="37"/>
      <c r="AO92" s="38"/>
      <c r="AP92" s="37"/>
      <c r="AS92" s="38"/>
      <c r="AW92" s="38"/>
      <c r="BA92" s="39"/>
    </row>
    <row r="93" spans="1:53" s="28" customFormat="1" x14ac:dyDescent="0.15">
      <c r="A93" s="28">
        <v>2002</v>
      </c>
      <c r="B93" s="293"/>
      <c r="C93" s="394" t="s">
        <v>269</v>
      </c>
      <c r="D93" s="394"/>
      <c r="E93" s="28">
        <v>0</v>
      </c>
      <c r="G93" s="65">
        <v>18</v>
      </c>
      <c r="J93" s="72">
        <v>18</v>
      </c>
      <c r="K93" s="46">
        <f t="shared" si="28"/>
        <v>100</v>
      </c>
      <c r="L93" s="46">
        <f t="shared" si="29"/>
        <v>0</v>
      </c>
      <c r="M93" s="46">
        <f t="shared" si="30"/>
        <v>0</v>
      </c>
      <c r="N93" s="67">
        <f t="shared" si="26"/>
        <v>100</v>
      </c>
      <c r="O93" s="45">
        <v>41.1</v>
      </c>
      <c r="P93" s="46"/>
      <c r="Q93" s="46"/>
      <c r="R93" s="47">
        <f t="shared" si="27"/>
        <v>41.1</v>
      </c>
      <c r="S93" s="28">
        <v>5</v>
      </c>
      <c r="T93" s="284"/>
      <c r="U93" s="293"/>
      <c r="V93" s="37" t="s">
        <v>72</v>
      </c>
      <c r="W93" s="28" t="s">
        <v>87</v>
      </c>
      <c r="X93" s="28" t="s">
        <v>11</v>
      </c>
      <c r="Y93" s="38">
        <v>32</v>
      </c>
      <c r="Z93" s="28" t="s">
        <v>104</v>
      </c>
      <c r="AA93" s="28" t="s">
        <v>74</v>
      </c>
      <c r="AB93" s="28" t="s">
        <v>11</v>
      </c>
      <c r="AC93" s="28">
        <v>9.1</v>
      </c>
      <c r="AD93" s="37"/>
      <c r="AG93" s="38"/>
      <c r="AL93" s="37"/>
      <c r="AO93" s="38"/>
      <c r="AP93" s="37"/>
      <c r="AS93" s="38"/>
      <c r="AW93" s="38"/>
      <c r="BA93" s="39"/>
    </row>
    <row r="94" spans="1:53" s="28" customFormat="1" x14ac:dyDescent="0.15">
      <c r="A94" s="28">
        <v>2002</v>
      </c>
      <c r="B94" s="293"/>
      <c r="C94" s="394" t="s">
        <v>269</v>
      </c>
      <c r="D94" s="394"/>
      <c r="E94" s="28">
        <f>365-E93</f>
        <v>365</v>
      </c>
      <c r="G94" s="65">
        <v>18</v>
      </c>
      <c r="J94" s="72">
        <v>18</v>
      </c>
      <c r="K94" s="46">
        <f t="shared" si="28"/>
        <v>100</v>
      </c>
      <c r="L94" s="46">
        <f t="shared" si="29"/>
        <v>0</v>
      </c>
      <c r="M94" s="46">
        <f t="shared" si="30"/>
        <v>0</v>
      </c>
      <c r="N94" s="67">
        <f t="shared" si="26"/>
        <v>100</v>
      </c>
      <c r="O94" s="45">
        <v>41.1</v>
      </c>
      <c r="P94" s="46"/>
      <c r="Q94" s="46"/>
      <c r="R94" s="47">
        <f t="shared" si="27"/>
        <v>41.1</v>
      </c>
      <c r="S94" s="28">
        <v>5</v>
      </c>
      <c r="T94" s="284"/>
      <c r="U94" s="293"/>
      <c r="V94" s="37" t="s">
        <v>72</v>
      </c>
      <c r="W94" s="28" t="s">
        <v>87</v>
      </c>
      <c r="X94" s="28" t="s">
        <v>11</v>
      </c>
      <c r="Y94" s="38">
        <v>32</v>
      </c>
      <c r="Z94" s="28" t="s">
        <v>104</v>
      </c>
      <c r="AA94" s="28" t="s">
        <v>74</v>
      </c>
      <c r="AB94" s="28" t="s">
        <v>11</v>
      </c>
      <c r="AC94" s="28">
        <v>9.1</v>
      </c>
      <c r="AD94" s="37"/>
      <c r="AG94" s="38"/>
      <c r="AL94" s="37"/>
      <c r="AO94" s="38"/>
      <c r="AP94" s="37"/>
      <c r="AS94" s="38"/>
      <c r="AW94" s="38"/>
      <c r="BA94" s="39"/>
    </row>
    <row r="95" spans="1:53" s="28" customFormat="1" x14ac:dyDescent="0.15">
      <c r="A95" s="28">
        <v>2003</v>
      </c>
      <c r="B95" s="293"/>
      <c r="C95" s="394" t="s">
        <v>269</v>
      </c>
      <c r="D95" s="394"/>
      <c r="E95" s="28">
        <v>0</v>
      </c>
      <c r="G95" s="65">
        <v>18</v>
      </c>
      <c r="J95" s="72">
        <v>18</v>
      </c>
      <c r="K95" s="46">
        <f t="shared" si="28"/>
        <v>100</v>
      </c>
      <c r="L95" s="46">
        <f t="shared" si="29"/>
        <v>0</v>
      </c>
      <c r="M95" s="46">
        <f t="shared" si="30"/>
        <v>0</v>
      </c>
      <c r="N95" s="67">
        <f t="shared" si="26"/>
        <v>100</v>
      </c>
      <c r="O95" s="45">
        <v>41.1</v>
      </c>
      <c r="P95" s="46"/>
      <c r="Q95" s="46"/>
      <c r="R95" s="47">
        <f t="shared" si="27"/>
        <v>41.1</v>
      </c>
      <c r="S95" s="28">
        <v>5</v>
      </c>
      <c r="T95" s="284"/>
      <c r="U95" s="293"/>
      <c r="V95" s="37" t="s">
        <v>72</v>
      </c>
      <c r="W95" s="28" t="s">
        <v>87</v>
      </c>
      <c r="X95" s="28" t="s">
        <v>11</v>
      </c>
      <c r="Y95" s="38">
        <v>32</v>
      </c>
      <c r="Z95" s="28" t="s">
        <v>104</v>
      </c>
      <c r="AA95" s="28" t="s">
        <v>74</v>
      </c>
      <c r="AB95" s="28" t="s">
        <v>11</v>
      </c>
      <c r="AC95" s="28">
        <v>9.1</v>
      </c>
      <c r="AD95" s="37"/>
      <c r="AG95" s="38"/>
      <c r="AL95" s="37"/>
      <c r="AO95" s="38"/>
      <c r="AP95" s="37"/>
      <c r="AS95" s="38"/>
      <c r="AW95" s="38"/>
      <c r="BA95" s="39"/>
    </row>
    <row r="96" spans="1:53" s="28" customFormat="1" x14ac:dyDescent="0.15">
      <c r="A96" s="28">
        <v>2003</v>
      </c>
      <c r="B96" s="293"/>
      <c r="C96" s="394" t="s">
        <v>269</v>
      </c>
      <c r="D96" s="394"/>
      <c r="E96" s="28">
        <f>365-E95</f>
        <v>365</v>
      </c>
      <c r="G96" s="65">
        <v>18</v>
      </c>
      <c r="J96" s="72">
        <v>18</v>
      </c>
      <c r="K96" s="46">
        <f t="shared" si="28"/>
        <v>100</v>
      </c>
      <c r="L96" s="46">
        <f t="shared" si="29"/>
        <v>0</v>
      </c>
      <c r="M96" s="46">
        <f t="shared" si="30"/>
        <v>0</v>
      </c>
      <c r="N96" s="67">
        <f t="shared" si="26"/>
        <v>100</v>
      </c>
      <c r="O96" s="45">
        <v>41.1</v>
      </c>
      <c r="P96" s="46"/>
      <c r="Q96" s="46"/>
      <c r="R96" s="47">
        <f t="shared" si="27"/>
        <v>41.1</v>
      </c>
      <c r="S96" s="28">
        <v>5</v>
      </c>
      <c r="T96" s="284"/>
      <c r="U96" s="293"/>
      <c r="V96" s="37" t="s">
        <v>72</v>
      </c>
      <c r="W96" s="28" t="s">
        <v>87</v>
      </c>
      <c r="X96" s="28" t="s">
        <v>11</v>
      </c>
      <c r="Y96" s="38">
        <v>32</v>
      </c>
      <c r="Z96" s="28" t="s">
        <v>104</v>
      </c>
      <c r="AA96" s="28" t="s">
        <v>74</v>
      </c>
      <c r="AB96" s="28" t="s">
        <v>11</v>
      </c>
      <c r="AC96" s="28">
        <v>9.1</v>
      </c>
      <c r="AD96" s="37"/>
      <c r="AG96" s="38"/>
      <c r="AL96" s="37"/>
      <c r="AO96" s="38"/>
      <c r="AP96" s="37"/>
      <c r="AS96" s="38"/>
      <c r="AW96" s="38"/>
      <c r="BA96" s="39"/>
    </row>
    <row r="97" spans="1:53" s="28" customFormat="1" x14ac:dyDescent="0.15">
      <c r="A97" s="28">
        <v>2004</v>
      </c>
      <c r="B97" s="293"/>
      <c r="C97" s="394" t="s">
        <v>269</v>
      </c>
      <c r="D97" s="394"/>
      <c r="E97" s="28">
        <v>214</v>
      </c>
      <c r="G97" s="65">
        <v>18</v>
      </c>
      <c r="J97" s="72">
        <v>18</v>
      </c>
      <c r="K97" s="46">
        <f t="shared" si="28"/>
        <v>100</v>
      </c>
      <c r="L97" s="46">
        <f t="shared" si="29"/>
        <v>0</v>
      </c>
      <c r="M97" s="46">
        <f t="shared" si="30"/>
        <v>0</v>
      </c>
      <c r="N97" s="67">
        <f t="shared" si="26"/>
        <v>100</v>
      </c>
      <c r="O97" s="45">
        <v>41.1</v>
      </c>
      <c r="P97" s="46"/>
      <c r="Q97" s="46"/>
      <c r="R97" s="47">
        <f t="shared" si="27"/>
        <v>41.1</v>
      </c>
      <c r="S97" s="28">
        <v>5</v>
      </c>
      <c r="T97" s="284"/>
      <c r="U97" s="293"/>
      <c r="V97" s="37" t="s">
        <v>72</v>
      </c>
      <c r="W97" s="28" t="s">
        <v>87</v>
      </c>
      <c r="X97" s="28" t="s">
        <v>11</v>
      </c>
      <c r="Y97" s="38">
        <v>32</v>
      </c>
      <c r="Z97" s="28" t="s">
        <v>104</v>
      </c>
      <c r="AA97" s="28" t="s">
        <v>74</v>
      </c>
      <c r="AB97" s="28" t="s">
        <v>11</v>
      </c>
      <c r="AC97" s="28">
        <v>9.1</v>
      </c>
      <c r="AD97" s="37"/>
      <c r="AG97" s="38"/>
      <c r="AL97" s="37"/>
      <c r="AO97" s="38"/>
      <c r="AP97" s="37"/>
      <c r="AS97" s="38"/>
      <c r="AW97" s="38"/>
      <c r="BA97" s="39"/>
    </row>
    <row r="98" spans="1:53" s="28" customFormat="1" x14ac:dyDescent="0.15">
      <c r="A98" s="28">
        <v>2004</v>
      </c>
      <c r="B98" s="301">
        <v>38201</v>
      </c>
      <c r="C98" s="394" t="s">
        <v>269</v>
      </c>
      <c r="D98" s="394"/>
      <c r="E98" s="28">
        <v>152</v>
      </c>
      <c r="F98" s="83">
        <v>0</v>
      </c>
      <c r="G98" s="65">
        <v>19</v>
      </c>
      <c r="J98" s="72">
        <v>19</v>
      </c>
      <c r="K98" s="46">
        <f t="shared" si="28"/>
        <v>100</v>
      </c>
      <c r="L98" s="46">
        <f t="shared" si="29"/>
        <v>0</v>
      </c>
      <c r="M98" s="46">
        <f t="shared" si="30"/>
        <v>0</v>
      </c>
      <c r="N98" s="67">
        <f t="shared" si="26"/>
        <v>100</v>
      </c>
      <c r="O98" s="45">
        <v>41.1</v>
      </c>
      <c r="P98" s="46"/>
      <c r="Q98" s="46"/>
      <c r="R98" s="47">
        <f t="shared" si="27"/>
        <v>41.1</v>
      </c>
      <c r="S98" s="28">
        <v>5</v>
      </c>
      <c r="T98" s="284"/>
      <c r="U98" s="293"/>
      <c r="V98" s="37" t="s">
        <v>72</v>
      </c>
      <c r="W98" s="28" t="s">
        <v>87</v>
      </c>
      <c r="X98" s="28" t="s">
        <v>11</v>
      </c>
      <c r="Y98" s="38">
        <v>32</v>
      </c>
      <c r="Z98" s="28" t="s">
        <v>104</v>
      </c>
      <c r="AA98" s="28" t="s">
        <v>74</v>
      </c>
      <c r="AB98" s="28" t="s">
        <v>11</v>
      </c>
      <c r="AC98" s="28">
        <v>9.1</v>
      </c>
      <c r="AD98" s="37"/>
      <c r="AG98" s="38"/>
      <c r="AL98" s="37"/>
      <c r="AO98" s="38"/>
      <c r="AP98" s="37"/>
      <c r="AS98" s="38"/>
      <c r="AW98" s="38"/>
      <c r="BA98" s="39"/>
    </row>
    <row r="99" spans="1:53" s="28" customFormat="1" x14ac:dyDescent="0.15">
      <c r="A99" s="28">
        <v>2005</v>
      </c>
      <c r="B99" s="293"/>
      <c r="C99" s="394" t="s">
        <v>269</v>
      </c>
      <c r="D99" s="394"/>
      <c r="E99" s="28">
        <v>48</v>
      </c>
      <c r="G99" s="65">
        <v>19</v>
      </c>
      <c r="J99" s="72">
        <v>19</v>
      </c>
      <c r="K99" s="46">
        <f t="shared" si="28"/>
        <v>100</v>
      </c>
      <c r="L99" s="46">
        <f t="shared" si="29"/>
        <v>0</v>
      </c>
      <c r="M99" s="46">
        <f t="shared" si="30"/>
        <v>0</v>
      </c>
      <c r="N99" s="67">
        <f t="shared" si="26"/>
        <v>100</v>
      </c>
      <c r="O99" s="45">
        <v>41.1</v>
      </c>
      <c r="P99" s="46"/>
      <c r="Q99" s="46"/>
      <c r="R99" s="47">
        <f t="shared" si="27"/>
        <v>41.1</v>
      </c>
      <c r="S99" s="28">
        <v>5</v>
      </c>
      <c r="T99" s="284"/>
      <c r="U99" s="293"/>
      <c r="V99" s="37" t="s">
        <v>72</v>
      </c>
      <c r="W99" s="28" t="s">
        <v>87</v>
      </c>
      <c r="X99" s="28" t="s">
        <v>11</v>
      </c>
      <c r="Y99" s="38">
        <v>32</v>
      </c>
      <c r="Z99" s="28" t="s">
        <v>104</v>
      </c>
      <c r="AA99" s="28" t="s">
        <v>74</v>
      </c>
      <c r="AB99" s="28" t="s">
        <v>11</v>
      </c>
      <c r="AC99" s="28">
        <v>9.1</v>
      </c>
      <c r="AD99" s="37"/>
      <c r="AG99" s="38"/>
      <c r="AL99" s="37"/>
      <c r="AO99" s="38"/>
      <c r="AP99" s="37"/>
      <c r="AS99" s="38"/>
      <c r="AW99" s="38"/>
      <c r="BA99" s="39"/>
    </row>
    <row r="100" spans="1:53" s="170" customFormat="1" x14ac:dyDescent="0.15">
      <c r="A100" s="170">
        <v>2005</v>
      </c>
      <c r="B100" s="281">
        <v>38401</v>
      </c>
      <c r="C100" s="395" t="s">
        <v>270</v>
      </c>
      <c r="D100" s="395"/>
      <c r="E100" s="170">
        <f>365-E99</f>
        <v>317</v>
      </c>
      <c r="F100" s="170">
        <v>1</v>
      </c>
      <c r="G100" s="232">
        <v>19</v>
      </c>
      <c r="J100" s="240">
        <v>19</v>
      </c>
      <c r="K100" s="213">
        <f t="shared" si="28"/>
        <v>100</v>
      </c>
      <c r="L100" s="213">
        <f t="shared" si="29"/>
        <v>0</v>
      </c>
      <c r="M100" s="213">
        <f t="shared" si="30"/>
        <v>0</v>
      </c>
      <c r="N100" s="234">
        <f t="shared" si="26"/>
        <v>100</v>
      </c>
      <c r="O100" s="212">
        <v>40</v>
      </c>
      <c r="P100" s="213"/>
      <c r="Q100" s="213"/>
      <c r="R100" s="214">
        <f t="shared" si="27"/>
        <v>40</v>
      </c>
      <c r="S100" s="170">
        <v>5</v>
      </c>
      <c r="T100" s="283">
        <v>38391</v>
      </c>
      <c r="U100" s="281">
        <v>38401</v>
      </c>
      <c r="V100" s="177" t="s">
        <v>72</v>
      </c>
      <c r="W100" s="170" t="s">
        <v>87</v>
      </c>
      <c r="X100" s="170" t="s">
        <v>11</v>
      </c>
      <c r="Y100" s="178">
        <v>29.7</v>
      </c>
      <c r="Z100" s="170" t="s">
        <v>104</v>
      </c>
      <c r="AA100" s="170" t="s">
        <v>74</v>
      </c>
      <c r="AB100" s="170" t="s">
        <v>11</v>
      </c>
      <c r="AC100" s="170">
        <v>10.3</v>
      </c>
      <c r="AD100" s="177"/>
      <c r="AG100" s="178"/>
      <c r="AL100" s="177"/>
      <c r="AO100" s="178"/>
      <c r="AP100" s="177"/>
      <c r="AS100" s="178"/>
      <c r="AW100" s="178"/>
      <c r="BA100" s="179"/>
    </row>
    <row r="101" spans="1:53" s="170" customFormat="1" x14ac:dyDescent="0.15">
      <c r="A101" s="170">
        <v>2006</v>
      </c>
      <c r="B101" s="281"/>
      <c r="C101" s="395" t="s">
        <v>270</v>
      </c>
      <c r="D101" s="395"/>
      <c r="E101" s="170">
        <v>0</v>
      </c>
      <c r="G101" s="232">
        <v>19</v>
      </c>
      <c r="J101" s="240">
        <v>19</v>
      </c>
      <c r="K101" s="213">
        <f t="shared" ref="K101:K110" si="31">G101/J101*100</f>
        <v>100</v>
      </c>
      <c r="L101" s="213">
        <f t="shared" ref="L101:L110" si="32">H101/J101*100</f>
        <v>0</v>
      </c>
      <c r="M101" s="213">
        <f t="shared" ref="M101:M110" si="33">I101/J101*100</f>
        <v>0</v>
      </c>
      <c r="N101" s="234">
        <f t="shared" si="26"/>
        <v>100</v>
      </c>
      <c r="O101" s="212">
        <v>40</v>
      </c>
      <c r="P101" s="213"/>
      <c r="Q101" s="213"/>
      <c r="R101" s="214">
        <f t="shared" si="27"/>
        <v>40</v>
      </c>
      <c r="S101" s="170">
        <v>5</v>
      </c>
      <c r="T101" s="283"/>
      <c r="U101" s="281"/>
      <c r="V101" s="177" t="s">
        <v>72</v>
      </c>
      <c r="W101" s="170" t="s">
        <v>87</v>
      </c>
      <c r="X101" s="170" t="s">
        <v>11</v>
      </c>
      <c r="Y101" s="178">
        <v>29.7</v>
      </c>
      <c r="Z101" s="170" t="s">
        <v>104</v>
      </c>
      <c r="AA101" s="170" t="s">
        <v>74</v>
      </c>
      <c r="AB101" s="170" t="s">
        <v>11</v>
      </c>
      <c r="AC101" s="170">
        <v>10.3</v>
      </c>
      <c r="AD101" s="177"/>
      <c r="AG101" s="178"/>
      <c r="AL101" s="177"/>
      <c r="AO101" s="178"/>
      <c r="AP101" s="177"/>
      <c r="AS101" s="178"/>
      <c r="AW101" s="178"/>
      <c r="BA101" s="179"/>
    </row>
    <row r="102" spans="1:53" s="170" customFormat="1" x14ac:dyDescent="0.15">
      <c r="A102" s="170">
        <v>2006</v>
      </c>
      <c r="B102" s="281"/>
      <c r="C102" s="395" t="s">
        <v>270</v>
      </c>
      <c r="D102" s="395"/>
      <c r="E102" s="170">
        <v>365</v>
      </c>
      <c r="G102" s="232">
        <v>19</v>
      </c>
      <c r="J102" s="240">
        <v>19</v>
      </c>
      <c r="K102" s="213">
        <f t="shared" si="31"/>
        <v>100</v>
      </c>
      <c r="L102" s="213">
        <f t="shared" si="32"/>
        <v>0</v>
      </c>
      <c r="M102" s="213">
        <f t="shared" si="33"/>
        <v>0</v>
      </c>
      <c r="N102" s="234">
        <f t="shared" si="26"/>
        <v>100</v>
      </c>
      <c r="O102" s="212">
        <v>40</v>
      </c>
      <c r="P102" s="213"/>
      <c r="Q102" s="213"/>
      <c r="R102" s="214">
        <f t="shared" si="27"/>
        <v>40</v>
      </c>
      <c r="S102" s="170">
        <v>5</v>
      </c>
      <c r="T102" s="283"/>
      <c r="U102" s="281"/>
      <c r="V102" s="177" t="s">
        <v>72</v>
      </c>
      <c r="W102" s="170" t="s">
        <v>87</v>
      </c>
      <c r="X102" s="170" t="s">
        <v>11</v>
      </c>
      <c r="Y102" s="178">
        <v>29.7</v>
      </c>
      <c r="Z102" s="170" t="s">
        <v>104</v>
      </c>
      <c r="AA102" s="170" t="s">
        <v>74</v>
      </c>
      <c r="AB102" s="170" t="s">
        <v>11</v>
      </c>
      <c r="AC102" s="170">
        <v>10.3</v>
      </c>
      <c r="AD102" s="177"/>
      <c r="AG102" s="178"/>
      <c r="AL102" s="177"/>
      <c r="AO102" s="178"/>
      <c r="AP102" s="177"/>
      <c r="AS102" s="178"/>
      <c r="AW102" s="178"/>
      <c r="BA102" s="179"/>
    </row>
    <row r="103" spans="1:53" s="170" customFormat="1" x14ac:dyDescent="0.15">
      <c r="A103" s="170">
        <v>2007</v>
      </c>
      <c r="B103" s="281"/>
      <c r="C103" s="395" t="s">
        <v>270</v>
      </c>
      <c r="D103" s="395"/>
      <c r="E103" s="170">
        <f>365-E104</f>
        <v>326</v>
      </c>
      <c r="G103" s="232">
        <v>19</v>
      </c>
      <c r="J103" s="240">
        <v>19</v>
      </c>
      <c r="K103" s="213">
        <f t="shared" si="31"/>
        <v>100</v>
      </c>
      <c r="L103" s="213">
        <f t="shared" si="32"/>
        <v>0</v>
      </c>
      <c r="M103" s="213">
        <f t="shared" si="33"/>
        <v>0</v>
      </c>
      <c r="N103" s="234">
        <f t="shared" si="26"/>
        <v>100</v>
      </c>
      <c r="O103" s="212">
        <v>40</v>
      </c>
      <c r="P103" s="213"/>
      <c r="Q103" s="213"/>
      <c r="R103" s="214">
        <f t="shared" si="27"/>
        <v>40</v>
      </c>
      <c r="S103" s="170">
        <v>5</v>
      </c>
      <c r="T103" s="283"/>
      <c r="U103" s="281"/>
      <c r="V103" s="177" t="s">
        <v>72</v>
      </c>
      <c r="W103" s="170" t="s">
        <v>87</v>
      </c>
      <c r="X103" s="170" t="s">
        <v>11</v>
      </c>
      <c r="Y103" s="178">
        <v>29.7</v>
      </c>
      <c r="Z103" s="170" t="s">
        <v>104</v>
      </c>
      <c r="AA103" s="170" t="s">
        <v>74</v>
      </c>
      <c r="AB103" s="170" t="s">
        <v>11</v>
      </c>
      <c r="AC103" s="170">
        <v>10.3</v>
      </c>
      <c r="AD103" s="177"/>
      <c r="AG103" s="178"/>
      <c r="AL103" s="177"/>
      <c r="AO103" s="178"/>
      <c r="AP103" s="177"/>
      <c r="AS103" s="178"/>
      <c r="AW103" s="178"/>
      <c r="BA103" s="179"/>
    </row>
    <row r="104" spans="1:53" s="28" customFormat="1" x14ac:dyDescent="0.15">
      <c r="A104" s="28">
        <v>2007</v>
      </c>
      <c r="B104" s="293">
        <v>39409</v>
      </c>
      <c r="C104" s="394" t="s">
        <v>271</v>
      </c>
      <c r="D104" s="394"/>
      <c r="E104" s="28">
        <v>39</v>
      </c>
      <c r="F104" s="28">
        <v>1</v>
      </c>
      <c r="G104" s="65">
        <v>19</v>
      </c>
      <c r="J104" s="72">
        <v>19</v>
      </c>
      <c r="K104" s="46">
        <f t="shared" si="31"/>
        <v>100</v>
      </c>
      <c r="L104" s="46">
        <f t="shared" si="32"/>
        <v>0</v>
      </c>
      <c r="M104" s="46">
        <f t="shared" si="33"/>
        <v>0</v>
      </c>
      <c r="N104" s="67">
        <f t="shared" si="26"/>
        <v>100</v>
      </c>
      <c r="O104" s="45">
        <v>36.6</v>
      </c>
      <c r="P104" s="46"/>
      <c r="Q104" s="46"/>
      <c r="R104" s="47">
        <f t="shared" si="27"/>
        <v>36.6</v>
      </c>
      <c r="S104" s="28">
        <v>5</v>
      </c>
      <c r="T104" s="284">
        <v>39399</v>
      </c>
      <c r="U104" s="293">
        <v>39409</v>
      </c>
      <c r="V104" s="37" t="s">
        <v>72</v>
      </c>
      <c r="W104" s="28" t="s">
        <v>87</v>
      </c>
      <c r="X104" s="28" t="s">
        <v>11</v>
      </c>
      <c r="Y104" s="38">
        <v>26.3</v>
      </c>
      <c r="Z104" s="28" t="s">
        <v>104</v>
      </c>
      <c r="AA104" s="28" t="s">
        <v>74</v>
      </c>
      <c r="AB104" s="28" t="s">
        <v>11</v>
      </c>
      <c r="AC104" s="28">
        <v>10.3</v>
      </c>
      <c r="AD104" s="37"/>
      <c r="AG104" s="38"/>
      <c r="AL104" s="37"/>
      <c r="AO104" s="38"/>
      <c r="AP104" s="37"/>
      <c r="AS104" s="38"/>
      <c r="AW104" s="38"/>
      <c r="BA104" s="39"/>
    </row>
    <row r="105" spans="1:53" s="28" customFormat="1" x14ac:dyDescent="0.15">
      <c r="A105" s="28">
        <v>2008</v>
      </c>
      <c r="B105" s="293"/>
      <c r="C105" s="394" t="s">
        <v>271</v>
      </c>
      <c r="D105" s="394"/>
      <c r="E105" s="28">
        <v>0</v>
      </c>
      <c r="G105" s="65">
        <v>19</v>
      </c>
      <c r="J105" s="72">
        <v>19</v>
      </c>
      <c r="K105" s="46">
        <f t="shared" si="31"/>
        <v>100</v>
      </c>
      <c r="L105" s="46">
        <f t="shared" si="32"/>
        <v>0</v>
      </c>
      <c r="M105" s="46">
        <f t="shared" si="33"/>
        <v>0</v>
      </c>
      <c r="N105" s="67">
        <f t="shared" si="26"/>
        <v>100</v>
      </c>
      <c r="O105" s="45">
        <v>36.6</v>
      </c>
      <c r="P105" s="46"/>
      <c r="Q105" s="46"/>
      <c r="R105" s="47">
        <f t="shared" si="27"/>
        <v>36.6</v>
      </c>
      <c r="S105" s="28">
        <v>5</v>
      </c>
      <c r="T105" s="284"/>
      <c r="U105" s="293"/>
      <c r="V105" s="37" t="s">
        <v>72</v>
      </c>
      <c r="W105" s="28" t="s">
        <v>87</v>
      </c>
      <c r="X105" s="28" t="s">
        <v>11</v>
      </c>
      <c r="Y105" s="38">
        <v>26.3</v>
      </c>
      <c r="Z105" s="28" t="s">
        <v>104</v>
      </c>
      <c r="AA105" s="28" t="s">
        <v>74</v>
      </c>
      <c r="AB105" s="28" t="s">
        <v>11</v>
      </c>
      <c r="AC105" s="28">
        <v>10.3</v>
      </c>
      <c r="AD105" s="37"/>
      <c r="AG105" s="38"/>
      <c r="AL105" s="37"/>
      <c r="AO105" s="38"/>
      <c r="AP105" s="37"/>
      <c r="AS105" s="38"/>
      <c r="AW105" s="38"/>
      <c r="BA105" s="39"/>
    </row>
    <row r="106" spans="1:53" s="28" customFormat="1" x14ac:dyDescent="0.15">
      <c r="A106" s="28">
        <v>2008</v>
      </c>
      <c r="B106" s="293"/>
      <c r="C106" s="394" t="s">
        <v>271</v>
      </c>
      <c r="D106" s="394"/>
      <c r="E106" s="28">
        <v>366</v>
      </c>
      <c r="G106" s="65">
        <v>19</v>
      </c>
      <c r="J106" s="72">
        <v>19</v>
      </c>
      <c r="K106" s="46">
        <f t="shared" si="31"/>
        <v>100</v>
      </c>
      <c r="L106" s="46">
        <f t="shared" si="32"/>
        <v>0</v>
      </c>
      <c r="M106" s="46">
        <f t="shared" si="33"/>
        <v>0</v>
      </c>
      <c r="N106" s="67">
        <f t="shared" si="26"/>
        <v>100</v>
      </c>
      <c r="O106" s="45">
        <v>36.6</v>
      </c>
      <c r="P106" s="46"/>
      <c r="Q106" s="46"/>
      <c r="R106" s="47">
        <f t="shared" si="27"/>
        <v>36.6</v>
      </c>
      <c r="S106" s="28">
        <v>5</v>
      </c>
      <c r="T106" s="284"/>
      <c r="U106" s="293"/>
      <c r="V106" s="37" t="s">
        <v>72</v>
      </c>
      <c r="W106" s="28" t="s">
        <v>87</v>
      </c>
      <c r="X106" s="28" t="s">
        <v>11</v>
      </c>
      <c r="Y106" s="38">
        <v>26.3</v>
      </c>
      <c r="Z106" s="28" t="s">
        <v>104</v>
      </c>
      <c r="AA106" s="28" t="s">
        <v>74</v>
      </c>
      <c r="AB106" s="28" t="s">
        <v>11</v>
      </c>
      <c r="AC106" s="28">
        <v>10.3</v>
      </c>
      <c r="AD106" s="37"/>
      <c r="AG106" s="38"/>
      <c r="AL106" s="37"/>
      <c r="AO106" s="38"/>
      <c r="AP106" s="37"/>
      <c r="AS106" s="38"/>
      <c r="AW106" s="38"/>
      <c r="BA106" s="39"/>
    </row>
    <row r="107" spans="1:53" s="28" customFormat="1" x14ac:dyDescent="0.15">
      <c r="A107" s="28">
        <v>2009</v>
      </c>
      <c r="B107" s="293"/>
      <c r="C107" s="394" t="s">
        <v>271</v>
      </c>
      <c r="D107" s="394"/>
      <c r="E107" s="28">
        <v>94</v>
      </c>
      <c r="G107" s="65">
        <v>19</v>
      </c>
      <c r="J107" s="72">
        <v>19</v>
      </c>
      <c r="K107" s="46">
        <f t="shared" si="31"/>
        <v>100</v>
      </c>
      <c r="L107" s="46">
        <f t="shared" si="32"/>
        <v>0</v>
      </c>
      <c r="M107" s="46">
        <f t="shared" si="33"/>
        <v>0</v>
      </c>
      <c r="N107" s="67">
        <f t="shared" si="26"/>
        <v>100</v>
      </c>
      <c r="O107" s="45">
        <v>36.6</v>
      </c>
      <c r="P107" s="46"/>
      <c r="Q107" s="46"/>
      <c r="R107" s="47">
        <f t="shared" si="27"/>
        <v>36.6</v>
      </c>
      <c r="S107" s="28">
        <v>5</v>
      </c>
      <c r="T107" s="284"/>
      <c r="U107" s="293"/>
      <c r="V107" s="37" t="s">
        <v>72</v>
      </c>
      <c r="W107" s="28" t="s">
        <v>87</v>
      </c>
      <c r="X107" s="28" t="s">
        <v>11</v>
      </c>
      <c r="Y107" s="38">
        <v>26.3</v>
      </c>
      <c r="Z107" s="28" t="s">
        <v>104</v>
      </c>
      <c r="AA107" s="28" t="s">
        <v>74</v>
      </c>
      <c r="AB107" s="28" t="s">
        <v>11</v>
      </c>
      <c r="AC107" s="28">
        <v>10.3</v>
      </c>
      <c r="AD107" s="37"/>
      <c r="AG107" s="38"/>
      <c r="AL107" s="37"/>
      <c r="AO107" s="38"/>
      <c r="AP107" s="37"/>
      <c r="AS107" s="38"/>
      <c r="AW107" s="38"/>
      <c r="BA107" s="39"/>
    </row>
    <row r="108" spans="1:53" s="170" customFormat="1" x14ac:dyDescent="0.15">
      <c r="A108" s="170">
        <v>2009</v>
      </c>
      <c r="B108" s="281">
        <v>39908</v>
      </c>
      <c r="C108" s="395" t="s">
        <v>272</v>
      </c>
      <c r="D108" s="395"/>
      <c r="E108" s="170">
        <v>271</v>
      </c>
      <c r="F108" s="170">
        <v>2</v>
      </c>
      <c r="G108" s="232">
        <v>19</v>
      </c>
      <c r="J108" s="240">
        <v>19</v>
      </c>
      <c r="K108" s="213">
        <f t="shared" si="31"/>
        <v>100</v>
      </c>
      <c r="L108" s="213">
        <f t="shared" si="32"/>
        <v>0</v>
      </c>
      <c r="M108" s="213">
        <f t="shared" si="33"/>
        <v>0</v>
      </c>
      <c r="N108" s="234">
        <f t="shared" si="26"/>
        <v>100</v>
      </c>
      <c r="O108" s="212">
        <v>36.6</v>
      </c>
      <c r="P108" s="213"/>
      <c r="Q108" s="213"/>
      <c r="R108" s="214">
        <f t="shared" si="27"/>
        <v>36.6</v>
      </c>
      <c r="S108" s="170">
        <v>5</v>
      </c>
      <c r="T108" s="283"/>
      <c r="U108" s="281">
        <v>39908</v>
      </c>
      <c r="V108" s="177" t="s">
        <v>72</v>
      </c>
      <c r="W108" s="170" t="s">
        <v>87</v>
      </c>
      <c r="X108" s="170" t="s">
        <v>11</v>
      </c>
      <c r="Y108" s="178">
        <v>26.3</v>
      </c>
      <c r="Z108" s="170" t="s">
        <v>104</v>
      </c>
      <c r="AA108" s="170" t="s">
        <v>74</v>
      </c>
      <c r="AB108" s="170" t="s">
        <v>11</v>
      </c>
      <c r="AC108" s="170">
        <v>10.3</v>
      </c>
      <c r="AD108" s="177"/>
      <c r="AG108" s="178"/>
      <c r="AL108" s="177"/>
      <c r="AO108" s="178"/>
      <c r="AP108" s="177"/>
      <c r="AS108" s="178"/>
      <c r="AW108" s="178"/>
      <c r="BA108" s="179"/>
    </row>
    <row r="109" spans="1:53" s="170" customFormat="1" x14ac:dyDescent="0.15">
      <c r="A109" s="170">
        <v>2010</v>
      </c>
      <c r="B109" s="281"/>
      <c r="C109" s="395" t="s">
        <v>272</v>
      </c>
      <c r="D109" s="395"/>
      <c r="E109" s="170">
        <v>0</v>
      </c>
      <c r="G109" s="232">
        <v>19</v>
      </c>
      <c r="J109" s="240">
        <v>19</v>
      </c>
      <c r="K109" s="213">
        <f t="shared" si="31"/>
        <v>100</v>
      </c>
      <c r="L109" s="213">
        <f t="shared" si="32"/>
        <v>0</v>
      </c>
      <c r="M109" s="213">
        <f t="shared" si="33"/>
        <v>0</v>
      </c>
      <c r="N109" s="234">
        <f t="shared" si="26"/>
        <v>100</v>
      </c>
      <c r="O109" s="212">
        <v>36.6</v>
      </c>
      <c r="P109" s="213"/>
      <c r="Q109" s="213"/>
      <c r="R109" s="214">
        <f t="shared" si="27"/>
        <v>36.6</v>
      </c>
      <c r="S109" s="170">
        <v>5</v>
      </c>
      <c r="T109" s="283"/>
      <c r="U109" s="281"/>
      <c r="V109" s="177" t="s">
        <v>72</v>
      </c>
      <c r="W109" s="170" t="s">
        <v>87</v>
      </c>
      <c r="X109" s="170" t="s">
        <v>11</v>
      </c>
      <c r="Y109" s="178">
        <v>26.3</v>
      </c>
      <c r="Z109" s="170" t="s">
        <v>104</v>
      </c>
      <c r="AA109" s="170" t="s">
        <v>74</v>
      </c>
      <c r="AB109" s="170" t="s">
        <v>11</v>
      </c>
      <c r="AC109" s="170">
        <v>10.3</v>
      </c>
      <c r="AD109" s="177"/>
      <c r="AG109" s="178"/>
      <c r="AL109" s="177"/>
      <c r="AO109" s="178"/>
      <c r="AP109" s="177"/>
      <c r="AS109" s="178"/>
      <c r="AW109" s="178"/>
      <c r="BA109" s="179"/>
    </row>
    <row r="110" spans="1:53" s="170" customFormat="1" x14ac:dyDescent="0.15">
      <c r="A110" s="170">
        <v>2010</v>
      </c>
      <c r="B110" s="281"/>
      <c r="C110" s="395" t="s">
        <v>272</v>
      </c>
      <c r="D110" s="395"/>
      <c r="E110" s="170">
        <v>365</v>
      </c>
      <c r="G110" s="232">
        <v>19</v>
      </c>
      <c r="J110" s="240">
        <v>19</v>
      </c>
      <c r="K110" s="213">
        <f t="shared" si="31"/>
        <v>100</v>
      </c>
      <c r="L110" s="213">
        <f t="shared" si="32"/>
        <v>0</v>
      </c>
      <c r="M110" s="213">
        <f t="shared" si="33"/>
        <v>0</v>
      </c>
      <c r="N110" s="234">
        <f t="shared" si="26"/>
        <v>100</v>
      </c>
      <c r="O110" s="212">
        <v>36.6</v>
      </c>
      <c r="P110" s="213"/>
      <c r="Q110" s="213"/>
      <c r="R110" s="214">
        <f t="shared" si="27"/>
        <v>36.6</v>
      </c>
      <c r="S110" s="170">
        <v>5</v>
      </c>
      <c r="T110" s="283"/>
      <c r="U110" s="281"/>
      <c r="V110" s="177" t="s">
        <v>72</v>
      </c>
      <c r="W110" s="170" t="s">
        <v>87</v>
      </c>
      <c r="X110" s="170" t="s">
        <v>11</v>
      </c>
      <c r="Y110" s="178">
        <v>26.3</v>
      </c>
      <c r="Z110" s="170" t="s">
        <v>104</v>
      </c>
      <c r="AA110" s="170" t="s">
        <v>74</v>
      </c>
      <c r="AB110" s="170" t="s">
        <v>11</v>
      </c>
      <c r="AC110" s="170">
        <v>10.3</v>
      </c>
      <c r="AD110" s="177"/>
      <c r="AG110" s="178"/>
      <c r="AL110" s="177"/>
      <c r="AO110" s="178"/>
      <c r="AP110" s="177"/>
      <c r="AS110" s="178"/>
      <c r="AW110" s="178"/>
      <c r="BA110" s="179"/>
    </row>
    <row r="111" spans="1:53" s="170" customFormat="1" x14ac:dyDescent="0.15">
      <c r="A111" s="170">
        <v>2011</v>
      </c>
      <c r="B111" s="281"/>
      <c r="C111" s="395" t="s">
        <v>272</v>
      </c>
      <c r="D111" s="395"/>
      <c r="E111" s="170">
        <v>275</v>
      </c>
      <c r="G111" s="232">
        <v>19</v>
      </c>
      <c r="J111" s="240">
        <v>19</v>
      </c>
      <c r="K111" s="213">
        <f t="shared" ref="K111:K116" si="34">G111/J111*100</f>
        <v>100</v>
      </c>
      <c r="L111" s="213">
        <f t="shared" ref="L111:L116" si="35">H111/J111*100</f>
        <v>0</v>
      </c>
      <c r="M111" s="213">
        <f t="shared" ref="M111:M116" si="36">I111/J111*100</f>
        <v>0</v>
      </c>
      <c r="N111" s="234">
        <f t="shared" si="26"/>
        <v>100</v>
      </c>
      <c r="O111" s="212">
        <v>36.6</v>
      </c>
      <c r="P111" s="213"/>
      <c r="Q111" s="213"/>
      <c r="R111" s="214">
        <f t="shared" si="27"/>
        <v>36.6</v>
      </c>
      <c r="S111" s="170">
        <v>5</v>
      </c>
      <c r="T111" s="283"/>
      <c r="U111" s="281"/>
      <c r="V111" s="177" t="s">
        <v>72</v>
      </c>
      <c r="W111" s="170" t="s">
        <v>87</v>
      </c>
      <c r="X111" s="170" t="s">
        <v>11</v>
      </c>
      <c r="Y111" s="178">
        <v>26.3</v>
      </c>
      <c r="Z111" s="170" t="s">
        <v>104</v>
      </c>
      <c r="AA111" s="170" t="s">
        <v>74</v>
      </c>
      <c r="AB111" s="170" t="s">
        <v>11</v>
      </c>
      <c r="AC111" s="170">
        <v>10.3</v>
      </c>
      <c r="AD111" s="177"/>
      <c r="AG111" s="178"/>
      <c r="AL111" s="177"/>
      <c r="AO111" s="178"/>
      <c r="AP111" s="177"/>
      <c r="AS111" s="178"/>
      <c r="AW111" s="178"/>
      <c r="BA111" s="179"/>
    </row>
    <row r="112" spans="1:53" s="28" customFormat="1" x14ac:dyDescent="0.15">
      <c r="A112" s="28">
        <v>2011</v>
      </c>
      <c r="B112" s="293">
        <v>40819</v>
      </c>
      <c r="C112" s="394" t="s">
        <v>273</v>
      </c>
      <c r="D112" s="394"/>
      <c r="E112" s="28">
        <v>90</v>
      </c>
      <c r="F112" s="28">
        <v>1</v>
      </c>
      <c r="G112" s="65">
        <v>6</v>
      </c>
      <c r="I112" s="28">
        <v>17</v>
      </c>
      <c r="J112" s="72">
        <v>23</v>
      </c>
      <c r="K112" s="46">
        <f t="shared" si="34"/>
        <v>26.086956521739129</v>
      </c>
      <c r="L112" s="46">
        <f t="shared" si="35"/>
        <v>0</v>
      </c>
      <c r="M112" s="46">
        <f t="shared" si="36"/>
        <v>73.91304347826086</v>
      </c>
      <c r="N112" s="67">
        <f t="shared" si="26"/>
        <v>99.999999999999986</v>
      </c>
      <c r="O112" s="45">
        <v>9.6999999999999993</v>
      </c>
      <c r="P112" s="46"/>
      <c r="Q112" s="46">
        <v>34.200000000000003</v>
      </c>
      <c r="R112" s="47">
        <f t="shared" si="27"/>
        <v>43.900000000000006</v>
      </c>
      <c r="S112" s="28">
        <v>5</v>
      </c>
      <c r="T112" s="284">
        <v>40801</v>
      </c>
      <c r="U112" s="293">
        <v>40819</v>
      </c>
      <c r="V112" s="37" t="s">
        <v>101</v>
      </c>
      <c r="W112" s="28" t="s">
        <v>20</v>
      </c>
      <c r="X112" s="28" t="s">
        <v>12</v>
      </c>
      <c r="Y112" s="38">
        <v>25.1</v>
      </c>
      <c r="Z112" s="28" t="s">
        <v>102</v>
      </c>
      <c r="AA112" s="28" t="s">
        <v>22</v>
      </c>
      <c r="AB112" s="28" t="s">
        <v>11</v>
      </c>
      <c r="AC112" s="28">
        <v>9.6999999999999993</v>
      </c>
      <c r="AD112" s="37" t="s">
        <v>274</v>
      </c>
      <c r="AE112" s="28" t="s">
        <v>115</v>
      </c>
      <c r="AF112" s="28" t="s">
        <v>12</v>
      </c>
      <c r="AG112" s="38">
        <v>9.1</v>
      </c>
      <c r="AL112" s="37"/>
      <c r="AO112" s="38"/>
      <c r="AP112" s="37"/>
      <c r="AS112" s="38"/>
      <c r="AW112" s="38"/>
      <c r="BA112" s="39"/>
    </row>
    <row r="113" spans="1:53" s="28" customFormat="1" x14ac:dyDescent="0.15">
      <c r="A113" s="28">
        <v>2012</v>
      </c>
      <c r="B113" s="293"/>
      <c r="C113" s="394" t="s">
        <v>273</v>
      </c>
      <c r="D113" s="394"/>
      <c r="E113" s="28">
        <v>0</v>
      </c>
      <c r="G113" s="65">
        <v>6</v>
      </c>
      <c r="I113" s="28">
        <v>17</v>
      </c>
      <c r="J113" s="72">
        <v>23</v>
      </c>
      <c r="K113" s="46">
        <f t="shared" si="34"/>
        <v>26.086956521739129</v>
      </c>
      <c r="L113" s="46">
        <f t="shared" si="35"/>
        <v>0</v>
      </c>
      <c r="M113" s="46">
        <f t="shared" si="36"/>
        <v>73.91304347826086</v>
      </c>
      <c r="N113" s="67">
        <f t="shared" si="26"/>
        <v>99.999999999999986</v>
      </c>
      <c r="O113" s="45">
        <v>9.6999999999999993</v>
      </c>
      <c r="P113" s="46"/>
      <c r="Q113" s="46">
        <v>34.200000000000003</v>
      </c>
      <c r="R113" s="47">
        <f t="shared" si="27"/>
        <v>43.900000000000006</v>
      </c>
      <c r="S113" s="28">
        <v>5</v>
      </c>
      <c r="T113" s="284"/>
      <c r="U113" s="293"/>
      <c r="V113" s="37" t="s">
        <v>101</v>
      </c>
      <c r="W113" s="28" t="s">
        <v>20</v>
      </c>
      <c r="X113" s="28" t="s">
        <v>12</v>
      </c>
      <c r="Y113" s="38">
        <v>25.1</v>
      </c>
      <c r="Z113" s="28" t="s">
        <v>102</v>
      </c>
      <c r="AA113" s="28" t="s">
        <v>22</v>
      </c>
      <c r="AB113" s="28" t="s">
        <v>11</v>
      </c>
      <c r="AC113" s="28">
        <v>9.6999999999999993</v>
      </c>
      <c r="AD113" s="37" t="s">
        <v>274</v>
      </c>
      <c r="AE113" s="28" t="s">
        <v>115</v>
      </c>
      <c r="AF113" s="28" t="s">
        <v>12</v>
      </c>
      <c r="AG113" s="38">
        <v>9.1</v>
      </c>
      <c r="AL113" s="37"/>
      <c r="AO113" s="38"/>
      <c r="AP113" s="37"/>
      <c r="AS113" s="38"/>
      <c r="AW113" s="38"/>
      <c r="BA113" s="39"/>
    </row>
    <row r="114" spans="1:53" s="28" customFormat="1" x14ac:dyDescent="0.15">
      <c r="A114" s="28">
        <v>2012</v>
      </c>
      <c r="B114" s="293"/>
      <c r="C114" s="394" t="s">
        <v>273</v>
      </c>
      <c r="D114" s="394"/>
      <c r="E114" s="28">
        <v>366</v>
      </c>
      <c r="G114" s="65">
        <v>6</v>
      </c>
      <c r="I114" s="28">
        <v>17</v>
      </c>
      <c r="J114" s="72">
        <v>23</v>
      </c>
      <c r="K114" s="46">
        <f t="shared" si="34"/>
        <v>26.086956521739129</v>
      </c>
      <c r="L114" s="46">
        <f t="shared" si="35"/>
        <v>0</v>
      </c>
      <c r="M114" s="46">
        <f t="shared" si="36"/>
        <v>73.91304347826086</v>
      </c>
      <c r="N114" s="67">
        <f t="shared" si="26"/>
        <v>99.999999999999986</v>
      </c>
      <c r="O114" s="45">
        <v>9.6999999999999993</v>
      </c>
      <c r="P114" s="46"/>
      <c r="Q114" s="46">
        <v>34.200000000000003</v>
      </c>
      <c r="R114" s="47">
        <f t="shared" si="27"/>
        <v>43.900000000000006</v>
      </c>
      <c r="S114" s="28">
        <v>5</v>
      </c>
      <c r="T114" s="284"/>
      <c r="U114" s="293"/>
      <c r="V114" s="37" t="s">
        <v>101</v>
      </c>
      <c r="W114" s="28" t="s">
        <v>20</v>
      </c>
      <c r="X114" s="28" t="s">
        <v>12</v>
      </c>
      <c r="Y114" s="38">
        <v>25.1</v>
      </c>
      <c r="Z114" s="28" t="s">
        <v>102</v>
      </c>
      <c r="AA114" s="28" t="s">
        <v>22</v>
      </c>
      <c r="AB114" s="28" t="s">
        <v>11</v>
      </c>
      <c r="AC114" s="28">
        <v>9.6999999999999993</v>
      </c>
      <c r="AD114" s="37" t="s">
        <v>274</v>
      </c>
      <c r="AE114" s="28" t="s">
        <v>115</v>
      </c>
      <c r="AF114" s="28" t="s">
        <v>12</v>
      </c>
      <c r="AG114" s="38">
        <v>9.1</v>
      </c>
      <c r="AL114" s="37"/>
      <c r="AO114" s="38"/>
      <c r="AP114" s="37"/>
      <c r="AS114" s="38"/>
      <c r="AW114" s="38"/>
      <c r="BA114" s="39"/>
    </row>
    <row r="115" spans="1:53" s="28" customFormat="1" x14ac:dyDescent="0.15">
      <c r="A115" s="28">
        <v>2013</v>
      </c>
      <c r="B115" s="293"/>
      <c r="C115" s="394" t="s">
        <v>273</v>
      </c>
      <c r="D115" s="394"/>
      <c r="E115" s="28">
        <v>220</v>
      </c>
      <c r="G115" s="65">
        <v>6</v>
      </c>
      <c r="I115" s="28">
        <v>17</v>
      </c>
      <c r="J115" s="72">
        <v>23</v>
      </c>
      <c r="K115" s="46">
        <f t="shared" si="34"/>
        <v>26.086956521739129</v>
      </c>
      <c r="L115" s="46">
        <f t="shared" si="35"/>
        <v>0</v>
      </c>
      <c r="M115" s="46">
        <f t="shared" si="36"/>
        <v>73.91304347826086</v>
      </c>
      <c r="N115" s="67">
        <f t="shared" si="26"/>
        <v>99.999999999999986</v>
      </c>
      <c r="O115" s="45">
        <v>9.6999999999999993</v>
      </c>
      <c r="P115" s="46"/>
      <c r="Q115" s="46">
        <v>34.200000000000003</v>
      </c>
      <c r="R115" s="47">
        <f t="shared" si="27"/>
        <v>43.900000000000006</v>
      </c>
      <c r="S115" s="28">
        <v>5</v>
      </c>
      <c r="T115" s="284"/>
      <c r="U115" s="293"/>
      <c r="V115" s="37" t="s">
        <v>101</v>
      </c>
      <c r="W115" s="28" t="s">
        <v>20</v>
      </c>
      <c r="X115" s="28" t="s">
        <v>12</v>
      </c>
      <c r="Y115" s="38">
        <v>25.1</v>
      </c>
      <c r="Z115" s="28" t="s">
        <v>102</v>
      </c>
      <c r="AA115" s="28" t="s">
        <v>22</v>
      </c>
      <c r="AB115" s="28" t="s">
        <v>11</v>
      </c>
      <c r="AC115" s="28">
        <v>9.6999999999999993</v>
      </c>
      <c r="AD115" s="37" t="s">
        <v>274</v>
      </c>
      <c r="AE115" s="28" t="s">
        <v>115</v>
      </c>
      <c r="AF115" s="28" t="s">
        <v>12</v>
      </c>
      <c r="AG115" s="38">
        <v>9.1</v>
      </c>
      <c r="AL115" s="37"/>
      <c r="AO115" s="38"/>
      <c r="AP115" s="37"/>
      <c r="AS115" s="38"/>
      <c r="AW115" s="38"/>
      <c r="BA115" s="39"/>
    </row>
    <row r="116" spans="1:53" s="28" customFormat="1" x14ac:dyDescent="0.15">
      <c r="A116" s="28">
        <v>2013</v>
      </c>
      <c r="B116" s="301">
        <v>41495</v>
      </c>
      <c r="C116" s="394" t="s">
        <v>273</v>
      </c>
      <c r="D116" s="394"/>
      <c r="E116" s="28">
        <f>365-E115</f>
        <v>145</v>
      </c>
      <c r="F116" s="83">
        <v>0</v>
      </c>
      <c r="G116" s="65">
        <v>6</v>
      </c>
      <c r="I116" s="28">
        <v>16</v>
      </c>
      <c r="J116" s="72">
        <v>22</v>
      </c>
      <c r="K116" s="46">
        <f t="shared" si="34"/>
        <v>27.27272727272727</v>
      </c>
      <c r="L116" s="46">
        <f t="shared" si="35"/>
        <v>0</v>
      </c>
      <c r="M116" s="46">
        <f t="shared" si="36"/>
        <v>72.727272727272734</v>
      </c>
      <c r="N116" s="67">
        <f t="shared" si="26"/>
        <v>100</v>
      </c>
      <c r="O116" s="45">
        <v>9.6999999999999993</v>
      </c>
      <c r="P116" s="46"/>
      <c r="Q116" s="46">
        <v>34.200000000000003</v>
      </c>
      <c r="R116" s="47">
        <f t="shared" si="27"/>
        <v>43.900000000000006</v>
      </c>
      <c r="S116" s="28">
        <v>5</v>
      </c>
      <c r="T116" s="284"/>
      <c r="U116" s="293"/>
      <c r="V116" s="37" t="s">
        <v>101</v>
      </c>
      <c r="W116" s="28" t="s">
        <v>20</v>
      </c>
      <c r="X116" s="28" t="s">
        <v>12</v>
      </c>
      <c r="Y116" s="38">
        <v>25.1</v>
      </c>
      <c r="Z116" s="28" t="s">
        <v>102</v>
      </c>
      <c r="AA116" s="28" t="s">
        <v>22</v>
      </c>
      <c r="AB116" s="28" t="s">
        <v>11</v>
      </c>
      <c r="AC116" s="28">
        <v>9.6999999999999993</v>
      </c>
      <c r="AD116" s="37" t="s">
        <v>274</v>
      </c>
      <c r="AE116" s="28" t="s">
        <v>115</v>
      </c>
      <c r="AF116" s="28" t="s">
        <v>12</v>
      </c>
      <c r="AG116" s="38">
        <v>9.1</v>
      </c>
      <c r="AL116" s="37"/>
      <c r="AO116" s="38"/>
      <c r="AP116" s="37"/>
      <c r="AS116" s="38"/>
      <c r="AW116" s="38"/>
      <c r="BA116" s="39"/>
    </row>
    <row r="117" spans="1:53" s="28" customFormat="1" x14ac:dyDescent="0.15">
      <c r="A117" s="28">
        <v>2014</v>
      </c>
      <c r="B117" s="301"/>
      <c r="C117" s="394" t="s">
        <v>273</v>
      </c>
      <c r="D117" s="394"/>
      <c r="E117" s="28">
        <v>33</v>
      </c>
      <c r="F117" s="83"/>
      <c r="G117" s="65">
        <v>6</v>
      </c>
      <c r="I117" s="28">
        <v>16</v>
      </c>
      <c r="J117" s="72">
        <v>22</v>
      </c>
      <c r="K117" s="46">
        <f>G117/J117*100</f>
        <v>27.27272727272727</v>
      </c>
      <c r="L117" s="46">
        <f>H117/J117*100</f>
        <v>0</v>
      </c>
      <c r="M117" s="46">
        <f>I117/J117*100</f>
        <v>72.727272727272734</v>
      </c>
      <c r="N117" s="67">
        <f>SUM(K117:M117)</f>
        <v>100</v>
      </c>
      <c r="O117" s="45">
        <v>9.6999999999999993</v>
      </c>
      <c r="P117" s="46"/>
      <c r="Q117" s="46">
        <v>34.200000000000003</v>
      </c>
      <c r="R117" s="47">
        <f t="shared" ref="R117:R123" si="37">SUM(O117:Q117)</f>
        <v>43.900000000000006</v>
      </c>
      <c r="S117" s="28">
        <v>5</v>
      </c>
      <c r="T117" s="284"/>
      <c r="U117" s="293"/>
      <c r="V117" s="37" t="s">
        <v>101</v>
      </c>
      <c r="W117" s="28" t="s">
        <v>20</v>
      </c>
      <c r="X117" s="28" t="s">
        <v>12</v>
      </c>
      <c r="Y117" s="38">
        <v>25.1</v>
      </c>
      <c r="Z117" s="28" t="s">
        <v>102</v>
      </c>
      <c r="AA117" s="28" t="s">
        <v>22</v>
      </c>
      <c r="AB117" s="28" t="s">
        <v>11</v>
      </c>
      <c r="AC117" s="28">
        <v>9.6999999999999993</v>
      </c>
      <c r="AD117" s="37" t="s">
        <v>274</v>
      </c>
      <c r="AE117" s="28" t="s">
        <v>115</v>
      </c>
      <c r="AF117" s="28" t="s">
        <v>12</v>
      </c>
      <c r="AG117" s="38">
        <v>9.1</v>
      </c>
      <c r="AL117" s="37"/>
      <c r="AO117" s="38"/>
      <c r="AP117" s="37"/>
      <c r="AS117" s="38"/>
      <c r="AW117" s="38"/>
      <c r="BA117" s="39"/>
    </row>
    <row r="118" spans="1:53" s="170" customFormat="1" x14ac:dyDescent="0.15">
      <c r="A118" s="170">
        <v>2014</v>
      </c>
      <c r="B118" s="281">
        <v>41673</v>
      </c>
      <c r="C118" s="395" t="s">
        <v>1283</v>
      </c>
      <c r="D118" s="395"/>
      <c r="E118" s="170">
        <v>211</v>
      </c>
      <c r="F118" s="170">
        <v>4</v>
      </c>
      <c r="G118" s="232">
        <v>7</v>
      </c>
      <c r="I118" s="170">
        <v>13</v>
      </c>
      <c r="J118" s="240">
        <v>20</v>
      </c>
      <c r="K118" s="213">
        <f>G118/J118*100</f>
        <v>35</v>
      </c>
      <c r="L118" s="213">
        <f>H118/J118*100</f>
        <v>0</v>
      </c>
      <c r="M118" s="213">
        <f>I118/J118*100</f>
        <v>65</v>
      </c>
      <c r="N118" s="234">
        <f>SUM(K118:M118)</f>
        <v>100</v>
      </c>
      <c r="O118" s="212">
        <v>9.1</v>
      </c>
      <c r="P118" s="213"/>
      <c r="Q118" s="213">
        <v>26.9</v>
      </c>
      <c r="R118" s="214">
        <f t="shared" si="37"/>
        <v>36</v>
      </c>
      <c r="S118" s="170">
        <v>5</v>
      </c>
      <c r="T118" s="283"/>
      <c r="U118" s="281">
        <v>41673</v>
      </c>
      <c r="V118" s="177" t="s">
        <v>101</v>
      </c>
      <c r="W118" s="170" t="s">
        <v>20</v>
      </c>
      <c r="X118" s="170" t="s">
        <v>12</v>
      </c>
      <c r="Y118" s="178">
        <v>26.9</v>
      </c>
      <c r="Z118" s="170" t="s">
        <v>102</v>
      </c>
      <c r="AA118" s="170" t="s">
        <v>22</v>
      </c>
      <c r="AB118" s="170" t="s">
        <v>11</v>
      </c>
      <c r="AC118" s="170">
        <v>9.1</v>
      </c>
      <c r="AD118" s="177"/>
      <c r="AG118" s="178"/>
      <c r="AL118" s="177"/>
      <c r="AO118" s="178"/>
      <c r="AP118" s="177"/>
      <c r="AS118" s="178"/>
      <c r="AW118" s="178"/>
      <c r="BA118" s="179"/>
    </row>
    <row r="119" spans="1:53" s="170" customFormat="1" x14ac:dyDescent="0.15">
      <c r="A119" s="170">
        <v>2014</v>
      </c>
      <c r="B119" s="303">
        <v>41884</v>
      </c>
      <c r="C119" s="395" t="s">
        <v>1283</v>
      </c>
      <c r="D119" s="395"/>
      <c r="E119" s="170">
        <v>121</v>
      </c>
      <c r="F119" s="243">
        <v>0</v>
      </c>
      <c r="G119" s="232">
        <v>6</v>
      </c>
      <c r="I119" s="170">
        <v>14</v>
      </c>
      <c r="J119" s="240">
        <v>20</v>
      </c>
      <c r="K119" s="213">
        <f>G119/J119*100</f>
        <v>30</v>
      </c>
      <c r="L119" s="213">
        <f>H119/J119*100</f>
        <v>0</v>
      </c>
      <c r="M119" s="213">
        <f>I119/J119*100</f>
        <v>70</v>
      </c>
      <c r="N119" s="234">
        <f>SUM(K119:M119)</f>
        <v>100</v>
      </c>
      <c r="O119" s="212">
        <v>9.1</v>
      </c>
      <c r="P119" s="213"/>
      <c r="Q119" s="213">
        <v>26.9</v>
      </c>
      <c r="R119" s="214">
        <f t="shared" si="37"/>
        <v>36</v>
      </c>
      <c r="S119" s="170">
        <v>5</v>
      </c>
      <c r="T119" s="283"/>
      <c r="U119" s="281"/>
      <c r="V119" s="177" t="s">
        <v>101</v>
      </c>
      <c r="W119" s="170" t="s">
        <v>20</v>
      </c>
      <c r="X119" s="170" t="s">
        <v>12</v>
      </c>
      <c r="Y119" s="178">
        <v>26.9</v>
      </c>
      <c r="Z119" s="170" t="s">
        <v>102</v>
      </c>
      <c r="AA119" s="170" t="s">
        <v>22</v>
      </c>
      <c r="AB119" s="170" t="s">
        <v>11</v>
      </c>
      <c r="AC119" s="170">
        <v>9.1</v>
      </c>
      <c r="AD119" s="177"/>
      <c r="AG119" s="178"/>
      <c r="AL119" s="177"/>
      <c r="AO119" s="178"/>
      <c r="AP119" s="177"/>
      <c r="AS119" s="178"/>
      <c r="AW119" s="178"/>
      <c r="BA119" s="179"/>
    </row>
    <row r="120" spans="1:53" s="170" customFormat="1" x14ac:dyDescent="0.15">
      <c r="A120" s="170">
        <v>2015</v>
      </c>
      <c r="B120" s="303"/>
      <c r="C120" s="395" t="s">
        <v>1283</v>
      </c>
      <c r="D120" s="395"/>
      <c r="E120" s="170">
        <v>178</v>
      </c>
      <c r="F120" s="243"/>
      <c r="G120" s="232">
        <v>6</v>
      </c>
      <c r="I120" s="170">
        <v>14</v>
      </c>
      <c r="J120" s="240">
        <v>20</v>
      </c>
      <c r="K120" s="213">
        <f t="shared" ref="K120:K123" si="38">G120/J120*100</f>
        <v>30</v>
      </c>
      <c r="L120" s="213">
        <f t="shared" ref="L120:L123" si="39">H120/J120*100</f>
        <v>0</v>
      </c>
      <c r="M120" s="213">
        <f t="shared" ref="M120:M123" si="40">I120/J120*100</f>
        <v>70</v>
      </c>
      <c r="N120" s="234">
        <f t="shared" ref="N120:N123" si="41">SUM(K120:M120)</f>
        <v>100</v>
      </c>
      <c r="O120" s="212">
        <v>9.1</v>
      </c>
      <c r="P120" s="213"/>
      <c r="Q120" s="213">
        <v>26.9</v>
      </c>
      <c r="R120" s="214">
        <f t="shared" si="37"/>
        <v>36</v>
      </c>
      <c r="S120" s="170">
        <v>5</v>
      </c>
      <c r="T120" s="283"/>
      <c r="U120" s="281"/>
      <c r="V120" s="177" t="s">
        <v>101</v>
      </c>
      <c r="W120" s="170" t="s">
        <v>20</v>
      </c>
      <c r="X120" s="170" t="s">
        <v>12</v>
      </c>
      <c r="Y120" s="178">
        <v>26.9</v>
      </c>
      <c r="Z120" s="170" t="s">
        <v>102</v>
      </c>
      <c r="AA120" s="170" t="s">
        <v>22</v>
      </c>
      <c r="AB120" s="170" t="s">
        <v>11</v>
      </c>
      <c r="AC120" s="170">
        <v>9.1</v>
      </c>
      <c r="AD120" s="177"/>
      <c r="AG120" s="178"/>
      <c r="AL120" s="177"/>
      <c r="AO120" s="178"/>
      <c r="AP120" s="177"/>
      <c r="AS120" s="178"/>
      <c r="AW120" s="178"/>
      <c r="BA120" s="179"/>
    </row>
    <row r="121" spans="1:53" s="28" customFormat="1" x14ac:dyDescent="0.15">
      <c r="A121" s="28">
        <v>2015</v>
      </c>
      <c r="B121" s="293">
        <v>42183</v>
      </c>
      <c r="C121" s="394" t="s">
        <v>1313</v>
      </c>
      <c r="D121" s="394"/>
      <c r="E121" s="28">
        <v>187</v>
      </c>
      <c r="F121" s="28">
        <v>1</v>
      </c>
      <c r="G121" s="65">
        <v>17</v>
      </c>
      <c r="J121" s="72">
        <v>17</v>
      </c>
      <c r="K121" s="46">
        <f t="shared" si="38"/>
        <v>100</v>
      </c>
      <c r="L121" s="46">
        <f t="shared" si="39"/>
        <v>0</v>
      </c>
      <c r="M121" s="46">
        <f t="shared" si="40"/>
        <v>0</v>
      </c>
      <c r="N121" s="67">
        <f t="shared" si="41"/>
        <v>100</v>
      </c>
      <c r="O121" s="45">
        <v>19.399999999999999</v>
      </c>
      <c r="P121" s="46"/>
      <c r="Q121" s="46"/>
      <c r="R121" s="47">
        <f t="shared" si="37"/>
        <v>19.399999999999999</v>
      </c>
      <c r="S121" s="28">
        <v>4</v>
      </c>
      <c r="T121" s="284">
        <v>42173</v>
      </c>
      <c r="U121" s="293">
        <v>42183</v>
      </c>
      <c r="V121" s="37" t="s">
        <v>72</v>
      </c>
      <c r="W121" s="28" t="s">
        <v>87</v>
      </c>
      <c r="X121" s="28" t="s">
        <v>11</v>
      </c>
      <c r="Y121" s="38">
        <v>19.399999999999999</v>
      </c>
      <c r="AC121" s="38"/>
      <c r="AG121" s="38"/>
      <c r="AL121" s="37"/>
      <c r="AO121" s="38"/>
      <c r="AP121" s="37"/>
      <c r="AS121" s="38"/>
      <c r="AW121" s="38"/>
      <c r="BA121" s="39"/>
    </row>
    <row r="122" spans="1:53" s="28" customFormat="1" x14ac:dyDescent="0.15">
      <c r="A122" s="28">
        <v>2016</v>
      </c>
      <c r="B122" s="293"/>
      <c r="C122" s="394" t="s">
        <v>1313</v>
      </c>
      <c r="D122" s="394"/>
      <c r="E122" s="28">
        <v>332</v>
      </c>
      <c r="G122" s="65">
        <v>17</v>
      </c>
      <c r="J122" s="72">
        <v>17</v>
      </c>
      <c r="K122" s="46">
        <f t="shared" si="38"/>
        <v>100</v>
      </c>
      <c r="L122" s="46">
        <f t="shared" si="39"/>
        <v>0</v>
      </c>
      <c r="M122" s="46">
        <f t="shared" si="40"/>
        <v>0</v>
      </c>
      <c r="N122" s="67">
        <f t="shared" si="41"/>
        <v>100</v>
      </c>
      <c r="O122" s="45">
        <v>19.399999999999999</v>
      </c>
      <c r="P122" s="46"/>
      <c r="Q122" s="46"/>
      <c r="R122" s="47">
        <f t="shared" si="37"/>
        <v>19.399999999999999</v>
      </c>
      <c r="S122" s="28">
        <v>4</v>
      </c>
      <c r="T122" s="284"/>
      <c r="U122" s="293"/>
      <c r="V122" s="37" t="s">
        <v>72</v>
      </c>
      <c r="W122" s="28" t="s">
        <v>87</v>
      </c>
      <c r="X122" s="28" t="s">
        <v>11</v>
      </c>
      <c r="Y122" s="38">
        <v>19.399999999999999</v>
      </c>
      <c r="AD122" s="37"/>
      <c r="AG122" s="38"/>
      <c r="AL122" s="37"/>
      <c r="AO122" s="38"/>
      <c r="AP122" s="37"/>
      <c r="AS122" s="38"/>
      <c r="AW122" s="38"/>
      <c r="BA122" s="39"/>
    </row>
    <row r="123" spans="1:53" s="170" customFormat="1" x14ac:dyDescent="0.15">
      <c r="A123" s="170">
        <v>2016</v>
      </c>
      <c r="B123" s="281">
        <v>42702</v>
      </c>
      <c r="C123" s="395" t="s">
        <v>1336</v>
      </c>
      <c r="D123" s="395"/>
      <c r="E123" s="170">
        <v>34</v>
      </c>
      <c r="F123" s="170">
        <v>7</v>
      </c>
      <c r="G123" s="232">
        <v>22</v>
      </c>
      <c r="J123" s="240">
        <v>22</v>
      </c>
      <c r="K123" s="213">
        <f t="shared" si="38"/>
        <v>100</v>
      </c>
      <c r="L123" s="213">
        <f t="shared" si="39"/>
        <v>0</v>
      </c>
      <c r="M123" s="213">
        <f t="shared" si="40"/>
        <v>0</v>
      </c>
      <c r="N123" s="234">
        <f t="shared" si="41"/>
        <v>100</v>
      </c>
      <c r="O123" s="212">
        <v>30.3</v>
      </c>
      <c r="P123" s="213"/>
      <c r="Q123" s="213"/>
      <c r="R123" s="214">
        <f t="shared" si="37"/>
        <v>30.3</v>
      </c>
      <c r="S123" s="170">
        <v>5</v>
      </c>
      <c r="T123" s="283"/>
      <c r="U123" s="281">
        <v>42702</v>
      </c>
      <c r="V123" s="177" t="s">
        <v>72</v>
      </c>
      <c r="W123" s="170" t="s">
        <v>87</v>
      </c>
      <c r="X123" s="170" t="s">
        <v>11</v>
      </c>
      <c r="Y123" s="178">
        <v>19.399999999999999</v>
      </c>
      <c r="Z123" s="170" t="s">
        <v>1337</v>
      </c>
      <c r="AA123" s="170" t="s">
        <v>892</v>
      </c>
      <c r="AB123" s="170" t="s">
        <v>11</v>
      </c>
      <c r="AC123" s="170">
        <v>7.4</v>
      </c>
      <c r="AD123" s="177" t="s">
        <v>104</v>
      </c>
      <c r="AE123" s="170" t="s">
        <v>74</v>
      </c>
      <c r="AF123" s="170" t="s">
        <v>11</v>
      </c>
      <c r="AG123" s="178">
        <v>3.4</v>
      </c>
      <c r="AK123" s="178"/>
      <c r="AO123" s="178"/>
      <c r="AS123" s="178"/>
      <c r="AW123" s="178"/>
      <c r="BA123" s="179"/>
    </row>
    <row r="124" spans="1:53" s="170" customFormat="1" x14ac:dyDescent="0.15">
      <c r="A124" s="170">
        <v>2017</v>
      </c>
      <c r="B124" s="281"/>
      <c r="C124" s="395" t="s">
        <v>1336</v>
      </c>
      <c r="D124" s="395"/>
      <c r="E124" s="170">
        <v>0</v>
      </c>
      <c r="G124" s="232">
        <v>22</v>
      </c>
      <c r="J124" s="240">
        <v>22</v>
      </c>
      <c r="K124" s="213">
        <f t="shared" ref="K124:K127" si="42">G124/J124*100</f>
        <v>100</v>
      </c>
      <c r="L124" s="213">
        <f t="shared" ref="L124:L127" si="43">H124/J124*100</f>
        <v>0</v>
      </c>
      <c r="M124" s="213">
        <f t="shared" ref="M124:M127" si="44">I124/J124*100</f>
        <v>0</v>
      </c>
      <c r="N124" s="234">
        <f t="shared" ref="N124:N127" si="45">SUM(K124:M124)</f>
        <v>100</v>
      </c>
      <c r="O124" s="212">
        <v>30.3</v>
      </c>
      <c r="P124" s="213"/>
      <c r="Q124" s="213"/>
      <c r="R124" s="214">
        <f t="shared" ref="R124:R127" si="46">SUM(O124:Q124)</f>
        <v>30.3</v>
      </c>
      <c r="S124" s="170">
        <v>5</v>
      </c>
      <c r="T124" s="283"/>
      <c r="U124" s="281"/>
      <c r="V124" s="177" t="s">
        <v>72</v>
      </c>
      <c r="W124" s="170" t="s">
        <v>87</v>
      </c>
      <c r="X124" s="170" t="s">
        <v>11</v>
      </c>
      <c r="Y124" s="178">
        <v>19.399999999999999</v>
      </c>
      <c r="Z124" s="170" t="s">
        <v>1337</v>
      </c>
      <c r="AA124" s="170" t="s">
        <v>892</v>
      </c>
      <c r="AB124" s="170" t="s">
        <v>11</v>
      </c>
      <c r="AC124" s="170">
        <v>7.4</v>
      </c>
      <c r="AD124" s="177" t="s">
        <v>104</v>
      </c>
      <c r="AE124" s="170" t="s">
        <v>74</v>
      </c>
      <c r="AF124" s="170" t="s">
        <v>11</v>
      </c>
      <c r="AG124" s="178">
        <v>3.4</v>
      </c>
      <c r="AK124" s="178"/>
      <c r="AO124" s="178"/>
      <c r="AS124" s="178"/>
      <c r="AW124" s="178"/>
      <c r="BA124" s="179"/>
    </row>
    <row r="125" spans="1:53" s="170" customFormat="1" x14ac:dyDescent="0.15">
      <c r="A125" s="170">
        <v>2017</v>
      </c>
      <c r="B125" s="281"/>
      <c r="C125" s="395" t="s">
        <v>1336</v>
      </c>
      <c r="D125" s="395"/>
      <c r="E125" s="170">
        <v>365</v>
      </c>
      <c r="G125" s="232">
        <v>22</v>
      </c>
      <c r="J125" s="240">
        <v>22</v>
      </c>
      <c r="K125" s="213">
        <f t="shared" si="42"/>
        <v>100</v>
      </c>
      <c r="L125" s="213">
        <f t="shared" si="43"/>
        <v>0</v>
      </c>
      <c r="M125" s="213">
        <f t="shared" si="44"/>
        <v>0</v>
      </c>
      <c r="N125" s="234">
        <f t="shared" si="45"/>
        <v>100</v>
      </c>
      <c r="O125" s="212">
        <v>30.3</v>
      </c>
      <c r="P125" s="213"/>
      <c r="Q125" s="213"/>
      <c r="R125" s="214">
        <f t="shared" si="46"/>
        <v>30.3</v>
      </c>
      <c r="S125" s="170">
        <v>5</v>
      </c>
      <c r="T125" s="283"/>
      <c r="U125" s="281"/>
      <c r="V125" s="177" t="s">
        <v>72</v>
      </c>
      <c r="W125" s="170" t="s">
        <v>87</v>
      </c>
      <c r="X125" s="170" t="s">
        <v>11</v>
      </c>
      <c r="Y125" s="178">
        <v>19.399999999999999</v>
      </c>
      <c r="Z125" s="170" t="s">
        <v>1337</v>
      </c>
      <c r="AA125" s="170" t="s">
        <v>892</v>
      </c>
      <c r="AB125" s="170" t="s">
        <v>11</v>
      </c>
      <c r="AC125" s="170">
        <v>7.4</v>
      </c>
      <c r="AD125" s="177" t="s">
        <v>104</v>
      </c>
      <c r="AE125" s="170" t="s">
        <v>74</v>
      </c>
      <c r="AF125" s="170" t="s">
        <v>11</v>
      </c>
      <c r="AG125" s="178">
        <v>3.4</v>
      </c>
      <c r="AK125" s="178"/>
      <c r="AO125" s="178"/>
      <c r="AS125" s="178"/>
      <c r="AW125" s="178"/>
      <c r="BA125" s="179"/>
    </row>
    <row r="126" spans="1:53" s="170" customFormat="1" x14ac:dyDescent="0.15">
      <c r="A126" s="170">
        <v>2018</v>
      </c>
      <c r="B126" s="281"/>
      <c r="C126" s="395" t="s">
        <v>1336</v>
      </c>
      <c r="D126" s="395"/>
      <c r="E126" s="170">
        <v>0</v>
      </c>
      <c r="G126" s="232">
        <v>22</v>
      </c>
      <c r="J126" s="240">
        <v>22</v>
      </c>
      <c r="K126" s="213">
        <f t="shared" si="42"/>
        <v>100</v>
      </c>
      <c r="L126" s="213">
        <f t="shared" si="43"/>
        <v>0</v>
      </c>
      <c r="M126" s="213">
        <f t="shared" si="44"/>
        <v>0</v>
      </c>
      <c r="N126" s="234">
        <f t="shared" si="45"/>
        <v>100</v>
      </c>
      <c r="O126" s="212">
        <v>30.3</v>
      </c>
      <c r="P126" s="213"/>
      <c r="Q126" s="213"/>
      <c r="R126" s="214">
        <f t="shared" si="46"/>
        <v>30.3</v>
      </c>
      <c r="S126" s="170">
        <v>5</v>
      </c>
      <c r="T126" s="283"/>
      <c r="U126" s="281"/>
      <c r="V126" s="177" t="s">
        <v>72</v>
      </c>
      <c r="W126" s="170" t="s">
        <v>87</v>
      </c>
      <c r="X126" s="170" t="s">
        <v>11</v>
      </c>
      <c r="Y126" s="178">
        <v>19.399999999999999</v>
      </c>
      <c r="Z126" s="170" t="s">
        <v>1337</v>
      </c>
      <c r="AA126" s="170" t="s">
        <v>892</v>
      </c>
      <c r="AB126" s="170" t="s">
        <v>11</v>
      </c>
      <c r="AC126" s="170">
        <v>7.4</v>
      </c>
      <c r="AD126" s="177" t="s">
        <v>104</v>
      </c>
      <c r="AE126" s="170" t="s">
        <v>74</v>
      </c>
      <c r="AF126" s="170" t="s">
        <v>11</v>
      </c>
      <c r="AG126" s="178">
        <v>3.4</v>
      </c>
      <c r="AK126" s="178"/>
      <c r="AO126" s="178"/>
      <c r="AS126" s="178"/>
      <c r="AW126" s="178"/>
      <c r="BA126" s="179"/>
    </row>
    <row r="127" spans="1:53" s="170" customFormat="1" x14ac:dyDescent="0.15">
      <c r="A127" s="170">
        <v>2018</v>
      </c>
      <c r="B127" s="281"/>
      <c r="C127" s="395" t="s">
        <v>1336</v>
      </c>
      <c r="D127" s="395"/>
      <c r="E127" s="170">
        <v>365</v>
      </c>
      <c r="G127" s="232">
        <v>22</v>
      </c>
      <c r="J127" s="240">
        <v>22</v>
      </c>
      <c r="K127" s="213">
        <f t="shared" si="42"/>
        <v>100</v>
      </c>
      <c r="L127" s="213">
        <f t="shared" si="43"/>
        <v>0</v>
      </c>
      <c r="M127" s="213">
        <f t="shared" si="44"/>
        <v>0</v>
      </c>
      <c r="N127" s="234">
        <f t="shared" si="45"/>
        <v>100</v>
      </c>
      <c r="O127" s="212">
        <v>30.3</v>
      </c>
      <c r="P127" s="213"/>
      <c r="Q127" s="213"/>
      <c r="R127" s="214">
        <f t="shared" si="46"/>
        <v>30.3</v>
      </c>
      <c r="S127" s="170">
        <v>5</v>
      </c>
      <c r="T127" s="283"/>
      <c r="U127" s="281"/>
      <c r="V127" s="177" t="s">
        <v>72</v>
      </c>
      <c r="W127" s="170" t="s">
        <v>87</v>
      </c>
      <c r="X127" s="170" t="s">
        <v>11</v>
      </c>
      <c r="Y127" s="178">
        <v>19.399999999999999</v>
      </c>
      <c r="Z127" s="170" t="s">
        <v>1337</v>
      </c>
      <c r="AA127" s="170" t="s">
        <v>892</v>
      </c>
      <c r="AB127" s="170" t="s">
        <v>11</v>
      </c>
      <c r="AC127" s="170">
        <v>7.4</v>
      </c>
      <c r="AD127" s="177" t="s">
        <v>104</v>
      </c>
      <c r="AE127" s="170" t="s">
        <v>74</v>
      </c>
      <c r="AF127" s="170" t="s">
        <v>11</v>
      </c>
      <c r="AG127" s="178">
        <v>3.4</v>
      </c>
      <c r="AK127" s="178"/>
      <c r="AO127" s="178"/>
      <c r="AS127" s="178"/>
      <c r="AW127" s="178"/>
      <c r="BA127" s="179"/>
    </row>
    <row r="128" spans="1:53" s="170" customFormat="1" x14ac:dyDescent="0.15">
      <c r="A128" s="170">
        <v>2019</v>
      </c>
      <c r="B128" s="281"/>
      <c r="C128" s="395" t="s">
        <v>1336</v>
      </c>
      <c r="D128" s="395"/>
      <c r="E128" s="170">
        <v>177</v>
      </c>
      <c r="G128" s="232">
        <v>22</v>
      </c>
      <c r="J128" s="240">
        <v>22</v>
      </c>
      <c r="K128" s="213">
        <f t="shared" ref="K128" si="47">G128/J128*100</f>
        <v>100</v>
      </c>
      <c r="L128" s="213">
        <f t="shared" ref="L128" si="48">H128/J128*100</f>
        <v>0</v>
      </c>
      <c r="M128" s="213">
        <f t="shared" ref="M128" si="49">I128/J128*100</f>
        <v>0</v>
      </c>
      <c r="N128" s="234">
        <f t="shared" ref="N128" si="50">SUM(K128:M128)</f>
        <v>100</v>
      </c>
      <c r="O128" s="212">
        <v>30.3</v>
      </c>
      <c r="P128" s="213"/>
      <c r="Q128" s="213"/>
      <c r="R128" s="214">
        <f t="shared" ref="R128:R131" si="51">SUM(O128:Q128)</f>
        <v>30.3</v>
      </c>
      <c r="S128" s="170">
        <v>5</v>
      </c>
      <c r="T128" s="283"/>
      <c r="U128" s="281"/>
      <c r="V128" s="177" t="s">
        <v>72</v>
      </c>
      <c r="W128" s="170" t="s">
        <v>87</v>
      </c>
      <c r="X128" s="170" t="s">
        <v>11</v>
      </c>
      <c r="Y128" s="178">
        <v>19.399999999999999</v>
      </c>
      <c r="Z128" s="170" t="s">
        <v>1337</v>
      </c>
      <c r="AA128" s="170" t="s">
        <v>892</v>
      </c>
      <c r="AB128" s="170" t="s">
        <v>11</v>
      </c>
      <c r="AC128" s="170">
        <v>7.4</v>
      </c>
      <c r="AD128" s="177" t="s">
        <v>104</v>
      </c>
      <c r="AE128" s="170" t="s">
        <v>74</v>
      </c>
      <c r="AF128" s="170" t="s">
        <v>11</v>
      </c>
      <c r="AG128" s="178">
        <v>3.4</v>
      </c>
      <c r="AK128" s="178"/>
      <c r="AO128" s="178"/>
      <c r="AS128" s="178"/>
      <c r="AW128" s="178"/>
      <c r="BA128" s="179"/>
    </row>
    <row r="129" spans="1:53" s="28" customFormat="1" x14ac:dyDescent="0.15">
      <c r="A129" s="28">
        <v>2019</v>
      </c>
      <c r="B129" s="293">
        <v>43643</v>
      </c>
      <c r="C129" s="394" t="s">
        <v>1432</v>
      </c>
      <c r="D129" s="394"/>
      <c r="E129" s="28">
        <v>188</v>
      </c>
      <c r="F129" s="28">
        <v>1</v>
      </c>
      <c r="G129" s="65"/>
      <c r="I129" s="28">
        <v>20</v>
      </c>
      <c r="J129" s="72">
        <v>20</v>
      </c>
      <c r="K129" s="46">
        <f t="shared" ref="K129:K134" si="52">G129/J129*100</f>
        <v>0</v>
      </c>
      <c r="L129" s="46">
        <f t="shared" ref="L129:L134" si="53">H129/J129*100</f>
        <v>0</v>
      </c>
      <c r="M129" s="46">
        <f t="shared" ref="M129:M135" si="54">I129/J129*100</f>
        <v>100</v>
      </c>
      <c r="N129" s="46">
        <f t="shared" ref="N129:N135" si="55">SUM(K129:M129)</f>
        <v>100</v>
      </c>
      <c r="O129" s="45"/>
      <c r="P129" s="46"/>
      <c r="Q129" s="28">
        <v>27.4</v>
      </c>
      <c r="R129" s="47">
        <f t="shared" si="51"/>
        <v>27.4</v>
      </c>
      <c r="S129" s="28">
        <v>4</v>
      </c>
      <c r="T129" s="284">
        <v>43621</v>
      </c>
      <c r="U129" s="293">
        <v>43643</v>
      </c>
      <c r="V129" s="37" t="s">
        <v>101</v>
      </c>
      <c r="W129" s="28" t="s">
        <v>20</v>
      </c>
      <c r="X129" s="28" t="s">
        <v>12</v>
      </c>
      <c r="Y129" s="38">
        <v>27.4</v>
      </c>
      <c r="AC129" s="38"/>
      <c r="AG129" s="38"/>
      <c r="AK129" s="38"/>
      <c r="AO129" s="38"/>
      <c r="AS129" s="38"/>
      <c r="AW129" s="38"/>
      <c r="BA129" s="39"/>
    </row>
    <row r="130" spans="1:53" s="28" customFormat="1" x14ac:dyDescent="0.15">
      <c r="A130" s="28">
        <v>2020</v>
      </c>
      <c r="B130" s="293"/>
      <c r="C130" s="394" t="s">
        <v>1432</v>
      </c>
      <c r="D130" s="394"/>
      <c r="E130" s="28">
        <v>0</v>
      </c>
      <c r="F130" s="39"/>
      <c r="I130" s="28">
        <v>20</v>
      </c>
      <c r="J130" s="72">
        <v>20</v>
      </c>
      <c r="K130" s="46">
        <f t="shared" si="52"/>
        <v>0</v>
      </c>
      <c r="L130" s="46">
        <f t="shared" si="53"/>
        <v>0</v>
      </c>
      <c r="M130" s="46">
        <f t="shared" si="54"/>
        <v>100</v>
      </c>
      <c r="N130" s="330">
        <f t="shared" si="55"/>
        <v>100</v>
      </c>
      <c r="O130" s="46"/>
      <c r="P130" s="46"/>
      <c r="Q130" s="28">
        <v>27.4</v>
      </c>
      <c r="R130" s="47">
        <f t="shared" si="51"/>
        <v>27.4</v>
      </c>
      <c r="S130" s="36">
        <v>4</v>
      </c>
      <c r="T130" s="319"/>
      <c r="U130" s="293"/>
      <c r="V130" s="37" t="s">
        <v>101</v>
      </c>
      <c r="W130" s="28" t="s">
        <v>20</v>
      </c>
      <c r="X130" s="28" t="s">
        <v>12</v>
      </c>
      <c r="Y130" s="38">
        <v>27.4</v>
      </c>
      <c r="AC130" s="38"/>
      <c r="AG130" s="38"/>
      <c r="AK130" s="38"/>
      <c r="AO130" s="38"/>
      <c r="AS130" s="38"/>
      <c r="AW130" s="38"/>
      <c r="BA130" s="39"/>
    </row>
    <row r="131" spans="1:53" s="28" customFormat="1" x14ac:dyDescent="0.15">
      <c r="A131" s="28">
        <v>2020</v>
      </c>
      <c r="B131" s="293"/>
      <c r="C131" s="394" t="s">
        <v>1432</v>
      </c>
      <c r="D131" s="394"/>
      <c r="E131" s="28">
        <v>366</v>
      </c>
      <c r="F131" s="39"/>
      <c r="I131" s="28">
        <v>20</v>
      </c>
      <c r="J131" s="72">
        <v>20</v>
      </c>
      <c r="K131" s="46">
        <f t="shared" si="52"/>
        <v>0</v>
      </c>
      <c r="L131" s="46">
        <f t="shared" si="53"/>
        <v>0</v>
      </c>
      <c r="M131" s="46">
        <f t="shared" si="54"/>
        <v>100</v>
      </c>
      <c r="N131" s="330">
        <f t="shared" si="55"/>
        <v>100</v>
      </c>
      <c r="O131" s="46"/>
      <c r="P131" s="46"/>
      <c r="Q131" s="28">
        <v>27.4</v>
      </c>
      <c r="R131" s="47">
        <f t="shared" si="51"/>
        <v>27.4</v>
      </c>
      <c r="S131" s="36">
        <v>4</v>
      </c>
      <c r="T131" s="319"/>
      <c r="U131" s="293"/>
      <c r="V131" s="37" t="s">
        <v>101</v>
      </c>
      <c r="W131" s="28" t="s">
        <v>20</v>
      </c>
      <c r="X131" s="28" t="s">
        <v>12</v>
      </c>
      <c r="Y131" s="38">
        <v>27.4</v>
      </c>
      <c r="AC131" s="38"/>
      <c r="AG131" s="38"/>
      <c r="AK131" s="38"/>
      <c r="AO131" s="38"/>
      <c r="AS131" s="38"/>
      <c r="AW131" s="38"/>
      <c r="BA131" s="39"/>
    </row>
    <row r="132" spans="1:53" s="28" customFormat="1" x14ac:dyDescent="0.15">
      <c r="A132" s="28">
        <v>2021</v>
      </c>
      <c r="B132" s="293"/>
      <c r="C132" s="394" t="s">
        <v>1432</v>
      </c>
      <c r="D132" s="394"/>
      <c r="E132" s="28">
        <v>0</v>
      </c>
      <c r="F132" s="39"/>
      <c r="I132" s="28">
        <v>20</v>
      </c>
      <c r="J132" s="72">
        <v>20</v>
      </c>
      <c r="K132" s="46">
        <f t="shared" si="52"/>
        <v>0</v>
      </c>
      <c r="L132" s="46">
        <f t="shared" si="53"/>
        <v>0</v>
      </c>
      <c r="M132" s="46">
        <f t="shared" si="54"/>
        <v>100</v>
      </c>
      <c r="N132" s="330">
        <f t="shared" si="55"/>
        <v>100</v>
      </c>
      <c r="O132" s="46"/>
      <c r="P132" s="46"/>
      <c r="Q132" s="28">
        <v>27.4</v>
      </c>
      <c r="R132" s="47">
        <f t="shared" ref="R132" si="56">SUM(O132:Q132)</f>
        <v>27.4</v>
      </c>
      <c r="S132" s="36">
        <v>4</v>
      </c>
      <c r="T132" s="319"/>
      <c r="U132" s="293"/>
      <c r="V132" s="37" t="s">
        <v>101</v>
      </c>
      <c r="W132" s="28" t="s">
        <v>20</v>
      </c>
      <c r="X132" s="28" t="s">
        <v>12</v>
      </c>
      <c r="Y132" s="38">
        <v>27.4</v>
      </c>
      <c r="AC132" s="38"/>
      <c r="AG132" s="38"/>
      <c r="AK132" s="38"/>
      <c r="AO132" s="38"/>
      <c r="AS132" s="38"/>
      <c r="AW132" s="38"/>
      <c r="BA132" s="39"/>
    </row>
    <row r="133" spans="1:53" s="28" customFormat="1" x14ac:dyDescent="0.15">
      <c r="A133" s="28">
        <v>2021</v>
      </c>
      <c r="B133" s="293"/>
      <c r="C133" s="394" t="s">
        <v>1432</v>
      </c>
      <c r="D133" s="394"/>
      <c r="E133" s="28">
        <v>365</v>
      </c>
      <c r="F133" s="39"/>
      <c r="I133" s="28">
        <v>20</v>
      </c>
      <c r="J133" s="72">
        <v>20</v>
      </c>
      <c r="K133" s="46">
        <f t="shared" si="52"/>
        <v>0</v>
      </c>
      <c r="L133" s="46">
        <f t="shared" si="53"/>
        <v>0</v>
      </c>
      <c r="M133" s="46">
        <f t="shared" si="54"/>
        <v>100</v>
      </c>
      <c r="N133" s="330">
        <f t="shared" si="55"/>
        <v>100</v>
      </c>
      <c r="O133" s="46"/>
      <c r="P133" s="46"/>
      <c r="Q133" s="28">
        <v>27.4</v>
      </c>
      <c r="R133" s="47">
        <v>27.4</v>
      </c>
      <c r="S133" s="36">
        <v>4</v>
      </c>
      <c r="T133" s="319"/>
      <c r="U133" s="293"/>
      <c r="V133" s="37" t="s">
        <v>101</v>
      </c>
      <c r="W133" s="28" t="s">
        <v>20</v>
      </c>
      <c r="X133" s="28" t="s">
        <v>12</v>
      </c>
      <c r="Y133" s="38">
        <v>27.4</v>
      </c>
      <c r="AC133" s="38"/>
      <c r="AG133" s="38"/>
      <c r="AK133" s="38"/>
      <c r="AO133" s="38"/>
      <c r="AS133" s="38"/>
      <c r="AW133" s="38"/>
      <c r="BA133" s="39"/>
    </row>
    <row r="134" spans="1:53" s="28" customFormat="1" x14ac:dyDescent="0.15">
      <c r="A134" s="28">
        <v>2022</v>
      </c>
      <c r="B134" s="293"/>
      <c r="C134" s="394" t="s">
        <v>1432</v>
      </c>
      <c r="D134" s="394"/>
      <c r="E134" s="28">
        <v>349</v>
      </c>
      <c r="F134" s="39"/>
      <c r="I134" s="28">
        <v>20</v>
      </c>
      <c r="J134" s="72">
        <v>20</v>
      </c>
      <c r="K134" s="46">
        <f t="shared" si="52"/>
        <v>0</v>
      </c>
      <c r="L134" s="46">
        <f t="shared" si="53"/>
        <v>0</v>
      </c>
      <c r="M134" s="46">
        <f t="shared" si="54"/>
        <v>100</v>
      </c>
      <c r="N134" s="330">
        <f t="shared" si="55"/>
        <v>100</v>
      </c>
      <c r="O134" s="46"/>
      <c r="P134" s="46"/>
      <c r="Q134" s="28">
        <v>27.4</v>
      </c>
      <c r="R134" s="47">
        <v>27.4</v>
      </c>
      <c r="S134" s="36">
        <v>4</v>
      </c>
      <c r="T134" s="319"/>
      <c r="U134" s="293"/>
      <c r="V134" s="37" t="s">
        <v>101</v>
      </c>
      <c r="W134" s="28" t="s">
        <v>20</v>
      </c>
      <c r="X134" s="28" t="s">
        <v>12</v>
      </c>
      <c r="Y134" s="38">
        <v>27.4</v>
      </c>
      <c r="AC134" s="38"/>
      <c r="AG134" s="38"/>
      <c r="AK134" s="38"/>
      <c r="AO134" s="38"/>
      <c r="AS134" s="38"/>
      <c r="AW134" s="38"/>
      <c r="BA134" s="39"/>
    </row>
    <row r="135" spans="1:53" s="170" customFormat="1" x14ac:dyDescent="0.15">
      <c r="A135" s="170">
        <v>2022</v>
      </c>
      <c r="B135" s="281">
        <v>44910</v>
      </c>
      <c r="C135" s="395" t="s">
        <v>1519</v>
      </c>
      <c r="D135" s="395"/>
      <c r="E135" s="170">
        <v>16</v>
      </c>
      <c r="F135" s="170">
        <v>1</v>
      </c>
      <c r="G135" s="232">
        <v>12</v>
      </c>
      <c r="I135" s="170">
        <v>11</v>
      </c>
      <c r="J135" s="240">
        <v>23</v>
      </c>
      <c r="K135" s="213">
        <f>G135/J135*100</f>
        <v>52.173913043478258</v>
      </c>
      <c r="L135" s="213">
        <f>H135/J135*100</f>
        <v>0</v>
      </c>
      <c r="M135" s="213">
        <f t="shared" si="54"/>
        <v>47.826086956521742</v>
      </c>
      <c r="N135" s="234">
        <f t="shared" si="55"/>
        <v>100</v>
      </c>
      <c r="O135" s="212">
        <v>12.8</v>
      </c>
      <c r="P135" s="213">
        <v>8.9</v>
      </c>
      <c r="Q135" s="213">
        <v>27.9</v>
      </c>
      <c r="R135" s="214">
        <v>49.6</v>
      </c>
      <c r="S135" s="170">
        <v>2</v>
      </c>
      <c r="T135" s="283">
        <v>44866</v>
      </c>
      <c r="U135" s="281">
        <v>44910</v>
      </c>
      <c r="V135" s="177" t="s">
        <v>101</v>
      </c>
      <c r="W135" s="170" t="s">
        <v>20</v>
      </c>
      <c r="X135" s="170" t="s">
        <v>12</v>
      </c>
      <c r="Y135" s="178">
        <v>27.9</v>
      </c>
      <c r="Z135" s="170" t="s">
        <v>72</v>
      </c>
      <c r="AA135" s="170" t="s">
        <v>87</v>
      </c>
      <c r="AB135" s="170" t="s">
        <v>11</v>
      </c>
      <c r="AC135" s="170">
        <v>12.8</v>
      </c>
      <c r="AD135" s="177" t="s">
        <v>472</v>
      </c>
      <c r="AE135" s="170" t="s">
        <v>893</v>
      </c>
      <c r="AF135" s="170" t="s">
        <v>11</v>
      </c>
      <c r="AG135" s="178">
        <v>8.9</v>
      </c>
      <c r="AL135" s="177"/>
      <c r="AO135" s="178"/>
      <c r="AP135" s="177"/>
      <c r="AS135" s="178"/>
      <c r="AW135" s="178"/>
      <c r="BA135" s="179"/>
    </row>
    <row r="136" spans="1:53" ht="18" customHeight="1" x14ac:dyDescent="0.15">
      <c r="B136" s="15" t="s">
        <v>1262</v>
      </c>
    </row>
    <row r="137" spans="1:53" ht="9" customHeight="1" x14ac:dyDescent="0.15"/>
    <row r="138" spans="1:53" s="194" customFormat="1" ht="9" customHeight="1" x14ac:dyDescent="0.15">
      <c r="A138" s="192"/>
      <c r="B138" s="193" t="s">
        <v>1213</v>
      </c>
      <c r="C138" s="193"/>
      <c r="D138" s="193"/>
      <c r="E138" s="193"/>
      <c r="F138" s="193"/>
      <c r="G138" s="193" t="s">
        <v>1214</v>
      </c>
      <c r="H138" s="193"/>
      <c r="I138" s="193"/>
      <c r="J138" s="193"/>
      <c r="K138" s="193"/>
      <c r="L138" s="193"/>
      <c r="M138" s="193"/>
      <c r="N138" s="193"/>
      <c r="R138" s="386" t="s">
        <v>1215</v>
      </c>
      <c r="S138" s="386"/>
      <c r="T138" s="386"/>
      <c r="U138" s="386"/>
      <c r="V138" s="386"/>
      <c r="W138" s="386"/>
      <c r="X138" s="195"/>
      <c r="Y138" s="195"/>
      <c r="AA138" s="195"/>
      <c r="AB138" s="195"/>
      <c r="AC138" s="195"/>
      <c r="AD138" s="195"/>
    </row>
    <row r="139" spans="1:53" s="199" customFormat="1" ht="9" customHeight="1" x14ac:dyDescent="0.15">
      <c r="A139" s="196"/>
      <c r="B139" s="197" t="s">
        <v>1217</v>
      </c>
      <c r="C139" s="198"/>
      <c r="D139" s="198"/>
      <c r="E139" s="198"/>
      <c r="F139" s="198"/>
      <c r="G139" s="197" t="s">
        <v>1216</v>
      </c>
      <c r="H139" s="198"/>
      <c r="I139" s="198"/>
      <c r="J139" s="198"/>
      <c r="K139" s="198"/>
      <c r="L139" s="198"/>
      <c r="M139" s="198"/>
      <c r="N139" s="198"/>
      <c r="R139" s="200" t="s">
        <v>1218</v>
      </c>
      <c r="S139" s="201"/>
      <c r="T139" s="202"/>
      <c r="U139" s="202"/>
      <c r="V139" s="202"/>
      <c r="W139" s="200" t="s">
        <v>1219</v>
      </c>
      <c r="X139" s="202"/>
      <c r="Y139" s="202"/>
      <c r="AA139" s="202"/>
      <c r="AB139" s="202"/>
      <c r="AC139" s="202"/>
      <c r="AD139" s="202"/>
    </row>
    <row r="140" spans="1:53" s="185" customFormat="1" ht="12" customHeight="1" x14ac:dyDescent="0.15">
      <c r="A140" s="203" t="s">
        <v>3</v>
      </c>
      <c r="B140" s="204" t="s">
        <v>8</v>
      </c>
      <c r="C140" s="204" t="s">
        <v>9</v>
      </c>
      <c r="D140" s="204" t="s">
        <v>10</v>
      </c>
      <c r="E140" s="205" t="s">
        <v>1193</v>
      </c>
      <c r="F140" s="204"/>
      <c r="G140" s="185" t="s">
        <v>3</v>
      </c>
      <c r="H140" s="387" t="s">
        <v>0</v>
      </c>
      <c r="I140" s="387"/>
      <c r="J140" s="387" t="s">
        <v>1</v>
      </c>
      <c r="K140" s="387"/>
      <c r="L140" s="387" t="s">
        <v>2</v>
      </c>
      <c r="M140" s="387"/>
      <c r="N140" s="388" t="s">
        <v>1193</v>
      </c>
      <c r="O140" s="388"/>
      <c r="P140" s="206"/>
      <c r="Q140" s="206"/>
      <c r="R140" s="207" t="s">
        <v>3</v>
      </c>
      <c r="S140" s="208" t="s">
        <v>135</v>
      </c>
      <c r="T140" s="206" t="s">
        <v>133</v>
      </c>
      <c r="U140" s="204" t="s">
        <v>134</v>
      </c>
      <c r="V140" s="206"/>
      <c r="W140" s="209" t="s">
        <v>26</v>
      </c>
    </row>
    <row r="141" spans="1:53" s="139" customFormat="1" x14ac:dyDescent="0.15">
      <c r="A141" s="139">
        <v>1959</v>
      </c>
      <c r="B141" s="142">
        <f>(K6*($E6/365))+(K7*($E7/365))</f>
        <v>43.75</v>
      </c>
      <c r="C141" s="142">
        <f>(L6*($E6/365))+(L7*($E7/365))</f>
        <v>0</v>
      </c>
      <c r="D141" s="142">
        <f>(M6*($E6/365))+(M7*($E7/365))</f>
        <v>56.25</v>
      </c>
      <c r="E141" s="143">
        <f>B141+C141+D141</f>
        <v>100</v>
      </c>
      <c r="G141" s="139">
        <v>1959</v>
      </c>
      <c r="H141" s="389">
        <f>(O6/$R6*100*($E6/365))+(O7/$R7*100*($E7/365))</f>
        <v>24.670433145009415</v>
      </c>
      <c r="I141" s="389"/>
      <c r="J141" s="389">
        <f>(P6/$R6*100*($E6/365))+(P7/$R7*100*($E7/365))</f>
        <v>0</v>
      </c>
      <c r="K141" s="389"/>
      <c r="L141" s="389">
        <f>(Q6/$R6*100*($E6/365))+(Q7/$R7*100*($E7/365))</f>
        <v>75.329566854990588</v>
      </c>
      <c r="M141" s="389"/>
      <c r="N141" s="412">
        <f>H141+J141+K141</f>
        <v>24.670433145009415</v>
      </c>
      <c r="O141" s="412"/>
      <c r="R141" s="139">
        <v>1959</v>
      </c>
      <c r="S141" s="142">
        <f>(O6*($E6/365))+(O7*($E7/365))</f>
        <v>13.1</v>
      </c>
      <c r="T141" s="142">
        <f>(P6*($E6/365))+(P7*($E7/365))</f>
        <v>0</v>
      </c>
      <c r="U141" s="142">
        <f>(Q6*($E6/365))+(Q7*($E7/365))</f>
        <v>40</v>
      </c>
      <c r="V141" s="152"/>
      <c r="W141" s="142">
        <f>S141+T141+U141</f>
        <v>53.1</v>
      </c>
      <c r="X141" s="144"/>
      <c r="Z141" s="144"/>
    </row>
    <row r="142" spans="1:53" x14ac:dyDescent="0.15">
      <c r="A142" s="1">
        <v>1960</v>
      </c>
      <c r="B142" s="5">
        <f>(K8*($E8/366))+(K9*($E9/366))+(K10*($E10/366))</f>
        <v>44.185886103075106</v>
      </c>
      <c r="C142" s="5">
        <f>(L8*($E8/366))+(L9*($E9/366))+(L10*($E10/366))</f>
        <v>0</v>
      </c>
      <c r="D142" s="5">
        <f>(M8*($E8/366))+(M9*($E9/366))+(M10*($E10/366))</f>
        <v>55.106945783777995</v>
      </c>
      <c r="E142" s="17">
        <f t="shared" ref="E142:E171" si="57">SUM(B142:D142)</f>
        <v>99.292831886853094</v>
      </c>
      <c r="G142" s="1">
        <v>1960</v>
      </c>
      <c r="H142" s="362">
        <f>(O8/$R8*100*($E8/366))+(O9/$R9*100*($E9/366))+(O10/$R10*100*($E10/366))</f>
        <v>23.228486206465224</v>
      </c>
      <c r="I142" s="362"/>
      <c r="J142" s="362">
        <f>(P8/$R8*100*($E8/366))+(P9/$R9*100*($E9/366))+(P10/$R10*100*($E10/366))</f>
        <v>0</v>
      </c>
      <c r="K142" s="362"/>
      <c r="L142" s="362">
        <f>(Q8/$R8*100*($E8/366))+(Q9/$R9*100*($E9/366))+(Q10/$R10*100*($E10/366))</f>
        <v>76.77151379353478</v>
      </c>
      <c r="M142" s="362"/>
      <c r="N142" s="363">
        <f t="shared" ref="N142:N182" si="58">SUM(H142:M142)</f>
        <v>100</v>
      </c>
      <c r="O142" s="363"/>
      <c r="R142" s="1">
        <v>1960</v>
      </c>
      <c r="S142" s="5">
        <f>(O8*($E8/366))+(O9*($E9/366))+(O10*($E10/366))</f>
        <v>12.282513661202184</v>
      </c>
      <c r="T142" s="5">
        <f>(P8*($E8/366))+(P9*($E9/366))+(P10*($E10/366))</f>
        <v>0</v>
      </c>
      <c r="U142" s="5">
        <f>(Q8*($E8/366))+(Q9*($E9/366))+(Q10*($E10/366))</f>
        <v>40.40874316939891</v>
      </c>
      <c r="V142" s="9"/>
      <c r="W142" s="5">
        <f>R8*(E8/366) + R9*(E9/366) + R10*(E10/366)</f>
        <v>52.691256830601098</v>
      </c>
      <c r="X142" s="4"/>
      <c r="Z142" s="4"/>
    </row>
    <row r="143" spans="1:53" x14ac:dyDescent="0.15">
      <c r="A143" s="1">
        <v>1961</v>
      </c>
      <c r="B143" s="5">
        <f>(K11*($E11/365))+(K12*($E12/365))</f>
        <v>29.411764705882355</v>
      </c>
      <c r="C143" s="5">
        <f>(L11*($E11/365))+(L12*($E12/365))</f>
        <v>0</v>
      </c>
      <c r="D143" s="5">
        <f>(M11*($E11/365))+(M12*($E12/365))</f>
        <v>64.705882352941174</v>
      </c>
      <c r="E143" s="17">
        <f t="shared" si="57"/>
        <v>94.117647058823536</v>
      </c>
      <c r="G143" s="1">
        <v>1961</v>
      </c>
      <c r="H143" s="362">
        <f>(O11/$R11*100*($E11/365))+(O12/$R12*100*($E12/365))</f>
        <v>12.676056338028168</v>
      </c>
      <c r="I143" s="362"/>
      <c r="J143" s="362">
        <f>(P11/$R11*100*($E11/365))+(P12/$R12*100*($E12/365))</f>
        <v>0</v>
      </c>
      <c r="K143" s="362"/>
      <c r="L143" s="362">
        <f>(Q11/$R11*100*($E11/365))+(Q12/$R12*100*($E12/365))</f>
        <v>87.323943661971839</v>
      </c>
      <c r="M143" s="362"/>
      <c r="N143" s="363">
        <f t="shared" si="58"/>
        <v>100</v>
      </c>
      <c r="O143" s="363"/>
      <c r="R143" s="1">
        <v>1961</v>
      </c>
      <c r="S143" s="5">
        <f>(O11*($E11/365))+(O12*($E12/365))</f>
        <v>6.3</v>
      </c>
      <c r="T143" s="5">
        <f>(P11*($E11/365))+(P12*($E12/365))</f>
        <v>0</v>
      </c>
      <c r="U143" s="5">
        <f>(Q11*($E11/365))+(Q12*($E12/365))</f>
        <v>43.4</v>
      </c>
      <c r="V143" s="9"/>
      <c r="W143" s="5">
        <f>R11*(E11/365) + R12*(E12/365)</f>
        <v>49.699999999999996</v>
      </c>
      <c r="X143" s="4"/>
      <c r="Z143" s="4"/>
    </row>
    <row r="144" spans="1:53" x14ac:dyDescent="0.15">
      <c r="A144" s="1">
        <v>1962</v>
      </c>
      <c r="B144" s="5">
        <f>(K13*($E13/365))+(K14*($E14/365))</f>
        <v>29.411764705882355</v>
      </c>
      <c r="C144" s="5">
        <f>(L13*($E13/365))+(L14*($E14/365))</f>
        <v>0</v>
      </c>
      <c r="D144" s="5">
        <f>(M13*($E13/365))+(M14*($E14/365))</f>
        <v>64.705882352941174</v>
      </c>
      <c r="E144" s="17">
        <f t="shared" si="57"/>
        <v>94.117647058823536</v>
      </c>
      <c r="G144" s="1">
        <v>1962</v>
      </c>
      <c r="H144" s="362">
        <f>(O13/$R13*100*($E13/365))+(O14/$R14*100*($E14/365))</f>
        <v>12.676056338028168</v>
      </c>
      <c r="I144" s="362"/>
      <c r="J144" s="362">
        <f>(P13/$R13*100*($E13/365))+(P14/$R14*100*($E14/365))</f>
        <v>0</v>
      </c>
      <c r="K144" s="362"/>
      <c r="L144" s="362">
        <f>(Q13/$R13*100*($E13/365))+(Q14/$R14*100*($E14/365))</f>
        <v>87.323943661971839</v>
      </c>
      <c r="M144" s="362"/>
      <c r="N144" s="363">
        <f t="shared" si="58"/>
        <v>100</v>
      </c>
      <c r="O144" s="363"/>
      <c r="R144" s="1">
        <v>1962</v>
      </c>
      <c r="S144" s="5">
        <f>(O13*($E13/365))+(O14*($E14/365))</f>
        <v>6.3000000000000007</v>
      </c>
      <c r="T144" s="5">
        <f>(P13*($E13/365))+(P14*($E14/365))</f>
        <v>0</v>
      </c>
      <c r="U144" s="5">
        <f>(Q13*($E13/365))+(Q14*($E14/365))</f>
        <v>43.4</v>
      </c>
      <c r="V144" s="9"/>
      <c r="W144" s="5">
        <f>R13*(E13/365) + R14*(E14/365)</f>
        <v>49.699999999999996</v>
      </c>
      <c r="X144" s="4"/>
      <c r="Z144" s="4"/>
    </row>
    <row r="145" spans="1:26" x14ac:dyDescent="0.15">
      <c r="A145" s="1">
        <v>1963</v>
      </c>
      <c r="B145" s="5">
        <f>(K15*($E15/365))+(K16*($E16/365))</f>
        <v>29.411764705882355</v>
      </c>
      <c r="C145" s="5">
        <f>(L15*($E15/365))+(L16*($E16/365))</f>
        <v>0</v>
      </c>
      <c r="D145" s="5">
        <f>(M15*($E15/365))+(M16*($E16/365))</f>
        <v>64.705882352941174</v>
      </c>
      <c r="E145" s="17">
        <f t="shared" si="57"/>
        <v>94.117647058823536</v>
      </c>
      <c r="G145" s="1">
        <v>1963</v>
      </c>
      <c r="H145" s="362">
        <f>(O15/$R15*100*($E15/365))+(O16/$R16*100*($E16/365))</f>
        <v>12.676056338028168</v>
      </c>
      <c r="I145" s="362"/>
      <c r="J145" s="362">
        <f>(P15/$R15*100*($E15/365))+(P16/$R16*100*($E16/365))</f>
        <v>0</v>
      </c>
      <c r="K145" s="362"/>
      <c r="L145" s="362">
        <f>(Q15/$R15*100*($E15/365))+(Q16/$R16*100*($E16/365))</f>
        <v>87.323943661971839</v>
      </c>
      <c r="M145" s="362"/>
      <c r="N145" s="363">
        <f t="shared" si="58"/>
        <v>100</v>
      </c>
      <c r="O145" s="363"/>
      <c r="R145" s="1">
        <v>1963</v>
      </c>
      <c r="S145" s="5">
        <f>(O15*($E15/365))+(O16*($E16/365))</f>
        <v>6.3</v>
      </c>
      <c r="T145" s="5">
        <f>(P15*($E15/365))+(P16*($E16/365))</f>
        <v>0</v>
      </c>
      <c r="U145" s="5">
        <f>(Q15*($E15/365))+(Q16*($E16/365))</f>
        <v>43.4</v>
      </c>
      <c r="V145" s="9"/>
      <c r="W145" s="5">
        <f>R15*(E15/365) + R16*(E16/365)</f>
        <v>49.699999999999996</v>
      </c>
      <c r="X145" s="4"/>
      <c r="Z145" s="4"/>
    </row>
    <row r="146" spans="1:26" x14ac:dyDescent="0.15">
      <c r="A146" s="1">
        <v>1964</v>
      </c>
      <c r="B146" s="5">
        <f>(K17*($E17/366))+(K18*($E18/366))</f>
        <v>21.616843458694955</v>
      </c>
      <c r="C146" s="5">
        <f>(L17*($E17/366))+(L18*($E18/366))</f>
        <v>0</v>
      </c>
      <c r="D146" s="5">
        <f>(M17*($E17/366))+(M18*($E18/366))</f>
        <v>74.05978784956605</v>
      </c>
      <c r="E146" s="17">
        <f t="shared" si="57"/>
        <v>95.676631308261008</v>
      </c>
      <c r="G146" s="1">
        <v>1964</v>
      </c>
      <c r="H146" s="362">
        <f>(O17/$R17*100*($E17/366))+(O18/$R18*100*($E18/366))</f>
        <v>9.3165550681135993</v>
      </c>
      <c r="I146" s="362"/>
      <c r="J146" s="362">
        <f>(P17/$R17*100*($E17/366))+(P18/$R18*100*($E18/366))</f>
        <v>0</v>
      </c>
      <c r="K146" s="362"/>
      <c r="L146" s="362">
        <f>(Q17/$R17*100*($E17/366))+(Q18/$R18*100*($E18/366))</f>
        <v>90.683444931886413</v>
      </c>
      <c r="M146" s="362"/>
      <c r="N146" s="363">
        <f t="shared" si="58"/>
        <v>100.00000000000001</v>
      </c>
      <c r="O146" s="363"/>
      <c r="R146" s="1">
        <v>1964</v>
      </c>
      <c r="S146" s="5">
        <f>(O17*($E17/366))+(O18*($E18/366))</f>
        <v>4.6303278688524587</v>
      </c>
      <c r="T146" s="5">
        <f>(P17*($E17/366))+(P18*($E18/366))</f>
        <v>0</v>
      </c>
      <c r="U146" s="5">
        <f>(Q17*($E17/366))+(Q18*($E18/366))</f>
        <v>43.400000000000006</v>
      </c>
      <c r="V146" s="9"/>
      <c r="W146" s="5">
        <f>R17*(E17/366) + R18*(E18/366)</f>
        <v>48.03032786885246</v>
      </c>
      <c r="X146" s="4"/>
      <c r="Z146" s="4"/>
    </row>
    <row r="147" spans="1:26" x14ac:dyDescent="0.15">
      <c r="A147" s="1">
        <v>1965</v>
      </c>
      <c r="B147" s="5">
        <f>(K19*($E19/365))+(K20*($E20/365))</f>
        <v>0</v>
      </c>
      <c r="C147" s="5">
        <f>(L19*($E19/365))+(L20*($E20/365))</f>
        <v>0</v>
      </c>
      <c r="D147" s="5">
        <f>(M19*($E19/365))+(M20*($E20/365))</f>
        <v>100</v>
      </c>
      <c r="E147" s="17">
        <f t="shared" si="57"/>
        <v>100</v>
      </c>
      <c r="G147" s="1">
        <v>1965</v>
      </c>
      <c r="H147" s="362">
        <f>(O19/$R19*100*($E19/365))+(O20/$R20*100*($E20/365))</f>
        <v>0</v>
      </c>
      <c r="I147" s="362"/>
      <c r="J147" s="362">
        <f>(P19/$R19*100*($E19/365))+(P20/$R20*100*($E20/365))</f>
        <v>0</v>
      </c>
      <c r="K147" s="362"/>
      <c r="L147" s="362">
        <f>(Q19/$R19*100*($E19/365))+(Q20/$R20*100*($E20/365))</f>
        <v>100</v>
      </c>
      <c r="M147" s="362"/>
      <c r="N147" s="363">
        <f t="shared" si="58"/>
        <v>100</v>
      </c>
      <c r="O147" s="363"/>
      <c r="R147" s="1">
        <v>1965</v>
      </c>
      <c r="S147" s="5">
        <f>(O19*($E19/365))+(O20*($E20/365))</f>
        <v>0</v>
      </c>
      <c r="T147" s="5">
        <f>(P19*($E19/365))+(P20*($E20/365))</f>
        <v>0</v>
      </c>
      <c r="U147" s="5">
        <f>(Q19*($E19/365))+(Q20*($E20/365))</f>
        <v>43.4</v>
      </c>
      <c r="V147" s="9"/>
      <c r="W147" s="5">
        <f>R19*(E19/365) + R20*(E20/365)</f>
        <v>43.4</v>
      </c>
      <c r="X147" s="4"/>
      <c r="Z147" s="4"/>
    </row>
    <row r="148" spans="1:26" x14ac:dyDescent="0.15">
      <c r="A148" s="1">
        <v>1966</v>
      </c>
      <c r="B148" s="5">
        <f>(K21*($E21/365))+(K22*($E22/365))</f>
        <v>0</v>
      </c>
      <c r="C148" s="5">
        <f>(L21*($E21/365))+(L22*($E22/365))</f>
        <v>0</v>
      </c>
      <c r="D148" s="5">
        <f>(M21*($E21/365))+(M22*($E22/365))</f>
        <v>100.00000000000001</v>
      </c>
      <c r="E148" s="17">
        <f t="shared" si="57"/>
        <v>100.00000000000001</v>
      </c>
      <c r="G148" s="1">
        <v>1966</v>
      </c>
      <c r="H148" s="362">
        <f>(O21/$R21*100*($E21/365))+(O22/$R22*100*($E22/365))</f>
        <v>0</v>
      </c>
      <c r="I148" s="362"/>
      <c r="J148" s="362">
        <f>(P21/$R21*100*($E21/365))+(P22/$R22*100*($E22/365))</f>
        <v>0</v>
      </c>
      <c r="K148" s="362"/>
      <c r="L148" s="362">
        <f>(Q21/$R21*100*($E21/365))+(Q22/$R22*100*($E22/365))</f>
        <v>100.00000000000001</v>
      </c>
      <c r="M148" s="362"/>
      <c r="N148" s="363">
        <f t="shared" si="58"/>
        <v>100.00000000000001</v>
      </c>
      <c r="O148" s="363"/>
      <c r="R148" s="1">
        <v>1966</v>
      </c>
      <c r="S148" s="5">
        <f>(O21*($E21/365))+(O22*($E22/365))</f>
        <v>0</v>
      </c>
      <c r="T148" s="5">
        <f>(P21*($E21/365))+(P22*($E22/365))</f>
        <v>0</v>
      </c>
      <c r="U148" s="5">
        <f>(Q21*($E21/365))+(Q22*($E22/365))</f>
        <v>43.027397260273979</v>
      </c>
      <c r="V148" s="9"/>
      <c r="W148" s="5">
        <f>R21*(E21/365) + R22*(E22/365)</f>
        <v>43.027397260273979</v>
      </c>
      <c r="X148" s="4"/>
      <c r="Z148" s="4"/>
    </row>
    <row r="149" spans="1:26" x14ac:dyDescent="0.15">
      <c r="A149" s="1">
        <v>1967</v>
      </c>
      <c r="B149" s="5">
        <f>(K23*($E23/365))+(K24*($E24/365))</f>
        <v>0</v>
      </c>
      <c r="C149" s="5">
        <f>(L23*($E23/365))+(L24*($E24/365))</f>
        <v>0</v>
      </c>
      <c r="D149" s="5">
        <f>(M23*($E23/365))+(M24*($E24/365))</f>
        <v>100</v>
      </c>
      <c r="E149" s="17">
        <f t="shared" si="57"/>
        <v>100</v>
      </c>
      <c r="G149" s="1">
        <v>1967</v>
      </c>
      <c r="H149" s="362">
        <f>(O23/$R23*100*($E23/365))+(O24/$R24*100*($E24/365))</f>
        <v>0</v>
      </c>
      <c r="I149" s="362"/>
      <c r="J149" s="362">
        <f>(P23/$R23*100*($E23/365))+(P24/$R24*100*($E24/365))</f>
        <v>0</v>
      </c>
      <c r="K149" s="362"/>
      <c r="L149" s="362">
        <f>(Q23/$R23*100*($E23/365))+(Q24/$R24*100*($E24/365))</f>
        <v>100</v>
      </c>
      <c r="M149" s="362"/>
      <c r="N149" s="363">
        <f t="shared" si="58"/>
        <v>100</v>
      </c>
      <c r="O149" s="363"/>
      <c r="R149" s="1">
        <v>1967</v>
      </c>
      <c r="S149" s="5">
        <f>(O23*($E23/365))+(O24*($E24/365))</f>
        <v>0</v>
      </c>
      <c r="T149" s="5">
        <f>(P23*($E23/365))+(P24*($E24/365))</f>
        <v>0</v>
      </c>
      <c r="U149" s="5">
        <f>(Q23*($E23/365))+(Q24*($E24/365))</f>
        <v>39.4</v>
      </c>
      <c r="V149" s="9"/>
      <c r="W149" s="5">
        <f>R23*(E23/365) + R24*(E24/365)</f>
        <v>39.4</v>
      </c>
      <c r="X149" s="4"/>
      <c r="Z149" s="4"/>
    </row>
    <row r="150" spans="1:26" x14ac:dyDescent="0.15">
      <c r="A150" s="1">
        <v>1968</v>
      </c>
      <c r="B150" s="5">
        <f>(K25*($E25/366))+(K26*($E26/366))</f>
        <v>91.530054644808743</v>
      </c>
      <c r="C150" s="5">
        <f>(L25*($E25/366))+(L26*($E26/366))</f>
        <v>0</v>
      </c>
      <c r="D150" s="5">
        <f>(M25*($E25/366))+(M26*($E26/366))</f>
        <v>8.4699453551912569</v>
      </c>
      <c r="E150" s="17">
        <f t="shared" si="57"/>
        <v>100</v>
      </c>
      <c r="G150" s="1">
        <v>1968</v>
      </c>
      <c r="H150" s="362">
        <f>(O25/$R25*100*($E25/366))+(O26/$R26*100*($E26/366))</f>
        <v>91.530054644808743</v>
      </c>
      <c r="I150" s="362"/>
      <c r="J150" s="362">
        <f>(P25/$R25*100*($E25/366))+(P26/$R26*100*($E26/366))</f>
        <v>0</v>
      </c>
      <c r="K150" s="362"/>
      <c r="L150" s="362">
        <f>(Q25/$R25*100*($E25/366))+(Q26/$R26*100*($E26/366))</f>
        <v>8.4699453551912569</v>
      </c>
      <c r="M150" s="362"/>
      <c r="N150" s="363">
        <f t="shared" si="58"/>
        <v>100</v>
      </c>
      <c r="O150" s="363"/>
      <c r="R150" s="1">
        <v>1968</v>
      </c>
      <c r="S150" s="5">
        <f>(O25*($E25/366))+(O26*($E26/366))</f>
        <v>51.165300546448087</v>
      </c>
      <c r="T150" s="5">
        <f>(P25*($E25/366))+(P26*($E26/366))</f>
        <v>0</v>
      </c>
      <c r="U150" s="5">
        <f>(Q25*($E25/366))+(Q26*($E26/366))</f>
        <v>3.3371584699453551</v>
      </c>
      <c r="V150" s="9"/>
      <c r="W150" s="5">
        <f>R25*(E25/366) + R26*(E26/366)</f>
        <v>54.502459016393445</v>
      </c>
      <c r="X150" s="4"/>
      <c r="Z150" s="4"/>
    </row>
    <row r="151" spans="1:26" x14ac:dyDescent="0.15">
      <c r="A151" s="1">
        <v>1969</v>
      </c>
      <c r="B151" s="5">
        <f>(K27*($E27/365))+(K28*($E28/365))</f>
        <v>100</v>
      </c>
      <c r="C151" s="5">
        <f>(L27*($E27/365))+(L28*($E28/365))</f>
        <v>0</v>
      </c>
      <c r="D151" s="5">
        <f>(M27*($E27/365))+(M28*($E28/365))</f>
        <v>0</v>
      </c>
      <c r="E151" s="17">
        <f t="shared" si="57"/>
        <v>100</v>
      </c>
      <c r="G151" s="1">
        <v>1969</v>
      </c>
      <c r="H151" s="362">
        <f>(O27/$R27*100*($E27/365))+(O28/$R28*100*($E28/365))</f>
        <v>100</v>
      </c>
      <c r="I151" s="362"/>
      <c r="J151" s="362">
        <f>(P27/$R27*100*($E27/365))+(P28/$R28*100*($E28/365))</f>
        <v>0</v>
      </c>
      <c r="K151" s="362"/>
      <c r="L151" s="362">
        <f>(Q27/$R27*100*($E27/365))+(Q28/$R28*100*($E28/365))</f>
        <v>0</v>
      </c>
      <c r="M151" s="362"/>
      <c r="N151" s="363">
        <f t="shared" si="58"/>
        <v>100</v>
      </c>
      <c r="O151" s="363"/>
      <c r="R151" s="1">
        <v>1969</v>
      </c>
      <c r="S151" s="5">
        <f>(O27*($E27/365))+(O28*($E28/365))</f>
        <v>55.9</v>
      </c>
      <c r="T151" s="5">
        <f>(P27*($E27/365))+(P28*($E28/365))</f>
        <v>0</v>
      </c>
      <c r="U151" s="5">
        <f>(Q27*($E27/365))+(Q28*($E28/365))</f>
        <v>0</v>
      </c>
      <c r="V151" s="9"/>
      <c r="W151" s="5">
        <f>R27*(E27/365) + R28*(E28/365)</f>
        <v>55.9</v>
      </c>
      <c r="X151" s="4"/>
      <c r="Z151" s="4"/>
    </row>
    <row r="152" spans="1:26" x14ac:dyDescent="0.15">
      <c r="A152" s="1">
        <v>1970</v>
      </c>
      <c r="B152" s="5">
        <f>(K29*($E29/365))+(K30*($E30/365))</f>
        <v>100</v>
      </c>
      <c r="C152" s="5">
        <f>(L29*($E29/365))+(L30*($E30/365))</f>
        <v>0</v>
      </c>
      <c r="D152" s="5">
        <f>(M29*($E29/365))+(M30*($E30/365))</f>
        <v>0</v>
      </c>
      <c r="E152" s="17">
        <f t="shared" si="57"/>
        <v>100</v>
      </c>
      <c r="G152" s="1">
        <v>1970</v>
      </c>
      <c r="H152" s="362">
        <f>(O29/$R29*100*($E29/365))+(O30/$R30*100*($E30/365))</f>
        <v>100</v>
      </c>
      <c r="I152" s="362"/>
      <c r="J152" s="362">
        <f>(P29/$R29*100*($E29/365))+(P30/$R30*100*($E30/365))</f>
        <v>0</v>
      </c>
      <c r="K152" s="362"/>
      <c r="L152" s="362">
        <f>(Q29/$R29*100*($E29/365))+(Q30/$R30*100*($E30/365))</f>
        <v>0</v>
      </c>
      <c r="M152" s="362"/>
      <c r="N152" s="363">
        <f t="shared" si="58"/>
        <v>100</v>
      </c>
      <c r="O152" s="363"/>
      <c r="R152" s="1">
        <v>1970</v>
      </c>
      <c r="S152" s="5">
        <f>(O29*($E29/365))+(O30*($E30/365))</f>
        <v>55.9</v>
      </c>
      <c r="T152" s="5">
        <f>(P29*($E29/365))+(P30*($E30/365))</f>
        <v>0</v>
      </c>
      <c r="U152" s="5">
        <f>(Q29*($E29/365))+(Q30*($E30/365))</f>
        <v>0</v>
      </c>
      <c r="V152" s="9"/>
      <c r="W152" s="5">
        <f>R29*(E29/365) + R30*(E30/365)</f>
        <v>55.9</v>
      </c>
      <c r="X152" s="4"/>
      <c r="Z152" s="4"/>
    </row>
    <row r="153" spans="1:26" x14ac:dyDescent="0.15">
      <c r="A153" s="1">
        <v>1971</v>
      </c>
      <c r="B153" s="5">
        <f>(K31*($E31/365))+(K32*($E32/365))</f>
        <v>77.534246575342465</v>
      </c>
      <c r="C153" s="5">
        <f>(L31*($E31/365))+(L32*($E32/365))</f>
        <v>0</v>
      </c>
      <c r="D153" s="5">
        <f>(M31*($E31/365))+(M32*($E32/365))</f>
        <v>21.217656012176558</v>
      </c>
      <c r="E153" s="17">
        <f t="shared" si="57"/>
        <v>98.751902587519027</v>
      </c>
      <c r="G153" s="1">
        <v>1971</v>
      </c>
      <c r="H153" s="362">
        <f>(O31/$R31*100*($E31/365))+(O32/$R32*100*($E32/365))</f>
        <v>77.534246575342465</v>
      </c>
      <c r="I153" s="362"/>
      <c r="J153" s="362">
        <f>(P31/$R31*100*($E31/365))+(P32/$R32*100*($E32/365))</f>
        <v>0</v>
      </c>
      <c r="K153" s="362"/>
      <c r="L153" s="362">
        <f>(Q31/$R31*100*($E31/365))+(Q32/$R32*100*($E32/365))</f>
        <v>22.465753424657535</v>
      </c>
      <c r="M153" s="362"/>
      <c r="N153" s="363">
        <f t="shared" si="58"/>
        <v>100</v>
      </c>
      <c r="O153" s="363"/>
      <c r="R153" s="1">
        <v>1971</v>
      </c>
      <c r="S153" s="5">
        <f>(O31*($E31/365))+(O32*($E32/365))</f>
        <v>43.341643835616438</v>
      </c>
      <c r="T153" s="5">
        <f>(P31*($E31/365))+(P32*($E32/365))</f>
        <v>0</v>
      </c>
      <c r="U153" s="5">
        <f>(Q31*($E31/365))+(Q32*($E32/365))</f>
        <v>8.9863013698630141</v>
      </c>
      <c r="V153" s="9"/>
      <c r="W153" s="5">
        <f>R31*(E31/365) + R32*(E32/365)</f>
        <v>52.327945205479452</v>
      </c>
      <c r="X153" s="4"/>
      <c r="Z153" s="4"/>
    </row>
    <row r="154" spans="1:26" x14ac:dyDescent="0.15">
      <c r="A154" s="1">
        <v>1972</v>
      </c>
      <c r="B154" s="5">
        <f>(K33*($E33/366))+(K34*($E34/366))</f>
        <v>0</v>
      </c>
      <c r="C154" s="5">
        <f>(L33*($E33/366))+(L34*($E34/366))</f>
        <v>0</v>
      </c>
      <c r="D154" s="5">
        <f>(M33*($E33/366))+(M34*($E34/366))</f>
        <v>94.444444444444429</v>
      </c>
      <c r="E154" s="17">
        <f t="shared" si="57"/>
        <v>94.444444444444429</v>
      </c>
      <c r="G154" s="1">
        <v>1972</v>
      </c>
      <c r="H154" s="362">
        <f>(O33/$R33*100*($E33/366))+(O34/$R34*100*($E34/366))</f>
        <v>0</v>
      </c>
      <c r="I154" s="362"/>
      <c r="J154" s="362">
        <f>(P33/$R33*100*($E33/366))+(P34/$R34*100*($E34/366))</f>
        <v>0</v>
      </c>
      <c r="K154" s="362"/>
      <c r="L154" s="362">
        <f>(Q33/$R33*100*($E33/366))+(Q34/$R34*100*($E34/366))</f>
        <v>99.999999999999986</v>
      </c>
      <c r="M154" s="362"/>
      <c r="N154" s="363">
        <f t="shared" si="58"/>
        <v>99.999999999999986</v>
      </c>
      <c r="O154" s="363"/>
      <c r="R154" s="1">
        <v>1972</v>
      </c>
      <c r="S154" s="5">
        <f>(O33*($E33/366))+(O34*($E34/366))</f>
        <v>0</v>
      </c>
      <c r="T154" s="5">
        <f>(P33*($E33/366))+(P34*($E34/366))</f>
        <v>0</v>
      </c>
      <c r="U154" s="5">
        <f>(Q33*($E33/366))+(Q34*($E34/366))</f>
        <v>40</v>
      </c>
      <c r="V154" s="9"/>
      <c r="W154" s="5">
        <f>R33*(E33/366) + R34*(E34/366)</f>
        <v>40</v>
      </c>
      <c r="X154" s="4"/>
      <c r="Z154" s="4"/>
    </row>
    <row r="155" spans="1:26" x14ac:dyDescent="0.15">
      <c r="A155" s="1">
        <v>1973</v>
      </c>
      <c r="B155" s="5">
        <f>(K35*($E35/365))+(K36*($E36/365))</f>
        <v>3.5616438356164384</v>
      </c>
      <c r="C155" s="5">
        <f>(L35*($E35/365))+(L36*($E36/365))</f>
        <v>0</v>
      </c>
      <c r="D155" s="5">
        <f>(M35*($E35/365))+(M36*($E36/365))</f>
        <v>91.080669710806703</v>
      </c>
      <c r="E155" s="17">
        <f t="shared" si="57"/>
        <v>94.642313546423139</v>
      </c>
      <c r="G155" s="1">
        <v>1973</v>
      </c>
      <c r="H155" s="362">
        <f>(O35/$R35*100*($E35/365))+(O36/$R36*100*($E36/365))</f>
        <v>3.5616438356164384</v>
      </c>
      <c r="I155" s="362"/>
      <c r="J155" s="362">
        <f>(P35/$R35*100*($E35/365))+(P36/$R36*100*($E36/365))</f>
        <v>0</v>
      </c>
      <c r="K155" s="362"/>
      <c r="L155" s="362">
        <f>(Q35/$R35*100*($E35/365))+(Q36/$R36*100*($E36/365))</f>
        <v>96.438356164383563</v>
      </c>
      <c r="M155" s="362"/>
      <c r="N155" s="363">
        <f t="shared" si="58"/>
        <v>100</v>
      </c>
      <c r="O155" s="363"/>
      <c r="R155" s="1">
        <v>1973</v>
      </c>
      <c r="S155" s="5">
        <f>(O35*($E35/365))+(O36*($E36/365))</f>
        <v>0.44876712328767121</v>
      </c>
      <c r="T155" s="5">
        <f>(P35*($E35/365))+(P36*($E36/365))</f>
        <v>0</v>
      </c>
      <c r="U155" s="5">
        <f>(Q35*($E35/365))+(Q36*($E36/365))</f>
        <v>38.575342465753423</v>
      </c>
      <c r="V155" s="9"/>
      <c r="W155" s="5">
        <f>R35*(E35/365) + R36*(E36/365)</f>
        <v>39.024109589041096</v>
      </c>
      <c r="X155" s="4"/>
      <c r="Z155" s="4"/>
    </row>
    <row r="156" spans="1:26" x14ac:dyDescent="0.15">
      <c r="A156" s="1">
        <v>1974</v>
      </c>
      <c r="B156" s="5">
        <f>(K37*($E37/365))+(K38*($E38/365))</f>
        <v>100</v>
      </c>
      <c r="C156" s="5">
        <f>(L37*($E37/365))+(L38*($E38/365))</f>
        <v>0</v>
      </c>
      <c r="D156" s="5">
        <f>(M37*($E37/365))+(M38*($E38/365))</f>
        <v>0</v>
      </c>
      <c r="E156" s="17">
        <f t="shared" si="57"/>
        <v>100</v>
      </c>
      <c r="G156" s="1">
        <v>1974</v>
      </c>
      <c r="H156" s="362">
        <f>(O37/$R37*100*($E37/365))+(O38/$R38*100*($E38/365))</f>
        <v>100</v>
      </c>
      <c r="I156" s="362"/>
      <c r="J156" s="362">
        <f>(P37/$R37*100*($E37/365))+(P38/$R38*100*($E38/365))</f>
        <v>0</v>
      </c>
      <c r="K156" s="362"/>
      <c r="L156" s="362">
        <f>(Q37/$R37*100*($E37/365))+(Q38/$R38*100*($E38/365))</f>
        <v>0</v>
      </c>
      <c r="M156" s="362"/>
      <c r="N156" s="363">
        <f t="shared" si="58"/>
        <v>100</v>
      </c>
      <c r="O156" s="363"/>
      <c r="R156" s="1">
        <v>1974</v>
      </c>
      <c r="S156" s="5">
        <f>(O37*($E37/365))+(O38*($E38/365))</f>
        <v>12.6</v>
      </c>
      <c r="T156" s="5">
        <f>(P37*($E37/365))+(P38*($E38/365))</f>
        <v>0</v>
      </c>
      <c r="U156" s="5">
        <f>(Q37*($E37/365))+(Q38*($E38/365))</f>
        <v>0</v>
      </c>
      <c r="V156" s="9"/>
      <c r="W156" s="5">
        <f>R37*(E37/365) + R38*(E38/365)</f>
        <v>12.6</v>
      </c>
      <c r="X156" s="4"/>
      <c r="Z156" s="4"/>
    </row>
    <row r="157" spans="1:26" x14ac:dyDescent="0.15">
      <c r="A157" s="1">
        <v>1975</v>
      </c>
      <c r="B157" s="5">
        <f>(K39*($E39/365))+(K40*($E40/365))</f>
        <v>11.78082191780822</v>
      </c>
      <c r="C157" s="5">
        <f>(L39*($E39/365))+(L40*($E40/365))</f>
        <v>0</v>
      </c>
      <c r="D157" s="5">
        <f>(M39*($E39/365))+(M40*($E40/365))</f>
        <v>88.219178082191789</v>
      </c>
      <c r="E157" s="17">
        <f t="shared" si="57"/>
        <v>100.00000000000001</v>
      </c>
      <c r="G157" s="1">
        <v>1975</v>
      </c>
      <c r="H157" s="362">
        <f>(O39/$R39*100*($E39/365))+(O40/$R40*100*($E40/365))</f>
        <v>11.78082191780822</v>
      </c>
      <c r="I157" s="362"/>
      <c r="J157" s="362">
        <f>(P39/$R39*100*($E39/365))+(P40/$R40*100*($E40/365))</f>
        <v>0</v>
      </c>
      <c r="K157" s="362"/>
      <c r="L157" s="362">
        <f>(Q39/$R39*100*($E39/365))+(Q40/$R40*100*($E40/365))</f>
        <v>88.219178082191789</v>
      </c>
      <c r="M157" s="362"/>
      <c r="N157" s="363">
        <f t="shared" si="58"/>
        <v>100.00000000000001</v>
      </c>
      <c r="O157" s="363"/>
      <c r="R157" s="1">
        <v>1975</v>
      </c>
      <c r="S157" s="5">
        <f>(O39*($E39/365))+(O40*($E40/365))</f>
        <v>1.4843835616438357</v>
      </c>
      <c r="T157" s="5">
        <f>(P39*($E39/365))+(P40*($E40/365))</f>
        <v>0</v>
      </c>
      <c r="U157" s="5">
        <f>(Q39*($E39/365))+(Q40*($E40/365))</f>
        <v>26.730410958904113</v>
      </c>
      <c r="V157" s="9"/>
      <c r="W157" s="5">
        <f>R39*(E39/365) + R40*(E40/365)</f>
        <v>28.214794520547947</v>
      </c>
      <c r="X157" s="4"/>
      <c r="Z157" s="4"/>
    </row>
    <row r="158" spans="1:26" x14ac:dyDescent="0.15">
      <c r="A158" s="1">
        <v>1976</v>
      </c>
      <c r="B158" s="5">
        <f>(K41*($E41/366))+(K42*($E42/366))</f>
        <v>0</v>
      </c>
      <c r="C158" s="5">
        <f>(L41*($E41/366))+(L42*($E42/366))</f>
        <v>0</v>
      </c>
      <c r="D158" s="5">
        <f>(M41*($E41/366))+(M42*($E42/366))</f>
        <v>100</v>
      </c>
      <c r="E158" s="17">
        <f t="shared" si="57"/>
        <v>100</v>
      </c>
      <c r="G158" s="1">
        <v>1976</v>
      </c>
      <c r="H158" s="362">
        <f>(O41/$R41*100*($E41/366))+(O42/$R42*100*($E42/366))</f>
        <v>0</v>
      </c>
      <c r="I158" s="362"/>
      <c r="J158" s="362">
        <f>(P41/$R41*100*($E41/366))+(P42/$R42*100*($E42/366))</f>
        <v>0</v>
      </c>
      <c r="K158" s="362"/>
      <c r="L158" s="362">
        <f>(Q41/$R41*100*($E41/366))+(Q42/$R42*100*($E42/366))</f>
        <v>100</v>
      </c>
      <c r="M158" s="362"/>
      <c r="N158" s="363">
        <f t="shared" si="58"/>
        <v>100</v>
      </c>
      <c r="O158" s="363"/>
      <c r="R158" s="1">
        <v>1976</v>
      </c>
      <c r="S158" s="5">
        <f>(O41*($E41/366))+(O42*($E42/366))</f>
        <v>0</v>
      </c>
      <c r="T158" s="5">
        <f>(P41*($E41/366))+(P42*($E42/366))</f>
        <v>0</v>
      </c>
      <c r="U158" s="5">
        <f>(Q41*($E41/366))+(Q42*($E42/366))</f>
        <v>30.3</v>
      </c>
      <c r="V158" s="9"/>
      <c r="W158" s="5">
        <f>R41*(E41/366) + R42*(E42/366)</f>
        <v>30.3</v>
      </c>
      <c r="X158" s="4"/>
      <c r="Z158" s="4"/>
    </row>
    <row r="159" spans="1:26" x14ac:dyDescent="0.15">
      <c r="A159" s="1">
        <v>1977</v>
      </c>
      <c r="B159" s="5">
        <f>(K43*($E43/365))+(K44*($E44/365))</f>
        <v>0</v>
      </c>
      <c r="C159" s="5">
        <f>(L43*($E43/365))+(L44*($E44/365))</f>
        <v>0</v>
      </c>
      <c r="D159" s="5">
        <f>(M43*($E43/365))+(M44*($E44/365))</f>
        <v>100</v>
      </c>
      <c r="E159" s="17">
        <f t="shared" si="57"/>
        <v>100</v>
      </c>
      <c r="G159" s="1">
        <v>1977</v>
      </c>
      <c r="H159" s="362">
        <f>(O43/$R43*100*($E43/365))+(O44/$R44*100*($E44/365))</f>
        <v>0</v>
      </c>
      <c r="I159" s="362"/>
      <c r="J159" s="362">
        <f>(P43/$R43*100*($E43/365))+(P44/$R44*100*($E44/365))</f>
        <v>0</v>
      </c>
      <c r="K159" s="362"/>
      <c r="L159" s="362">
        <f>(Q43/$R43*100*($E43/365))+(Q44/$R44*100*($E44/365))</f>
        <v>100</v>
      </c>
      <c r="M159" s="362"/>
      <c r="N159" s="363">
        <f t="shared" si="58"/>
        <v>100</v>
      </c>
      <c r="O159" s="363"/>
      <c r="R159" s="1">
        <v>1977</v>
      </c>
      <c r="S159" s="5">
        <f>(O43*($E43/365))+(O44*($E44/365))</f>
        <v>0</v>
      </c>
      <c r="T159" s="5">
        <f>(P43*($E43/365))+(P44*($E44/365))</f>
        <v>0</v>
      </c>
      <c r="U159" s="5">
        <f>(Q43*($E43/365))+(Q44*($E44/365))</f>
        <v>36.075342465753423</v>
      </c>
      <c r="V159" s="9"/>
      <c r="W159" s="5">
        <f>R43*(E43/365) + R44*(E44/365)</f>
        <v>36.075342465753423</v>
      </c>
      <c r="X159" s="4"/>
      <c r="Z159" s="4"/>
    </row>
    <row r="160" spans="1:26" x14ac:dyDescent="0.15">
      <c r="A160" s="1">
        <v>1978</v>
      </c>
      <c r="B160" s="5">
        <f>(K45*($E45/365))+(K46*($E46/365))</f>
        <v>11.324200913242008</v>
      </c>
      <c r="C160" s="5">
        <f>(L45*($E45/365))+(L46*($E46/365))</f>
        <v>0</v>
      </c>
      <c r="D160" s="5">
        <f>(M45*($E45/365))+(M46*($E46/365))</f>
        <v>88.675799086757991</v>
      </c>
      <c r="E160" s="17">
        <f t="shared" si="57"/>
        <v>100</v>
      </c>
      <c r="G160" s="1">
        <v>1978</v>
      </c>
      <c r="H160" s="362">
        <f>(O45/$R45*100*($E45/365))+(O46/$R46*100*($E46/365))</f>
        <v>8.302876433334264</v>
      </c>
      <c r="I160" s="362"/>
      <c r="J160" s="362">
        <f>(P45/$R45*100*($E45/365))+(P46/$R46*100*($E46/365))</f>
        <v>0</v>
      </c>
      <c r="K160" s="362"/>
      <c r="L160" s="362">
        <f>(Q45/$R45*100*($E45/365))+(Q46/$R46*100*($E46/365))</f>
        <v>91.697123566665738</v>
      </c>
      <c r="M160" s="362"/>
      <c r="N160" s="363">
        <f t="shared" si="58"/>
        <v>100</v>
      </c>
      <c r="O160" s="363"/>
      <c r="R160" s="1">
        <v>1978</v>
      </c>
      <c r="S160" s="5">
        <f>(O45*($E45/365))+(O46*($E46/365))</f>
        <v>4.0767123287671234</v>
      </c>
      <c r="T160" s="5">
        <f>(P45*($E45/365))+(P46*($E46/365))</f>
        <v>0</v>
      </c>
      <c r="U160" s="5">
        <f>(Q45*($E45/365))+(Q46*($E46/365))</f>
        <v>37.099999999999994</v>
      </c>
      <c r="V160" s="9"/>
      <c r="W160" s="5">
        <f>R45*(E45/365) + R46*(E46/365)</f>
        <v>41.176712328767124</v>
      </c>
      <c r="X160" s="4"/>
      <c r="Z160" s="4"/>
    </row>
    <row r="161" spans="1:26" x14ac:dyDescent="0.15">
      <c r="A161" s="1">
        <v>1979</v>
      </c>
      <c r="B161" s="5">
        <f>(K47*($E47/365))+(K48*($E48/365))</f>
        <v>27.214611872146115</v>
      </c>
      <c r="C161" s="5">
        <f>(L47*($E47/365))+(L48*($E48/365))</f>
        <v>0</v>
      </c>
      <c r="D161" s="5">
        <f>(M47*($E47/365))+(M48*($E48/365))</f>
        <v>72.785388127853878</v>
      </c>
      <c r="E161" s="17">
        <f t="shared" si="57"/>
        <v>100</v>
      </c>
      <c r="G161" s="1">
        <v>1979</v>
      </c>
      <c r="H161" s="362">
        <f>(O47/$R47*100*($E47/365))+(O48/$R48*100*($E48/365))</f>
        <v>19.953686912367825</v>
      </c>
      <c r="I161" s="362"/>
      <c r="J161" s="362">
        <f>(P47/$R47*100*($E47/365))+(P48/$R48*100*($E48/365))</f>
        <v>0</v>
      </c>
      <c r="K161" s="362"/>
      <c r="L161" s="362">
        <f>(Q47/$R47*100*($E47/365))+(Q48/$R48*100*($E48/365))</f>
        <v>80.046313087632171</v>
      </c>
      <c r="M161" s="362"/>
      <c r="N161" s="363">
        <f t="shared" si="58"/>
        <v>100</v>
      </c>
      <c r="O161" s="363"/>
      <c r="R161" s="1">
        <v>1979</v>
      </c>
      <c r="S161" s="5">
        <f>(O47*($E47/365))+(O48*($E48/365))</f>
        <v>9.7972602739726025</v>
      </c>
      <c r="T161" s="5">
        <f>(P47*($E47/365))+(P48*($E48/365))</f>
        <v>0</v>
      </c>
      <c r="U161" s="5">
        <f>(Q47*($E47/365))+(Q48*($E48/365))</f>
        <v>37.430410958904112</v>
      </c>
      <c r="V161" s="9"/>
      <c r="W161" s="5">
        <f>R47*(E47/365) + R48*(E48/365)</f>
        <v>47.227671232876709</v>
      </c>
      <c r="X161" s="4"/>
      <c r="Z161" s="4"/>
    </row>
    <row r="162" spans="1:26" x14ac:dyDescent="0.15">
      <c r="A162" s="1">
        <v>1980</v>
      </c>
      <c r="B162" s="5">
        <f>(K49*($E49/366))+(K50*($E50/366))</f>
        <v>0</v>
      </c>
      <c r="C162" s="5">
        <f>(L49*($E49/366))+(L50*($E50/366))</f>
        <v>0</v>
      </c>
      <c r="D162" s="5">
        <f>(M49*($E49/366))+(M50*($E50/366))</f>
        <v>100</v>
      </c>
      <c r="E162" s="17">
        <f t="shared" si="57"/>
        <v>100</v>
      </c>
      <c r="G162" s="1">
        <v>1980</v>
      </c>
      <c r="H162" s="362">
        <f>(O49/$R49*100*($E49/366))+(O50/$R50*100*($E50/366))</f>
        <v>0</v>
      </c>
      <c r="I162" s="362"/>
      <c r="J162" s="362">
        <f>(P49/$R49*100*($E49/366))+(P50/$R50*100*($E50/366))</f>
        <v>0</v>
      </c>
      <c r="K162" s="362"/>
      <c r="L162" s="362">
        <f>(Q49/$R49*100*($E49/366))+(Q50/$R50*100*($E50/366))</f>
        <v>100</v>
      </c>
      <c r="M162" s="362"/>
      <c r="N162" s="363">
        <f t="shared" si="58"/>
        <v>100</v>
      </c>
      <c r="O162" s="363"/>
      <c r="R162" s="1">
        <v>1980</v>
      </c>
      <c r="S162" s="5">
        <f>(O49*($E49/366))+(O50*($E50/366))</f>
        <v>0</v>
      </c>
      <c r="T162" s="5">
        <f>(P49*($E49/366))+(P50*($E50/366))</f>
        <v>0</v>
      </c>
      <c r="U162" s="5">
        <f>(Q49*($E49/366))+(Q50*($E50/366))</f>
        <v>38.9</v>
      </c>
      <c r="V162" s="9"/>
      <c r="W162" s="5">
        <f>R49*(E49/366) + R50*(E50/366)</f>
        <v>38.9</v>
      </c>
      <c r="X162" s="4"/>
      <c r="Z162" s="4"/>
    </row>
    <row r="163" spans="1:26" x14ac:dyDescent="0.15">
      <c r="A163" s="1">
        <v>1981</v>
      </c>
      <c r="B163" s="5">
        <f>(K51*($E51/365))+(K52*($E52/365))</f>
        <v>0</v>
      </c>
      <c r="C163" s="5">
        <f>(L51*($E51/365))+(L52*($E52/365))</f>
        <v>0</v>
      </c>
      <c r="D163" s="5">
        <f>(M51*($E51/365))+(M52*($E52/365))</f>
        <v>100.00000000000001</v>
      </c>
      <c r="E163" s="17">
        <f t="shared" si="57"/>
        <v>100.00000000000001</v>
      </c>
      <c r="G163" s="1">
        <v>1981</v>
      </c>
      <c r="H163" s="362">
        <f>(O51/$R51*100*($E51/365))+(O52/$R52*100*($E52/365))</f>
        <v>0</v>
      </c>
      <c r="I163" s="362"/>
      <c r="J163" s="362">
        <f>(P51/$R51*100*($E51/365))+(P52/$R52*100*($E52/365))</f>
        <v>0</v>
      </c>
      <c r="K163" s="362"/>
      <c r="L163" s="362">
        <f>(Q51/$R51*100*($E51/365))+(Q52/$R52*100*($E52/365))</f>
        <v>100.00000000000001</v>
      </c>
      <c r="M163" s="362"/>
      <c r="N163" s="363">
        <f t="shared" si="58"/>
        <v>100.00000000000001</v>
      </c>
      <c r="O163" s="363"/>
      <c r="R163" s="1">
        <v>1981</v>
      </c>
      <c r="S163" s="5">
        <f>(O51*($E51/365))+(O52*($E52/365))</f>
        <v>0</v>
      </c>
      <c r="T163" s="5">
        <f>(P51*($E51/365))+(P52*($E52/365))</f>
        <v>0</v>
      </c>
      <c r="U163" s="5">
        <f>(Q51*($E51/365))+(Q52*($E52/365))</f>
        <v>38.88575342465753</v>
      </c>
      <c r="V163" s="9"/>
      <c r="W163" s="5">
        <f>R51*(E51/365) + R52*(E52/365)</f>
        <v>38.88575342465753</v>
      </c>
      <c r="X163" s="4"/>
      <c r="Z163" s="4"/>
    </row>
    <row r="164" spans="1:26" x14ac:dyDescent="0.15">
      <c r="A164" s="1">
        <v>1982</v>
      </c>
      <c r="B164" s="5">
        <f>(K53*($E53/365))+(K54*($E54/365))</f>
        <v>23.587736464448792</v>
      </c>
      <c r="C164" s="5">
        <f>(L53*($E53/365))+(L54*($E54/365))</f>
        <v>7.3711676451402468</v>
      </c>
      <c r="D164" s="5">
        <f>(M53*($E53/365))+(M54*($E54/365))</f>
        <v>69.041095890410958</v>
      </c>
      <c r="E164" s="17">
        <f t="shared" si="57"/>
        <v>100</v>
      </c>
      <c r="G164" s="1">
        <v>1982</v>
      </c>
      <c r="H164" s="362">
        <f>(O53/$R53*100*($E53/365))+(O54/$R54*100*($E54/365))</f>
        <v>23.459000578815356</v>
      </c>
      <c r="I164" s="362"/>
      <c r="J164" s="362">
        <f>(P53/$R53*100*($E53/365))+(P54/$R54*100*($E54/365))</f>
        <v>7.4999035307736834</v>
      </c>
      <c r="K164" s="362"/>
      <c r="L164" s="362">
        <f>(Q53/$R53*100*($E53/365))+(Q54/$R54*100*($E54/365))</f>
        <v>69.041095890410958</v>
      </c>
      <c r="M164" s="362"/>
      <c r="N164" s="363">
        <f t="shared" si="58"/>
        <v>100</v>
      </c>
      <c r="O164" s="363"/>
      <c r="R164" s="1">
        <v>1982</v>
      </c>
      <c r="S164" s="5">
        <f>(O53*($E53/365))+(O54*($E54/365))</f>
        <v>8.3279452054794518</v>
      </c>
      <c r="T164" s="5">
        <f>(P53*($E53/365))+(P54*($E54/365))</f>
        <v>2.6624657534246574</v>
      </c>
      <c r="U164" s="5">
        <f>(Q53*($E53/365))+(Q54*($E54/365))</f>
        <v>23.266849315068498</v>
      </c>
      <c r="V164" s="9"/>
      <c r="W164" s="5">
        <f>R53*(E53/365) + R54*(E54/365)</f>
        <v>34.257260273972605</v>
      </c>
      <c r="X164" s="4"/>
      <c r="Z164" s="4"/>
    </row>
    <row r="165" spans="1:26" x14ac:dyDescent="0.15">
      <c r="A165" s="1">
        <v>1983</v>
      </c>
      <c r="B165" s="5">
        <f>(K55*($E55/365))+(K56*($E56/365))</f>
        <v>76.19047619047619</v>
      </c>
      <c r="C165" s="5">
        <f>(L55*($E55/365))+(L56*($E56/365))</f>
        <v>23.809523809523807</v>
      </c>
      <c r="D165" s="5">
        <f>(M55*($E55/365))+(M56*($E56/365))</f>
        <v>0</v>
      </c>
      <c r="E165" s="17">
        <f t="shared" si="57"/>
        <v>100</v>
      </c>
      <c r="G165" s="1">
        <v>1983</v>
      </c>
      <c r="H165" s="362">
        <f>(O55/$R55*100*($E55/365))+(O56/$R56*100*($E56/365))</f>
        <v>75.774647887323937</v>
      </c>
      <c r="I165" s="362"/>
      <c r="J165" s="362">
        <f>(P55/$R55*100*($E55/365))+(P56/$R56*100*($E56/365))</f>
        <v>24.225352112676056</v>
      </c>
      <c r="K165" s="362"/>
      <c r="L165" s="362">
        <f>(Q55/$R55*100*($E55/365))+(Q56/$R56*100*($E56/365))</f>
        <v>0</v>
      </c>
      <c r="M165" s="362"/>
      <c r="N165" s="363">
        <f t="shared" si="58"/>
        <v>100</v>
      </c>
      <c r="O165" s="363"/>
      <c r="R165" s="1">
        <v>1983</v>
      </c>
      <c r="S165" s="5">
        <f>(O55*($E55/365))+(O56*($E56/365))</f>
        <v>26.9</v>
      </c>
      <c r="T165" s="5">
        <f>(P55*($E55/365))+(P56*($E56/365))</f>
        <v>8.6</v>
      </c>
      <c r="U165" s="5">
        <f>(Q55*($E55/365))+(Q56*($E56/365))</f>
        <v>0</v>
      </c>
      <c r="V165" s="9"/>
      <c r="W165" s="5">
        <f>R55*(E55/365) + R56*(E56/365)</f>
        <v>35.5</v>
      </c>
      <c r="X165" s="4"/>
      <c r="Z165" s="4"/>
    </row>
    <row r="166" spans="1:26" x14ac:dyDescent="0.15">
      <c r="A166" s="1">
        <v>1984</v>
      </c>
      <c r="B166" s="5">
        <f>(K57*($E57/366))+(K58*($E58/366))</f>
        <v>76.19047619047619</v>
      </c>
      <c r="C166" s="5">
        <f>(L57*($E57/366))+(L58*($E58/366))</f>
        <v>23.80952380952381</v>
      </c>
      <c r="D166" s="5">
        <f>(M57*($E57/366))+(M58*($E58/366))</f>
        <v>0</v>
      </c>
      <c r="E166" s="17">
        <f t="shared" si="57"/>
        <v>100</v>
      </c>
      <c r="G166" s="1">
        <v>1984</v>
      </c>
      <c r="H166" s="362">
        <f>(O57/$R57*100*($E57/366))+(O58/$R58*100*($E58/366))</f>
        <v>88.121273665655679</v>
      </c>
      <c r="I166" s="362"/>
      <c r="J166" s="362">
        <f>(P57/$R57*100*($E57/366))+(P58/$R58*100*($E58/366))</f>
        <v>11.878726334344332</v>
      </c>
      <c r="K166" s="362"/>
      <c r="L166" s="362">
        <f>(Q57/$R57*100*($E57/366))+(Q58/$R58*100*($E58/366))</f>
        <v>0</v>
      </c>
      <c r="M166" s="362"/>
      <c r="N166" s="363">
        <f t="shared" si="58"/>
        <v>100.00000000000001</v>
      </c>
      <c r="O166" s="363"/>
      <c r="R166" s="1">
        <v>1984</v>
      </c>
      <c r="S166" s="5">
        <f>(O57*($E57/366))+(O58*($E58/366))</f>
        <v>36.069945355191258</v>
      </c>
      <c r="T166" s="5">
        <f>(P57*($E57/366))+(P58*($E58/366))</f>
        <v>4.8185792349726775</v>
      </c>
      <c r="U166" s="5">
        <f>(Q57*($E57/366))+(Q58*($E58/366))</f>
        <v>0</v>
      </c>
      <c r="V166" s="9"/>
      <c r="W166" s="5">
        <f>R57*(E57/366) + R58*(E58/366)</f>
        <v>40.888524590163939</v>
      </c>
      <c r="X166" s="4"/>
      <c r="Z166" s="4"/>
    </row>
    <row r="167" spans="1:26" x14ac:dyDescent="0.15">
      <c r="A167" s="1">
        <v>1985</v>
      </c>
      <c r="B167" s="5">
        <f>(K59*($E59/365))+(K60*($E60/365))</f>
        <v>76.19047619047619</v>
      </c>
      <c r="C167" s="5">
        <f>(L59*($E59/365))+(L60*($E60/365))</f>
        <v>23.809523809523807</v>
      </c>
      <c r="D167" s="5">
        <f>(M59*($E59/365))+(M60*($E60/365))</f>
        <v>0</v>
      </c>
      <c r="E167" s="17">
        <f t="shared" si="57"/>
        <v>100</v>
      </c>
      <c r="G167" s="1">
        <v>1985</v>
      </c>
      <c r="H167" s="362">
        <f>(O59/$R59*100*($E59/365))+(O60/$R60*100*($E60/365))</f>
        <v>88.834951456310677</v>
      </c>
      <c r="I167" s="362"/>
      <c r="J167" s="362">
        <f>(P59/$R59*100*($E59/365))+(P60/$R60*100*($E60/365))</f>
        <v>11.165048543689318</v>
      </c>
      <c r="K167" s="362"/>
      <c r="L167" s="362">
        <f>(Q59/$R59*100*($E59/365))+(Q60/$R60*100*($E60/365))</f>
        <v>0</v>
      </c>
      <c r="M167" s="362"/>
      <c r="N167" s="363">
        <f t="shared" si="58"/>
        <v>100</v>
      </c>
      <c r="O167" s="363"/>
      <c r="R167" s="1">
        <v>1985</v>
      </c>
      <c r="S167" s="5">
        <f>(O59*($E59/365))+(O60*($E60/365))</f>
        <v>36.6</v>
      </c>
      <c r="T167" s="5">
        <f>(P59*($E59/365))+(P60*($E60/365))</f>
        <v>4.5999999999999996</v>
      </c>
      <c r="U167" s="5">
        <f>(Q59*($E59/365))+(Q60*($E60/365))</f>
        <v>0</v>
      </c>
      <c r="V167" s="9"/>
      <c r="W167" s="5">
        <f>R59*(E59/365) + R60*(E60/365)</f>
        <v>41.2</v>
      </c>
      <c r="X167" s="4"/>
      <c r="Z167" s="4"/>
    </row>
    <row r="168" spans="1:26" x14ac:dyDescent="0.15">
      <c r="A168" s="1">
        <v>1986</v>
      </c>
      <c r="B168" s="5">
        <f>(K61*($E61/365))+(K62*($E62/365))</f>
        <v>76.19047619047619</v>
      </c>
      <c r="C168" s="5">
        <f>(L61*($E61/365))+(L62*($E62/365))</f>
        <v>23.809523809523807</v>
      </c>
      <c r="D168" s="5">
        <f>(M61*($E61/365))+(M62*($E62/365))</f>
        <v>0</v>
      </c>
      <c r="E168" s="17">
        <f t="shared" si="57"/>
        <v>100</v>
      </c>
      <c r="G168" s="1">
        <v>1986</v>
      </c>
      <c r="H168" s="362">
        <f>(O61/$R61*100*($E61/365))+(O62/$R62*100*($E62/365))</f>
        <v>88.834951456310677</v>
      </c>
      <c r="I168" s="362"/>
      <c r="J168" s="362">
        <f>(P61/$R61*100*($E61/365))+(P62/$R62*100*($E62/365))</f>
        <v>11.165048543689318</v>
      </c>
      <c r="K168" s="362"/>
      <c r="L168" s="362">
        <f>(Q61/$R61*100*($E61/365))+(Q62/$R62*100*($E62/365))</f>
        <v>0</v>
      </c>
      <c r="M168" s="362"/>
      <c r="N168" s="363">
        <f t="shared" si="58"/>
        <v>100</v>
      </c>
      <c r="O168" s="363"/>
      <c r="R168" s="1">
        <v>1986</v>
      </c>
      <c r="S168" s="5">
        <f>(O61*($E61/365))+(O62*($E62/365))</f>
        <v>36.6</v>
      </c>
      <c r="T168" s="5">
        <f>(P61*($E61/365))+(P62*($E62/365))</f>
        <v>4.5999999999999996</v>
      </c>
      <c r="U168" s="5">
        <f>(Q61*($E61/365))+(Q62*($E62/365))</f>
        <v>0</v>
      </c>
      <c r="V168" s="9"/>
      <c r="W168" s="5">
        <f>R61*(E61/365) + R62*(E62/365)</f>
        <v>41.2</v>
      </c>
      <c r="X168" s="4"/>
      <c r="Z168" s="4"/>
    </row>
    <row r="169" spans="1:26" x14ac:dyDescent="0.15">
      <c r="A169" s="1">
        <v>1987</v>
      </c>
      <c r="B169" s="5">
        <f>(K63*($E63/365))+(K64*($E64/365))</f>
        <v>77.932752179327537</v>
      </c>
      <c r="C169" s="5">
        <f>(L63*($E63/365))+(L64*($E64/365))</f>
        <v>22.067247820672478</v>
      </c>
      <c r="D169" s="5">
        <f>(M63*($E63/365))+(M64*($E64/365))</f>
        <v>0</v>
      </c>
      <c r="E169" s="17">
        <f t="shared" si="57"/>
        <v>100.00000000000001</v>
      </c>
      <c r="G169" s="1">
        <v>1987</v>
      </c>
      <c r="H169" s="362">
        <f>(O63/$R63*100*($E63/365))+(O64/$R64*100*($E64/365))</f>
        <v>86.50120940500193</v>
      </c>
      <c r="I169" s="362"/>
      <c r="J169" s="362">
        <f>(P63/$R63*100*($E63/365))+(P64/$R64*100*($E64/365))</f>
        <v>13.498790594998074</v>
      </c>
      <c r="K169" s="362"/>
      <c r="L169" s="362">
        <f>(Q63/$R63*100*($E63/365))+(Q64/$R64*100*($E64/365))</f>
        <v>0</v>
      </c>
      <c r="M169" s="362"/>
      <c r="N169" s="363">
        <f t="shared" si="58"/>
        <v>100</v>
      </c>
      <c r="O169" s="363"/>
      <c r="R169" s="1">
        <v>1987</v>
      </c>
      <c r="S169" s="5">
        <f>(O63*($E63/365))+(O64*($E64/365))</f>
        <v>35.361643835616441</v>
      </c>
      <c r="T169" s="5">
        <f>(P63*($E63/365))+(P64*($E64/365))</f>
        <v>5.4978082191780828</v>
      </c>
      <c r="U169" s="5">
        <f>(Q63*($E63/365))+(Q64*($E64/365))</f>
        <v>0</v>
      </c>
      <c r="V169" s="9"/>
      <c r="W169" s="5">
        <f>R63*(E63/365) + R64*(E64/365)</f>
        <v>40.859452054794524</v>
      </c>
      <c r="X169" s="4"/>
      <c r="Z169" s="4"/>
    </row>
    <row r="170" spans="1:26" x14ac:dyDescent="0.15">
      <c r="A170" s="1">
        <v>1988</v>
      </c>
      <c r="B170" s="5">
        <f>(K65*($E65/366))+(K66*($E66/366))</f>
        <v>92.349726775956285</v>
      </c>
      <c r="C170" s="5">
        <f>(L65*($E65/366))+(L66*($E66/366))</f>
        <v>7.6502732240437172</v>
      </c>
      <c r="D170" s="5">
        <f>(M65*($E65/366))+(M66*($E66/366))</f>
        <v>0</v>
      </c>
      <c r="E170" s="17">
        <f t="shared" si="57"/>
        <v>100</v>
      </c>
      <c r="G170" s="1">
        <v>1988</v>
      </c>
      <c r="H170" s="362">
        <f>(O65/$R65*100*($E65/366))+(O66/$R66*100*($E66/366))</f>
        <v>92.130329912922605</v>
      </c>
      <c r="I170" s="362"/>
      <c r="J170" s="362">
        <f>(P65/$R65*100*($E65/366))+(P66/$R66*100*($E66/366))</f>
        <v>7.8696700870773881</v>
      </c>
      <c r="K170" s="362"/>
      <c r="L170" s="362">
        <f>(Q65/$R65*100*($E65/366))+(Q66/$R66*100*($E66/366))</f>
        <v>0</v>
      </c>
      <c r="M170" s="362"/>
      <c r="N170" s="363">
        <f t="shared" si="58"/>
        <v>100</v>
      </c>
      <c r="O170" s="363"/>
      <c r="R170" s="1">
        <v>1988</v>
      </c>
      <c r="S170" s="5">
        <f>(O65*($E65/366))+(O66*($E66/366))</f>
        <v>35.901639344262293</v>
      </c>
      <c r="T170" s="5">
        <f>(P65*($E65/366))+(P66*($E66/366))</f>
        <v>3.1557377049180331</v>
      </c>
      <c r="U170" s="5">
        <f>(Q65*($E65/366))+(Q66*($E66/366))</f>
        <v>0</v>
      </c>
      <c r="V170" s="9"/>
      <c r="W170" s="5">
        <f>R65*(E65/366) + R66*(E66/366)</f>
        <v>39.057377049180332</v>
      </c>
      <c r="X170" s="4"/>
      <c r="Z170" s="4"/>
    </row>
    <row r="171" spans="1:26" s="3" customFormat="1" x14ac:dyDescent="0.15">
      <c r="A171" s="3">
        <v>1989</v>
      </c>
      <c r="B171" s="8">
        <f>(K67*($E67/365))+(K68*($E68/365))</f>
        <v>100</v>
      </c>
      <c r="C171" s="8">
        <f>(L67*($E67/365))+(L68*($E68/365))</f>
        <v>0</v>
      </c>
      <c r="D171" s="8">
        <f>(M67*($E67/365))+(M68*($E68/365))</f>
        <v>0</v>
      </c>
      <c r="E171" s="18">
        <f t="shared" si="57"/>
        <v>100</v>
      </c>
      <c r="G171" s="3">
        <v>1989</v>
      </c>
      <c r="H171" s="364">
        <f>(O67/$R67*100*($E67/365))+(O68/$R68*100*($E68/365))</f>
        <v>100</v>
      </c>
      <c r="I171" s="364"/>
      <c r="J171" s="364">
        <f>(P67/$R67*100*($E67/365))+(P68/$R68*100*($E68/365))</f>
        <v>0</v>
      </c>
      <c r="K171" s="364"/>
      <c r="L171" s="364">
        <f>(Q67/$R67*100*($E67/365))+(Q68/$R68*100*($E68/365))</f>
        <v>0</v>
      </c>
      <c r="M171" s="364"/>
      <c r="N171" s="391">
        <f t="shared" si="58"/>
        <v>100</v>
      </c>
      <c r="O171" s="391"/>
      <c r="R171" s="3">
        <v>1989</v>
      </c>
      <c r="S171" s="8">
        <f>(O67*($E67/365))+(O68*($E68/365))</f>
        <v>38.299999999999997</v>
      </c>
      <c r="T171" s="8">
        <f>(P67*($E67/365))+(P68*($E68/365))</f>
        <v>0</v>
      </c>
      <c r="U171" s="8">
        <f>(Q67*($E67/365))+(Q68*($E68/365))</f>
        <v>0</v>
      </c>
      <c r="V171" s="20"/>
      <c r="W171" s="8">
        <f>R67*(E67/365) + R68*(E68/365)</f>
        <v>38.299999999999997</v>
      </c>
      <c r="X171" s="12"/>
      <c r="Z171" s="12"/>
    </row>
    <row r="172" spans="1:26" x14ac:dyDescent="0.15">
      <c r="A172" s="1">
        <v>1990</v>
      </c>
      <c r="B172" s="5">
        <f>(K69*($E69/365))+(K70*($E70/365))</f>
        <v>100.00000000000001</v>
      </c>
      <c r="C172" s="5">
        <f>(L69*($E69/365))+(L70*($E70/365))</f>
        <v>0</v>
      </c>
      <c r="D172" s="5">
        <f>(M69*($E69/365))+(M70*($E70/365))</f>
        <v>0</v>
      </c>
      <c r="E172" s="17">
        <f>SUM(B172:D172)</f>
        <v>100.00000000000001</v>
      </c>
      <c r="G172" s="1">
        <v>1990</v>
      </c>
      <c r="H172" s="362">
        <f>(O69/$R69*100*($E69/365))+(O70/$R70*100*($E70/365))</f>
        <v>100.00000000000001</v>
      </c>
      <c r="I172" s="362"/>
      <c r="J172" s="362">
        <f>(P69/$R69*100*($E69/365))+(P70/$R70*100*($E70/365))</f>
        <v>0</v>
      </c>
      <c r="K172" s="362"/>
      <c r="L172" s="362">
        <f>(Q69/$R69*100*($E69/365))+(Q70/$R70*100*($E70/365))</f>
        <v>0</v>
      </c>
      <c r="M172" s="362"/>
      <c r="N172" s="363">
        <f t="shared" si="58"/>
        <v>100.00000000000001</v>
      </c>
      <c r="O172" s="363"/>
      <c r="R172" s="1">
        <v>1990</v>
      </c>
      <c r="S172" s="5">
        <f>(O69*($E69/365))+(O70*($E70/365))</f>
        <v>38.123561643835615</v>
      </c>
      <c r="T172" s="5">
        <f>(P69*($E69/365))+(P70*($E70/365))</f>
        <v>0</v>
      </c>
      <c r="U172" s="5">
        <f>(Q69*($E69/365))+(Q70*($E70/365))</f>
        <v>0</v>
      </c>
      <c r="V172" s="9"/>
      <c r="W172" s="5">
        <f>R69*(E69/365) + R70*(E70/365)</f>
        <v>38.123561643835615</v>
      </c>
      <c r="X172" s="4"/>
      <c r="Z172" s="4"/>
    </row>
    <row r="173" spans="1:26" x14ac:dyDescent="0.15">
      <c r="A173" s="1">
        <v>1991</v>
      </c>
      <c r="B173" s="5">
        <f>(K71*($E71/365))+(K72*($E72/365))</f>
        <v>100</v>
      </c>
      <c r="C173" s="5">
        <f>(L71*($E71/365))+(L72*($E72/365))</f>
        <v>0</v>
      </c>
      <c r="D173" s="5">
        <f>(M71*($E71/365))+(M72*($E72/365))</f>
        <v>0</v>
      </c>
      <c r="E173" s="17">
        <f t="shared" ref="E173:E194" si="59">SUM(B173:D173)</f>
        <v>100</v>
      </c>
      <c r="G173" s="1">
        <v>1991</v>
      </c>
      <c r="H173" s="362">
        <f>(O71/$R71*100*($E71/365))+(O72/$R72*100*($E72/365))</f>
        <v>100</v>
      </c>
      <c r="I173" s="362"/>
      <c r="J173" s="362">
        <f>(P71/$R71*100*($E71/365))+(P72/$R72*100*($E72/365))</f>
        <v>0</v>
      </c>
      <c r="K173" s="362"/>
      <c r="L173" s="362">
        <f>(Q71/$R71*100*($E71/365))+(Q72/$R72*100*($E72/365))</f>
        <v>0</v>
      </c>
      <c r="M173" s="362"/>
      <c r="N173" s="363">
        <f t="shared" si="58"/>
        <v>100</v>
      </c>
      <c r="O173" s="363"/>
      <c r="R173" s="1">
        <v>1991</v>
      </c>
      <c r="S173" s="5">
        <f>(O71*($E71/365))+(O72*($E72/365))</f>
        <v>33.700000000000003</v>
      </c>
      <c r="T173" s="5">
        <f>(P71*($E71/365))+(P72*($E72/365))</f>
        <v>0</v>
      </c>
      <c r="U173" s="5">
        <f>(Q71*($E71/365))+(Q72*($E72/365))</f>
        <v>0</v>
      </c>
      <c r="V173" s="9"/>
      <c r="W173" s="5">
        <f>R71*(E71/365) + R72*(E72/365)</f>
        <v>33.700000000000003</v>
      </c>
      <c r="X173" s="4"/>
      <c r="Z173" s="4"/>
    </row>
    <row r="174" spans="1:26" x14ac:dyDescent="0.15">
      <c r="A174" s="1">
        <v>1992</v>
      </c>
      <c r="B174" s="5">
        <f>(K73*($E73/366))+(K74*($E74/366))</f>
        <v>100</v>
      </c>
      <c r="C174" s="5">
        <f>(L73*($E73/366))+(L74*($E74/366))</f>
        <v>0</v>
      </c>
      <c r="D174" s="5">
        <f>(M73*($E73/366))+(M74*($E74/366))</f>
        <v>0</v>
      </c>
      <c r="E174" s="17">
        <f t="shared" si="59"/>
        <v>100</v>
      </c>
      <c r="G174" s="1">
        <v>1992</v>
      </c>
      <c r="H174" s="362">
        <f>(O73/$R73*100*($E73/366))+(O74/$R74*100*($E74/366))</f>
        <v>100</v>
      </c>
      <c r="I174" s="362"/>
      <c r="J174" s="362">
        <f>(P73/$R73*100*($E73/366))+(P74/$R74*100*($E74/366))</f>
        <v>0</v>
      </c>
      <c r="K174" s="362"/>
      <c r="L174" s="362">
        <f>(Q73/$R73*100*($E73/366))+(Q74/$R74*100*($E74/366))</f>
        <v>0</v>
      </c>
      <c r="M174" s="362"/>
      <c r="N174" s="363">
        <f t="shared" si="58"/>
        <v>100</v>
      </c>
      <c r="O174" s="363"/>
      <c r="R174" s="1">
        <v>1992</v>
      </c>
      <c r="S174" s="5">
        <f>(O73*($E73/366))+(O74*($E74/366))</f>
        <v>33.700000000000003</v>
      </c>
      <c r="T174" s="5">
        <f>(P73*($E73/366))+(P74*($E74/366))</f>
        <v>0</v>
      </c>
      <c r="U174" s="5">
        <f>(Q73*($E73/366))+(Q74*($E74/366))</f>
        <v>0</v>
      </c>
      <c r="V174" s="9"/>
      <c r="W174" s="5">
        <f>R73*(E73/366) + R74*(E74/366)</f>
        <v>33.700000000000003</v>
      </c>
      <c r="X174" s="4"/>
      <c r="Z174" s="4"/>
    </row>
    <row r="175" spans="1:26" x14ac:dyDescent="0.15">
      <c r="A175" s="1">
        <v>1993</v>
      </c>
      <c r="B175" s="5">
        <f>(K75*($E75/365))+(K76*($E76/365))</f>
        <v>18.253424657534246</v>
      </c>
      <c r="C175" s="5">
        <f>(L75*($E75/365))+(L76*($E76/365))</f>
        <v>23.356164383561644</v>
      </c>
      <c r="D175" s="5">
        <f>(M75*($E75/365))+(M76*($E76/365))</f>
        <v>58.390410958904113</v>
      </c>
      <c r="E175" s="17">
        <f t="shared" si="59"/>
        <v>100</v>
      </c>
      <c r="G175" s="1">
        <v>1993</v>
      </c>
      <c r="H175" s="362">
        <f>(O75/$R75*100*($E75/365))+(O76/$R76*100*($E76/365))</f>
        <v>13.931614712544494</v>
      </c>
      <c r="I175" s="362"/>
      <c r="J175" s="362">
        <f>(P75/$R75*100*($E75/365))+(P76/$R76*100*($E76/365))</f>
        <v>13.60910365656348</v>
      </c>
      <c r="K175" s="362"/>
      <c r="L175" s="362">
        <f>(Q75/$R75*100*($E75/365))+(Q76/$R76*100*($E76/365))</f>
        <v>72.459281630892036</v>
      </c>
      <c r="M175" s="362"/>
      <c r="N175" s="363">
        <f t="shared" si="58"/>
        <v>100.00000000000001</v>
      </c>
      <c r="O175" s="363"/>
      <c r="R175" s="1">
        <v>1993</v>
      </c>
      <c r="S175" s="5">
        <f>(O75*($E75/365))+(O76*($E76/365))</f>
        <v>5.9528767123287674</v>
      </c>
      <c r="T175" s="5">
        <f>(P75*($E75/365))+(P76*($E76/365))</f>
        <v>6.9134246575342475</v>
      </c>
      <c r="U175" s="5">
        <f>(Q75*($E75/365))+(Q76*($E76/365))</f>
        <v>36.809315068493149</v>
      </c>
      <c r="V175" s="9"/>
      <c r="W175" s="5">
        <f>R75*(E75/365) + R76*(E76/365)</f>
        <v>49.675616438356165</v>
      </c>
      <c r="X175" s="4"/>
      <c r="Z175" s="4"/>
    </row>
    <row r="176" spans="1:26" x14ac:dyDescent="0.15">
      <c r="A176" s="1">
        <v>1994</v>
      </c>
      <c r="B176" s="5">
        <f>(K77*($E77/365))+(K78*($E78/365))</f>
        <v>13.150684931506849</v>
      </c>
      <c r="C176" s="5">
        <f>(L77*($E77/365))+(L78*($E78/365))</f>
        <v>21.095890410958905</v>
      </c>
      <c r="D176" s="5">
        <f>(M77*($E77/365))+(M78*($E78/365))</f>
        <v>65.753424657534254</v>
      </c>
      <c r="E176" s="17">
        <f t="shared" si="59"/>
        <v>100</v>
      </c>
      <c r="G176" s="1">
        <v>1994</v>
      </c>
      <c r="H176" s="362">
        <f>(O77/$R77*100*($E77/365))+(O78/$R78*100*($E78/365))</f>
        <v>8.6154308784014297</v>
      </c>
      <c r="I176" s="362"/>
      <c r="J176" s="362">
        <f>(P77/$R77*100*($E77/365))+(P78/$R78*100*($E78/365))</f>
        <v>12.534964406391438</v>
      </c>
      <c r="K176" s="362"/>
      <c r="L176" s="362">
        <f>(Q77/$R77*100*($E77/365))+(Q78/$R78*100*($E78/365))</f>
        <v>78.849604715207121</v>
      </c>
      <c r="M176" s="362"/>
      <c r="N176" s="363">
        <f t="shared" si="58"/>
        <v>99.999999999999986</v>
      </c>
      <c r="O176" s="363"/>
      <c r="R176" s="1">
        <v>1994</v>
      </c>
      <c r="S176" s="5">
        <f>(O77*($E77/365))+(O78*($E78/365))</f>
        <v>4.1561643835616433</v>
      </c>
      <c r="T176" s="5">
        <f>(P77*($E77/365))+(P78*($E78/365))</f>
        <v>6.2287671232876711</v>
      </c>
      <c r="U176" s="5">
        <f>(Q77*($E77/365))+(Q78*($E78/365))</f>
        <v>38.358904109589034</v>
      </c>
      <c r="V176" s="9"/>
      <c r="W176" s="5">
        <f>R77*(E77/365) + R78*(E78/365)</f>
        <v>48.743835616438346</v>
      </c>
      <c r="X176" s="4"/>
      <c r="Z176" s="4"/>
    </row>
    <row r="177" spans="1:26" x14ac:dyDescent="0.15">
      <c r="A177" s="1">
        <v>1995</v>
      </c>
      <c r="B177" s="5">
        <f>(K79*($E79/365))+(K80*($E80/365))</f>
        <v>15</v>
      </c>
      <c r="C177" s="5">
        <f>(L79*($E79/365))+(L80*($E80/365))</f>
        <v>10</v>
      </c>
      <c r="D177" s="5">
        <f>(M79*($E79/365))+(M80*($E80/365))</f>
        <v>75</v>
      </c>
      <c r="E177" s="17">
        <f t="shared" si="59"/>
        <v>100</v>
      </c>
      <c r="G177" s="1">
        <v>1995</v>
      </c>
      <c r="H177" s="362">
        <f>(O79/$R79*100*($E79/365))+(O80/$R80*100*($E80/365))</f>
        <v>10.722610722610721</v>
      </c>
      <c r="I177" s="362"/>
      <c r="J177" s="362">
        <f>(P79/$R79*100*($E79/365))+(P80/$R80*100*($E80/365))</f>
        <v>6.7599067599067597</v>
      </c>
      <c r="K177" s="362"/>
      <c r="L177" s="362">
        <f>(Q79/$R79*100*($E79/365))+(Q80/$R80*100*($E80/365))</f>
        <v>82.51748251748252</v>
      </c>
      <c r="M177" s="362"/>
      <c r="N177" s="363">
        <f t="shared" si="58"/>
        <v>100</v>
      </c>
      <c r="O177" s="363"/>
      <c r="R177" s="1">
        <v>1995</v>
      </c>
      <c r="S177" s="5">
        <f>(O79*($E79/365))+(O80*($E80/365))</f>
        <v>4.5999999999999996</v>
      </c>
      <c r="T177" s="5">
        <f>(P79*($E79/365))+(P80*($E80/365))</f>
        <v>2.9</v>
      </c>
      <c r="U177" s="5">
        <f>(Q79*($E79/365))+(Q80*($E80/365))</f>
        <v>35.4</v>
      </c>
      <c r="V177" s="9"/>
      <c r="W177" s="5">
        <f>R79*(E79/365) + R80*(E80/365)</f>
        <v>42.9</v>
      </c>
      <c r="X177" s="4"/>
      <c r="Z177" s="4"/>
    </row>
    <row r="178" spans="1:26" x14ac:dyDescent="0.15">
      <c r="A178" s="1">
        <v>1996</v>
      </c>
      <c r="B178" s="5">
        <f>(K81*($E81/366))+(K82*($E82/366))</f>
        <v>15.033074489502443</v>
      </c>
      <c r="C178" s="5">
        <f>(L81*($E81/366))+(L82*($E82/366))</f>
        <v>9.9453551912568301</v>
      </c>
      <c r="D178" s="5">
        <f>(M81*($E81/366))+(M82*($E82/366))</f>
        <v>75.021570319240723</v>
      </c>
      <c r="E178" s="17">
        <f t="shared" si="59"/>
        <v>100</v>
      </c>
      <c r="G178" s="1">
        <v>1996</v>
      </c>
      <c r="H178" s="362">
        <f>(O81/$R81*100*($E81/366))+(O82/$R82*100*($E82/366))</f>
        <v>10.726858751448914</v>
      </c>
      <c r="I178" s="362"/>
      <c r="J178" s="362">
        <f>(P81/$R81*100*($E81/366))+(P82/$R82*100*($E82/366))</f>
        <v>6.722967378705083</v>
      </c>
      <c r="K178" s="362"/>
      <c r="L178" s="362">
        <f>(Q81/$R81*100*($E81/366))+(Q82/$R82*100*($E82/366))</f>
        <v>82.550173869845992</v>
      </c>
      <c r="M178" s="362"/>
      <c r="N178" s="363">
        <f t="shared" si="58"/>
        <v>99.999999999999986</v>
      </c>
      <c r="O178" s="363"/>
      <c r="R178" s="1">
        <v>1996</v>
      </c>
      <c r="S178" s="5">
        <f>(O81*($E81/366))+(O82*($E82/366))</f>
        <v>4.5999999999999996</v>
      </c>
      <c r="T178" s="5">
        <f>(P81*($E81/366))+(P82*($E82/366))</f>
        <v>2.8841530054644808</v>
      </c>
      <c r="U178" s="5">
        <f>(Q81*($E81/366))+(Q82*($E82/366))</f>
        <v>35.4</v>
      </c>
      <c r="V178" s="9"/>
      <c r="W178" s="5">
        <f>R81*(E81/366) + R82*(E82/366)</f>
        <v>42.884153005464483</v>
      </c>
      <c r="X178" s="4"/>
      <c r="Z178" s="4"/>
    </row>
    <row r="179" spans="1:26" x14ac:dyDescent="0.15">
      <c r="A179" s="1">
        <v>1997</v>
      </c>
      <c r="B179" s="5">
        <f>(K83*($E83/365))+(K84*($E84/365))</f>
        <v>20.842105263157894</v>
      </c>
      <c r="C179" s="5">
        <f>(L83*($E83/365))+(L84*($E84/365))</f>
        <v>0</v>
      </c>
      <c r="D179" s="5">
        <f>(M83*($E83/365))+(M84*($E84/365))</f>
        <v>79.15789473684211</v>
      </c>
      <c r="E179" s="17">
        <f t="shared" si="59"/>
        <v>100</v>
      </c>
      <c r="G179" s="1">
        <v>1997</v>
      </c>
      <c r="H179" s="362">
        <f>(O83/$R83*100*($E83/365))+(O84/$R84*100*($E84/365))</f>
        <v>11.500000000000002</v>
      </c>
      <c r="I179" s="362"/>
      <c r="J179" s="362">
        <f>(P83/$R83*100*($E83/365))+(P84/$R84*100*($E84/365))</f>
        <v>0</v>
      </c>
      <c r="K179" s="362"/>
      <c r="L179" s="362">
        <f>(Q83/$R83*100*($E83/365))+(Q84/$R84*100*($E84/365))</f>
        <v>88.5</v>
      </c>
      <c r="M179" s="362"/>
      <c r="N179" s="363">
        <f t="shared" si="58"/>
        <v>100</v>
      </c>
      <c r="O179" s="363"/>
      <c r="R179" s="1">
        <v>1997</v>
      </c>
      <c r="S179" s="5">
        <f>(O83*($E83/365))+(O84*($E84/365))</f>
        <v>4.5999999999999996</v>
      </c>
      <c r="T179" s="5">
        <f>(P83*($E83/365))+(P84*($E84/365))</f>
        <v>0</v>
      </c>
      <c r="U179" s="5">
        <f>(Q83*($E83/365))+(Q84*($E84/365))</f>
        <v>35.4</v>
      </c>
      <c r="V179" s="9"/>
      <c r="W179" s="5">
        <f>R83*(E83/365) + R84*(E84/365)</f>
        <v>40</v>
      </c>
      <c r="X179" s="4"/>
      <c r="Z179" s="4"/>
    </row>
    <row r="180" spans="1:26" x14ac:dyDescent="0.15">
      <c r="A180" s="1">
        <v>1998</v>
      </c>
      <c r="B180" s="5">
        <f>(K85*($E85/365))+(K86*($E86/365))</f>
        <v>20</v>
      </c>
      <c r="C180" s="5">
        <f>(L85*($E85/365))+(L86*($E86/365))</f>
        <v>0</v>
      </c>
      <c r="D180" s="5">
        <f>(M85*($E85/365))+(M86*($E86/365))</f>
        <v>80</v>
      </c>
      <c r="E180" s="17">
        <f t="shared" si="59"/>
        <v>100</v>
      </c>
      <c r="G180" s="1">
        <v>1998</v>
      </c>
      <c r="H180" s="362">
        <f>(O85/$R85*100*($E85/365))+(O86/$R86*100*($E86/365))</f>
        <v>10.332876712328767</v>
      </c>
      <c r="I180" s="362"/>
      <c r="J180" s="362">
        <f>(P85/$R85*100*($E85/365))+(P86/$R86*100*($E86/365))</f>
        <v>0</v>
      </c>
      <c r="K180" s="362"/>
      <c r="L180" s="362">
        <f>(Q85/$R85*100*($E85/365))+(Q86/$R86*100*($E86/365))</f>
        <v>89.667123287671231</v>
      </c>
      <c r="M180" s="362"/>
      <c r="N180" s="363">
        <f t="shared" si="58"/>
        <v>100</v>
      </c>
      <c r="O180" s="363"/>
      <c r="R180" s="1">
        <v>1998</v>
      </c>
      <c r="S180" s="5">
        <f>(O85*($E85/365))+(O86*($E86/365))</f>
        <v>4.1331506849315067</v>
      </c>
      <c r="T180" s="5">
        <f>(P85*($E85/365))+(P86*($E86/365))</f>
        <v>0</v>
      </c>
      <c r="U180" s="5">
        <f>(Q85*($E85/365))+(Q86*($E86/365))</f>
        <v>35.866849315068492</v>
      </c>
      <c r="V180" s="9"/>
      <c r="W180" s="5">
        <f>R85*(E85/365) + R86*(E86/365)</f>
        <v>40</v>
      </c>
      <c r="X180" s="4"/>
      <c r="Z180" s="4"/>
    </row>
    <row r="181" spans="1:26" x14ac:dyDescent="0.15">
      <c r="A181" s="1">
        <v>1999</v>
      </c>
      <c r="B181" s="5">
        <f>(K87*($E87/365))+(K88*($E88/365))</f>
        <v>20</v>
      </c>
      <c r="C181" s="5">
        <f>(L87*($E87/365))+(L88*($E88/365))</f>
        <v>0</v>
      </c>
      <c r="D181" s="5">
        <f>(M87*($E87/365))+(M88*($E88/365))</f>
        <v>80</v>
      </c>
      <c r="E181" s="17">
        <f t="shared" si="59"/>
        <v>100</v>
      </c>
      <c r="G181" s="1">
        <v>1999</v>
      </c>
      <c r="H181" s="362">
        <f>(O87/$R87*100*($E87/365))+(O88/$R88*100*($E88/365))</f>
        <v>10</v>
      </c>
      <c r="I181" s="362"/>
      <c r="J181" s="362">
        <f>(P87/$R87*100*($E87/365))+(P88/$R88*100*($E88/365))</f>
        <v>0</v>
      </c>
      <c r="K181" s="362"/>
      <c r="L181" s="362">
        <f>(Q87/$R87*100*($E87/365))+(Q88/$R88*100*($E88/365))</f>
        <v>90</v>
      </c>
      <c r="M181" s="362"/>
      <c r="N181" s="363">
        <f t="shared" si="58"/>
        <v>100</v>
      </c>
      <c r="O181" s="363"/>
      <c r="R181" s="1">
        <v>1999</v>
      </c>
      <c r="S181" s="5">
        <f>(O87*($E87/365))+(O88*($E88/365))</f>
        <v>4</v>
      </c>
      <c r="T181" s="5">
        <f>(P87*($E87/365))+(P88*($E88/365))</f>
        <v>0</v>
      </c>
      <c r="U181" s="5">
        <f>(Q87*($E87/365))+(Q88*($E88/365))</f>
        <v>36</v>
      </c>
      <c r="V181" s="9"/>
      <c r="W181" s="5">
        <f>R87*(E87/365) + R88*(E88/365)</f>
        <v>40</v>
      </c>
      <c r="X181" s="4"/>
      <c r="Z181" s="4"/>
    </row>
    <row r="182" spans="1:26" x14ac:dyDescent="0.15">
      <c r="A182" s="1">
        <v>2000</v>
      </c>
      <c r="B182" s="5">
        <f>(K89*($E89/366))+(K90*($E90/366))</f>
        <v>20</v>
      </c>
      <c r="C182" s="5">
        <f>(L89*($E89/366))+(L90*($E90/366))</f>
        <v>0</v>
      </c>
      <c r="D182" s="5">
        <f>(M89*($E89/366))+(M90*($E90/366))</f>
        <v>80</v>
      </c>
      <c r="E182" s="17">
        <f t="shared" si="59"/>
        <v>100</v>
      </c>
      <c r="G182" s="1">
        <v>2000</v>
      </c>
      <c r="H182" s="362">
        <f>(O89/$R89*100*($E89/366))+(O90/$R90*100*($E90/366))</f>
        <v>10</v>
      </c>
      <c r="I182" s="362"/>
      <c r="J182" s="362">
        <f>(P89/$R89*100*($E89/366))+(P90/$R90*100*($E90/366))</f>
        <v>0</v>
      </c>
      <c r="K182" s="362"/>
      <c r="L182" s="362">
        <f>(Q89/$R89*100*($E89/366))+(Q90/$R90*100*($E90/366))</f>
        <v>90</v>
      </c>
      <c r="M182" s="362"/>
      <c r="N182" s="363">
        <f t="shared" si="58"/>
        <v>100</v>
      </c>
      <c r="O182" s="363"/>
      <c r="R182" s="1">
        <v>2000</v>
      </c>
      <c r="S182" s="5">
        <f>(O89*($E89/366))+(O90*($E90/366))</f>
        <v>4</v>
      </c>
      <c r="T182" s="5">
        <f>(P89*($E89/366))+(P90*($E90/366))</f>
        <v>0</v>
      </c>
      <c r="U182" s="5">
        <f>(Q89*($E89/366))+(Q90*($E90/366))</f>
        <v>36</v>
      </c>
      <c r="V182" s="9"/>
      <c r="W182" s="5">
        <f>R89*(E89/366) + R90*(E90/366)</f>
        <v>40</v>
      </c>
      <c r="X182" s="4"/>
      <c r="Z182" s="4"/>
    </row>
    <row r="183" spans="1:26" x14ac:dyDescent="0.15">
      <c r="A183" s="1">
        <v>2001</v>
      </c>
      <c r="B183" s="5">
        <f>(K91*($E91/365))+(K92*($E92/365))</f>
        <v>27.671232876712324</v>
      </c>
      <c r="C183" s="5">
        <f>(L91*($E91/365))+(L92*($E92/365))</f>
        <v>0</v>
      </c>
      <c r="D183" s="5">
        <f>(M91*($E91/365))+(M92*($E92/365))</f>
        <v>72.328767123287662</v>
      </c>
      <c r="E183" s="17">
        <f t="shared" si="59"/>
        <v>99.999999999999986</v>
      </c>
      <c r="G183" s="1">
        <v>2001</v>
      </c>
      <c r="H183" s="362">
        <f>(O91/$R91*100*($E91/365))+(O92/$R92*100*($E92/365))</f>
        <v>18.630136986301366</v>
      </c>
      <c r="I183" s="362"/>
      <c r="J183" s="362">
        <f>(P91/$R91*100*($E91/365))+(P92/$R92*100*($E92/365))</f>
        <v>0</v>
      </c>
      <c r="K183" s="362"/>
      <c r="L183" s="362">
        <f>(Q91/$R91*100*($E91/365))+(Q92/$R92*100*($E92/365))</f>
        <v>81.36986301369862</v>
      </c>
      <c r="M183" s="362"/>
      <c r="N183" s="363">
        <f>SUM(H183:M183)</f>
        <v>99.999999999999986</v>
      </c>
      <c r="O183" s="363"/>
      <c r="R183" s="1">
        <v>2001</v>
      </c>
      <c r="S183" s="5">
        <f>(O91*($E91/365))+(O92*($E92/365))</f>
        <v>7.5575342465753419</v>
      </c>
      <c r="T183" s="5">
        <f>(P91*($E91/365))+(P92*($E92/365))</f>
        <v>0</v>
      </c>
      <c r="U183" s="5">
        <f>(Q91*($E91/365))+(Q92*($E92/365))</f>
        <v>32.547945205479451</v>
      </c>
      <c r="V183" s="9"/>
      <c r="W183" s="5">
        <f>R91*(E91/365) + R92*(E92/365)</f>
        <v>40.105479452054787</v>
      </c>
      <c r="X183" s="4"/>
      <c r="Z183" s="4"/>
    </row>
    <row r="184" spans="1:26" x14ac:dyDescent="0.15">
      <c r="A184" s="1">
        <v>2002</v>
      </c>
      <c r="B184" s="5">
        <f>(K93*($E93/365))+(K94*($E94/365))</f>
        <v>100</v>
      </c>
      <c r="C184" s="5">
        <f>(L93*($E93/365))+(L94*($E94/365))</f>
        <v>0</v>
      </c>
      <c r="D184" s="5">
        <f>(M93*($E93/365))+(M94*($E94/365))</f>
        <v>0</v>
      </c>
      <c r="E184" s="17">
        <f t="shared" si="59"/>
        <v>100</v>
      </c>
      <c r="G184" s="1">
        <v>2002</v>
      </c>
      <c r="H184" s="362">
        <f>(O93/$R93*100*($E93/365))+(O94/$R94*100*($E94/365))</f>
        <v>100</v>
      </c>
      <c r="I184" s="362"/>
      <c r="J184" s="362">
        <f>(P93/$R93*100*($E93/365))+(P94/$R94*100*($E94/365))</f>
        <v>0</v>
      </c>
      <c r="K184" s="362"/>
      <c r="L184" s="362">
        <f>(Q93/$R93*100*($E93/365))+(Q94/$R94*100*($E94/365))</f>
        <v>0</v>
      </c>
      <c r="M184" s="362"/>
      <c r="N184" s="363">
        <f t="shared" ref="N184:N194" si="60">SUM(H184:M184)</f>
        <v>100</v>
      </c>
      <c r="O184" s="363"/>
      <c r="R184" s="1">
        <v>2002</v>
      </c>
      <c r="S184" s="5">
        <f>(O93*($E93/365))+(O94*($E94/365))</f>
        <v>41.1</v>
      </c>
      <c r="T184" s="5">
        <f>(P93*($E93/365))+(P94*($E94/365))</f>
        <v>0</v>
      </c>
      <c r="U184" s="5">
        <f>(Q93*($E93/365))+(Q94*($E94/365))</f>
        <v>0</v>
      </c>
      <c r="V184" s="9"/>
      <c r="W184" s="5">
        <f>R93*(E93/365) + R94*(E94/365)</f>
        <v>41.1</v>
      </c>
      <c r="X184" s="4"/>
      <c r="Z184" s="4"/>
    </row>
    <row r="185" spans="1:26" x14ac:dyDescent="0.15">
      <c r="A185" s="1">
        <v>2003</v>
      </c>
      <c r="B185" s="5">
        <f>(K95*($E95/365))+(K96*($E96/365))</f>
        <v>100</v>
      </c>
      <c r="C185" s="5">
        <f>(L95*($E95/365))+(L96*($E96/365))</f>
        <v>0</v>
      </c>
      <c r="D185" s="5">
        <f>(M95*($E95/365))+(M96*($E96/365))</f>
        <v>0</v>
      </c>
      <c r="E185" s="17">
        <f t="shared" si="59"/>
        <v>100</v>
      </c>
      <c r="G185" s="1">
        <v>2003</v>
      </c>
      <c r="H185" s="362">
        <f>(O95/$R95*100*($E95/365))+(O96/$R96*100*($E96/365))</f>
        <v>100</v>
      </c>
      <c r="I185" s="362"/>
      <c r="J185" s="362">
        <f>(P95/$R95*100*($E95/365))+(P96/$R96*100*($E96/365))</f>
        <v>0</v>
      </c>
      <c r="K185" s="362"/>
      <c r="L185" s="362">
        <f>(Q95/$R95*100*($E95/365))+(Q96/$R96*100*($E96/365))</f>
        <v>0</v>
      </c>
      <c r="M185" s="362"/>
      <c r="N185" s="363">
        <f t="shared" si="60"/>
        <v>100</v>
      </c>
      <c r="O185" s="363"/>
      <c r="R185" s="1">
        <v>2003</v>
      </c>
      <c r="S185" s="5">
        <f>(O95*($E95/365))+(O96*($E96/365))</f>
        <v>41.1</v>
      </c>
      <c r="T185" s="5">
        <f>(P95*($E95/365))+(P96*($E96/365))</f>
        <v>0</v>
      </c>
      <c r="U185" s="5">
        <f>(Q95*($E95/365))+(Q96*($E96/365))</f>
        <v>0</v>
      </c>
      <c r="V185" s="9"/>
      <c r="W185" s="5">
        <f>R95*(E95/365) + R96*(E96/365)</f>
        <v>41.1</v>
      </c>
      <c r="X185" s="4"/>
      <c r="Z185" s="4"/>
    </row>
    <row r="186" spans="1:26" x14ac:dyDescent="0.15">
      <c r="A186" s="1">
        <v>2004</v>
      </c>
      <c r="B186" s="5">
        <f>(K97*($E97/366))+(K98*($E98/366))</f>
        <v>100</v>
      </c>
      <c r="C186" s="5">
        <f>(L97*($E97/366))+(L98*($E98/366))</f>
        <v>0</v>
      </c>
      <c r="D186" s="5">
        <f>(M97*($E97/366))+(M98*($E98/366))</f>
        <v>0</v>
      </c>
      <c r="E186" s="17">
        <f t="shared" si="59"/>
        <v>100</v>
      </c>
      <c r="G186" s="1">
        <v>2004</v>
      </c>
      <c r="H186" s="362">
        <f>(O97/$R97*100*($E97/366))+(O98/$R98*100*($E98/366))</f>
        <v>100</v>
      </c>
      <c r="I186" s="362"/>
      <c r="J186" s="362">
        <f>(P97/$R97*100*($E97/366))+(P98/$R98*100*($E98/366))</f>
        <v>0</v>
      </c>
      <c r="K186" s="362"/>
      <c r="L186" s="362">
        <f>(Q97/$R97*100*($E97/366))+(Q98/$R98*100*($E98/366))</f>
        <v>0</v>
      </c>
      <c r="M186" s="362"/>
      <c r="N186" s="363">
        <f t="shared" si="60"/>
        <v>100</v>
      </c>
      <c r="O186" s="363"/>
      <c r="R186" s="1">
        <v>2004</v>
      </c>
      <c r="S186" s="5">
        <f>(O97*($E97/366))+(O98*($E98/366))</f>
        <v>41.1</v>
      </c>
      <c r="T186" s="5">
        <f>(P97*($E97/366))+(P98*($E98/366))</f>
        <v>0</v>
      </c>
      <c r="U186" s="5">
        <f>(Q97*($E97/366))+(Q98*($E98/366))</f>
        <v>0</v>
      </c>
      <c r="V186" s="9"/>
      <c r="W186" s="5">
        <f>R97*(E97/366) + R98*(E98/366)</f>
        <v>41.1</v>
      </c>
      <c r="X186" s="4"/>
      <c r="Z186" s="4"/>
    </row>
    <row r="187" spans="1:26" x14ac:dyDescent="0.15">
      <c r="A187" s="1">
        <v>2005</v>
      </c>
      <c r="B187" s="5">
        <f>(K99*($E99/365))+(K100*($E100/365))</f>
        <v>100</v>
      </c>
      <c r="C187" s="5">
        <f>(L99*($E99/365))+(L100*($E100/365))</f>
        <v>0</v>
      </c>
      <c r="D187" s="5">
        <f>(M99*($E99/365))+(M100*($E100/365))</f>
        <v>0</v>
      </c>
      <c r="E187" s="17">
        <f t="shared" si="59"/>
        <v>100</v>
      </c>
      <c r="G187" s="1">
        <v>2005</v>
      </c>
      <c r="H187" s="362">
        <f>(O99/$R99*100*($E99/365))+(O100/$R100*100*($E100/365))</f>
        <v>100</v>
      </c>
      <c r="I187" s="362"/>
      <c r="J187" s="362">
        <f>(P99/$R99*100*($E99/365))+(P100/$R100*100*($E100/365))</f>
        <v>0</v>
      </c>
      <c r="K187" s="362"/>
      <c r="L187" s="362">
        <f>(Q99/$R99*100*($E99/365))+(Q100/$R100*100*($E100/365))</f>
        <v>0</v>
      </c>
      <c r="M187" s="362"/>
      <c r="N187" s="363">
        <f t="shared" si="60"/>
        <v>100</v>
      </c>
      <c r="O187" s="363"/>
      <c r="R187" s="1">
        <v>2005</v>
      </c>
      <c r="S187" s="5">
        <f>(O99*($E99/365))+(O100*($E100/365))</f>
        <v>40.144657534246576</v>
      </c>
      <c r="T187" s="5">
        <f>(P99*($E99/365))+(P100*($E100/365))</f>
        <v>0</v>
      </c>
      <c r="U187" s="5">
        <f>(Q99*($E99/365))+(Q100*($E100/365))</f>
        <v>0</v>
      </c>
      <c r="V187" s="9"/>
      <c r="W187" s="5">
        <f>R99*(E99/365) + R100*(E100/365)</f>
        <v>40.144657534246576</v>
      </c>
      <c r="X187" s="4"/>
      <c r="Z187" s="4"/>
    </row>
    <row r="188" spans="1:26" x14ac:dyDescent="0.15">
      <c r="A188" s="1">
        <v>2006</v>
      </c>
      <c r="B188" s="5">
        <f>(K101*($E101/365))+(K102*($E102/365))</f>
        <v>100</v>
      </c>
      <c r="C188" s="5">
        <f>(L101*($E101/365))+(L102*($E102/365))</f>
        <v>0</v>
      </c>
      <c r="D188" s="5">
        <f>(M101*($E101/365))+(M102*($E102/365))</f>
        <v>0</v>
      </c>
      <c r="E188" s="17">
        <f t="shared" si="59"/>
        <v>100</v>
      </c>
      <c r="G188" s="1">
        <v>2006</v>
      </c>
      <c r="H188" s="362">
        <f>(O101/$R101*100*($E101/365))+(O102/$R102*100*($E102/365))</f>
        <v>100</v>
      </c>
      <c r="I188" s="362"/>
      <c r="J188" s="362">
        <f>(P101/$R101*100*($E101/365))+(P102/$R102*100*($E102/365))</f>
        <v>0</v>
      </c>
      <c r="K188" s="362"/>
      <c r="L188" s="362">
        <f>(Q101/$R101*100*($E101/365))+(Q102/$R102*100*($E102/365))</f>
        <v>0</v>
      </c>
      <c r="M188" s="362"/>
      <c r="N188" s="363">
        <f t="shared" si="60"/>
        <v>100</v>
      </c>
      <c r="O188" s="363"/>
      <c r="R188" s="1">
        <v>2006</v>
      </c>
      <c r="S188" s="5">
        <f>(O101*($E101/365))+(O102*($E102/365))</f>
        <v>40</v>
      </c>
      <c r="T188" s="5">
        <f>(P101*($E101/365))+(P102*($E102/365))</f>
        <v>0</v>
      </c>
      <c r="U188" s="5">
        <f>(Q101*($E101/365))+(Q102*($E102/365))</f>
        <v>0</v>
      </c>
      <c r="V188" s="9"/>
      <c r="W188" s="5">
        <f>R101*(E101/365) + R102*(E102/365)</f>
        <v>40</v>
      </c>
      <c r="X188" s="4"/>
      <c r="Z188" s="4"/>
    </row>
    <row r="189" spans="1:26" x14ac:dyDescent="0.15">
      <c r="A189" s="1">
        <v>2007</v>
      </c>
      <c r="B189" s="5">
        <f>(K103*($E103/365))+(K104*($E104/365))</f>
        <v>100</v>
      </c>
      <c r="C189" s="5">
        <f>(L103*($E103/365))+(L104*($E104/365))</f>
        <v>0</v>
      </c>
      <c r="D189" s="5">
        <f>(M103*($E103/365))+(M104*($E104/365))</f>
        <v>0</v>
      </c>
      <c r="E189" s="17">
        <f t="shared" si="59"/>
        <v>100</v>
      </c>
      <c r="G189" s="1">
        <v>2007</v>
      </c>
      <c r="H189" s="362">
        <f>(O103/$R103*100*($E103/365))+(O104/$R104*100*($E104/365))</f>
        <v>100</v>
      </c>
      <c r="I189" s="362"/>
      <c r="J189" s="362">
        <f>(P103/$R103*100*($E103/365))+(P104/$R104*100*($E104/365))</f>
        <v>0</v>
      </c>
      <c r="K189" s="362"/>
      <c r="L189" s="362">
        <f>(Q103/$R103*100*($E103/365))+(Q104/$R104*100*($E104/365))</f>
        <v>0</v>
      </c>
      <c r="M189" s="362"/>
      <c r="N189" s="363">
        <f t="shared" si="60"/>
        <v>100</v>
      </c>
      <c r="O189" s="363"/>
      <c r="R189" s="1">
        <v>2007</v>
      </c>
      <c r="S189" s="5">
        <f>(O103*($E103/365))+(O104*($E104/365))</f>
        <v>39.636712328767125</v>
      </c>
      <c r="T189" s="5">
        <f>(P103*($E103/365))+(P104*($E104/365))</f>
        <v>0</v>
      </c>
      <c r="U189" s="5">
        <f>(Q103*($E103/365))+(Q104*($E104/365))</f>
        <v>0</v>
      </c>
      <c r="V189" s="9"/>
      <c r="W189" s="5">
        <f>R103*(E103/365) + R104*(E104/365)</f>
        <v>39.636712328767125</v>
      </c>
      <c r="X189" s="4"/>
      <c r="Z189" s="4"/>
    </row>
    <row r="190" spans="1:26" x14ac:dyDescent="0.15">
      <c r="A190" s="1">
        <v>2008</v>
      </c>
      <c r="B190" s="5">
        <f>(K105*($E105/366))+(K106*($E106/366))</f>
        <v>100</v>
      </c>
      <c r="C190" s="5">
        <f>(L105*($E105/366))+(L106*($E106/366))</f>
        <v>0</v>
      </c>
      <c r="D190" s="5">
        <f>(M105*($E105/366))+(M106*($E106/366))</f>
        <v>0</v>
      </c>
      <c r="E190" s="17">
        <f t="shared" si="59"/>
        <v>100</v>
      </c>
      <c r="G190" s="1">
        <v>2008</v>
      </c>
      <c r="H190" s="362">
        <f>(O105/$R105*100*($E105/366))+(O106/$R106*100*($E106/366))</f>
        <v>100</v>
      </c>
      <c r="I190" s="362"/>
      <c r="J190" s="362">
        <f>(P105/$R105*100*($E105/366))+(P106/$R106*100*($E106/366))</f>
        <v>0</v>
      </c>
      <c r="K190" s="362"/>
      <c r="L190" s="362">
        <f>(Q105/$R105*100*($E105/366))+(Q106/$R106*100*($E106/366))</f>
        <v>0</v>
      </c>
      <c r="M190" s="362"/>
      <c r="N190" s="363">
        <f t="shared" si="60"/>
        <v>100</v>
      </c>
      <c r="O190" s="363"/>
      <c r="R190" s="1">
        <v>2008</v>
      </c>
      <c r="S190" s="5">
        <f>(O105*($E105/366))+(O106*($E106/366))</f>
        <v>36.6</v>
      </c>
      <c r="T190" s="5">
        <f>(P105*($E105/366))+(P106*($E106/366))</f>
        <v>0</v>
      </c>
      <c r="U190" s="5">
        <f>(Q105*($E105/366))+(Q106*($E106/366))</f>
        <v>0</v>
      </c>
      <c r="V190" s="9"/>
      <c r="W190" s="5">
        <f>R105*(E105/366) + R106*(E106/366)</f>
        <v>36.6</v>
      </c>
      <c r="X190" s="4"/>
      <c r="Z190" s="4"/>
    </row>
    <row r="191" spans="1:26" x14ac:dyDescent="0.15">
      <c r="A191" s="1">
        <v>2009</v>
      </c>
      <c r="B191" s="5">
        <f>(K107*($E107/365))+(K108*($E108/365))</f>
        <v>100</v>
      </c>
      <c r="C191" s="5">
        <f>(L107*($E107/365))+(L108*($E108/365))</f>
        <v>0</v>
      </c>
      <c r="D191" s="5">
        <f>(M107*($E107/365))+(M108*($E108/365))</f>
        <v>0</v>
      </c>
      <c r="E191" s="17">
        <f t="shared" si="59"/>
        <v>100</v>
      </c>
      <c r="G191" s="1">
        <v>2009</v>
      </c>
      <c r="H191" s="362">
        <f>(O107/$R107*100*($E107/365))+(O108/$R108*100*($E108/365))</f>
        <v>100</v>
      </c>
      <c r="I191" s="362"/>
      <c r="J191" s="362">
        <f>(P107/$R107*100*($E107/365))+(P108/$R108*100*($E108/365))</f>
        <v>0</v>
      </c>
      <c r="K191" s="362"/>
      <c r="L191" s="362">
        <f>(Q107/$R107*100*($E107/365))+(Q108/$R108*100*($E108/365))</f>
        <v>0</v>
      </c>
      <c r="M191" s="362"/>
      <c r="N191" s="363">
        <f t="shared" si="60"/>
        <v>100</v>
      </c>
      <c r="O191" s="363"/>
      <c r="R191" s="1">
        <v>2009</v>
      </c>
      <c r="S191" s="5">
        <f>(O107*($E107/365))+(O108*($E108/365))</f>
        <v>36.6</v>
      </c>
      <c r="T191" s="5">
        <f>(P107*($E107/365))+(P108*($E108/365))</f>
        <v>0</v>
      </c>
      <c r="U191" s="5">
        <f>(Q107*($E107/365))+(Q108*($E108/365))</f>
        <v>0</v>
      </c>
      <c r="V191" s="9"/>
      <c r="W191" s="5">
        <f>R107*(E107/365) + R108*(E108/365)</f>
        <v>36.6</v>
      </c>
      <c r="X191" s="4"/>
      <c r="Z191" s="4"/>
    </row>
    <row r="192" spans="1:26" x14ac:dyDescent="0.15">
      <c r="A192" s="1">
        <v>2010</v>
      </c>
      <c r="B192" s="5">
        <f>(K109*($E109/365))+(K110*($E110/365))</f>
        <v>100</v>
      </c>
      <c r="C192" s="5">
        <f>(L109*($E109/365))+(L110*($E110/365))</f>
        <v>0</v>
      </c>
      <c r="D192" s="5">
        <f>(M109*($E109/365))+(M110*($E110/365))</f>
        <v>0</v>
      </c>
      <c r="E192" s="17">
        <f t="shared" si="59"/>
        <v>100</v>
      </c>
      <c r="G192" s="1">
        <v>2010</v>
      </c>
      <c r="H192" s="362">
        <f>(O109/$R109*100*($E109/365))+(O110/$R110*100*($E110/365))</f>
        <v>100</v>
      </c>
      <c r="I192" s="362"/>
      <c r="J192" s="362">
        <f>(P109/$R109*100*($E109/365))+(P110/$R110*100*($E110/365))</f>
        <v>0</v>
      </c>
      <c r="K192" s="362"/>
      <c r="L192" s="362">
        <f>(Q109/$R109*100*($E109/365))+(Q110/$R110*100*($E110/365))</f>
        <v>0</v>
      </c>
      <c r="M192" s="362"/>
      <c r="N192" s="363">
        <f t="shared" si="60"/>
        <v>100</v>
      </c>
      <c r="O192" s="363"/>
      <c r="R192" s="1">
        <v>2010</v>
      </c>
      <c r="S192" s="5">
        <f>(O109*($E109/365))+(O110*($E110/365))</f>
        <v>36.6</v>
      </c>
      <c r="T192" s="5">
        <f>(P109*($E109/365))+(P110*($E110/365))</f>
        <v>0</v>
      </c>
      <c r="U192" s="5">
        <f>(Q109*($E109/365))+(Q110*($E110/365))</f>
        <v>0</v>
      </c>
      <c r="V192" s="9"/>
      <c r="W192" s="5">
        <f>R109*(E109/365) + R110*(E110/365)</f>
        <v>36.6</v>
      </c>
      <c r="X192" s="4"/>
      <c r="Z192" s="4"/>
    </row>
    <row r="193" spans="1:26" x14ac:dyDescent="0.15">
      <c r="A193" s="1">
        <v>2011</v>
      </c>
      <c r="B193" s="5">
        <f>(K111*($E111/365))+(K112*($E112/365))</f>
        <v>81.774865991661713</v>
      </c>
      <c r="C193" s="5">
        <f>(L111*($E111/365))+(L112*($E112/365))</f>
        <v>0</v>
      </c>
      <c r="D193" s="5">
        <f>(M111*($E111/365))+(M112*($E112/365))</f>
        <v>18.225134008338294</v>
      </c>
      <c r="E193" s="17">
        <f t="shared" si="59"/>
        <v>100</v>
      </c>
      <c r="G193" s="1">
        <v>2011</v>
      </c>
      <c r="H193" s="362">
        <f>(O111/$R111*100*($E111/365))+(O112/$R112*100*($E112/365))</f>
        <v>80.790713639342215</v>
      </c>
      <c r="I193" s="362"/>
      <c r="J193" s="362">
        <f>(P111/$R111*100*($E111/365))+(P112/$R112*100*($E112/365))</f>
        <v>0</v>
      </c>
      <c r="K193" s="362"/>
      <c r="L193" s="362">
        <f>(Q111/$R111*100*($E111/365))+(Q112/$R112*100*($E112/365))</f>
        <v>19.209286360657785</v>
      </c>
      <c r="M193" s="362"/>
      <c r="N193" s="363">
        <f t="shared" si="60"/>
        <v>100</v>
      </c>
      <c r="O193" s="363"/>
      <c r="R193" s="1">
        <v>2011</v>
      </c>
      <c r="S193" s="5">
        <f>(O111*($E111/365))+(O112*($E112/365))</f>
        <v>29.967123287671235</v>
      </c>
      <c r="T193" s="5">
        <f>(P111*($E111/365))+(P112*($E112/365))</f>
        <v>0</v>
      </c>
      <c r="U193" s="5">
        <f>(Q111*($E111/365))+(Q112*($E112/365))</f>
        <v>8.4328767123287669</v>
      </c>
      <c r="V193" s="9"/>
      <c r="W193" s="5">
        <f>R111*(E111/365) + R112*(E112/365)</f>
        <v>38.400000000000006</v>
      </c>
      <c r="X193" s="4"/>
      <c r="Z193" s="4"/>
    </row>
    <row r="194" spans="1:26" x14ac:dyDescent="0.15">
      <c r="A194" s="1">
        <v>2012</v>
      </c>
      <c r="B194" s="5">
        <f>(K113*($E113/366))+(K114*($E114/366))</f>
        <v>26.086956521739129</v>
      </c>
      <c r="C194" s="5">
        <f>(L113*($E113/366))+(L114*($E114/366))</f>
        <v>0</v>
      </c>
      <c r="D194" s="5">
        <f>(M113*($E113/366))+(M114*($E114/366))</f>
        <v>73.91304347826086</v>
      </c>
      <c r="E194" s="17">
        <f t="shared" si="59"/>
        <v>99.999999999999986</v>
      </c>
      <c r="G194" s="1">
        <v>2012</v>
      </c>
      <c r="H194" s="362">
        <f>(O113/$R113*100*($E113/366))+(O114/$R114*100*($E114/366))</f>
        <v>22.095671981776761</v>
      </c>
      <c r="I194" s="362"/>
      <c r="J194" s="362">
        <f>(P113/$R113*100*($E113/366))+(P114/$R114*100*($E114/366))</f>
        <v>0</v>
      </c>
      <c r="K194" s="362"/>
      <c r="L194" s="362">
        <f>(Q113/$R113*100*($E113/366))+(Q114/$R114*100*($E114/366))</f>
        <v>77.904328018223239</v>
      </c>
      <c r="M194" s="362"/>
      <c r="N194" s="363">
        <f t="shared" si="60"/>
        <v>100</v>
      </c>
      <c r="O194" s="363"/>
      <c r="R194" s="1">
        <v>2012</v>
      </c>
      <c r="S194" s="5">
        <f>(O113*($E113/366))+(O114*($E114/366))</f>
        <v>9.6999999999999993</v>
      </c>
      <c r="T194" s="5">
        <f>(P113*($E113/366))+(P114*($E114/366))</f>
        <v>0</v>
      </c>
      <c r="U194" s="5">
        <f>(Q113*($E113/366))+(Q114*($E114/366))</f>
        <v>34.200000000000003</v>
      </c>
      <c r="V194" s="9"/>
      <c r="W194" s="5">
        <f>R113*(E113/366) + R114*(E114/366)</f>
        <v>43.900000000000006</v>
      </c>
      <c r="X194" s="4"/>
      <c r="Z194" s="4"/>
    </row>
    <row r="195" spans="1:26" x14ac:dyDescent="0.15">
      <c r="A195" s="1">
        <v>2013</v>
      </c>
      <c r="B195" s="5">
        <f>(K115*($E115/365))+(K116*($E116/365))</f>
        <v>26.558016135145376</v>
      </c>
      <c r="C195" s="5">
        <f>(L115*($E115/365))+(L116*($E116/365))</f>
        <v>0</v>
      </c>
      <c r="D195" s="5">
        <f>(M115*($E115/365))+(M116*($E116/365))</f>
        <v>73.44198386485462</v>
      </c>
      <c r="E195" s="17">
        <f>SUM(B195:D195)</f>
        <v>100</v>
      </c>
      <c r="G195" s="1">
        <v>2013</v>
      </c>
      <c r="H195" s="362">
        <f>(O115/$R115*100*($E115/365))+(O116/$R116*100*($E116/365))</f>
        <v>22.095671981776761</v>
      </c>
      <c r="I195" s="362"/>
      <c r="J195" s="362">
        <f>(P115/$R115*100*($E115/365))+(P116/$R116*100*($E116/365))</f>
        <v>0</v>
      </c>
      <c r="K195" s="362"/>
      <c r="L195" s="362">
        <f>(Q115/$R115*100*($E115/365))+(Q116/$R116*100*($E116/365))</f>
        <v>77.904328018223239</v>
      </c>
      <c r="M195" s="362"/>
      <c r="N195" s="363">
        <f>SUM(H195:M195)</f>
        <v>100</v>
      </c>
      <c r="O195" s="363"/>
      <c r="R195" s="1">
        <v>2013</v>
      </c>
      <c r="S195" s="5">
        <f>(O115*($E115/365))+(O116*($E116/365))</f>
        <v>9.6999999999999993</v>
      </c>
      <c r="T195" s="5">
        <f>(P115*($E115/365))+(P116*($E116/365))</f>
        <v>0</v>
      </c>
      <c r="U195" s="5">
        <f>(Q115*($E115/365))+(Q116*($E116/365))</f>
        <v>34.200000000000003</v>
      </c>
      <c r="W195" s="5">
        <f>R115*(E115/365) + R116*(E116/365)</f>
        <v>43.900000000000006</v>
      </c>
    </row>
    <row r="196" spans="1:26" x14ac:dyDescent="0.15">
      <c r="A196" s="1">
        <v>2014</v>
      </c>
      <c r="B196" s="5">
        <f>(K117*($E117/365))+(K118*($E118/365))+(K119*($E119/365))</f>
        <v>32.643835616438352</v>
      </c>
      <c r="C196" s="5">
        <f>(L117*($E117/365))+(L118*($E118/365))+(L119*($E119/365))</f>
        <v>0</v>
      </c>
      <c r="D196" s="5">
        <f>(M117*($E117/365))+(M118*($E118/365))+(M119*($E119/365))</f>
        <v>67.356164383561634</v>
      </c>
      <c r="E196" s="17">
        <f>SUM(B196:D196)</f>
        <v>99.999999999999986</v>
      </c>
      <c r="G196" s="1">
        <v>2014</v>
      </c>
      <c r="H196" s="362">
        <f>(O117/$R117*100*($E117/365))+(O118/$R118*100*($E118/365))+(O119/$R119*100*($E119/365))</f>
        <v>24.990080541426998</v>
      </c>
      <c r="I196" s="362"/>
      <c r="J196" s="362">
        <f>(P117/$R117*100*($E117/365))+(P118/$R118*100*($E118/365))+(P119/$R119*100*($E119/365))</f>
        <v>0</v>
      </c>
      <c r="K196" s="362"/>
      <c r="L196" s="362">
        <f>(Q117/$R117*100*($E117/365))+(Q118/$R118*100*($E118/365))+(Q119/$R119*100*($E119/365))</f>
        <v>75.009919458573009</v>
      </c>
      <c r="M196" s="362"/>
      <c r="N196" s="363">
        <f>SUM(H196:M196)</f>
        <v>100</v>
      </c>
      <c r="O196" s="363"/>
      <c r="R196" s="1">
        <v>2014</v>
      </c>
      <c r="S196" s="5">
        <f>(O117*($E117/365))+(O118*($E118/365))+(O119*($E119/365))</f>
        <v>9.1542465753424658</v>
      </c>
      <c r="T196" s="5">
        <f>(P117*($E117/365))+(P118*($E118/365))+(P119*($E119/365))</f>
        <v>0</v>
      </c>
      <c r="U196" s="5">
        <f>(Q117*($E117/365))+(Q118*($E118/365))+(Q119*($E119/365))</f>
        <v>27.56</v>
      </c>
      <c r="W196" s="5">
        <f>R117*(E117/365) + R118*(E118/365) + R119*(E119/365)</f>
        <v>36.714246575342464</v>
      </c>
    </row>
    <row r="197" spans="1:26" x14ac:dyDescent="0.15">
      <c r="A197" s="1">
        <v>2015</v>
      </c>
      <c r="B197" s="5">
        <f>(K120*($E120/365))+(K121*($E121/365))</f>
        <v>65.863013698630141</v>
      </c>
      <c r="C197" s="5">
        <f>(L120*($E120/365))+(L121*($E121/365))</f>
        <v>0</v>
      </c>
      <c r="D197" s="5">
        <f>(M120*($E120/365))+(M121*($E121/365))</f>
        <v>34.136986301369859</v>
      </c>
      <c r="E197" s="17">
        <f>SUM(B197:D197)</f>
        <v>100</v>
      </c>
      <c r="G197" s="1">
        <v>2015</v>
      </c>
      <c r="H197" s="362">
        <f>(O120/$R120*100*($E120/365))+(O121/$R121*100*($E121/365))</f>
        <v>63.560121765601217</v>
      </c>
      <c r="I197" s="362"/>
      <c r="J197" s="362">
        <f>(P120/$R120*100*($E120/365))+(P121/$R121*100*($E121/365))</f>
        <v>0</v>
      </c>
      <c r="K197" s="362"/>
      <c r="L197" s="362">
        <f>(Q120/$R120*100*($E120/365))+(Q121/$R121*100*($E121/365))</f>
        <v>36.439878234398783</v>
      </c>
      <c r="M197" s="362"/>
      <c r="N197" s="363">
        <f>SUM(H197:M197)</f>
        <v>100</v>
      </c>
      <c r="O197" s="363"/>
      <c r="R197" s="1">
        <v>2015</v>
      </c>
      <c r="S197" s="5">
        <f>(O120*($E120/365))+(O121*($E121/365))</f>
        <v>14.376986301369863</v>
      </c>
      <c r="T197" s="5">
        <f>(P120*($E120/365))+(P121*($E121/365))</f>
        <v>0</v>
      </c>
      <c r="U197" s="5">
        <f>(Q120*($E120/365))+(Q121*($E121/365))</f>
        <v>13.118356164383561</v>
      </c>
      <c r="W197" s="5">
        <f xml:space="preserve"> R120*(E120/365) + R121*(E121/365)</f>
        <v>27.495342465753424</v>
      </c>
    </row>
    <row r="198" spans="1:26" x14ac:dyDescent="0.15">
      <c r="A198" s="1">
        <v>2016</v>
      </c>
      <c r="B198" s="5">
        <f>(K122*($E122/366))+(K123*($E123/366))</f>
        <v>100</v>
      </c>
      <c r="C198" s="5">
        <f>(L122*($E122/366))+(L123*($E123/366))</f>
        <v>0</v>
      </c>
      <c r="D198" s="5">
        <f>(M122*($E122/366))+(M123*($E123/366))</f>
        <v>0</v>
      </c>
      <c r="E198" s="17">
        <f>SUM(B198:D198)</f>
        <v>100</v>
      </c>
      <c r="G198" s="1">
        <v>2016</v>
      </c>
      <c r="H198" s="362">
        <f>(O122/$R122*100*($E122/366))+(O123/$R123*100*($E123/366))</f>
        <v>100</v>
      </c>
      <c r="I198" s="362"/>
      <c r="J198" s="362">
        <f>(P122/$R122*100*($E122/366))+(P123/$R123*100*($E123/366))</f>
        <v>0</v>
      </c>
      <c r="K198" s="362"/>
      <c r="L198" s="362">
        <f>(Q122/$R122*100*($E122/366))+(Q123/$R123*100*($E123/366))</f>
        <v>0</v>
      </c>
      <c r="M198" s="362"/>
      <c r="N198" s="363">
        <f>SUM(H198:M198)</f>
        <v>100</v>
      </c>
      <c r="O198" s="363"/>
      <c r="R198" s="1">
        <v>2016</v>
      </c>
      <c r="S198" s="5">
        <f>(O122*($E122/366))+(O123*($E123/366))</f>
        <v>20.412568306010929</v>
      </c>
      <c r="T198" s="5">
        <f>(P122*($E122/366))+(P123*($E123/366))</f>
        <v>0</v>
      </c>
      <c r="U198" s="5">
        <f>(Q122*($E122/366))+(Q123*($E123/366))</f>
        <v>0</v>
      </c>
      <c r="W198" s="5">
        <f xml:space="preserve"> R122*(E122/366) + R123*(E123/366)</f>
        <v>20.412568306010929</v>
      </c>
    </row>
    <row r="199" spans="1:26" x14ac:dyDescent="0.15">
      <c r="A199" s="1">
        <v>2017</v>
      </c>
      <c r="B199" s="5">
        <f>(K124*($E124/365))+(K125*($E125/365))</f>
        <v>100</v>
      </c>
      <c r="C199" s="5">
        <f>(L124*($E124/365))+(L125*($E125/365))</f>
        <v>0</v>
      </c>
      <c r="D199" s="5">
        <f>(M124*($E124/365))+(M125*($E125/365))</f>
        <v>0</v>
      </c>
      <c r="E199" s="17">
        <f>SUM(B199:D199)</f>
        <v>100</v>
      </c>
      <c r="G199" s="1">
        <v>2017</v>
      </c>
      <c r="H199" s="362">
        <f>(O124/$R124*100*($E124/365))+(O125/$R125*100*($E125/365))</f>
        <v>100</v>
      </c>
      <c r="I199" s="362"/>
      <c r="J199" s="362">
        <f>(P124/$R124*100*($E124/365))+(P125/$R125*100*($E125/365))</f>
        <v>0</v>
      </c>
      <c r="K199" s="362"/>
      <c r="L199" s="362">
        <f>(Q124/$R124*100*($E124/365))+(Q125/$R125*100*($E125/365))</f>
        <v>0</v>
      </c>
      <c r="M199" s="362"/>
      <c r="N199" s="363">
        <f>SUM(H199:M199)</f>
        <v>100</v>
      </c>
      <c r="O199" s="363"/>
      <c r="R199" s="1">
        <v>2017</v>
      </c>
      <c r="S199" s="5">
        <f>(O124*($E124/365))+(O125*($E125/365))</f>
        <v>30.3</v>
      </c>
      <c r="T199" s="5">
        <f>(P124*($E124/365))+(P125*($E125/365))</f>
        <v>0</v>
      </c>
      <c r="U199" s="5">
        <f>(Q124*($E124/365))+(Q125*($E125/365))</f>
        <v>0</v>
      </c>
      <c r="W199" s="5">
        <f xml:space="preserve"> R124*(E124/365) + R125*(E125/365)</f>
        <v>30.3</v>
      </c>
    </row>
    <row r="200" spans="1:26" x14ac:dyDescent="0.15">
      <c r="A200" s="1">
        <v>2018</v>
      </c>
      <c r="B200" s="5">
        <f>(K126*($E126/365))+(K127*($E127/365))</f>
        <v>100</v>
      </c>
      <c r="C200" s="5">
        <f>(L126*($E126/365))+(L127*($E127/365))</f>
        <v>0</v>
      </c>
      <c r="D200" s="5">
        <f>(M126*($E126/365))+(M127*($E127/365))</f>
        <v>0</v>
      </c>
      <c r="E200" s="17">
        <f t="shared" ref="E200" si="61">SUM(B200:D200)</f>
        <v>100</v>
      </c>
      <c r="G200" s="1">
        <v>2018</v>
      </c>
      <c r="H200" s="362">
        <f>(O126/$R126*100*($E126/365))+(O127/$R127*100*($E127/365))</f>
        <v>100</v>
      </c>
      <c r="I200" s="362"/>
      <c r="J200" s="362">
        <f>(P126/$R126*100*($E126/365))+(P127/$R127*100*($E127/365))</f>
        <v>0</v>
      </c>
      <c r="K200" s="362"/>
      <c r="L200" s="362">
        <f>(Q126/$R126*100*($E126/365))+(Q127/$R127*100*($E127/365))</f>
        <v>0</v>
      </c>
      <c r="M200" s="362"/>
      <c r="N200" s="363">
        <f t="shared" ref="N200" si="62">SUM(H200:M200)</f>
        <v>100</v>
      </c>
      <c r="O200" s="363"/>
      <c r="R200" s="1">
        <v>2018</v>
      </c>
      <c r="S200" s="5">
        <f>(O126*($E126/365))+(O127*($E127/365))</f>
        <v>30.3</v>
      </c>
      <c r="T200" s="5">
        <f>(P126*($E126/365))+(P127*($E127/365))</f>
        <v>0</v>
      </c>
      <c r="U200" s="5">
        <f>(Q126*($E126/365))+(Q127*($E127/365))</f>
        <v>0</v>
      </c>
      <c r="W200" s="5">
        <f xml:space="preserve"> R126*(E126/365) + R127*(E127/365)</f>
        <v>30.3</v>
      </c>
    </row>
    <row r="201" spans="1:26" x14ac:dyDescent="0.15">
      <c r="A201" s="1">
        <v>2019</v>
      </c>
      <c r="B201" s="5">
        <f>(K128*($E128/365))+(K129*($E129/365))</f>
        <v>48.493150684931507</v>
      </c>
      <c r="C201" s="5">
        <f>(L128*($E128/365))+(L129*($E129/365))</f>
        <v>0</v>
      </c>
      <c r="D201" s="5">
        <f>(M128*($E128/365))+(M129*($E129/365))</f>
        <v>51.506849315068493</v>
      </c>
      <c r="E201" s="17">
        <f t="shared" ref="E201:E202" si="63">SUM(B201:D201)</f>
        <v>100</v>
      </c>
      <c r="G201" s="1">
        <v>2019</v>
      </c>
      <c r="H201" s="362">
        <f>(O128/$R128*100*($E128/365))+(O129/$R129*100*($E129/365))</f>
        <v>48.493150684931507</v>
      </c>
      <c r="I201" s="362"/>
      <c r="J201" s="362">
        <f>(P128/$R128*100*($E128/365))+(P129/$R129*100*($E129/365))</f>
        <v>0</v>
      </c>
      <c r="K201" s="362"/>
      <c r="L201" s="362">
        <f>(Q128/$R128*100*($E128/365))+(Q129/$R129*100*($E129/365))</f>
        <v>51.506849315068493</v>
      </c>
      <c r="M201" s="362"/>
      <c r="N201" s="363">
        <f t="shared" ref="N201" si="64">SUM(H201:M201)</f>
        <v>100</v>
      </c>
      <c r="O201" s="363"/>
      <c r="R201" s="1">
        <v>2019</v>
      </c>
      <c r="S201" s="5">
        <f>(O128*($E128/365))+(O129*($E129/365))</f>
        <v>14.693424657534248</v>
      </c>
      <c r="T201" s="5">
        <f>(P128*($E128/365))+(P129*($E129/365))</f>
        <v>0</v>
      </c>
      <c r="U201" s="5">
        <f>(Q128*($E128/365))+(Q129*($E129/365))</f>
        <v>14.112876712328767</v>
      </c>
      <c r="W201" s="5">
        <f xml:space="preserve"> R128*(E128/365) + R129*(E129/365)</f>
        <v>28.806301369863014</v>
      </c>
    </row>
    <row r="202" spans="1:26" x14ac:dyDescent="0.15">
      <c r="A202" s="1">
        <v>2020</v>
      </c>
      <c r="B202" s="5">
        <f>(K130*($E130/366))+(K131*($E131/366))</f>
        <v>0</v>
      </c>
      <c r="C202" s="5">
        <f>(L130*($E130/366))+(L131*($E131/366))</f>
        <v>0</v>
      </c>
      <c r="D202" s="5">
        <f>(M130*($E130/366))+(M131*($E131/366))</f>
        <v>100</v>
      </c>
      <c r="E202" s="17">
        <f t="shared" si="63"/>
        <v>100</v>
      </c>
      <c r="G202" s="1">
        <v>2020</v>
      </c>
      <c r="H202" s="362">
        <f>(O130/$R130*100*($E130/366))+(O131/$R131*100*($E131/366))</f>
        <v>0</v>
      </c>
      <c r="I202" s="362"/>
      <c r="J202" s="362">
        <f>(P130/$R130*100*($E130/366))+(P131/$R131*100*($E131/366))</f>
        <v>0</v>
      </c>
      <c r="K202" s="362"/>
      <c r="L202" s="362">
        <f>(Q130/$R130*100*($E130/366))+(Q131/$R131*100*($E131/366))</f>
        <v>100</v>
      </c>
      <c r="M202" s="362"/>
      <c r="N202" s="363">
        <f t="shared" ref="N202" si="65">SUM(H202:M202)</f>
        <v>100</v>
      </c>
      <c r="O202" s="363"/>
      <c r="R202" s="1">
        <v>2020</v>
      </c>
      <c r="S202" s="5">
        <f>(O130*($E130/366))+(O131*($E131/366))</f>
        <v>0</v>
      </c>
      <c r="T202" s="5">
        <f>(P130*($E130/366))+(P131*($E131/366))</f>
        <v>0</v>
      </c>
      <c r="U202" s="5">
        <f>(Q130*($E130/366))+(Q131*($E131/366))</f>
        <v>27.4</v>
      </c>
      <c r="W202" s="5">
        <f xml:space="preserve"> R130*(E130/365) + R131*(E131/365)</f>
        <v>27.475068493150687</v>
      </c>
    </row>
    <row r="203" spans="1:26" x14ac:dyDescent="0.15">
      <c r="A203" s="1">
        <v>2021</v>
      </c>
      <c r="B203" s="5">
        <f>(K132*($E132/365))+(K133*($E133/365))</f>
        <v>0</v>
      </c>
      <c r="C203" s="5">
        <f>(L132*($E132/365))+(L133*($E133/365))</f>
        <v>0</v>
      </c>
      <c r="D203" s="5">
        <f>(M132*($E132/365))+(M133*($E133/365))</f>
        <v>100</v>
      </c>
      <c r="E203" s="17">
        <f>SUM(B203:D203)</f>
        <v>100</v>
      </c>
      <c r="G203" s="1">
        <v>2021</v>
      </c>
      <c r="H203" s="362">
        <f>(O132/$R132*100*($E132/365))+(O133/$R133*100*($E133/365))</f>
        <v>0</v>
      </c>
      <c r="I203" s="362"/>
      <c r="J203" s="362">
        <f>(P132/$R132*100*($E132/365))+(P133/$R133*100*($E133/365))</f>
        <v>0</v>
      </c>
      <c r="K203" s="362"/>
      <c r="L203" s="362">
        <f>(Q132/$R132*100*($E132/365))+(Q133/$R133*100*($E133/365))</f>
        <v>100</v>
      </c>
      <c r="M203" s="362"/>
      <c r="N203" s="363">
        <f>SUM(H203:M203)</f>
        <v>100</v>
      </c>
      <c r="O203" s="363"/>
      <c r="R203" s="1">
        <v>2021</v>
      </c>
      <c r="S203" s="5">
        <f>(O132*($E132/365))+(O133*($E133/365))</f>
        <v>0</v>
      </c>
      <c r="T203" s="5">
        <f>(P132*($E132/365))+(P133*($E133/365))</f>
        <v>0</v>
      </c>
      <c r="U203" s="5">
        <f>(Q132*($E132/365))+(Q133*($E133/365))</f>
        <v>27.4</v>
      </c>
      <c r="W203" s="5">
        <f xml:space="preserve"> R132*(E132/365) + R133*(E133/365)</f>
        <v>27.4</v>
      </c>
    </row>
    <row r="204" spans="1:26" x14ac:dyDescent="0.15">
      <c r="A204" s="1">
        <v>2022</v>
      </c>
      <c r="B204" s="5">
        <f>(K135*($E135/365))+(K134*($E134/365))</f>
        <v>2.2870756402620604</v>
      </c>
      <c r="C204" s="5">
        <f>(L135*($E135/365))+(L134*($E134/365))</f>
        <v>0</v>
      </c>
      <c r="D204" s="5">
        <f>(M135*($E135/365))+(M134*($E134/365))</f>
        <v>97.71292435973794</v>
      </c>
      <c r="E204" s="17">
        <f>SUM(B204:D204)</f>
        <v>100</v>
      </c>
      <c r="G204" s="1">
        <v>2022</v>
      </c>
      <c r="H204" s="362">
        <f>(O135/$R135*100*($E135/365))+(O134/$R134*100*($E134/365))</f>
        <v>1.1312417145382236</v>
      </c>
      <c r="I204" s="362"/>
      <c r="J204" s="362">
        <f>(P135/$R135*100*($E135/365))+(P134/$R134*100*($E134/365))</f>
        <v>0.78656650463985867</v>
      </c>
      <c r="K204" s="362"/>
      <c r="L204" s="362">
        <f>(Q135/$R135*100*($E135/365))+(Q134/$R134*100*($E134/365))</f>
        <v>98.082191780821915</v>
      </c>
      <c r="M204" s="362"/>
      <c r="N204" s="363">
        <f>SUM(H204:M204)</f>
        <v>100</v>
      </c>
      <c r="O204" s="363"/>
      <c r="R204" s="1">
        <v>2022</v>
      </c>
      <c r="S204" s="5">
        <f>(O135*($E135/365))+(O134*($E134/365))</f>
        <v>0.56109589041095898</v>
      </c>
      <c r="T204" s="5">
        <f>(P135*($E135/365))+(P134*($E134/365))</f>
        <v>0.39013698630136989</v>
      </c>
      <c r="U204" s="5">
        <f>(Q135*($E135/365))+(Q134*($E134/365))</f>
        <v>27.421917808219174</v>
      </c>
      <c r="W204" s="5">
        <f xml:space="preserve"> R135*(E135/365) + R134*(E134/365)</f>
        <v>28.373150684931502</v>
      </c>
    </row>
  </sheetData>
  <mergeCells count="412">
    <mergeCell ref="C134:D134"/>
    <mergeCell ref="C135:D135"/>
    <mergeCell ref="H204:I204"/>
    <mergeCell ref="J204:K204"/>
    <mergeCell ref="L204:M204"/>
    <mergeCell ref="N204:O204"/>
    <mergeCell ref="C132:D132"/>
    <mergeCell ref="C133:D133"/>
    <mergeCell ref="H203:I203"/>
    <mergeCell ref="J203:K203"/>
    <mergeCell ref="L203:M203"/>
    <mergeCell ref="N203:O203"/>
    <mergeCell ref="J155:K155"/>
    <mergeCell ref="J156:K156"/>
    <mergeCell ref="J157:K157"/>
    <mergeCell ref="N184:O184"/>
    <mergeCell ref="N173:O173"/>
    <mergeCell ref="N174:O174"/>
    <mergeCell ref="N175:O175"/>
    <mergeCell ref="N172:O172"/>
    <mergeCell ref="N170:O170"/>
    <mergeCell ref="N179:O179"/>
    <mergeCell ref="N180:O180"/>
    <mergeCell ref="N181:O181"/>
    <mergeCell ref="L166:M166"/>
    <mergeCell ref="L167:M167"/>
    <mergeCell ref="L174:M174"/>
    <mergeCell ref="L183:M183"/>
    <mergeCell ref="L184:M184"/>
    <mergeCell ref="J170:K170"/>
    <mergeCell ref="J171:K171"/>
    <mergeCell ref="N176:O176"/>
    <mergeCell ref="H202:I202"/>
    <mergeCell ref="J202:K202"/>
    <mergeCell ref="L202:M202"/>
    <mergeCell ref="N202:O202"/>
    <mergeCell ref="H201:I201"/>
    <mergeCell ref="J201:K201"/>
    <mergeCell ref="L201:M201"/>
    <mergeCell ref="N201:O201"/>
    <mergeCell ref="N186:O186"/>
    <mergeCell ref="N187:O187"/>
    <mergeCell ref="L186:M186"/>
    <mergeCell ref="H189:I189"/>
    <mergeCell ref="H190:I190"/>
    <mergeCell ref="H184:I184"/>
    <mergeCell ref="H185:I185"/>
    <mergeCell ref="L187:M187"/>
    <mergeCell ref="L181:M181"/>
    <mergeCell ref="L182:M182"/>
    <mergeCell ref="L178:M178"/>
    <mergeCell ref="L179:M179"/>
    <mergeCell ref="L180:M180"/>
    <mergeCell ref="N183:O183"/>
    <mergeCell ref="H160:I160"/>
    <mergeCell ref="H161:I161"/>
    <mergeCell ref="N178:O178"/>
    <mergeCell ref="N164:O164"/>
    <mergeCell ref="N171:O171"/>
    <mergeCell ref="N169:O169"/>
    <mergeCell ref="N165:O165"/>
    <mergeCell ref="N166:O166"/>
    <mergeCell ref="N167:O167"/>
    <mergeCell ref="N168:O168"/>
    <mergeCell ref="J180:K180"/>
    <mergeCell ref="L175:M175"/>
    <mergeCell ref="L176:M176"/>
    <mergeCell ref="L177:M177"/>
    <mergeCell ref="J182:K182"/>
    <mergeCell ref="J175:K175"/>
    <mergeCell ref="J176:K176"/>
    <mergeCell ref="L172:M172"/>
    <mergeCell ref="H193:I193"/>
    <mergeCell ref="H194:I194"/>
    <mergeCell ref="H195:I195"/>
    <mergeCell ref="L168:M168"/>
    <mergeCell ref="L171:M171"/>
    <mergeCell ref="L163:M163"/>
    <mergeCell ref="L164:M164"/>
    <mergeCell ref="L160:M160"/>
    <mergeCell ref="L161:M161"/>
    <mergeCell ref="L162:M162"/>
    <mergeCell ref="L169:M169"/>
    <mergeCell ref="L170:M170"/>
    <mergeCell ref="L165:M165"/>
    <mergeCell ref="H191:I191"/>
    <mergeCell ref="J183:K183"/>
    <mergeCell ref="J184:K184"/>
    <mergeCell ref="J185:K185"/>
    <mergeCell ref="J177:K177"/>
    <mergeCell ref="L185:M185"/>
    <mergeCell ref="J172:K172"/>
    <mergeCell ref="J173:K173"/>
    <mergeCell ref="J174:K174"/>
    <mergeCell ref="J178:K178"/>
    <mergeCell ref="J179:K179"/>
    <mergeCell ref="N191:O191"/>
    <mergeCell ref="J192:K192"/>
    <mergeCell ref="N185:O185"/>
    <mergeCell ref="AT4:AW4"/>
    <mergeCell ref="AX4:BA4"/>
    <mergeCell ref="C7:D7"/>
    <mergeCell ref="C6:D6"/>
    <mergeCell ref="N159:O159"/>
    <mergeCell ref="J150:K150"/>
    <mergeCell ref="L154:M154"/>
    <mergeCell ref="L155:M155"/>
    <mergeCell ref="L156:M156"/>
    <mergeCell ref="J151:K151"/>
    <mergeCell ref="J152:K152"/>
    <mergeCell ref="J153:K153"/>
    <mergeCell ref="J154:K154"/>
    <mergeCell ref="C128:D128"/>
    <mergeCell ref="C129:D129"/>
    <mergeCell ref="N144:O144"/>
    <mergeCell ref="N145:O145"/>
    <mergeCell ref="N146:O146"/>
    <mergeCell ref="C130:D130"/>
    <mergeCell ref="C131:D131"/>
    <mergeCell ref="N147:O147"/>
    <mergeCell ref="N148:O148"/>
    <mergeCell ref="N149:O149"/>
    <mergeCell ref="N150:O150"/>
    <mergeCell ref="N154:O154"/>
    <mergeCell ref="N155:O155"/>
    <mergeCell ref="N156:O156"/>
    <mergeCell ref="N157:O157"/>
    <mergeCell ref="N158:O158"/>
    <mergeCell ref="N163:O163"/>
    <mergeCell ref="N160:O160"/>
    <mergeCell ref="N161:O161"/>
    <mergeCell ref="N162:O162"/>
    <mergeCell ref="H197:I197"/>
    <mergeCell ref="J197:K197"/>
    <mergeCell ref="L197:M197"/>
    <mergeCell ref="N197:O197"/>
    <mergeCell ref="L193:M193"/>
    <mergeCell ref="L194:M194"/>
    <mergeCell ref="L188:M188"/>
    <mergeCell ref="L189:M189"/>
    <mergeCell ref="L190:M190"/>
    <mergeCell ref="L191:M191"/>
    <mergeCell ref="L192:M192"/>
    <mergeCell ref="N193:O193"/>
    <mergeCell ref="N194:O194"/>
    <mergeCell ref="N188:O188"/>
    <mergeCell ref="J193:K193"/>
    <mergeCell ref="J194:K194"/>
    <mergeCell ref="J188:K188"/>
    <mergeCell ref="J189:K189"/>
    <mergeCell ref="J190:K190"/>
    <mergeCell ref="H188:I188"/>
    <mergeCell ref="J191:K191"/>
    <mergeCell ref="N192:O192"/>
    <mergeCell ref="N189:O189"/>
    <mergeCell ref="N190:O190"/>
    <mergeCell ref="L173:M173"/>
    <mergeCell ref="N182:O182"/>
    <mergeCell ref="N177:O177"/>
    <mergeCell ref="R138:W138"/>
    <mergeCell ref="H140:I140"/>
    <mergeCell ref="J140:K140"/>
    <mergeCell ref="L140:M140"/>
    <mergeCell ref="N140:O140"/>
    <mergeCell ref="H142:I142"/>
    <mergeCell ref="H141:I141"/>
    <mergeCell ref="H157:I157"/>
    <mergeCell ref="H158:I158"/>
    <mergeCell ref="H151:I151"/>
    <mergeCell ref="H152:I152"/>
    <mergeCell ref="H153:I153"/>
    <mergeCell ref="H154:I154"/>
    <mergeCell ref="H155:I155"/>
    <mergeCell ref="H156:I156"/>
    <mergeCell ref="L151:M151"/>
    <mergeCell ref="L152:M152"/>
    <mergeCell ref="L153:M153"/>
    <mergeCell ref="N153:O153"/>
    <mergeCell ref="L149:M149"/>
    <mergeCell ref="L150:M150"/>
    <mergeCell ref="N142:O142"/>
    <mergeCell ref="N151:O151"/>
    <mergeCell ref="N152:O152"/>
    <mergeCell ref="G3:M3"/>
    <mergeCell ref="O3:Q3"/>
    <mergeCell ref="C9:D9"/>
    <mergeCell ref="C10:D10"/>
    <mergeCell ref="C21:D21"/>
    <mergeCell ref="C22:D22"/>
    <mergeCell ref="C23:D23"/>
    <mergeCell ref="C24:D24"/>
    <mergeCell ref="C27:D27"/>
    <mergeCell ref="C35:D35"/>
    <mergeCell ref="C36:D36"/>
    <mergeCell ref="C29:D29"/>
    <mergeCell ref="C30:D30"/>
    <mergeCell ref="C33:D33"/>
    <mergeCell ref="C34:D34"/>
    <mergeCell ref="C31:D31"/>
    <mergeCell ref="C32:D32"/>
    <mergeCell ref="C39:D39"/>
    <mergeCell ref="C40:D40"/>
    <mergeCell ref="C37:D37"/>
    <mergeCell ref="C38:D38"/>
    <mergeCell ref="C41:D41"/>
    <mergeCell ref="A4:A5"/>
    <mergeCell ref="B4:B5"/>
    <mergeCell ref="C4:D5"/>
    <mergeCell ref="E4:E5"/>
    <mergeCell ref="F4:F5"/>
    <mergeCell ref="G4:J4"/>
    <mergeCell ref="Z4:AC4"/>
    <mergeCell ref="C28:D28"/>
    <mergeCell ref="C25:D25"/>
    <mergeCell ref="C26:D26"/>
    <mergeCell ref="AD4:AG4"/>
    <mergeCell ref="AH4:AK4"/>
    <mergeCell ref="AL4:AO4"/>
    <mergeCell ref="U4:U5"/>
    <mergeCell ref="V4:Y4"/>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119:D119"/>
    <mergeCell ref="C82:D82"/>
    <mergeCell ref="C79:D79"/>
    <mergeCell ref="C80:D80"/>
    <mergeCell ref="C83:D83"/>
    <mergeCell ref="C84:D84"/>
    <mergeCell ref="C87:D87"/>
    <mergeCell ref="C88:D88"/>
    <mergeCell ref="C85:D85"/>
    <mergeCell ref="C86:D86"/>
    <mergeCell ref="C110:D110"/>
    <mergeCell ref="C117:D117"/>
    <mergeCell ref="C115:D115"/>
    <mergeCell ref="C116:D116"/>
    <mergeCell ref="C89:D89"/>
    <mergeCell ref="C90:D90"/>
    <mergeCell ref="C93:D93"/>
    <mergeCell ref="C94:D94"/>
    <mergeCell ref="C91:D91"/>
    <mergeCell ref="C92:D92"/>
    <mergeCell ref="C123:D123"/>
    <mergeCell ref="C95:D95"/>
    <mergeCell ref="C96:D96"/>
    <mergeCell ref="C99:D99"/>
    <mergeCell ref="C100:D100"/>
    <mergeCell ref="C97:D97"/>
    <mergeCell ref="C98:D98"/>
    <mergeCell ref="C101:D101"/>
    <mergeCell ref="C102:D102"/>
    <mergeCell ref="C111:D111"/>
    <mergeCell ref="C112:D112"/>
    <mergeCell ref="C103:D103"/>
    <mergeCell ref="C104:D104"/>
    <mergeCell ref="C113:D113"/>
    <mergeCell ref="C114:D114"/>
    <mergeCell ref="C105:D105"/>
    <mergeCell ref="C106:D106"/>
    <mergeCell ref="C107:D107"/>
    <mergeCell ref="C108:D108"/>
    <mergeCell ref="C109:D109"/>
    <mergeCell ref="C120:D120"/>
    <mergeCell ref="C121:D121"/>
    <mergeCell ref="C122:D122"/>
    <mergeCell ref="C118:D118"/>
    <mergeCell ref="H150:I150"/>
    <mergeCell ref="H159:I159"/>
    <mergeCell ref="H148:I148"/>
    <mergeCell ref="H143:I143"/>
    <mergeCell ref="L142:M142"/>
    <mergeCell ref="L144:M144"/>
    <mergeCell ref="L145:M145"/>
    <mergeCell ref="L146:M146"/>
    <mergeCell ref="L147:M147"/>
    <mergeCell ref="L148:M148"/>
    <mergeCell ref="J142:K142"/>
    <mergeCell ref="J144:K144"/>
    <mergeCell ref="J145:K145"/>
    <mergeCell ref="J146:K146"/>
    <mergeCell ref="J147:K147"/>
    <mergeCell ref="J148:K148"/>
    <mergeCell ref="H144:I144"/>
    <mergeCell ref="H145:I145"/>
    <mergeCell ref="H146:I146"/>
    <mergeCell ref="H147:I147"/>
    <mergeCell ref="L157:M157"/>
    <mergeCell ref="L158:M158"/>
    <mergeCell ref="N198:O198"/>
    <mergeCell ref="H196:I196"/>
    <mergeCell ref="J196:K196"/>
    <mergeCell ref="L196:M196"/>
    <mergeCell ref="N196:O196"/>
    <mergeCell ref="H162:I162"/>
    <mergeCell ref="H169:I169"/>
    <mergeCell ref="H170:I170"/>
    <mergeCell ref="H171:I171"/>
    <mergeCell ref="H175:I175"/>
    <mergeCell ref="H172:I172"/>
    <mergeCell ref="J195:K195"/>
    <mergeCell ref="L195:M195"/>
    <mergeCell ref="J162:K162"/>
    <mergeCell ref="H192:I192"/>
    <mergeCell ref="H181:I181"/>
    <mergeCell ref="H182:I182"/>
    <mergeCell ref="J163:K163"/>
    <mergeCell ref="J164:K164"/>
    <mergeCell ref="J165:K165"/>
    <mergeCell ref="J166:K166"/>
    <mergeCell ref="J167:K167"/>
    <mergeCell ref="J168:K168"/>
    <mergeCell ref="H176:I176"/>
    <mergeCell ref="C124:D124"/>
    <mergeCell ref="C125:D125"/>
    <mergeCell ref="H198:I198"/>
    <mergeCell ref="J198:K198"/>
    <mergeCell ref="L198:M198"/>
    <mergeCell ref="J141:K141"/>
    <mergeCell ref="L141:M141"/>
    <mergeCell ref="J143:K143"/>
    <mergeCell ref="L143:M143"/>
    <mergeCell ref="J158:K158"/>
    <mergeCell ref="J159:K159"/>
    <mergeCell ref="J160:K160"/>
    <mergeCell ref="J161:K161"/>
    <mergeCell ref="H177:I177"/>
    <mergeCell ref="H178:I178"/>
    <mergeCell ref="H179:I179"/>
    <mergeCell ref="H180:I180"/>
    <mergeCell ref="J187:K187"/>
    <mergeCell ref="J181:K181"/>
    <mergeCell ref="H187:I187"/>
    <mergeCell ref="H186:I186"/>
    <mergeCell ref="H149:I149"/>
    <mergeCell ref="J169:K169"/>
    <mergeCell ref="J186:K186"/>
    <mergeCell ref="N195:O195"/>
    <mergeCell ref="N141:O141"/>
    <mergeCell ref="C126:D126"/>
    <mergeCell ref="C127:D127"/>
    <mergeCell ref="H200:I200"/>
    <mergeCell ref="J200:K200"/>
    <mergeCell ref="L200:M200"/>
    <mergeCell ref="N200:O200"/>
    <mergeCell ref="H199:I199"/>
    <mergeCell ref="J199:K199"/>
    <mergeCell ref="L199:M199"/>
    <mergeCell ref="N199:O199"/>
    <mergeCell ref="N143:O143"/>
    <mergeCell ref="H173:I173"/>
    <mergeCell ref="H174:I174"/>
    <mergeCell ref="H163:I163"/>
    <mergeCell ref="H164:I164"/>
    <mergeCell ref="H165:I165"/>
    <mergeCell ref="H166:I166"/>
    <mergeCell ref="H167:I167"/>
    <mergeCell ref="H168:I168"/>
    <mergeCell ref="H183:I183"/>
    <mergeCell ref="L159:M159"/>
    <mergeCell ref="J149:K149"/>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69" formulaRange="1"/>
  </ignoredErrors>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A111"/>
  <sheetViews>
    <sheetView zoomScale="119" zoomScaleNormal="98" workbookViewId="0">
      <pane xSplit="1" ySplit="5" topLeftCell="AS65"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139</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28" customFormat="1" x14ac:dyDescent="0.15">
      <c r="A6" s="28">
        <v>1992</v>
      </c>
      <c r="B6" s="293"/>
      <c r="C6" s="405" t="s">
        <v>1261</v>
      </c>
      <c r="D6" s="405"/>
      <c r="E6" s="28">
        <v>294</v>
      </c>
      <c r="G6" s="65"/>
      <c r="J6" s="72"/>
      <c r="K6" s="46"/>
      <c r="L6" s="46"/>
      <c r="M6" s="46"/>
      <c r="N6" s="67"/>
      <c r="O6" s="45"/>
      <c r="P6" s="46"/>
      <c r="Q6" s="46"/>
      <c r="R6" s="47"/>
      <c r="T6" s="284"/>
      <c r="U6" s="293"/>
      <c r="V6" s="37"/>
      <c r="Y6" s="38"/>
      <c r="AD6" s="37"/>
      <c r="AG6" s="38"/>
      <c r="AL6" s="37"/>
      <c r="AO6" s="38"/>
      <c r="AP6" s="37"/>
      <c r="AS6" s="38"/>
      <c r="AW6" s="38"/>
      <c r="BA6" s="39"/>
    </row>
    <row r="7" spans="1:53" s="170" customFormat="1" x14ac:dyDescent="0.15">
      <c r="A7" s="170">
        <v>1992</v>
      </c>
      <c r="B7" s="281">
        <v>33898</v>
      </c>
      <c r="C7" s="395" t="s">
        <v>1092</v>
      </c>
      <c r="D7" s="395"/>
      <c r="E7" s="170">
        <v>72</v>
      </c>
      <c r="F7" s="170" t="s">
        <v>335</v>
      </c>
      <c r="G7" s="232">
        <v>7</v>
      </c>
      <c r="I7" s="170">
        <v>3</v>
      </c>
      <c r="J7" s="240">
        <v>14</v>
      </c>
      <c r="K7" s="213">
        <f t="shared" ref="K7:K44" si="0">G7/J7*100</f>
        <v>50</v>
      </c>
      <c r="L7" s="213">
        <f t="shared" ref="L7:L44" si="1">H7/J7*100</f>
        <v>0</v>
      </c>
      <c r="M7" s="213">
        <f t="shared" ref="M7:M44" si="2">I7/J7*100</f>
        <v>21.428571428571427</v>
      </c>
      <c r="N7" s="234">
        <f t="shared" ref="N7:N52" si="3">SUM(K7:M7)</f>
        <v>71.428571428571431</v>
      </c>
      <c r="O7" s="212">
        <v>38.6</v>
      </c>
      <c r="P7" s="213"/>
      <c r="Q7" s="213">
        <v>11.9</v>
      </c>
      <c r="R7" s="214">
        <f>SUM(O7:Q7)</f>
        <v>50.5</v>
      </c>
      <c r="S7" s="170">
        <v>2</v>
      </c>
      <c r="T7" s="283">
        <v>33867</v>
      </c>
      <c r="U7" s="281">
        <v>33898</v>
      </c>
      <c r="V7" s="177" t="s">
        <v>1091</v>
      </c>
      <c r="W7" s="170" t="s">
        <v>74</v>
      </c>
      <c r="X7" s="170" t="s">
        <v>11</v>
      </c>
      <c r="Y7" s="178">
        <v>28.7</v>
      </c>
      <c r="Z7" s="170" t="s">
        <v>472</v>
      </c>
      <c r="AA7" s="170" t="s">
        <v>97</v>
      </c>
      <c r="AB7" s="170" t="s">
        <v>12</v>
      </c>
      <c r="AC7" s="170">
        <v>11.9</v>
      </c>
      <c r="AD7" s="177" t="s">
        <v>1085</v>
      </c>
      <c r="AE7" s="170" t="s">
        <v>294</v>
      </c>
      <c r="AF7" s="170" t="s">
        <v>11</v>
      </c>
      <c r="AG7" s="178">
        <v>9.9</v>
      </c>
      <c r="AL7" s="177"/>
      <c r="AO7" s="178"/>
      <c r="AP7" s="177"/>
      <c r="AS7" s="178"/>
      <c r="AW7" s="178"/>
      <c r="BA7" s="179"/>
    </row>
    <row r="8" spans="1:53" s="170" customFormat="1" x14ac:dyDescent="0.15">
      <c r="A8" s="170">
        <v>1993</v>
      </c>
      <c r="B8" s="281"/>
      <c r="C8" s="395" t="s">
        <v>1092</v>
      </c>
      <c r="D8" s="395"/>
      <c r="E8" s="170">
        <v>0</v>
      </c>
      <c r="G8" s="232">
        <v>7</v>
      </c>
      <c r="I8" s="170">
        <v>3</v>
      </c>
      <c r="J8" s="240">
        <v>14</v>
      </c>
      <c r="K8" s="213">
        <f t="shared" si="0"/>
        <v>50</v>
      </c>
      <c r="L8" s="213">
        <f t="shared" si="1"/>
        <v>0</v>
      </c>
      <c r="M8" s="213">
        <f t="shared" si="2"/>
        <v>21.428571428571427</v>
      </c>
      <c r="N8" s="234">
        <f t="shared" si="3"/>
        <v>71.428571428571431</v>
      </c>
      <c r="O8" s="212">
        <v>38.6</v>
      </c>
      <c r="P8" s="213"/>
      <c r="Q8" s="213">
        <v>11.9</v>
      </c>
      <c r="R8" s="214">
        <f t="shared" ref="R8:R29" si="4">SUM(O8:Q8)</f>
        <v>50.5</v>
      </c>
      <c r="S8" s="170">
        <v>2</v>
      </c>
      <c r="T8" s="283"/>
      <c r="U8" s="281"/>
      <c r="V8" s="177" t="s">
        <v>1091</v>
      </c>
      <c r="W8" s="170" t="s">
        <v>74</v>
      </c>
      <c r="X8" s="170" t="s">
        <v>11</v>
      </c>
      <c r="Y8" s="178">
        <v>28.7</v>
      </c>
      <c r="Z8" s="170" t="s">
        <v>472</v>
      </c>
      <c r="AA8" s="170" t="s">
        <v>97</v>
      </c>
      <c r="AB8" s="170" t="s">
        <v>12</v>
      </c>
      <c r="AC8" s="170">
        <v>11.9</v>
      </c>
      <c r="AD8" s="177" t="s">
        <v>1085</v>
      </c>
      <c r="AE8" s="170" t="s">
        <v>294</v>
      </c>
      <c r="AF8" s="170" t="s">
        <v>11</v>
      </c>
      <c r="AG8" s="178">
        <v>9.9</v>
      </c>
      <c r="AL8" s="177"/>
      <c r="AO8" s="178"/>
      <c r="AP8" s="177"/>
      <c r="AS8" s="178"/>
      <c r="AW8" s="178"/>
      <c r="BA8" s="179"/>
    </row>
    <row r="9" spans="1:53" s="170" customFormat="1" x14ac:dyDescent="0.15">
      <c r="A9" s="170">
        <v>1993</v>
      </c>
      <c r="B9" s="281"/>
      <c r="C9" s="395" t="s">
        <v>1092</v>
      </c>
      <c r="D9" s="395"/>
      <c r="E9" s="170">
        <v>365</v>
      </c>
      <c r="G9" s="232">
        <v>7</v>
      </c>
      <c r="I9" s="170">
        <v>3</v>
      </c>
      <c r="J9" s="240">
        <v>14</v>
      </c>
      <c r="K9" s="213">
        <f t="shared" si="0"/>
        <v>50</v>
      </c>
      <c r="L9" s="213">
        <f t="shared" si="1"/>
        <v>0</v>
      </c>
      <c r="M9" s="213">
        <f t="shared" si="2"/>
        <v>21.428571428571427</v>
      </c>
      <c r="N9" s="234">
        <f t="shared" si="3"/>
        <v>71.428571428571431</v>
      </c>
      <c r="O9" s="212">
        <v>38.6</v>
      </c>
      <c r="P9" s="213"/>
      <c r="Q9" s="213">
        <v>11.9</v>
      </c>
      <c r="R9" s="214">
        <f t="shared" si="4"/>
        <v>50.5</v>
      </c>
      <c r="S9" s="170">
        <v>2</v>
      </c>
      <c r="T9" s="283"/>
      <c r="U9" s="281"/>
      <c r="V9" s="177" t="s">
        <v>1091</v>
      </c>
      <c r="W9" s="170" t="s">
        <v>74</v>
      </c>
      <c r="X9" s="170" t="s">
        <v>11</v>
      </c>
      <c r="Y9" s="178">
        <v>28.7</v>
      </c>
      <c r="Z9" s="170" t="s">
        <v>472</v>
      </c>
      <c r="AA9" s="170" t="s">
        <v>97</v>
      </c>
      <c r="AB9" s="170" t="s">
        <v>12</v>
      </c>
      <c r="AC9" s="170">
        <v>11.9</v>
      </c>
      <c r="AD9" s="177" t="s">
        <v>1085</v>
      </c>
      <c r="AE9" s="170" t="s">
        <v>294</v>
      </c>
      <c r="AF9" s="170" t="s">
        <v>11</v>
      </c>
      <c r="AG9" s="178">
        <v>9.9</v>
      </c>
      <c r="AL9" s="177"/>
      <c r="AO9" s="178"/>
      <c r="AP9" s="177"/>
      <c r="AS9" s="178"/>
      <c r="AW9" s="178"/>
      <c r="BA9" s="179"/>
    </row>
    <row r="10" spans="1:53" s="170" customFormat="1" x14ac:dyDescent="0.15">
      <c r="A10" s="170">
        <v>1994</v>
      </c>
      <c r="B10" s="281"/>
      <c r="C10" s="395" t="s">
        <v>1092</v>
      </c>
      <c r="D10" s="395"/>
      <c r="E10" s="170">
        <v>311</v>
      </c>
      <c r="G10" s="232">
        <v>7</v>
      </c>
      <c r="I10" s="170">
        <v>3</v>
      </c>
      <c r="J10" s="240">
        <v>14</v>
      </c>
      <c r="K10" s="213">
        <f t="shared" si="0"/>
        <v>50</v>
      </c>
      <c r="L10" s="213">
        <f t="shared" si="1"/>
        <v>0</v>
      </c>
      <c r="M10" s="213">
        <f t="shared" si="2"/>
        <v>21.428571428571427</v>
      </c>
      <c r="N10" s="234">
        <f t="shared" si="3"/>
        <v>71.428571428571431</v>
      </c>
      <c r="O10" s="212">
        <v>38.6</v>
      </c>
      <c r="P10" s="213"/>
      <c r="Q10" s="213">
        <v>11.9</v>
      </c>
      <c r="R10" s="214">
        <f t="shared" si="4"/>
        <v>50.5</v>
      </c>
      <c r="S10" s="170">
        <v>2</v>
      </c>
      <c r="T10" s="283"/>
      <c r="U10" s="281"/>
      <c r="V10" s="177" t="s">
        <v>1091</v>
      </c>
      <c r="W10" s="170" t="s">
        <v>74</v>
      </c>
      <c r="X10" s="170" t="s">
        <v>11</v>
      </c>
      <c r="Y10" s="178">
        <v>28.7</v>
      </c>
      <c r="Z10" s="170" t="s">
        <v>472</v>
      </c>
      <c r="AA10" s="170" t="s">
        <v>97</v>
      </c>
      <c r="AB10" s="170" t="s">
        <v>12</v>
      </c>
      <c r="AC10" s="170">
        <v>11.9</v>
      </c>
      <c r="AD10" s="177" t="s">
        <v>1085</v>
      </c>
      <c r="AE10" s="170" t="s">
        <v>294</v>
      </c>
      <c r="AF10" s="170" t="s">
        <v>11</v>
      </c>
      <c r="AG10" s="178">
        <v>9.9</v>
      </c>
      <c r="AL10" s="177"/>
      <c r="AO10" s="178"/>
      <c r="AP10" s="177"/>
      <c r="AS10" s="178"/>
      <c r="AW10" s="178"/>
      <c r="BA10" s="179"/>
    </row>
    <row r="11" spans="1:53" s="28" customFormat="1" x14ac:dyDescent="0.15">
      <c r="A11" s="28">
        <v>1994</v>
      </c>
      <c r="B11" s="275">
        <v>34646</v>
      </c>
      <c r="C11" s="394" t="s">
        <v>1080</v>
      </c>
      <c r="D11" s="394"/>
      <c r="E11" s="28">
        <v>54</v>
      </c>
      <c r="F11" s="28">
        <v>5</v>
      </c>
      <c r="G11" s="65">
        <v>7</v>
      </c>
      <c r="I11" s="28">
        <v>3</v>
      </c>
      <c r="J11" s="72">
        <v>14</v>
      </c>
      <c r="K11" s="46">
        <f t="shared" si="0"/>
        <v>50</v>
      </c>
      <c r="L11" s="46">
        <f t="shared" si="1"/>
        <v>0</v>
      </c>
      <c r="M11" s="46">
        <f t="shared" si="2"/>
        <v>21.428571428571427</v>
      </c>
      <c r="N11" s="67">
        <f t="shared" si="3"/>
        <v>71.428571428571431</v>
      </c>
      <c r="O11" s="45">
        <v>38.6</v>
      </c>
      <c r="P11" s="46"/>
      <c r="Q11" s="46">
        <v>11.9</v>
      </c>
      <c r="R11" s="47">
        <f t="shared" si="4"/>
        <v>50.5</v>
      </c>
      <c r="S11" s="28">
        <v>6</v>
      </c>
      <c r="T11" s="284"/>
      <c r="U11" s="293">
        <v>34646</v>
      </c>
      <c r="V11" s="37" t="s">
        <v>1091</v>
      </c>
      <c r="W11" s="28" t="s">
        <v>74</v>
      </c>
      <c r="X11" s="28" t="s">
        <v>11</v>
      </c>
      <c r="Y11" s="38">
        <v>28.7</v>
      </c>
      <c r="Z11" s="28" t="s">
        <v>472</v>
      </c>
      <c r="AA11" s="28" t="s">
        <v>97</v>
      </c>
      <c r="AB11" s="28" t="s">
        <v>12</v>
      </c>
      <c r="AC11" s="28">
        <v>11.9</v>
      </c>
      <c r="AD11" s="37" t="s">
        <v>1085</v>
      </c>
      <c r="AE11" s="28" t="s">
        <v>294</v>
      </c>
      <c r="AF11" s="28" t="s">
        <v>11</v>
      </c>
      <c r="AG11" s="38">
        <v>9.9</v>
      </c>
      <c r="AL11" s="37"/>
      <c r="AO11" s="38"/>
      <c r="AP11" s="37"/>
      <c r="AS11" s="38"/>
      <c r="AW11" s="38"/>
      <c r="BA11" s="39"/>
    </row>
    <row r="12" spans="1:53" s="28" customFormat="1" x14ac:dyDescent="0.15">
      <c r="A12" s="28">
        <v>1995</v>
      </c>
      <c r="B12" s="275"/>
      <c r="C12" s="394" t="s">
        <v>1080</v>
      </c>
      <c r="D12" s="394"/>
      <c r="E12" s="28">
        <v>106</v>
      </c>
      <c r="G12" s="65">
        <v>7</v>
      </c>
      <c r="I12" s="28">
        <v>3</v>
      </c>
      <c r="J12" s="72">
        <v>14</v>
      </c>
      <c r="K12" s="46">
        <f t="shared" si="0"/>
        <v>50</v>
      </c>
      <c r="L12" s="46">
        <f t="shared" si="1"/>
        <v>0</v>
      </c>
      <c r="M12" s="46">
        <f t="shared" si="2"/>
        <v>21.428571428571427</v>
      </c>
      <c r="N12" s="67">
        <f t="shared" si="3"/>
        <v>71.428571428571431</v>
      </c>
      <c r="O12" s="45">
        <v>38.6</v>
      </c>
      <c r="P12" s="46"/>
      <c r="Q12" s="46">
        <v>11.9</v>
      </c>
      <c r="R12" s="47">
        <f t="shared" si="4"/>
        <v>50.5</v>
      </c>
      <c r="S12" s="28">
        <v>6</v>
      </c>
      <c r="T12" s="284"/>
      <c r="U12" s="293"/>
      <c r="V12" s="37" t="s">
        <v>1091</v>
      </c>
      <c r="W12" s="28" t="s">
        <v>74</v>
      </c>
      <c r="X12" s="28" t="s">
        <v>11</v>
      </c>
      <c r="Y12" s="38">
        <v>28.7</v>
      </c>
      <c r="Z12" s="28" t="s">
        <v>472</v>
      </c>
      <c r="AA12" s="28" t="s">
        <v>97</v>
      </c>
      <c r="AB12" s="28" t="s">
        <v>12</v>
      </c>
      <c r="AC12" s="28">
        <v>11.9</v>
      </c>
      <c r="AD12" s="37" t="s">
        <v>1085</v>
      </c>
      <c r="AE12" s="28" t="s">
        <v>294</v>
      </c>
      <c r="AF12" s="28" t="s">
        <v>11</v>
      </c>
      <c r="AG12" s="38">
        <v>9.9</v>
      </c>
      <c r="AL12" s="37"/>
      <c r="AO12" s="38"/>
      <c r="AP12" s="37"/>
      <c r="AS12" s="38"/>
      <c r="AW12" s="38"/>
      <c r="BA12" s="39"/>
    </row>
    <row r="13" spans="1:53" s="170" customFormat="1" x14ac:dyDescent="0.15">
      <c r="A13" s="170">
        <v>1995</v>
      </c>
      <c r="B13" s="304">
        <v>34806</v>
      </c>
      <c r="C13" s="395" t="s">
        <v>1086</v>
      </c>
      <c r="D13" s="395"/>
      <c r="E13" s="170">
        <v>200</v>
      </c>
      <c r="F13" s="170">
        <v>1</v>
      </c>
      <c r="G13" s="232"/>
      <c r="H13" s="170">
        <v>5</v>
      </c>
      <c r="I13" s="170">
        <v>9</v>
      </c>
      <c r="J13" s="240">
        <v>14</v>
      </c>
      <c r="K13" s="213">
        <f>G13/J13*100</f>
        <v>0</v>
      </c>
      <c r="L13" s="213">
        <f>H13/J13*100</f>
        <v>35.714285714285715</v>
      </c>
      <c r="M13" s="213">
        <f>I13/J13*100</f>
        <v>64.285714285714292</v>
      </c>
      <c r="N13" s="234">
        <f t="shared" si="3"/>
        <v>100</v>
      </c>
      <c r="O13" s="212"/>
      <c r="P13" s="213">
        <v>15.8</v>
      </c>
      <c r="Q13" s="213">
        <v>40.6</v>
      </c>
      <c r="R13" s="214">
        <f t="shared" si="4"/>
        <v>56.400000000000006</v>
      </c>
      <c r="S13" s="170">
        <v>2</v>
      </c>
      <c r="T13" s="283">
        <v>34763</v>
      </c>
      <c r="U13" s="281">
        <v>34806</v>
      </c>
      <c r="V13" s="177" t="s">
        <v>1089</v>
      </c>
      <c r="W13" s="170" t="s">
        <v>869</v>
      </c>
      <c r="X13" s="170" t="s">
        <v>12</v>
      </c>
      <c r="Y13" s="178">
        <v>40.6</v>
      </c>
      <c r="Z13" s="170" t="s">
        <v>1331</v>
      </c>
      <c r="AA13" s="170" t="s">
        <v>99</v>
      </c>
      <c r="AB13" s="170" t="s">
        <v>18</v>
      </c>
      <c r="AC13" s="170">
        <v>15.8</v>
      </c>
      <c r="AD13" s="177"/>
      <c r="AG13" s="178"/>
      <c r="AL13" s="177"/>
      <c r="AO13" s="178"/>
      <c r="AP13" s="177"/>
      <c r="AS13" s="178"/>
      <c r="AW13" s="178"/>
      <c r="BA13" s="179"/>
    </row>
    <row r="14" spans="1:53" s="28" customFormat="1" x14ac:dyDescent="0.15">
      <c r="A14" s="28">
        <v>1995</v>
      </c>
      <c r="B14" s="275">
        <v>35006</v>
      </c>
      <c r="C14" s="394" t="s">
        <v>1087</v>
      </c>
      <c r="D14" s="394"/>
      <c r="E14" s="28">
        <v>59</v>
      </c>
      <c r="F14" s="28">
        <v>2</v>
      </c>
      <c r="G14" s="65">
        <v>6</v>
      </c>
      <c r="I14" s="28">
        <v>9</v>
      </c>
      <c r="J14" s="72">
        <v>15</v>
      </c>
      <c r="K14" s="46">
        <f t="shared" si="0"/>
        <v>40</v>
      </c>
      <c r="L14" s="46">
        <f t="shared" si="1"/>
        <v>0</v>
      </c>
      <c r="M14" s="46">
        <f t="shared" si="2"/>
        <v>60</v>
      </c>
      <c r="N14" s="67">
        <f t="shared" si="3"/>
        <v>100</v>
      </c>
      <c r="O14" s="45">
        <v>18.8</v>
      </c>
      <c r="P14" s="46"/>
      <c r="Q14" s="46">
        <v>40.6</v>
      </c>
      <c r="R14" s="47">
        <f t="shared" si="4"/>
        <v>59.400000000000006</v>
      </c>
      <c r="S14" s="28">
        <v>2</v>
      </c>
      <c r="T14" s="284"/>
      <c r="U14" s="293">
        <v>35006</v>
      </c>
      <c r="V14" s="37" t="s">
        <v>1089</v>
      </c>
      <c r="W14" s="28" t="s">
        <v>869</v>
      </c>
      <c r="X14" s="28" t="s">
        <v>12</v>
      </c>
      <c r="Y14" s="38">
        <v>40.6</v>
      </c>
      <c r="Z14" s="28" t="s">
        <v>1090</v>
      </c>
      <c r="AA14" s="28" t="s">
        <v>87</v>
      </c>
      <c r="AB14" s="28" t="s">
        <v>11</v>
      </c>
      <c r="AC14" s="28">
        <v>18.8</v>
      </c>
      <c r="AD14" s="37"/>
      <c r="AG14" s="38"/>
      <c r="AL14" s="37"/>
      <c r="AO14" s="38"/>
      <c r="AP14" s="37"/>
      <c r="AS14" s="38"/>
      <c r="AW14" s="38"/>
      <c r="BA14" s="39"/>
    </row>
    <row r="15" spans="1:53" s="28" customFormat="1" x14ac:dyDescent="0.15">
      <c r="A15" s="28">
        <v>1996</v>
      </c>
      <c r="B15" s="293"/>
      <c r="C15" s="394" t="s">
        <v>1087</v>
      </c>
      <c r="D15" s="394"/>
      <c r="E15" s="28">
        <v>0</v>
      </c>
      <c r="G15" s="65">
        <v>6</v>
      </c>
      <c r="I15" s="28">
        <v>9</v>
      </c>
      <c r="J15" s="72">
        <v>15</v>
      </c>
      <c r="K15" s="46">
        <f t="shared" si="0"/>
        <v>40</v>
      </c>
      <c r="L15" s="46">
        <f t="shared" si="1"/>
        <v>0</v>
      </c>
      <c r="M15" s="46">
        <f t="shared" si="2"/>
        <v>60</v>
      </c>
      <c r="N15" s="67">
        <f t="shared" si="3"/>
        <v>100</v>
      </c>
      <c r="O15" s="45">
        <v>18.8</v>
      </c>
      <c r="P15" s="46"/>
      <c r="Q15" s="46">
        <v>40.6</v>
      </c>
      <c r="R15" s="47">
        <f t="shared" si="4"/>
        <v>59.400000000000006</v>
      </c>
      <c r="S15" s="28">
        <v>2</v>
      </c>
      <c r="T15" s="284"/>
      <c r="U15" s="293"/>
      <c r="V15" s="37" t="s">
        <v>1089</v>
      </c>
      <c r="W15" s="28" t="s">
        <v>869</v>
      </c>
      <c r="X15" s="28" t="s">
        <v>12</v>
      </c>
      <c r="Y15" s="38">
        <v>40.6</v>
      </c>
      <c r="Z15" s="28" t="s">
        <v>1090</v>
      </c>
      <c r="AA15" s="28" t="s">
        <v>87</v>
      </c>
      <c r="AB15" s="28" t="s">
        <v>11</v>
      </c>
      <c r="AC15" s="28">
        <v>18.8</v>
      </c>
      <c r="AD15" s="37"/>
      <c r="AG15" s="38"/>
      <c r="AL15" s="37"/>
      <c r="AO15" s="38"/>
      <c r="AP15" s="37"/>
      <c r="AS15" s="38"/>
      <c r="AW15" s="38"/>
      <c r="BA15" s="39"/>
    </row>
    <row r="16" spans="1:53" s="28" customFormat="1" x14ac:dyDescent="0.15">
      <c r="A16" s="28">
        <v>1996</v>
      </c>
      <c r="B16" s="293"/>
      <c r="C16" s="394" t="s">
        <v>1087</v>
      </c>
      <c r="D16" s="394"/>
      <c r="E16" s="28">
        <v>366</v>
      </c>
      <c r="G16" s="65">
        <v>6</v>
      </c>
      <c r="I16" s="28">
        <v>9</v>
      </c>
      <c r="J16" s="72">
        <v>15</v>
      </c>
      <c r="K16" s="46">
        <f t="shared" si="0"/>
        <v>40</v>
      </c>
      <c r="L16" s="46">
        <f t="shared" si="1"/>
        <v>0</v>
      </c>
      <c r="M16" s="46">
        <f t="shared" si="2"/>
        <v>60</v>
      </c>
      <c r="N16" s="67">
        <f t="shared" si="3"/>
        <v>100</v>
      </c>
      <c r="O16" s="45">
        <v>18.8</v>
      </c>
      <c r="P16" s="46"/>
      <c r="Q16" s="46">
        <v>40.6</v>
      </c>
      <c r="R16" s="47">
        <f t="shared" si="4"/>
        <v>59.400000000000006</v>
      </c>
      <c r="S16" s="28">
        <v>2</v>
      </c>
      <c r="T16" s="284"/>
      <c r="U16" s="293"/>
      <c r="V16" s="37" t="s">
        <v>1089</v>
      </c>
      <c r="W16" s="28" t="s">
        <v>869</v>
      </c>
      <c r="X16" s="28" t="s">
        <v>12</v>
      </c>
      <c r="Y16" s="38">
        <v>40.6</v>
      </c>
      <c r="Z16" s="28" t="s">
        <v>1090</v>
      </c>
      <c r="AA16" s="28" t="s">
        <v>87</v>
      </c>
      <c r="AB16" s="28" t="s">
        <v>11</v>
      </c>
      <c r="AC16" s="28">
        <v>18.8</v>
      </c>
      <c r="AD16" s="37"/>
      <c r="AG16" s="38"/>
      <c r="AL16" s="37"/>
      <c r="AO16" s="38"/>
      <c r="AP16" s="37"/>
      <c r="AS16" s="38"/>
      <c r="AW16" s="38"/>
      <c r="BA16" s="39"/>
    </row>
    <row r="17" spans="1:53" s="28" customFormat="1" x14ac:dyDescent="0.15">
      <c r="A17" s="28">
        <v>1997</v>
      </c>
      <c r="B17" s="293"/>
      <c r="C17" s="394" t="s">
        <v>1087</v>
      </c>
      <c r="D17" s="394"/>
      <c r="E17" s="28">
        <v>75</v>
      </c>
      <c r="G17" s="65">
        <v>6</v>
      </c>
      <c r="I17" s="28">
        <v>9</v>
      </c>
      <c r="J17" s="72">
        <v>15</v>
      </c>
      <c r="K17" s="46">
        <f t="shared" si="0"/>
        <v>40</v>
      </c>
      <c r="L17" s="46">
        <f t="shared" si="1"/>
        <v>0</v>
      </c>
      <c r="M17" s="46">
        <f t="shared" si="2"/>
        <v>60</v>
      </c>
      <c r="N17" s="67">
        <f t="shared" si="3"/>
        <v>100</v>
      </c>
      <c r="O17" s="45">
        <v>18.8</v>
      </c>
      <c r="P17" s="46"/>
      <c r="Q17" s="46">
        <v>40.6</v>
      </c>
      <c r="R17" s="47">
        <f t="shared" si="4"/>
        <v>59.400000000000006</v>
      </c>
      <c r="S17" s="28">
        <v>2</v>
      </c>
      <c r="T17" s="284"/>
      <c r="U17" s="293"/>
      <c r="V17" s="37" t="s">
        <v>1089</v>
      </c>
      <c r="W17" s="28" t="s">
        <v>869</v>
      </c>
      <c r="X17" s="28" t="s">
        <v>12</v>
      </c>
      <c r="Y17" s="38">
        <v>40.6</v>
      </c>
      <c r="Z17" s="28" t="s">
        <v>1090</v>
      </c>
      <c r="AA17" s="28" t="s">
        <v>87</v>
      </c>
      <c r="AB17" s="28" t="s">
        <v>11</v>
      </c>
      <c r="AC17" s="28">
        <v>18.8</v>
      </c>
      <c r="AD17" s="37"/>
      <c r="AG17" s="38"/>
      <c r="AL17" s="37"/>
      <c r="AO17" s="38"/>
      <c r="AP17" s="37"/>
      <c r="AS17" s="38"/>
      <c r="AW17" s="38"/>
      <c r="BA17" s="39"/>
    </row>
    <row r="18" spans="1:53" s="170" customFormat="1" x14ac:dyDescent="0.15">
      <c r="A18" s="170">
        <v>1997</v>
      </c>
      <c r="B18" s="281">
        <v>35506</v>
      </c>
      <c r="C18" s="395" t="s">
        <v>1088</v>
      </c>
      <c r="D18" s="395"/>
      <c r="E18" s="170">
        <v>290</v>
      </c>
      <c r="F18" s="170">
        <v>2</v>
      </c>
      <c r="G18" s="232"/>
      <c r="I18" s="170">
        <v>11</v>
      </c>
      <c r="J18" s="240">
        <v>14</v>
      </c>
      <c r="K18" s="213">
        <f t="shared" si="0"/>
        <v>0</v>
      </c>
      <c r="L18" s="213">
        <f t="shared" si="1"/>
        <v>0</v>
      </c>
      <c r="M18" s="213">
        <f t="shared" si="2"/>
        <v>78.571428571428569</v>
      </c>
      <c r="N18" s="234">
        <f t="shared" si="3"/>
        <v>78.571428571428569</v>
      </c>
      <c r="O18" s="212"/>
      <c r="P18" s="213"/>
      <c r="Q18" s="213">
        <v>40.6</v>
      </c>
      <c r="R18" s="214">
        <f t="shared" si="4"/>
        <v>40.6</v>
      </c>
      <c r="S18" s="170">
        <v>4</v>
      </c>
      <c r="T18" s="283"/>
      <c r="U18" s="281">
        <v>35506</v>
      </c>
      <c r="V18" s="177" t="s">
        <v>1089</v>
      </c>
      <c r="W18" s="170" t="s">
        <v>869</v>
      </c>
      <c r="X18" s="170" t="s">
        <v>12</v>
      </c>
      <c r="Y18" s="178">
        <v>40.6</v>
      </c>
      <c r="AD18" s="177"/>
      <c r="AG18" s="178"/>
      <c r="AL18" s="177"/>
      <c r="AO18" s="178"/>
      <c r="AP18" s="177"/>
      <c r="AS18" s="178"/>
      <c r="AW18" s="178"/>
      <c r="BA18" s="179"/>
    </row>
    <row r="19" spans="1:53" s="170" customFormat="1" x14ac:dyDescent="0.15">
      <c r="A19" s="170">
        <v>1998</v>
      </c>
      <c r="B19" s="281"/>
      <c r="C19" s="395" t="s">
        <v>1088</v>
      </c>
      <c r="D19" s="395"/>
      <c r="E19" s="170">
        <v>0</v>
      </c>
      <c r="G19" s="232"/>
      <c r="I19" s="170">
        <v>11</v>
      </c>
      <c r="J19" s="240">
        <v>14</v>
      </c>
      <c r="K19" s="213">
        <f t="shared" si="0"/>
        <v>0</v>
      </c>
      <c r="L19" s="213">
        <f t="shared" si="1"/>
        <v>0</v>
      </c>
      <c r="M19" s="213">
        <f t="shared" si="2"/>
        <v>78.571428571428569</v>
      </c>
      <c r="N19" s="234">
        <f t="shared" si="3"/>
        <v>78.571428571428569</v>
      </c>
      <c r="O19" s="212"/>
      <c r="P19" s="213"/>
      <c r="Q19" s="213">
        <v>40.6</v>
      </c>
      <c r="R19" s="214">
        <f t="shared" si="4"/>
        <v>40.6</v>
      </c>
      <c r="S19" s="170">
        <v>4</v>
      </c>
      <c r="T19" s="283"/>
      <c r="U19" s="281"/>
      <c r="V19" s="177" t="s">
        <v>1089</v>
      </c>
      <c r="W19" s="170" t="s">
        <v>869</v>
      </c>
      <c r="X19" s="170" t="s">
        <v>12</v>
      </c>
      <c r="Y19" s="178">
        <v>40.6</v>
      </c>
      <c r="AD19" s="177"/>
      <c r="AG19" s="178"/>
      <c r="AL19" s="177"/>
      <c r="AO19" s="178"/>
      <c r="AP19" s="177"/>
      <c r="AS19" s="178"/>
      <c r="AW19" s="178"/>
      <c r="BA19" s="179"/>
    </row>
    <row r="20" spans="1:53" s="170" customFormat="1" x14ac:dyDescent="0.15">
      <c r="A20" s="170">
        <v>1998</v>
      </c>
      <c r="B20" s="281"/>
      <c r="C20" s="395" t="s">
        <v>1088</v>
      </c>
      <c r="D20" s="395"/>
      <c r="E20" s="170">
        <v>365</v>
      </c>
      <c r="G20" s="232"/>
      <c r="I20" s="170">
        <v>11</v>
      </c>
      <c r="J20" s="240">
        <v>14</v>
      </c>
      <c r="K20" s="213">
        <f t="shared" si="0"/>
        <v>0</v>
      </c>
      <c r="L20" s="213">
        <f t="shared" si="1"/>
        <v>0</v>
      </c>
      <c r="M20" s="213">
        <f t="shared" si="2"/>
        <v>78.571428571428569</v>
      </c>
      <c r="N20" s="234">
        <f t="shared" si="3"/>
        <v>78.571428571428569</v>
      </c>
      <c r="O20" s="212"/>
      <c r="P20" s="213"/>
      <c r="Q20" s="213">
        <v>40.6</v>
      </c>
      <c r="R20" s="214">
        <f t="shared" si="4"/>
        <v>40.6</v>
      </c>
      <c r="S20" s="170">
        <v>4</v>
      </c>
      <c r="T20" s="283"/>
      <c r="U20" s="281"/>
      <c r="V20" s="177" t="s">
        <v>1089</v>
      </c>
      <c r="W20" s="170" t="s">
        <v>869</v>
      </c>
      <c r="X20" s="170" t="s">
        <v>12</v>
      </c>
      <c r="Y20" s="178">
        <v>40.6</v>
      </c>
      <c r="AD20" s="177"/>
      <c r="AG20" s="178"/>
      <c r="AL20" s="177"/>
      <c r="AO20" s="178"/>
      <c r="AP20" s="177"/>
      <c r="AS20" s="178"/>
      <c r="AW20" s="178"/>
      <c r="BA20" s="179"/>
    </row>
    <row r="21" spans="1:53" s="170" customFormat="1" x14ac:dyDescent="0.15">
      <c r="A21" s="170">
        <v>1999</v>
      </c>
      <c r="B21" s="281"/>
      <c r="C21" s="395" t="s">
        <v>1088</v>
      </c>
      <c r="D21" s="395"/>
      <c r="E21" s="170">
        <v>83</v>
      </c>
      <c r="G21" s="232"/>
      <c r="I21" s="170">
        <v>11</v>
      </c>
      <c r="J21" s="240">
        <v>14</v>
      </c>
      <c r="K21" s="213">
        <f t="shared" si="0"/>
        <v>0</v>
      </c>
      <c r="L21" s="213">
        <f t="shared" si="1"/>
        <v>0</v>
      </c>
      <c r="M21" s="213">
        <f t="shared" si="2"/>
        <v>78.571428571428569</v>
      </c>
      <c r="N21" s="234">
        <f t="shared" si="3"/>
        <v>78.571428571428569</v>
      </c>
      <c r="O21" s="212"/>
      <c r="P21" s="213"/>
      <c r="Q21" s="213">
        <v>40.6</v>
      </c>
      <c r="R21" s="214">
        <f t="shared" si="4"/>
        <v>40.6</v>
      </c>
      <c r="S21" s="170">
        <v>4</v>
      </c>
      <c r="T21" s="283"/>
      <c r="U21" s="281"/>
      <c r="V21" s="177" t="s">
        <v>1089</v>
      </c>
      <c r="W21" s="170" t="s">
        <v>869</v>
      </c>
      <c r="X21" s="170" t="s">
        <v>12</v>
      </c>
      <c r="Y21" s="178">
        <v>40.6</v>
      </c>
      <c r="AD21" s="177"/>
      <c r="AG21" s="178"/>
      <c r="AL21" s="177"/>
      <c r="AO21" s="178"/>
      <c r="AP21" s="177"/>
      <c r="AS21" s="178"/>
      <c r="AW21" s="178"/>
      <c r="BA21" s="179"/>
    </row>
    <row r="22" spans="1:53" s="28" customFormat="1" x14ac:dyDescent="0.15">
      <c r="A22" s="28">
        <v>1999</v>
      </c>
      <c r="B22" s="293">
        <v>36244</v>
      </c>
      <c r="C22" s="394" t="s">
        <v>1093</v>
      </c>
      <c r="D22" s="394"/>
      <c r="E22" s="28">
        <v>282</v>
      </c>
      <c r="F22" s="28">
        <v>1</v>
      </c>
      <c r="G22" s="65">
        <v>10</v>
      </c>
      <c r="I22" s="28">
        <v>5</v>
      </c>
      <c r="J22" s="72">
        <v>15</v>
      </c>
      <c r="K22" s="46">
        <f t="shared" si="0"/>
        <v>66.666666666666657</v>
      </c>
      <c r="L22" s="46">
        <f t="shared" si="1"/>
        <v>0</v>
      </c>
      <c r="M22" s="46">
        <f t="shared" si="2"/>
        <v>33.333333333333329</v>
      </c>
      <c r="N22" s="67">
        <f t="shared" si="3"/>
        <v>99.999999999999986</v>
      </c>
      <c r="O22" s="45">
        <v>35.6</v>
      </c>
      <c r="P22" s="46"/>
      <c r="Q22" s="46">
        <v>16.8</v>
      </c>
      <c r="R22" s="47">
        <f t="shared" si="4"/>
        <v>52.400000000000006</v>
      </c>
      <c r="S22" s="28">
        <v>2</v>
      </c>
      <c r="T22" s="284">
        <v>36226</v>
      </c>
      <c r="U22" s="293">
        <v>36244</v>
      </c>
      <c r="V22" s="37" t="s">
        <v>1091</v>
      </c>
      <c r="W22" s="28" t="s">
        <v>74</v>
      </c>
      <c r="X22" s="28" t="s">
        <v>11</v>
      </c>
      <c r="Y22" s="38">
        <v>17.8</v>
      </c>
      <c r="Z22" s="28" t="s">
        <v>1090</v>
      </c>
      <c r="AA22" s="28" t="s">
        <v>87</v>
      </c>
      <c r="AB22" s="28" t="s">
        <v>11</v>
      </c>
      <c r="AC22" s="28">
        <v>17.8</v>
      </c>
      <c r="AD22" s="37" t="s">
        <v>472</v>
      </c>
      <c r="AE22" s="28" t="s">
        <v>97</v>
      </c>
      <c r="AF22" s="28" t="s">
        <v>12</v>
      </c>
      <c r="AG22" s="38">
        <v>16.8</v>
      </c>
      <c r="AL22" s="37"/>
      <c r="AO22" s="38"/>
      <c r="AP22" s="37"/>
      <c r="AS22" s="38"/>
      <c r="AW22" s="38"/>
      <c r="BA22" s="39"/>
    </row>
    <row r="23" spans="1:53" s="28" customFormat="1" x14ac:dyDescent="0.15">
      <c r="A23" s="28">
        <v>2000</v>
      </c>
      <c r="B23" s="293"/>
      <c r="C23" s="394" t="s">
        <v>1093</v>
      </c>
      <c r="D23" s="394"/>
      <c r="E23" s="28">
        <v>0</v>
      </c>
      <c r="G23" s="65">
        <v>10</v>
      </c>
      <c r="I23" s="28">
        <v>5</v>
      </c>
      <c r="J23" s="72">
        <v>15</v>
      </c>
      <c r="K23" s="46">
        <f t="shared" si="0"/>
        <v>66.666666666666657</v>
      </c>
      <c r="L23" s="46">
        <f t="shared" si="1"/>
        <v>0</v>
      </c>
      <c r="M23" s="46">
        <f t="shared" si="2"/>
        <v>33.333333333333329</v>
      </c>
      <c r="N23" s="67">
        <f t="shared" si="3"/>
        <v>99.999999999999986</v>
      </c>
      <c r="O23" s="45">
        <v>35.6</v>
      </c>
      <c r="P23" s="46"/>
      <c r="Q23" s="46">
        <v>16.8</v>
      </c>
      <c r="R23" s="47">
        <f t="shared" si="4"/>
        <v>52.400000000000006</v>
      </c>
      <c r="S23" s="28">
        <v>2</v>
      </c>
      <c r="T23" s="284"/>
      <c r="U23" s="293"/>
      <c r="V23" s="37" t="s">
        <v>1091</v>
      </c>
      <c r="W23" s="28" t="s">
        <v>74</v>
      </c>
      <c r="X23" s="28" t="s">
        <v>11</v>
      </c>
      <c r="Y23" s="38">
        <v>17.8</v>
      </c>
      <c r="Z23" s="28" t="s">
        <v>1090</v>
      </c>
      <c r="AA23" s="28" t="s">
        <v>87</v>
      </c>
      <c r="AB23" s="28" t="s">
        <v>11</v>
      </c>
      <c r="AC23" s="28">
        <v>17.8</v>
      </c>
      <c r="AD23" s="37" t="s">
        <v>472</v>
      </c>
      <c r="AE23" s="28" t="s">
        <v>97</v>
      </c>
      <c r="AF23" s="28" t="s">
        <v>12</v>
      </c>
      <c r="AG23" s="38">
        <v>16.8</v>
      </c>
      <c r="AL23" s="37"/>
      <c r="AO23" s="38"/>
      <c r="AP23" s="37"/>
      <c r="AS23" s="38"/>
      <c r="AW23" s="38"/>
      <c r="BA23" s="39"/>
    </row>
    <row r="24" spans="1:53" s="28" customFormat="1" x14ac:dyDescent="0.15">
      <c r="A24" s="28">
        <v>2000</v>
      </c>
      <c r="B24" s="293"/>
      <c r="C24" s="394" t="s">
        <v>1093</v>
      </c>
      <c r="D24" s="394"/>
      <c r="E24" s="28">
        <v>366</v>
      </c>
      <c r="G24" s="65">
        <v>10</v>
      </c>
      <c r="I24" s="28">
        <v>5</v>
      </c>
      <c r="J24" s="72">
        <v>15</v>
      </c>
      <c r="K24" s="46">
        <f t="shared" si="0"/>
        <v>66.666666666666657</v>
      </c>
      <c r="L24" s="46">
        <f t="shared" si="1"/>
        <v>0</v>
      </c>
      <c r="M24" s="46">
        <f t="shared" si="2"/>
        <v>33.333333333333329</v>
      </c>
      <c r="N24" s="67">
        <f t="shared" si="3"/>
        <v>99.999999999999986</v>
      </c>
      <c r="O24" s="45">
        <v>35.6</v>
      </c>
      <c r="P24" s="46"/>
      <c r="Q24" s="46">
        <v>16.8</v>
      </c>
      <c r="R24" s="47">
        <f t="shared" si="4"/>
        <v>52.400000000000006</v>
      </c>
      <c r="S24" s="28">
        <v>2</v>
      </c>
      <c r="T24" s="284"/>
      <c r="U24" s="293"/>
      <c r="V24" s="37" t="s">
        <v>1091</v>
      </c>
      <c r="W24" s="28" t="s">
        <v>74</v>
      </c>
      <c r="X24" s="28" t="s">
        <v>11</v>
      </c>
      <c r="Y24" s="38">
        <v>17.8</v>
      </c>
      <c r="Z24" s="28" t="s">
        <v>1090</v>
      </c>
      <c r="AA24" s="28" t="s">
        <v>87</v>
      </c>
      <c r="AB24" s="28" t="s">
        <v>11</v>
      </c>
      <c r="AC24" s="28">
        <v>17.8</v>
      </c>
      <c r="AD24" s="37" t="s">
        <v>472</v>
      </c>
      <c r="AE24" s="28" t="s">
        <v>97</v>
      </c>
      <c r="AF24" s="28" t="s">
        <v>12</v>
      </c>
      <c r="AG24" s="38">
        <v>16.8</v>
      </c>
      <c r="AL24" s="37"/>
      <c r="AO24" s="38"/>
      <c r="AP24" s="37"/>
      <c r="AS24" s="38"/>
      <c r="AW24" s="38"/>
      <c r="BA24" s="39"/>
    </row>
    <row r="25" spans="1:53" s="28" customFormat="1" x14ac:dyDescent="0.15">
      <c r="A25" s="28">
        <v>2001</v>
      </c>
      <c r="B25" s="293"/>
      <c r="C25" s="394" t="s">
        <v>1093</v>
      </c>
      <c r="D25" s="394"/>
      <c r="E25" s="28">
        <v>0</v>
      </c>
      <c r="G25" s="65">
        <v>10</v>
      </c>
      <c r="I25" s="28">
        <v>5</v>
      </c>
      <c r="J25" s="72">
        <v>15</v>
      </c>
      <c r="K25" s="46">
        <f t="shared" si="0"/>
        <v>66.666666666666657</v>
      </c>
      <c r="L25" s="46">
        <f t="shared" si="1"/>
        <v>0</v>
      </c>
      <c r="M25" s="46">
        <f t="shared" si="2"/>
        <v>33.333333333333329</v>
      </c>
      <c r="N25" s="67">
        <f t="shared" si="3"/>
        <v>99.999999999999986</v>
      </c>
      <c r="O25" s="45">
        <v>35.6</v>
      </c>
      <c r="P25" s="46"/>
      <c r="Q25" s="46">
        <v>16.8</v>
      </c>
      <c r="R25" s="47">
        <f t="shared" si="4"/>
        <v>52.400000000000006</v>
      </c>
      <c r="S25" s="28">
        <v>2</v>
      </c>
      <c r="T25" s="284"/>
      <c r="U25" s="293"/>
      <c r="V25" s="37" t="s">
        <v>1091</v>
      </c>
      <c r="W25" s="28" t="s">
        <v>74</v>
      </c>
      <c r="X25" s="28" t="s">
        <v>11</v>
      </c>
      <c r="Y25" s="38">
        <v>17.8</v>
      </c>
      <c r="Z25" s="28" t="s">
        <v>1090</v>
      </c>
      <c r="AA25" s="28" t="s">
        <v>87</v>
      </c>
      <c r="AB25" s="28" t="s">
        <v>11</v>
      </c>
      <c r="AC25" s="28">
        <v>17.8</v>
      </c>
      <c r="AD25" s="37" t="s">
        <v>472</v>
      </c>
      <c r="AE25" s="28" t="s">
        <v>97</v>
      </c>
      <c r="AF25" s="28" t="s">
        <v>12</v>
      </c>
      <c r="AG25" s="38">
        <v>16.8</v>
      </c>
      <c r="AL25" s="37"/>
      <c r="AO25" s="38"/>
      <c r="AP25" s="37"/>
      <c r="AS25" s="38"/>
      <c r="AW25" s="38"/>
      <c r="BA25" s="39"/>
    </row>
    <row r="26" spans="1:53" s="28" customFormat="1" x14ac:dyDescent="0.15">
      <c r="A26" s="28">
        <v>2001</v>
      </c>
      <c r="B26" s="293"/>
      <c r="C26" s="394" t="s">
        <v>1093</v>
      </c>
      <c r="D26" s="394"/>
      <c r="E26" s="28">
        <v>365</v>
      </c>
      <c r="G26" s="65">
        <v>10</v>
      </c>
      <c r="I26" s="28">
        <v>5</v>
      </c>
      <c r="J26" s="72">
        <v>15</v>
      </c>
      <c r="K26" s="46">
        <f t="shared" si="0"/>
        <v>66.666666666666657</v>
      </c>
      <c r="L26" s="46">
        <f t="shared" si="1"/>
        <v>0</v>
      </c>
      <c r="M26" s="46">
        <f t="shared" si="2"/>
        <v>33.333333333333329</v>
      </c>
      <c r="N26" s="67">
        <f t="shared" si="3"/>
        <v>99.999999999999986</v>
      </c>
      <c r="O26" s="45">
        <v>35.6</v>
      </c>
      <c r="P26" s="46"/>
      <c r="Q26" s="46">
        <v>16.8</v>
      </c>
      <c r="R26" s="47">
        <f t="shared" si="4"/>
        <v>52.400000000000006</v>
      </c>
      <c r="S26" s="28">
        <v>2</v>
      </c>
      <c r="T26" s="284"/>
      <c r="U26" s="293"/>
      <c r="V26" s="37" t="s">
        <v>1091</v>
      </c>
      <c r="W26" s="28" t="s">
        <v>74</v>
      </c>
      <c r="X26" s="28" t="s">
        <v>11</v>
      </c>
      <c r="Y26" s="38">
        <v>17.8</v>
      </c>
      <c r="Z26" s="28" t="s">
        <v>1090</v>
      </c>
      <c r="AA26" s="28" t="s">
        <v>87</v>
      </c>
      <c r="AB26" s="28" t="s">
        <v>11</v>
      </c>
      <c r="AC26" s="28">
        <v>17.8</v>
      </c>
      <c r="AD26" s="37" t="s">
        <v>472</v>
      </c>
      <c r="AE26" s="28" t="s">
        <v>97</v>
      </c>
      <c r="AF26" s="28" t="s">
        <v>12</v>
      </c>
      <c r="AG26" s="38">
        <v>16.8</v>
      </c>
      <c r="AL26" s="37"/>
      <c r="AO26" s="38"/>
      <c r="AP26" s="37"/>
      <c r="AS26" s="38"/>
      <c r="AW26" s="38"/>
      <c r="BA26" s="39"/>
    </row>
    <row r="27" spans="1:53" s="28" customFormat="1" x14ac:dyDescent="0.15">
      <c r="A27" s="28">
        <v>2002</v>
      </c>
      <c r="B27" s="293"/>
      <c r="C27" s="394" t="s">
        <v>1093</v>
      </c>
      <c r="D27" s="394"/>
      <c r="E27" s="28">
        <v>27</v>
      </c>
      <c r="G27" s="65">
        <v>10</v>
      </c>
      <c r="I27" s="28">
        <v>5</v>
      </c>
      <c r="J27" s="72">
        <v>15</v>
      </c>
      <c r="K27" s="46">
        <f t="shared" si="0"/>
        <v>66.666666666666657</v>
      </c>
      <c r="L27" s="46">
        <f t="shared" si="1"/>
        <v>0</v>
      </c>
      <c r="M27" s="46">
        <f t="shared" si="2"/>
        <v>33.333333333333329</v>
      </c>
      <c r="N27" s="67">
        <f t="shared" si="3"/>
        <v>99.999999999999986</v>
      </c>
      <c r="O27" s="45">
        <v>35.6</v>
      </c>
      <c r="P27" s="46"/>
      <c r="Q27" s="46">
        <v>16.8</v>
      </c>
      <c r="R27" s="47">
        <f t="shared" si="4"/>
        <v>52.400000000000006</v>
      </c>
      <c r="S27" s="28">
        <v>2</v>
      </c>
      <c r="T27" s="284"/>
      <c r="U27" s="293"/>
      <c r="V27" s="37" t="s">
        <v>1091</v>
      </c>
      <c r="W27" s="28" t="s">
        <v>74</v>
      </c>
      <c r="X27" s="28" t="s">
        <v>11</v>
      </c>
      <c r="Y27" s="38">
        <v>17.8</v>
      </c>
      <c r="Z27" s="28" t="s">
        <v>1090</v>
      </c>
      <c r="AA27" s="28" t="s">
        <v>87</v>
      </c>
      <c r="AB27" s="28" t="s">
        <v>11</v>
      </c>
      <c r="AC27" s="28">
        <v>17.8</v>
      </c>
      <c r="AD27" s="37" t="s">
        <v>472</v>
      </c>
      <c r="AE27" s="28" t="s">
        <v>97</v>
      </c>
      <c r="AF27" s="28" t="s">
        <v>12</v>
      </c>
      <c r="AG27" s="38">
        <v>16.8</v>
      </c>
      <c r="AL27" s="37"/>
      <c r="AO27" s="38"/>
      <c r="AP27" s="37"/>
      <c r="AS27" s="38"/>
      <c r="AW27" s="38"/>
      <c r="BA27" s="39"/>
    </row>
    <row r="28" spans="1:53" s="170" customFormat="1" x14ac:dyDescent="0.15">
      <c r="A28" s="170">
        <v>2002</v>
      </c>
      <c r="B28" s="281">
        <v>37284</v>
      </c>
      <c r="C28" s="395" t="s">
        <v>1516</v>
      </c>
      <c r="D28" s="395"/>
      <c r="E28" s="170">
        <v>338</v>
      </c>
      <c r="F28" s="170">
        <v>4</v>
      </c>
      <c r="G28" s="232">
        <v>6</v>
      </c>
      <c r="H28" s="170">
        <v>8</v>
      </c>
      <c r="J28" s="240">
        <v>14</v>
      </c>
      <c r="K28" s="213">
        <f t="shared" si="0"/>
        <v>42.857142857142854</v>
      </c>
      <c r="L28" s="213">
        <f t="shared" si="1"/>
        <v>57.142857142857139</v>
      </c>
      <c r="M28" s="213">
        <f t="shared" si="2"/>
        <v>0</v>
      </c>
      <c r="N28" s="234">
        <f t="shared" si="3"/>
        <v>100</v>
      </c>
      <c r="O28" s="212">
        <v>17.8</v>
      </c>
      <c r="P28" s="213">
        <v>27.7</v>
      </c>
      <c r="Q28" s="213"/>
      <c r="R28" s="214">
        <f t="shared" si="4"/>
        <v>45.5</v>
      </c>
      <c r="S28" s="170">
        <v>5</v>
      </c>
      <c r="T28" s="283"/>
      <c r="U28" s="281">
        <v>37284</v>
      </c>
      <c r="V28" s="177" t="s">
        <v>1331</v>
      </c>
      <c r="W28" s="170" t="s">
        <v>99</v>
      </c>
      <c r="X28" s="170" t="s">
        <v>18</v>
      </c>
      <c r="Y28" s="178">
        <v>27.7</v>
      </c>
      <c r="Z28" s="170" t="s">
        <v>1090</v>
      </c>
      <c r="AA28" s="170" t="s">
        <v>87</v>
      </c>
      <c r="AB28" s="170" t="s">
        <v>11</v>
      </c>
      <c r="AC28" s="170">
        <v>17.8</v>
      </c>
      <c r="AD28" s="177"/>
      <c r="AG28" s="178"/>
      <c r="AL28" s="177"/>
      <c r="AO28" s="178"/>
      <c r="AP28" s="177"/>
      <c r="AS28" s="178"/>
      <c r="AW28" s="178"/>
      <c r="BA28" s="179"/>
    </row>
    <row r="29" spans="1:53" s="170" customFormat="1" x14ac:dyDescent="0.15">
      <c r="A29" s="170">
        <v>2003</v>
      </c>
      <c r="B29" s="281"/>
      <c r="C29" s="395" t="s">
        <v>1516</v>
      </c>
      <c r="D29" s="395"/>
      <c r="E29" s="170">
        <v>99</v>
      </c>
      <c r="G29" s="232">
        <v>6</v>
      </c>
      <c r="H29" s="170">
        <v>8</v>
      </c>
      <c r="J29" s="240">
        <v>14</v>
      </c>
      <c r="K29" s="213">
        <f t="shared" si="0"/>
        <v>42.857142857142854</v>
      </c>
      <c r="L29" s="213">
        <f t="shared" si="1"/>
        <v>57.142857142857139</v>
      </c>
      <c r="M29" s="213">
        <f t="shared" si="2"/>
        <v>0</v>
      </c>
      <c r="N29" s="234">
        <f t="shared" si="3"/>
        <v>100</v>
      </c>
      <c r="O29" s="212">
        <v>17.8</v>
      </c>
      <c r="P29" s="213">
        <v>27.7</v>
      </c>
      <c r="Q29" s="213"/>
      <c r="R29" s="214">
        <f t="shared" si="4"/>
        <v>45.5</v>
      </c>
      <c r="S29" s="170">
        <v>5</v>
      </c>
      <c r="T29" s="283"/>
      <c r="U29" s="281"/>
      <c r="V29" s="177" t="s">
        <v>1331</v>
      </c>
      <c r="W29" s="170" t="s">
        <v>99</v>
      </c>
      <c r="X29" s="170" t="s">
        <v>18</v>
      </c>
      <c r="Y29" s="178">
        <v>27.7</v>
      </c>
      <c r="Z29" s="170" t="s">
        <v>1090</v>
      </c>
      <c r="AA29" s="170" t="s">
        <v>87</v>
      </c>
      <c r="AB29" s="170" t="s">
        <v>11</v>
      </c>
      <c r="AC29" s="170">
        <v>17.8</v>
      </c>
      <c r="AD29" s="177"/>
      <c r="AG29" s="178"/>
      <c r="AL29" s="177"/>
      <c r="AO29" s="178"/>
      <c r="AP29" s="177"/>
      <c r="AS29" s="178"/>
      <c r="AW29" s="178"/>
      <c r="BA29" s="179"/>
    </row>
    <row r="30" spans="1:53" s="28" customFormat="1" x14ac:dyDescent="0.15">
      <c r="A30" s="28">
        <v>2003</v>
      </c>
      <c r="B30" s="275">
        <v>37721</v>
      </c>
      <c r="C30" s="394" t="s">
        <v>1094</v>
      </c>
      <c r="D30" s="394"/>
      <c r="E30" s="28">
        <v>266</v>
      </c>
      <c r="F30" s="28">
        <v>1</v>
      </c>
      <c r="G30" s="65">
        <v>14</v>
      </c>
      <c r="J30" s="72">
        <v>14</v>
      </c>
      <c r="K30" s="46">
        <f t="shared" si="0"/>
        <v>100</v>
      </c>
      <c r="L30" s="46">
        <f t="shared" si="1"/>
        <v>0</v>
      </c>
      <c r="M30" s="46">
        <f t="shared" si="2"/>
        <v>0</v>
      </c>
      <c r="N30" s="67">
        <f t="shared" si="3"/>
        <v>100</v>
      </c>
      <c r="O30" s="45">
        <v>59.4</v>
      </c>
      <c r="P30" s="46"/>
      <c r="Q30" s="46"/>
      <c r="R30" s="47">
        <f>SUM(O30:Q30)</f>
        <v>59.4</v>
      </c>
      <c r="S30" s="28">
        <v>2</v>
      </c>
      <c r="T30" s="284">
        <v>37682</v>
      </c>
      <c r="U30" s="293">
        <v>37721</v>
      </c>
      <c r="V30" s="37" t="s">
        <v>330</v>
      </c>
      <c r="W30" s="28" t="s">
        <v>76</v>
      </c>
      <c r="X30" s="28" t="s">
        <v>11</v>
      </c>
      <c r="Y30" s="38">
        <v>27.7</v>
      </c>
      <c r="Z30" s="28" t="s">
        <v>1090</v>
      </c>
      <c r="AA30" s="28" t="s">
        <v>87</v>
      </c>
      <c r="AB30" s="28" t="s">
        <v>11</v>
      </c>
      <c r="AC30" s="28">
        <v>18.8</v>
      </c>
      <c r="AD30" s="37" t="s">
        <v>1095</v>
      </c>
      <c r="AE30" s="28" t="s">
        <v>78</v>
      </c>
      <c r="AF30" s="28" t="s">
        <v>11</v>
      </c>
      <c r="AG30" s="38">
        <v>12.9</v>
      </c>
      <c r="AL30" s="37"/>
      <c r="AO30" s="38"/>
      <c r="AP30" s="37"/>
      <c r="AS30" s="38"/>
      <c r="AW30" s="38"/>
      <c r="BA30" s="39"/>
    </row>
    <row r="31" spans="1:53" s="28" customFormat="1" x14ac:dyDescent="0.15">
      <c r="A31" s="28">
        <v>2004</v>
      </c>
      <c r="B31" s="275"/>
      <c r="C31" s="394" t="s">
        <v>1094</v>
      </c>
      <c r="D31" s="394"/>
      <c r="E31" s="28">
        <v>0</v>
      </c>
      <c r="G31" s="65">
        <v>14</v>
      </c>
      <c r="J31" s="72">
        <v>14</v>
      </c>
      <c r="K31" s="46">
        <f t="shared" si="0"/>
        <v>100</v>
      </c>
      <c r="L31" s="46">
        <f t="shared" si="1"/>
        <v>0</v>
      </c>
      <c r="M31" s="46">
        <f t="shared" si="2"/>
        <v>0</v>
      </c>
      <c r="N31" s="67">
        <f t="shared" si="3"/>
        <v>100</v>
      </c>
      <c r="O31" s="45">
        <v>59.4</v>
      </c>
      <c r="P31" s="46"/>
      <c r="Q31" s="46"/>
      <c r="R31" s="47">
        <f t="shared" ref="R31:R48" si="5">SUM(O31:Q31)</f>
        <v>59.4</v>
      </c>
      <c r="S31" s="28">
        <v>2</v>
      </c>
      <c r="T31" s="284"/>
      <c r="U31" s="293"/>
      <c r="V31" s="37" t="s">
        <v>330</v>
      </c>
      <c r="W31" s="28" t="s">
        <v>76</v>
      </c>
      <c r="X31" s="28" t="s">
        <v>11</v>
      </c>
      <c r="Y31" s="38">
        <v>27.7</v>
      </c>
      <c r="Z31" s="28" t="s">
        <v>1090</v>
      </c>
      <c r="AA31" s="28" t="s">
        <v>87</v>
      </c>
      <c r="AB31" s="28" t="s">
        <v>11</v>
      </c>
      <c r="AC31" s="28">
        <v>18.8</v>
      </c>
      <c r="AD31" s="37" t="s">
        <v>1095</v>
      </c>
      <c r="AE31" s="28" t="s">
        <v>78</v>
      </c>
      <c r="AF31" s="28" t="s">
        <v>11</v>
      </c>
      <c r="AG31" s="38">
        <v>12.9</v>
      </c>
      <c r="AL31" s="37"/>
      <c r="AO31" s="38"/>
      <c r="AP31" s="37"/>
      <c r="AS31" s="38"/>
      <c r="AW31" s="38"/>
      <c r="BA31" s="39"/>
    </row>
    <row r="32" spans="1:53" s="28" customFormat="1" x14ac:dyDescent="0.15">
      <c r="A32" s="28">
        <v>2004</v>
      </c>
      <c r="B32" s="275"/>
      <c r="C32" s="394" t="s">
        <v>1094</v>
      </c>
      <c r="D32" s="394"/>
      <c r="E32" s="28">
        <v>366</v>
      </c>
      <c r="G32" s="65">
        <v>14</v>
      </c>
      <c r="J32" s="72">
        <v>14</v>
      </c>
      <c r="K32" s="46">
        <f t="shared" si="0"/>
        <v>100</v>
      </c>
      <c r="L32" s="46">
        <f t="shared" si="1"/>
        <v>0</v>
      </c>
      <c r="M32" s="46">
        <f t="shared" si="2"/>
        <v>0</v>
      </c>
      <c r="N32" s="67">
        <f t="shared" si="3"/>
        <v>100</v>
      </c>
      <c r="O32" s="45">
        <v>59.4</v>
      </c>
      <c r="P32" s="46"/>
      <c r="Q32" s="46"/>
      <c r="R32" s="47">
        <f t="shared" si="5"/>
        <v>59.4</v>
      </c>
      <c r="S32" s="28">
        <v>2</v>
      </c>
      <c r="T32" s="284"/>
      <c r="U32" s="293"/>
      <c r="V32" s="37" t="s">
        <v>330</v>
      </c>
      <c r="W32" s="28" t="s">
        <v>76</v>
      </c>
      <c r="X32" s="28" t="s">
        <v>11</v>
      </c>
      <c r="Y32" s="38">
        <v>27.7</v>
      </c>
      <c r="Z32" s="28" t="s">
        <v>1090</v>
      </c>
      <c r="AA32" s="28" t="s">
        <v>87</v>
      </c>
      <c r="AB32" s="28" t="s">
        <v>11</v>
      </c>
      <c r="AC32" s="28">
        <v>18.8</v>
      </c>
      <c r="AD32" s="37" t="s">
        <v>1095</v>
      </c>
      <c r="AE32" s="28" t="s">
        <v>78</v>
      </c>
      <c r="AF32" s="28" t="s">
        <v>11</v>
      </c>
      <c r="AG32" s="38">
        <v>12.9</v>
      </c>
      <c r="AL32" s="37"/>
      <c r="AO32" s="38"/>
      <c r="AP32" s="37"/>
      <c r="AS32" s="38"/>
      <c r="AW32" s="38"/>
      <c r="BA32" s="39"/>
    </row>
    <row r="33" spans="1:53" s="28" customFormat="1" x14ac:dyDescent="0.15">
      <c r="A33" s="28">
        <v>2005</v>
      </c>
      <c r="B33" s="275"/>
      <c r="C33" s="394" t="s">
        <v>1094</v>
      </c>
      <c r="D33" s="394"/>
      <c r="E33" s="28">
        <v>102</v>
      </c>
      <c r="G33" s="65">
        <v>14</v>
      </c>
      <c r="J33" s="72">
        <v>14</v>
      </c>
      <c r="K33" s="46">
        <f t="shared" si="0"/>
        <v>100</v>
      </c>
      <c r="L33" s="46">
        <f t="shared" si="1"/>
        <v>0</v>
      </c>
      <c r="M33" s="46">
        <f t="shared" si="2"/>
        <v>0</v>
      </c>
      <c r="N33" s="67">
        <f t="shared" si="3"/>
        <v>100</v>
      </c>
      <c r="O33" s="45">
        <v>59.4</v>
      </c>
      <c r="P33" s="46"/>
      <c r="Q33" s="46"/>
      <c r="R33" s="47">
        <f t="shared" si="5"/>
        <v>59.4</v>
      </c>
      <c r="S33" s="28">
        <v>2</v>
      </c>
      <c r="T33" s="284"/>
      <c r="U33" s="293"/>
      <c r="V33" s="37" t="s">
        <v>330</v>
      </c>
      <c r="W33" s="28" t="s">
        <v>76</v>
      </c>
      <c r="X33" s="28" t="s">
        <v>11</v>
      </c>
      <c r="Y33" s="38">
        <v>27.7</v>
      </c>
      <c r="Z33" s="28" t="s">
        <v>1090</v>
      </c>
      <c r="AA33" s="28" t="s">
        <v>87</v>
      </c>
      <c r="AB33" s="28" t="s">
        <v>11</v>
      </c>
      <c r="AC33" s="28">
        <v>18.8</v>
      </c>
      <c r="AD33" s="37" t="s">
        <v>1095</v>
      </c>
      <c r="AE33" s="28" t="s">
        <v>78</v>
      </c>
      <c r="AF33" s="28" t="s">
        <v>11</v>
      </c>
      <c r="AG33" s="38">
        <v>12.9</v>
      </c>
      <c r="AL33" s="37"/>
      <c r="AO33" s="38"/>
      <c r="AP33" s="37"/>
      <c r="AS33" s="38"/>
      <c r="AW33" s="38"/>
      <c r="BA33" s="39"/>
    </row>
    <row r="34" spans="1:53" s="170" customFormat="1" x14ac:dyDescent="0.15">
      <c r="A34" s="170">
        <v>2005</v>
      </c>
      <c r="B34" s="304">
        <v>38455</v>
      </c>
      <c r="C34" s="395" t="s">
        <v>1081</v>
      </c>
      <c r="D34" s="395"/>
      <c r="E34" s="170">
        <v>263</v>
      </c>
      <c r="F34" s="170">
        <v>2</v>
      </c>
      <c r="G34" s="232">
        <v>9</v>
      </c>
      <c r="H34" s="170">
        <v>5</v>
      </c>
      <c r="J34" s="240">
        <v>14</v>
      </c>
      <c r="K34" s="213">
        <f t="shared" si="0"/>
        <v>64.285714285714292</v>
      </c>
      <c r="L34" s="213">
        <f t="shared" si="1"/>
        <v>35.714285714285715</v>
      </c>
      <c r="M34" s="213">
        <f t="shared" si="2"/>
        <v>0</v>
      </c>
      <c r="N34" s="234">
        <f t="shared" si="3"/>
        <v>100</v>
      </c>
      <c r="O34" s="212">
        <v>31.7</v>
      </c>
      <c r="P34" s="213">
        <v>27.7</v>
      </c>
      <c r="Q34" s="213"/>
      <c r="R34" s="214">
        <f t="shared" si="5"/>
        <v>59.4</v>
      </c>
      <c r="S34" s="170">
        <v>2</v>
      </c>
      <c r="T34" s="283"/>
      <c r="U34" s="281">
        <v>38455</v>
      </c>
      <c r="V34" s="177" t="s">
        <v>1331</v>
      </c>
      <c r="W34" s="170" t="s">
        <v>99</v>
      </c>
      <c r="X34" s="170" t="s">
        <v>18</v>
      </c>
      <c r="Y34" s="178">
        <v>27.7</v>
      </c>
      <c r="Z34" s="170" t="s">
        <v>1090</v>
      </c>
      <c r="AA34" s="170" t="s">
        <v>87</v>
      </c>
      <c r="AB34" s="170" t="s">
        <v>11</v>
      </c>
      <c r="AC34" s="170">
        <v>18.8</v>
      </c>
      <c r="AD34" s="177" t="s">
        <v>1095</v>
      </c>
      <c r="AE34" s="170" t="s">
        <v>78</v>
      </c>
      <c r="AF34" s="170" t="s">
        <v>11</v>
      </c>
      <c r="AG34" s="178">
        <v>12.9</v>
      </c>
      <c r="AL34" s="177"/>
      <c r="AO34" s="178"/>
      <c r="AP34" s="177"/>
      <c r="AS34" s="178"/>
      <c r="AW34" s="178"/>
      <c r="BA34" s="179"/>
    </row>
    <row r="35" spans="1:53" s="170" customFormat="1" x14ac:dyDescent="0.15">
      <c r="A35" s="170">
        <v>2006</v>
      </c>
      <c r="B35" s="304"/>
      <c r="C35" s="395" t="s">
        <v>1081</v>
      </c>
      <c r="D35" s="395"/>
      <c r="E35" s="170">
        <v>0</v>
      </c>
      <c r="G35" s="232">
        <v>9</v>
      </c>
      <c r="H35" s="170">
        <v>5</v>
      </c>
      <c r="J35" s="240">
        <v>14</v>
      </c>
      <c r="K35" s="213">
        <f t="shared" si="0"/>
        <v>64.285714285714292</v>
      </c>
      <c r="L35" s="213">
        <f t="shared" si="1"/>
        <v>35.714285714285715</v>
      </c>
      <c r="M35" s="213">
        <f t="shared" si="2"/>
        <v>0</v>
      </c>
      <c r="N35" s="234">
        <f t="shared" si="3"/>
        <v>100</v>
      </c>
      <c r="O35" s="212">
        <v>31.7</v>
      </c>
      <c r="P35" s="213">
        <v>27.7</v>
      </c>
      <c r="Q35" s="213"/>
      <c r="R35" s="214">
        <f t="shared" si="5"/>
        <v>59.4</v>
      </c>
      <c r="S35" s="170">
        <v>2</v>
      </c>
      <c r="T35" s="283"/>
      <c r="U35" s="281"/>
      <c r="V35" s="177" t="s">
        <v>1331</v>
      </c>
      <c r="W35" s="170" t="s">
        <v>99</v>
      </c>
      <c r="X35" s="170" t="s">
        <v>18</v>
      </c>
      <c r="Y35" s="178">
        <v>27.7</v>
      </c>
      <c r="Z35" s="170" t="s">
        <v>1090</v>
      </c>
      <c r="AA35" s="170" t="s">
        <v>87</v>
      </c>
      <c r="AB35" s="170" t="s">
        <v>11</v>
      </c>
      <c r="AC35" s="170">
        <v>18.8</v>
      </c>
      <c r="AD35" s="177" t="s">
        <v>1095</v>
      </c>
      <c r="AE35" s="170" t="s">
        <v>78</v>
      </c>
      <c r="AF35" s="170" t="s">
        <v>11</v>
      </c>
      <c r="AG35" s="178">
        <v>12.9</v>
      </c>
      <c r="AL35" s="177"/>
      <c r="AO35" s="178"/>
      <c r="AP35" s="177"/>
      <c r="AS35" s="178"/>
      <c r="AW35" s="178"/>
      <c r="BA35" s="179"/>
    </row>
    <row r="36" spans="1:53" s="170" customFormat="1" x14ac:dyDescent="0.15">
      <c r="A36" s="170">
        <v>2006</v>
      </c>
      <c r="B36" s="304"/>
      <c r="C36" s="395" t="s">
        <v>1081</v>
      </c>
      <c r="D36" s="395"/>
      <c r="E36" s="170">
        <v>365</v>
      </c>
      <c r="G36" s="232">
        <v>9</v>
      </c>
      <c r="H36" s="170">
        <v>5</v>
      </c>
      <c r="J36" s="240">
        <v>14</v>
      </c>
      <c r="K36" s="213">
        <f t="shared" si="0"/>
        <v>64.285714285714292</v>
      </c>
      <c r="L36" s="213">
        <f t="shared" si="1"/>
        <v>35.714285714285715</v>
      </c>
      <c r="M36" s="213">
        <f t="shared" si="2"/>
        <v>0</v>
      </c>
      <c r="N36" s="234">
        <f t="shared" si="3"/>
        <v>100</v>
      </c>
      <c r="O36" s="212">
        <v>31.7</v>
      </c>
      <c r="P36" s="213">
        <v>27.7</v>
      </c>
      <c r="Q36" s="213"/>
      <c r="R36" s="214">
        <f t="shared" si="5"/>
        <v>59.4</v>
      </c>
      <c r="S36" s="170">
        <v>2</v>
      </c>
      <c r="T36" s="283"/>
      <c r="U36" s="281"/>
      <c r="V36" s="177" t="s">
        <v>1331</v>
      </c>
      <c r="W36" s="170" t="s">
        <v>99</v>
      </c>
      <c r="X36" s="170" t="s">
        <v>18</v>
      </c>
      <c r="Y36" s="178">
        <v>27.7</v>
      </c>
      <c r="Z36" s="170" t="s">
        <v>1090</v>
      </c>
      <c r="AA36" s="170" t="s">
        <v>87</v>
      </c>
      <c r="AB36" s="170" t="s">
        <v>11</v>
      </c>
      <c r="AC36" s="170">
        <v>18.8</v>
      </c>
      <c r="AD36" s="177" t="s">
        <v>1095</v>
      </c>
      <c r="AE36" s="170" t="s">
        <v>78</v>
      </c>
      <c r="AF36" s="170" t="s">
        <v>11</v>
      </c>
      <c r="AG36" s="178">
        <v>12.9</v>
      </c>
      <c r="AL36" s="177"/>
      <c r="AO36" s="178"/>
      <c r="AP36" s="177"/>
      <c r="AS36" s="178"/>
      <c r="AW36" s="178"/>
      <c r="BA36" s="179"/>
    </row>
    <row r="37" spans="1:53" s="170" customFormat="1" x14ac:dyDescent="0.15">
      <c r="A37" s="170">
        <v>2007</v>
      </c>
      <c r="B37" s="304"/>
      <c r="C37" s="395" t="s">
        <v>1081</v>
      </c>
      <c r="D37" s="395"/>
      <c r="E37" s="170">
        <v>94</v>
      </c>
      <c r="G37" s="232">
        <v>9</v>
      </c>
      <c r="H37" s="170">
        <v>5</v>
      </c>
      <c r="J37" s="240">
        <v>14</v>
      </c>
      <c r="K37" s="213">
        <f t="shared" si="0"/>
        <v>64.285714285714292</v>
      </c>
      <c r="L37" s="213">
        <f t="shared" si="1"/>
        <v>35.714285714285715</v>
      </c>
      <c r="M37" s="213">
        <f t="shared" si="2"/>
        <v>0</v>
      </c>
      <c r="N37" s="234">
        <f t="shared" si="3"/>
        <v>100</v>
      </c>
      <c r="O37" s="212">
        <v>31.7</v>
      </c>
      <c r="P37" s="213">
        <v>27.7</v>
      </c>
      <c r="Q37" s="213"/>
      <c r="R37" s="214">
        <f t="shared" si="5"/>
        <v>59.4</v>
      </c>
      <c r="S37" s="170">
        <v>2</v>
      </c>
      <c r="T37" s="283"/>
      <c r="U37" s="281"/>
      <c r="V37" s="177" t="s">
        <v>1331</v>
      </c>
      <c r="W37" s="170" t="s">
        <v>99</v>
      </c>
      <c r="X37" s="170" t="s">
        <v>18</v>
      </c>
      <c r="Y37" s="178">
        <v>27.7</v>
      </c>
      <c r="Z37" s="170" t="s">
        <v>1090</v>
      </c>
      <c r="AA37" s="170" t="s">
        <v>87</v>
      </c>
      <c r="AB37" s="170" t="s">
        <v>11</v>
      </c>
      <c r="AC37" s="170">
        <v>18.8</v>
      </c>
      <c r="AD37" s="177" t="s">
        <v>1095</v>
      </c>
      <c r="AE37" s="170" t="s">
        <v>78</v>
      </c>
      <c r="AF37" s="170" t="s">
        <v>11</v>
      </c>
      <c r="AG37" s="178">
        <v>12.9</v>
      </c>
      <c r="AL37" s="177"/>
      <c r="AO37" s="178"/>
      <c r="AP37" s="177"/>
      <c r="AS37" s="178"/>
      <c r="AW37" s="178"/>
      <c r="BA37" s="179"/>
    </row>
    <row r="38" spans="1:53" s="28" customFormat="1" x14ac:dyDescent="0.15">
      <c r="A38" s="28">
        <v>2007</v>
      </c>
      <c r="B38" s="275">
        <v>39177</v>
      </c>
      <c r="C38" s="394" t="s">
        <v>1082</v>
      </c>
      <c r="D38" s="394"/>
      <c r="E38" s="28">
        <v>271</v>
      </c>
      <c r="F38" s="28">
        <v>1</v>
      </c>
      <c r="G38" s="65">
        <v>11</v>
      </c>
      <c r="I38" s="28">
        <v>3</v>
      </c>
      <c r="J38" s="72">
        <v>14</v>
      </c>
      <c r="K38" s="46">
        <f t="shared" si="0"/>
        <v>78.571428571428569</v>
      </c>
      <c r="L38" s="46">
        <f t="shared" si="1"/>
        <v>0</v>
      </c>
      <c r="M38" s="46">
        <f t="shared" si="2"/>
        <v>21.428571428571427</v>
      </c>
      <c r="N38" s="67">
        <f t="shared" si="3"/>
        <v>100</v>
      </c>
      <c r="O38" s="45">
        <v>49.5</v>
      </c>
      <c r="P38" s="46"/>
      <c r="Q38" s="46">
        <v>9.9</v>
      </c>
      <c r="R38" s="47">
        <f t="shared" si="5"/>
        <v>59.4</v>
      </c>
      <c r="S38" s="28">
        <v>2</v>
      </c>
      <c r="T38" s="284">
        <v>39145</v>
      </c>
      <c r="U38" s="293">
        <v>39177</v>
      </c>
      <c r="V38" s="37" t="s">
        <v>1090</v>
      </c>
      <c r="W38" s="28" t="s">
        <v>87</v>
      </c>
      <c r="X38" s="28" t="s">
        <v>11</v>
      </c>
      <c r="Y38" s="38">
        <v>30.7</v>
      </c>
      <c r="Z38" s="28" t="s">
        <v>1096</v>
      </c>
      <c r="AA38" s="28" t="s">
        <v>79</v>
      </c>
      <c r="AB38" s="28" t="s">
        <v>11</v>
      </c>
      <c r="AC38" s="28">
        <v>18.8</v>
      </c>
      <c r="AD38" s="37" t="s">
        <v>1097</v>
      </c>
      <c r="AE38" s="28" t="s">
        <v>97</v>
      </c>
      <c r="AF38" s="28" t="s">
        <v>12</v>
      </c>
      <c r="AG38" s="38">
        <v>9.9</v>
      </c>
      <c r="AL38" s="37"/>
      <c r="AO38" s="38"/>
      <c r="AP38" s="37"/>
      <c r="AS38" s="38"/>
      <c r="AW38" s="38"/>
      <c r="BA38" s="39"/>
    </row>
    <row r="39" spans="1:53" s="28" customFormat="1" x14ac:dyDescent="0.15">
      <c r="A39" s="28">
        <v>2008</v>
      </c>
      <c r="B39" s="275"/>
      <c r="C39" s="394" t="s">
        <v>1082</v>
      </c>
      <c r="D39" s="394"/>
      <c r="E39" s="28">
        <v>0</v>
      </c>
      <c r="G39" s="65">
        <v>11</v>
      </c>
      <c r="I39" s="28">
        <v>3</v>
      </c>
      <c r="J39" s="72">
        <v>14</v>
      </c>
      <c r="K39" s="46">
        <f t="shared" si="0"/>
        <v>78.571428571428569</v>
      </c>
      <c r="L39" s="46">
        <f t="shared" si="1"/>
        <v>0</v>
      </c>
      <c r="M39" s="46">
        <f t="shared" si="2"/>
        <v>21.428571428571427</v>
      </c>
      <c r="N39" s="67">
        <f t="shared" si="3"/>
        <v>100</v>
      </c>
      <c r="O39" s="45">
        <v>49.5</v>
      </c>
      <c r="P39" s="46"/>
      <c r="Q39" s="46">
        <v>9.9</v>
      </c>
      <c r="R39" s="47">
        <f t="shared" si="5"/>
        <v>59.4</v>
      </c>
      <c r="S39" s="28">
        <v>2</v>
      </c>
      <c r="T39" s="284"/>
      <c r="U39" s="293"/>
      <c r="V39" s="37" t="s">
        <v>1090</v>
      </c>
      <c r="W39" s="28" t="s">
        <v>87</v>
      </c>
      <c r="X39" s="28" t="s">
        <v>11</v>
      </c>
      <c r="Y39" s="38">
        <v>30.7</v>
      </c>
      <c r="Z39" s="28" t="s">
        <v>1096</v>
      </c>
      <c r="AA39" s="28" t="s">
        <v>79</v>
      </c>
      <c r="AB39" s="28" t="s">
        <v>11</v>
      </c>
      <c r="AC39" s="28">
        <v>18.8</v>
      </c>
      <c r="AD39" s="37" t="s">
        <v>1097</v>
      </c>
      <c r="AE39" s="28" t="s">
        <v>97</v>
      </c>
      <c r="AF39" s="28" t="s">
        <v>12</v>
      </c>
      <c r="AG39" s="38">
        <v>9.9</v>
      </c>
      <c r="AL39" s="37"/>
      <c r="AO39" s="38"/>
      <c r="AP39" s="37"/>
      <c r="AS39" s="38"/>
      <c r="AW39" s="38"/>
      <c r="BA39" s="39"/>
    </row>
    <row r="40" spans="1:53" s="28" customFormat="1" x14ac:dyDescent="0.15">
      <c r="A40" s="28">
        <v>2008</v>
      </c>
      <c r="B40" s="275"/>
      <c r="C40" s="394" t="s">
        <v>1082</v>
      </c>
      <c r="D40" s="394"/>
      <c r="E40" s="28">
        <v>366</v>
      </c>
      <c r="G40" s="65">
        <v>11</v>
      </c>
      <c r="I40" s="28">
        <v>3</v>
      </c>
      <c r="J40" s="72">
        <v>14</v>
      </c>
      <c r="K40" s="46">
        <f t="shared" si="0"/>
        <v>78.571428571428569</v>
      </c>
      <c r="L40" s="46">
        <f t="shared" si="1"/>
        <v>0</v>
      </c>
      <c r="M40" s="46">
        <f t="shared" si="2"/>
        <v>21.428571428571427</v>
      </c>
      <c r="N40" s="67">
        <f t="shared" si="3"/>
        <v>100</v>
      </c>
      <c r="O40" s="45">
        <v>49.5</v>
      </c>
      <c r="P40" s="46"/>
      <c r="Q40" s="46">
        <v>9.9</v>
      </c>
      <c r="R40" s="47">
        <f t="shared" si="5"/>
        <v>59.4</v>
      </c>
      <c r="S40" s="28">
        <v>2</v>
      </c>
      <c r="T40" s="284"/>
      <c r="U40" s="293"/>
      <c r="V40" s="37" t="s">
        <v>1090</v>
      </c>
      <c r="W40" s="28" t="s">
        <v>87</v>
      </c>
      <c r="X40" s="28" t="s">
        <v>11</v>
      </c>
      <c r="Y40" s="38">
        <v>30.7</v>
      </c>
      <c r="Z40" s="28" t="s">
        <v>1096</v>
      </c>
      <c r="AA40" s="28" t="s">
        <v>79</v>
      </c>
      <c r="AB40" s="28" t="s">
        <v>11</v>
      </c>
      <c r="AC40" s="28">
        <v>18.8</v>
      </c>
      <c r="AD40" s="37" t="s">
        <v>1097</v>
      </c>
      <c r="AE40" s="28" t="s">
        <v>97</v>
      </c>
      <c r="AF40" s="28" t="s">
        <v>12</v>
      </c>
      <c r="AG40" s="38">
        <v>9.9</v>
      </c>
      <c r="AL40" s="37"/>
      <c r="AO40" s="38"/>
      <c r="AP40" s="37"/>
      <c r="AS40" s="38"/>
      <c r="AW40" s="38"/>
      <c r="BA40" s="39"/>
    </row>
    <row r="41" spans="1:53" s="28" customFormat="1" x14ac:dyDescent="0.15">
      <c r="A41" s="28">
        <v>2009</v>
      </c>
      <c r="B41" s="275"/>
      <c r="C41" s="394" t="s">
        <v>1082</v>
      </c>
      <c r="D41" s="394"/>
      <c r="E41" s="28">
        <v>154</v>
      </c>
      <c r="G41" s="65">
        <v>11</v>
      </c>
      <c r="I41" s="28">
        <v>3</v>
      </c>
      <c r="J41" s="72">
        <v>14</v>
      </c>
      <c r="K41" s="46">
        <f t="shared" si="0"/>
        <v>78.571428571428569</v>
      </c>
      <c r="L41" s="46">
        <f t="shared" si="1"/>
        <v>0</v>
      </c>
      <c r="M41" s="46">
        <f t="shared" si="2"/>
        <v>21.428571428571427</v>
      </c>
      <c r="N41" s="67">
        <f t="shared" si="3"/>
        <v>100</v>
      </c>
      <c r="O41" s="45">
        <v>49.5</v>
      </c>
      <c r="P41" s="46"/>
      <c r="Q41" s="46">
        <v>9.9</v>
      </c>
      <c r="R41" s="47">
        <f t="shared" si="5"/>
        <v>59.4</v>
      </c>
      <c r="S41" s="28">
        <v>2</v>
      </c>
      <c r="T41" s="284"/>
      <c r="U41" s="293"/>
      <c r="V41" s="37" t="s">
        <v>1090</v>
      </c>
      <c r="W41" s="28" t="s">
        <v>87</v>
      </c>
      <c r="X41" s="28" t="s">
        <v>11</v>
      </c>
      <c r="Y41" s="38">
        <v>30.7</v>
      </c>
      <c r="Z41" s="28" t="s">
        <v>1096</v>
      </c>
      <c r="AA41" s="28" t="s">
        <v>79</v>
      </c>
      <c r="AB41" s="28" t="s">
        <v>11</v>
      </c>
      <c r="AC41" s="28">
        <v>18.8</v>
      </c>
      <c r="AD41" s="37" t="s">
        <v>1097</v>
      </c>
      <c r="AE41" s="28" t="s">
        <v>97</v>
      </c>
      <c r="AF41" s="28" t="s">
        <v>12</v>
      </c>
      <c r="AG41" s="38">
        <v>9.9</v>
      </c>
      <c r="AL41" s="37"/>
      <c r="AO41" s="38"/>
      <c r="AP41" s="37"/>
      <c r="AS41" s="38"/>
      <c r="AW41" s="38"/>
      <c r="BA41" s="39"/>
    </row>
    <row r="42" spans="1:53" s="170" customFormat="1" x14ac:dyDescent="0.15">
      <c r="A42" s="170">
        <v>2009</v>
      </c>
      <c r="B42" s="304">
        <v>39968</v>
      </c>
      <c r="C42" s="395" t="s">
        <v>1083</v>
      </c>
      <c r="D42" s="395"/>
      <c r="E42" s="170">
        <v>211</v>
      </c>
      <c r="F42" s="170">
        <v>4</v>
      </c>
      <c r="G42" s="232">
        <v>13</v>
      </c>
      <c r="J42" s="240">
        <v>13</v>
      </c>
      <c r="K42" s="213">
        <f t="shared" si="0"/>
        <v>100</v>
      </c>
      <c r="L42" s="213">
        <f t="shared" si="1"/>
        <v>0</v>
      </c>
      <c r="M42" s="213">
        <f t="shared" si="2"/>
        <v>0</v>
      </c>
      <c r="N42" s="234">
        <f t="shared" si="3"/>
        <v>100</v>
      </c>
      <c r="O42" s="212">
        <v>49.5</v>
      </c>
      <c r="P42" s="213"/>
      <c r="Q42" s="213"/>
      <c r="R42" s="214">
        <f t="shared" si="5"/>
        <v>49.5</v>
      </c>
      <c r="S42" s="170">
        <v>5</v>
      </c>
      <c r="T42" s="283"/>
      <c r="U42" s="281">
        <v>39968</v>
      </c>
      <c r="V42" s="177" t="s">
        <v>1090</v>
      </c>
      <c r="W42" s="170" t="s">
        <v>87</v>
      </c>
      <c r="X42" s="170" t="s">
        <v>11</v>
      </c>
      <c r="Y42" s="178">
        <v>30.7</v>
      </c>
      <c r="Z42" s="170" t="s">
        <v>1096</v>
      </c>
      <c r="AA42" s="170" t="s">
        <v>79</v>
      </c>
      <c r="AB42" s="170" t="s">
        <v>11</v>
      </c>
      <c r="AC42" s="170">
        <v>18.8</v>
      </c>
      <c r="AD42" s="177"/>
      <c r="AG42" s="178"/>
      <c r="AL42" s="177"/>
      <c r="AO42" s="178"/>
      <c r="AP42" s="177"/>
      <c r="AS42" s="178"/>
      <c r="AW42" s="178"/>
      <c r="BA42" s="179"/>
    </row>
    <row r="43" spans="1:53" s="170" customFormat="1" x14ac:dyDescent="0.15">
      <c r="A43" s="170">
        <v>2010</v>
      </c>
      <c r="B43" s="304"/>
      <c r="C43" s="395" t="s">
        <v>1083</v>
      </c>
      <c r="D43" s="395"/>
      <c r="E43" s="170">
        <v>0</v>
      </c>
      <c r="G43" s="232">
        <v>13</v>
      </c>
      <c r="J43" s="240">
        <v>13</v>
      </c>
      <c r="K43" s="213">
        <f t="shared" si="0"/>
        <v>100</v>
      </c>
      <c r="L43" s="213">
        <f t="shared" si="1"/>
        <v>0</v>
      </c>
      <c r="M43" s="213">
        <f t="shared" si="2"/>
        <v>0</v>
      </c>
      <c r="N43" s="234">
        <f t="shared" si="3"/>
        <v>100</v>
      </c>
      <c r="O43" s="212">
        <v>49.5</v>
      </c>
      <c r="P43" s="213"/>
      <c r="Q43" s="213"/>
      <c r="R43" s="214">
        <f t="shared" si="5"/>
        <v>49.5</v>
      </c>
      <c r="S43" s="170">
        <v>5</v>
      </c>
      <c r="T43" s="283"/>
      <c r="U43" s="281"/>
      <c r="V43" s="177" t="s">
        <v>1090</v>
      </c>
      <c r="W43" s="170" t="s">
        <v>87</v>
      </c>
      <c r="X43" s="170" t="s">
        <v>11</v>
      </c>
      <c r="Y43" s="178">
        <v>30.7</v>
      </c>
      <c r="Z43" s="170" t="s">
        <v>1096</v>
      </c>
      <c r="AA43" s="170" t="s">
        <v>79</v>
      </c>
      <c r="AB43" s="170" t="s">
        <v>11</v>
      </c>
      <c r="AC43" s="170">
        <v>18.8</v>
      </c>
      <c r="AD43" s="177"/>
      <c r="AG43" s="178"/>
      <c r="AL43" s="177"/>
      <c r="AO43" s="178"/>
      <c r="AP43" s="177"/>
      <c r="AS43" s="178"/>
      <c r="AW43" s="178"/>
      <c r="BA43" s="179"/>
    </row>
    <row r="44" spans="1:53" s="170" customFormat="1" x14ac:dyDescent="0.15">
      <c r="A44" s="170">
        <v>2010</v>
      </c>
      <c r="B44" s="304"/>
      <c r="C44" s="395" t="s">
        <v>1083</v>
      </c>
      <c r="D44" s="395"/>
      <c r="E44" s="170">
        <v>365</v>
      </c>
      <c r="G44" s="232">
        <v>13</v>
      </c>
      <c r="J44" s="240">
        <v>13</v>
      </c>
      <c r="K44" s="213">
        <f t="shared" si="0"/>
        <v>100</v>
      </c>
      <c r="L44" s="213">
        <f t="shared" si="1"/>
        <v>0</v>
      </c>
      <c r="M44" s="213">
        <f t="shared" si="2"/>
        <v>0</v>
      </c>
      <c r="N44" s="234">
        <f t="shared" si="3"/>
        <v>100</v>
      </c>
      <c r="O44" s="212">
        <v>49.5</v>
      </c>
      <c r="P44" s="213"/>
      <c r="Q44" s="213"/>
      <c r="R44" s="214">
        <f t="shared" si="5"/>
        <v>49.5</v>
      </c>
      <c r="S44" s="170">
        <v>5</v>
      </c>
      <c r="T44" s="283"/>
      <c r="U44" s="281"/>
      <c r="V44" s="177" t="s">
        <v>1090</v>
      </c>
      <c r="W44" s="170" t="s">
        <v>87</v>
      </c>
      <c r="X44" s="170" t="s">
        <v>11</v>
      </c>
      <c r="Y44" s="178">
        <v>30.7</v>
      </c>
      <c r="Z44" s="170" t="s">
        <v>1096</v>
      </c>
      <c r="AA44" s="170" t="s">
        <v>79</v>
      </c>
      <c r="AB44" s="170" t="s">
        <v>11</v>
      </c>
      <c r="AC44" s="170">
        <v>18.8</v>
      </c>
      <c r="AD44" s="177"/>
      <c r="AG44" s="178"/>
      <c r="AL44" s="177"/>
      <c r="AO44" s="178"/>
      <c r="AP44" s="177"/>
      <c r="AS44" s="178"/>
      <c r="AW44" s="178"/>
      <c r="BA44" s="179"/>
    </row>
    <row r="45" spans="1:53" s="170" customFormat="1" x14ac:dyDescent="0.15">
      <c r="A45" s="170">
        <v>2011</v>
      </c>
      <c r="B45" s="304"/>
      <c r="C45" s="395" t="s">
        <v>1083</v>
      </c>
      <c r="D45" s="395"/>
      <c r="E45" s="170">
        <v>95</v>
      </c>
      <c r="G45" s="232">
        <v>13</v>
      </c>
      <c r="J45" s="240">
        <v>13</v>
      </c>
      <c r="K45" s="213">
        <f t="shared" ref="K45:K52" si="6">G45/J45*100</f>
        <v>100</v>
      </c>
      <c r="L45" s="213">
        <f t="shared" ref="L45:L52" si="7">H45/J45*100</f>
        <v>0</v>
      </c>
      <c r="M45" s="213">
        <f t="shared" ref="M45:M52" si="8">I45/J45*100</f>
        <v>0</v>
      </c>
      <c r="N45" s="234">
        <f t="shared" si="3"/>
        <v>100</v>
      </c>
      <c r="O45" s="212">
        <v>49.5</v>
      </c>
      <c r="P45" s="213"/>
      <c r="Q45" s="213"/>
      <c r="R45" s="214">
        <f t="shared" si="5"/>
        <v>49.5</v>
      </c>
      <c r="S45" s="170">
        <v>5</v>
      </c>
      <c r="T45" s="283"/>
      <c r="U45" s="281"/>
      <c r="V45" s="177" t="s">
        <v>1090</v>
      </c>
      <c r="W45" s="170" t="s">
        <v>87</v>
      </c>
      <c r="X45" s="170" t="s">
        <v>11</v>
      </c>
      <c r="Y45" s="178">
        <v>30.7</v>
      </c>
      <c r="Z45" s="170" t="s">
        <v>1096</v>
      </c>
      <c r="AA45" s="170" t="s">
        <v>79</v>
      </c>
      <c r="AB45" s="170" t="s">
        <v>11</v>
      </c>
      <c r="AC45" s="170">
        <v>18.8</v>
      </c>
      <c r="AD45" s="177"/>
      <c r="AG45" s="178"/>
      <c r="AL45" s="177"/>
      <c r="AO45" s="178"/>
      <c r="AP45" s="177"/>
      <c r="AS45" s="178"/>
      <c r="AW45" s="178"/>
      <c r="BA45" s="179"/>
    </row>
    <row r="46" spans="1:53" s="28" customFormat="1" x14ac:dyDescent="0.15">
      <c r="A46" s="28">
        <v>2011</v>
      </c>
      <c r="B46" s="275">
        <v>40639</v>
      </c>
      <c r="C46" s="394" t="s">
        <v>1084</v>
      </c>
      <c r="D46" s="394"/>
      <c r="E46" s="28">
        <v>270</v>
      </c>
      <c r="F46" s="28">
        <v>1</v>
      </c>
      <c r="G46" s="65">
        <v>13</v>
      </c>
      <c r="J46" s="72">
        <v>13</v>
      </c>
      <c r="K46" s="46">
        <f t="shared" si="6"/>
        <v>100</v>
      </c>
      <c r="L46" s="46">
        <f t="shared" si="7"/>
        <v>0</v>
      </c>
      <c r="M46" s="46">
        <f t="shared" si="8"/>
        <v>0</v>
      </c>
      <c r="N46" s="67">
        <f t="shared" si="3"/>
        <v>100</v>
      </c>
      <c r="O46" s="45">
        <v>55.5</v>
      </c>
      <c r="P46" s="46"/>
      <c r="Q46" s="46"/>
      <c r="R46" s="47">
        <f t="shared" si="5"/>
        <v>55.5</v>
      </c>
      <c r="S46" s="28">
        <v>2</v>
      </c>
      <c r="T46" s="284">
        <v>40608</v>
      </c>
      <c r="U46" s="293">
        <v>40639</v>
      </c>
      <c r="V46" s="37" t="s">
        <v>1090</v>
      </c>
      <c r="W46" s="28" t="s">
        <v>87</v>
      </c>
      <c r="X46" s="28" t="s">
        <v>11</v>
      </c>
      <c r="Y46" s="38">
        <v>32.700000000000003</v>
      </c>
      <c r="Z46" s="28" t="s">
        <v>1096</v>
      </c>
      <c r="AA46" s="28" t="s">
        <v>79</v>
      </c>
      <c r="AB46" s="28" t="s">
        <v>11</v>
      </c>
      <c r="AC46" s="28">
        <v>22.8</v>
      </c>
      <c r="AD46" s="37"/>
      <c r="AG46" s="38"/>
      <c r="AL46" s="37"/>
      <c r="AO46" s="38"/>
      <c r="AP46" s="37"/>
      <c r="AS46" s="38"/>
      <c r="AW46" s="38"/>
      <c r="BA46" s="39"/>
    </row>
    <row r="47" spans="1:53" s="28" customFormat="1" x14ac:dyDescent="0.15">
      <c r="A47" s="28">
        <v>2012</v>
      </c>
      <c r="B47" s="275"/>
      <c r="C47" s="394" t="s">
        <v>1084</v>
      </c>
      <c r="D47" s="394"/>
      <c r="E47" s="28">
        <v>0</v>
      </c>
      <c r="G47" s="65">
        <v>13</v>
      </c>
      <c r="J47" s="72">
        <v>13</v>
      </c>
      <c r="K47" s="46">
        <f t="shared" si="6"/>
        <v>100</v>
      </c>
      <c r="L47" s="46">
        <f t="shared" si="7"/>
        <v>0</v>
      </c>
      <c r="M47" s="46">
        <f t="shared" si="8"/>
        <v>0</v>
      </c>
      <c r="N47" s="67">
        <f t="shared" si="3"/>
        <v>100</v>
      </c>
      <c r="O47" s="45">
        <v>55.5</v>
      </c>
      <c r="P47" s="46"/>
      <c r="Q47" s="46"/>
      <c r="R47" s="47">
        <f t="shared" si="5"/>
        <v>55.5</v>
      </c>
      <c r="S47" s="28">
        <v>2</v>
      </c>
      <c r="T47" s="284"/>
      <c r="U47" s="293"/>
      <c r="V47" s="37" t="s">
        <v>1090</v>
      </c>
      <c r="W47" s="28" t="s">
        <v>87</v>
      </c>
      <c r="X47" s="28" t="s">
        <v>11</v>
      </c>
      <c r="Y47" s="38">
        <v>32.700000000000003</v>
      </c>
      <c r="Z47" s="28" t="s">
        <v>1096</v>
      </c>
      <c r="AA47" s="28" t="s">
        <v>79</v>
      </c>
      <c r="AB47" s="28" t="s">
        <v>11</v>
      </c>
      <c r="AC47" s="28">
        <v>22.8</v>
      </c>
      <c r="AD47" s="37"/>
      <c r="AG47" s="38"/>
      <c r="AL47" s="37"/>
      <c r="AO47" s="38"/>
      <c r="AP47" s="37"/>
      <c r="AS47" s="38"/>
      <c r="AW47" s="38"/>
      <c r="BA47" s="39"/>
    </row>
    <row r="48" spans="1:53" s="28" customFormat="1" x14ac:dyDescent="0.15">
      <c r="A48" s="28">
        <v>2012</v>
      </c>
      <c r="B48" s="275"/>
      <c r="C48" s="394" t="s">
        <v>1084</v>
      </c>
      <c r="D48" s="394"/>
      <c r="E48" s="28">
        <v>366</v>
      </c>
      <c r="G48" s="65">
        <v>13</v>
      </c>
      <c r="J48" s="72">
        <v>13</v>
      </c>
      <c r="K48" s="46">
        <f t="shared" si="6"/>
        <v>100</v>
      </c>
      <c r="L48" s="46">
        <f t="shared" si="7"/>
        <v>0</v>
      </c>
      <c r="M48" s="46">
        <f t="shared" si="8"/>
        <v>0</v>
      </c>
      <c r="N48" s="67">
        <f t="shared" si="3"/>
        <v>100</v>
      </c>
      <c r="O48" s="45">
        <v>55.5</v>
      </c>
      <c r="P48" s="46"/>
      <c r="Q48" s="46"/>
      <c r="R48" s="47">
        <f t="shared" si="5"/>
        <v>55.5</v>
      </c>
      <c r="S48" s="28">
        <v>2</v>
      </c>
      <c r="T48" s="284"/>
      <c r="U48" s="293"/>
      <c r="V48" s="37" t="s">
        <v>1090</v>
      </c>
      <c r="W48" s="28" t="s">
        <v>87</v>
      </c>
      <c r="X48" s="28" t="s">
        <v>11</v>
      </c>
      <c r="Y48" s="38">
        <v>32.700000000000003</v>
      </c>
      <c r="Z48" s="28" t="s">
        <v>1096</v>
      </c>
      <c r="AA48" s="28" t="s">
        <v>79</v>
      </c>
      <c r="AB48" s="28" t="s">
        <v>11</v>
      </c>
      <c r="AC48" s="28">
        <v>22.8</v>
      </c>
      <c r="AD48" s="37"/>
      <c r="AG48" s="38"/>
      <c r="AL48" s="37"/>
      <c r="AO48" s="38"/>
      <c r="AP48" s="37"/>
      <c r="AS48" s="38"/>
      <c r="AW48" s="38"/>
      <c r="BA48" s="39"/>
    </row>
    <row r="49" spans="1:53" s="28" customFormat="1" x14ac:dyDescent="0.15">
      <c r="A49" s="28">
        <v>2013</v>
      </c>
      <c r="B49" s="275"/>
      <c r="C49" s="394" t="s">
        <v>1084</v>
      </c>
      <c r="D49" s="394"/>
      <c r="E49" s="28">
        <v>0</v>
      </c>
      <c r="G49" s="65">
        <v>13</v>
      </c>
      <c r="J49" s="72">
        <v>13</v>
      </c>
      <c r="K49" s="46">
        <f t="shared" si="6"/>
        <v>100</v>
      </c>
      <c r="L49" s="46">
        <f t="shared" si="7"/>
        <v>0</v>
      </c>
      <c r="M49" s="46">
        <f t="shared" si="8"/>
        <v>0</v>
      </c>
      <c r="N49" s="67">
        <f t="shared" si="3"/>
        <v>100</v>
      </c>
      <c r="O49" s="45">
        <v>55.5</v>
      </c>
      <c r="P49" s="46"/>
      <c r="Q49" s="46"/>
      <c r="R49" s="47">
        <f>SUM(O49:Q49)</f>
        <v>55.5</v>
      </c>
      <c r="S49" s="28">
        <v>2</v>
      </c>
      <c r="T49" s="284"/>
      <c r="U49" s="293"/>
      <c r="V49" s="37" t="s">
        <v>1090</v>
      </c>
      <c r="W49" s="28" t="s">
        <v>87</v>
      </c>
      <c r="X49" s="28" t="s">
        <v>11</v>
      </c>
      <c r="Y49" s="38">
        <v>32.700000000000003</v>
      </c>
      <c r="Z49" s="28" t="s">
        <v>1096</v>
      </c>
      <c r="AA49" s="28" t="s">
        <v>79</v>
      </c>
      <c r="AB49" s="28" t="s">
        <v>11</v>
      </c>
      <c r="AC49" s="28">
        <v>22.8</v>
      </c>
      <c r="AD49" s="37"/>
      <c r="AG49" s="38"/>
      <c r="AL49" s="37"/>
      <c r="AO49" s="38"/>
      <c r="AP49" s="37"/>
      <c r="AS49" s="38"/>
      <c r="AW49" s="38"/>
      <c r="BA49" s="39"/>
    </row>
    <row r="50" spans="1:53" s="28" customFormat="1" x14ac:dyDescent="0.15">
      <c r="A50" s="28">
        <v>2013</v>
      </c>
      <c r="B50" s="275"/>
      <c r="C50" s="394" t="s">
        <v>1084</v>
      </c>
      <c r="D50" s="394"/>
      <c r="E50" s="28">
        <v>365</v>
      </c>
      <c r="G50" s="65">
        <v>13</v>
      </c>
      <c r="J50" s="72">
        <v>13</v>
      </c>
      <c r="K50" s="46">
        <f t="shared" si="6"/>
        <v>100</v>
      </c>
      <c r="L50" s="46">
        <f t="shared" si="7"/>
        <v>0</v>
      </c>
      <c r="M50" s="46">
        <f t="shared" si="8"/>
        <v>0</v>
      </c>
      <c r="N50" s="67">
        <f t="shared" si="3"/>
        <v>100</v>
      </c>
      <c r="O50" s="45">
        <v>55.5</v>
      </c>
      <c r="P50" s="46"/>
      <c r="Q50" s="46"/>
      <c r="R50" s="47">
        <f>SUM(O50:Q50)</f>
        <v>55.5</v>
      </c>
      <c r="S50" s="28">
        <v>2</v>
      </c>
      <c r="T50" s="284"/>
      <c r="U50" s="293"/>
      <c r="V50" s="37" t="s">
        <v>1090</v>
      </c>
      <c r="W50" s="28" t="s">
        <v>87</v>
      </c>
      <c r="X50" s="28" t="s">
        <v>11</v>
      </c>
      <c r="Y50" s="38">
        <v>32.700000000000003</v>
      </c>
      <c r="Z50" s="28" t="s">
        <v>1096</v>
      </c>
      <c r="AA50" s="28" t="s">
        <v>79</v>
      </c>
      <c r="AB50" s="28" t="s">
        <v>11</v>
      </c>
      <c r="AC50" s="28">
        <v>22.8</v>
      </c>
      <c r="AD50" s="37"/>
      <c r="AG50" s="38"/>
      <c r="AL50" s="37"/>
      <c r="AO50" s="38"/>
      <c r="AP50" s="37"/>
      <c r="AS50" s="38"/>
      <c r="AW50" s="38"/>
      <c r="BA50" s="39"/>
    </row>
    <row r="51" spans="1:53" s="28" customFormat="1" x14ac:dyDescent="0.15">
      <c r="A51" s="28">
        <v>2014</v>
      </c>
      <c r="B51" s="275"/>
      <c r="C51" s="394" t="s">
        <v>1084</v>
      </c>
      <c r="D51" s="394"/>
      <c r="E51" s="28">
        <v>84</v>
      </c>
      <c r="G51" s="65">
        <v>13</v>
      </c>
      <c r="J51" s="72">
        <v>13</v>
      </c>
      <c r="K51" s="46">
        <f t="shared" si="6"/>
        <v>100</v>
      </c>
      <c r="L51" s="46">
        <f t="shared" si="7"/>
        <v>0</v>
      </c>
      <c r="M51" s="46">
        <f t="shared" si="8"/>
        <v>0</v>
      </c>
      <c r="N51" s="67">
        <f t="shared" si="3"/>
        <v>100</v>
      </c>
      <c r="O51" s="45">
        <v>55.5</v>
      </c>
      <c r="P51" s="46"/>
      <c r="Q51" s="46"/>
      <c r="R51" s="47">
        <f>SUM(O51:Q51)</f>
        <v>55.5</v>
      </c>
      <c r="S51" s="28">
        <v>2</v>
      </c>
      <c r="T51" s="284"/>
      <c r="U51" s="293"/>
      <c r="V51" s="37" t="s">
        <v>1090</v>
      </c>
      <c r="W51" s="28" t="s">
        <v>87</v>
      </c>
      <c r="X51" s="28" t="s">
        <v>11</v>
      </c>
      <c r="Y51" s="38">
        <v>32.700000000000003</v>
      </c>
      <c r="Z51" s="28" t="s">
        <v>1096</v>
      </c>
      <c r="AA51" s="28" t="s">
        <v>79</v>
      </c>
      <c r="AB51" s="28" t="s">
        <v>11</v>
      </c>
      <c r="AC51" s="28">
        <v>22.8</v>
      </c>
      <c r="AD51" s="37"/>
      <c r="AG51" s="38"/>
      <c r="AL51" s="37"/>
      <c r="AO51" s="38"/>
      <c r="AP51" s="37"/>
      <c r="AS51" s="38"/>
      <c r="AW51" s="38"/>
      <c r="BA51" s="39"/>
    </row>
    <row r="52" spans="1:53" s="170" customFormat="1" x14ac:dyDescent="0.15">
      <c r="A52" s="170">
        <v>2014</v>
      </c>
      <c r="B52" s="304">
        <v>41724</v>
      </c>
      <c r="C52" s="395" t="s">
        <v>1284</v>
      </c>
      <c r="D52" s="395"/>
      <c r="E52" s="170">
        <v>281</v>
      </c>
      <c r="F52" s="170">
        <v>2</v>
      </c>
      <c r="G52" s="232">
        <v>8</v>
      </c>
      <c r="I52" s="170">
        <v>6</v>
      </c>
      <c r="J52" s="240">
        <v>14</v>
      </c>
      <c r="K52" s="213">
        <f t="shared" si="6"/>
        <v>57.142857142857139</v>
      </c>
      <c r="L52" s="213">
        <f t="shared" si="7"/>
        <v>0</v>
      </c>
      <c r="M52" s="213">
        <f t="shared" si="8"/>
        <v>42.857142857142854</v>
      </c>
      <c r="N52" s="234">
        <f t="shared" si="3"/>
        <v>100</v>
      </c>
      <c r="O52" s="212">
        <v>33.700000000000003</v>
      </c>
      <c r="P52" s="213"/>
      <c r="Q52" s="213">
        <v>20.8</v>
      </c>
      <c r="R52" s="214">
        <f>SUM(O52:Q52)</f>
        <v>54.5</v>
      </c>
      <c r="S52" s="170">
        <v>2</v>
      </c>
      <c r="T52" s="283"/>
      <c r="U52" s="281">
        <v>41724</v>
      </c>
      <c r="V52" s="177" t="s">
        <v>1090</v>
      </c>
      <c r="W52" s="170" t="s">
        <v>87</v>
      </c>
      <c r="X52" s="170" t="s">
        <v>11</v>
      </c>
      <c r="Y52" s="178">
        <v>33.700000000000003</v>
      </c>
      <c r="Z52" s="170" t="s">
        <v>1097</v>
      </c>
      <c r="AA52" s="170" t="s">
        <v>97</v>
      </c>
      <c r="AB52" s="170" t="s">
        <v>12</v>
      </c>
      <c r="AC52" s="170">
        <v>20.8</v>
      </c>
      <c r="AD52" s="177"/>
      <c r="AG52" s="178"/>
      <c r="AL52" s="177"/>
      <c r="AO52" s="178"/>
      <c r="AP52" s="177"/>
      <c r="AS52" s="178"/>
      <c r="AW52" s="178"/>
      <c r="BA52" s="179"/>
    </row>
    <row r="53" spans="1:53" s="170" customFormat="1" x14ac:dyDescent="0.15">
      <c r="A53" s="170">
        <v>2015</v>
      </c>
      <c r="B53" s="304"/>
      <c r="C53" s="395" t="s">
        <v>1284</v>
      </c>
      <c r="D53" s="395"/>
      <c r="E53" s="170">
        <v>98</v>
      </c>
      <c r="G53" s="232">
        <v>8</v>
      </c>
      <c r="I53" s="170">
        <v>6</v>
      </c>
      <c r="J53" s="240">
        <v>14</v>
      </c>
      <c r="K53" s="213">
        <f t="shared" ref="K53" si="9">G53/J53*100</f>
        <v>57.142857142857139</v>
      </c>
      <c r="L53" s="213">
        <f t="shared" ref="L53:L54" si="10">H53/J53*100</f>
        <v>0</v>
      </c>
      <c r="M53" s="213">
        <f t="shared" ref="M53:M54" si="11">I53/J53*100</f>
        <v>42.857142857142854</v>
      </c>
      <c r="N53" s="234">
        <f t="shared" ref="N53:N54" si="12">SUM(K53:M53)</f>
        <v>100</v>
      </c>
      <c r="O53" s="212">
        <v>33.700000000000003</v>
      </c>
      <c r="P53" s="213"/>
      <c r="Q53" s="213">
        <v>20.8</v>
      </c>
      <c r="R53" s="214">
        <f>SUM(O53:Q53)</f>
        <v>54.5</v>
      </c>
      <c r="S53" s="170">
        <v>2</v>
      </c>
      <c r="T53" s="283"/>
      <c r="U53" s="281"/>
      <c r="V53" s="177" t="s">
        <v>1090</v>
      </c>
      <c r="W53" s="170" t="s">
        <v>87</v>
      </c>
      <c r="X53" s="170" t="s">
        <v>11</v>
      </c>
      <c r="Y53" s="178">
        <v>33.700000000000003</v>
      </c>
      <c r="Z53" s="170" t="s">
        <v>1097</v>
      </c>
      <c r="AA53" s="170" t="s">
        <v>97</v>
      </c>
      <c r="AB53" s="170" t="s">
        <v>12</v>
      </c>
      <c r="AC53" s="170">
        <v>20.8</v>
      </c>
      <c r="AD53" s="177"/>
      <c r="AG53" s="178"/>
      <c r="AL53" s="177"/>
      <c r="AO53" s="178"/>
      <c r="AP53" s="177"/>
      <c r="AS53" s="178"/>
      <c r="AW53" s="178"/>
      <c r="BA53" s="179"/>
    </row>
    <row r="54" spans="1:53" s="28" customFormat="1" x14ac:dyDescent="0.15">
      <c r="A54" s="28">
        <v>2015</v>
      </c>
      <c r="B54" s="275">
        <v>42103</v>
      </c>
      <c r="C54" s="394" t="s">
        <v>1314</v>
      </c>
      <c r="D54" s="394"/>
      <c r="E54" s="28">
        <v>98</v>
      </c>
      <c r="F54" s="28">
        <v>1</v>
      </c>
      <c r="G54" s="65">
        <v>11</v>
      </c>
      <c r="I54" s="28">
        <v>4</v>
      </c>
      <c r="J54" s="72">
        <v>15</v>
      </c>
      <c r="K54" s="46">
        <f>G54/J54*100</f>
        <v>73.333333333333329</v>
      </c>
      <c r="L54" s="46">
        <f t="shared" si="10"/>
        <v>0</v>
      </c>
      <c r="M54" s="46">
        <f t="shared" si="11"/>
        <v>26.666666666666668</v>
      </c>
      <c r="N54" s="67">
        <f t="shared" si="12"/>
        <v>100</v>
      </c>
      <c r="O54" s="45">
        <v>43.6</v>
      </c>
      <c r="P54" s="46"/>
      <c r="Q54" s="46">
        <v>14.9</v>
      </c>
      <c r="R54" s="47">
        <f t="shared" ref="R54:R55" si="13">SUM(O54:Q54)</f>
        <v>58.5</v>
      </c>
      <c r="S54" s="28">
        <v>2</v>
      </c>
      <c r="T54" s="284">
        <v>42064</v>
      </c>
      <c r="U54" s="275">
        <v>42103</v>
      </c>
      <c r="V54" s="37" t="s">
        <v>1090</v>
      </c>
      <c r="W54" s="28" t="s">
        <v>87</v>
      </c>
      <c r="X54" s="28" t="s">
        <v>11</v>
      </c>
      <c r="Y54" s="38">
        <v>29.7</v>
      </c>
      <c r="Z54" s="28" t="s">
        <v>1097</v>
      </c>
      <c r="AA54" s="28" t="s">
        <v>97</v>
      </c>
      <c r="AB54" s="28" t="s">
        <v>12</v>
      </c>
      <c r="AC54" s="28">
        <v>14.9</v>
      </c>
      <c r="AD54" s="37" t="s">
        <v>1096</v>
      </c>
      <c r="AE54" s="28" t="s">
        <v>79</v>
      </c>
      <c r="AF54" s="28" t="s">
        <v>11</v>
      </c>
      <c r="AG54" s="38">
        <v>13.9</v>
      </c>
      <c r="AL54" s="37"/>
      <c r="AO54" s="38"/>
      <c r="AP54" s="37"/>
      <c r="AS54" s="38"/>
      <c r="AW54" s="38"/>
      <c r="BA54" s="39"/>
    </row>
    <row r="55" spans="1:53" s="28" customFormat="1" x14ac:dyDescent="0.15">
      <c r="A55" s="28">
        <v>2015</v>
      </c>
      <c r="B55" s="301">
        <v>42201</v>
      </c>
      <c r="C55" s="394" t="s">
        <v>1314</v>
      </c>
      <c r="D55" s="394"/>
      <c r="E55" s="28">
        <v>169</v>
      </c>
      <c r="F55" s="83">
        <v>0</v>
      </c>
      <c r="G55" s="65">
        <v>10</v>
      </c>
      <c r="I55" s="28">
        <v>4</v>
      </c>
      <c r="J55" s="72">
        <v>15</v>
      </c>
      <c r="K55" s="46">
        <f t="shared" ref="K55:K56" si="14">G55/J55*100</f>
        <v>66.666666666666657</v>
      </c>
      <c r="L55" s="46">
        <f t="shared" ref="L55:L56" si="15">H55/J55*100</f>
        <v>0</v>
      </c>
      <c r="M55" s="46">
        <f t="shared" ref="M55:M56" si="16">I55/J55*100</f>
        <v>26.666666666666668</v>
      </c>
      <c r="N55" s="67">
        <f t="shared" ref="N55:N56" si="17">SUM(K55:M55)</f>
        <v>93.333333333333329</v>
      </c>
      <c r="O55" s="45">
        <v>43.6</v>
      </c>
      <c r="P55" s="46"/>
      <c r="Q55" s="46">
        <v>14.9</v>
      </c>
      <c r="R55" s="47">
        <f t="shared" si="13"/>
        <v>58.5</v>
      </c>
      <c r="S55" s="28">
        <v>2</v>
      </c>
      <c r="T55" s="284"/>
      <c r="U55" s="293"/>
      <c r="V55" s="37" t="s">
        <v>1090</v>
      </c>
      <c r="W55" s="28" t="s">
        <v>87</v>
      </c>
      <c r="X55" s="28" t="s">
        <v>11</v>
      </c>
      <c r="Y55" s="38">
        <v>29.7</v>
      </c>
      <c r="Z55" s="28" t="s">
        <v>1097</v>
      </c>
      <c r="AA55" s="28" t="s">
        <v>97</v>
      </c>
      <c r="AB55" s="28" t="s">
        <v>12</v>
      </c>
      <c r="AC55" s="28">
        <v>14.9</v>
      </c>
      <c r="AD55" s="37" t="s">
        <v>1096</v>
      </c>
      <c r="AE55" s="28" t="s">
        <v>79</v>
      </c>
      <c r="AF55" s="28" t="s">
        <v>11</v>
      </c>
      <c r="AG55" s="38">
        <v>13.9</v>
      </c>
      <c r="AL55" s="37"/>
      <c r="AO55" s="38"/>
      <c r="AP55" s="37"/>
      <c r="AS55" s="38"/>
      <c r="AW55" s="38"/>
      <c r="BA55" s="39"/>
    </row>
    <row r="56" spans="1:53" s="28" customFormat="1" x14ac:dyDescent="0.15">
      <c r="A56" s="28">
        <v>2016</v>
      </c>
      <c r="B56" s="301"/>
      <c r="C56" s="394" t="s">
        <v>1314</v>
      </c>
      <c r="D56" s="394"/>
      <c r="E56" s="28">
        <v>255</v>
      </c>
      <c r="F56" s="83"/>
      <c r="G56" s="65">
        <v>10</v>
      </c>
      <c r="I56" s="28">
        <v>4</v>
      </c>
      <c r="J56" s="72">
        <v>15</v>
      </c>
      <c r="K56" s="46">
        <f t="shared" si="14"/>
        <v>66.666666666666657</v>
      </c>
      <c r="L56" s="46">
        <f t="shared" si="15"/>
        <v>0</v>
      </c>
      <c r="M56" s="46">
        <f t="shared" si="16"/>
        <v>26.666666666666668</v>
      </c>
      <c r="N56" s="67">
        <f t="shared" si="17"/>
        <v>93.333333333333329</v>
      </c>
      <c r="O56" s="45">
        <v>43.6</v>
      </c>
      <c r="P56" s="46"/>
      <c r="Q56" s="46">
        <v>14.9</v>
      </c>
      <c r="R56" s="47">
        <f t="shared" ref="R56:R57" si="18">SUM(O56:Q56)</f>
        <v>58.5</v>
      </c>
      <c r="S56" s="28">
        <v>2</v>
      </c>
      <c r="T56" s="284"/>
      <c r="U56" s="293"/>
      <c r="V56" s="37" t="s">
        <v>1090</v>
      </c>
      <c r="W56" s="28" t="s">
        <v>87</v>
      </c>
      <c r="X56" s="28" t="s">
        <v>11</v>
      </c>
      <c r="Y56" s="38">
        <v>29.7</v>
      </c>
      <c r="Z56" s="28" t="s">
        <v>1097</v>
      </c>
      <c r="AA56" s="28" t="s">
        <v>97</v>
      </c>
      <c r="AB56" s="28" t="s">
        <v>12</v>
      </c>
      <c r="AC56" s="28">
        <v>14.9</v>
      </c>
      <c r="AD56" s="37" t="s">
        <v>1096</v>
      </c>
      <c r="AE56" s="28" t="s">
        <v>79</v>
      </c>
      <c r="AF56" s="28" t="s">
        <v>11</v>
      </c>
      <c r="AG56" s="38">
        <v>13.9</v>
      </c>
      <c r="AL56" s="37"/>
      <c r="AO56" s="38"/>
      <c r="AP56" s="37"/>
      <c r="AS56" s="38"/>
      <c r="AW56" s="38"/>
      <c r="BA56" s="39"/>
    </row>
    <row r="57" spans="1:53" s="28" customFormat="1" x14ac:dyDescent="0.15">
      <c r="A57" s="28">
        <v>2016</v>
      </c>
      <c r="B57" s="301">
        <v>42625</v>
      </c>
      <c r="C57" s="394" t="s">
        <v>1314</v>
      </c>
      <c r="D57" s="394"/>
      <c r="E57" s="28">
        <v>72</v>
      </c>
      <c r="F57" s="83">
        <v>0</v>
      </c>
      <c r="G57" s="65">
        <v>11</v>
      </c>
      <c r="I57" s="28">
        <v>4</v>
      </c>
      <c r="J57" s="72">
        <v>15</v>
      </c>
      <c r="K57" s="46">
        <f>G57/J57*100</f>
        <v>73.333333333333329</v>
      </c>
      <c r="L57" s="46">
        <f t="shared" ref="L57" si="19">H57/J57*100</f>
        <v>0</v>
      </c>
      <c r="M57" s="46">
        <f t="shared" ref="M57" si="20">I57/J57*100</f>
        <v>26.666666666666668</v>
      </c>
      <c r="N57" s="67">
        <f>SUM(K57:M57)</f>
        <v>100</v>
      </c>
      <c r="O57" s="45">
        <v>43.6</v>
      </c>
      <c r="P57" s="46"/>
      <c r="Q57" s="46">
        <v>14.9</v>
      </c>
      <c r="R57" s="47">
        <f t="shared" si="18"/>
        <v>58.5</v>
      </c>
      <c r="S57" s="28">
        <v>2</v>
      </c>
      <c r="T57" s="284"/>
      <c r="U57" s="293"/>
      <c r="V57" s="37" t="s">
        <v>1090</v>
      </c>
      <c r="W57" s="28" t="s">
        <v>87</v>
      </c>
      <c r="X57" s="28" t="s">
        <v>11</v>
      </c>
      <c r="Y57" s="38">
        <v>29.7</v>
      </c>
      <c r="Z57" s="28" t="s">
        <v>1097</v>
      </c>
      <c r="AA57" s="28" t="s">
        <v>97</v>
      </c>
      <c r="AB57" s="28" t="s">
        <v>12</v>
      </c>
      <c r="AC57" s="28">
        <v>14.9</v>
      </c>
      <c r="AD57" s="37" t="s">
        <v>1096</v>
      </c>
      <c r="AE57" s="28" t="s">
        <v>79</v>
      </c>
      <c r="AF57" s="28" t="s">
        <v>11</v>
      </c>
      <c r="AG57" s="38">
        <v>13.9</v>
      </c>
      <c r="AL57" s="37"/>
      <c r="AO57" s="38"/>
      <c r="AP57" s="37"/>
      <c r="AS57" s="38"/>
      <c r="AW57" s="38"/>
      <c r="BA57" s="39"/>
    </row>
    <row r="58" spans="1:53" s="170" customFormat="1" x14ac:dyDescent="0.15">
      <c r="A58" s="170">
        <v>2016</v>
      </c>
      <c r="B58" s="281">
        <v>42697</v>
      </c>
      <c r="C58" s="395" t="s">
        <v>1352</v>
      </c>
      <c r="D58" s="395"/>
      <c r="E58" s="170">
        <v>39</v>
      </c>
      <c r="F58" s="170">
        <v>5</v>
      </c>
      <c r="G58" s="232">
        <v>5</v>
      </c>
      <c r="H58" s="170">
        <v>5</v>
      </c>
      <c r="I58" s="170">
        <v>5</v>
      </c>
      <c r="J58" s="240">
        <v>15</v>
      </c>
      <c r="K58" s="213">
        <f t="shared" ref="K58" si="21">G58/J58*100</f>
        <v>33.333333333333329</v>
      </c>
      <c r="L58" s="213">
        <f t="shared" ref="L58" si="22">H58/J58*100</f>
        <v>33.333333333333329</v>
      </c>
      <c r="M58" s="213">
        <f t="shared" ref="M58" si="23">I58/J58*100</f>
        <v>33.333333333333329</v>
      </c>
      <c r="N58" s="234">
        <f>SUM(K58:M58)</f>
        <v>99.999999999999986</v>
      </c>
      <c r="O58" s="212">
        <v>13.9</v>
      </c>
      <c r="P58" s="213">
        <v>26.7</v>
      </c>
      <c r="Q58" s="213">
        <v>14.9</v>
      </c>
      <c r="R58" s="214">
        <f>SUM(O58:Q58)</f>
        <v>55.5</v>
      </c>
      <c r="S58" s="170">
        <v>2</v>
      </c>
      <c r="T58" s="283"/>
      <c r="U58" s="281">
        <v>42697</v>
      </c>
      <c r="V58" s="177" t="s">
        <v>1331</v>
      </c>
      <c r="W58" s="170" t="s">
        <v>99</v>
      </c>
      <c r="X58" s="170" t="s">
        <v>18</v>
      </c>
      <c r="Y58" s="178">
        <v>26.7</v>
      </c>
      <c r="Z58" s="170" t="s">
        <v>1097</v>
      </c>
      <c r="AA58" s="170" t="s">
        <v>97</v>
      </c>
      <c r="AB58" s="170" t="s">
        <v>12</v>
      </c>
      <c r="AC58" s="170">
        <v>14.9</v>
      </c>
      <c r="AD58" s="177" t="s">
        <v>1096</v>
      </c>
      <c r="AE58" s="170" t="s">
        <v>79</v>
      </c>
      <c r="AF58" s="170" t="s">
        <v>11</v>
      </c>
      <c r="AG58" s="178">
        <v>13.9</v>
      </c>
      <c r="AK58" s="178"/>
      <c r="AO58" s="178"/>
      <c r="AS58" s="178"/>
      <c r="AW58" s="178"/>
      <c r="BA58" s="179"/>
    </row>
    <row r="59" spans="1:53" s="170" customFormat="1" x14ac:dyDescent="0.15">
      <c r="A59" s="170">
        <v>2017</v>
      </c>
      <c r="B59" s="281"/>
      <c r="C59" s="395" t="s">
        <v>1352</v>
      </c>
      <c r="D59" s="395"/>
      <c r="E59" s="170">
        <v>0</v>
      </c>
      <c r="G59" s="232">
        <v>5</v>
      </c>
      <c r="H59" s="170">
        <v>5</v>
      </c>
      <c r="I59" s="170">
        <v>5</v>
      </c>
      <c r="J59" s="240">
        <v>15</v>
      </c>
      <c r="K59" s="213">
        <f t="shared" ref="K59:K60" si="24">G59/J59*100</f>
        <v>33.333333333333329</v>
      </c>
      <c r="L59" s="213">
        <f t="shared" ref="L59:L60" si="25">H59/J59*100</f>
        <v>33.333333333333329</v>
      </c>
      <c r="M59" s="213">
        <f t="shared" ref="M59:M60" si="26">I59/J59*100</f>
        <v>33.333333333333329</v>
      </c>
      <c r="N59" s="234">
        <f t="shared" ref="N59:N60" si="27">SUM(K59:M59)</f>
        <v>99.999999999999986</v>
      </c>
      <c r="O59" s="212">
        <v>13.9</v>
      </c>
      <c r="P59" s="213">
        <v>26.7</v>
      </c>
      <c r="Q59" s="213">
        <v>14.9</v>
      </c>
      <c r="R59" s="214">
        <f t="shared" ref="R59:R63" si="28">SUM(O59:Q59)</f>
        <v>55.5</v>
      </c>
      <c r="S59" s="170">
        <v>2</v>
      </c>
      <c r="T59" s="283"/>
      <c r="U59" s="281"/>
      <c r="V59" s="177" t="s">
        <v>1331</v>
      </c>
      <c r="W59" s="170" t="s">
        <v>99</v>
      </c>
      <c r="X59" s="170" t="s">
        <v>18</v>
      </c>
      <c r="Y59" s="178">
        <v>26.7</v>
      </c>
      <c r="Z59" s="170" t="s">
        <v>1097</v>
      </c>
      <c r="AA59" s="170" t="s">
        <v>97</v>
      </c>
      <c r="AB59" s="170" t="s">
        <v>12</v>
      </c>
      <c r="AC59" s="170">
        <v>14.9</v>
      </c>
      <c r="AD59" s="177" t="s">
        <v>1096</v>
      </c>
      <c r="AE59" s="170" t="s">
        <v>79</v>
      </c>
      <c r="AF59" s="170" t="s">
        <v>11</v>
      </c>
      <c r="AG59" s="178">
        <v>13.9</v>
      </c>
      <c r="AK59" s="178"/>
      <c r="AO59" s="178"/>
      <c r="AS59" s="178"/>
      <c r="AW59" s="178"/>
      <c r="BA59" s="179"/>
    </row>
    <row r="60" spans="1:53" s="170" customFormat="1" x14ac:dyDescent="0.15">
      <c r="A60" s="170">
        <v>2017</v>
      </c>
      <c r="B60" s="281"/>
      <c r="C60" s="395" t="s">
        <v>1352</v>
      </c>
      <c r="D60" s="395"/>
      <c r="E60" s="170">
        <v>365</v>
      </c>
      <c r="G60" s="232">
        <v>5</v>
      </c>
      <c r="H60" s="170">
        <v>5</v>
      </c>
      <c r="I60" s="170">
        <v>5</v>
      </c>
      <c r="J60" s="240">
        <v>15</v>
      </c>
      <c r="K60" s="213">
        <f t="shared" si="24"/>
        <v>33.333333333333329</v>
      </c>
      <c r="L60" s="213">
        <f t="shared" si="25"/>
        <v>33.333333333333329</v>
      </c>
      <c r="M60" s="213">
        <f t="shared" si="26"/>
        <v>33.333333333333329</v>
      </c>
      <c r="N60" s="234">
        <f t="shared" si="27"/>
        <v>99.999999999999986</v>
      </c>
      <c r="O60" s="212">
        <v>13.9</v>
      </c>
      <c r="P60" s="213">
        <v>26.7</v>
      </c>
      <c r="Q60" s="213">
        <v>14.9</v>
      </c>
      <c r="R60" s="214">
        <f t="shared" si="28"/>
        <v>55.5</v>
      </c>
      <c r="S60" s="170">
        <v>2</v>
      </c>
      <c r="T60" s="283"/>
      <c r="U60" s="281"/>
      <c r="V60" s="177" t="s">
        <v>1331</v>
      </c>
      <c r="W60" s="170" t="s">
        <v>99</v>
      </c>
      <c r="X60" s="170" t="s">
        <v>18</v>
      </c>
      <c r="Y60" s="178">
        <v>26.7</v>
      </c>
      <c r="Z60" s="170" t="s">
        <v>1097</v>
      </c>
      <c r="AA60" s="170" t="s">
        <v>97</v>
      </c>
      <c r="AB60" s="170" t="s">
        <v>12</v>
      </c>
      <c r="AC60" s="170">
        <v>14.9</v>
      </c>
      <c r="AD60" s="177" t="s">
        <v>1096</v>
      </c>
      <c r="AE60" s="170" t="s">
        <v>79</v>
      </c>
      <c r="AF60" s="170" t="s">
        <v>11</v>
      </c>
      <c r="AG60" s="178">
        <v>13.9</v>
      </c>
      <c r="AK60" s="178"/>
      <c r="AO60" s="178"/>
      <c r="AS60" s="178"/>
      <c r="AW60" s="178"/>
      <c r="BA60" s="179"/>
    </row>
    <row r="61" spans="1:53" s="170" customFormat="1" x14ac:dyDescent="0.15">
      <c r="A61" s="170">
        <v>2018</v>
      </c>
      <c r="B61" s="281"/>
      <c r="C61" s="395" t="s">
        <v>1352</v>
      </c>
      <c r="D61" s="395"/>
      <c r="E61" s="170">
        <v>0</v>
      </c>
      <c r="G61" s="232">
        <v>5</v>
      </c>
      <c r="H61" s="170">
        <v>5</v>
      </c>
      <c r="I61" s="170">
        <v>5</v>
      </c>
      <c r="J61" s="240">
        <v>15</v>
      </c>
      <c r="K61" s="213">
        <f t="shared" ref="K61:K62" si="29">G61/J61*100</f>
        <v>33.333333333333329</v>
      </c>
      <c r="L61" s="213">
        <f t="shared" ref="L61:L62" si="30">H61/J61*100</f>
        <v>33.333333333333329</v>
      </c>
      <c r="M61" s="213">
        <f t="shared" ref="M61:M62" si="31">I61/J61*100</f>
        <v>33.333333333333329</v>
      </c>
      <c r="N61" s="234">
        <f t="shared" ref="N61:N62" si="32">SUM(K61:M61)</f>
        <v>99.999999999999986</v>
      </c>
      <c r="O61" s="212">
        <v>13.9</v>
      </c>
      <c r="P61" s="213">
        <v>26.7</v>
      </c>
      <c r="Q61" s="213">
        <v>14.9</v>
      </c>
      <c r="R61" s="214">
        <f t="shared" si="28"/>
        <v>55.5</v>
      </c>
      <c r="S61" s="170">
        <v>2</v>
      </c>
      <c r="T61" s="283"/>
      <c r="U61" s="281"/>
      <c r="V61" s="177" t="s">
        <v>1331</v>
      </c>
      <c r="W61" s="170" t="s">
        <v>99</v>
      </c>
      <c r="X61" s="170" t="s">
        <v>18</v>
      </c>
      <c r="Y61" s="178">
        <v>26.7</v>
      </c>
      <c r="Z61" s="170" t="s">
        <v>1097</v>
      </c>
      <c r="AA61" s="170" t="s">
        <v>97</v>
      </c>
      <c r="AB61" s="170" t="s">
        <v>12</v>
      </c>
      <c r="AC61" s="170">
        <v>14.9</v>
      </c>
      <c r="AD61" s="177" t="s">
        <v>1096</v>
      </c>
      <c r="AE61" s="170" t="s">
        <v>79</v>
      </c>
      <c r="AF61" s="170" t="s">
        <v>11</v>
      </c>
      <c r="AG61" s="178">
        <v>13.9</v>
      </c>
      <c r="AK61" s="178"/>
      <c r="AO61" s="178"/>
      <c r="AS61" s="178"/>
      <c r="AW61" s="178"/>
      <c r="BA61" s="179"/>
    </row>
    <row r="62" spans="1:53" s="170" customFormat="1" x14ac:dyDescent="0.15">
      <c r="A62" s="170">
        <v>2018</v>
      </c>
      <c r="B62" s="281"/>
      <c r="C62" s="395" t="s">
        <v>1352</v>
      </c>
      <c r="D62" s="395"/>
      <c r="E62" s="170">
        <v>365</v>
      </c>
      <c r="G62" s="232">
        <v>5</v>
      </c>
      <c r="H62" s="170">
        <v>5</v>
      </c>
      <c r="I62" s="170">
        <v>5</v>
      </c>
      <c r="J62" s="240">
        <v>15</v>
      </c>
      <c r="K62" s="213">
        <f t="shared" si="29"/>
        <v>33.333333333333329</v>
      </c>
      <c r="L62" s="213">
        <f t="shared" si="30"/>
        <v>33.333333333333329</v>
      </c>
      <c r="M62" s="213">
        <f t="shared" si="31"/>
        <v>33.333333333333329</v>
      </c>
      <c r="N62" s="234">
        <f t="shared" si="32"/>
        <v>99.999999999999986</v>
      </c>
      <c r="O62" s="212">
        <v>13.9</v>
      </c>
      <c r="P62" s="213">
        <v>26.7</v>
      </c>
      <c r="Q62" s="213">
        <v>14.9</v>
      </c>
      <c r="R62" s="214">
        <f t="shared" si="28"/>
        <v>55.5</v>
      </c>
      <c r="S62" s="170">
        <v>2</v>
      </c>
      <c r="T62" s="283"/>
      <c r="U62" s="281"/>
      <c r="V62" s="177" t="s">
        <v>1331</v>
      </c>
      <c r="W62" s="170" t="s">
        <v>99</v>
      </c>
      <c r="X62" s="170" t="s">
        <v>18</v>
      </c>
      <c r="Y62" s="178">
        <v>26.7</v>
      </c>
      <c r="Z62" s="170" t="s">
        <v>1097</v>
      </c>
      <c r="AA62" s="170" t="s">
        <v>97</v>
      </c>
      <c r="AB62" s="170" t="s">
        <v>12</v>
      </c>
      <c r="AC62" s="170">
        <v>14.9</v>
      </c>
      <c r="AD62" s="177" t="s">
        <v>1096</v>
      </c>
      <c r="AE62" s="170" t="s">
        <v>79</v>
      </c>
      <c r="AF62" s="170" t="s">
        <v>11</v>
      </c>
      <c r="AG62" s="178">
        <v>13.9</v>
      </c>
      <c r="AK62" s="178"/>
      <c r="AO62" s="178"/>
      <c r="AS62" s="178"/>
      <c r="AW62" s="178"/>
      <c r="BA62" s="179"/>
    </row>
    <row r="63" spans="1:53" s="170" customFormat="1" x14ac:dyDescent="0.15">
      <c r="A63" s="170">
        <v>2019</v>
      </c>
      <c r="B63" s="281"/>
      <c r="C63" s="395" t="s">
        <v>1352</v>
      </c>
      <c r="D63" s="395"/>
      <c r="E63" s="170">
        <v>118</v>
      </c>
      <c r="G63" s="232">
        <v>5</v>
      </c>
      <c r="H63" s="170">
        <v>5</v>
      </c>
      <c r="I63" s="170">
        <v>5</v>
      </c>
      <c r="J63" s="240">
        <v>15</v>
      </c>
      <c r="K63" s="213">
        <f t="shared" ref="K63:K67" si="33">G63/J63*100</f>
        <v>33.333333333333329</v>
      </c>
      <c r="L63" s="213">
        <f t="shared" ref="L63:L69" si="34">H63/J63*100</f>
        <v>33.333333333333329</v>
      </c>
      <c r="M63" s="213">
        <f t="shared" ref="M63:M71" si="35">I63/J63*100</f>
        <v>33.333333333333329</v>
      </c>
      <c r="N63" s="234">
        <f t="shared" ref="N63:N69" si="36">SUM(K63:M63)</f>
        <v>99.999999999999986</v>
      </c>
      <c r="O63" s="212">
        <v>13.9</v>
      </c>
      <c r="P63" s="213">
        <v>26.7</v>
      </c>
      <c r="Q63" s="213">
        <v>14.9</v>
      </c>
      <c r="R63" s="214">
        <f t="shared" si="28"/>
        <v>55.5</v>
      </c>
      <c r="S63" s="170">
        <v>2</v>
      </c>
      <c r="T63" s="283"/>
      <c r="U63" s="281"/>
      <c r="V63" s="177" t="s">
        <v>1331</v>
      </c>
      <c r="W63" s="170" t="s">
        <v>99</v>
      </c>
      <c r="X63" s="170" t="s">
        <v>18</v>
      </c>
      <c r="Y63" s="178">
        <v>26.7</v>
      </c>
      <c r="Z63" s="170" t="s">
        <v>1097</v>
      </c>
      <c r="AA63" s="170" t="s">
        <v>97</v>
      </c>
      <c r="AB63" s="170" t="s">
        <v>12</v>
      </c>
      <c r="AC63" s="170">
        <v>14.9</v>
      </c>
      <c r="AD63" s="177" t="s">
        <v>1096</v>
      </c>
      <c r="AE63" s="170" t="s">
        <v>79</v>
      </c>
      <c r="AF63" s="170" t="s">
        <v>11</v>
      </c>
      <c r="AG63" s="178">
        <v>13.9</v>
      </c>
      <c r="AK63" s="178"/>
      <c r="AO63" s="178"/>
      <c r="AS63" s="178"/>
      <c r="AW63" s="178"/>
      <c r="BA63" s="179"/>
    </row>
    <row r="64" spans="1:53" s="28" customFormat="1" x14ac:dyDescent="0.15">
      <c r="A64" s="28">
        <v>2019</v>
      </c>
      <c r="B64" s="275">
        <v>43584</v>
      </c>
      <c r="C64" s="394" t="s">
        <v>1408</v>
      </c>
      <c r="D64" s="394"/>
      <c r="E64" s="28">
        <v>247</v>
      </c>
      <c r="F64" s="166">
        <v>1</v>
      </c>
      <c r="G64" s="65">
        <v>10</v>
      </c>
      <c r="H64" s="28">
        <v>5</v>
      </c>
      <c r="J64" s="72">
        <v>15</v>
      </c>
      <c r="K64" s="46">
        <f t="shared" si="33"/>
        <v>66.666666666666657</v>
      </c>
      <c r="L64" s="46">
        <f t="shared" si="34"/>
        <v>33.333333333333329</v>
      </c>
      <c r="M64" s="46">
        <f t="shared" si="35"/>
        <v>0</v>
      </c>
      <c r="N64" s="67">
        <f t="shared" si="36"/>
        <v>99.999999999999986</v>
      </c>
      <c r="O64" s="45">
        <v>30.7</v>
      </c>
      <c r="P64" s="46">
        <v>24.8</v>
      </c>
      <c r="Q64" s="46"/>
      <c r="R64" s="47">
        <f>SUM(O64:Q64)</f>
        <v>55.5</v>
      </c>
      <c r="S64" s="28">
        <v>2</v>
      </c>
      <c r="T64" s="284">
        <v>43527</v>
      </c>
      <c r="U64" s="293">
        <v>43584</v>
      </c>
      <c r="V64" s="37" t="s">
        <v>1331</v>
      </c>
      <c r="W64" s="28" t="s">
        <v>99</v>
      </c>
      <c r="X64" s="28" t="s">
        <v>18</v>
      </c>
      <c r="Y64" s="38">
        <v>24.8</v>
      </c>
      <c r="Z64" s="28" t="s">
        <v>1459</v>
      </c>
      <c r="AA64" s="28" t="s">
        <v>1134</v>
      </c>
      <c r="AB64" s="28" t="s">
        <v>11</v>
      </c>
      <c r="AC64" s="28">
        <v>18.8</v>
      </c>
      <c r="AD64" s="37" t="s">
        <v>1096</v>
      </c>
      <c r="AE64" s="28" t="s">
        <v>79</v>
      </c>
      <c r="AF64" s="28" t="s">
        <v>11</v>
      </c>
      <c r="AG64" s="38">
        <v>11.9</v>
      </c>
      <c r="AK64" s="38"/>
      <c r="AO64" s="38"/>
      <c r="AS64" s="38"/>
      <c r="AW64" s="38"/>
      <c r="BA64" s="39"/>
    </row>
    <row r="65" spans="1:53" s="28" customFormat="1" x14ac:dyDescent="0.15">
      <c r="A65" s="28">
        <v>2020</v>
      </c>
      <c r="B65" s="275"/>
      <c r="C65" s="394" t="s">
        <v>1408</v>
      </c>
      <c r="D65" s="394"/>
      <c r="E65" s="28">
        <v>0</v>
      </c>
      <c r="F65" s="339"/>
      <c r="G65" s="28">
        <v>10</v>
      </c>
      <c r="H65" s="28">
        <v>5</v>
      </c>
      <c r="J65" s="72">
        <v>15</v>
      </c>
      <c r="K65" s="46">
        <f t="shared" si="33"/>
        <v>66.666666666666657</v>
      </c>
      <c r="L65" s="46">
        <f t="shared" si="34"/>
        <v>33.333333333333329</v>
      </c>
      <c r="M65" s="46">
        <f t="shared" si="35"/>
        <v>0</v>
      </c>
      <c r="N65" s="67">
        <f t="shared" si="36"/>
        <v>99.999999999999986</v>
      </c>
      <c r="O65" s="45">
        <v>30.7</v>
      </c>
      <c r="P65" s="46">
        <v>24.8</v>
      </c>
      <c r="Q65" s="46"/>
      <c r="R65" s="47">
        <f t="shared" ref="R65:R69" si="37">SUM(O65:Q65)</f>
        <v>55.5</v>
      </c>
      <c r="S65" s="36">
        <v>2</v>
      </c>
      <c r="T65" s="284"/>
      <c r="U65" s="293"/>
      <c r="V65" s="37" t="s">
        <v>1331</v>
      </c>
      <c r="W65" s="28" t="s">
        <v>99</v>
      </c>
      <c r="X65" s="28" t="s">
        <v>18</v>
      </c>
      <c r="Y65" s="38">
        <v>24.8</v>
      </c>
      <c r="Z65" s="28" t="s">
        <v>1459</v>
      </c>
      <c r="AA65" s="28" t="s">
        <v>1134</v>
      </c>
      <c r="AB65" s="28" t="s">
        <v>11</v>
      </c>
      <c r="AC65" s="28">
        <v>18.8</v>
      </c>
      <c r="AD65" s="37" t="s">
        <v>1096</v>
      </c>
      <c r="AE65" s="28" t="s">
        <v>79</v>
      </c>
      <c r="AF65" s="28" t="s">
        <v>11</v>
      </c>
      <c r="AG65" s="38">
        <v>11.9</v>
      </c>
      <c r="AK65" s="38"/>
      <c r="AO65" s="38"/>
      <c r="AS65" s="38"/>
      <c r="AW65" s="38"/>
      <c r="BA65" s="39"/>
    </row>
    <row r="66" spans="1:53" s="28" customFormat="1" x14ac:dyDescent="0.15">
      <c r="A66" s="28">
        <v>2020</v>
      </c>
      <c r="B66" s="275"/>
      <c r="C66" s="394" t="s">
        <v>1408</v>
      </c>
      <c r="D66" s="394"/>
      <c r="E66" s="28">
        <v>366</v>
      </c>
      <c r="F66" s="339"/>
      <c r="G66" s="28">
        <v>10</v>
      </c>
      <c r="H66" s="28">
        <v>5</v>
      </c>
      <c r="J66" s="72">
        <v>15</v>
      </c>
      <c r="K66" s="46">
        <f t="shared" si="33"/>
        <v>66.666666666666657</v>
      </c>
      <c r="L66" s="46">
        <f t="shared" si="34"/>
        <v>33.333333333333329</v>
      </c>
      <c r="M66" s="46">
        <f t="shared" si="35"/>
        <v>0</v>
      </c>
      <c r="N66" s="67">
        <f t="shared" si="36"/>
        <v>99.999999999999986</v>
      </c>
      <c r="O66" s="45">
        <v>30.7</v>
      </c>
      <c r="P66" s="46">
        <v>24.8</v>
      </c>
      <c r="Q66" s="46"/>
      <c r="R66" s="47">
        <f t="shared" si="37"/>
        <v>55.5</v>
      </c>
      <c r="S66" s="36">
        <v>2</v>
      </c>
      <c r="T66" s="284"/>
      <c r="U66" s="293"/>
      <c r="V66" s="37" t="s">
        <v>1331</v>
      </c>
      <c r="W66" s="28" t="s">
        <v>99</v>
      </c>
      <c r="X66" s="28" t="s">
        <v>18</v>
      </c>
      <c r="Y66" s="38">
        <v>24.8</v>
      </c>
      <c r="Z66" s="28" t="s">
        <v>1459</v>
      </c>
      <c r="AA66" s="28" t="s">
        <v>1134</v>
      </c>
      <c r="AB66" s="28" t="s">
        <v>11</v>
      </c>
      <c r="AC66" s="28">
        <v>18.8</v>
      </c>
      <c r="AD66" s="37" t="s">
        <v>1096</v>
      </c>
      <c r="AE66" s="28" t="s">
        <v>79</v>
      </c>
      <c r="AF66" s="28" t="s">
        <v>11</v>
      </c>
      <c r="AG66" s="38">
        <v>11.9</v>
      </c>
      <c r="AK66" s="38"/>
      <c r="AO66" s="38"/>
      <c r="AS66" s="38"/>
      <c r="AW66" s="38"/>
      <c r="BA66" s="39"/>
    </row>
    <row r="67" spans="1:53" s="28" customFormat="1" x14ac:dyDescent="0.15">
      <c r="A67" s="28">
        <v>2021</v>
      </c>
      <c r="B67" s="275"/>
      <c r="C67" s="394" t="s">
        <v>1408</v>
      </c>
      <c r="D67" s="394"/>
      <c r="E67" s="28">
        <v>25</v>
      </c>
      <c r="F67" s="339"/>
      <c r="G67" s="28">
        <v>10</v>
      </c>
      <c r="H67" s="28">
        <v>5</v>
      </c>
      <c r="J67" s="72">
        <v>15</v>
      </c>
      <c r="K67" s="46">
        <f t="shared" si="33"/>
        <v>66.666666666666657</v>
      </c>
      <c r="L67" s="46">
        <f t="shared" si="34"/>
        <v>33.333333333333329</v>
      </c>
      <c r="M67" s="46">
        <f t="shared" si="35"/>
        <v>0</v>
      </c>
      <c r="N67" s="67">
        <f t="shared" si="36"/>
        <v>99.999999999999986</v>
      </c>
      <c r="O67" s="45">
        <v>30.7</v>
      </c>
      <c r="P67" s="46">
        <v>24.8</v>
      </c>
      <c r="Q67" s="46"/>
      <c r="R67" s="47">
        <f t="shared" si="37"/>
        <v>55.5</v>
      </c>
      <c r="S67" s="36">
        <v>2</v>
      </c>
      <c r="T67" s="284"/>
      <c r="U67" s="293"/>
      <c r="V67" s="37" t="s">
        <v>1331</v>
      </c>
      <c r="W67" s="28" t="s">
        <v>99</v>
      </c>
      <c r="X67" s="28" t="s">
        <v>18</v>
      </c>
      <c r="Y67" s="38">
        <v>24.8</v>
      </c>
      <c r="Z67" s="28" t="s">
        <v>1459</v>
      </c>
      <c r="AA67" s="28" t="s">
        <v>1134</v>
      </c>
      <c r="AB67" s="28" t="s">
        <v>11</v>
      </c>
      <c r="AC67" s="28">
        <v>18.8</v>
      </c>
      <c r="AD67" s="37" t="s">
        <v>1096</v>
      </c>
      <c r="AE67" s="28" t="s">
        <v>79</v>
      </c>
      <c r="AF67" s="28" t="s">
        <v>11</v>
      </c>
      <c r="AG67" s="38">
        <v>11.9</v>
      </c>
      <c r="AK67" s="38"/>
      <c r="AO67" s="38"/>
      <c r="AS67" s="38"/>
      <c r="AW67" s="38"/>
      <c r="BA67" s="39"/>
    </row>
    <row r="68" spans="1:53" s="170" customFormat="1" x14ac:dyDescent="0.15">
      <c r="A68" s="170">
        <v>2021</v>
      </c>
      <c r="B68" s="281">
        <v>44222</v>
      </c>
      <c r="C68" s="395" t="s">
        <v>1546</v>
      </c>
      <c r="D68" s="395"/>
      <c r="E68" s="170">
        <v>340</v>
      </c>
      <c r="F68" s="170">
        <v>2</v>
      </c>
      <c r="G68" s="232">
        <v>8</v>
      </c>
      <c r="H68" s="170">
        <v>7</v>
      </c>
      <c r="J68" s="240">
        <v>15</v>
      </c>
      <c r="K68" s="213">
        <f>G68/J68*100</f>
        <v>53.333333333333336</v>
      </c>
      <c r="L68" s="213">
        <f t="shared" si="34"/>
        <v>46.666666666666664</v>
      </c>
      <c r="M68" s="213">
        <f t="shared" si="35"/>
        <v>0</v>
      </c>
      <c r="N68" s="234">
        <f t="shared" si="36"/>
        <v>100</v>
      </c>
      <c r="O68" s="212">
        <v>33.700000000000003</v>
      </c>
      <c r="P68" s="213">
        <v>24.8</v>
      </c>
      <c r="Q68" s="213"/>
      <c r="R68" s="214">
        <f t="shared" si="37"/>
        <v>58.5</v>
      </c>
      <c r="S68" s="170">
        <v>2</v>
      </c>
      <c r="T68" s="283"/>
      <c r="U68" s="281">
        <v>44222</v>
      </c>
      <c r="V68" s="170" t="s">
        <v>1331</v>
      </c>
      <c r="W68" s="170" t="s">
        <v>99</v>
      </c>
      <c r="X68" s="170" t="s">
        <v>18</v>
      </c>
      <c r="Y68" s="170">
        <v>24.8</v>
      </c>
      <c r="Z68" s="170" t="s">
        <v>1090</v>
      </c>
      <c r="AA68" s="170" t="s">
        <v>87</v>
      </c>
      <c r="AB68" s="170" t="s">
        <v>11</v>
      </c>
      <c r="AC68" s="170">
        <v>33.700000000000003</v>
      </c>
      <c r="AD68" s="177"/>
      <c r="AG68" s="178"/>
      <c r="AK68" s="178"/>
      <c r="AO68" s="178"/>
      <c r="AS68" s="178"/>
      <c r="AW68" s="178"/>
      <c r="BA68" s="179"/>
    </row>
    <row r="69" spans="1:53" s="170" customFormat="1" x14ac:dyDescent="0.15">
      <c r="A69" s="170">
        <v>2022</v>
      </c>
      <c r="B69" s="281"/>
      <c r="C69" s="395" t="s">
        <v>1546</v>
      </c>
      <c r="D69" s="395"/>
      <c r="E69" s="170">
        <v>154</v>
      </c>
      <c r="G69" s="232">
        <v>8</v>
      </c>
      <c r="H69" s="170">
        <v>7</v>
      </c>
      <c r="J69" s="240">
        <v>15</v>
      </c>
      <c r="K69" s="213">
        <f>G69/J69*100</f>
        <v>53.333333333333336</v>
      </c>
      <c r="L69" s="213">
        <f t="shared" si="34"/>
        <v>46.666666666666664</v>
      </c>
      <c r="M69" s="213">
        <f>I69/J69*100</f>
        <v>0</v>
      </c>
      <c r="N69" s="234">
        <f t="shared" si="36"/>
        <v>100</v>
      </c>
      <c r="O69" s="212">
        <v>33.700000000000003</v>
      </c>
      <c r="P69" s="213">
        <v>24.8</v>
      </c>
      <c r="Q69" s="213"/>
      <c r="R69" s="214">
        <f t="shared" si="37"/>
        <v>58.5</v>
      </c>
      <c r="S69" s="170">
        <v>2</v>
      </c>
      <c r="T69" s="283"/>
      <c r="U69" s="281"/>
      <c r="V69" s="170" t="s">
        <v>1331</v>
      </c>
      <c r="W69" s="170" t="s">
        <v>99</v>
      </c>
      <c r="X69" s="170" t="s">
        <v>18</v>
      </c>
      <c r="Y69" s="170">
        <v>24.8</v>
      </c>
      <c r="Z69" s="170" t="s">
        <v>1090</v>
      </c>
      <c r="AA69" s="170" t="s">
        <v>87</v>
      </c>
      <c r="AB69" s="170" t="s">
        <v>11</v>
      </c>
      <c r="AC69" s="170">
        <v>33.700000000000003</v>
      </c>
      <c r="AD69" s="177"/>
      <c r="AG69" s="178"/>
      <c r="AK69" s="178"/>
      <c r="AO69" s="178"/>
      <c r="AS69" s="178"/>
      <c r="AW69" s="178"/>
      <c r="BA69" s="179"/>
    </row>
    <row r="70" spans="1:53" s="28" customFormat="1" x14ac:dyDescent="0.15">
      <c r="A70" s="28">
        <v>2022</v>
      </c>
      <c r="B70" s="275">
        <v>44715</v>
      </c>
      <c r="C70" s="394" t="s">
        <v>1547</v>
      </c>
      <c r="D70" s="394"/>
      <c r="E70" s="28">
        <v>45</v>
      </c>
      <c r="F70" s="339">
        <v>4</v>
      </c>
      <c r="G70" s="28">
        <v>8</v>
      </c>
      <c r="J70" s="72">
        <v>8</v>
      </c>
      <c r="K70" s="46">
        <f>G70/J70*100</f>
        <v>100</v>
      </c>
      <c r="L70" s="46">
        <v>0</v>
      </c>
      <c r="M70" s="46">
        <f t="shared" si="35"/>
        <v>0</v>
      </c>
      <c r="N70" s="67">
        <v>100</v>
      </c>
      <c r="O70" s="45">
        <v>33.700000000000003</v>
      </c>
      <c r="P70" s="46"/>
      <c r="Q70" s="46"/>
      <c r="R70" s="47">
        <f>SUM(O70:Q70)</f>
        <v>33.700000000000003</v>
      </c>
      <c r="S70" s="36">
        <v>2</v>
      </c>
      <c r="T70" s="284"/>
      <c r="U70" s="275"/>
      <c r="V70" s="28" t="s">
        <v>1090</v>
      </c>
      <c r="W70" s="28" t="s">
        <v>87</v>
      </c>
      <c r="X70" s="28" t="s">
        <v>11</v>
      </c>
      <c r="Y70" s="28">
        <v>33.700000000000003</v>
      </c>
      <c r="AD70" s="37"/>
      <c r="AG70" s="38"/>
      <c r="AK70" s="38"/>
      <c r="AO70" s="38"/>
      <c r="AS70" s="38"/>
      <c r="AW70" s="38"/>
      <c r="BA70" s="39"/>
    </row>
    <row r="71" spans="1:53" s="170" customFormat="1" x14ac:dyDescent="0.15">
      <c r="A71" s="170">
        <v>2022</v>
      </c>
      <c r="B71" s="281">
        <v>44760</v>
      </c>
      <c r="C71" s="395" t="s">
        <v>1548</v>
      </c>
      <c r="D71" s="395"/>
      <c r="E71" s="170">
        <v>166</v>
      </c>
      <c r="F71" s="170">
        <v>7</v>
      </c>
      <c r="G71" s="232">
        <v>10</v>
      </c>
      <c r="I71" s="170">
        <v>5</v>
      </c>
      <c r="J71" s="240">
        <v>15</v>
      </c>
      <c r="K71" s="213">
        <f>G71/J71*100</f>
        <v>66.666666666666657</v>
      </c>
      <c r="L71" s="213">
        <v>0</v>
      </c>
      <c r="M71" s="213">
        <f t="shared" si="35"/>
        <v>33.333333333333329</v>
      </c>
      <c r="N71" s="234">
        <v>100</v>
      </c>
      <c r="O71" s="212">
        <v>44.6</v>
      </c>
      <c r="P71" s="213"/>
      <c r="Q71" s="213">
        <v>8.9</v>
      </c>
      <c r="R71" s="214">
        <f>SUM(O71:Q71)</f>
        <v>53.5</v>
      </c>
      <c r="S71" s="170">
        <v>2</v>
      </c>
      <c r="T71" s="283"/>
      <c r="U71" s="281">
        <v>44760</v>
      </c>
      <c r="V71" s="170" t="s">
        <v>1090</v>
      </c>
      <c r="W71" s="170" t="s">
        <v>87</v>
      </c>
      <c r="X71" s="170" t="s">
        <v>11</v>
      </c>
      <c r="Y71" s="170">
        <v>33.700000000000003</v>
      </c>
      <c r="Z71" s="170" t="s">
        <v>1097</v>
      </c>
      <c r="AA71" s="170" t="s">
        <v>97</v>
      </c>
      <c r="AB71" s="170" t="s">
        <v>12</v>
      </c>
      <c r="AC71" s="170">
        <v>8.9</v>
      </c>
      <c r="AD71" s="177" t="s">
        <v>1096</v>
      </c>
      <c r="AE71" s="170" t="s">
        <v>79</v>
      </c>
      <c r="AF71" s="170" t="s">
        <v>11</v>
      </c>
      <c r="AG71" s="178">
        <v>10.9</v>
      </c>
      <c r="AK71" s="178"/>
      <c r="AO71" s="178"/>
      <c r="AS71" s="178"/>
      <c r="AW71" s="178"/>
      <c r="BA71" s="179"/>
    </row>
    <row r="72" spans="1:53" x14ac:dyDescent="0.15">
      <c r="A72" s="28"/>
      <c r="AD72" s="351"/>
      <c r="AG72" s="16"/>
    </row>
    <row r="73" spans="1:53" ht="18" customHeight="1" x14ac:dyDescent="0.15">
      <c r="B73" s="15" t="s">
        <v>1262</v>
      </c>
    </row>
    <row r="74" spans="1:53" ht="9" customHeight="1" x14ac:dyDescent="0.15"/>
    <row r="75" spans="1:53" s="194" customFormat="1" ht="9" customHeight="1" x14ac:dyDescent="0.15">
      <c r="A75" s="1"/>
      <c r="B75" s="193" t="s">
        <v>1213</v>
      </c>
      <c r="C75" s="193"/>
      <c r="D75" s="193"/>
      <c r="E75" s="193"/>
      <c r="F75" s="193"/>
      <c r="G75" s="193" t="s">
        <v>1214</v>
      </c>
      <c r="H75" s="193"/>
      <c r="I75" s="193"/>
      <c r="J75" s="193"/>
      <c r="K75" s="193"/>
      <c r="L75" s="193"/>
      <c r="M75" s="193"/>
      <c r="N75" s="193"/>
      <c r="R75" s="386" t="s">
        <v>1215</v>
      </c>
      <c r="S75" s="386"/>
      <c r="T75" s="386"/>
      <c r="U75" s="386"/>
      <c r="V75" s="386"/>
      <c r="W75" s="386"/>
      <c r="X75" s="195"/>
      <c r="Y75" s="195"/>
      <c r="AA75" s="195"/>
      <c r="AB75" s="195"/>
      <c r="AC75" s="195"/>
      <c r="AD75" s="195"/>
    </row>
    <row r="76" spans="1:53" s="199" customFormat="1" ht="9" customHeight="1" x14ac:dyDescent="0.15">
      <c r="A76" s="192"/>
      <c r="B76" s="197" t="s">
        <v>1217</v>
      </c>
      <c r="C76" s="198"/>
      <c r="D76" s="198"/>
      <c r="E76" s="198"/>
      <c r="F76" s="198"/>
      <c r="G76" s="197" t="s">
        <v>1216</v>
      </c>
      <c r="H76" s="198"/>
      <c r="I76" s="198"/>
      <c r="J76" s="198"/>
      <c r="K76" s="198"/>
      <c r="L76" s="198"/>
      <c r="M76" s="198"/>
      <c r="N76" s="198"/>
      <c r="R76" s="200" t="s">
        <v>1218</v>
      </c>
      <c r="S76" s="201"/>
      <c r="T76" s="202"/>
      <c r="U76" s="202"/>
      <c r="V76" s="202"/>
      <c r="W76" s="200" t="s">
        <v>1219</v>
      </c>
      <c r="X76" s="202"/>
      <c r="Y76" s="202"/>
      <c r="AA76" s="202"/>
      <c r="AB76" s="202"/>
      <c r="AC76" s="202"/>
      <c r="AD76" s="202"/>
    </row>
    <row r="77" spans="1:53" s="185" customFormat="1" ht="12" customHeight="1" x14ac:dyDescent="0.15">
      <c r="A77" s="196"/>
      <c r="B77" s="204" t="s">
        <v>8</v>
      </c>
      <c r="C77" s="204" t="s">
        <v>9</v>
      </c>
      <c r="D77" s="204" t="s">
        <v>10</v>
      </c>
      <c r="E77" s="205" t="s">
        <v>1193</v>
      </c>
      <c r="F77" s="204"/>
      <c r="G77" s="185" t="s">
        <v>3</v>
      </c>
      <c r="H77" s="387" t="s">
        <v>0</v>
      </c>
      <c r="I77" s="387"/>
      <c r="J77" s="387" t="s">
        <v>1</v>
      </c>
      <c r="K77" s="387"/>
      <c r="L77" s="387" t="s">
        <v>2</v>
      </c>
      <c r="M77" s="387"/>
      <c r="N77" s="388" t="s">
        <v>1193</v>
      </c>
      <c r="O77" s="388"/>
      <c r="P77" s="206"/>
      <c r="Q77" s="206"/>
      <c r="R77" s="207" t="s">
        <v>3</v>
      </c>
      <c r="S77" s="208" t="s">
        <v>135</v>
      </c>
      <c r="T77" s="206" t="s">
        <v>133</v>
      </c>
      <c r="U77" s="204" t="s">
        <v>134</v>
      </c>
      <c r="V77" s="206"/>
      <c r="W77" s="209" t="s">
        <v>26</v>
      </c>
    </row>
    <row r="78" spans="1:53" x14ac:dyDescent="0.15">
      <c r="A78" s="203" t="s">
        <v>3</v>
      </c>
      <c r="C78" s="5"/>
      <c r="D78" s="5"/>
      <c r="E78" s="17"/>
      <c r="G78" s="1">
        <v>1990</v>
      </c>
      <c r="H78" s="392"/>
      <c r="I78" s="392"/>
      <c r="J78" s="392"/>
      <c r="K78" s="392"/>
      <c r="L78" s="392"/>
      <c r="M78" s="392"/>
      <c r="N78" s="363"/>
      <c r="O78" s="363"/>
      <c r="R78" s="1">
        <v>1990</v>
      </c>
    </row>
    <row r="79" spans="1:53" x14ac:dyDescent="0.15">
      <c r="A79" s="1">
        <v>1990</v>
      </c>
      <c r="C79" s="5"/>
      <c r="D79" s="5"/>
      <c r="E79" s="17"/>
      <c r="G79" s="1">
        <v>1991</v>
      </c>
      <c r="H79" s="392"/>
      <c r="I79" s="392"/>
      <c r="J79" s="392"/>
      <c r="K79" s="392"/>
      <c r="L79" s="392"/>
      <c r="M79" s="392"/>
      <c r="N79" s="363"/>
      <c r="O79" s="363"/>
      <c r="R79" s="1">
        <v>1991</v>
      </c>
    </row>
    <row r="80" spans="1:53" x14ac:dyDescent="0.15">
      <c r="A80" s="1">
        <v>1991</v>
      </c>
      <c r="Y80" s="26" t="s">
        <v>1137</v>
      </c>
    </row>
    <row r="81" spans="1:23" x14ac:dyDescent="0.15">
      <c r="A81" s="1">
        <v>1992</v>
      </c>
      <c r="B81" s="5">
        <f>(K7*($E7/72))</f>
        <v>50</v>
      </c>
      <c r="C81" s="5">
        <f>(L7*($E7/72))</f>
        <v>0</v>
      </c>
      <c r="D81" s="5">
        <f>(M7*($E7/72))</f>
        <v>21.428571428571427</v>
      </c>
      <c r="E81" s="17">
        <f>SUM(B81:D81)</f>
        <v>71.428571428571431</v>
      </c>
      <c r="G81" s="1">
        <v>1992</v>
      </c>
      <c r="H81" s="362">
        <f>(O7/$R7*100*($E7/72))</f>
        <v>76.43564356435644</v>
      </c>
      <c r="I81" s="362"/>
      <c r="J81" s="362">
        <f>(P7/$R7*100*($E7/72))</f>
        <v>0</v>
      </c>
      <c r="K81" s="362"/>
      <c r="L81" s="362">
        <f>(Q7/$R7*100*($E7/72))</f>
        <v>23.564356435643568</v>
      </c>
      <c r="M81" s="362"/>
      <c r="N81" s="363">
        <f>SUM(H81:M81)</f>
        <v>100</v>
      </c>
      <c r="O81" s="363"/>
      <c r="R81" s="1">
        <v>1992</v>
      </c>
      <c r="S81" s="5">
        <f>(O7*($E7/72))</f>
        <v>38.6</v>
      </c>
      <c r="T81" s="5">
        <f>(P7*($E7/72))</f>
        <v>0</v>
      </c>
      <c r="U81" s="5">
        <f>(Q7*($E7/72))</f>
        <v>11.9</v>
      </c>
      <c r="W81" s="4">
        <f>SUM(S81:U81)</f>
        <v>50.5</v>
      </c>
    </row>
    <row r="82" spans="1:23" x14ac:dyDescent="0.15">
      <c r="A82" s="1">
        <v>1993</v>
      </c>
      <c r="B82" s="5">
        <f>(K8*($E8/365))+(K9*($E9/365))</f>
        <v>50</v>
      </c>
      <c r="C82" s="5">
        <f>(L8*($E8/365))+(L9*($E9/365))</f>
        <v>0</v>
      </c>
      <c r="D82" s="5">
        <f>(M8*($E8/365))+(M9*($E9/365))</f>
        <v>21.428571428571427</v>
      </c>
      <c r="E82" s="17">
        <f t="shared" ref="E82:E101" si="38">SUM(B82:D82)</f>
        <v>71.428571428571431</v>
      </c>
      <c r="G82" s="1">
        <v>1993</v>
      </c>
      <c r="H82" s="362">
        <f>(O8/$R8*100*($E8/365))+(O9/$R9*100*($E9/365))</f>
        <v>76.43564356435644</v>
      </c>
      <c r="I82" s="362"/>
      <c r="J82" s="362">
        <f>(P8/$R8*100*($E8/365))+(P9/$R9*100*($E9/365))</f>
        <v>0</v>
      </c>
      <c r="K82" s="362"/>
      <c r="L82" s="362">
        <f>(Q8/$R8*100*($E8/365))+(Q9/$R9*100*($E9/365))</f>
        <v>23.564356435643568</v>
      </c>
      <c r="M82" s="362"/>
      <c r="N82" s="363">
        <f t="shared" ref="N82:N101" si="39">SUM(H82:M82)</f>
        <v>100</v>
      </c>
      <c r="O82" s="363"/>
      <c r="R82" s="1">
        <v>1993</v>
      </c>
      <c r="S82" s="5">
        <f>(O8*($E8/365))+(O9*($E9/365))</f>
        <v>38.6</v>
      </c>
      <c r="T82" s="5">
        <f>(P8*($E8/365))+(P9*($E9/365))</f>
        <v>0</v>
      </c>
      <c r="U82" s="5">
        <f>(Q8*($E8/365))+(Q9*($E9/365))</f>
        <v>11.9</v>
      </c>
      <c r="W82" s="4">
        <f t="shared" ref="W82:W101" si="40">SUM(S82:U82)</f>
        <v>50.5</v>
      </c>
    </row>
    <row r="83" spans="1:23" x14ac:dyDescent="0.15">
      <c r="A83" s="1">
        <v>1994</v>
      </c>
      <c r="B83" s="5">
        <f>(K10*($E10/365))+(K11*($E11/365))</f>
        <v>50.000000000000007</v>
      </c>
      <c r="C83" s="5">
        <f>(L10*($E10/365))+(L11*($E11/365))</f>
        <v>0</v>
      </c>
      <c r="D83" s="5">
        <f>(M10*($E10/365))+(M11*($E11/365))</f>
        <v>21.428571428571427</v>
      </c>
      <c r="E83" s="17">
        <f t="shared" si="38"/>
        <v>71.428571428571431</v>
      </c>
      <c r="G83" s="1">
        <v>1994</v>
      </c>
      <c r="H83" s="362">
        <f>(O10/$R10*100*($E10/365))+(O11/$R11*100*($E11/365))</f>
        <v>76.43564356435644</v>
      </c>
      <c r="I83" s="362"/>
      <c r="J83" s="362">
        <f>(P10/$R10*100*($E10/365))+(P11/$R11*100*($E11/365))</f>
        <v>0</v>
      </c>
      <c r="K83" s="362"/>
      <c r="L83" s="362">
        <f>(Q10/$R10*100*($E10/365))+(Q11/$R11*100*($E11/365))</f>
        <v>23.564356435643568</v>
      </c>
      <c r="M83" s="362"/>
      <c r="N83" s="363">
        <f t="shared" si="39"/>
        <v>100</v>
      </c>
      <c r="O83" s="363"/>
      <c r="R83" s="1">
        <v>1994</v>
      </c>
      <c r="S83" s="5">
        <f>(O10*($E10/365))+(O11*($E11/365))</f>
        <v>38.6</v>
      </c>
      <c r="T83" s="5">
        <f>(P10*($E10/365))+(P11*($E11/365))</f>
        <v>0</v>
      </c>
      <c r="U83" s="5">
        <f>(Q10*($E10/365))+(Q11*($E11/365))</f>
        <v>11.9</v>
      </c>
      <c r="W83" s="4">
        <f t="shared" si="40"/>
        <v>50.5</v>
      </c>
    </row>
    <row r="84" spans="1:23" x14ac:dyDescent="0.15">
      <c r="A84" s="1">
        <v>1995</v>
      </c>
      <c r="B84" s="5">
        <f>(K12*($E12/365))+(K13*($E13/365))+(K14*($E14/365))</f>
        <v>20.986301369863014</v>
      </c>
      <c r="C84" s="5">
        <f>(L12*($E12/365))+(L13*($E13/365))+(L14*($E14/365))</f>
        <v>19.569471624266143</v>
      </c>
      <c r="D84" s="5">
        <f>(M12*($E12/365))+(M13*($E13/365))+(M14*($E14/365))</f>
        <v>51.146771037181999</v>
      </c>
      <c r="E84" s="17">
        <f t="shared" si="38"/>
        <v>91.702544031311163</v>
      </c>
      <c r="G84" s="1">
        <v>1995</v>
      </c>
      <c r="H84" s="362">
        <f>(O12/$R12*100*($E12/365))+(O13/$R13*100*($E13/365))+(O14/$R14*100*($E14/365))</f>
        <v>27.31374872647082</v>
      </c>
      <c r="I84" s="362"/>
      <c r="J84" s="362">
        <f>(P12/$R12*100*($E12/365))+(P13/$R13*100*($E13/365))+(P14/$R14*100*($E14/365))</f>
        <v>15.350238025842803</v>
      </c>
      <c r="K84" s="362"/>
      <c r="L84" s="362">
        <f>(Q12/$R12*100*($E12/365))+(Q13/$R13*100*($E13/365))+(Q14/$R14*100*($E14/365))</f>
        <v>57.336013247686374</v>
      </c>
      <c r="M84" s="362"/>
      <c r="N84" s="363">
        <f t="shared" si="39"/>
        <v>100</v>
      </c>
      <c r="O84" s="363"/>
      <c r="R84" s="1">
        <v>1995</v>
      </c>
      <c r="S84" s="5">
        <f>(O12*($E12/365))+(O13*($E13/365))+(O14*($E14/365))</f>
        <v>14.248767123287671</v>
      </c>
      <c r="T84" s="5">
        <f>(P12*($E12/365))+(P13*($E13/365))+(P14*($E14/365))</f>
        <v>8.6575342465753415</v>
      </c>
      <c r="U84" s="5">
        <f>(Q12*($E12/365))+(Q13*($E13/365))+(Q14*($E14/365))</f>
        <v>32.265205479452057</v>
      </c>
      <c r="W84" s="4">
        <f t="shared" si="40"/>
        <v>55.171506849315065</v>
      </c>
    </row>
    <row r="85" spans="1:23" x14ac:dyDescent="0.15">
      <c r="A85" s="1">
        <v>1996</v>
      </c>
      <c r="B85" s="5">
        <f>(K15*($E15/366))+(K16*($E16/366))</f>
        <v>40</v>
      </c>
      <c r="C85" s="5">
        <f>(L15*($E15/366))+(L16*($E16/366))</f>
        <v>0</v>
      </c>
      <c r="D85" s="5">
        <f>(M15*($E15/366))+(M16*($E16/366))</f>
        <v>60</v>
      </c>
      <c r="E85" s="17">
        <f t="shared" si="38"/>
        <v>100</v>
      </c>
      <c r="G85" s="1">
        <v>1996</v>
      </c>
      <c r="H85" s="362">
        <f>(O15/$R15*100*($E15/366))+(O16/$R16*100*($E16/366))</f>
        <v>31.649831649831651</v>
      </c>
      <c r="I85" s="362"/>
      <c r="J85" s="362">
        <f>(P15/$R15*100*($E15/366))+(P16/$R16*100*($E16/366))</f>
        <v>0</v>
      </c>
      <c r="K85" s="362"/>
      <c r="L85" s="362">
        <f>(Q15/$R15*100*($E15/366))+(Q16/$R16*100*($E16/366))</f>
        <v>68.350168350168346</v>
      </c>
      <c r="M85" s="362"/>
      <c r="N85" s="363">
        <f t="shared" si="39"/>
        <v>100</v>
      </c>
      <c r="O85" s="363"/>
      <c r="R85" s="1">
        <v>1996</v>
      </c>
      <c r="S85" s="5">
        <f>(O15*($E15/366))+(O16*($E16/366))</f>
        <v>18.8</v>
      </c>
      <c r="T85" s="5">
        <f>(P15*($E15/366))+(P16*($E16/366))</f>
        <v>0</v>
      </c>
      <c r="U85" s="5">
        <f>(Q15*($E15/366))+(Q16*($E16/366))</f>
        <v>40.6</v>
      </c>
      <c r="W85" s="4">
        <f t="shared" si="40"/>
        <v>59.400000000000006</v>
      </c>
    </row>
    <row r="86" spans="1:23" x14ac:dyDescent="0.15">
      <c r="A86" s="1">
        <v>1997</v>
      </c>
      <c r="B86" s="5">
        <f>(K17*($E17/365))+(K18*($E18/365))</f>
        <v>8.2191780821917799</v>
      </c>
      <c r="C86" s="5">
        <f>(L17*($E17/365))+(L18*($E18/365))</f>
        <v>0</v>
      </c>
      <c r="D86" s="5">
        <f>(M17*($E17/365))+(M18*($E18/365))</f>
        <v>74.755381604696666</v>
      </c>
      <c r="E86" s="17">
        <f t="shared" si="38"/>
        <v>82.974559686888441</v>
      </c>
      <c r="G86" s="1">
        <v>1997</v>
      </c>
      <c r="H86" s="362">
        <f>(O17/$R17*100*($E17/365))+(O18/$R18*100*($E18/365))</f>
        <v>6.5033900650339005</v>
      </c>
      <c r="I86" s="362"/>
      <c r="J86" s="362">
        <f>(P17/$R17*100*($E17/365))+(P18/$R18*100*($E18/365))</f>
        <v>0</v>
      </c>
      <c r="K86" s="362"/>
      <c r="L86" s="362">
        <f>(Q17/$R17*100*($E17/365))+(Q18/$R18*100*($E18/365))</f>
        <v>93.496609934966102</v>
      </c>
      <c r="M86" s="362"/>
      <c r="N86" s="363">
        <f t="shared" si="39"/>
        <v>100</v>
      </c>
      <c r="O86" s="363"/>
      <c r="R86" s="1">
        <v>1997</v>
      </c>
      <c r="S86" s="5">
        <f>(O17*($E17/365))+(O18*($E18/365))</f>
        <v>3.8630136986301369</v>
      </c>
      <c r="T86" s="5">
        <f>(P17*($E17/365))+(P18*($E18/365))</f>
        <v>0</v>
      </c>
      <c r="U86" s="5">
        <f>(Q17*($E17/365))+(Q18*($E18/365))</f>
        <v>40.599999999999994</v>
      </c>
      <c r="W86" s="4">
        <f t="shared" si="40"/>
        <v>44.463013698630128</v>
      </c>
    </row>
    <row r="87" spans="1:23" x14ac:dyDescent="0.15">
      <c r="A87" s="1">
        <v>1998</v>
      </c>
      <c r="B87" s="5">
        <f>(K19*($E19/365))+(K20*($E20/365))</f>
        <v>0</v>
      </c>
      <c r="C87" s="5">
        <f>(L19*($E19/365))+(L20*($E20/365))</f>
        <v>0</v>
      </c>
      <c r="D87" s="5">
        <f>(M19*($E19/365))+(M20*($E20/365))</f>
        <v>78.571428571428569</v>
      </c>
      <c r="E87" s="17">
        <f t="shared" si="38"/>
        <v>78.571428571428569</v>
      </c>
      <c r="G87" s="1">
        <v>1998</v>
      </c>
      <c r="H87" s="362">
        <f>(O19/$R19*100*($E19/365))+(O20/$R20*100*($E20/365))</f>
        <v>0</v>
      </c>
      <c r="I87" s="362"/>
      <c r="J87" s="362">
        <f>(P19/$R19*100*($E19/365))+(P20/$R20*100*($E20/365))</f>
        <v>0</v>
      </c>
      <c r="K87" s="362"/>
      <c r="L87" s="362">
        <f>(Q19/$R19*100*($E19/365))+(Q20/$R20*100*($E20/365))</f>
        <v>100</v>
      </c>
      <c r="M87" s="362"/>
      <c r="N87" s="363">
        <f t="shared" si="39"/>
        <v>100</v>
      </c>
      <c r="O87" s="363"/>
      <c r="R87" s="1">
        <v>1998</v>
      </c>
      <c r="S87" s="5">
        <f>(O19*($E19/365))+(O20*($E20/365))</f>
        <v>0</v>
      </c>
      <c r="T87" s="5">
        <f>(P19*($E19/365))+(P20*($E20/365))</f>
        <v>0</v>
      </c>
      <c r="U87" s="5">
        <f>(Q19*($E19/365))+(Q20*($E20/365))</f>
        <v>40.6</v>
      </c>
      <c r="W87" s="4">
        <f t="shared" si="40"/>
        <v>40.6</v>
      </c>
    </row>
    <row r="88" spans="1:23" x14ac:dyDescent="0.15">
      <c r="A88" s="1">
        <v>1999</v>
      </c>
      <c r="B88" s="5">
        <f>(K21*($E21/365))+(K22*($E22/365))</f>
        <v>51.506849315068486</v>
      </c>
      <c r="C88" s="5">
        <f>(L21*($E21/365))+(L22*($E22/365))</f>
        <v>0</v>
      </c>
      <c r="D88" s="5">
        <f>(M21*($E21/365))+(M22*($E22/365))</f>
        <v>43.620352250489233</v>
      </c>
      <c r="E88" s="17">
        <f t="shared" si="38"/>
        <v>95.127201565557726</v>
      </c>
      <c r="G88" s="1">
        <v>1999</v>
      </c>
      <c r="H88" s="362">
        <f>(O21/$R21*100*($E21/365))+(O22/$R22*100*($E22/365))</f>
        <v>52.489804454669034</v>
      </c>
      <c r="I88" s="362"/>
      <c r="J88" s="362">
        <f>(P21/$R21*100*($E21/365))+(P22/$R22*100*($E22/365))</f>
        <v>0</v>
      </c>
      <c r="K88" s="362"/>
      <c r="L88" s="362">
        <f>(Q21/$R21*100*($E21/365))+(Q22/$R22*100*($E22/365))</f>
        <v>47.510195545330959</v>
      </c>
      <c r="M88" s="362"/>
      <c r="N88" s="363">
        <f t="shared" si="39"/>
        <v>100</v>
      </c>
      <c r="O88" s="363"/>
      <c r="R88" s="1">
        <v>1999</v>
      </c>
      <c r="S88" s="5">
        <f>(O21*($E21/365))+(O22*($E22/365))</f>
        <v>27.504657534246579</v>
      </c>
      <c r="T88" s="5">
        <f>(P21*($E21/365))+(P22*($E22/365))</f>
        <v>0</v>
      </c>
      <c r="U88" s="5">
        <f>(Q21*($E21/365))+(Q22*($E22/365))</f>
        <v>22.212054794520547</v>
      </c>
      <c r="W88" s="4">
        <f t="shared" si="40"/>
        <v>49.71671232876713</v>
      </c>
    </row>
    <row r="89" spans="1:23" x14ac:dyDescent="0.15">
      <c r="A89" s="1">
        <v>2000</v>
      </c>
      <c r="B89" s="5">
        <f>(K23*($E23/366))+(K24*($E24/366))</f>
        <v>66.666666666666657</v>
      </c>
      <c r="C89" s="5">
        <f>(L23*($E23/366))+(L24*($E24/366))</f>
        <v>0</v>
      </c>
      <c r="D89" s="5">
        <f>(M23*($E23/366))+(M24*($E24/366))</f>
        <v>33.333333333333329</v>
      </c>
      <c r="E89" s="17">
        <f t="shared" si="38"/>
        <v>99.999999999999986</v>
      </c>
      <c r="G89" s="1">
        <v>2000</v>
      </c>
      <c r="H89" s="362">
        <f>(O23/$R23*100*($E23/366))+(O24/$R24*100*($E24/366))</f>
        <v>67.938931297709914</v>
      </c>
      <c r="I89" s="362"/>
      <c r="J89" s="362">
        <f>(P23/$R23*100*($E23/366))+(P24/$R24*100*($E24/366))</f>
        <v>0</v>
      </c>
      <c r="K89" s="362"/>
      <c r="L89" s="362">
        <f>(Q23/$R23*100*($E23/366))+(Q24/$R24*100*($E24/366))</f>
        <v>32.061068702290072</v>
      </c>
      <c r="M89" s="362"/>
      <c r="N89" s="363">
        <f t="shared" si="39"/>
        <v>99.999999999999986</v>
      </c>
      <c r="O89" s="363"/>
      <c r="R89" s="1">
        <v>2000</v>
      </c>
      <c r="S89" s="5">
        <f>(O23*($E23/366))+(O24*($E24/366))</f>
        <v>35.6</v>
      </c>
      <c r="T89" s="5">
        <f>(P23*($E23/366))+(P24*($E24/366))</f>
        <v>0</v>
      </c>
      <c r="U89" s="5">
        <f>(Q23*($E23/366))+(Q24*($E24/366))</f>
        <v>16.8</v>
      </c>
      <c r="W89" s="4">
        <f t="shared" si="40"/>
        <v>52.400000000000006</v>
      </c>
    </row>
    <row r="90" spans="1:23" x14ac:dyDescent="0.15">
      <c r="A90" s="1">
        <v>2001</v>
      </c>
      <c r="B90" s="5">
        <f>(K25*($E25/365))+(K26*($E26/365))</f>
        <v>66.666666666666657</v>
      </c>
      <c r="C90" s="5">
        <f>(L25*($E25/365))+(L26*($E26/365))</f>
        <v>0</v>
      </c>
      <c r="D90" s="5">
        <f>(M25*($E25/365))+(M26*($E26/365))</f>
        <v>33.333333333333329</v>
      </c>
      <c r="E90" s="17">
        <f t="shared" si="38"/>
        <v>99.999999999999986</v>
      </c>
      <c r="G90" s="1">
        <v>2001</v>
      </c>
      <c r="H90" s="362">
        <f>(O25/$R25*100*($E25/365))+(O26/$R26*100*($E26/365))</f>
        <v>67.938931297709914</v>
      </c>
      <c r="I90" s="362"/>
      <c r="J90" s="362">
        <f>(P25/$R25*100*($E25/365))+(P26/$R26*100*($E26/365))</f>
        <v>0</v>
      </c>
      <c r="K90" s="362"/>
      <c r="L90" s="362">
        <f>(Q25/$R25*100*($E25/365))+(Q26/$R26*100*($E26/365))</f>
        <v>32.061068702290072</v>
      </c>
      <c r="M90" s="362"/>
      <c r="N90" s="363">
        <f t="shared" si="39"/>
        <v>99.999999999999986</v>
      </c>
      <c r="O90" s="363"/>
      <c r="R90" s="1">
        <v>2001</v>
      </c>
      <c r="S90" s="5">
        <f>(O25*($E25/365))+(O26*($E26/365))</f>
        <v>35.6</v>
      </c>
      <c r="T90" s="5">
        <f>(P25*($E25/365))+(P26*($E26/365))</f>
        <v>0</v>
      </c>
      <c r="U90" s="5">
        <f>(Q25*($E25/365))+(Q26*($E26/365))</f>
        <v>16.8</v>
      </c>
      <c r="W90" s="4">
        <f t="shared" si="40"/>
        <v>52.400000000000006</v>
      </c>
    </row>
    <row r="91" spans="1:23" x14ac:dyDescent="0.15">
      <c r="A91" s="1">
        <v>2002</v>
      </c>
      <c r="B91" s="5">
        <f>(K27*($E27/365))+(K28*($E28/365))</f>
        <v>44.618395303326807</v>
      </c>
      <c r="C91" s="5">
        <f>(L27*($E27/365))+(L28*($E28/365))</f>
        <v>52.915851272015651</v>
      </c>
      <c r="D91" s="5">
        <f>(M27*($E27/365))+(M28*($E28/365))</f>
        <v>2.4657534246575339</v>
      </c>
      <c r="E91" s="17">
        <f t="shared" si="38"/>
        <v>99.999999999999986</v>
      </c>
      <c r="G91" s="1">
        <v>2002</v>
      </c>
      <c r="H91" s="362">
        <f>(O27/$R27*100*($E27/365))+(O28/$R28*100*($E28/365))</f>
        <v>41.252625446288519</v>
      </c>
      <c r="I91" s="362"/>
      <c r="J91" s="362">
        <f>(P27/$R27*100*($E27/365))+(P28/$R28*100*($E28/365))</f>
        <v>56.375733855185906</v>
      </c>
      <c r="K91" s="362"/>
      <c r="L91" s="362">
        <f>(Q27/$R27*100*($E27/365))+(Q28/$R28*100*($E28/365))</f>
        <v>2.3716406985255669</v>
      </c>
      <c r="M91" s="362"/>
      <c r="N91" s="363">
        <f t="shared" si="39"/>
        <v>100</v>
      </c>
      <c r="O91" s="363"/>
      <c r="R91" s="1">
        <v>2002</v>
      </c>
      <c r="S91" s="5">
        <f>(O27*($E27/365))+(O28*($E28/365))</f>
        <v>19.116712328767122</v>
      </c>
      <c r="T91" s="5">
        <f>(P27*($E27/365))+(P28*($E28/365))</f>
        <v>25.650958904109586</v>
      </c>
      <c r="U91" s="5">
        <f>(Q27*($E27/365))+(Q28*($E28/365))</f>
        <v>1.2427397260273974</v>
      </c>
      <c r="W91" s="4">
        <f t="shared" si="40"/>
        <v>46.010410958904103</v>
      </c>
    </row>
    <row r="92" spans="1:23" x14ac:dyDescent="0.15">
      <c r="A92" s="1">
        <v>2003</v>
      </c>
      <c r="B92" s="5">
        <f>(K29*($E29/365))+(K30*($E30/365))</f>
        <v>84.500978473581213</v>
      </c>
      <c r="C92" s="5">
        <f>(L29*($E29/365))+(L30*($E30/365))</f>
        <v>15.499021526418785</v>
      </c>
      <c r="D92" s="5">
        <f>(M29*($E29/365))+(M30*($E30/365))</f>
        <v>0</v>
      </c>
      <c r="E92" s="17">
        <f t="shared" si="38"/>
        <v>100</v>
      </c>
      <c r="G92" s="1">
        <v>2003</v>
      </c>
      <c r="H92" s="362">
        <f>(O29/$R29*100*($E29/365))+(O30/$R30*100*($E30/365))</f>
        <v>83.487580912238457</v>
      </c>
      <c r="I92" s="362"/>
      <c r="J92" s="362">
        <f>(P29/$R29*100*($E29/365))+(P30/$R30*100*($E30/365))</f>
        <v>16.512419087761554</v>
      </c>
      <c r="K92" s="362"/>
      <c r="L92" s="362">
        <f>(Q29/$R29*100*($E29/365))+(Q30/$R30*100*($E30/365))</f>
        <v>0</v>
      </c>
      <c r="M92" s="362"/>
      <c r="N92" s="363">
        <f t="shared" si="39"/>
        <v>100.00000000000001</v>
      </c>
      <c r="O92" s="363"/>
      <c r="R92" s="1">
        <v>2003</v>
      </c>
      <c r="S92" s="5">
        <f>(O29*($E29/365))+(O30*($E30/365))</f>
        <v>48.116712328767122</v>
      </c>
      <c r="T92" s="5">
        <f>(P29*($E29/365))+(P30*($E30/365))</f>
        <v>7.5131506849315066</v>
      </c>
      <c r="U92" s="5">
        <f>(Q29*($E29/365))+(Q30*($E30/365))</f>
        <v>0</v>
      </c>
      <c r="W92" s="4">
        <f t="shared" si="40"/>
        <v>55.629863013698625</v>
      </c>
    </row>
    <row r="93" spans="1:23" x14ac:dyDescent="0.15">
      <c r="A93" s="1">
        <v>2004</v>
      </c>
      <c r="B93" s="5">
        <f>(K31*($E31/366))+(K32*($E32/366))</f>
        <v>100</v>
      </c>
      <c r="C93" s="5">
        <f>(L31*($E31/366))+(L32*($E32/366))</f>
        <v>0</v>
      </c>
      <c r="D93" s="5">
        <f>(M31*($E31/366))+(M32*($E32/366))</f>
        <v>0</v>
      </c>
      <c r="E93" s="17">
        <f t="shared" si="38"/>
        <v>100</v>
      </c>
      <c r="G93" s="1">
        <v>2004</v>
      </c>
      <c r="H93" s="362">
        <f>(O31/$R31*100*($E31/366))+(O32/$R32*100*($E32/366))</f>
        <v>100</v>
      </c>
      <c r="I93" s="362"/>
      <c r="J93" s="362">
        <f>(P31/$R31*100*($E31/366))+(P32/$R32*100*($E32/366))</f>
        <v>0</v>
      </c>
      <c r="K93" s="362"/>
      <c r="L93" s="362">
        <f>(Q31/$R31*100*($E31/366))+(Q32/$R32*100*($E32/366))</f>
        <v>0</v>
      </c>
      <c r="M93" s="362"/>
      <c r="N93" s="363">
        <f t="shared" si="39"/>
        <v>100</v>
      </c>
      <c r="O93" s="363"/>
      <c r="R93" s="1">
        <v>2004</v>
      </c>
      <c r="S93" s="5">
        <f>(O31*($E31/366))+(O32*($E32/366))</f>
        <v>59.4</v>
      </c>
      <c r="T93" s="5">
        <f>(P31*($E31/366))+(P32*($E32/366))</f>
        <v>0</v>
      </c>
      <c r="U93" s="5">
        <f>(Q31*($E31/366))+(Q32*($E32/366))</f>
        <v>0</v>
      </c>
      <c r="W93" s="4">
        <f t="shared" si="40"/>
        <v>59.4</v>
      </c>
    </row>
    <row r="94" spans="1:23" x14ac:dyDescent="0.15">
      <c r="A94" s="1">
        <v>2005</v>
      </c>
      <c r="B94" s="5">
        <f>(K33*($E33/365))+(K34*($E34/365))</f>
        <v>74.266144814090026</v>
      </c>
      <c r="C94" s="5">
        <f>(L33*($E33/365))+(L34*($E34/365))</f>
        <v>25.733855185909981</v>
      </c>
      <c r="D94" s="5">
        <f>(M33*($E33/365))+(M34*($E34/365))</f>
        <v>0</v>
      </c>
      <c r="E94" s="17">
        <f t="shared" si="38"/>
        <v>100</v>
      </c>
      <c r="G94" s="1">
        <v>2005</v>
      </c>
      <c r="H94" s="362">
        <f>(O33/$R33*100*($E33/365))+(O34/$R34*100*($E34/365))</f>
        <v>66.398690097320241</v>
      </c>
      <c r="I94" s="362"/>
      <c r="J94" s="362">
        <f>(P33/$R33*100*($E33/365))+(P34/$R34*100*($E34/365))</f>
        <v>33.601309902679766</v>
      </c>
      <c r="K94" s="362"/>
      <c r="L94" s="362">
        <f>(Q33/$R33*100*($E33/365))+(Q34/$R34*100*($E34/365))</f>
        <v>0</v>
      </c>
      <c r="M94" s="362"/>
      <c r="N94" s="363">
        <f t="shared" si="39"/>
        <v>100</v>
      </c>
      <c r="O94" s="363"/>
      <c r="R94" s="1">
        <v>2005</v>
      </c>
      <c r="S94" s="5">
        <f>(O33*($E33/365))+(O34*($E34/365))</f>
        <v>39.440821917808222</v>
      </c>
      <c r="T94" s="5">
        <f>(P33*($E33/365))+(P34*($E34/365))</f>
        <v>19.95917808219178</v>
      </c>
      <c r="U94" s="5">
        <f>(Q33*($E33/365))+(Q34*($E34/365))</f>
        <v>0</v>
      </c>
      <c r="W94" s="4">
        <f t="shared" si="40"/>
        <v>59.400000000000006</v>
      </c>
    </row>
    <row r="95" spans="1:23" x14ac:dyDescent="0.15">
      <c r="A95" s="1">
        <v>2006</v>
      </c>
      <c r="B95" s="5">
        <f>(K35*($E35/365))+(K36*($E36/365))</f>
        <v>64.285714285714292</v>
      </c>
      <c r="C95" s="5">
        <f>(L35*($E35/365))+(L36*($E36/365))</f>
        <v>35.714285714285715</v>
      </c>
      <c r="D95" s="5">
        <f>(M35*($E35/365))+(M36*($E36/365))</f>
        <v>0</v>
      </c>
      <c r="E95" s="17">
        <f t="shared" si="38"/>
        <v>100</v>
      </c>
      <c r="G95" s="1">
        <v>2006</v>
      </c>
      <c r="H95" s="362">
        <f>(O35/$R35*100*($E35/365))+(O36/$R36*100*($E36/365))</f>
        <v>53.367003367003363</v>
      </c>
      <c r="I95" s="362"/>
      <c r="J95" s="362">
        <f>(P35/$R35*100*($E35/365))+(P36/$R36*100*($E36/365))</f>
        <v>46.63299663299663</v>
      </c>
      <c r="K95" s="362"/>
      <c r="L95" s="362">
        <f>(Q35/$R35*100*($E35/365))+(Q36/$R36*100*($E36/365))</f>
        <v>0</v>
      </c>
      <c r="M95" s="362"/>
      <c r="N95" s="363">
        <f t="shared" si="39"/>
        <v>100</v>
      </c>
      <c r="O95" s="363"/>
      <c r="R95" s="1">
        <v>2006</v>
      </c>
      <c r="S95" s="5">
        <f>(O35*($E35/365))+(O36*($E36/365))</f>
        <v>31.7</v>
      </c>
      <c r="T95" s="5">
        <f>(P35*($E35/365))+(P36*($E36/365))</f>
        <v>27.7</v>
      </c>
      <c r="U95" s="5">
        <f>(Q35*($E35/365))+(Q36*($E36/365))</f>
        <v>0</v>
      </c>
      <c r="W95" s="4">
        <f t="shared" si="40"/>
        <v>59.4</v>
      </c>
    </row>
    <row r="96" spans="1:23" x14ac:dyDescent="0.15">
      <c r="A96" s="1">
        <v>2007</v>
      </c>
      <c r="B96" s="5">
        <f>(K37*($E37/365))+(K38*($E38/365))</f>
        <v>74.892367906066539</v>
      </c>
      <c r="C96" s="5">
        <f>(L37*($E37/365))+(L38*($E38/365))</f>
        <v>9.1976516634050878</v>
      </c>
      <c r="D96" s="5">
        <f>(M37*($E37/365))+(M38*($E38/365))</f>
        <v>15.909980430528373</v>
      </c>
      <c r="E96" s="17">
        <f t="shared" si="38"/>
        <v>100</v>
      </c>
      <c r="G96" s="1">
        <v>2007</v>
      </c>
      <c r="H96" s="362">
        <f>(O37/$R37*100*($E37/365))+(O38/$R38*100*($E38/365))</f>
        <v>75.61597712282645</v>
      </c>
      <c r="I96" s="362"/>
      <c r="J96" s="362">
        <f>(P37/$R37*100*($E37/365))+(P38/$R38*100*($E38/365))</f>
        <v>12.009593653429269</v>
      </c>
      <c r="K96" s="362"/>
      <c r="L96" s="362">
        <f>(Q37/$R37*100*($E37/365))+(Q38/$R38*100*($E38/365))</f>
        <v>12.374429223744292</v>
      </c>
      <c r="M96" s="362"/>
      <c r="N96" s="363">
        <f t="shared" si="39"/>
        <v>100</v>
      </c>
      <c r="O96" s="363"/>
      <c r="R96" s="1">
        <v>2007</v>
      </c>
      <c r="S96" s="5">
        <f>(O37*($E37/365))+(O38*($E38/365))</f>
        <v>44.915890410958902</v>
      </c>
      <c r="T96" s="5">
        <f>(P37*($E37/365))+(P38*($E38/365))</f>
        <v>7.133698630136986</v>
      </c>
      <c r="U96" s="5">
        <f>(Q37*($E37/365))+(Q38*($E38/365))</f>
        <v>7.3504109589041091</v>
      </c>
      <c r="W96" s="4">
        <f t="shared" si="40"/>
        <v>59.399999999999991</v>
      </c>
    </row>
    <row r="97" spans="1:23" x14ac:dyDescent="0.15">
      <c r="A97" s="1">
        <v>2008</v>
      </c>
      <c r="B97" s="5">
        <f>(K39*($E39/366))+(K40*($E40/366))</f>
        <v>78.571428571428569</v>
      </c>
      <c r="C97" s="5">
        <f>(L39*($E39/366))+(L40*($E40/366))</f>
        <v>0</v>
      </c>
      <c r="D97" s="5">
        <f>(M39*($E39/366))+(M40*($E40/366))</f>
        <v>21.428571428571427</v>
      </c>
      <c r="E97" s="17">
        <f t="shared" si="38"/>
        <v>100</v>
      </c>
      <c r="G97" s="1">
        <v>2008</v>
      </c>
      <c r="H97" s="362">
        <f>(O39/$R39*100*($E39/366))+(O40/$R40*100*($E40/366))</f>
        <v>83.333333333333343</v>
      </c>
      <c r="I97" s="362"/>
      <c r="J97" s="362">
        <f>(P39/$R39*100*($E39/366))+(P40/$R40*100*($E40/366))</f>
        <v>0</v>
      </c>
      <c r="K97" s="362"/>
      <c r="L97" s="362">
        <f>(Q39/$R39*100*($E39/366))+(Q40/$R40*100*($E40/366))</f>
        <v>16.666666666666668</v>
      </c>
      <c r="M97" s="362"/>
      <c r="N97" s="363">
        <f t="shared" si="39"/>
        <v>100.00000000000001</v>
      </c>
      <c r="O97" s="363"/>
      <c r="R97" s="1">
        <v>2008</v>
      </c>
      <c r="S97" s="5">
        <f>(O39*($E39/366))+(O40*($E40/366))</f>
        <v>49.5</v>
      </c>
      <c r="T97" s="5">
        <f>(P39*($E39/366))+(P40*($E40/366))</f>
        <v>0</v>
      </c>
      <c r="U97" s="5">
        <f>(Q39*($E39/366))+(Q40*($E40/366))</f>
        <v>9.9</v>
      </c>
      <c r="W97" s="4">
        <f t="shared" si="40"/>
        <v>59.4</v>
      </c>
    </row>
    <row r="98" spans="1:23" x14ac:dyDescent="0.15">
      <c r="A98" s="1">
        <v>2009</v>
      </c>
      <c r="B98" s="5">
        <f>(K41*($E41/365))+(K42*($E42/365))</f>
        <v>90.958904109589042</v>
      </c>
      <c r="C98" s="5">
        <f>(L41*($E41/365))+(L42*($E42/365))</f>
        <v>0</v>
      </c>
      <c r="D98" s="5">
        <f>(M41*($E41/365))+(M42*($E42/365))</f>
        <v>9.0410958904109577</v>
      </c>
      <c r="E98" s="17">
        <f t="shared" si="38"/>
        <v>100</v>
      </c>
      <c r="G98" s="1">
        <v>2009</v>
      </c>
      <c r="H98" s="362">
        <f>(O41/$R41*100*($E41/365))+(O42/$R42*100*($E42/365))</f>
        <v>92.968036529680376</v>
      </c>
      <c r="I98" s="362"/>
      <c r="J98" s="362">
        <f>(P41/$R41*100*($E41/365))+(P42/$R42*100*($E42/365))</f>
        <v>0</v>
      </c>
      <c r="K98" s="362"/>
      <c r="L98" s="362">
        <f>(Q41/$R41*100*($E41/365))+(Q42/$R42*100*($E42/365))</f>
        <v>7.031963470319635</v>
      </c>
      <c r="M98" s="362"/>
      <c r="N98" s="363">
        <f t="shared" si="39"/>
        <v>100.00000000000001</v>
      </c>
      <c r="O98" s="363"/>
      <c r="R98" s="1">
        <v>2009</v>
      </c>
      <c r="S98" s="5">
        <f>(O41*($E41/365))+(O42*($E42/365))</f>
        <v>49.5</v>
      </c>
      <c r="T98" s="5">
        <f>(P41*($E41/365))+(P42*($E42/365))</f>
        <v>0</v>
      </c>
      <c r="U98" s="5">
        <f>(Q41*($E41/365))+(Q42*($E42/365))</f>
        <v>4.1769863013698627</v>
      </c>
      <c r="W98" s="4">
        <f t="shared" si="40"/>
        <v>53.676986301369865</v>
      </c>
    </row>
    <row r="99" spans="1:23" x14ac:dyDescent="0.15">
      <c r="A99" s="1">
        <v>2010</v>
      </c>
      <c r="B99" s="5">
        <f>(K43*($E43/365))+(K44*($E44/365))</f>
        <v>100</v>
      </c>
      <c r="C99" s="5">
        <f>(L43*($E43/365))+(L44*($E44/365))</f>
        <v>0</v>
      </c>
      <c r="D99" s="5">
        <f>(M43*($E43/365))+(M44*($E44/365))</f>
        <v>0</v>
      </c>
      <c r="E99" s="17">
        <f t="shared" si="38"/>
        <v>100</v>
      </c>
      <c r="G99" s="1">
        <v>2010</v>
      </c>
      <c r="H99" s="362">
        <f>(O43/$R43*100*($E43/365))+(O44/$R44*100*($E44/365))</f>
        <v>100</v>
      </c>
      <c r="I99" s="362"/>
      <c r="J99" s="362">
        <f>(P43/$R43*100*($E43/365))+(P44/$R44*100*($E44/365))</f>
        <v>0</v>
      </c>
      <c r="K99" s="362"/>
      <c r="L99" s="362">
        <f>(Q43/$R43*100*($E43/365))+(Q44/$R44*100*($E44/365))</f>
        <v>0</v>
      </c>
      <c r="M99" s="362"/>
      <c r="N99" s="363">
        <f t="shared" si="39"/>
        <v>100</v>
      </c>
      <c r="O99" s="363"/>
      <c r="R99" s="1">
        <v>2010</v>
      </c>
      <c r="S99" s="5">
        <f>(O43*($E43/365))+(O44*($E44/365))</f>
        <v>49.5</v>
      </c>
      <c r="T99" s="5">
        <f>(P43*($E43/365))+(P44*($E44/365))</f>
        <v>0</v>
      </c>
      <c r="U99" s="5">
        <f>(Q43*($E43/365))+(Q44*($E44/365))</f>
        <v>0</v>
      </c>
      <c r="W99" s="4">
        <f t="shared" si="40"/>
        <v>49.5</v>
      </c>
    </row>
    <row r="100" spans="1:23" x14ac:dyDescent="0.15">
      <c r="A100" s="1">
        <v>2011</v>
      </c>
      <c r="B100" s="5">
        <f>(K45*($E45/365))+(K46*($E46/365))</f>
        <v>100</v>
      </c>
      <c r="C100" s="5">
        <f>(L45*($E45/365))+(L46*($E46/365))</f>
        <v>0</v>
      </c>
      <c r="D100" s="5">
        <f>(M45*($E45/365))+(M46*($E46/365))</f>
        <v>0</v>
      </c>
      <c r="E100" s="17">
        <f t="shared" si="38"/>
        <v>100</v>
      </c>
      <c r="G100" s="1">
        <v>2011</v>
      </c>
      <c r="H100" s="362">
        <f>(O45/$R45*100*($E45/365))+(O46/$R46*100*($E46/365))</f>
        <v>100</v>
      </c>
      <c r="I100" s="362"/>
      <c r="J100" s="362">
        <f>(P45/$R45*100*($E45/365))+(P46/$R46*100*($E46/365))</f>
        <v>0</v>
      </c>
      <c r="K100" s="362"/>
      <c r="L100" s="362">
        <f>(Q45/$R45*100*($E45/365))+(Q46/$R46*100*($E46/365))</f>
        <v>0</v>
      </c>
      <c r="M100" s="362"/>
      <c r="N100" s="363">
        <f t="shared" si="39"/>
        <v>100</v>
      </c>
      <c r="O100" s="363"/>
      <c r="R100" s="1">
        <v>2011</v>
      </c>
      <c r="S100" s="5">
        <f>(O45*($E45/365))+(O46*($E46/365))</f>
        <v>53.938356164383563</v>
      </c>
      <c r="T100" s="5">
        <f>(P45*($E45/365))+(P46*($E46/365))</f>
        <v>0</v>
      </c>
      <c r="U100" s="5">
        <f>(Q45*($E45/365))+(Q46*($E46/365))</f>
        <v>0</v>
      </c>
      <c r="W100" s="4">
        <f t="shared" si="40"/>
        <v>53.938356164383563</v>
      </c>
    </row>
    <row r="101" spans="1:23" x14ac:dyDescent="0.15">
      <c r="A101" s="1">
        <v>2012</v>
      </c>
      <c r="B101" s="5">
        <f>(K47*($E47/366))+(K48*($E48/366))</f>
        <v>100</v>
      </c>
      <c r="C101" s="5">
        <f>(L47*($E47/366))+(L48*($E48/366))</f>
        <v>0</v>
      </c>
      <c r="D101" s="5">
        <f>(M47*($E47/366))+(M48*($E48/366))</f>
        <v>0</v>
      </c>
      <c r="E101" s="17">
        <f t="shared" si="38"/>
        <v>100</v>
      </c>
      <c r="G101" s="1">
        <v>2012</v>
      </c>
      <c r="H101" s="362">
        <f>(O47/$R47*100*($E47/366))+(O48/$R48*100*($E48/366))</f>
        <v>100</v>
      </c>
      <c r="I101" s="362"/>
      <c r="J101" s="362">
        <f>(P47/$R47*100*($E47/366))+(P48/$R48*100*($E48/366))</f>
        <v>0</v>
      </c>
      <c r="K101" s="362"/>
      <c r="L101" s="362">
        <f>(Q47/$R47*100*($E47/366))+(Q48/$R48*100*($E48/366))</f>
        <v>0</v>
      </c>
      <c r="M101" s="362"/>
      <c r="N101" s="363">
        <f t="shared" si="39"/>
        <v>100</v>
      </c>
      <c r="O101" s="363"/>
      <c r="R101" s="1">
        <v>2012</v>
      </c>
      <c r="S101" s="5">
        <f>(O47*($E47/366))+(O48*($E48/366))</f>
        <v>55.5</v>
      </c>
      <c r="T101" s="5">
        <f>(P47*($E47/366))+(P48*($E48/366))</f>
        <v>0</v>
      </c>
      <c r="U101" s="5">
        <f>(Q47*($E47/366))+(Q48*($E48/366))</f>
        <v>0</v>
      </c>
      <c r="W101" s="4">
        <f t="shared" si="40"/>
        <v>55.5</v>
      </c>
    </row>
    <row r="102" spans="1:23" x14ac:dyDescent="0.15">
      <c r="A102" s="1">
        <v>2013</v>
      </c>
      <c r="B102" s="5">
        <f>(K49*($E49/365))+(K50*($E50/365))</f>
        <v>100</v>
      </c>
      <c r="C102" s="5">
        <f>(L49*($E49/365))+(L50*($E50/365))</f>
        <v>0</v>
      </c>
      <c r="D102" s="5">
        <f>(M49*($E49/365))+(M50*($E50/365))</f>
        <v>0</v>
      </c>
      <c r="E102" s="17">
        <f>SUM(B102:D102)</f>
        <v>100</v>
      </c>
      <c r="G102" s="1">
        <v>2013</v>
      </c>
      <c r="H102" s="362">
        <f>(O49/$R49*100*($E49/365))+(O50/$R50*100*($E50/365))</f>
        <v>100</v>
      </c>
      <c r="I102" s="362"/>
      <c r="J102" s="362">
        <f>(P49/$R49*100*($E49/365))+(P50/$R50*100*($E50/365))</f>
        <v>0</v>
      </c>
      <c r="K102" s="362"/>
      <c r="L102" s="362">
        <f>(Q49/$R49*100*($E49/365))+(Q50/$R50*100*($E50/365))</f>
        <v>0</v>
      </c>
      <c r="M102" s="362"/>
      <c r="N102" s="363">
        <f>SUM(H102:M102)</f>
        <v>100</v>
      </c>
      <c r="O102" s="363"/>
      <c r="R102" s="1">
        <v>2013</v>
      </c>
      <c r="S102" s="5">
        <f>(O49*($E49/365))+(O50*($E50/365))</f>
        <v>55.5</v>
      </c>
      <c r="T102" s="5">
        <f>(P49*($E49/365))+(P50*($E50/365))</f>
        <v>0</v>
      </c>
      <c r="U102" s="5">
        <f>(Q49*($E49/365))+(Q50*($E50/365))</f>
        <v>0</v>
      </c>
      <c r="W102" s="4">
        <f>SUM(S102:U102)</f>
        <v>55.5</v>
      </c>
    </row>
    <row r="103" spans="1:23" x14ac:dyDescent="0.15">
      <c r="A103" s="1">
        <v>2014</v>
      </c>
      <c r="B103" s="5">
        <f>(K51*($E51/365))+(K52*($E52/365))</f>
        <v>67.00587084148728</v>
      </c>
      <c r="C103" s="5">
        <f>(L51*($E51/365))+(L52*($E52/365))</f>
        <v>0</v>
      </c>
      <c r="D103" s="5">
        <f>(M51*($E51/365))+(M52*($E52/365))</f>
        <v>32.994129158512713</v>
      </c>
      <c r="E103" s="17">
        <f>SUM(B103:D103)</f>
        <v>100</v>
      </c>
      <c r="G103" s="1">
        <v>2014</v>
      </c>
      <c r="H103" s="362">
        <f>(O51/$R51*100*($E51/365))+(O52/$R52*100*($E52/365))</f>
        <v>70.618072137740356</v>
      </c>
      <c r="I103" s="362"/>
      <c r="J103" s="362">
        <f>(P51/$R51*100*($E51/365))+(P52/$R52*100*($E52/365))</f>
        <v>0</v>
      </c>
      <c r="K103" s="362"/>
      <c r="L103" s="362">
        <f>(Q51/$R51*100*($E51/365))+(Q52/$R52*100*($E52/365))</f>
        <v>29.381927862259641</v>
      </c>
      <c r="M103" s="362"/>
      <c r="N103" s="363">
        <f>SUM(H103:M103)</f>
        <v>100</v>
      </c>
      <c r="O103" s="363"/>
      <c r="R103" s="1">
        <v>2014</v>
      </c>
      <c r="S103" s="5">
        <f>(O51*($E51/365))+(O52*($E52/365))</f>
        <v>38.716986301369865</v>
      </c>
      <c r="T103" s="5">
        <f>(P51*($E51/365))+(P52*($E52/365))</f>
        <v>0</v>
      </c>
      <c r="U103" s="5">
        <f>(Q51*($E51/365))+(Q52*($E52/365))</f>
        <v>16.013150684931507</v>
      </c>
      <c r="W103" s="4">
        <f>SUM(S103:U103)</f>
        <v>54.730136986301375</v>
      </c>
    </row>
    <row r="104" spans="1:23" x14ac:dyDescent="0.15">
      <c r="A104" s="1">
        <v>2015</v>
      </c>
      <c r="B104" s="5">
        <f>(K53*($E53/365))+(K54*($E54/365))+(K55*($E55/365))</f>
        <v>65.899543378995418</v>
      </c>
      <c r="C104" s="5">
        <f>(L53*($E53/365))+(L54*($E54/365))+(L55*($E55/365))</f>
        <v>0</v>
      </c>
      <c r="D104" s="5">
        <f>(M53*($E53/365))+(M54*($E54/365))+(M55*($E55/365))</f>
        <v>31.013698630136986</v>
      </c>
      <c r="E104" s="17">
        <f>SUM(B104:D104)</f>
        <v>96.913242009132404</v>
      </c>
      <c r="G104" s="1">
        <v>2015</v>
      </c>
      <c r="H104" s="362">
        <f>(O53/$R53*100*($E53/365))+(O54/$R54*100*($E54/365))+(O55/$R55*100*($E55/365))</f>
        <v>71.121379981503139</v>
      </c>
      <c r="I104" s="362"/>
      <c r="J104" s="362">
        <f>(P53/$R53*100*($E53/365))+(P54/$R54*100*($E54/365))+(P55/$R55*100*($E55/365))</f>
        <v>0</v>
      </c>
      <c r="K104" s="362"/>
      <c r="L104" s="362">
        <f>(Q53/$R53*100*($E53/365))+(Q54/$R54*100*($E54/365))+(Q55/$R55*100*($E55/365))</f>
        <v>28.878620018496854</v>
      </c>
      <c r="M104" s="362"/>
      <c r="N104" s="363">
        <f>SUM(H104:M104)</f>
        <v>100</v>
      </c>
      <c r="O104" s="363"/>
      <c r="R104" s="1">
        <v>2015</v>
      </c>
      <c r="S104" s="5">
        <f>(O53*($E53/365))+(O54*($E54/365))+(O55*($E55/365))</f>
        <v>40.941917808219173</v>
      </c>
      <c r="T104" s="5">
        <f>(P53*($E53/365))+(P54*($E54/365))+(P55*($E55/365))</f>
        <v>0</v>
      </c>
      <c r="U104" s="5">
        <f>(Q53*($E53/365))+(Q54*($E54/365))+(Q55*($E55/365))</f>
        <v>16.484109589041097</v>
      </c>
      <c r="W104" s="4">
        <f>SUM(S104:U104)</f>
        <v>57.42602739726027</v>
      </c>
    </row>
    <row r="105" spans="1:23" x14ac:dyDescent="0.15">
      <c r="A105" s="1">
        <v>2016</v>
      </c>
      <c r="B105" s="5">
        <f>(K56*($E56/366))+(K57*($E57/366))+(K58*($E58/366))</f>
        <v>64.426229508196712</v>
      </c>
      <c r="C105" s="5">
        <f>(L56*($E56/366))+(L57*($E57/366))+(L58*($E58/366))</f>
        <v>3.55191256830601</v>
      </c>
      <c r="D105" s="5">
        <f>(M56*($E56/366))+(M57*($E57/366))+(M58*($E58/366))</f>
        <v>27.377049180327866</v>
      </c>
      <c r="E105" s="17">
        <f>SUM(B105:D105)</f>
        <v>95.35519125683058</v>
      </c>
      <c r="G105" s="1">
        <v>2016</v>
      </c>
      <c r="H105" s="362">
        <f>(O56/$R56*100*($E56/366))+(O57/$R57*100*($E57/366))+(O58/$R58*100*($E58/366))</f>
        <v>69.256936633985816</v>
      </c>
      <c r="I105" s="362"/>
      <c r="J105" s="362">
        <f>(P56/$R56*100*($E56/366))+(P57/$R57*100*($E57/366))+(P58/$R58*100*($E58/366))</f>
        <v>5.1262738147984042</v>
      </c>
      <c r="K105" s="362"/>
      <c r="L105" s="362">
        <f>(Q56/$R56*100*($E56/366))+(Q57/$R57*100*($E57/366))+(Q58/$R58*100*($E58/366))</f>
        <v>25.616789551215778</v>
      </c>
      <c r="M105" s="362"/>
      <c r="N105" s="363">
        <f>SUM(H105:M105)</f>
        <v>100</v>
      </c>
      <c r="O105" s="363"/>
      <c r="R105" s="1">
        <v>2016</v>
      </c>
      <c r="S105" s="5">
        <f>(O56*($E56/366))+(O57*($E57/366))+(O58*($E58/366))</f>
        <v>40.435245901639341</v>
      </c>
      <c r="T105" s="5">
        <f>(P56*($E56/366))+(P57*($E57/366))+(P58*($E58/366))</f>
        <v>2.8450819672131145</v>
      </c>
      <c r="U105" s="5">
        <f>(Q56*($E56/366))+(Q57*($E57/366))+(Q58*($E58/366))</f>
        <v>14.9</v>
      </c>
      <c r="W105" s="4">
        <f>SUM(S105:U105)</f>
        <v>58.180327868852451</v>
      </c>
    </row>
    <row r="106" spans="1:23" x14ac:dyDescent="0.15">
      <c r="A106" s="1">
        <v>2017</v>
      </c>
      <c r="B106" s="5">
        <f>(K59*($E59/365))+(K60*($E60/365))</f>
        <v>33.333333333333329</v>
      </c>
      <c r="C106" s="5">
        <f>(L59*($E59/365))+(L60*($E60/365))</f>
        <v>33.333333333333329</v>
      </c>
      <c r="D106" s="5">
        <f>(M59*($E59/365))+(M60*($E60/365))</f>
        <v>33.333333333333329</v>
      </c>
      <c r="E106" s="17">
        <f>SUM(B106:D106)</f>
        <v>99.999999999999986</v>
      </c>
      <c r="G106" s="1">
        <v>2017</v>
      </c>
      <c r="H106" s="362">
        <f>(O59/$R59*100*($E59/365))+(O60/$R60*100*($E60/365))</f>
        <v>25.045045045045043</v>
      </c>
      <c r="I106" s="362"/>
      <c r="J106" s="362">
        <f>(P59/$R59*100*($E59/365))+(P60/$R60*100*($E60/365))</f>
        <v>48.108108108108105</v>
      </c>
      <c r="K106" s="362"/>
      <c r="L106" s="362">
        <f>(Q59/$R59*100*($E59/365))+(Q60/$R60*100*($E60/365))</f>
        <v>26.846846846846852</v>
      </c>
      <c r="M106" s="362"/>
      <c r="N106" s="363">
        <f>SUM(H106:M106)</f>
        <v>100</v>
      </c>
      <c r="O106" s="363"/>
      <c r="R106" s="1">
        <v>2017</v>
      </c>
      <c r="S106" s="5">
        <f>(O59*($E59/365))+(O60*($E60/365))</f>
        <v>13.9</v>
      </c>
      <c r="T106" s="5">
        <f>(P59*($E59/365))+(P60*($E60/365))</f>
        <v>26.7</v>
      </c>
      <c r="U106" s="5">
        <f>(Q59*($E59/365))+(Q60*($E60/365))</f>
        <v>14.9</v>
      </c>
      <c r="W106" s="4">
        <f>SUM(S106:U106)</f>
        <v>55.5</v>
      </c>
    </row>
    <row r="107" spans="1:23" x14ac:dyDescent="0.15">
      <c r="A107" s="1">
        <v>2018</v>
      </c>
      <c r="B107" s="5">
        <f>(K61*($E61/365))+(K62*($E62/365))</f>
        <v>33.333333333333329</v>
      </c>
      <c r="C107" s="5">
        <f>(L61*($E61/365))+(L62*($E62/365))</f>
        <v>33.333333333333329</v>
      </c>
      <c r="D107" s="5">
        <f>(M61*($E61/365))+(M62*($E62/365))</f>
        <v>33.333333333333329</v>
      </c>
      <c r="E107" s="17">
        <f t="shared" ref="E107" si="41">SUM(B107:D107)</f>
        <v>99.999999999999986</v>
      </c>
      <c r="G107" s="1">
        <v>2018</v>
      </c>
      <c r="H107" s="362">
        <f>(O61/$R61*100*($E61/365))+(O62/$R62*100*($E62/365))</f>
        <v>25.045045045045043</v>
      </c>
      <c r="I107" s="362"/>
      <c r="J107" s="362">
        <f>(P61/$R61*100*($E61/365))+(P62/$R62*100*($E62/365))</f>
        <v>48.108108108108105</v>
      </c>
      <c r="K107" s="362"/>
      <c r="L107" s="362">
        <f>(Q61/$R61*100*($E61/365))+(Q62/$R62*100*($E62/365))</f>
        <v>26.846846846846852</v>
      </c>
      <c r="M107" s="362"/>
      <c r="N107" s="363">
        <f t="shared" ref="N107" si="42">SUM(H107:M107)</f>
        <v>100</v>
      </c>
      <c r="O107" s="363"/>
      <c r="R107" s="1">
        <v>2018</v>
      </c>
      <c r="S107" s="5">
        <f>(O61*($E61/365))+(O62*($E62/365))</f>
        <v>13.9</v>
      </c>
      <c r="T107" s="5">
        <f>(P61*($E61/365))+(P62*($E62/365))</f>
        <v>26.7</v>
      </c>
      <c r="U107" s="5">
        <f>(Q61*($E61/365))+(Q62*($E62/365))</f>
        <v>14.9</v>
      </c>
      <c r="W107" s="4">
        <f t="shared" ref="W107" si="43">SUM(S107:U107)</f>
        <v>55.5</v>
      </c>
    </row>
    <row r="108" spans="1:23" x14ac:dyDescent="0.15">
      <c r="A108" s="1">
        <v>2019</v>
      </c>
      <c r="B108" s="5">
        <f>(K63*($E63/365))+(K64*($E64/365))</f>
        <v>55.890410958904098</v>
      </c>
      <c r="C108" s="5">
        <f>(L63*($E63/365))+(L64*($E64/365))</f>
        <v>33.333333333333329</v>
      </c>
      <c r="D108" s="5">
        <f>(M63*($E63/365))+(M64*($E64/365))</f>
        <v>10.776255707762555</v>
      </c>
      <c r="E108" s="17">
        <f t="shared" ref="E108:E109" si="44">SUM(B108:D108)</f>
        <v>99.999999999999986</v>
      </c>
      <c r="G108" s="1">
        <v>2019</v>
      </c>
      <c r="H108" s="362">
        <f>(O63/$R63*100*($E63/365))+(O64/$R64*100*($E64/365))</f>
        <v>45.529310132049858</v>
      </c>
      <c r="I108" s="362"/>
      <c r="J108" s="362">
        <f>(P63/$R63*100*($E63/365))+(P64/$R64*100*($E64/365))</f>
        <v>45.79143527088732</v>
      </c>
      <c r="K108" s="362"/>
      <c r="L108" s="362">
        <f>(Q63/$R63*100*($E63/365))+(Q64/$R64*100*($E64/365))</f>
        <v>8.6792545970628172</v>
      </c>
      <c r="M108" s="362"/>
      <c r="N108" s="363">
        <f t="shared" ref="N108" si="45">SUM(H108:M108)</f>
        <v>100</v>
      </c>
      <c r="O108" s="363"/>
      <c r="R108" s="1">
        <v>2019</v>
      </c>
      <c r="S108" s="5">
        <f>(O63*($E63/365))+(O64*($E64/365))</f>
        <v>25.26876712328767</v>
      </c>
      <c r="T108" s="5">
        <f>(P63*($E63/365))+(P64*($E64/365))</f>
        <v>25.414246575342464</v>
      </c>
      <c r="U108" s="5">
        <f>(Q63*($E63/365))+(Q64*($E64/365))</f>
        <v>4.8169863013698633</v>
      </c>
      <c r="W108" s="4">
        <f t="shared" ref="W108" si="46">SUM(S108:U108)</f>
        <v>55.5</v>
      </c>
    </row>
    <row r="109" spans="1:23" x14ac:dyDescent="0.15">
      <c r="A109" s="1">
        <v>2020</v>
      </c>
      <c r="B109" s="5">
        <f>(K65*($E65/366))+(K66*($E66/366))</f>
        <v>66.666666666666657</v>
      </c>
      <c r="C109" s="5">
        <f>(L65*($E65/366))+(L66*($E66/366))</f>
        <v>33.333333333333329</v>
      </c>
      <c r="D109" s="5">
        <f>(M65*($E65/366))+(M66*($E66/366))</f>
        <v>0</v>
      </c>
      <c r="E109" s="17">
        <f t="shared" si="44"/>
        <v>99.999999999999986</v>
      </c>
      <c r="G109" s="1">
        <v>2020</v>
      </c>
      <c r="H109" s="362">
        <f>(O65/$R65*100*($E65/366))+(O66/$R66*100*($E66/366))</f>
        <v>55.315315315315317</v>
      </c>
      <c r="I109" s="362"/>
      <c r="J109" s="362">
        <f>(P65/$R65*100*($E65/366))+(P66/$R66*100*($E66/366))</f>
        <v>44.684684684684683</v>
      </c>
      <c r="K109" s="362"/>
      <c r="L109" s="362">
        <f>(Q65/$R65*100*($E65/366))+(Q66/$R66*100*($E66/366))</f>
        <v>0</v>
      </c>
      <c r="M109" s="362"/>
      <c r="N109" s="363">
        <f t="shared" ref="N109" si="47">SUM(H109:M109)</f>
        <v>100</v>
      </c>
      <c r="O109" s="363"/>
      <c r="R109" s="1">
        <v>2020</v>
      </c>
      <c r="S109" s="5">
        <f>(O65*($E65/366))+(O66*($E66/366))</f>
        <v>30.7</v>
      </c>
      <c r="T109" s="5">
        <f>(P65*($E65/366))+(P66*($E66/366))</f>
        <v>24.8</v>
      </c>
      <c r="U109" s="5">
        <f>(Q65*($E65/366))+(Q66*($E66/366))</f>
        <v>0</v>
      </c>
      <c r="W109" s="4">
        <f>SUM(S109:U109)</f>
        <v>55.5</v>
      </c>
    </row>
    <row r="110" spans="1:23" x14ac:dyDescent="0.15">
      <c r="A110" s="1">
        <v>2021</v>
      </c>
      <c r="B110" s="5">
        <f>(K67*($E67/365))+(K68*($E68/365))</f>
        <v>54.246575342465746</v>
      </c>
      <c r="C110" s="5">
        <f>(L67*($E67/365))+(L68*($E68/365))</f>
        <v>45.753424657534246</v>
      </c>
      <c r="D110" s="5">
        <f>(M67*($E67/365))+(M68*($E68/365))</f>
        <v>0</v>
      </c>
      <c r="E110" s="17">
        <f>SUM(B110:D110)</f>
        <v>100</v>
      </c>
      <c r="G110" s="1">
        <v>2021</v>
      </c>
      <c r="H110" s="362">
        <f>(O67/$R67*100*($E67/365))+(O68/$R68*100*($E68/365))</f>
        <v>57.449884025226496</v>
      </c>
      <c r="I110" s="362"/>
      <c r="J110" s="362">
        <f>(P67/$R67*100*($E67/365))+(P68/$R68*100*($E68/365))</f>
        <v>42.550115974773504</v>
      </c>
      <c r="K110" s="362"/>
      <c r="L110" s="362">
        <f>(Q67/$R67*100*($E67/365))+(Q68/$R68*100*($E68/365))</f>
        <v>0</v>
      </c>
      <c r="M110" s="362"/>
      <c r="N110" s="363">
        <f>SUM(H110:M110)</f>
        <v>100</v>
      </c>
      <c r="O110" s="363"/>
      <c r="R110" s="1">
        <v>2021</v>
      </c>
      <c r="S110" s="5">
        <f>(O67*($E67/365))+(O68*($E68/365))</f>
        <v>33.494520547945207</v>
      </c>
      <c r="T110" s="5">
        <f>(P67*($E67/365))+(P68*($E68/365))</f>
        <v>24.8</v>
      </c>
      <c r="U110" s="5">
        <f>(Q67*($E67/365))+(Q68*($E68/365))</f>
        <v>0</v>
      </c>
      <c r="W110" s="4">
        <f>SUM(S110:U110)</f>
        <v>58.294520547945211</v>
      </c>
    </row>
    <row r="111" spans="1:23" x14ac:dyDescent="0.15">
      <c r="A111" s="1">
        <v>2022</v>
      </c>
      <c r="B111" s="5">
        <f>(K69*($E69/365))+(K70*($E70/365))+(K71*($E71/365))</f>
        <v>65.150684931506845</v>
      </c>
      <c r="C111" s="5">
        <f>(L69*($E69/365))+(L70*($E70/365))+(L71*($E71/365))</f>
        <v>19.689497716894977</v>
      </c>
      <c r="D111" s="5">
        <f>(M69*($E69/365))+(M70*($E70/365))+(M71*($E71/365))</f>
        <v>15.159817351598171</v>
      </c>
      <c r="E111" s="17">
        <f>SUM(B111:D111)</f>
        <v>100</v>
      </c>
      <c r="G111" s="1">
        <v>2022</v>
      </c>
      <c r="H111" s="362">
        <f>(O69/$R69*100*($E69/365))+(O70/$R70*100*($E70/365))+(O71/$R71*100*($E71/365))</f>
        <v>74.547829217397776</v>
      </c>
      <c r="I111" s="362"/>
      <c r="J111" s="362">
        <f>(P69/$R69*100*($E69/365))+(P70/$R70*100*($E70/365))+(P71/$R71*100*($E71/365))</f>
        <v>17.886430160402764</v>
      </c>
      <c r="K111" s="362"/>
      <c r="L111" s="362">
        <f>(Q69/$R69*100*($E69/365))+(Q70/$R70*100*($E70/365))+(Q71/$R71*100*($E71/365))</f>
        <v>7.5657406221994616</v>
      </c>
      <c r="M111" s="362"/>
      <c r="N111" s="363">
        <f>SUM(H111:M111)</f>
        <v>100</v>
      </c>
      <c r="O111" s="363"/>
      <c r="R111" s="1">
        <v>2022</v>
      </c>
      <c r="S111" s="5">
        <f>(O69*($E69/365))+(O70*($E70/365))+(O71*($E71/365))</f>
        <v>38.657260273972604</v>
      </c>
      <c r="T111" s="5">
        <f>(P69*($E69/365))+(P70*($E70/365))+(P71*($E71/365))</f>
        <v>10.463561643835616</v>
      </c>
      <c r="U111" s="5">
        <f>(Q69*($E69/365))+(Q70*($E70/365))+(Q71*($E71/365))</f>
        <v>4.0476712328767128</v>
      </c>
      <c r="W111" s="4">
        <f>SUM(S111:U111)</f>
        <v>53.168493150684938</v>
      </c>
    </row>
  </sheetData>
  <mergeCells count="224">
    <mergeCell ref="H111:I111"/>
    <mergeCell ref="J111:K111"/>
    <mergeCell ref="L111:M111"/>
    <mergeCell ref="N111:O111"/>
    <mergeCell ref="H108:I108"/>
    <mergeCell ref="J108:K108"/>
    <mergeCell ref="L108:M108"/>
    <mergeCell ref="N108:O108"/>
    <mergeCell ref="H109:I109"/>
    <mergeCell ref="J109:K109"/>
    <mergeCell ref="L109:M109"/>
    <mergeCell ref="N109:O109"/>
    <mergeCell ref="H110:I110"/>
    <mergeCell ref="J110:K110"/>
    <mergeCell ref="L110:M110"/>
    <mergeCell ref="N110:O110"/>
    <mergeCell ref="H105:I105"/>
    <mergeCell ref="J105:K105"/>
    <mergeCell ref="L105:M105"/>
    <mergeCell ref="N105:O105"/>
    <mergeCell ref="H106:I106"/>
    <mergeCell ref="J106:K106"/>
    <mergeCell ref="L106:M106"/>
    <mergeCell ref="N106:O106"/>
    <mergeCell ref="H107:I107"/>
    <mergeCell ref="J107:K107"/>
    <mergeCell ref="L107:M107"/>
    <mergeCell ref="N107:O107"/>
    <mergeCell ref="N102:O102"/>
    <mergeCell ref="H103:I103"/>
    <mergeCell ref="J103:K103"/>
    <mergeCell ref="L103:M103"/>
    <mergeCell ref="N103:O103"/>
    <mergeCell ref="H104:I104"/>
    <mergeCell ref="J104:K104"/>
    <mergeCell ref="L104:M104"/>
    <mergeCell ref="N104:O104"/>
    <mergeCell ref="H101:I101"/>
    <mergeCell ref="J101:K101"/>
    <mergeCell ref="L101:M101"/>
    <mergeCell ref="H102:I102"/>
    <mergeCell ref="J102:K102"/>
    <mergeCell ref="L102:M102"/>
    <mergeCell ref="J82:K82"/>
    <mergeCell ref="L82:M82"/>
    <mergeCell ref="H86:I86"/>
    <mergeCell ref="J86:K86"/>
    <mergeCell ref="L86:M86"/>
    <mergeCell ref="J96:K96"/>
    <mergeCell ref="L96:M96"/>
    <mergeCell ref="C65:D65"/>
    <mergeCell ref="C66:D66"/>
    <mergeCell ref="N78:O78"/>
    <mergeCell ref="H79:I79"/>
    <mergeCell ref="J79:K79"/>
    <mergeCell ref="L79:M79"/>
    <mergeCell ref="N79:O79"/>
    <mergeCell ref="H81:I81"/>
    <mergeCell ref="J81:K81"/>
    <mergeCell ref="L81:M81"/>
    <mergeCell ref="N81:O81"/>
    <mergeCell ref="H78:I78"/>
    <mergeCell ref="J78:K78"/>
    <mergeCell ref="L78:M78"/>
    <mergeCell ref="C67:D67"/>
    <mergeCell ref="C68:D68"/>
    <mergeCell ref="C71:D71"/>
    <mergeCell ref="C69:D69"/>
    <mergeCell ref="C70:D70"/>
    <mergeCell ref="C64:D64"/>
    <mergeCell ref="C63:D63"/>
    <mergeCell ref="AT4:AW4"/>
    <mergeCell ref="AX4:BA4"/>
    <mergeCell ref="K4:N4"/>
    <mergeCell ref="O4:R4"/>
    <mergeCell ref="Z4:AC4"/>
    <mergeCell ref="AD4:AG4"/>
    <mergeCell ref="AH4:AK4"/>
    <mergeCell ref="AL4:AO4"/>
    <mergeCell ref="AP4:AS4"/>
    <mergeCell ref="S4:S5"/>
    <mergeCell ref="U4:U5"/>
    <mergeCell ref="V4:Y4"/>
    <mergeCell ref="C13:D13"/>
    <mergeCell ref="C19:D19"/>
    <mergeCell ref="C20:D20"/>
    <mergeCell ref="C21:D21"/>
    <mergeCell ref="C22:D22"/>
    <mergeCell ref="C23:D23"/>
    <mergeCell ref="C6:D6"/>
    <mergeCell ref="C7:D7"/>
    <mergeCell ref="C8:D8"/>
    <mergeCell ref="C9:D9"/>
    <mergeCell ref="G3:M3"/>
    <mergeCell ref="O3:Q3"/>
    <mergeCell ref="A4:A5"/>
    <mergeCell ref="B4:B5"/>
    <mergeCell ref="C4:D5"/>
    <mergeCell ref="E4:E5"/>
    <mergeCell ref="F4:F5"/>
    <mergeCell ref="G4:J4"/>
    <mergeCell ref="T4:T5"/>
    <mergeCell ref="C10:D10"/>
    <mergeCell ref="C11:D11"/>
    <mergeCell ref="C12:D12"/>
    <mergeCell ref="C14:D14"/>
    <mergeCell ref="C15:D15"/>
    <mergeCell ref="C24:D24"/>
    <mergeCell ref="C25:D25"/>
    <mergeCell ref="C26:D26"/>
    <mergeCell ref="C27:D27"/>
    <mergeCell ref="C28:D28"/>
    <mergeCell ref="C29:D29"/>
    <mergeCell ref="C36:D36"/>
    <mergeCell ref="C37:D37"/>
    <mergeCell ref="C16:D16"/>
    <mergeCell ref="C17:D17"/>
    <mergeCell ref="C18:D18"/>
    <mergeCell ref="C38:D38"/>
    <mergeCell ref="C39:D39"/>
    <mergeCell ref="C40:D40"/>
    <mergeCell ref="C30:D30"/>
    <mergeCell ref="C31:D31"/>
    <mergeCell ref="C32:D32"/>
    <mergeCell ref="C33:D33"/>
    <mergeCell ref="C34:D34"/>
    <mergeCell ref="C41:D41"/>
    <mergeCell ref="C35:D35"/>
    <mergeCell ref="C42:D42"/>
    <mergeCell ref="C43:D43"/>
    <mergeCell ref="C44:D44"/>
    <mergeCell ref="C45:D45"/>
    <mergeCell ref="C46:D46"/>
    <mergeCell ref="C47:D47"/>
    <mergeCell ref="C48:D48"/>
    <mergeCell ref="R75:W75"/>
    <mergeCell ref="H77:I77"/>
    <mergeCell ref="J77:K77"/>
    <mergeCell ref="L77:M77"/>
    <mergeCell ref="N77:O77"/>
    <mergeCell ref="C49:D49"/>
    <mergeCell ref="C50:D50"/>
    <mergeCell ref="C51:D51"/>
    <mergeCell ref="C52:D52"/>
    <mergeCell ref="C54:D54"/>
    <mergeCell ref="C53:D53"/>
    <mergeCell ref="C55:D55"/>
    <mergeCell ref="C56:D56"/>
    <mergeCell ref="C57:D57"/>
    <mergeCell ref="C58:D58"/>
    <mergeCell ref="C59:D59"/>
    <mergeCell ref="C60:D60"/>
    <mergeCell ref="C61:D61"/>
    <mergeCell ref="N82:O82"/>
    <mergeCell ref="H83:I83"/>
    <mergeCell ref="J83:K83"/>
    <mergeCell ref="L83:M83"/>
    <mergeCell ref="N83:O83"/>
    <mergeCell ref="N84:O84"/>
    <mergeCell ref="H85:I85"/>
    <mergeCell ref="J85:K85"/>
    <mergeCell ref="L85:M85"/>
    <mergeCell ref="N85:O85"/>
    <mergeCell ref="H82:I82"/>
    <mergeCell ref="N86:O86"/>
    <mergeCell ref="H84:I84"/>
    <mergeCell ref="J84:K84"/>
    <mergeCell ref="L84:M84"/>
    <mergeCell ref="H95:I95"/>
    <mergeCell ref="J94:K94"/>
    <mergeCell ref="J95:K95"/>
    <mergeCell ref="L94:M94"/>
    <mergeCell ref="L95:M95"/>
    <mergeCell ref="H90:I90"/>
    <mergeCell ref="J90:K90"/>
    <mergeCell ref="L90:M90"/>
    <mergeCell ref="N87:O87"/>
    <mergeCell ref="H88:I88"/>
    <mergeCell ref="J88:K88"/>
    <mergeCell ref="L88:M88"/>
    <mergeCell ref="N88:O88"/>
    <mergeCell ref="H89:I89"/>
    <mergeCell ref="J89:K89"/>
    <mergeCell ref="L89:M89"/>
    <mergeCell ref="N89:O89"/>
    <mergeCell ref="H87:I87"/>
    <mergeCell ref="J87:K87"/>
    <mergeCell ref="L87:M87"/>
    <mergeCell ref="N91:O91"/>
    <mergeCell ref="N94:O94"/>
    <mergeCell ref="N95:O95"/>
    <mergeCell ref="H92:I92"/>
    <mergeCell ref="J92:K92"/>
    <mergeCell ref="L92:M92"/>
    <mergeCell ref="N92:O92"/>
    <mergeCell ref="H93:I93"/>
    <mergeCell ref="J93:K93"/>
    <mergeCell ref="L93:M93"/>
    <mergeCell ref="N93:O93"/>
    <mergeCell ref="H94:I94"/>
    <mergeCell ref="C62:D62"/>
    <mergeCell ref="N101:O101"/>
    <mergeCell ref="H100:I100"/>
    <mergeCell ref="J100:K100"/>
    <mergeCell ref="L100:M100"/>
    <mergeCell ref="N100:O100"/>
    <mergeCell ref="H98:I98"/>
    <mergeCell ref="J98:K98"/>
    <mergeCell ref="L98:M98"/>
    <mergeCell ref="N98:O98"/>
    <mergeCell ref="H99:I99"/>
    <mergeCell ref="J99:K99"/>
    <mergeCell ref="L99:M99"/>
    <mergeCell ref="N99:O99"/>
    <mergeCell ref="N96:O96"/>
    <mergeCell ref="H97:I97"/>
    <mergeCell ref="J97:K97"/>
    <mergeCell ref="L97:M97"/>
    <mergeCell ref="N97:O97"/>
    <mergeCell ref="H96:I96"/>
    <mergeCell ref="N90:O90"/>
    <mergeCell ref="H91:I91"/>
    <mergeCell ref="J91:K91"/>
    <mergeCell ref="L91:M91"/>
  </mergeCells>
  <phoneticPr fontId="23" type="noConversion"/>
  <pageMargins left="0.78740157499999996" right="0.78740157499999996" top="0.984251969" bottom="0.984251969" header="0.4921259845" footer="0.4921259845"/>
  <pageSetup paperSize="9" orientation="portrait" r:id="rId1"/>
  <headerFooter alignWithMargins="0"/>
  <ignoredErrors>
    <ignoredError sqref="R70:R71" formulaRange="1"/>
  </ignoredErrors>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A216"/>
  <sheetViews>
    <sheetView zoomScale="123" zoomScaleNormal="120" workbookViewId="0">
      <pane xSplit="1" ySplit="5" topLeftCell="L125" activePane="bottomRight" state="frozen"/>
      <selection pane="topRight" activeCell="B1" sqref="B1"/>
      <selection pane="bottomLeft" activeCell="A6" sqref="A6"/>
      <selection pane="bottomRight" activeCell="AB139"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53</v>
      </c>
    </row>
    <row r="3" spans="1:53" x14ac:dyDescent="0.15">
      <c r="G3" s="397"/>
      <c r="H3" s="397"/>
      <c r="I3" s="397"/>
      <c r="J3" s="397"/>
      <c r="K3" s="397"/>
      <c r="L3" s="397"/>
      <c r="M3" s="397"/>
      <c r="O3" s="397"/>
      <c r="P3" s="397"/>
      <c r="Q3" s="397"/>
      <c r="R3" s="4"/>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139" customFormat="1" x14ac:dyDescent="0.15">
      <c r="A6" s="145">
        <v>1959</v>
      </c>
      <c r="B6" s="294"/>
      <c r="C6" s="382" t="s">
        <v>1225</v>
      </c>
      <c r="D6" s="382"/>
      <c r="E6" s="139">
        <v>12</v>
      </c>
      <c r="G6" s="147">
        <v>3</v>
      </c>
      <c r="H6" s="139">
        <v>4</v>
      </c>
      <c r="I6" s="139">
        <v>3</v>
      </c>
      <c r="J6" s="153">
        <v>11</v>
      </c>
      <c r="K6" s="133">
        <f>G6/J6*100</f>
        <v>27.27272727272727</v>
      </c>
      <c r="L6" s="133">
        <f>H6/J6*100</f>
        <v>36.363636363636367</v>
      </c>
      <c r="M6" s="133">
        <f>I6/J6*100</f>
        <v>27.27272727272727</v>
      </c>
      <c r="N6" s="149">
        <f>SUM(K6:M6)</f>
        <v>90.909090909090907</v>
      </c>
      <c r="O6" s="132">
        <f>AG6+AK6</f>
        <v>21</v>
      </c>
      <c r="P6" s="133">
        <v>24</v>
      </c>
      <c r="Q6" s="133">
        <v>24</v>
      </c>
      <c r="R6" s="134">
        <f>SUM(O6:Q6)</f>
        <v>69</v>
      </c>
      <c r="S6" s="139">
        <v>2</v>
      </c>
      <c r="T6" s="306"/>
      <c r="U6" s="294"/>
      <c r="V6" s="138" t="s">
        <v>107</v>
      </c>
      <c r="W6" s="139" t="s">
        <v>869</v>
      </c>
      <c r="X6" s="139" t="s">
        <v>18</v>
      </c>
      <c r="Y6" s="140">
        <v>24</v>
      </c>
      <c r="Z6" s="138" t="s">
        <v>111</v>
      </c>
      <c r="AA6" s="139" t="s">
        <v>20</v>
      </c>
      <c r="AB6" s="139" t="s">
        <v>12</v>
      </c>
      <c r="AC6" s="139">
        <v>24</v>
      </c>
      <c r="AD6" s="138" t="s">
        <v>109</v>
      </c>
      <c r="AE6" s="139" t="s">
        <v>89</v>
      </c>
      <c r="AF6" s="139" t="s">
        <v>11</v>
      </c>
      <c r="AG6" s="140">
        <v>6.5</v>
      </c>
      <c r="AH6" s="138" t="s">
        <v>108</v>
      </c>
      <c r="AI6" s="139" t="s">
        <v>74</v>
      </c>
      <c r="AJ6" s="139" t="s">
        <v>11</v>
      </c>
      <c r="AK6" s="139">
        <v>14.5</v>
      </c>
      <c r="AL6" s="138"/>
      <c r="AO6" s="140"/>
      <c r="AP6" s="138"/>
      <c r="AS6" s="140"/>
      <c r="AW6" s="140"/>
      <c r="BA6" s="141"/>
    </row>
    <row r="7" spans="1:53" s="139" customFormat="1" x14ac:dyDescent="0.15">
      <c r="A7" s="145">
        <v>1959</v>
      </c>
      <c r="B7" s="294">
        <v>21563</v>
      </c>
      <c r="C7" s="382" t="s">
        <v>331</v>
      </c>
      <c r="D7" s="382"/>
      <c r="E7" s="139">
        <f>365-E6</f>
        <v>353</v>
      </c>
      <c r="F7" s="139">
        <v>4</v>
      </c>
      <c r="G7" s="147"/>
      <c r="H7" s="139">
        <v>11</v>
      </c>
      <c r="J7" s="153">
        <v>11</v>
      </c>
      <c r="K7" s="133">
        <f>G7/J7*100</f>
        <v>0</v>
      </c>
      <c r="L7" s="133">
        <f>H7/J7*100</f>
        <v>100</v>
      </c>
      <c r="M7" s="133">
        <f>I7/J7*100</f>
        <v>0</v>
      </c>
      <c r="N7" s="149">
        <f>SUM(K7:M7)</f>
        <v>100</v>
      </c>
      <c r="O7" s="132"/>
      <c r="P7" s="133">
        <v>24</v>
      </c>
      <c r="Q7" s="133"/>
      <c r="R7" s="134">
        <f>SUM(O7:Q7)</f>
        <v>24</v>
      </c>
      <c r="S7" s="139">
        <v>4</v>
      </c>
      <c r="T7" s="306"/>
      <c r="U7" s="294">
        <v>21563</v>
      </c>
      <c r="V7" s="138" t="s">
        <v>107</v>
      </c>
      <c r="W7" s="139" t="s">
        <v>869</v>
      </c>
      <c r="X7" s="139" t="s">
        <v>18</v>
      </c>
      <c r="Y7" s="140">
        <v>24</v>
      </c>
      <c r="AD7" s="138"/>
      <c r="AG7" s="140"/>
      <c r="AL7" s="138"/>
      <c r="AO7" s="140"/>
      <c r="AP7" s="138"/>
      <c r="AS7" s="140"/>
      <c r="AW7" s="140"/>
      <c r="BA7" s="141"/>
    </row>
    <row r="8" spans="1:53" s="28" customFormat="1" x14ac:dyDescent="0.15">
      <c r="A8" s="51">
        <v>1960</v>
      </c>
      <c r="B8" s="293"/>
      <c r="C8" s="370" t="s">
        <v>331</v>
      </c>
      <c r="D8" s="370"/>
      <c r="E8" s="28">
        <v>0</v>
      </c>
      <c r="G8" s="65"/>
      <c r="H8" s="28">
        <v>11</v>
      </c>
      <c r="J8" s="72">
        <v>11</v>
      </c>
      <c r="K8" s="46">
        <f>G8/J8*100</f>
        <v>0</v>
      </c>
      <c r="L8" s="46">
        <f>H8/J8*100</f>
        <v>100</v>
      </c>
      <c r="M8" s="46">
        <f>I8/J8*100</f>
        <v>0</v>
      </c>
      <c r="N8" s="67">
        <f>SUM(K8:M8)</f>
        <v>100</v>
      </c>
      <c r="O8" s="45"/>
      <c r="P8" s="46">
        <v>24</v>
      </c>
      <c r="Q8" s="46"/>
      <c r="R8" s="47">
        <f>SUM(O8:Q8)</f>
        <v>24</v>
      </c>
      <c r="S8" s="28">
        <v>4</v>
      </c>
      <c r="T8" s="284"/>
      <c r="U8" s="293"/>
      <c r="V8" s="37" t="s">
        <v>107</v>
      </c>
      <c r="W8" s="28" t="s">
        <v>869</v>
      </c>
      <c r="X8" s="28" t="s">
        <v>18</v>
      </c>
      <c r="Y8" s="38">
        <v>24</v>
      </c>
      <c r="AD8" s="37"/>
      <c r="AG8" s="38"/>
      <c r="AL8" s="37"/>
      <c r="AO8" s="38"/>
      <c r="AP8" s="37"/>
      <c r="AS8" s="38"/>
      <c r="AW8" s="38"/>
      <c r="BA8" s="39"/>
    </row>
    <row r="9" spans="1:53" s="28" customFormat="1" x14ac:dyDescent="0.15">
      <c r="A9" s="51">
        <v>1960</v>
      </c>
      <c r="B9" s="293"/>
      <c r="C9" s="370" t="s">
        <v>331</v>
      </c>
      <c r="D9" s="370"/>
      <c r="E9" s="28">
        <v>366</v>
      </c>
      <c r="G9" s="65"/>
      <c r="H9" s="28">
        <v>11</v>
      </c>
      <c r="J9" s="72">
        <v>11</v>
      </c>
      <c r="K9" s="46">
        <f t="shared" ref="K9:K14" si="0">G9/J9*100</f>
        <v>0</v>
      </c>
      <c r="L9" s="46">
        <f t="shared" ref="L9:L14" si="1">H9/J9*100</f>
        <v>100</v>
      </c>
      <c r="M9" s="46">
        <f t="shared" ref="M9:M14" si="2">I9/J9*100</f>
        <v>0</v>
      </c>
      <c r="N9" s="67">
        <f t="shared" ref="N9:N72" si="3">SUM(K9:M9)</f>
        <v>100</v>
      </c>
      <c r="O9" s="45"/>
      <c r="P9" s="46">
        <v>24</v>
      </c>
      <c r="Q9" s="46"/>
      <c r="R9" s="47">
        <f t="shared" ref="R9:R72" si="4">SUM(O9:Q9)</f>
        <v>24</v>
      </c>
      <c r="S9" s="28">
        <v>4</v>
      </c>
      <c r="T9" s="284"/>
      <c r="U9" s="293"/>
      <c r="V9" s="37" t="s">
        <v>107</v>
      </c>
      <c r="W9" s="28" t="s">
        <v>869</v>
      </c>
      <c r="X9" s="28" t="s">
        <v>18</v>
      </c>
      <c r="Y9" s="38">
        <v>24</v>
      </c>
      <c r="Z9" s="37"/>
      <c r="AC9" s="38"/>
      <c r="AD9" s="37"/>
      <c r="AG9" s="38"/>
      <c r="AL9" s="37"/>
      <c r="AO9" s="38"/>
      <c r="AP9" s="37"/>
      <c r="AS9" s="38"/>
      <c r="AW9" s="38"/>
      <c r="BA9" s="39"/>
    </row>
    <row r="10" spans="1:53" s="28" customFormat="1" x14ac:dyDescent="0.15">
      <c r="A10" s="51">
        <v>1961</v>
      </c>
      <c r="B10" s="293"/>
      <c r="C10" s="370" t="s">
        <v>331</v>
      </c>
      <c r="D10" s="370"/>
      <c r="E10" s="28">
        <v>194</v>
      </c>
      <c r="G10" s="65"/>
      <c r="H10" s="28">
        <v>11</v>
      </c>
      <c r="J10" s="72">
        <v>11</v>
      </c>
      <c r="K10" s="46">
        <f t="shared" si="0"/>
        <v>0</v>
      </c>
      <c r="L10" s="46">
        <f t="shared" si="1"/>
        <v>100</v>
      </c>
      <c r="M10" s="46">
        <f t="shared" si="2"/>
        <v>0</v>
      </c>
      <c r="N10" s="67">
        <f t="shared" si="3"/>
        <v>100</v>
      </c>
      <c r="O10" s="45"/>
      <c r="P10" s="46">
        <v>24</v>
      </c>
      <c r="Q10" s="46"/>
      <c r="R10" s="47">
        <f t="shared" si="4"/>
        <v>24</v>
      </c>
      <c r="S10" s="28">
        <v>4</v>
      </c>
      <c r="T10" s="284"/>
      <c r="U10" s="293"/>
      <c r="V10" s="37" t="s">
        <v>107</v>
      </c>
      <c r="W10" s="28" t="s">
        <v>869</v>
      </c>
      <c r="X10" s="28" t="s">
        <v>18</v>
      </c>
      <c r="Y10" s="38">
        <v>24</v>
      </c>
      <c r="Z10" s="37"/>
      <c r="AC10" s="38"/>
      <c r="AD10" s="37"/>
      <c r="AG10" s="38"/>
      <c r="AL10" s="37"/>
      <c r="AO10" s="38"/>
      <c r="AP10" s="37"/>
      <c r="AS10" s="38"/>
      <c r="AW10" s="38"/>
      <c r="BA10" s="39"/>
    </row>
    <row r="11" spans="1:53" s="170" customFormat="1" x14ac:dyDescent="0.15">
      <c r="A11" s="215">
        <v>1961</v>
      </c>
      <c r="B11" s="281">
        <v>22476</v>
      </c>
      <c r="C11" s="369" t="s">
        <v>332</v>
      </c>
      <c r="D11" s="369"/>
      <c r="E11" s="170">
        <v>171</v>
      </c>
      <c r="F11" s="170">
        <v>2</v>
      </c>
      <c r="G11" s="232"/>
      <c r="H11" s="170">
        <v>12</v>
      </c>
      <c r="J11" s="240">
        <v>13</v>
      </c>
      <c r="K11" s="213">
        <f t="shared" si="0"/>
        <v>0</v>
      </c>
      <c r="L11" s="213">
        <f t="shared" si="1"/>
        <v>92.307692307692307</v>
      </c>
      <c r="M11" s="213">
        <f t="shared" si="2"/>
        <v>0</v>
      </c>
      <c r="N11" s="234">
        <f t="shared" si="3"/>
        <v>92.307692307692307</v>
      </c>
      <c r="O11" s="212"/>
      <c r="P11" s="213">
        <v>24</v>
      </c>
      <c r="Q11" s="213"/>
      <c r="R11" s="214">
        <f t="shared" si="4"/>
        <v>24</v>
      </c>
      <c r="S11" s="170">
        <v>4</v>
      </c>
      <c r="T11" s="283"/>
      <c r="U11" s="281">
        <v>22476</v>
      </c>
      <c r="V11" s="177" t="s">
        <v>107</v>
      </c>
      <c r="W11" s="170" t="s">
        <v>869</v>
      </c>
      <c r="X11" s="170" t="s">
        <v>18</v>
      </c>
      <c r="Y11" s="178">
        <v>24</v>
      </c>
      <c r="Z11" s="177"/>
      <c r="AC11" s="178"/>
      <c r="AD11" s="177"/>
      <c r="AG11" s="178"/>
      <c r="AL11" s="177"/>
      <c r="AO11" s="178"/>
      <c r="AP11" s="177"/>
      <c r="AS11" s="178"/>
      <c r="AW11" s="178"/>
      <c r="BA11" s="179"/>
    </row>
    <row r="12" spans="1:53" s="170" customFormat="1" x14ac:dyDescent="0.15">
      <c r="A12" s="215">
        <v>1962</v>
      </c>
      <c r="B12" s="281"/>
      <c r="C12" s="369" t="s">
        <v>332</v>
      </c>
      <c r="D12" s="369"/>
      <c r="E12" s="170">
        <v>102</v>
      </c>
      <c r="G12" s="232"/>
      <c r="H12" s="170">
        <v>12</v>
      </c>
      <c r="J12" s="240">
        <v>13</v>
      </c>
      <c r="K12" s="213">
        <f t="shared" si="0"/>
        <v>0</v>
      </c>
      <c r="L12" s="213">
        <f t="shared" si="1"/>
        <v>92.307692307692307</v>
      </c>
      <c r="M12" s="213">
        <f t="shared" si="2"/>
        <v>0</v>
      </c>
      <c r="N12" s="234">
        <f t="shared" si="3"/>
        <v>92.307692307692307</v>
      </c>
      <c r="O12" s="212"/>
      <c r="P12" s="213">
        <v>24</v>
      </c>
      <c r="Q12" s="213"/>
      <c r="R12" s="214">
        <f t="shared" si="4"/>
        <v>24</v>
      </c>
      <c r="S12" s="170">
        <v>4</v>
      </c>
      <c r="T12" s="283"/>
      <c r="U12" s="281"/>
      <c r="V12" s="177" t="s">
        <v>107</v>
      </c>
      <c r="W12" s="170" t="s">
        <v>869</v>
      </c>
      <c r="X12" s="170" t="s">
        <v>18</v>
      </c>
      <c r="Y12" s="178">
        <v>24</v>
      </c>
      <c r="Z12" s="177"/>
      <c r="AC12" s="178"/>
      <c r="AD12" s="177"/>
      <c r="AG12" s="178"/>
      <c r="AL12" s="177"/>
      <c r="AO12" s="178"/>
      <c r="AP12" s="177"/>
      <c r="AS12" s="178"/>
      <c r="AW12" s="178"/>
      <c r="BA12" s="179"/>
    </row>
    <row r="13" spans="1:53" s="28" customFormat="1" x14ac:dyDescent="0.15">
      <c r="A13" s="51">
        <v>1962</v>
      </c>
      <c r="B13" s="293">
        <v>22749</v>
      </c>
      <c r="C13" s="370" t="s">
        <v>333</v>
      </c>
      <c r="D13" s="370"/>
      <c r="E13" s="28">
        <v>263</v>
      </c>
      <c r="F13" s="28">
        <v>6</v>
      </c>
      <c r="G13" s="65">
        <v>3</v>
      </c>
      <c r="H13" s="28">
        <v>7</v>
      </c>
      <c r="J13" s="72">
        <v>11</v>
      </c>
      <c r="K13" s="46">
        <f t="shared" si="0"/>
        <v>27.27272727272727</v>
      </c>
      <c r="L13" s="46">
        <f t="shared" si="1"/>
        <v>63.636363636363633</v>
      </c>
      <c r="M13" s="46">
        <f t="shared" si="2"/>
        <v>0</v>
      </c>
      <c r="N13" s="67">
        <f t="shared" si="3"/>
        <v>90.909090909090907</v>
      </c>
      <c r="O13" s="45">
        <v>23</v>
      </c>
      <c r="P13" s="46">
        <v>33</v>
      </c>
      <c r="Q13" s="46"/>
      <c r="R13" s="47">
        <f t="shared" si="4"/>
        <v>56</v>
      </c>
      <c r="S13" s="28">
        <v>2</v>
      </c>
      <c r="T13" s="284">
        <v>22681</v>
      </c>
      <c r="U13" s="293">
        <v>22749</v>
      </c>
      <c r="V13" s="37" t="s">
        <v>107</v>
      </c>
      <c r="W13" s="28" t="s">
        <v>869</v>
      </c>
      <c r="X13" s="28" t="s">
        <v>18</v>
      </c>
      <c r="Y13" s="28">
        <v>26.5</v>
      </c>
      <c r="Z13" s="37" t="s">
        <v>108</v>
      </c>
      <c r="AA13" s="28" t="s">
        <v>74</v>
      </c>
      <c r="AB13" s="28" t="s">
        <v>11</v>
      </c>
      <c r="AC13" s="38">
        <v>16</v>
      </c>
      <c r="AD13" s="37" t="s">
        <v>109</v>
      </c>
      <c r="AE13" s="28" t="s">
        <v>89</v>
      </c>
      <c r="AF13" s="28" t="s">
        <v>11</v>
      </c>
      <c r="AG13" s="38">
        <v>7</v>
      </c>
      <c r="AH13" s="28" t="s">
        <v>110</v>
      </c>
      <c r="AI13" s="28" t="s">
        <v>22</v>
      </c>
      <c r="AJ13" s="28" t="s">
        <v>18</v>
      </c>
      <c r="AK13" s="28">
        <v>6.5</v>
      </c>
      <c r="AL13" s="37"/>
      <c r="AO13" s="38"/>
      <c r="AP13" s="37"/>
      <c r="AS13" s="38"/>
      <c r="AW13" s="38"/>
      <c r="BA13" s="39"/>
    </row>
    <row r="14" spans="1:53" s="28" customFormat="1" x14ac:dyDescent="0.15">
      <c r="A14" s="51">
        <v>1963</v>
      </c>
      <c r="B14" s="293"/>
      <c r="C14" s="370" t="s">
        <v>333</v>
      </c>
      <c r="D14" s="370"/>
      <c r="E14" s="28">
        <v>294</v>
      </c>
      <c r="G14" s="65">
        <v>3</v>
      </c>
      <c r="H14" s="28">
        <v>7</v>
      </c>
      <c r="J14" s="72">
        <v>11</v>
      </c>
      <c r="K14" s="46">
        <f t="shared" si="0"/>
        <v>27.27272727272727</v>
      </c>
      <c r="L14" s="46">
        <f t="shared" si="1"/>
        <v>63.636363636363633</v>
      </c>
      <c r="M14" s="46">
        <f t="shared" si="2"/>
        <v>0</v>
      </c>
      <c r="N14" s="67">
        <f t="shared" si="3"/>
        <v>90.909090909090907</v>
      </c>
      <c r="O14" s="45">
        <v>23</v>
      </c>
      <c r="P14" s="46">
        <v>33</v>
      </c>
      <c r="Q14" s="46"/>
      <c r="R14" s="47">
        <f t="shared" si="4"/>
        <v>56</v>
      </c>
      <c r="S14" s="28">
        <v>2</v>
      </c>
      <c r="T14" s="284"/>
      <c r="U14" s="293"/>
      <c r="V14" s="37" t="s">
        <v>107</v>
      </c>
      <c r="W14" s="28" t="s">
        <v>869</v>
      </c>
      <c r="X14" s="28" t="s">
        <v>18</v>
      </c>
      <c r="Y14" s="28">
        <v>26.5</v>
      </c>
      <c r="Z14" s="37" t="s">
        <v>108</v>
      </c>
      <c r="AA14" s="28" t="s">
        <v>74</v>
      </c>
      <c r="AB14" s="28" t="s">
        <v>11</v>
      </c>
      <c r="AC14" s="38">
        <v>16</v>
      </c>
      <c r="AD14" s="37" t="s">
        <v>109</v>
      </c>
      <c r="AE14" s="28" t="s">
        <v>89</v>
      </c>
      <c r="AF14" s="28" t="s">
        <v>11</v>
      </c>
      <c r="AG14" s="38">
        <v>7</v>
      </c>
      <c r="AH14" s="28" t="s">
        <v>110</v>
      </c>
      <c r="AI14" s="28" t="s">
        <v>22</v>
      </c>
      <c r="AJ14" s="28" t="s">
        <v>18</v>
      </c>
      <c r="AK14" s="28">
        <v>6.5</v>
      </c>
      <c r="AL14" s="37"/>
      <c r="AO14" s="38"/>
      <c r="AP14" s="37"/>
      <c r="AS14" s="38"/>
      <c r="AW14" s="38"/>
      <c r="BA14" s="39"/>
    </row>
    <row r="15" spans="1:53" s="170" customFormat="1" x14ac:dyDescent="0.15">
      <c r="A15" s="215">
        <v>1963</v>
      </c>
      <c r="B15" s="281">
        <v>23306</v>
      </c>
      <c r="C15" s="369" t="s">
        <v>334</v>
      </c>
      <c r="D15" s="369"/>
      <c r="E15" s="170">
        <v>57</v>
      </c>
      <c r="F15" s="170">
        <v>4</v>
      </c>
      <c r="G15" s="232">
        <v>3</v>
      </c>
      <c r="H15" s="170">
        <v>7</v>
      </c>
      <c r="J15" s="240">
        <v>10</v>
      </c>
      <c r="K15" s="213">
        <f>G15/J15*100</f>
        <v>30</v>
      </c>
      <c r="L15" s="213">
        <f>H15/J15*100</f>
        <v>70</v>
      </c>
      <c r="M15" s="213">
        <f>I15/J15*100</f>
        <v>0</v>
      </c>
      <c r="N15" s="234">
        <f t="shared" si="3"/>
        <v>100</v>
      </c>
      <c r="O15" s="212">
        <v>23</v>
      </c>
      <c r="P15" s="213">
        <v>33</v>
      </c>
      <c r="Q15" s="213"/>
      <c r="R15" s="214">
        <f t="shared" si="4"/>
        <v>56</v>
      </c>
      <c r="S15" s="170">
        <v>2</v>
      </c>
      <c r="T15" s="283"/>
      <c r="U15" s="281">
        <v>23306</v>
      </c>
      <c r="V15" s="177" t="s">
        <v>107</v>
      </c>
      <c r="W15" s="170" t="s">
        <v>869</v>
      </c>
      <c r="X15" s="170" t="s">
        <v>18</v>
      </c>
      <c r="Y15" s="170">
        <v>26.5</v>
      </c>
      <c r="Z15" s="177" t="s">
        <v>108</v>
      </c>
      <c r="AA15" s="170" t="s">
        <v>74</v>
      </c>
      <c r="AB15" s="170" t="s">
        <v>11</v>
      </c>
      <c r="AC15" s="178">
        <v>16</v>
      </c>
      <c r="AD15" s="177" t="s">
        <v>109</v>
      </c>
      <c r="AE15" s="170" t="s">
        <v>89</v>
      </c>
      <c r="AF15" s="170" t="s">
        <v>11</v>
      </c>
      <c r="AG15" s="178">
        <v>7</v>
      </c>
      <c r="AH15" s="170" t="s">
        <v>110</v>
      </c>
      <c r="AI15" s="170" t="s">
        <v>22</v>
      </c>
      <c r="AJ15" s="170" t="s">
        <v>18</v>
      </c>
      <c r="AK15" s="170">
        <v>6.5</v>
      </c>
      <c r="AL15" s="177"/>
      <c r="AO15" s="178"/>
      <c r="AP15" s="177"/>
      <c r="AS15" s="178"/>
      <c r="AW15" s="178"/>
      <c r="BA15" s="179"/>
    </row>
    <row r="16" spans="1:53" s="28" customFormat="1" x14ac:dyDescent="0.15">
      <c r="A16" s="51">
        <v>1963</v>
      </c>
      <c r="B16" s="293">
        <v>23363</v>
      </c>
      <c r="C16" s="370" t="s">
        <v>339</v>
      </c>
      <c r="D16" s="370"/>
      <c r="E16" s="28">
        <v>14</v>
      </c>
      <c r="F16" s="28">
        <v>4</v>
      </c>
      <c r="G16" s="65">
        <v>0</v>
      </c>
      <c r="H16" s="28">
        <v>0</v>
      </c>
      <c r="I16" s="28">
        <v>0</v>
      </c>
      <c r="J16" s="72">
        <v>12</v>
      </c>
      <c r="K16" s="46">
        <f>G16/J16*100</f>
        <v>0</v>
      </c>
      <c r="L16" s="46">
        <f>H16/J16*100</f>
        <v>0</v>
      </c>
      <c r="M16" s="46">
        <f>I16/J16*100</f>
        <v>0</v>
      </c>
      <c r="N16" s="67">
        <f t="shared" si="3"/>
        <v>0</v>
      </c>
      <c r="O16" s="45">
        <v>0</v>
      </c>
      <c r="P16" s="46">
        <v>0</v>
      </c>
      <c r="Q16" s="46">
        <v>0</v>
      </c>
      <c r="R16" s="47">
        <f t="shared" si="4"/>
        <v>0</v>
      </c>
      <c r="S16" s="28">
        <v>7</v>
      </c>
      <c r="T16" s="284"/>
      <c r="U16" s="293">
        <v>23363</v>
      </c>
      <c r="V16" s="88" t="s">
        <v>798</v>
      </c>
      <c r="Z16" s="37"/>
      <c r="AC16" s="38"/>
      <c r="AD16" s="37"/>
      <c r="AG16" s="38"/>
      <c r="AL16" s="37"/>
      <c r="AO16" s="38"/>
      <c r="AP16" s="37"/>
      <c r="AS16" s="38"/>
      <c r="AW16" s="38"/>
      <c r="BA16" s="39"/>
    </row>
    <row r="17" spans="1:53" s="28" customFormat="1" x14ac:dyDescent="0.15">
      <c r="A17" s="51">
        <v>1964</v>
      </c>
      <c r="B17" s="293"/>
      <c r="C17" s="370" t="s">
        <v>339</v>
      </c>
      <c r="D17" s="370"/>
      <c r="E17" s="28">
        <v>255</v>
      </c>
      <c r="G17" s="65">
        <v>0</v>
      </c>
      <c r="H17" s="28">
        <v>0</v>
      </c>
      <c r="I17" s="28">
        <v>0</v>
      </c>
      <c r="J17" s="72">
        <v>12</v>
      </c>
      <c r="K17" s="46">
        <f t="shared" ref="K17:K22" si="5">G17/J17*100</f>
        <v>0</v>
      </c>
      <c r="L17" s="46">
        <f t="shared" ref="L17:L22" si="6">H17/J17*100</f>
        <v>0</v>
      </c>
      <c r="M17" s="46">
        <f t="shared" ref="M17:M22" si="7">I17/J17*100</f>
        <v>0</v>
      </c>
      <c r="N17" s="67">
        <f t="shared" si="3"/>
        <v>0</v>
      </c>
      <c r="O17" s="45">
        <v>0</v>
      </c>
      <c r="P17" s="46">
        <v>0</v>
      </c>
      <c r="Q17" s="46">
        <v>0</v>
      </c>
      <c r="R17" s="47">
        <f t="shared" si="4"/>
        <v>0</v>
      </c>
      <c r="S17" s="28">
        <v>7</v>
      </c>
      <c r="T17" s="284"/>
      <c r="U17" s="293"/>
      <c r="V17" s="88" t="s">
        <v>798</v>
      </c>
      <c r="Z17" s="37"/>
      <c r="AC17" s="38"/>
      <c r="AD17" s="37"/>
      <c r="AG17" s="38"/>
      <c r="AL17" s="37"/>
      <c r="AO17" s="38"/>
      <c r="AP17" s="37"/>
      <c r="AS17" s="38"/>
      <c r="AW17" s="38"/>
      <c r="BA17" s="39"/>
    </row>
    <row r="18" spans="1:53" s="170" customFormat="1" x14ac:dyDescent="0.15">
      <c r="A18" s="215">
        <v>1964</v>
      </c>
      <c r="B18" s="281">
        <v>23632</v>
      </c>
      <c r="C18" s="369" t="s">
        <v>336</v>
      </c>
      <c r="D18" s="369"/>
      <c r="E18" s="170">
        <v>111</v>
      </c>
      <c r="F18" s="170" t="s">
        <v>335</v>
      </c>
      <c r="G18" s="232">
        <v>4</v>
      </c>
      <c r="H18" s="170">
        <v>7</v>
      </c>
      <c r="J18" s="240">
        <v>11</v>
      </c>
      <c r="K18" s="213">
        <f t="shared" si="5"/>
        <v>36.363636363636367</v>
      </c>
      <c r="L18" s="213">
        <f t="shared" si="6"/>
        <v>63.636363636363633</v>
      </c>
      <c r="M18" s="213">
        <f t="shared" si="7"/>
        <v>0</v>
      </c>
      <c r="N18" s="234">
        <f t="shared" si="3"/>
        <v>100</v>
      </c>
      <c r="O18" s="212">
        <v>23</v>
      </c>
      <c r="P18" s="213">
        <v>33</v>
      </c>
      <c r="Q18" s="213"/>
      <c r="R18" s="214">
        <f t="shared" si="4"/>
        <v>56</v>
      </c>
      <c r="S18" s="170">
        <v>2</v>
      </c>
      <c r="T18" s="283"/>
      <c r="U18" s="281">
        <v>23632</v>
      </c>
      <c r="V18" s="177" t="s">
        <v>107</v>
      </c>
      <c r="W18" s="170" t="s">
        <v>869</v>
      </c>
      <c r="X18" s="170" t="s">
        <v>18</v>
      </c>
      <c r="Y18" s="170">
        <v>26.5</v>
      </c>
      <c r="Z18" s="177" t="s">
        <v>108</v>
      </c>
      <c r="AA18" s="170" t="s">
        <v>74</v>
      </c>
      <c r="AB18" s="170" t="s">
        <v>11</v>
      </c>
      <c r="AC18" s="178">
        <v>16</v>
      </c>
      <c r="AD18" s="177" t="s">
        <v>109</v>
      </c>
      <c r="AE18" s="170" t="s">
        <v>89</v>
      </c>
      <c r="AF18" s="170" t="s">
        <v>11</v>
      </c>
      <c r="AG18" s="178">
        <v>7</v>
      </c>
      <c r="AH18" s="170" t="s">
        <v>110</v>
      </c>
      <c r="AI18" s="170" t="s">
        <v>22</v>
      </c>
      <c r="AJ18" s="170" t="s">
        <v>18</v>
      </c>
      <c r="AK18" s="170">
        <v>6.5</v>
      </c>
      <c r="AL18" s="177"/>
      <c r="AO18" s="178"/>
      <c r="AP18" s="177"/>
      <c r="AS18" s="178"/>
      <c r="AW18" s="178"/>
      <c r="BA18" s="179"/>
    </row>
    <row r="19" spans="1:53" s="170" customFormat="1" x14ac:dyDescent="0.15">
      <c r="A19" s="215">
        <v>1965</v>
      </c>
      <c r="B19" s="281"/>
      <c r="C19" s="369" t="s">
        <v>336</v>
      </c>
      <c r="D19" s="369"/>
      <c r="E19" s="170">
        <v>0</v>
      </c>
      <c r="G19" s="232">
        <v>4</v>
      </c>
      <c r="H19" s="170">
        <v>7</v>
      </c>
      <c r="J19" s="240">
        <v>11</v>
      </c>
      <c r="K19" s="213">
        <f t="shared" si="5"/>
        <v>36.363636363636367</v>
      </c>
      <c r="L19" s="213">
        <f t="shared" si="6"/>
        <v>63.636363636363633</v>
      </c>
      <c r="M19" s="213">
        <f t="shared" si="7"/>
        <v>0</v>
      </c>
      <c r="N19" s="234">
        <f t="shared" si="3"/>
        <v>100</v>
      </c>
      <c r="O19" s="212">
        <v>23</v>
      </c>
      <c r="P19" s="213">
        <v>33</v>
      </c>
      <c r="Q19" s="213"/>
      <c r="R19" s="214">
        <f t="shared" si="4"/>
        <v>56</v>
      </c>
      <c r="S19" s="170">
        <v>2</v>
      </c>
      <c r="T19" s="283"/>
      <c r="U19" s="281"/>
      <c r="V19" s="177" t="s">
        <v>107</v>
      </c>
      <c r="W19" s="170" t="s">
        <v>869</v>
      </c>
      <c r="X19" s="170" t="s">
        <v>18</v>
      </c>
      <c r="Y19" s="170">
        <v>26.5</v>
      </c>
      <c r="Z19" s="177" t="s">
        <v>108</v>
      </c>
      <c r="AA19" s="170" t="s">
        <v>74</v>
      </c>
      <c r="AB19" s="170" t="s">
        <v>11</v>
      </c>
      <c r="AC19" s="178">
        <v>16</v>
      </c>
      <c r="AD19" s="177" t="s">
        <v>109</v>
      </c>
      <c r="AE19" s="170" t="s">
        <v>89</v>
      </c>
      <c r="AF19" s="170" t="s">
        <v>11</v>
      </c>
      <c r="AG19" s="178">
        <v>7</v>
      </c>
      <c r="AH19" s="170" t="s">
        <v>110</v>
      </c>
      <c r="AI19" s="170" t="s">
        <v>22</v>
      </c>
      <c r="AJ19" s="170" t="s">
        <v>18</v>
      </c>
      <c r="AK19" s="170">
        <v>6.5</v>
      </c>
      <c r="AL19" s="177"/>
      <c r="AO19" s="178"/>
      <c r="AP19" s="177"/>
      <c r="AS19" s="178"/>
      <c r="AW19" s="178"/>
      <c r="BA19" s="179"/>
    </row>
    <row r="20" spans="1:53" s="170" customFormat="1" x14ac:dyDescent="0.15">
      <c r="A20" s="215">
        <v>1965</v>
      </c>
      <c r="B20" s="281"/>
      <c r="C20" s="369" t="s">
        <v>336</v>
      </c>
      <c r="D20" s="369"/>
      <c r="E20" s="170">
        <v>365</v>
      </c>
      <c r="G20" s="232">
        <v>4</v>
      </c>
      <c r="H20" s="170">
        <v>7</v>
      </c>
      <c r="J20" s="240">
        <v>11</v>
      </c>
      <c r="K20" s="213">
        <f t="shared" si="5"/>
        <v>36.363636363636367</v>
      </c>
      <c r="L20" s="213">
        <f t="shared" si="6"/>
        <v>63.636363636363633</v>
      </c>
      <c r="M20" s="213">
        <f t="shared" si="7"/>
        <v>0</v>
      </c>
      <c r="N20" s="234">
        <f t="shared" si="3"/>
        <v>100</v>
      </c>
      <c r="O20" s="212">
        <v>23</v>
      </c>
      <c r="P20" s="213">
        <v>33</v>
      </c>
      <c r="Q20" s="213"/>
      <c r="R20" s="214">
        <f t="shared" si="4"/>
        <v>56</v>
      </c>
      <c r="S20" s="170">
        <v>2</v>
      </c>
      <c r="T20" s="283"/>
      <c r="U20" s="281"/>
      <c r="V20" s="177" t="s">
        <v>107</v>
      </c>
      <c r="W20" s="170" t="s">
        <v>869</v>
      </c>
      <c r="X20" s="170" t="s">
        <v>18</v>
      </c>
      <c r="Y20" s="170">
        <v>26.5</v>
      </c>
      <c r="Z20" s="177" t="s">
        <v>108</v>
      </c>
      <c r="AA20" s="170" t="s">
        <v>74</v>
      </c>
      <c r="AB20" s="170" t="s">
        <v>11</v>
      </c>
      <c r="AC20" s="178">
        <v>16</v>
      </c>
      <c r="AD20" s="177" t="s">
        <v>109</v>
      </c>
      <c r="AE20" s="170" t="s">
        <v>89</v>
      </c>
      <c r="AF20" s="170" t="s">
        <v>11</v>
      </c>
      <c r="AG20" s="178">
        <v>7</v>
      </c>
      <c r="AH20" s="170" t="s">
        <v>110</v>
      </c>
      <c r="AI20" s="170" t="s">
        <v>22</v>
      </c>
      <c r="AJ20" s="170" t="s">
        <v>18</v>
      </c>
      <c r="AK20" s="170">
        <v>6.5</v>
      </c>
      <c r="AL20" s="177"/>
      <c r="AO20" s="178"/>
      <c r="AP20" s="177"/>
      <c r="AS20" s="178"/>
      <c r="AW20" s="178"/>
      <c r="BA20" s="179"/>
    </row>
    <row r="21" spans="1:53" s="170" customFormat="1" x14ac:dyDescent="0.15">
      <c r="A21" s="215">
        <v>1966</v>
      </c>
      <c r="B21" s="281"/>
      <c r="C21" s="369" t="s">
        <v>336</v>
      </c>
      <c r="D21" s="369"/>
      <c r="E21" s="170">
        <v>146</v>
      </c>
      <c r="G21" s="232">
        <v>4</v>
      </c>
      <c r="H21" s="170">
        <v>7</v>
      </c>
      <c r="J21" s="240">
        <v>11</v>
      </c>
      <c r="K21" s="213">
        <f t="shared" si="5"/>
        <v>36.363636363636367</v>
      </c>
      <c r="L21" s="213">
        <f t="shared" si="6"/>
        <v>63.636363636363633</v>
      </c>
      <c r="M21" s="213">
        <f t="shared" si="7"/>
        <v>0</v>
      </c>
      <c r="N21" s="234">
        <f t="shared" si="3"/>
        <v>100</v>
      </c>
      <c r="O21" s="212">
        <v>23</v>
      </c>
      <c r="P21" s="213">
        <v>33</v>
      </c>
      <c r="Q21" s="213"/>
      <c r="R21" s="214">
        <f t="shared" si="4"/>
        <v>56</v>
      </c>
      <c r="S21" s="170">
        <v>2</v>
      </c>
      <c r="T21" s="283"/>
      <c r="U21" s="281"/>
      <c r="V21" s="177" t="s">
        <v>107</v>
      </c>
      <c r="W21" s="170" t="s">
        <v>869</v>
      </c>
      <c r="X21" s="170" t="s">
        <v>18</v>
      </c>
      <c r="Y21" s="170">
        <v>26.5</v>
      </c>
      <c r="Z21" s="177" t="s">
        <v>108</v>
      </c>
      <c r="AA21" s="170" t="s">
        <v>74</v>
      </c>
      <c r="AB21" s="170" t="s">
        <v>11</v>
      </c>
      <c r="AC21" s="178">
        <v>16</v>
      </c>
      <c r="AD21" s="177" t="s">
        <v>109</v>
      </c>
      <c r="AE21" s="170" t="s">
        <v>89</v>
      </c>
      <c r="AF21" s="170" t="s">
        <v>11</v>
      </c>
      <c r="AG21" s="178">
        <v>7</v>
      </c>
      <c r="AH21" s="170" t="s">
        <v>110</v>
      </c>
      <c r="AI21" s="170" t="s">
        <v>22</v>
      </c>
      <c r="AJ21" s="170" t="s">
        <v>18</v>
      </c>
      <c r="AK21" s="170">
        <v>6.5</v>
      </c>
      <c r="AL21" s="177"/>
      <c r="AO21" s="178"/>
      <c r="AP21" s="177"/>
      <c r="AS21" s="178"/>
      <c r="AW21" s="178"/>
      <c r="BA21" s="179"/>
    </row>
    <row r="22" spans="1:53" s="28" customFormat="1" x14ac:dyDescent="0.15">
      <c r="A22" s="51">
        <v>1966</v>
      </c>
      <c r="B22" s="293">
        <v>24254</v>
      </c>
      <c r="C22" s="370" t="s">
        <v>337</v>
      </c>
      <c r="D22" s="370"/>
      <c r="E22" s="28">
        <v>219</v>
      </c>
      <c r="F22" s="28">
        <v>1</v>
      </c>
      <c r="G22" s="65"/>
      <c r="H22" s="28">
        <v>4</v>
      </c>
      <c r="I22" s="28">
        <v>8</v>
      </c>
      <c r="J22" s="72">
        <v>12</v>
      </c>
      <c r="K22" s="46">
        <f t="shared" si="5"/>
        <v>0</v>
      </c>
      <c r="L22" s="46">
        <f t="shared" si="6"/>
        <v>33.333333333333329</v>
      </c>
      <c r="M22" s="46">
        <f t="shared" si="7"/>
        <v>66.666666666666657</v>
      </c>
      <c r="N22" s="67">
        <f t="shared" si="3"/>
        <v>99.999999999999986</v>
      </c>
      <c r="O22" s="45"/>
      <c r="P22" s="46">
        <v>24.5</v>
      </c>
      <c r="Q22" s="46">
        <v>51.5</v>
      </c>
      <c r="R22" s="47">
        <f t="shared" si="4"/>
        <v>76</v>
      </c>
      <c r="S22" s="28">
        <v>3</v>
      </c>
      <c r="T22" s="284">
        <v>24186</v>
      </c>
      <c r="U22" s="293">
        <v>24254</v>
      </c>
      <c r="V22" s="37" t="s">
        <v>111</v>
      </c>
      <c r="W22" s="28" t="s">
        <v>20</v>
      </c>
      <c r="X22" s="28" t="s">
        <v>12</v>
      </c>
      <c r="Y22" s="38">
        <v>27.5</v>
      </c>
      <c r="Z22" s="37" t="s">
        <v>107</v>
      </c>
      <c r="AA22" s="28" t="s">
        <v>869</v>
      </c>
      <c r="AB22" s="28" t="s">
        <v>18</v>
      </c>
      <c r="AC22" s="38">
        <v>24.5</v>
      </c>
      <c r="AD22" s="37" t="s">
        <v>112</v>
      </c>
      <c r="AE22" s="28" t="s">
        <v>113</v>
      </c>
      <c r="AF22" s="28" t="s">
        <v>12</v>
      </c>
      <c r="AG22" s="38">
        <v>20.5</v>
      </c>
      <c r="AH22" s="28" t="s">
        <v>114</v>
      </c>
      <c r="AI22" s="28" t="s">
        <v>115</v>
      </c>
      <c r="AJ22" s="28" t="s">
        <v>12</v>
      </c>
      <c r="AK22" s="28">
        <v>3.5</v>
      </c>
      <c r="AL22" s="37"/>
      <c r="AO22" s="38"/>
      <c r="AP22" s="37"/>
      <c r="AS22" s="38"/>
      <c r="AW22" s="38"/>
      <c r="BA22" s="39"/>
    </row>
    <row r="23" spans="1:53" s="28" customFormat="1" x14ac:dyDescent="0.15">
      <c r="A23" s="51">
        <v>1967</v>
      </c>
      <c r="B23" s="293"/>
      <c r="C23" s="370" t="s">
        <v>337</v>
      </c>
      <c r="D23" s="370"/>
      <c r="E23" s="28">
        <v>0</v>
      </c>
      <c r="G23" s="65"/>
      <c r="H23" s="28">
        <v>4</v>
      </c>
      <c r="I23" s="28">
        <v>8</v>
      </c>
      <c r="J23" s="72">
        <v>12</v>
      </c>
      <c r="K23" s="46">
        <f>G23/J23*100</f>
        <v>0</v>
      </c>
      <c r="L23" s="46">
        <f>H23/J23*100</f>
        <v>33.333333333333329</v>
      </c>
      <c r="M23" s="46">
        <f>I23/J23*100</f>
        <v>66.666666666666657</v>
      </c>
      <c r="N23" s="67">
        <f t="shared" si="3"/>
        <v>99.999999999999986</v>
      </c>
      <c r="O23" s="45"/>
      <c r="P23" s="46">
        <v>24.5</v>
      </c>
      <c r="Q23" s="46">
        <v>51.5</v>
      </c>
      <c r="R23" s="47">
        <f t="shared" si="4"/>
        <v>76</v>
      </c>
      <c r="S23" s="28">
        <v>3</v>
      </c>
      <c r="T23" s="284"/>
      <c r="U23" s="293"/>
      <c r="V23" s="37" t="s">
        <v>111</v>
      </c>
      <c r="W23" s="28" t="s">
        <v>20</v>
      </c>
      <c r="X23" s="28" t="s">
        <v>12</v>
      </c>
      <c r="Y23" s="38">
        <v>27.5</v>
      </c>
      <c r="Z23" s="37" t="s">
        <v>107</v>
      </c>
      <c r="AA23" s="28" t="s">
        <v>869</v>
      </c>
      <c r="AB23" s="28" t="s">
        <v>18</v>
      </c>
      <c r="AC23" s="38">
        <v>24.5</v>
      </c>
      <c r="AD23" s="37" t="s">
        <v>112</v>
      </c>
      <c r="AE23" s="28" t="s">
        <v>113</v>
      </c>
      <c r="AF23" s="28" t="s">
        <v>12</v>
      </c>
      <c r="AG23" s="38">
        <v>20.5</v>
      </c>
      <c r="AH23" s="28" t="s">
        <v>114</v>
      </c>
      <c r="AI23" s="28" t="s">
        <v>115</v>
      </c>
      <c r="AJ23" s="28" t="s">
        <v>12</v>
      </c>
      <c r="AK23" s="28">
        <v>3.5</v>
      </c>
      <c r="AL23" s="37"/>
      <c r="AO23" s="38"/>
      <c r="AP23" s="37"/>
      <c r="AS23" s="38"/>
      <c r="AW23" s="38"/>
      <c r="BA23" s="39"/>
    </row>
    <row r="24" spans="1:53" s="28" customFormat="1" x14ac:dyDescent="0.15">
      <c r="A24" s="51">
        <v>1967</v>
      </c>
      <c r="B24" s="293"/>
      <c r="C24" s="370" t="s">
        <v>337</v>
      </c>
      <c r="D24" s="370"/>
      <c r="E24" s="28">
        <v>365</v>
      </c>
      <c r="G24" s="65"/>
      <c r="H24" s="28">
        <v>4</v>
      </c>
      <c r="I24" s="28">
        <v>8</v>
      </c>
      <c r="J24" s="72">
        <v>12</v>
      </c>
      <c r="K24" s="46">
        <f t="shared" ref="K24:K29" si="8">G24/J24*100</f>
        <v>0</v>
      </c>
      <c r="L24" s="46">
        <f t="shared" ref="L24:L29" si="9">H24/J24*100</f>
        <v>33.333333333333329</v>
      </c>
      <c r="M24" s="46">
        <f t="shared" ref="M24:M29" si="10">I24/J24*100</f>
        <v>66.666666666666657</v>
      </c>
      <c r="N24" s="67">
        <f t="shared" si="3"/>
        <v>99.999999999999986</v>
      </c>
      <c r="O24" s="45"/>
      <c r="P24" s="46">
        <v>24.5</v>
      </c>
      <c r="Q24" s="46">
        <v>51.5</v>
      </c>
      <c r="R24" s="47">
        <f t="shared" si="4"/>
        <v>76</v>
      </c>
      <c r="S24" s="28">
        <v>3</v>
      </c>
      <c r="T24" s="284"/>
      <c r="U24" s="293"/>
      <c r="V24" s="37" t="s">
        <v>111</v>
      </c>
      <c r="W24" s="28" t="s">
        <v>20</v>
      </c>
      <c r="X24" s="28" t="s">
        <v>12</v>
      </c>
      <c r="Y24" s="38">
        <v>27.5</v>
      </c>
      <c r="Z24" s="37" t="s">
        <v>107</v>
      </c>
      <c r="AA24" s="28" t="s">
        <v>869</v>
      </c>
      <c r="AB24" s="28" t="s">
        <v>18</v>
      </c>
      <c r="AC24" s="38">
        <v>24.5</v>
      </c>
      <c r="AD24" s="37" t="s">
        <v>112</v>
      </c>
      <c r="AE24" s="28" t="s">
        <v>113</v>
      </c>
      <c r="AF24" s="28" t="s">
        <v>12</v>
      </c>
      <c r="AG24" s="38">
        <v>20.5</v>
      </c>
      <c r="AH24" s="28" t="s">
        <v>114</v>
      </c>
      <c r="AI24" s="28" t="s">
        <v>115</v>
      </c>
      <c r="AJ24" s="28" t="s">
        <v>12</v>
      </c>
      <c r="AK24" s="28">
        <v>3.5</v>
      </c>
      <c r="AL24" s="37"/>
      <c r="AO24" s="38"/>
      <c r="AP24" s="37"/>
      <c r="AS24" s="38"/>
      <c r="AW24" s="38"/>
      <c r="BA24" s="39"/>
    </row>
    <row r="25" spans="1:53" s="28" customFormat="1" x14ac:dyDescent="0.15">
      <c r="A25" s="51">
        <v>1968</v>
      </c>
      <c r="B25" s="293"/>
      <c r="C25" s="370" t="s">
        <v>337</v>
      </c>
      <c r="D25" s="370"/>
      <c r="E25" s="28">
        <v>81</v>
      </c>
      <c r="G25" s="65"/>
      <c r="H25" s="28">
        <v>4</v>
      </c>
      <c r="I25" s="28">
        <v>8</v>
      </c>
      <c r="J25" s="72">
        <v>12</v>
      </c>
      <c r="K25" s="46">
        <f t="shared" si="8"/>
        <v>0</v>
      </c>
      <c r="L25" s="46">
        <f t="shared" si="9"/>
        <v>33.333333333333329</v>
      </c>
      <c r="M25" s="46">
        <f t="shared" si="10"/>
        <v>66.666666666666657</v>
      </c>
      <c r="N25" s="67">
        <f t="shared" si="3"/>
        <v>99.999999999999986</v>
      </c>
      <c r="O25" s="45">
        <v>6</v>
      </c>
      <c r="P25" s="46">
        <v>24.5</v>
      </c>
      <c r="Q25" s="46">
        <v>51.5</v>
      </c>
      <c r="R25" s="47">
        <f t="shared" si="4"/>
        <v>82</v>
      </c>
      <c r="S25" s="28">
        <v>3</v>
      </c>
      <c r="T25" s="284"/>
      <c r="U25" s="293"/>
      <c r="V25" s="37" t="s">
        <v>111</v>
      </c>
      <c r="W25" s="28" t="s">
        <v>20</v>
      </c>
      <c r="X25" s="28" t="s">
        <v>12</v>
      </c>
      <c r="Y25" s="38">
        <v>27.5</v>
      </c>
      <c r="Z25" s="37" t="s">
        <v>107</v>
      </c>
      <c r="AA25" s="28" t="s">
        <v>869</v>
      </c>
      <c r="AB25" s="28" t="s">
        <v>18</v>
      </c>
      <c r="AC25" s="38">
        <v>24.5</v>
      </c>
      <c r="AD25" s="37" t="s">
        <v>112</v>
      </c>
      <c r="AE25" s="28" t="s">
        <v>113</v>
      </c>
      <c r="AF25" s="28" t="s">
        <v>12</v>
      </c>
      <c r="AG25" s="38">
        <v>20.5</v>
      </c>
      <c r="AH25" s="28" t="s">
        <v>114</v>
      </c>
      <c r="AI25" s="28" t="s">
        <v>115</v>
      </c>
      <c r="AJ25" s="28" t="s">
        <v>12</v>
      </c>
      <c r="AK25" s="28">
        <v>3.5</v>
      </c>
      <c r="AL25" s="37"/>
      <c r="AO25" s="38"/>
      <c r="AP25" s="37"/>
      <c r="AS25" s="38"/>
      <c r="AW25" s="38"/>
      <c r="BA25" s="39"/>
    </row>
    <row r="26" spans="1:53" s="170" customFormat="1" x14ac:dyDescent="0.15">
      <c r="A26" s="215">
        <v>1968</v>
      </c>
      <c r="B26" s="281">
        <v>24919</v>
      </c>
      <c r="C26" s="369" t="s">
        <v>338</v>
      </c>
      <c r="D26" s="369"/>
      <c r="E26" s="170">
        <v>285</v>
      </c>
      <c r="F26" s="170">
        <v>2</v>
      </c>
      <c r="G26" s="232">
        <v>1</v>
      </c>
      <c r="H26" s="170">
        <v>4</v>
      </c>
      <c r="I26" s="170">
        <v>7</v>
      </c>
      <c r="J26" s="240">
        <v>12</v>
      </c>
      <c r="K26" s="213">
        <f t="shared" si="8"/>
        <v>8.3333333333333321</v>
      </c>
      <c r="L26" s="213">
        <f t="shared" si="9"/>
        <v>33.333333333333329</v>
      </c>
      <c r="M26" s="213">
        <f t="shared" si="10"/>
        <v>58.333333333333336</v>
      </c>
      <c r="N26" s="234">
        <f t="shared" si="3"/>
        <v>100</v>
      </c>
      <c r="O26" s="212">
        <v>6</v>
      </c>
      <c r="P26" s="213">
        <v>24.5</v>
      </c>
      <c r="Q26" s="213">
        <v>51.5</v>
      </c>
      <c r="R26" s="214">
        <f t="shared" si="4"/>
        <v>82</v>
      </c>
      <c r="S26" s="170">
        <v>3</v>
      </c>
      <c r="T26" s="283"/>
      <c r="U26" s="281">
        <v>24919</v>
      </c>
      <c r="V26" s="177" t="s">
        <v>111</v>
      </c>
      <c r="W26" s="170" t="s">
        <v>20</v>
      </c>
      <c r="X26" s="170" t="s">
        <v>12</v>
      </c>
      <c r="Y26" s="178">
        <v>27.5</v>
      </c>
      <c r="Z26" s="177" t="s">
        <v>107</v>
      </c>
      <c r="AA26" s="170" t="s">
        <v>869</v>
      </c>
      <c r="AB26" s="170" t="s">
        <v>18</v>
      </c>
      <c r="AC26" s="178">
        <v>24.5</v>
      </c>
      <c r="AD26" s="177" t="s">
        <v>112</v>
      </c>
      <c r="AE26" s="170" t="s">
        <v>113</v>
      </c>
      <c r="AF26" s="170" t="s">
        <v>12</v>
      </c>
      <c r="AG26" s="178">
        <v>20.5</v>
      </c>
      <c r="AH26" s="170" t="s">
        <v>114</v>
      </c>
      <c r="AI26" s="170" t="s">
        <v>115</v>
      </c>
      <c r="AJ26" s="170" t="s">
        <v>12</v>
      </c>
      <c r="AK26" s="170">
        <v>3.5</v>
      </c>
      <c r="AL26" s="177" t="s">
        <v>109</v>
      </c>
      <c r="AM26" s="170" t="s">
        <v>89</v>
      </c>
      <c r="AN26" s="170" t="s">
        <v>11</v>
      </c>
      <c r="AO26" s="178">
        <v>6</v>
      </c>
      <c r="AP26" s="177"/>
      <c r="AS26" s="178"/>
      <c r="AW26" s="178"/>
      <c r="BA26" s="179"/>
    </row>
    <row r="27" spans="1:53" s="170" customFormat="1" x14ac:dyDescent="0.15">
      <c r="A27" s="215">
        <v>1969</v>
      </c>
      <c r="B27" s="281"/>
      <c r="C27" s="369" t="s">
        <v>338</v>
      </c>
      <c r="D27" s="369"/>
      <c r="E27" s="170">
        <v>0</v>
      </c>
      <c r="G27" s="232">
        <v>1</v>
      </c>
      <c r="H27" s="170">
        <v>4</v>
      </c>
      <c r="I27" s="170">
        <v>7</v>
      </c>
      <c r="J27" s="240">
        <v>12</v>
      </c>
      <c r="K27" s="213">
        <f t="shared" si="8"/>
        <v>8.3333333333333321</v>
      </c>
      <c r="L27" s="213">
        <f t="shared" si="9"/>
        <v>33.333333333333329</v>
      </c>
      <c r="M27" s="213">
        <f t="shared" si="10"/>
        <v>58.333333333333336</v>
      </c>
      <c r="N27" s="234">
        <f t="shared" si="3"/>
        <v>100</v>
      </c>
      <c r="O27" s="212">
        <v>6</v>
      </c>
      <c r="P27" s="213">
        <v>24.5</v>
      </c>
      <c r="Q27" s="213">
        <v>51.5</v>
      </c>
      <c r="R27" s="214">
        <f t="shared" si="4"/>
        <v>82</v>
      </c>
      <c r="S27" s="170">
        <v>3</v>
      </c>
      <c r="T27" s="283"/>
      <c r="U27" s="281"/>
      <c r="V27" s="177" t="s">
        <v>111</v>
      </c>
      <c r="W27" s="170" t="s">
        <v>20</v>
      </c>
      <c r="X27" s="170" t="s">
        <v>12</v>
      </c>
      <c r="Y27" s="178">
        <v>27.5</v>
      </c>
      <c r="Z27" s="177" t="s">
        <v>107</v>
      </c>
      <c r="AA27" s="170" t="s">
        <v>869</v>
      </c>
      <c r="AB27" s="170" t="s">
        <v>18</v>
      </c>
      <c r="AC27" s="178">
        <v>24.5</v>
      </c>
      <c r="AD27" s="177" t="s">
        <v>112</v>
      </c>
      <c r="AE27" s="170" t="s">
        <v>113</v>
      </c>
      <c r="AF27" s="170" t="s">
        <v>12</v>
      </c>
      <c r="AG27" s="178">
        <v>20.5</v>
      </c>
      <c r="AH27" s="170" t="s">
        <v>114</v>
      </c>
      <c r="AI27" s="170" t="s">
        <v>115</v>
      </c>
      <c r="AJ27" s="170" t="s">
        <v>12</v>
      </c>
      <c r="AK27" s="170">
        <v>3.5</v>
      </c>
      <c r="AL27" s="177" t="s">
        <v>109</v>
      </c>
      <c r="AM27" s="170" t="s">
        <v>89</v>
      </c>
      <c r="AN27" s="170" t="s">
        <v>11</v>
      </c>
      <c r="AO27" s="178">
        <v>6</v>
      </c>
      <c r="AP27" s="177"/>
      <c r="AS27" s="178"/>
      <c r="AW27" s="178"/>
      <c r="BA27" s="179"/>
    </row>
    <row r="28" spans="1:53" s="170" customFormat="1" x14ac:dyDescent="0.15">
      <c r="A28" s="215">
        <v>1969</v>
      </c>
      <c r="B28" s="281"/>
      <c r="C28" s="369" t="s">
        <v>338</v>
      </c>
      <c r="D28" s="369"/>
      <c r="E28" s="170">
        <v>365</v>
      </c>
      <c r="G28" s="232">
        <v>1</v>
      </c>
      <c r="H28" s="170">
        <v>4</v>
      </c>
      <c r="I28" s="170">
        <v>7</v>
      </c>
      <c r="J28" s="240">
        <v>12</v>
      </c>
      <c r="K28" s="213">
        <f t="shared" si="8"/>
        <v>8.3333333333333321</v>
      </c>
      <c r="L28" s="213">
        <f t="shared" si="9"/>
        <v>33.333333333333329</v>
      </c>
      <c r="M28" s="213">
        <f t="shared" si="10"/>
        <v>58.333333333333336</v>
      </c>
      <c r="N28" s="234">
        <f t="shared" si="3"/>
        <v>100</v>
      </c>
      <c r="O28" s="212">
        <v>6</v>
      </c>
      <c r="P28" s="213">
        <v>24.5</v>
      </c>
      <c r="Q28" s="213">
        <v>51.5</v>
      </c>
      <c r="R28" s="214">
        <f t="shared" si="4"/>
        <v>82</v>
      </c>
      <c r="S28" s="170">
        <v>3</v>
      </c>
      <c r="T28" s="283"/>
      <c r="U28" s="281"/>
      <c r="V28" s="177" t="s">
        <v>111</v>
      </c>
      <c r="W28" s="170" t="s">
        <v>20</v>
      </c>
      <c r="X28" s="170" t="s">
        <v>12</v>
      </c>
      <c r="Y28" s="178">
        <v>27.5</v>
      </c>
      <c r="Z28" s="177" t="s">
        <v>107</v>
      </c>
      <c r="AA28" s="170" t="s">
        <v>869</v>
      </c>
      <c r="AB28" s="170" t="s">
        <v>18</v>
      </c>
      <c r="AC28" s="178">
        <v>24.5</v>
      </c>
      <c r="AD28" s="177" t="s">
        <v>112</v>
      </c>
      <c r="AE28" s="170" t="s">
        <v>113</v>
      </c>
      <c r="AF28" s="170" t="s">
        <v>12</v>
      </c>
      <c r="AG28" s="178">
        <v>20.5</v>
      </c>
      <c r="AH28" s="170" t="s">
        <v>114</v>
      </c>
      <c r="AI28" s="170" t="s">
        <v>115</v>
      </c>
      <c r="AJ28" s="170" t="s">
        <v>12</v>
      </c>
      <c r="AK28" s="170">
        <v>3.5</v>
      </c>
      <c r="AL28" s="177" t="s">
        <v>109</v>
      </c>
      <c r="AM28" s="170" t="s">
        <v>89</v>
      </c>
      <c r="AN28" s="170" t="s">
        <v>11</v>
      </c>
      <c r="AO28" s="178">
        <v>6</v>
      </c>
      <c r="AP28" s="177"/>
      <c r="AS28" s="178"/>
      <c r="AW28" s="178"/>
      <c r="BA28" s="179"/>
    </row>
    <row r="29" spans="1:53" s="170" customFormat="1" x14ac:dyDescent="0.15">
      <c r="A29" s="215">
        <v>1970</v>
      </c>
      <c r="B29" s="281"/>
      <c r="C29" s="369" t="s">
        <v>338</v>
      </c>
      <c r="D29" s="369"/>
      <c r="E29" s="170">
        <v>133</v>
      </c>
      <c r="G29" s="232">
        <v>1</v>
      </c>
      <c r="H29" s="170">
        <v>4</v>
      </c>
      <c r="I29" s="170">
        <v>7</v>
      </c>
      <c r="J29" s="240">
        <v>12</v>
      </c>
      <c r="K29" s="213">
        <f t="shared" si="8"/>
        <v>8.3333333333333321</v>
      </c>
      <c r="L29" s="213">
        <f t="shared" si="9"/>
        <v>33.333333333333329</v>
      </c>
      <c r="M29" s="213">
        <f t="shared" si="10"/>
        <v>58.333333333333336</v>
      </c>
      <c r="N29" s="234">
        <f t="shared" si="3"/>
        <v>100</v>
      </c>
      <c r="O29" s="212">
        <v>6</v>
      </c>
      <c r="P29" s="213">
        <v>24.5</v>
      </c>
      <c r="Q29" s="213">
        <v>51.5</v>
      </c>
      <c r="R29" s="214">
        <f t="shared" si="4"/>
        <v>82</v>
      </c>
      <c r="S29" s="170">
        <v>3</v>
      </c>
      <c r="T29" s="283"/>
      <c r="U29" s="281"/>
      <c r="V29" s="177" t="s">
        <v>111</v>
      </c>
      <c r="W29" s="170" t="s">
        <v>20</v>
      </c>
      <c r="X29" s="170" t="s">
        <v>12</v>
      </c>
      <c r="Y29" s="178">
        <v>27.5</v>
      </c>
      <c r="Z29" s="177" t="s">
        <v>107</v>
      </c>
      <c r="AA29" s="170" t="s">
        <v>869</v>
      </c>
      <c r="AB29" s="170" t="s">
        <v>18</v>
      </c>
      <c r="AC29" s="178">
        <v>24.5</v>
      </c>
      <c r="AD29" s="177" t="s">
        <v>112</v>
      </c>
      <c r="AE29" s="170" t="s">
        <v>113</v>
      </c>
      <c r="AF29" s="170" t="s">
        <v>12</v>
      </c>
      <c r="AG29" s="178">
        <v>20.5</v>
      </c>
      <c r="AH29" s="170" t="s">
        <v>114</v>
      </c>
      <c r="AI29" s="170" t="s">
        <v>115</v>
      </c>
      <c r="AJ29" s="170" t="s">
        <v>12</v>
      </c>
      <c r="AK29" s="170">
        <v>3.5</v>
      </c>
      <c r="AL29" s="177" t="s">
        <v>109</v>
      </c>
      <c r="AM29" s="170" t="s">
        <v>89</v>
      </c>
      <c r="AN29" s="170" t="s">
        <v>11</v>
      </c>
      <c r="AO29" s="178">
        <v>6</v>
      </c>
      <c r="AP29" s="177"/>
      <c r="AS29" s="178"/>
      <c r="AW29" s="178"/>
      <c r="BA29" s="179"/>
    </row>
    <row r="30" spans="1:53" s="28" customFormat="1" x14ac:dyDescent="0.15">
      <c r="A30" s="51">
        <v>1970</v>
      </c>
      <c r="B30" s="293">
        <v>25702</v>
      </c>
      <c r="C30" s="370" t="s">
        <v>340</v>
      </c>
      <c r="D30" s="370"/>
      <c r="E30" s="28">
        <v>62</v>
      </c>
      <c r="F30" s="28">
        <v>1</v>
      </c>
      <c r="G30" s="65">
        <v>1</v>
      </c>
      <c r="H30" s="28">
        <v>4</v>
      </c>
      <c r="I30" s="28">
        <v>7</v>
      </c>
      <c r="J30" s="72">
        <v>12</v>
      </c>
      <c r="K30" s="46">
        <f>G30/J30*100</f>
        <v>8.3333333333333321</v>
      </c>
      <c r="L30" s="46">
        <f>H30/J30*100</f>
        <v>33.333333333333329</v>
      </c>
      <c r="M30" s="46">
        <f>I30/J30*100</f>
        <v>58.333333333333336</v>
      </c>
      <c r="N30" s="67">
        <f t="shared" si="3"/>
        <v>100</v>
      </c>
      <c r="O30" s="45">
        <v>24.5</v>
      </c>
      <c r="P30" s="46">
        <v>22.5</v>
      </c>
      <c r="Q30" s="46">
        <v>25.5</v>
      </c>
      <c r="R30" s="47">
        <f t="shared" si="4"/>
        <v>72.5</v>
      </c>
      <c r="S30" s="28">
        <v>6</v>
      </c>
      <c r="T30" s="284">
        <v>25642</v>
      </c>
      <c r="U30" s="293">
        <v>25702</v>
      </c>
      <c r="V30" s="37" t="s">
        <v>107</v>
      </c>
      <c r="W30" s="28" t="s">
        <v>869</v>
      </c>
      <c r="X30" s="28" t="s">
        <v>18</v>
      </c>
      <c r="Y30" s="38">
        <v>18.5</v>
      </c>
      <c r="Z30" s="37" t="s">
        <v>111</v>
      </c>
      <c r="AA30" s="28" t="s">
        <v>20</v>
      </c>
      <c r="AB30" s="28" t="s">
        <v>12</v>
      </c>
      <c r="AC30" s="38">
        <v>25.5</v>
      </c>
      <c r="AD30" s="37" t="s">
        <v>108</v>
      </c>
      <c r="AE30" s="28" t="s">
        <v>74</v>
      </c>
      <c r="AF30" s="28" t="s">
        <v>11</v>
      </c>
      <c r="AG30" s="38">
        <v>18.5</v>
      </c>
      <c r="AH30" s="37" t="s">
        <v>109</v>
      </c>
      <c r="AI30" s="28" t="s">
        <v>89</v>
      </c>
      <c r="AJ30" s="28" t="s">
        <v>11</v>
      </c>
      <c r="AK30" s="38">
        <v>6</v>
      </c>
      <c r="AL30" s="28" t="s">
        <v>110</v>
      </c>
      <c r="AM30" s="28" t="s">
        <v>22</v>
      </c>
      <c r="AN30" s="28" t="s">
        <v>18</v>
      </c>
      <c r="AO30" s="28">
        <v>4</v>
      </c>
      <c r="AP30" s="37"/>
      <c r="AS30" s="38"/>
      <c r="AW30" s="38"/>
      <c r="BA30" s="39"/>
    </row>
    <row r="31" spans="1:53" s="170" customFormat="1" x14ac:dyDescent="0.15">
      <c r="A31" s="215">
        <v>1970</v>
      </c>
      <c r="B31" s="281">
        <v>25764</v>
      </c>
      <c r="C31" s="369" t="s">
        <v>341</v>
      </c>
      <c r="D31" s="369"/>
      <c r="E31" s="170">
        <v>170</v>
      </c>
      <c r="F31" s="170">
        <v>6</v>
      </c>
      <c r="G31" s="232">
        <v>2</v>
      </c>
      <c r="H31" s="170">
        <v>6</v>
      </c>
      <c r="I31" s="170">
        <v>5</v>
      </c>
      <c r="J31" s="240">
        <v>13</v>
      </c>
      <c r="K31" s="213">
        <f>G31/J31*100</f>
        <v>15.384615384615385</v>
      </c>
      <c r="L31" s="213">
        <f>H31/J31*100</f>
        <v>46.153846153846153</v>
      </c>
      <c r="M31" s="213">
        <f>I31/J31*100</f>
        <v>38.461538461538467</v>
      </c>
      <c r="N31" s="234">
        <f t="shared" si="3"/>
        <v>100</v>
      </c>
      <c r="O31" s="212">
        <v>6</v>
      </c>
      <c r="P31" s="213">
        <v>22.5</v>
      </c>
      <c r="Q31" s="213">
        <v>43.5</v>
      </c>
      <c r="R31" s="214">
        <f t="shared" si="4"/>
        <v>72</v>
      </c>
      <c r="S31" s="170">
        <v>3</v>
      </c>
      <c r="T31" s="283"/>
      <c r="U31" s="281">
        <v>25764</v>
      </c>
      <c r="V31" s="177" t="s">
        <v>107</v>
      </c>
      <c r="W31" s="170" t="s">
        <v>869</v>
      </c>
      <c r="X31" s="170" t="s">
        <v>18</v>
      </c>
      <c r="Y31" s="178">
        <v>18.5</v>
      </c>
      <c r="Z31" s="177" t="s">
        <v>111</v>
      </c>
      <c r="AA31" s="170" t="s">
        <v>20</v>
      </c>
      <c r="AB31" s="170" t="s">
        <v>12</v>
      </c>
      <c r="AC31" s="178">
        <v>25.5</v>
      </c>
      <c r="AD31" s="177" t="s">
        <v>112</v>
      </c>
      <c r="AE31" s="170" t="s">
        <v>113</v>
      </c>
      <c r="AF31" s="170" t="s">
        <v>12</v>
      </c>
      <c r="AG31" s="178">
        <v>18</v>
      </c>
      <c r="AH31" s="177" t="s">
        <v>109</v>
      </c>
      <c r="AI31" s="170" t="s">
        <v>89</v>
      </c>
      <c r="AJ31" s="170" t="s">
        <v>11</v>
      </c>
      <c r="AK31" s="178">
        <v>6</v>
      </c>
      <c r="AL31" s="170" t="s">
        <v>110</v>
      </c>
      <c r="AM31" s="170" t="s">
        <v>22</v>
      </c>
      <c r="AN31" s="170" t="s">
        <v>18</v>
      </c>
      <c r="AO31" s="170">
        <v>4</v>
      </c>
      <c r="AP31" s="177"/>
      <c r="AS31" s="178"/>
      <c r="AW31" s="178"/>
      <c r="BA31" s="179"/>
    </row>
    <row r="32" spans="1:53" s="170" customFormat="1" x14ac:dyDescent="0.15">
      <c r="A32" s="215">
        <v>1971</v>
      </c>
      <c r="B32" s="281"/>
      <c r="C32" s="369" t="s">
        <v>341</v>
      </c>
      <c r="D32" s="369"/>
      <c r="E32" s="170">
        <v>84</v>
      </c>
      <c r="G32" s="232">
        <v>2</v>
      </c>
      <c r="H32" s="170">
        <v>6</v>
      </c>
      <c r="I32" s="170">
        <v>5</v>
      </c>
      <c r="J32" s="240">
        <v>13</v>
      </c>
      <c r="K32" s="213">
        <f t="shared" ref="K32:K39" si="11">G32/J32*100</f>
        <v>15.384615384615385</v>
      </c>
      <c r="L32" s="213">
        <f t="shared" ref="L32:L39" si="12">H32/J32*100</f>
        <v>46.153846153846153</v>
      </c>
      <c r="M32" s="213">
        <f t="shared" ref="M32:M39" si="13">I32/J32*100</f>
        <v>38.461538461538467</v>
      </c>
      <c r="N32" s="234">
        <f t="shared" si="3"/>
        <v>100</v>
      </c>
      <c r="O32" s="212">
        <v>6</v>
      </c>
      <c r="P32" s="213">
        <v>22.5</v>
      </c>
      <c r="Q32" s="213">
        <v>43.5</v>
      </c>
      <c r="R32" s="214">
        <f t="shared" si="4"/>
        <v>72</v>
      </c>
      <c r="S32" s="170">
        <v>3</v>
      </c>
      <c r="T32" s="283"/>
      <c r="U32" s="281"/>
      <c r="V32" s="177" t="s">
        <v>107</v>
      </c>
      <c r="W32" s="170" t="s">
        <v>869</v>
      </c>
      <c r="X32" s="170" t="s">
        <v>18</v>
      </c>
      <c r="Y32" s="178">
        <v>18.5</v>
      </c>
      <c r="Z32" s="177" t="s">
        <v>111</v>
      </c>
      <c r="AA32" s="170" t="s">
        <v>20</v>
      </c>
      <c r="AB32" s="170" t="s">
        <v>12</v>
      </c>
      <c r="AC32" s="178">
        <v>25.5</v>
      </c>
      <c r="AD32" s="177" t="s">
        <v>112</v>
      </c>
      <c r="AE32" s="170" t="s">
        <v>113</v>
      </c>
      <c r="AF32" s="170" t="s">
        <v>12</v>
      </c>
      <c r="AG32" s="178">
        <v>18</v>
      </c>
      <c r="AH32" s="177" t="s">
        <v>109</v>
      </c>
      <c r="AI32" s="170" t="s">
        <v>89</v>
      </c>
      <c r="AJ32" s="170" t="s">
        <v>11</v>
      </c>
      <c r="AK32" s="178">
        <v>6</v>
      </c>
      <c r="AL32" s="170" t="s">
        <v>110</v>
      </c>
      <c r="AM32" s="170" t="s">
        <v>22</v>
      </c>
      <c r="AN32" s="170" t="s">
        <v>18</v>
      </c>
      <c r="AO32" s="170">
        <v>4</v>
      </c>
      <c r="AP32" s="177"/>
      <c r="AS32" s="178"/>
      <c r="AW32" s="178"/>
      <c r="BA32" s="179"/>
    </row>
    <row r="33" spans="1:53" s="28" customFormat="1" x14ac:dyDescent="0.15">
      <c r="A33" s="51">
        <v>1971</v>
      </c>
      <c r="B33" s="293">
        <v>26018</v>
      </c>
      <c r="C33" s="370" t="s">
        <v>342</v>
      </c>
      <c r="D33" s="370"/>
      <c r="E33" s="28">
        <v>217</v>
      </c>
      <c r="F33" s="28">
        <v>4</v>
      </c>
      <c r="G33" s="65">
        <v>2</v>
      </c>
      <c r="H33" s="28">
        <v>6</v>
      </c>
      <c r="I33" s="28">
        <v>6</v>
      </c>
      <c r="J33" s="72">
        <v>14</v>
      </c>
      <c r="K33" s="46">
        <f>G33/J33*100</f>
        <v>14.285714285714285</v>
      </c>
      <c r="L33" s="46">
        <f>H33/J33*100</f>
        <v>42.857142857142854</v>
      </c>
      <c r="M33" s="46">
        <f>I33/J33*100</f>
        <v>42.857142857142854</v>
      </c>
      <c r="N33" s="67">
        <f t="shared" si="3"/>
        <v>100</v>
      </c>
      <c r="O33" s="45">
        <v>6</v>
      </c>
      <c r="P33" s="46">
        <v>22.5</v>
      </c>
      <c r="Q33" s="46">
        <v>25.5</v>
      </c>
      <c r="R33" s="47">
        <f t="shared" si="4"/>
        <v>54</v>
      </c>
      <c r="S33" s="28">
        <v>3</v>
      </c>
      <c r="T33" s="284"/>
      <c r="U33" s="293">
        <v>26018</v>
      </c>
      <c r="V33" s="37" t="s">
        <v>107</v>
      </c>
      <c r="W33" s="28" t="s">
        <v>869</v>
      </c>
      <c r="X33" s="28" t="s">
        <v>18</v>
      </c>
      <c r="Y33" s="38">
        <v>18.5</v>
      </c>
      <c r="Z33" s="37" t="s">
        <v>111</v>
      </c>
      <c r="AA33" s="28" t="s">
        <v>20</v>
      </c>
      <c r="AB33" s="28" t="s">
        <v>12</v>
      </c>
      <c r="AC33" s="38">
        <v>25.5</v>
      </c>
      <c r="AD33" s="37" t="s">
        <v>109</v>
      </c>
      <c r="AE33" s="28" t="s">
        <v>89</v>
      </c>
      <c r="AF33" s="28" t="s">
        <v>11</v>
      </c>
      <c r="AG33" s="38">
        <v>6</v>
      </c>
      <c r="AH33" s="28" t="s">
        <v>110</v>
      </c>
      <c r="AI33" s="28" t="s">
        <v>22</v>
      </c>
      <c r="AJ33" s="28" t="s">
        <v>18</v>
      </c>
      <c r="AK33" s="28">
        <v>4</v>
      </c>
      <c r="AL33" s="37"/>
      <c r="AO33" s="38"/>
      <c r="AP33" s="37"/>
      <c r="AS33" s="38"/>
      <c r="AW33" s="38"/>
      <c r="BA33" s="39"/>
    </row>
    <row r="34" spans="1:53" s="170" customFormat="1" x14ac:dyDescent="0.15">
      <c r="A34" s="215">
        <v>1971</v>
      </c>
      <c r="B34" s="281">
        <v>26235</v>
      </c>
      <c r="C34" s="369" t="s">
        <v>343</v>
      </c>
      <c r="D34" s="369"/>
      <c r="E34" s="170">
        <v>64</v>
      </c>
      <c r="F34" s="170">
        <v>4</v>
      </c>
      <c r="G34" s="232">
        <v>1</v>
      </c>
      <c r="H34" s="170">
        <v>4</v>
      </c>
      <c r="I34" s="170">
        <v>3</v>
      </c>
      <c r="J34" s="240">
        <v>13</v>
      </c>
      <c r="K34" s="213">
        <f t="shared" si="11"/>
        <v>7.6923076923076925</v>
      </c>
      <c r="L34" s="213">
        <f t="shared" si="12"/>
        <v>30.76923076923077</v>
      </c>
      <c r="M34" s="213">
        <f t="shared" si="13"/>
        <v>23.076923076923077</v>
      </c>
      <c r="N34" s="234">
        <f t="shared" si="3"/>
        <v>61.538461538461533</v>
      </c>
      <c r="O34" s="212">
        <v>18.5</v>
      </c>
      <c r="P34" s="213">
        <v>22.5</v>
      </c>
      <c r="Q34" s="213">
        <v>25.5</v>
      </c>
      <c r="R34" s="214">
        <f t="shared" si="4"/>
        <v>66.5</v>
      </c>
      <c r="S34" s="170">
        <v>6</v>
      </c>
      <c r="T34" s="283"/>
      <c r="U34" s="281">
        <v>26235</v>
      </c>
      <c r="V34" s="177" t="s">
        <v>107</v>
      </c>
      <c r="W34" s="170" t="s">
        <v>869</v>
      </c>
      <c r="X34" s="170" t="s">
        <v>18</v>
      </c>
      <c r="Y34" s="178">
        <v>18.5</v>
      </c>
      <c r="Z34" s="177" t="s">
        <v>111</v>
      </c>
      <c r="AA34" s="170" t="s">
        <v>20</v>
      </c>
      <c r="AB34" s="170" t="s">
        <v>12</v>
      </c>
      <c r="AC34" s="178">
        <v>25.5</v>
      </c>
      <c r="AD34" s="177" t="s">
        <v>108</v>
      </c>
      <c r="AE34" s="170" t="s">
        <v>74</v>
      </c>
      <c r="AF34" s="170" t="s">
        <v>11</v>
      </c>
      <c r="AG34" s="178">
        <v>18.5</v>
      </c>
      <c r="AH34" s="170" t="s">
        <v>110</v>
      </c>
      <c r="AI34" s="170" t="s">
        <v>22</v>
      </c>
      <c r="AJ34" s="170" t="s">
        <v>18</v>
      </c>
      <c r="AK34" s="170">
        <v>4</v>
      </c>
      <c r="AL34" s="177"/>
      <c r="AO34" s="178"/>
      <c r="AP34" s="177"/>
      <c r="AS34" s="178"/>
      <c r="AW34" s="178"/>
      <c r="BA34" s="179"/>
    </row>
    <row r="35" spans="1:53" s="170" customFormat="1" x14ac:dyDescent="0.15">
      <c r="A35" s="215">
        <v>1972</v>
      </c>
      <c r="B35" s="281"/>
      <c r="C35" s="369" t="s">
        <v>343</v>
      </c>
      <c r="D35" s="369"/>
      <c r="E35" s="170">
        <v>53</v>
      </c>
      <c r="G35" s="232">
        <v>1</v>
      </c>
      <c r="H35" s="170">
        <v>4</v>
      </c>
      <c r="I35" s="170">
        <v>3</v>
      </c>
      <c r="J35" s="240">
        <v>13</v>
      </c>
      <c r="K35" s="213">
        <f t="shared" si="11"/>
        <v>7.6923076923076925</v>
      </c>
      <c r="L35" s="213">
        <f t="shared" si="12"/>
        <v>30.76923076923077</v>
      </c>
      <c r="M35" s="213">
        <f t="shared" si="13"/>
        <v>23.076923076923077</v>
      </c>
      <c r="N35" s="234">
        <f t="shared" si="3"/>
        <v>61.538461538461533</v>
      </c>
      <c r="O35" s="212">
        <v>18.5</v>
      </c>
      <c r="P35" s="213">
        <v>22.5</v>
      </c>
      <c r="Q35" s="213">
        <v>25.5</v>
      </c>
      <c r="R35" s="214">
        <f t="shared" si="4"/>
        <v>66.5</v>
      </c>
      <c r="S35" s="170">
        <v>6</v>
      </c>
      <c r="T35" s="283"/>
      <c r="U35" s="281"/>
      <c r="V35" s="177" t="s">
        <v>107</v>
      </c>
      <c r="W35" s="170" t="s">
        <v>869</v>
      </c>
      <c r="X35" s="170" t="s">
        <v>18</v>
      </c>
      <c r="Y35" s="178">
        <v>18.5</v>
      </c>
      <c r="Z35" s="177" t="s">
        <v>111</v>
      </c>
      <c r="AA35" s="170" t="s">
        <v>20</v>
      </c>
      <c r="AB35" s="170" t="s">
        <v>12</v>
      </c>
      <c r="AC35" s="178">
        <v>25.5</v>
      </c>
      <c r="AD35" s="177" t="s">
        <v>108</v>
      </c>
      <c r="AE35" s="170" t="s">
        <v>74</v>
      </c>
      <c r="AF35" s="170" t="s">
        <v>11</v>
      </c>
      <c r="AG35" s="178">
        <v>18.5</v>
      </c>
      <c r="AH35" s="170" t="s">
        <v>110</v>
      </c>
      <c r="AI35" s="170" t="s">
        <v>22</v>
      </c>
      <c r="AJ35" s="170" t="s">
        <v>18</v>
      </c>
      <c r="AK35" s="170">
        <v>4</v>
      </c>
      <c r="AL35" s="177"/>
      <c r="AO35" s="178"/>
      <c r="AP35" s="177"/>
      <c r="AS35" s="178"/>
      <c r="AW35" s="178"/>
      <c r="BA35" s="179"/>
    </row>
    <row r="36" spans="1:53" s="28" customFormat="1" x14ac:dyDescent="0.15">
      <c r="A36" s="51">
        <v>1972</v>
      </c>
      <c r="B36" s="293">
        <v>26352</v>
      </c>
      <c r="C36" s="370" t="s">
        <v>344</v>
      </c>
      <c r="D36" s="370"/>
      <c r="E36" s="28">
        <v>194</v>
      </c>
      <c r="F36" s="28">
        <v>1</v>
      </c>
      <c r="G36" s="65"/>
      <c r="I36" s="28">
        <v>14</v>
      </c>
      <c r="J36" s="72">
        <v>14</v>
      </c>
      <c r="K36" s="46">
        <f>G36/J36*100</f>
        <v>0</v>
      </c>
      <c r="L36" s="46">
        <f>H36/J36*100</f>
        <v>0</v>
      </c>
      <c r="M36" s="46">
        <f>I36/J36*100</f>
        <v>100</v>
      </c>
      <c r="N36" s="67">
        <f t="shared" si="3"/>
        <v>100</v>
      </c>
      <c r="O36" s="45"/>
      <c r="P36" s="46"/>
      <c r="Q36" s="46">
        <v>27.5</v>
      </c>
      <c r="R36" s="47">
        <f t="shared" si="4"/>
        <v>27.5</v>
      </c>
      <c r="S36" s="28">
        <v>4</v>
      </c>
      <c r="T36" s="284">
        <v>26300</v>
      </c>
      <c r="U36" s="293">
        <v>26352</v>
      </c>
      <c r="V36" s="37" t="s">
        <v>111</v>
      </c>
      <c r="W36" s="28" t="s">
        <v>20</v>
      </c>
      <c r="X36" s="28" t="s">
        <v>12</v>
      </c>
      <c r="Y36" s="38">
        <v>27.5</v>
      </c>
      <c r="Z36" s="37"/>
      <c r="AC36" s="38"/>
      <c r="AD36" s="37"/>
      <c r="AG36" s="38"/>
      <c r="AL36" s="37"/>
      <c r="AO36" s="38"/>
      <c r="AP36" s="37"/>
      <c r="AS36" s="38"/>
      <c r="AW36" s="38"/>
      <c r="BA36" s="39"/>
    </row>
    <row r="37" spans="1:53" s="170" customFormat="1" x14ac:dyDescent="0.15">
      <c r="A37" s="215">
        <v>1972</v>
      </c>
      <c r="B37" s="281">
        <v>26546</v>
      </c>
      <c r="C37" s="369" t="s">
        <v>345</v>
      </c>
      <c r="D37" s="369"/>
      <c r="E37" s="170">
        <v>119</v>
      </c>
      <c r="F37" s="170">
        <v>2</v>
      </c>
      <c r="G37" s="232">
        <v>2</v>
      </c>
      <c r="H37" s="170">
        <v>6</v>
      </c>
      <c r="I37" s="170">
        <v>7</v>
      </c>
      <c r="J37" s="240">
        <v>16</v>
      </c>
      <c r="K37" s="213">
        <f t="shared" si="11"/>
        <v>12.5</v>
      </c>
      <c r="L37" s="213">
        <f t="shared" si="12"/>
        <v>37.5</v>
      </c>
      <c r="M37" s="213">
        <f t="shared" si="13"/>
        <v>43.75</v>
      </c>
      <c r="N37" s="234">
        <f t="shared" si="3"/>
        <v>93.75</v>
      </c>
      <c r="O37" s="212">
        <v>5</v>
      </c>
      <c r="P37" s="213">
        <v>21</v>
      </c>
      <c r="Q37" s="213">
        <v>27.5</v>
      </c>
      <c r="R37" s="214">
        <f t="shared" si="4"/>
        <v>53.5</v>
      </c>
      <c r="S37" s="170">
        <v>2</v>
      </c>
      <c r="T37" s="283"/>
      <c r="U37" s="281">
        <v>26546</v>
      </c>
      <c r="V37" s="177" t="s">
        <v>111</v>
      </c>
      <c r="W37" s="170" t="s">
        <v>20</v>
      </c>
      <c r="X37" s="170" t="s">
        <v>12</v>
      </c>
      <c r="Y37" s="178">
        <v>27.5</v>
      </c>
      <c r="Z37" s="177" t="s">
        <v>107</v>
      </c>
      <c r="AA37" s="170" t="s">
        <v>869</v>
      </c>
      <c r="AB37" s="170" t="s">
        <v>18</v>
      </c>
      <c r="AC37" s="178">
        <v>17.5</v>
      </c>
      <c r="AD37" s="177" t="s">
        <v>109</v>
      </c>
      <c r="AE37" s="170" t="s">
        <v>89</v>
      </c>
      <c r="AF37" s="170" t="s">
        <v>11</v>
      </c>
      <c r="AG37" s="178">
        <v>5</v>
      </c>
      <c r="AH37" s="170" t="s">
        <v>110</v>
      </c>
      <c r="AI37" s="170" t="s">
        <v>22</v>
      </c>
      <c r="AJ37" s="170" t="s">
        <v>18</v>
      </c>
      <c r="AK37" s="170">
        <v>3.5</v>
      </c>
      <c r="AL37" s="177"/>
      <c r="AO37" s="178"/>
      <c r="AP37" s="177"/>
      <c r="AS37" s="178"/>
      <c r="AW37" s="178"/>
      <c r="BA37" s="179"/>
    </row>
    <row r="38" spans="1:53" s="170" customFormat="1" x14ac:dyDescent="0.15">
      <c r="A38" s="215">
        <v>1973</v>
      </c>
      <c r="B38" s="281"/>
      <c r="C38" s="369" t="s">
        <v>345</v>
      </c>
      <c r="D38" s="369"/>
      <c r="E38" s="170">
        <v>0</v>
      </c>
      <c r="G38" s="232">
        <v>2</v>
      </c>
      <c r="H38" s="170">
        <v>6</v>
      </c>
      <c r="I38" s="170">
        <v>7</v>
      </c>
      <c r="J38" s="240">
        <v>16</v>
      </c>
      <c r="K38" s="213">
        <f t="shared" si="11"/>
        <v>12.5</v>
      </c>
      <c r="L38" s="213">
        <f t="shared" si="12"/>
        <v>37.5</v>
      </c>
      <c r="M38" s="213">
        <f t="shared" si="13"/>
        <v>43.75</v>
      </c>
      <c r="N38" s="234">
        <f t="shared" si="3"/>
        <v>93.75</v>
      </c>
      <c r="O38" s="212">
        <v>5</v>
      </c>
      <c r="P38" s="213">
        <v>21</v>
      </c>
      <c r="Q38" s="213">
        <v>27.5</v>
      </c>
      <c r="R38" s="214">
        <f t="shared" si="4"/>
        <v>53.5</v>
      </c>
      <c r="S38" s="170">
        <v>2</v>
      </c>
      <c r="T38" s="283"/>
      <c r="U38" s="281"/>
      <c r="V38" s="177" t="s">
        <v>111</v>
      </c>
      <c r="W38" s="170" t="s">
        <v>20</v>
      </c>
      <c r="X38" s="170" t="s">
        <v>12</v>
      </c>
      <c r="Y38" s="178">
        <v>27.5</v>
      </c>
      <c r="Z38" s="177" t="s">
        <v>107</v>
      </c>
      <c r="AA38" s="170" t="s">
        <v>869</v>
      </c>
      <c r="AB38" s="170" t="s">
        <v>18</v>
      </c>
      <c r="AC38" s="178">
        <v>17.5</v>
      </c>
      <c r="AD38" s="177" t="s">
        <v>109</v>
      </c>
      <c r="AE38" s="170" t="s">
        <v>89</v>
      </c>
      <c r="AF38" s="170" t="s">
        <v>11</v>
      </c>
      <c r="AG38" s="178">
        <v>5</v>
      </c>
      <c r="AH38" s="170" t="s">
        <v>110</v>
      </c>
      <c r="AI38" s="170" t="s">
        <v>22</v>
      </c>
      <c r="AJ38" s="170" t="s">
        <v>18</v>
      </c>
      <c r="AK38" s="170">
        <v>3.5</v>
      </c>
      <c r="AL38" s="177"/>
      <c r="AO38" s="178"/>
      <c r="AP38" s="177"/>
      <c r="AS38" s="178"/>
      <c r="AW38" s="178"/>
      <c r="BA38" s="179"/>
    </row>
    <row r="39" spans="1:53" s="170" customFormat="1" x14ac:dyDescent="0.15">
      <c r="A39" s="215">
        <v>1973</v>
      </c>
      <c r="B39" s="281"/>
      <c r="C39" s="369" t="s">
        <v>345</v>
      </c>
      <c r="D39" s="369"/>
      <c r="E39" s="170">
        <v>365</v>
      </c>
      <c r="G39" s="232">
        <v>2</v>
      </c>
      <c r="H39" s="170">
        <v>6</v>
      </c>
      <c r="I39" s="170">
        <v>7</v>
      </c>
      <c r="J39" s="240">
        <v>16</v>
      </c>
      <c r="K39" s="213">
        <f t="shared" si="11"/>
        <v>12.5</v>
      </c>
      <c r="L39" s="213">
        <f t="shared" si="12"/>
        <v>37.5</v>
      </c>
      <c r="M39" s="213">
        <f t="shared" si="13"/>
        <v>43.75</v>
      </c>
      <c r="N39" s="234">
        <f t="shared" si="3"/>
        <v>93.75</v>
      </c>
      <c r="O39" s="212">
        <v>5</v>
      </c>
      <c r="P39" s="213">
        <v>21</v>
      </c>
      <c r="Q39" s="213">
        <v>27.5</v>
      </c>
      <c r="R39" s="214">
        <f t="shared" si="4"/>
        <v>53.5</v>
      </c>
      <c r="S39" s="170">
        <v>2</v>
      </c>
      <c r="T39" s="283"/>
      <c r="U39" s="281"/>
      <c r="V39" s="177" t="s">
        <v>111</v>
      </c>
      <c r="W39" s="170" t="s">
        <v>20</v>
      </c>
      <c r="X39" s="170" t="s">
        <v>12</v>
      </c>
      <c r="Y39" s="178">
        <v>27.5</v>
      </c>
      <c r="Z39" s="177" t="s">
        <v>107</v>
      </c>
      <c r="AA39" s="170" t="s">
        <v>869</v>
      </c>
      <c r="AB39" s="170" t="s">
        <v>18</v>
      </c>
      <c r="AC39" s="178">
        <v>17.5</v>
      </c>
      <c r="AD39" s="177" t="s">
        <v>109</v>
      </c>
      <c r="AE39" s="170" t="s">
        <v>89</v>
      </c>
      <c r="AF39" s="170" t="s">
        <v>11</v>
      </c>
      <c r="AG39" s="178">
        <v>5</v>
      </c>
      <c r="AH39" s="170" t="s">
        <v>110</v>
      </c>
      <c r="AI39" s="170" t="s">
        <v>22</v>
      </c>
      <c r="AJ39" s="170" t="s">
        <v>18</v>
      </c>
      <c r="AK39" s="170">
        <v>3.5</v>
      </c>
      <c r="AL39" s="177"/>
      <c r="AO39" s="178"/>
      <c r="AP39" s="177"/>
      <c r="AS39" s="178"/>
      <c r="AW39" s="178"/>
      <c r="BA39" s="179"/>
    </row>
    <row r="40" spans="1:53" s="170" customFormat="1" x14ac:dyDescent="0.15">
      <c r="A40" s="215">
        <v>1974</v>
      </c>
      <c r="B40" s="281"/>
      <c r="C40" s="369" t="s">
        <v>345</v>
      </c>
      <c r="D40" s="369"/>
      <c r="E40" s="170">
        <v>0</v>
      </c>
      <c r="G40" s="232">
        <v>2</v>
      </c>
      <c r="H40" s="170">
        <v>6</v>
      </c>
      <c r="I40" s="170">
        <v>7</v>
      </c>
      <c r="J40" s="240">
        <v>16</v>
      </c>
      <c r="K40" s="213">
        <f>G40/J40*100</f>
        <v>12.5</v>
      </c>
      <c r="L40" s="213">
        <f>H40/J40*100</f>
        <v>37.5</v>
      </c>
      <c r="M40" s="213">
        <f>I40/J40*100</f>
        <v>43.75</v>
      </c>
      <c r="N40" s="234">
        <f t="shared" si="3"/>
        <v>93.75</v>
      </c>
      <c r="O40" s="212">
        <v>5</v>
      </c>
      <c r="P40" s="213">
        <v>21</v>
      </c>
      <c r="Q40" s="213">
        <v>27.5</v>
      </c>
      <c r="R40" s="214">
        <f t="shared" si="4"/>
        <v>53.5</v>
      </c>
      <c r="S40" s="170">
        <v>2</v>
      </c>
      <c r="T40" s="283"/>
      <c r="U40" s="281"/>
      <c r="V40" s="177" t="s">
        <v>111</v>
      </c>
      <c r="W40" s="170" t="s">
        <v>20</v>
      </c>
      <c r="X40" s="170" t="s">
        <v>12</v>
      </c>
      <c r="Y40" s="178">
        <v>27.5</v>
      </c>
      <c r="Z40" s="177" t="s">
        <v>107</v>
      </c>
      <c r="AA40" s="170" t="s">
        <v>869</v>
      </c>
      <c r="AB40" s="170" t="s">
        <v>18</v>
      </c>
      <c r="AC40" s="178">
        <v>17.5</v>
      </c>
      <c r="AD40" s="177" t="s">
        <v>109</v>
      </c>
      <c r="AE40" s="170" t="s">
        <v>89</v>
      </c>
      <c r="AF40" s="170" t="s">
        <v>11</v>
      </c>
      <c r="AG40" s="178">
        <v>5</v>
      </c>
      <c r="AH40" s="170" t="s">
        <v>110</v>
      </c>
      <c r="AI40" s="170" t="s">
        <v>22</v>
      </c>
      <c r="AJ40" s="170" t="s">
        <v>18</v>
      </c>
      <c r="AK40" s="170">
        <v>3.5</v>
      </c>
      <c r="AL40" s="177"/>
      <c r="AO40" s="178"/>
      <c r="AP40" s="177"/>
      <c r="AS40" s="178"/>
      <c r="AW40" s="178"/>
      <c r="BA40" s="179"/>
    </row>
    <row r="41" spans="1:53" s="170" customFormat="1" x14ac:dyDescent="0.15">
      <c r="A41" s="215">
        <v>1974</v>
      </c>
      <c r="B41" s="281"/>
      <c r="C41" s="369" t="s">
        <v>345</v>
      </c>
      <c r="D41" s="369"/>
      <c r="E41" s="170">
        <v>365</v>
      </c>
      <c r="G41" s="232">
        <v>2</v>
      </c>
      <c r="H41" s="170">
        <v>6</v>
      </c>
      <c r="I41" s="170">
        <v>7</v>
      </c>
      <c r="J41" s="240">
        <v>16</v>
      </c>
      <c r="K41" s="213">
        <f t="shared" ref="K41:K47" si="14">G41/J41*100</f>
        <v>12.5</v>
      </c>
      <c r="L41" s="213">
        <f t="shared" ref="L41:L47" si="15">H41/J41*100</f>
        <v>37.5</v>
      </c>
      <c r="M41" s="213">
        <f t="shared" ref="M41:M47" si="16">I41/J41*100</f>
        <v>43.75</v>
      </c>
      <c r="N41" s="234">
        <f t="shared" si="3"/>
        <v>93.75</v>
      </c>
      <c r="O41" s="212">
        <v>5</v>
      </c>
      <c r="P41" s="213">
        <v>21</v>
      </c>
      <c r="Q41" s="213">
        <v>27.5</v>
      </c>
      <c r="R41" s="214">
        <f t="shared" si="4"/>
        <v>53.5</v>
      </c>
      <c r="S41" s="170">
        <v>2</v>
      </c>
      <c r="T41" s="283"/>
      <c r="U41" s="281"/>
      <c r="V41" s="177" t="s">
        <v>111</v>
      </c>
      <c r="W41" s="170" t="s">
        <v>20</v>
      </c>
      <c r="X41" s="170" t="s">
        <v>12</v>
      </c>
      <c r="Y41" s="178">
        <v>27.5</v>
      </c>
      <c r="Z41" s="177" t="s">
        <v>107</v>
      </c>
      <c r="AA41" s="170" t="s">
        <v>869</v>
      </c>
      <c r="AB41" s="170" t="s">
        <v>18</v>
      </c>
      <c r="AC41" s="178">
        <v>17.5</v>
      </c>
      <c r="AD41" s="177" t="s">
        <v>109</v>
      </c>
      <c r="AE41" s="170" t="s">
        <v>89</v>
      </c>
      <c r="AF41" s="170" t="s">
        <v>11</v>
      </c>
      <c r="AG41" s="178">
        <v>5</v>
      </c>
      <c r="AH41" s="170" t="s">
        <v>110</v>
      </c>
      <c r="AI41" s="170" t="s">
        <v>22</v>
      </c>
      <c r="AJ41" s="170" t="s">
        <v>18</v>
      </c>
      <c r="AK41" s="170">
        <v>3.5</v>
      </c>
      <c r="AL41" s="177"/>
      <c r="AO41" s="178"/>
      <c r="AP41" s="177"/>
      <c r="AS41" s="178"/>
      <c r="AW41" s="178"/>
      <c r="BA41" s="179"/>
    </row>
    <row r="42" spans="1:53" s="170" customFormat="1" x14ac:dyDescent="0.15">
      <c r="A42" s="215">
        <v>1975</v>
      </c>
      <c r="B42" s="281"/>
      <c r="C42" s="369" t="s">
        <v>345</v>
      </c>
      <c r="D42" s="369"/>
      <c r="E42" s="170">
        <v>163</v>
      </c>
      <c r="G42" s="232">
        <v>2</v>
      </c>
      <c r="H42" s="170">
        <v>6</v>
      </c>
      <c r="I42" s="170">
        <v>7</v>
      </c>
      <c r="J42" s="240">
        <v>16</v>
      </c>
      <c r="K42" s="213">
        <f t="shared" si="14"/>
        <v>12.5</v>
      </c>
      <c r="L42" s="213">
        <f t="shared" si="15"/>
        <v>37.5</v>
      </c>
      <c r="M42" s="213">
        <f t="shared" si="16"/>
        <v>43.75</v>
      </c>
      <c r="N42" s="234">
        <f t="shared" si="3"/>
        <v>93.75</v>
      </c>
      <c r="O42" s="212">
        <v>5</v>
      </c>
      <c r="P42" s="213">
        <v>21</v>
      </c>
      <c r="Q42" s="213">
        <v>27.5</v>
      </c>
      <c r="R42" s="214">
        <f t="shared" si="4"/>
        <v>53.5</v>
      </c>
      <c r="S42" s="170">
        <v>2</v>
      </c>
      <c r="T42" s="283"/>
      <c r="U42" s="281"/>
      <c r="V42" s="177" t="s">
        <v>111</v>
      </c>
      <c r="W42" s="170" t="s">
        <v>20</v>
      </c>
      <c r="X42" s="170" t="s">
        <v>12</v>
      </c>
      <c r="Y42" s="178">
        <v>27.5</v>
      </c>
      <c r="Z42" s="177" t="s">
        <v>107</v>
      </c>
      <c r="AA42" s="170" t="s">
        <v>869</v>
      </c>
      <c r="AB42" s="170" t="s">
        <v>18</v>
      </c>
      <c r="AC42" s="178">
        <v>17.5</v>
      </c>
      <c r="AD42" s="177" t="s">
        <v>109</v>
      </c>
      <c r="AE42" s="170" t="s">
        <v>89</v>
      </c>
      <c r="AF42" s="170" t="s">
        <v>11</v>
      </c>
      <c r="AG42" s="178">
        <v>5</v>
      </c>
      <c r="AH42" s="170" t="s">
        <v>110</v>
      </c>
      <c r="AI42" s="170" t="s">
        <v>22</v>
      </c>
      <c r="AJ42" s="170" t="s">
        <v>18</v>
      </c>
      <c r="AK42" s="170">
        <v>3.5</v>
      </c>
      <c r="AL42" s="177"/>
      <c r="AO42" s="178"/>
      <c r="AP42" s="177"/>
      <c r="AS42" s="178"/>
      <c r="AW42" s="178"/>
      <c r="BA42" s="179"/>
    </row>
    <row r="43" spans="1:53" s="28" customFormat="1" x14ac:dyDescent="0.15">
      <c r="A43" s="51">
        <v>1975</v>
      </c>
      <c r="B43" s="293">
        <v>27558</v>
      </c>
      <c r="C43" s="370" t="s">
        <v>346</v>
      </c>
      <c r="D43" s="370"/>
      <c r="E43" s="28">
        <v>170</v>
      </c>
      <c r="F43" s="28">
        <v>7</v>
      </c>
      <c r="G43" s="65">
        <v>2</v>
      </c>
      <c r="H43" s="28">
        <v>4</v>
      </c>
      <c r="I43" s="28">
        <v>5</v>
      </c>
      <c r="J43" s="72">
        <v>17</v>
      </c>
      <c r="K43" s="46">
        <f>G43/J43*100</f>
        <v>11.76470588235294</v>
      </c>
      <c r="L43" s="46">
        <f>H43/J43*100</f>
        <v>23.52941176470588</v>
      </c>
      <c r="M43" s="46">
        <f>I43/J43*100</f>
        <v>29.411764705882355</v>
      </c>
      <c r="N43" s="67">
        <f t="shared" si="3"/>
        <v>64.705882352941174</v>
      </c>
      <c r="O43" s="45">
        <v>22</v>
      </c>
      <c r="P43" s="46">
        <v>21</v>
      </c>
      <c r="Q43" s="46">
        <v>27</v>
      </c>
      <c r="R43" s="47">
        <f t="shared" si="4"/>
        <v>70</v>
      </c>
      <c r="S43" s="28">
        <v>6</v>
      </c>
      <c r="T43" s="284"/>
      <c r="U43" s="293">
        <v>27558</v>
      </c>
      <c r="V43" s="37" t="s">
        <v>111</v>
      </c>
      <c r="W43" s="28" t="s">
        <v>20</v>
      </c>
      <c r="X43" s="28" t="s">
        <v>12</v>
      </c>
      <c r="Y43" s="38">
        <v>27.5</v>
      </c>
      <c r="Z43" s="37" t="s">
        <v>107</v>
      </c>
      <c r="AA43" s="28" t="s">
        <v>869</v>
      </c>
      <c r="AB43" s="28" t="s">
        <v>18</v>
      </c>
      <c r="AC43" s="38">
        <v>17.5</v>
      </c>
      <c r="AD43" s="37" t="s">
        <v>109</v>
      </c>
      <c r="AE43" s="28" t="s">
        <v>89</v>
      </c>
      <c r="AF43" s="28" t="s">
        <v>11</v>
      </c>
      <c r="AG43" s="38">
        <v>5</v>
      </c>
      <c r="AH43" s="28" t="s">
        <v>110</v>
      </c>
      <c r="AI43" s="28" t="s">
        <v>22</v>
      </c>
      <c r="AJ43" s="28" t="s">
        <v>18</v>
      </c>
      <c r="AK43" s="28">
        <v>3.5</v>
      </c>
      <c r="AL43" s="37" t="s">
        <v>108</v>
      </c>
      <c r="AM43" s="28" t="s">
        <v>74</v>
      </c>
      <c r="AN43" s="28" t="s">
        <v>11</v>
      </c>
      <c r="AO43" s="38">
        <v>17</v>
      </c>
      <c r="AP43" s="37"/>
      <c r="AS43" s="38"/>
      <c r="AW43" s="38"/>
      <c r="BA43" s="39"/>
    </row>
    <row r="44" spans="1:53" s="170" customFormat="1" x14ac:dyDescent="0.15">
      <c r="A44" s="215">
        <v>1975</v>
      </c>
      <c r="B44" s="281">
        <v>27728</v>
      </c>
      <c r="C44" s="369" t="s">
        <v>347</v>
      </c>
      <c r="D44" s="369"/>
      <c r="E44" s="170">
        <v>32</v>
      </c>
      <c r="F44" s="170">
        <v>1</v>
      </c>
      <c r="G44" s="232">
        <v>2</v>
      </c>
      <c r="H44" s="170">
        <v>5</v>
      </c>
      <c r="I44" s="170">
        <v>9</v>
      </c>
      <c r="J44" s="240">
        <v>18</v>
      </c>
      <c r="K44" s="213">
        <f t="shared" si="14"/>
        <v>11.111111111111111</v>
      </c>
      <c r="L44" s="213">
        <f t="shared" si="15"/>
        <v>27.777777777777779</v>
      </c>
      <c r="M44" s="213">
        <f t="shared" si="16"/>
        <v>50</v>
      </c>
      <c r="N44" s="234">
        <f t="shared" si="3"/>
        <v>88.888888888888886</v>
      </c>
      <c r="O44" s="212">
        <v>5</v>
      </c>
      <c r="P44" s="213">
        <v>24</v>
      </c>
      <c r="Q44" s="213">
        <v>47</v>
      </c>
      <c r="R44" s="214">
        <f t="shared" si="4"/>
        <v>76</v>
      </c>
      <c r="S44" s="170">
        <v>3</v>
      </c>
      <c r="T44" s="283">
        <v>27658</v>
      </c>
      <c r="U44" s="281">
        <v>27728</v>
      </c>
      <c r="V44" s="177" t="s">
        <v>107</v>
      </c>
      <c r="W44" s="170" t="s">
        <v>869</v>
      </c>
      <c r="X44" s="170" t="s">
        <v>18</v>
      </c>
      <c r="Y44" s="178">
        <v>19.5</v>
      </c>
      <c r="Z44" s="177" t="s">
        <v>111</v>
      </c>
      <c r="AA44" s="170" t="s">
        <v>20</v>
      </c>
      <c r="AB44" s="170" t="s">
        <v>12</v>
      </c>
      <c r="AC44" s="178">
        <v>27</v>
      </c>
      <c r="AD44" s="177" t="s">
        <v>112</v>
      </c>
      <c r="AE44" s="170" t="s">
        <v>113</v>
      </c>
      <c r="AF44" s="170" t="s">
        <v>12</v>
      </c>
      <c r="AG44" s="178">
        <v>20</v>
      </c>
      <c r="AH44" s="177" t="s">
        <v>109</v>
      </c>
      <c r="AI44" s="170" t="s">
        <v>89</v>
      </c>
      <c r="AJ44" s="170" t="s">
        <v>11</v>
      </c>
      <c r="AK44" s="178">
        <v>5</v>
      </c>
      <c r="AL44" s="170" t="s">
        <v>110</v>
      </c>
      <c r="AM44" s="170" t="s">
        <v>22</v>
      </c>
      <c r="AN44" s="170" t="s">
        <v>18</v>
      </c>
      <c r="AO44" s="170">
        <v>4.5</v>
      </c>
      <c r="AP44" s="177"/>
      <c r="AS44" s="178"/>
      <c r="AW44" s="178"/>
      <c r="BA44" s="179"/>
    </row>
    <row r="45" spans="1:53" s="170" customFormat="1" x14ac:dyDescent="0.15">
      <c r="A45" s="215">
        <v>1976</v>
      </c>
      <c r="B45" s="281"/>
      <c r="C45" s="369" t="s">
        <v>347</v>
      </c>
      <c r="D45" s="369"/>
      <c r="E45" s="170">
        <v>272</v>
      </c>
      <c r="G45" s="232">
        <v>2</v>
      </c>
      <c r="H45" s="170">
        <v>5</v>
      </c>
      <c r="I45" s="170">
        <v>9</v>
      </c>
      <c r="J45" s="240">
        <v>18</v>
      </c>
      <c r="K45" s="213">
        <f t="shared" si="14"/>
        <v>11.111111111111111</v>
      </c>
      <c r="L45" s="213">
        <f t="shared" si="15"/>
        <v>27.777777777777779</v>
      </c>
      <c r="M45" s="213">
        <f t="shared" si="16"/>
        <v>50</v>
      </c>
      <c r="N45" s="234">
        <f t="shared" si="3"/>
        <v>88.888888888888886</v>
      </c>
      <c r="O45" s="212">
        <v>5</v>
      </c>
      <c r="P45" s="213">
        <v>24</v>
      </c>
      <c r="Q45" s="213">
        <v>47</v>
      </c>
      <c r="R45" s="214">
        <f t="shared" si="4"/>
        <v>76</v>
      </c>
      <c r="S45" s="170">
        <v>3</v>
      </c>
      <c r="T45" s="283"/>
      <c r="U45" s="281"/>
      <c r="V45" s="177" t="s">
        <v>107</v>
      </c>
      <c r="W45" s="170" t="s">
        <v>869</v>
      </c>
      <c r="X45" s="170" t="s">
        <v>18</v>
      </c>
      <c r="Y45" s="178">
        <v>19.5</v>
      </c>
      <c r="Z45" s="177" t="s">
        <v>111</v>
      </c>
      <c r="AA45" s="170" t="s">
        <v>20</v>
      </c>
      <c r="AB45" s="170" t="s">
        <v>12</v>
      </c>
      <c r="AC45" s="178">
        <v>27</v>
      </c>
      <c r="AD45" s="177" t="s">
        <v>112</v>
      </c>
      <c r="AE45" s="170" t="s">
        <v>113</v>
      </c>
      <c r="AF45" s="170" t="s">
        <v>12</v>
      </c>
      <c r="AG45" s="178">
        <v>20</v>
      </c>
      <c r="AH45" s="177" t="s">
        <v>109</v>
      </c>
      <c r="AI45" s="170" t="s">
        <v>89</v>
      </c>
      <c r="AJ45" s="170" t="s">
        <v>11</v>
      </c>
      <c r="AK45" s="178">
        <v>5</v>
      </c>
      <c r="AL45" s="170" t="s">
        <v>110</v>
      </c>
      <c r="AM45" s="170" t="s">
        <v>22</v>
      </c>
      <c r="AN45" s="170" t="s">
        <v>18</v>
      </c>
      <c r="AO45" s="170">
        <v>4.5</v>
      </c>
      <c r="AP45" s="177"/>
      <c r="AS45" s="178"/>
      <c r="AW45" s="178"/>
      <c r="BA45" s="179"/>
    </row>
    <row r="46" spans="1:53" s="28" customFormat="1" x14ac:dyDescent="0.15">
      <c r="A46" s="51">
        <v>1976</v>
      </c>
      <c r="B46" s="293">
        <v>28032</v>
      </c>
      <c r="C46" s="370" t="s">
        <v>348</v>
      </c>
      <c r="D46" s="370"/>
      <c r="E46" s="28">
        <v>94</v>
      </c>
      <c r="F46" s="28">
        <v>4</v>
      </c>
      <c r="G46" s="65">
        <v>3</v>
      </c>
      <c r="H46" s="28">
        <v>12</v>
      </c>
      <c r="J46" s="72">
        <v>16</v>
      </c>
      <c r="K46" s="46">
        <f t="shared" si="14"/>
        <v>18.75</v>
      </c>
      <c r="L46" s="46">
        <f t="shared" si="15"/>
        <v>75</v>
      </c>
      <c r="M46" s="46">
        <f t="shared" si="16"/>
        <v>0</v>
      </c>
      <c r="N46" s="67">
        <f t="shared" si="3"/>
        <v>93.75</v>
      </c>
      <c r="O46" s="45">
        <v>5</v>
      </c>
      <c r="P46" s="46">
        <v>24</v>
      </c>
      <c r="Q46" s="46"/>
      <c r="R46" s="47">
        <f t="shared" si="4"/>
        <v>29</v>
      </c>
      <c r="S46" s="28">
        <v>5</v>
      </c>
      <c r="T46" s="284"/>
      <c r="U46" s="293">
        <v>28032</v>
      </c>
      <c r="V46" s="37" t="s">
        <v>107</v>
      </c>
      <c r="W46" s="28" t="s">
        <v>869</v>
      </c>
      <c r="X46" s="28" t="s">
        <v>18</v>
      </c>
      <c r="Y46" s="38">
        <v>19.5</v>
      </c>
      <c r="Z46" s="37" t="s">
        <v>109</v>
      </c>
      <c r="AA46" s="28" t="s">
        <v>89</v>
      </c>
      <c r="AB46" s="28" t="s">
        <v>11</v>
      </c>
      <c r="AC46" s="38">
        <v>5</v>
      </c>
      <c r="AD46" s="28" t="s">
        <v>110</v>
      </c>
      <c r="AE46" s="28" t="s">
        <v>22</v>
      </c>
      <c r="AF46" s="28" t="s">
        <v>18</v>
      </c>
      <c r="AG46" s="38">
        <v>4.5</v>
      </c>
      <c r="AL46" s="37"/>
      <c r="AO46" s="38"/>
      <c r="AP46" s="37"/>
      <c r="AS46" s="38"/>
      <c r="AW46" s="38"/>
      <c r="BA46" s="39"/>
    </row>
    <row r="47" spans="1:53" s="28" customFormat="1" x14ac:dyDescent="0.15">
      <c r="A47" s="51">
        <v>1977</v>
      </c>
      <c r="B47" s="293"/>
      <c r="C47" s="370" t="s">
        <v>348</v>
      </c>
      <c r="D47" s="370"/>
      <c r="E47" s="28">
        <v>134</v>
      </c>
      <c r="G47" s="65">
        <v>3</v>
      </c>
      <c r="H47" s="28">
        <v>12</v>
      </c>
      <c r="J47" s="72">
        <v>16</v>
      </c>
      <c r="K47" s="46">
        <f t="shared" si="14"/>
        <v>18.75</v>
      </c>
      <c r="L47" s="46">
        <f t="shared" si="15"/>
        <v>75</v>
      </c>
      <c r="M47" s="46">
        <f t="shared" si="16"/>
        <v>0</v>
      </c>
      <c r="N47" s="67">
        <f t="shared" si="3"/>
        <v>93.75</v>
      </c>
      <c r="O47" s="45">
        <v>5</v>
      </c>
      <c r="P47" s="46">
        <v>24</v>
      </c>
      <c r="Q47" s="46"/>
      <c r="R47" s="47">
        <f t="shared" si="4"/>
        <v>29</v>
      </c>
      <c r="S47" s="28">
        <v>5</v>
      </c>
      <c r="T47" s="284"/>
      <c r="U47" s="293"/>
      <c r="V47" s="37" t="s">
        <v>107</v>
      </c>
      <c r="W47" s="28" t="s">
        <v>869</v>
      </c>
      <c r="X47" s="28" t="s">
        <v>18</v>
      </c>
      <c r="Y47" s="38">
        <v>19.5</v>
      </c>
      <c r="Z47" s="37" t="s">
        <v>109</v>
      </c>
      <c r="AA47" s="28" t="s">
        <v>89</v>
      </c>
      <c r="AB47" s="28" t="s">
        <v>11</v>
      </c>
      <c r="AC47" s="38">
        <v>5</v>
      </c>
      <c r="AD47" s="28" t="s">
        <v>110</v>
      </c>
      <c r="AE47" s="28" t="s">
        <v>22</v>
      </c>
      <c r="AF47" s="28" t="s">
        <v>18</v>
      </c>
      <c r="AG47" s="38">
        <v>4.5</v>
      </c>
      <c r="AL47" s="37"/>
      <c r="AO47" s="38"/>
      <c r="AP47" s="37"/>
      <c r="AS47" s="38"/>
      <c r="AW47" s="38"/>
      <c r="BA47" s="39"/>
    </row>
    <row r="48" spans="1:53" s="170" customFormat="1" x14ac:dyDescent="0.15">
      <c r="A48" s="215">
        <v>1977</v>
      </c>
      <c r="B48" s="281">
        <v>28260</v>
      </c>
      <c r="C48" s="369" t="s">
        <v>349</v>
      </c>
      <c r="D48" s="369"/>
      <c r="E48" s="170">
        <v>231</v>
      </c>
      <c r="F48" s="170">
        <v>6</v>
      </c>
      <c r="G48" s="232">
        <v>1</v>
      </c>
      <c r="H48" s="170">
        <v>6</v>
      </c>
      <c r="I48" s="170">
        <v>7</v>
      </c>
      <c r="J48" s="240">
        <v>15</v>
      </c>
      <c r="K48" s="213">
        <f>G48/J48*100</f>
        <v>6.666666666666667</v>
      </c>
      <c r="L48" s="213">
        <f>H48/J48*100</f>
        <v>40</v>
      </c>
      <c r="M48" s="213">
        <f>I48/J48*100</f>
        <v>46.666666666666664</v>
      </c>
      <c r="N48" s="234">
        <f t="shared" si="3"/>
        <v>93.333333333333329</v>
      </c>
      <c r="O48" s="212">
        <v>5</v>
      </c>
      <c r="P48" s="213">
        <v>24</v>
      </c>
      <c r="Q48" s="213">
        <v>47</v>
      </c>
      <c r="R48" s="214">
        <f t="shared" si="4"/>
        <v>76</v>
      </c>
      <c r="S48" s="170">
        <v>3</v>
      </c>
      <c r="T48" s="283"/>
      <c r="U48" s="281">
        <v>28260</v>
      </c>
      <c r="V48" s="177" t="s">
        <v>111</v>
      </c>
      <c r="W48" s="170" t="s">
        <v>20</v>
      </c>
      <c r="X48" s="170" t="s">
        <v>12</v>
      </c>
      <c r="Y48" s="178">
        <v>27</v>
      </c>
      <c r="Z48" s="177" t="s">
        <v>107</v>
      </c>
      <c r="AA48" s="170" t="s">
        <v>869</v>
      </c>
      <c r="AB48" s="170" t="s">
        <v>18</v>
      </c>
      <c r="AC48" s="178">
        <v>19.5</v>
      </c>
      <c r="AD48" s="177" t="s">
        <v>112</v>
      </c>
      <c r="AE48" s="170" t="s">
        <v>113</v>
      </c>
      <c r="AF48" s="170" t="s">
        <v>12</v>
      </c>
      <c r="AG48" s="178">
        <v>20</v>
      </c>
      <c r="AH48" s="177" t="s">
        <v>109</v>
      </c>
      <c r="AI48" s="170" t="s">
        <v>89</v>
      </c>
      <c r="AJ48" s="170" t="s">
        <v>11</v>
      </c>
      <c r="AK48" s="178">
        <v>5</v>
      </c>
      <c r="AL48" s="170" t="s">
        <v>110</v>
      </c>
      <c r="AM48" s="170" t="s">
        <v>22</v>
      </c>
      <c r="AN48" s="170" t="s">
        <v>18</v>
      </c>
      <c r="AO48" s="170">
        <v>4.5</v>
      </c>
      <c r="AP48" s="177"/>
      <c r="AS48" s="178"/>
      <c r="AW48" s="178"/>
      <c r="BA48" s="179"/>
    </row>
    <row r="49" spans="1:53" s="170" customFormat="1" x14ac:dyDescent="0.15">
      <c r="A49" s="215">
        <v>1978</v>
      </c>
      <c r="B49" s="281"/>
      <c r="C49" s="369" t="s">
        <v>349</v>
      </c>
      <c r="D49" s="369"/>
      <c r="E49" s="170">
        <v>60</v>
      </c>
      <c r="G49" s="232">
        <v>1</v>
      </c>
      <c r="H49" s="170">
        <v>6</v>
      </c>
      <c r="I49" s="170">
        <v>7</v>
      </c>
      <c r="J49" s="240">
        <v>15</v>
      </c>
      <c r="K49" s="213">
        <f t="shared" ref="K49:K54" si="17">G49/J49*100</f>
        <v>6.666666666666667</v>
      </c>
      <c r="L49" s="213">
        <f t="shared" ref="L49:L54" si="18">H49/J49*100</f>
        <v>40</v>
      </c>
      <c r="M49" s="213">
        <f t="shared" ref="M49:M54" si="19">I49/J49*100</f>
        <v>46.666666666666664</v>
      </c>
      <c r="N49" s="234">
        <f t="shared" si="3"/>
        <v>93.333333333333329</v>
      </c>
      <c r="O49" s="212">
        <v>5</v>
      </c>
      <c r="P49" s="213">
        <v>24</v>
      </c>
      <c r="Q49" s="213">
        <v>47</v>
      </c>
      <c r="R49" s="214">
        <f t="shared" si="4"/>
        <v>76</v>
      </c>
      <c r="S49" s="170">
        <v>3</v>
      </c>
      <c r="T49" s="283"/>
      <c r="U49" s="281"/>
      <c r="V49" s="177" t="s">
        <v>111</v>
      </c>
      <c r="W49" s="170" t="s">
        <v>20</v>
      </c>
      <c r="X49" s="170" t="s">
        <v>12</v>
      </c>
      <c r="Y49" s="178">
        <v>27</v>
      </c>
      <c r="Z49" s="177" t="s">
        <v>107</v>
      </c>
      <c r="AA49" s="170" t="s">
        <v>869</v>
      </c>
      <c r="AB49" s="170" t="s">
        <v>18</v>
      </c>
      <c r="AC49" s="178">
        <v>19.5</v>
      </c>
      <c r="AD49" s="177" t="s">
        <v>112</v>
      </c>
      <c r="AE49" s="170" t="s">
        <v>113</v>
      </c>
      <c r="AF49" s="170" t="s">
        <v>12</v>
      </c>
      <c r="AG49" s="178">
        <v>20</v>
      </c>
      <c r="AH49" s="177" t="s">
        <v>109</v>
      </c>
      <c r="AI49" s="170" t="s">
        <v>89</v>
      </c>
      <c r="AJ49" s="170" t="s">
        <v>11</v>
      </c>
      <c r="AK49" s="178">
        <v>5</v>
      </c>
      <c r="AL49" s="170" t="s">
        <v>110</v>
      </c>
      <c r="AM49" s="170" t="s">
        <v>22</v>
      </c>
      <c r="AN49" s="170" t="s">
        <v>18</v>
      </c>
      <c r="AO49" s="170">
        <v>4.5</v>
      </c>
      <c r="AP49" s="177"/>
      <c r="AS49" s="178"/>
      <c r="AW49" s="178"/>
      <c r="BA49" s="179"/>
    </row>
    <row r="50" spans="1:53" s="28" customFormat="1" x14ac:dyDescent="0.15">
      <c r="A50" s="51">
        <v>1978</v>
      </c>
      <c r="B50" s="293">
        <v>28551</v>
      </c>
      <c r="C50" s="370" t="s">
        <v>350</v>
      </c>
      <c r="D50" s="370"/>
      <c r="E50" s="28">
        <v>305</v>
      </c>
      <c r="F50" s="28">
        <v>4</v>
      </c>
      <c r="G50" s="65"/>
      <c r="H50" s="28">
        <v>7</v>
      </c>
      <c r="I50" s="28">
        <v>7</v>
      </c>
      <c r="J50" s="72">
        <v>15</v>
      </c>
      <c r="K50" s="46">
        <f t="shared" si="17"/>
        <v>0</v>
      </c>
      <c r="L50" s="46">
        <f t="shared" si="18"/>
        <v>46.666666666666664</v>
      </c>
      <c r="M50" s="46">
        <f t="shared" si="19"/>
        <v>46.666666666666664</v>
      </c>
      <c r="N50" s="67">
        <f t="shared" si="3"/>
        <v>93.333333333333329</v>
      </c>
      <c r="O50" s="45"/>
      <c r="P50" s="46">
        <v>24</v>
      </c>
      <c r="Q50" s="46">
        <v>47</v>
      </c>
      <c r="R50" s="47">
        <f t="shared" si="4"/>
        <v>71</v>
      </c>
      <c r="S50" s="28">
        <v>3</v>
      </c>
      <c r="T50" s="284"/>
      <c r="U50" s="293">
        <v>28551</v>
      </c>
      <c r="V50" s="37" t="s">
        <v>111</v>
      </c>
      <c r="W50" s="28" t="s">
        <v>20</v>
      </c>
      <c r="X50" s="28" t="s">
        <v>12</v>
      </c>
      <c r="Y50" s="38">
        <v>27</v>
      </c>
      <c r="Z50" s="37" t="s">
        <v>107</v>
      </c>
      <c r="AA50" s="28" t="s">
        <v>869</v>
      </c>
      <c r="AB50" s="28" t="s">
        <v>18</v>
      </c>
      <c r="AC50" s="38">
        <v>19.5</v>
      </c>
      <c r="AD50" s="37" t="s">
        <v>112</v>
      </c>
      <c r="AE50" s="28" t="s">
        <v>113</v>
      </c>
      <c r="AF50" s="28" t="s">
        <v>12</v>
      </c>
      <c r="AG50" s="38">
        <v>20</v>
      </c>
      <c r="AH50" s="28" t="s">
        <v>110</v>
      </c>
      <c r="AI50" s="28" t="s">
        <v>22</v>
      </c>
      <c r="AJ50" s="28" t="s">
        <v>18</v>
      </c>
      <c r="AK50" s="28">
        <v>4.5</v>
      </c>
      <c r="AL50" s="37"/>
      <c r="AO50" s="38"/>
      <c r="AP50" s="37"/>
      <c r="AS50" s="38"/>
      <c r="AW50" s="38"/>
      <c r="BA50" s="39"/>
    </row>
    <row r="51" spans="1:53" s="28" customFormat="1" x14ac:dyDescent="0.15">
      <c r="A51" s="51">
        <v>1979</v>
      </c>
      <c r="B51" s="293"/>
      <c r="C51" s="370" t="s">
        <v>350</v>
      </c>
      <c r="D51" s="370"/>
      <c r="E51" s="28">
        <v>144</v>
      </c>
      <c r="G51" s="65"/>
      <c r="H51" s="28">
        <v>7</v>
      </c>
      <c r="I51" s="28">
        <v>7</v>
      </c>
      <c r="J51" s="72">
        <v>15</v>
      </c>
      <c r="K51" s="46">
        <f t="shared" si="17"/>
        <v>0</v>
      </c>
      <c r="L51" s="46">
        <f t="shared" si="18"/>
        <v>46.666666666666664</v>
      </c>
      <c r="M51" s="46">
        <f t="shared" si="19"/>
        <v>46.666666666666664</v>
      </c>
      <c r="N51" s="67">
        <f t="shared" si="3"/>
        <v>93.333333333333329</v>
      </c>
      <c r="O51" s="45"/>
      <c r="P51" s="46">
        <v>24</v>
      </c>
      <c r="Q51" s="46">
        <v>47</v>
      </c>
      <c r="R51" s="47">
        <f t="shared" si="4"/>
        <v>71</v>
      </c>
      <c r="S51" s="28">
        <v>3</v>
      </c>
      <c r="T51" s="284"/>
      <c r="U51" s="293"/>
      <c r="V51" s="37" t="s">
        <v>111</v>
      </c>
      <c r="W51" s="28" t="s">
        <v>20</v>
      </c>
      <c r="X51" s="28" t="s">
        <v>12</v>
      </c>
      <c r="Y51" s="38">
        <v>27</v>
      </c>
      <c r="Z51" s="37" t="s">
        <v>107</v>
      </c>
      <c r="AA51" s="28" t="s">
        <v>869</v>
      </c>
      <c r="AB51" s="28" t="s">
        <v>18</v>
      </c>
      <c r="AC51" s="38">
        <v>19.5</v>
      </c>
      <c r="AD51" s="37" t="s">
        <v>112</v>
      </c>
      <c r="AE51" s="28" t="s">
        <v>113</v>
      </c>
      <c r="AF51" s="28" t="s">
        <v>12</v>
      </c>
      <c r="AG51" s="38">
        <v>20</v>
      </c>
      <c r="AH51" s="28" t="s">
        <v>110</v>
      </c>
      <c r="AI51" s="28" t="s">
        <v>22</v>
      </c>
      <c r="AJ51" s="28" t="s">
        <v>18</v>
      </c>
      <c r="AK51" s="28">
        <v>4.5</v>
      </c>
      <c r="AL51" s="37"/>
      <c r="AO51" s="38"/>
      <c r="AP51" s="37"/>
      <c r="AS51" s="38"/>
      <c r="AW51" s="38"/>
      <c r="BA51" s="39"/>
    </row>
    <row r="52" spans="1:53" s="170" customFormat="1" x14ac:dyDescent="0.15">
      <c r="A52" s="215">
        <v>1979</v>
      </c>
      <c r="B52" s="281">
        <v>29000</v>
      </c>
      <c r="C52" s="369" t="s">
        <v>351</v>
      </c>
      <c r="D52" s="369"/>
      <c r="E52" s="170">
        <v>221</v>
      </c>
      <c r="F52" s="170">
        <v>1</v>
      </c>
      <c r="G52" s="232">
        <v>2</v>
      </c>
      <c r="H52" s="170">
        <v>6</v>
      </c>
      <c r="I52" s="170">
        <v>8</v>
      </c>
      <c r="J52" s="240">
        <v>17</v>
      </c>
      <c r="K52" s="213">
        <f t="shared" si="17"/>
        <v>11.76470588235294</v>
      </c>
      <c r="L52" s="213">
        <f t="shared" si="18"/>
        <v>35.294117647058826</v>
      </c>
      <c r="M52" s="213">
        <f t="shared" si="19"/>
        <v>47.058823529411761</v>
      </c>
      <c r="N52" s="234">
        <f t="shared" si="3"/>
        <v>94.117647058823536</v>
      </c>
      <c r="O52" s="212">
        <v>5</v>
      </c>
      <c r="P52" s="213">
        <v>18</v>
      </c>
      <c r="Q52" s="213">
        <v>43.5</v>
      </c>
      <c r="R52" s="214">
        <f t="shared" si="4"/>
        <v>66.5</v>
      </c>
      <c r="S52" s="170">
        <v>3</v>
      </c>
      <c r="T52" s="283">
        <v>28926</v>
      </c>
      <c r="U52" s="281">
        <v>29000</v>
      </c>
      <c r="V52" s="177" t="s">
        <v>111</v>
      </c>
      <c r="W52" s="170" t="s">
        <v>20</v>
      </c>
      <c r="X52" s="170" t="s">
        <v>12</v>
      </c>
      <c r="Y52" s="178">
        <v>26</v>
      </c>
      <c r="Z52" s="177" t="s">
        <v>107</v>
      </c>
      <c r="AA52" s="170" t="s">
        <v>869</v>
      </c>
      <c r="AB52" s="170" t="s">
        <v>18</v>
      </c>
      <c r="AC52" s="178">
        <v>18</v>
      </c>
      <c r="AD52" s="177" t="s">
        <v>112</v>
      </c>
      <c r="AE52" s="170" t="s">
        <v>113</v>
      </c>
      <c r="AF52" s="170" t="s">
        <v>12</v>
      </c>
      <c r="AG52" s="178">
        <v>17.5</v>
      </c>
      <c r="AH52" s="177" t="s">
        <v>109</v>
      </c>
      <c r="AI52" s="170" t="s">
        <v>89</v>
      </c>
      <c r="AJ52" s="170" t="s">
        <v>11</v>
      </c>
      <c r="AK52" s="178">
        <v>5</v>
      </c>
      <c r="AL52" s="177"/>
      <c r="AO52" s="178"/>
      <c r="AP52" s="177"/>
      <c r="AS52" s="178"/>
      <c r="AW52" s="178"/>
      <c r="BA52" s="179"/>
    </row>
    <row r="53" spans="1:53" s="170" customFormat="1" x14ac:dyDescent="0.15">
      <c r="A53" s="215">
        <v>1980</v>
      </c>
      <c r="B53" s="281"/>
      <c r="C53" s="369" t="s">
        <v>351</v>
      </c>
      <c r="D53" s="369"/>
      <c r="E53" s="170">
        <v>0</v>
      </c>
      <c r="G53" s="232">
        <v>2</v>
      </c>
      <c r="H53" s="170">
        <v>6</v>
      </c>
      <c r="I53" s="170">
        <v>8</v>
      </c>
      <c r="J53" s="240">
        <v>17</v>
      </c>
      <c r="K53" s="213">
        <f t="shared" si="17"/>
        <v>11.76470588235294</v>
      </c>
      <c r="L53" s="213">
        <f t="shared" si="18"/>
        <v>35.294117647058826</v>
      </c>
      <c r="M53" s="213">
        <f t="shared" si="19"/>
        <v>47.058823529411761</v>
      </c>
      <c r="N53" s="234">
        <f t="shared" si="3"/>
        <v>94.117647058823536</v>
      </c>
      <c r="O53" s="212">
        <v>5</v>
      </c>
      <c r="P53" s="213">
        <v>18</v>
      </c>
      <c r="Q53" s="213">
        <v>43.5</v>
      </c>
      <c r="R53" s="214">
        <f t="shared" si="4"/>
        <v>66.5</v>
      </c>
      <c r="S53" s="170">
        <v>3</v>
      </c>
      <c r="T53" s="283"/>
      <c r="U53" s="281"/>
      <c r="V53" s="177" t="s">
        <v>111</v>
      </c>
      <c r="W53" s="170" t="s">
        <v>20</v>
      </c>
      <c r="X53" s="170" t="s">
        <v>12</v>
      </c>
      <c r="Y53" s="178">
        <v>26</v>
      </c>
      <c r="Z53" s="177" t="s">
        <v>107</v>
      </c>
      <c r="AA53" s="170" t="s">
        <v>869</v>
      </c>
      <c r="AB53" s="170" t="s">
        <v>18</v>
      </c>
      <c r="AC53" s="178">
        <v>18</v>
      </c>
      <c r="AD53" s="177" t="s">
        <v>112</v>
      </c>
      <c r="AE53" s="170" t="s">
        <v>113</v>
      </c>
      <c r="AF53" s="170" t="s">
        <v>12</v>
      </c>
      <c r="AG53" s="178">
        <v>17.5</v>
      </c>
      <c r="AH53" s="177" t="s">
        <v>109</v>
      </c>
      <c r="AI53" s="170" t="s">
        <v>89</v>
      </c>
      <c r="AJ53" s="170" t="s">
        <v>11</v>
      </c>
      <c r="AK53" s="178">
        <v>5</v>
      </c>
      <c r="AL53" s="177"/>
      <c r="AO53" s="178"/>
      <c r="AP53" s="177"/>
      <c r="AS53" s="178"/>
      <c r="AW53" s="178"/>
      <c r="BA53" s="179"/>
    </row>
    <row r="54" spans="1:53" s="170" customFormat="1" x14ac:dyDescent="0.15">
      <c r="A54" s="215">
        <v>1980</v>
      </c>
      <c r="B54" s="281"/>
      <c r="C54" s="369" t="s">
        <v>351</v>
      </c>
      <c r="D54" s="369"/>
      <c r="E54" s="170">
        <v>366</v>
      </c>
      <c r="G54" s="232">
        <v>2</v>
      </c>
      <c r="H54" s="170">
        <v>6</v>
      </c>
      <c r="I54" s="170">
        <v>8</v>
      </c>
      <c r="J54" s="240">
        <v>17</v>
      </c>
      <c r="K54" s="213">
        <f t="shared" si="17"/>
        <v>11.76470588235294</v>
      </c>
      <c r="L54" s="213">
        <f t="shared" si="18"/>
        <v>35.294117647058826</v>
      </c>
      <c r="M54" s="213">
        <f t="shared" si="19"/>
        <v>47.058823529411761</v>
      </c>
      <c r="N54" s="234">
        <f t="shared" si="3"/>
        <v>94.117647058823536</v>
      </c>
      <c r="O54" s="212">
        <v>5</v>
      </c>
      <c r="P54" s="213">
        <v>18</v>
      </c>
      <c r="Q54" s="213">
        <v>43.5</v>
      </c>
      <c r="R54" s="214">
        <f t="shared" si="4"/>
        <v>66.5</v>
      </c>
      <c r="S54" s="170">
        <v>3</v>
      </c>
      <c r="T54" s="283"/>
      <c r="U54" s="281"/>
      <c r="V54" s="177" t="s">
        <v>111</v>
      </c>
      <c r="W54" s="170" t="s">
        <v>20</v>
      </c>
      <c r="X54" s="170" t="s">
        <v>12</v>
      </c>
      <c r="Y54" s="178">
        <v>26</v>
      </c>
      <c r="Z54" s="177" t="s">
        <v>107</v>
      </c>
      <c r="AA54" s="170" t="s">
        <v>869</v>
      </c>
      <c r="AB54" s="170" t="s">
        <v>18</v>
      </c>
      <c r="AC54" s="178">
        <v>18</v>
      </c>
      <c r="AD54" s="177" t="s">
        <v>112</v>
      </c>
      <c r="AE54" s="170" t="s">
        <v>113</v>
      </c>
      <c r="AF54" s="170" t="s">
        <v>12</v>
      </c>
      <c r="AG54" s="178">
        <v>17.5</v>
      </c>
      <c r="AH54" s="177" t="s">
        <v>109</v>
      </c>
      <c r="AI54" s="170" t="s">
        <v>89</v>
      </c>
      <c r="AJ54" s="170" t="s">
        <v>11</v>
      </c>
      <c r="AK54" s="178">
        <v>5</v>
      </c>
      <c r="AL54" s="177"/>
      <c r="AO54" s="178"/>
      <c r="AP54" s="177"/>
      <c r="AS54" s="178"/>
      <c r="AW54" s="178"/>
      <c r="BA54" s="179"/>
    </row>
    <row r="55" spans="1:53" s="170" customFormat="1" x14ac:dyDescent="0.15">
      <c r="A55" s="215">
        <v>1981</v>
      </c>
      <c r="B55" s="281"/>
      <c r="C55" s="369" t="s">
        <v>351</v>
      </c>
      <c r="D55" s="369"/>
      <c r="E55" s="170">
        <v>0</v>
      </c>
      <c r="G55" s="232">
        <v>2</v>
      </c>
      <c r="H55" s="170">
        <v>6</v>
      </c>
      <c r="I55" s="170">
        <v>8</v>
      </c>
      <c r="J55" s="240">
        <v>17</v>
      </c>
      <c r="K55" s="213">
        <f>G55/J55*100</f>
        <v>11.76470588235294</v>
      </c>
      <c r="L55" s="213">
        <f>H55/J55*100</f>
        <v>35.294117647058826</v>
      </c>
      <c r="M55" s="213">
        <f>I55/J55*100</f>
        <v>47.058823529411761</v>
      </c>
      <c r="N55" s="234">
        <f t="shared" si="3"/>
        <v>94.117647058823536</v>
      </c>
      <c r="O55" s="212">
        <v>5</v>
      </c>
      <c r="P55" s="213">
        <v>18</v>
      </c>
      <c r="Q55" s="213">
        <v>43.5</v>
      </c>
      <c r="R55" s="214">
        <f t="shared" si="4"/>
        <v>66.5</v>
      </c>
      <c r="S55" s="170">
        <v>3</v>
      </c>
      <c r="T55" s="283"/>
      <c r="U55" s="281"/>
      <c r="V55" s="177" t="s">
        <v>111</v>
      </c>
      <c r="W55" s="170" t="s">
        <v>20</v>
      </c>
      <c r="X55" s="170" t="s">
        <v>12</v>
      </c>
      <c r="Y55" s="178">
        <v>26</v>
      </c>
      <c r="Z55" s="177" t="s">
        <v>107</v>
      </c>
      <c r="AA55" s="170" t="s">
        <v>869</v>
      </c>
      <c r="AB55" s="170" t="s">
        <v>18</v>
      </c>
      <c r="AC55" s="178">
        <v>18</v>
      </c>
      <c r="AD55" s="177" t="s">
        <v>112</v>
      </c>
      <c r="AE55" s="170" t="s">
        <v>113</v>
      </c>
      <c r="AF55" s="170" t="s">
        <v>12</v>
      </c>
      <c r="AG55" s="178">
        <v>17.5</v>
      </c>
      <c r="AH55" s="177" t="s">
        <v>109</v>
      </c>
      <c r="AI55" s="170" t="s">
        <v>89</v>
      </c>
      <c r="AJ55" s="170" t="s">
        <v>11</v>
      </c>
      <c r="AK55" s="178">
        <v>5</v>
      </c>
      <c r="AL55" s="177"/>
      <c r="AO55" s="178"/>
      <c r="AP55" s="177"/>
      <c r="AS55" s="178"/>
      <c r="AW55" s="178"/>
      <c r="BA55" s="179"/>
    </row>
    <row r="56" spans="1:53" s="170" customFormat="1" x14ac:dyDescent="0.15">
      <c r="A56" s="215">
        <v>1981</v>
      </c>
      <c r="B56" s="281"/>
      <c r="C56" s="369" t="s">
        <v>351</v>
      </c>
      <c r="D56" s="369"/>
      <c r="E56" s="170">
        <v>365</v>
      </c>
      <c r="G56" s="232">
        <v>2</v>
      </c>
      <c r="H56" s="170">
        <v>6</v>
      </c>
      <c r="I56" s="170">
        <v>8</v>
      </c>
      <c r="J56" s="240">
        <v>17</v>
      </c>
      <c r="K56" s="213">
        <f t="shared" ref="K56:K62" si="20">G56/J56*100</f>
        <v>11.76470588235294</v>
      </c>
      <c r="L56" s="213">
        <f t="shared" ref="L56:L62" si="21">H56/J56*100</f>
        <v>35.294117647058826</v>
      </c>
      <c r="M56" s="213">
        <f t="shared" ref="M56:M62" si="22">I56/J56*100</f>
        <v>47.058823529411761</v>
      </c>
      <c r="N56" s="234">
        <f t="shared" si="3"/>
        <v>94.117647058823536</v>
      </c>
      <c r="O56" s="212">
        <v>5</v>
      </c>
      <c r="P56" s="213">
        <v>18</v>
      </c>
      <c r="Q56" s="213">
        <v>43.5</v>
      </c>
      <c r="R56" s="214">
        <f t="shared" si="4"/>
        <v>66.5</v>
      </c>
      <c r="S56" s="170">
        <v>3</v>
      </c>
      <c r="T56" s="283"/>
      <c r="U56" s="281"/>
      <c r="V56" s="177" t="s">
        <v>111</v>
      </c>
      <c r="W56" s="170" t="s">
        <v>20</v>
      </c>
      <c r="X56" s="170" t="s">
        <v>12</v>
      </c>
      <c r="Y56" s="178">
        <v>26</v>
      </c>
      <c r="Z56" s="177" t="s">
        <v>107</v>
      </c>
      <c r="AA56" s="170" t="s">
        <v>869</v>
      </c>
      <c r="AB56" s="170" t="s">
        <v>18</v>
      </c>
      <c r="AC56" s="178">
        <v>18</v>
      </c>
      <c r="AD56" s="177" t="s">
        <v>112</v>
      </c>
      <c r="AE56" s="170" t="s">
        <v>113</v>
      </c>
      <c r="AF56" s="170" t="s">
        <v>12</v>
      </c>
      <c r="AG56" s="178">
        <v>17.5</v>
      </c>
      <c r="AH56" s="177" t="s">
        <v>109</v>
      </c>
      <c r="AI56" s="170" t="s">
        <v>89</v>
      </c>
      <c r="AJ56" s="170" t="s">
        <v>11</v>
      </c>
      <c r="AK56" s="178">
        <v>5</v>
      </c>
      <c r="AL56" s="177"/>
      <c r="AO56" s="178"/>
      <c r="AP56" s="177"/>
      <c r="AS56" s="178"/>
      <c r="AW56" s="178"/>
      <c r="BA56" s="179"/>
    </row>
    <row r="57" spans="1:53" s="170" customFormat="1" x14ac:dyDescent="0.15">
      <c r="A57" s="215">
        <v>1982</v>
      </c>
      <c r="B57" s="281"/>
      <c r="C57" s="369" t="s">
        <v>351</v>
      </c>
      <c r="D57" s="369"/>
      <c r="E57" s="170">
        <v>55</v>
      </c>
      <c r="G57" s="232">
        <v>2</v>
      </c>
      <c r="H57" s="170">
        <v>6</v>
      </c>
      <c r="I57" s="170">
        <v>8</v>
      </c>
      <c r="J57" s="240">
        <v>17</v>
      </c>
      <c r="K57" s="213">
        <f t="shared" si="20"/>
        <v>11.76470588235294</v>
      </c>
      <c r="L57" s="213">
        <f t="shared" si="21"/>
        <v>35.294117647058826</v>
      </c>
      <c r="M57" s="213">
        <f t="shared" si="22"/>
        <v>47.058823529411761</v>
      </c>
      <c r="N57" s="234">
        <f t="shared" si="3"/>
        <v>94.117647058823536</v>
      </c>
      <c r="O57" s="212">
        <v>5</v>
      </c>
      <c r="P57" s="213">
        <v>18</v>
      </c>
      <c r="Q57" s="213">
        <v>43.5</v>
      </c>
      <c r="R57" s="214">
        <f t="shared" si="4"/>
        <v>66.5</v>
      </c>
      <c r="S57" s="170">
        <v>3</v>
      </c>
      <c r="T57" s="283"/>
      <c r="U57" s="281"/>
      <c r="V57" s="177" t="s">
        <v>111</v>
      </c>
      <c r="W57" s="170" t="s">
        <v>20</v>
      </c>
      <c r="X57" s="170" t="s">
        <v>12</v>
      </c>
      <c r="Y57" s="178">
        <v>26</v>
      </c>
      <c r="Z57" s="177" t="s">
        <v>107</v>
      </c>
      <c r="AA57" s="170" t="s">
        <v>869</v>
      </c>
      <c r="AB57" s="170" t="s">
        <v>18</v>
      </c>
      <c r="AC57" s="178">
        <v>18</v>
      </c>
      <c r="AD57" s="177" t="s">
        <v>112</v>
      </c>
      <c r="AE57" s="170" t="s">
        <v>113</v>
      </c>
      <c r="AF57" s="170" t="s">
        <v>12</v>
      </c>
      <c r="AG57" s="178">
        <v>17.5</v>
      </c>
      <c r="AH57" s="177" t="s">
        <v>109</v>
      </c>
      <c r="AI57" s="170" t="s">
        <v>89</v>
      </c>
      <c r="AJ57" s="170" t="s">
        <v>11</v>
      </c>
      <c r="AK57" s="178">
        <v>5</v>
      </c>
      <c r="AL57" s="177"/>
      <c r="AO57" s="178"/>
      <c r="AP57" s="177"/>
      <c r="AS57" s="178"/>
      <c r="AW57" s="178"/>
      <c r="BA57" s="179"/>
    </row>
    <row r="58" spans="1:53" s="28" customFormat="1" x14ac:dyDescent="0.15">
      <c r="A58" s="51">
        <v>1982</v>
      </c>
      <c r="B58" s="293">
        <v>30007</v>
      </c>
      <c r="C58" s="370" t="s">
        <v>352</v>
      </c>
      <c r="D58" s="370"/>
      <c r="E58" s="28">
        <v>308</v>
      </c>
      <c r="F58" s="28">
        <v>2</v>
      </c>
      <c r="G58" s="65">
        <v>2</v>
      </c>
      <c r="H58" s="28">
        <v>6</v>
      </c>
      <c r="I58" s="28">
        <v>8</v>
      </c>
      <c r="J58" s="72">
        <v>17</v>
      </c>
      <c r="K58" s="46">
        <f>G58/J58*100</f>
        <v>11.76470588235294</v>
      </c>
      <c r="L58" s="46">
        <f>H58/J58*100</f>
        <v>35.294117647058826</v>
      </c>
      <c r="M58" s="46">
        <f>I58/J58*100</f>
        <v>47.058823529411761</v>
      </c>
      <c r="N58" s="67">
        <f t="shared" si="3"/>
        <v>94.117647058823536</v>
      </c>
      <c r="O58" s="45">
        <v>5</v>
      </c>
      <c r="P58" s="46">
        <v>18</v>
      </c>
      <c r="Q58" s="46">
        <v>43.5</v>
      </c>
      <c r="R58" s="47">
        <f t="shared" si="4"/>
        <v>66.5</v>
      </c>
      <c r="S58" s="28">
        <v>3</v>
      </c>
      <c r="T58" s="284"/>
      <c r="U58" s="293">
        <v>30007</v>
      </c>
      <c r="V58" s="37" t="s">
        <v>111</v>
      </c>
      <c r="W58" s="28" t="s">
        <v>20</v>
      </c>
      <c r="X58" s="28" t="s">
        <v>12</v>
      </c>
      <c r="Y58" s="38">
        <v>26</v>
      </c>
      <c r="Z58" s="37" t="s">
        <v>107</v>
      </c>
      <c r="AA58" s="28" t="s">
        <v>869</v>
      </c>
      <c r="AB58" s="28" t="s">
        <v>18</v>
      </c>
      <c r="AC58" s="38">
        <v>18</v>
      </c>
      <c r="AD58" s="37" t="s">
        <v>112</v>
      </c>
      <c r="AE58" s="28" t="s">
        <v>113</v>
      </c>
      <c r="AF58" s="28" t="s">
        <v>12</v>
      </c>
      <c r="AG58" s="38">
        <v>17.5</v>
      </c>
      <c r="AH58" s="37" t="s">
        <v>109</v>
      </c>
      <c r="AI58" s="28" t="s">
        <v>89</v>
      </c>
      <c r="AJ58" s="28" t="s">
        <v>11</v>
      </c>
      <c r="AK58" s="38">
        <v>5</v>
      </c>
      <c r="AL58" s="37"/>
      <c r="AO58" s="38"/>
      <c r="AP58" s="37"/>
      <c r="AS58" s="38"/>
      <c r="AW58" s="38"/>
      <c r="BA58" s="39"/>
    </row>
    <row r="59" spans="1:53" s="170" customFormat="1" x14ac:dyDescent="0.15">
      <c r="A59" s="215">
        <v>1982</v>
      </c>
      <c r="B59" s="281">
        <v>30315</v>
      </c>
      <c r="C59" s="369" t="s">
        <v>353</v>
      </c>
      <c r="D59" s="369"/>
      <c r="E59" s="170">
        <v>2</v>
      </c>
      <c r="F59" s="170">
        <v>4</v>
      </c>
      <c r="G59" s="232">
        <v>2</v>
      </c>
      <c r="H59" s="170">
        <v>7</v>
      </c>
      <c r="I59" s="170">
        <v>8</v>
      </c>
      <c r="J59" s="240">
        <v>17</v>
      </c>
      <c r="K59" s="213">
        <f t="shared" si="20"/>
        <v>11.76470588235294</v>
      </c>
      <c r="L59" s="213">
        <f t="shared" si="21"/>
        <v>41.17647058823529</v>
      </c>
      <c r="M59" s="213">
        <f t="shared" si="22"/>
        <v>47.058823529411761</v>
      </c>
      <c r="N59" s="234">
        <f t="shared" si="3"/>
        <v>100</v>
      </c>
      <c r="O59" s="212">
        <v>5</v>
      </c>
      <c r="P59" s="213">
        <v>18</v>
      </c>
      <c r="Q59" s="213">
        <v>26</v>
      </c>
      <c r="R59" s="214">
        <f t="shared" si="4"/>
        <v>49</v>
      </c>
      <c r="S59" s="170">
        <v>5</v>
      </c>
      <c r="T59" s="283"/>
      <c r="U59" s="281">
        <v>30315</v>
      </c>
      <c r="V59" s="177" t="s">
        <v>111</v>
      </c>
      <c r="W59" s="170" t="s">
        <v>20</v>
      </c>
      <c r="X59" s="170" t="s">
        <v>12</v>
      </c>
      <c r="Y59" s="178">
        <v>26</v>
      </c>
      <c r="Z59" s="177" t="s">
        <v>107</v>
      </c>
      <c r="AA59" s="170" t="s">
        <v>869</v>
      </c>
      <c r="AB59" s="170" t="s">
        <v>18</v>
      </c>
      <c r="AC59" s="178">
        <v>18</v>
      </c>
      <c r="AD59" s="177" t="s">
        <v>109</v>
      </c>
      <c r="AE59" s="170" t="s">
        <v>89</v>
      </c>
      <c r="AF59" s="170" t="s">
        <v>11</v>
      </c>
      <c r="AG59" s="178">
        <v>5</v>
      </c>
      <c r="AL59" s="177"/>
      <c r="AO59" s="178"/>
      <c r="AP59" s="177"/>
      <c r="AS59" s="178"/>
      <c r="AW59" s="178"/>
      <c r="BA59" s="179"/>
    </row>
    <row r="60" spans="1:53" s="170" customFormat="1" x14ac:dyDescent="0.15">
      <c r="A60" s="215">
        <v>1983</v>
      </c>
      <c r="B60" s="281"/>
      <c r="C60" s="369" t="s">
        <v>353</v>
      </c>
      <c r="D60" s="369"/>
      <c r="E60" s="170">
        <v>126</v>
      </c>
      <c r="G60" s="232">
        <v>2</v>
      </c>
      <c r="H60" s="170">
        <v>7</v>
      </c>
      <c r="I60" s="170">
        <v>8</v>
      </c>
      <c r="J60" s="240">
        <v>17</v>
      </c>
      <c r="K60" s="213">
        <f t="shared" si="20"/>
        <v>11.76470588235294</v>
      </c>
      <c r="L60" s="213">
        <f t="shared" si="21"/>
        <v>41.17647058823529</v>
      </c>
      <c r="M60" s="213">
        <f t="shared" si="22"/>
        <v>47.058823529411761</v>
      </c>
      <c r="N60" s="234">
        <f t="shared" si="3"/>
        <v>100</v>
      </c>
      <c r="O60" s="212">
        <v>5</v>
      </c>
      <c r="P60" s="213">
        <v>18</v>
      </c>
      <c r="Q60" s="213">
        <v>26</v>
      </c>
      <c r="R60" s="214">
        <f t="shared" si="4"/>
        <v>49</v>
      </c>
      <c r="S60" s="170">
        <v>5</v>
      </c>
      <c r="T60" s="283"/>
      <c r="U60" s="281"/>
      <c r="V60" s="177" t="s">
        <v>111</v>
      </c>
      <c r="W60" s="170" t="s">
        <v>20</v>
      </c>
      <c r="X60" s="170" t="s">
        <v>12</v>
      </c>
      <c r="Y60" s="178">
        <v>26</v>
      </c>
      <c r="Z60" s="177" t="s">
        <v>107</v>
      </c>
      <c r="AA60" s="170" t="s">
        <v>869</v>
      </c>
      <c r="AB60" s="170" t="s">
        <v>18</v>
      </c>
      <c r="AC60" s="178">
        <v>18</v>
      </c>
      <c r="AD60" s="177" t="s">
        <v>109</v>
      </c>
      <c r="AE60" s="170" t="s">
        <v>89</v>
      </c>
      <c r="AF60" s="170" t="s">
        <v>11</v>
      </c>
      <c r="AG60" s="178">
        <v>5</v>
      </c>
      <c r="AL60" s="177"/>
      <c r="AO60" s="178"/>
      <c r="AP60" s="177"/>
      <c r="AS60" s="178"/>
      <c r="AW60" s="178"/>
      <c r="BA60" s="179"/>
    </row>
    <row r="61" spans="1:53" s="28" customFormat="1" x14ac:dyDescent="0.15">
      <c r="A61" s="51">
        <v>1983</v>
      </c>
      <c r="B61" s="293">
        <v>30443</v>
      </c>
      <c r="C61" s="370" t="s">
        <v>354</v>
      </c>
      <c r="D61" s="370"/>
      <c r="E61" s="28">
        <v>239</v>
      </c>
      <c r="F61" s="28">
        <v>1</v>
      </c>
      <c r="G61" s="65">
        <v>2</v>
      </c>
      <c r="H61" s="28">
        <v>7</v>
      </c>
      <c r="I61" s="28">
        <v>8</v>
      </c>
      <c r="J61" s="72">
        <v>17</v>
      </c>
      <c r="K61" s="46">
        <f t="shared" si="20"/>
        <v>11.76470588235294</v>
      </c>
      <c r="L61" s="46">
        <f t="shared" si="21"/>
        <v>41.17647058823529</v>
      </c>
      <c r="M61" s="46">
        <f t="shared" si="22"/>
        <v>47.058823529411761</v>
      </c>
      <c r="N61" s="67">
        <f t="shared" si="3"/>
        <v>100</v>
      </c>
      <c r="O61" s="45">
        <v>5.5</v>
      </c>
      <c r="P61" s="46">
        <v>27.5</v>
      </c>
      <c r="Q61" s="46">
        <v>28.5</v>
      </c>
      <c r="R61" s="47">
        <f t="shared" si="4"/>
        <v>61.5</v>
      </c>
      <c r="S61" s="28">
        <v>3</v>
      </c>
      <c r="T61" s="284">
        <v>30395</v>
      </c>
      <c r="U61" s="293">
        <v>30443</v>
      </c>
      <c r="V61" s="37" t="s">
        <v>111</v>
      </c>
      <c r="W61" s="28" t="s">
        <v>20</v>
      </c>
      <c r="X61" s="28" t="s">
        <v>12</v>
      </c>
      <c r="Y61" s="38">
        <v>28.5</v>
      </c>
      <c r="Z61" s="37" t="s">
        <v>107</v>
      </c>
      <c r="AA61" s="28" t="s">
        <v>869</v>
      </c>
      <c r="AB61" s="28" t="s">
        <v>18</v>
      </c>
      <c r="AC61" s="38">
        <v>19</v>
      </c>
      <c r="AD61" s="37" t="s">
        <v>116</v>
      </c>
      <c r="AE61" s="28" t="s">
        <v>117</v>
      </c>
      <c r="AF61" s="28" t="s">
        <v>18</v>
      </c>
      <c r="AG61" s="38">
        <v>8.5</v>
      </c>
      <c r="AH61" s="37" t="s">
        <v>109</v>
      </c>
      <c r="AI61" s="28" t="s">
        <v>89</v>
      </c>
      <c r="AJ61" s="28" t="s">
        <v>11</v>
      </c>
      <c r="AK61" s="38">
        <v>5.5</v>
      </c>
      <c r="AL61" s="37"/>
      <c r="AO61" s="38"/>
      <c r="AP61" s="37"/>
      <c r="AS61" s="38"/>
      <c r="AW61" s="38"/>
      <c r="BA61" s="39"/>
    </row>
    <row r="62" spans="1:53" s="28" customFormat="1" x14ac:dyDescent="0.15">
      <c r="A62" s="51">
        <v>1984</v>
      </c>
      <c r="B62" s="293"/>
      <c r="C62" s="370" t="s">
        <v>354</v>
      </c>
      <c r="D62" s="370"/>
      <c r="E62" s="28">
        <v>0</v>
      </c>
      <c r="G62" s="65">
        <v>2</v>
      </c>
      <c r="H62" s="28">
        <v>7</v>
      </c>
      <c r="I62" s="28">
        <v>8</v>
      </c>
      <c r="J62" s="72">
        <v>17</v>
      </c>
      <c r="K62" s="46">
        <f t="shared" si="20"/>
        <v>11.76470588235294</v>
      </c>
      <c r="L62" s="46">
        <f t="shared" si="21"/>
        <v>41.17647058823529</v>
      </c>
      <c r="M62" s="46">
        <f t="shared" si="22"/>
        <v>47.058823529411761</v>
      </c>
      <c r="N62" s="67">
        <f t="shared" si="3"/>
        <v>100</v>
      </c>
      <c r="O62" s="45">
        <v>5.5</v>
      </c>
      <c r="P62" s="46">
        <v>27.5</v>
      </c>
      <c r="Q62" s="46">
        <v>28.5</v>
      </c>
      <c r="R62" s="47">
        <f t="shared" si="4"/>
        <v>61.5</v>
      </c>
      <c r="S62" s="28">
        <v>3</v>
      </c>
      <c r="T62" s="284"/>
      <c r="U62" s="293"/>
      <c r="V62" s="37" t="s">
        <v>111</v>
      </c>
      <c r="W62" s="28" t="s">
        <v>20</v>
      </c>
      <c r="X62" s="28" t="s">
        <v>12</v>
      </c>
      <c r="Y62" s="38">
        <v>28.5</v>
      </c>
      <c r="Z62" s="37" t="s">
        <v>107</v>
      </c>
      <c r="AA62" s="28" t="s">
        <v>869</v>
      </c>
      <c r="AB62" s="28" t="s">
        <v>18</v>
      </c>
      <c r="AC62" s="38">
        <v>19</v>
      </c>
      <c r="AD62" s="37" t="s">
        <v>116</v>
      </c>
      <c r="AE62" s="28" t="s">
        <v>117</v>
      </c>
      <c r="AF62" s="28" t="s">
        <v>18</v>
      </c>
      <c r="AG62" s="38">
        <v>8.5</v>
      </c>
      <c r="AH62" s="37" t="s">
        <v>109</v>
      </c>
      <c r="AI62" s="28" t="s">
        <v>89</v>
      </c>
      <c r="AJ62" s="28" t="s">
        <v>11</v>
      </c>
      <c r="AK62" s="38">
        <v>5.5</v>
      </c>
      <c r="AL62" s="37"/>
      <c r="AO62" s="38"/>
      <c r="AP62" s="37"/>
      <c r="AS62" s="38"/>
      <c r="AW62" s="38"/>
      <c r="BA62" s="39"/>
    </row>
    <row r="63" spans="1:53" s="28" customFormat="1" x14ac:dyDescent="0.15">
      <c r="A63" s="51">
        <v>1984</v>
      </c>
      <c r="B63" s="293"/>
      <c r="C63" s="370" t="s">
        <v>354</v>
      </c>
      <c r="D63" s="370"/>
      <c r="E63" s="28">
        <v>366</v>
      </c>
      <c r="G63" s="65">
        <v>2</v>
      </c>
      <c r="H63" s="28">
        <v>7</v>
      </c>
      <c r="I63" s="28">
        <v>8</v>
      </c>
      <c r="J63" s="72">
        <v>17</v>
      </c>
      <c r="K63" s="46">
        <f>G63/J63*100</f>
        <v>11.76470588235294</v>
      </c>
      <c r="L63" s="46">
        <f>H63/J63*100</f>
        <v>41.17647058823529</v>
      </c>
      <c r="M63" s="46">
        <f>I63/J63*100</f>
        <v>47.058823529411761</v>
      </c>
      <c r="N63" s="67">
        <f t="shared" si="3"/>
        <v>100</v>
      </c>
      <c r="O63" s="45">
        <v>5.5</v>
      </c>
      <c r="P63" s="46">
        <v>27.5</v>
      </c>
      <c r="Q63" s="46">
        <v>28.5</v>
      </c>
      <c r="R63" s="47">
        <f t="shared" si="4"/>
        <v>61.5</v>
      </c>
      <c r="S63" s="28">
        <v>3</v>
      </c>
      <c r="T63" s="284"/>
      <c r="U63" s="293"/>
      <c r="V63" s="37" t="s">
        <v>111</v>
      </c>
      <c r="W63" s="28" t="s">
        <v>20</v>
      </c>
      <c r="X63" s="28" t="s">
        <v>12</v>
      </c>
      <c r="Y63" s="38">
        <v>28.5</v>
      </c>
      <c r="Z63" s="37" t="s">
        <v>107</v>
      </c>
      <c r="AA63" s="28" t="s">
        <v>869</v>
      </c>
      <c r="AB63" s="28" t="s">
        <v>18</v>
      </c>
      <c r="AC63" s="38">
        <v>19</v>
      </c>
      <c r="AD63" s="37" t="s">
        <v>116</v>
      </c>
      <c r="AE63" s="28" t="s">
        <v>117</v>
      </c>
      <c r="AF63" s="28" t="s">
        <v>18</v>
      </c>
      <c r="AG63" s="38">
        <v>8.5</v>
      </c>
      <c r="AH63" s="37" t="s">
        <v>109</v>
      </c>
      <c r="AI63" s="28" t="s">
        <v>89</v>
      </c>
      <c r="AJ63" s="28" t="s">
        <v>11</v>
      </c>
      <c r="AK63" s="38">
        <v>5.5</v>
      </c>
      <c r="AL63" s="37"/>
      <c r="AO63" s="38"/>
      <c r="AP63" s="37"/>
      <c r="AS63" s="38"/>
      <c r="AW63" s="38"/>
      <c r="BA63" s="39"/>
    </row>
    <row r="64" spans="1:53" s="28" customFormat="1" x14ac:dyDescent="0.15">
      <c r="A64" s="51">
        <v>1985</v>
      </c>
      <c r="B64" s="293"/>
      <c r="C64" s="370" t="s">
        <v>354</v>
      </c>
      <c r="D64" s="370"/>
      <c r="E64" s="28">
        <v>0</v>
      </c>
      <c r="G64" s="65">
        <v>2</v>
      </c>
      <c r="H64" s="28">
        <v>7</v>
      </c>
      <c r="I64" s="28">
        <v>8</v>
      </c>
      <c r="J64" s="72">
        <v>17</v>
      </c>
      <c r="K64" s="46">
        <f t="shared" ref="K64:K69" si="23">G64/J64*100</f>
        <v>11.76470588235294</v>
      </c>
      <c r="L64" s="46">
        <f t="shared" ref="L64:L69" si="24">H64/J64*100</f>
        <v>41.17647058823529</v>
      </c>
      <c r="M64" s="46">
        <f t="shared" ref="M64:M69" si="25">I64/J64*100</f>
        <v>47.058823529411761</v>
      </c>
      <c r="N64" s="67">
        <f t="shared" si="3"/>
        <v>100</v>
      </c>
      <c r="O64" s="45">
        <v>5.5</v>
      </c>
      <c r="P64" s="46">
        <v>27.5</v>
      </c>
      <c r="Q64" s="46">
        <v>28.5</v>
      </c>
      <c r="R64" s="47">
        <f t="shared" si="4"/>
        <v>61.5</v>
      </c>
      <c r="S64" s="28">
        <v>3</v>
      </c>
      <c r="T64" s="284"/>
      <c r="U64" s="293"/>
      <c r="V64" s="37" t="s">
        <v>111</v>
      </c>
      <c r="W64" s="28" t="s">
        <v>20</v>
      </c>
      <c r="X64" s="28" t="s">
        <v>12</v>
      </c>
      <c r="Y64" s="38">
        <v>28.5</v>
      </c>
      <c r="Z64" s="37" t="s">
        <v>107</v>
      </c>
      <c r="AA64" s="28" t="s">
        <v>869</v>
      </c>
      <c r="AB64" s="28" t="s">
        <v>18</v>
      </c>
      <c r="AC64" s="38">
        <v>19</v>
      </c>
      <c r="AD64" s="37" t="s">
        <v>116</v>
      </c>
      <c r="AE64" s="28" t="s">
        <v>117</v>
      </c>
      <c r="AF64" s="28" t="s">
        <v>18</v>
      </c>
      <c r="AG64" s="38">
        <v>8.5</v>
      </c>
      <c r="AH64" s="37" t="s">
        <v>109</v>
      </c>
      <c r="AI64" s="28" t="s">
        <v>89</v>
      </c>
      <c r="AJ64" s="28" t="s">
        <v>11</v>
      </c>
      <c r="AK64" s="38">
        <v>5.5</v>
      </c>
      <c r="AL64" s="37"/>
      <c r="AO64" s="38"/>
      <c r="AP64" s="37"/>
      <c r="AS64" s="38"/>
      <c r="AW64" s="38"/>
      <c r="BA64" s="39"/>
    </row>
    <row r="65" spans="1:53" s="28" customFormat="1" x14ac:dyDescent="0.15">
      <c r="A65" s="51">
        <v>1985</v>
      </c>
      <c r="B65" s="293"/>
      <c r="C65" s="370" t="s">
        <v>354</v>
      </c>
      <c r="D65" s="370"/>
      <c r="E65" s="28">
        <v>365</v>
      </c>
      <c r="G65" s="65">
        <v>2</v>
      </c>
      <c r="H65" s="28">
        <v>7</v>
      </c>
      <c r="I65" s="28">
        <v>8</v>
      </c>
      <c r="J65" s="72">
        <v>17</v>
      </c>
      <c r="K65" s="46">
        <f t="shared" si="23"/>
        <v>11.76470588235294</v>
      </c>
      <c r="L65" s="46">
        <f t="shared" si="24"/>
        <v>41.17647058823529</v>
      </c>
      <c r="M65" s="46">
        <f t="shared" si="25"/>
        <v>47.058823529411761</v>
      </c>
      <c r="N65" s="67">
        <f t="shared" si="3"/>
        <v>100</v>
      </c>
      <c r="O65" s="45">
        <v>5.5</v>
      </c>
      <c r="P65" s="46">
        <v>27.5</v>
      </c>
      <c r="Q65" s="46">
        <v>28.5</v>
      </c>
      <c r="R65" s="47">
        <f t="shared" si="4"/>
        <v>61.5</v>
      </c>
      <c r="S65" s="28">
        <v>3</v>
      </c>
      <c r="T65" s="284"/>
      <c r="U65" s="293"/>
      <c r="V65" s="37" t="s">
        <v>111</v>
      </c>
      <c r="W65" s="28" t="s">
        <v>20</v>
      </c>
      <c r="X65" s="28" t="s">
        <v>12</v>
      </c>
      <c r="Y65" s="38">
        <v>28.5</v>
      </c>
      <c r="Z65" s="37" t="s">
        <v>107</v>
      </c>
      <c r="AA65" s="28" t="s">
        <v>869</v>
      </c>
      <c r="AB65" s="28" t="s">
        <v>18</v>
      </c>
      <c r="AC65" s="38">
        <v>19</v>
      </c>
      <c r="AD65" s="37" t="s">
        <v>116</v>
      </c>
      <c r="AE65" s="28" t="s">
        <v>117</v>
      </c>
      <c r="AF65" s="28" t="s">
        <v>18</v>
      </c>
      <c r="AG65" s="38">
        <v>8.5</v>
      </c>
      <c r="AH65" s="37" t="s">
        <v>109</v>
      </c>
      <c r="AI65" s="28" t="s">
        <v>89</v>
      </c>
      <c r="AJ65" s="28" t="s">
        <v>11</v>
      </c>
      <c r="AK65" s="38">
        <v>5.5</v>
      </c>
      <c r="AL65" s="37"/>
      <c r="AO65" s="38"/>
      <c r="AP65" s="37"/>
      <c r="AS65" s="38"/>
      <c r="AW65" s="38"/>
      <c r="BA65" s="39"/>
    </row>
    <row r="66" spans="1:53" s="28" customFormat="1" x14ac:dyDescent="0.15">
      <c r="A66" s="51">
        <v>1986</v>
      </c>
      <c r="B66" s="293"/>
      <c r="C66" s="370" t="s">
        <v>354</v>
      </c>
      <c r="D66" s="370"/>
      <c r="E66" s="28">
        <v>0</v>
      </c>
      <c r="G66" s="65">
        <v>2</v>
      </c>
      <c r="H66" s="28">
        <v>7</v>
      </c>
      <c r="I66" s="28">
        <v>8</v>
      </c>
      <c r="J66" s="72">
        <v>17</v>
      </c>
      <c r="K66" s="46">
        <f t="shared" si="23"/>
        <v>11.76470588235294</v>
      </c>
      <c r="L66" s="46">
        <f t="shared" si="24"/>
        <v>41.17647058823529</v>
      </c>
      <c r="M66" s="46">
        <f t="shared" si="25"/>
        <v>47.058823529411761</v>
      </c>
      <c r="N66" s="67">
        <f t="shared" si="3"/>
        <v>100</v>
      </c>
      <c r="O66" s="45">
        <v>5.5</v>
      </c>
      <c r="P66" s="46">
        <v>27.5</v>
      </c>
      <c r="Q66" s="46">
        <v>28.5</v>
      </c>
      <c r="R66" s="47">
        <f t="shared" si="4"/>
        <v>61.5</v>
      </c>
      <c r="S66" s="28">
        <v>3</v>
      </c>
      <c r="T66" s="284"/>
      <c r="U66" s="293"/>
      <c r="V66" s="37" t="s">
        <v>111</v>
      </c>
      <c r="W66" s="28" t="s">
        <v>20</v>
      </c>
      <c r="X66" s="28" t="s">
        <v>12</v>
      </c>
      <c r="Y66" s="38">
        <v>28.5</v>
      </c>
      <c r="Z66" s="37" t="s">
        <v>107</v>
      </c>
      <c r="AA66" s="28" t="s">
        <v>869</v>
      </c>
      <c r="AB66" s="28" t="s">
        <v>18</v>
      </c>
      <c r="AC66" s="38">
        <v>19</v>
      </c>
      <c r="AD66" s="37" t="s">
        <v>116</v>
      </c>
      <c r="AE66" s="28" t="s">
        <v>117</v>
      </c>
      <c r="AF66" s="28" t="s">
        <v>18</v>
      </c>
      <c r="AG66" s="38">
        <v>8.5</v>
      </c>
      <c r="AH66" s="37" t="s">
        <v>109</v>
      </c>
      <c r="AI66" s="28" t="s">
        <v>89</v>
      </c>
      <c r="AJ66" s="28" t="s">
        <v>11</v>
      </c>
      <c r="AK66" s="38">
        <v>5.5</v>
      </c>
      <c r="AL66" s="37"/>
      <c r="AO66" s="38"/>
      <c r="AP66" s="37"/>
      <c r="AS66" s="38"/>
      <c r="AW66" s="38"/>
      <c r="BA66" s="39"/>
    </row>
    <row r="67" spans="1:53" s="28" customFormat="1" x14ac:dyDescent="0.15">
      <c r="A67" s="51">
        <v>1986</v>
      </c>
      <c r="B67" s="293"/>
      <c r="C67" s="370" t="s">
        <v>354</v>
      </c>
      <c r="D67" s="370"/>
      <c r="E67" s="28">
        <v>365</v>
      </c>
      <c r="G67" s="65">
        <v>2</v>
      </c>
      <c r="H67" s="28">
        <v>7</v>
      </c>
      <c r="I67" s="28">
        <v>8</v>
      </c>
      <c r="J67" s="72">
        <v>17</v>
      </c>
      <c r="K67" s="46">
        <f t="shared" si="23"/>
        <v>11.76470588235294</v>
      </c>
      <c r="L67" s="46">
        <f t="shared" si="24"/>
        <v>41.17647058823529</v>
      </c>
      <c r="M67" s="46">
        <f t="shared" si="25"/>
        <v>47.058823529411761</v>
      </c>
      <c r="N67" s="67">
        <f t="shared" si="3"/>
        <v>100</v>
      </c>
      <c r="O67" s="45">
        <v>5.5</v>
      </c>
      <c r="P67" s="46">
        <v>27.5</v>
      </c>
      <c r="Q67" s="46">
        <v>28.5</v>
      </c>
      <c r="R67" s="47">
        <f t="shared" si="4"/>
        <v>61.5</v>
      </c>
      <c r="S67" s="28">
        <v>3</v>
      </c>
      <c r="T67" s="284"/>
      <c r="U67" s="293"/>
      <c r="V67" s="37" t="s">
        <v>111</v>
      </c>
      <c r="W67" s="28" t="s">
        <v>20</v>
      </c>
      <c r="X67" s="28" t="s">
        <v>12</v>
      </c>
      <c r="Y67" s="38">
        <v>28.5</v>
      </c>
      <c r="Z67" s="37" t="s">
        <v>107</v>
      </c>
      <c r="AA67" s="28" t="s">
        <v>869</v>
      </c>
      <c r="AB67" s="28" t="s">
        <v>18</v>
      </c>
      <c r="AC67" s="38">
        <v>19</v>
      </c>
      <c r="AD67" s="37" t="s">
        <v>116</v>
      </c>
      <c r="AE67" s="28" t="s">
        <v>117</v>
      </c>
      <c r="AF67" s="28" t="s">
        <v>18</v>
      </c>
      <c r="AG67" s="38">
        <v>8.5</v>
      </c>
      <c r="AH67" s="37" t="s">
        <v>109</v>
      </c>
      <c r="AI67" s="28" t="s">
        <v>89</v>
      </c>
      <c r="AJ67" s="28" t="s">
        <v>11</v>
      </c>
      <c r="AK67" s="38">
        <v>5.5</v>
      </c>
      <c r="AL67" s="37"/>
      <c r="AO67" s="38"/>
      <c r="AP67" s="37"/>
      <c r="AS67" s="38"/>
      <c r="AW67" s="38"/>
      <c r="BA67" s="39"/>
    </row>
    <row r="68" spans="1:53" s="28" customFormat="1" x14ac:dyDescent="0.15">
      <c r="A68" s="51">
        <v>1987</v>
      </c>
      <c r="B68" s="293"/>
      <c r="C68" s="370" t="s">
        <v>354</v>
      </c>
      <c r="D68" s="370"/>
      <c r="E68" s="28">
        <v>119</v>
      </c>
      <c r="G68" s="65">
        <v>2</v>
      </c>
      <c r="H68" s="28">
        <v>7</v>
      </c>
      <c r="I68" s="28">
        <v>8</v>
      </c>
      <c r="J68" s="72">
        <v>17</v>
      </c>
      <c r="K68" s="46">
        <f t="shared" si="23"/>
        <v>11.76470588235294</v>
      </c>
      <c r="L68" s="46">
        <f t="shared" si="24"/>
        <v>41.17647058823529</v>
      </c>
      <c r="M68" s="46">
        <f t="shared" si="25"/>
        <v>47.058823529411761</v>
      </c>
      <c r="N68" s="67">
        <f t="shared" si="3"/>
        <v>100</v>
      </c>
      <c r="O68" s="45">
        <v>5.5</v>
      </c>
      <c r="P68" s="46">
        <v>27.5</v>
      </c>
      <c r="Q68" s="46">
        <v>28.5</v>
      </c>
      <c r="R68" s="47">
        <f t="shared" si="4"/>
        <v>61.5</v>
      </c>
      <c r="S68" s="28">
        <v>3</v>
      </c>
      <c r="T68" s="284"/>
      <c r="U68" s="293"/>
      <c r="V68" s="37" t="s">
        <v>111</v>
      </c>
      <c r="W68" s="28" t="s">
        <v>20</v>
      </c>
      <c r="X68" s="28" t="s">
        <v>12</v>
      </c>
      <c r="Y68" s="38">
        <v>28.5</v>
      </c>
      <c r="Z68" s="37" t="s">
        <v>107</v>
      </c>
      <c r="AA68" s="28" t="s">
        <v>869</v>
      </c>
      <c r="AB68" s="28" t="s">
        <v>18</v>
      </c>
      <c r="AC68" s="38">
        <v>19</v>
      </c>
      <c r="AD68" s="37" t="s">
        <v>116</v>
      </c>
      <c r="AE68" s="28" t="s">
        <v>117</v>
      </c>
      <c r="AF68" s="28" t="s">
        <v>18</v>
      </c>
      <c r="AG68" s="38">
        <v>8.5</v>
      </c>
      <c r="AH68" s="37" t="s">
        <v>109</v>
      </c>
      <c r="AI68" s="28" t="s">
        <v>89</v>
      </c>
      <c r="AJ68" s="28" t="s">
        <v>11</v>
      </c>
      <c r="AK68" s="38">
        <v>5.5</v>
      </c>
      <c r="AL68" s="37"/>
      <c r="AO68" s="38"/>
      <c r="AP68" s="37"/>
      <c r="AS68" s="38"/>
      <c r="AW68" s="38"/>
      <c r="BA68" s="39"/>
    </row>
    <row r="69" spans="1:53" s="170" customFormat="1" x14ac:dyDescent="0.15">
      <c r="A69" s="215">
        <v>1987</v>
      </c>
      <c r="B69" s="281">
        <v>31897</v>
      </c>
      <c r="C69" s="369" t="s">
        <v>355</v>
      </c>
      <c r="D69" s="369"/>
      <c r="E69" s="170">
        <v>246</v>
      </c>
      <c r="F69" s="170">
        <v>1</v>
      </c>
      <c r="G69" s="232">
        <v>9</v>
      </c>
      <c r="H69" s="170">
        <v>1</v>
      </c>
      <c r="I69" s="170">
        <v>8</v>
      </c>
      <c r="J69" s="240">
        <v>18</v>
      </c>
      <c r="K69" s="213">
        <f t="shared" si="23"/>
        <v>50</v>
      </c>
      <c r="L69" s="213">
        <f t="shared" si="24"/>
        <v>5.5555555555555554</v>
      </c>
      <c r="M69" s="213">
        <f t="shared" si="25"/>
        <v>44.444444444444443</v>
      </c>
      <c r="N69" s="234">
        <f t="shared" si="3"/>
        <v>100</v>
      </c>
      <c r="O69" s="212">
        <v>33</v>
      </c>
      <c r="P69" s="213">
        <v>4.5</v>
      </c>
      <c r="Q69" s="213">
        <v>28</v>
      </c>
      <c r="R69" s="214">
        <f t="shared" si="4"/>
        <v>65.5</v>
      </c>
      <c r="S69" s="170">
        <v>3</v>
      </c>
      <c r="T69" s="283">
        <v>31851</v>
      </c>
      <c r="U69" s="281">
        <v>31897</v>
      </c>
      <c r="V69" s="177" t="s">
        <v>108</v>
      </c>
      <c r="W69" s="170" t="s">
        <v>74</v>
      </c>
      <c r="X69" s="170" t="s">
        <v>11</v>
      </c>
      <c r="Y69" s="178">
        <v>26.5</v>
      </c>
      <c r="Z69" s="177" t="s">
        <v>111</v>
      </c>
      <c r="AA69" s="170" t="s">
        <v>20</v>
      </c>
      <c r="AB69" s="170" t="s">
        <v>12</v>
      </c>
      <c r="AC69" s="178">
        <v>28</v>
      </c>
      <c r="AD69" s="177" t="s">
        <v>109</v>
      </c>
      <c r="AE69" s="170" t="s">
        <v>89</v>
      </c>
      <c r="AF69" s="170" t="s">
        <v>11</v>
      </c>
      <c r="AG69" s="178">
        <v>6.5</v>
      </c>
      <c r="AH69" s="177" t="s">
        <v>116</v>
      </c>
      <c r="AI69" s="170" t="s">
        <v>117</v>
      </c>
      <c r="AJ69" s="170" t="s">
        <v>18</v>
      </c>
      <c r="AK69" s="178">
        <v>4.5</v>
      </c>
      <c r="AL69" s="177"/>
      <c r="AO69" s="178"/>
      <c r="AP69" s="177"/>
      <c r="AS69" s="178"/>
      <c r="AW69" s="178"/>
      <c r="BA69" s="179"/>
    </row>
    <row r="70" spans="1:53" s="170" customFormat="1" x14ac:dyDescent="0.15">
      <c r="A70" s="215">
        <v>1988</v>
      </c>
      <c r="B70" s="281"/>
      <c r="C70" s="369" t="s">
        <v>355</v>
      </c>
      <c r="D70" s="369"/>
      <c r="E70" s="170">
        <v>0</v>
      </c>
      <c r="G70" s="232">
        <v>9</v>
      </c>
      <c r="H70" s="170">
        <v>1</v>
      </c>
      <c r="I70" s="170">
        <v>8</v>
      </c>
      <c r="J70" s="240">
        <v>18</v>
      </c>
      <c r="K70" s="213">
        <f>G70/J70*100</f>
        <v>50</v>
      </c>
      <c r="L70" s="213">
        <f>H70/J70*100</f>
        <v>5.5555555555555554</v>
      </c>
      <c r="M70" s="213">
        <f>I70/J70*100</f>
        <v>44.444444444444443</v>
      </c>
      <c r="N70" s="234">
        <f t="shared" si="3"/>
        <v>100</v>
      </c>
      <c r="O70" s="212">
        <v>33</v>
      </c>
      <c r="P70" s="213">
        <v>4.5</v>
      </c>
      <c r="Q70" s="213">
        <v>28</v>
      </c>
      <c r="R70" s="214">
        <f t="shared" si="4"/>
        <v>65.5</v>
      </c>
      <c r="S70" s="170">
        <v>3</v>
      </c>
      <c r="T70" s="283"/>
      <c r="U70" s="281"/>
      <c r="V70" s="177" t="s">
        <v>108</v>
      </c>
      <c r="W70" s="170" t="s">
        <v>74</v>
      </c>
      <c r="X70" s="170" t="s">
        <v>11</v>
      </c>
      <c r="Y70" s="178">
        <v>26.5</v>
      </c>
      <c r="Z70" s="177" t="s">
        <v>111</v>
      </c>
      <c r="AA70" s="170" t="s">
        <v>20</v>
      </c>
      <c r="AB70" s="170" t="s">
        <v>12</v>
      </c>
      <c r="AC70" s="178">
        <v>28</v>
      </c>
      <c r="AD70" s="177" t="s">
        <v>109</v>
      </c>
      <c r="AE70" s="170" t="s">
        <v>89</v>
      </c>
      <c r="AF70" s="170" t="s">
        <v>11</v>
      </c>
      <c r="AG70" s="178">
        <v>6.5</v>
      </c>
      <c r="AH70" s="177" t="s">
        <v>116</v>
      </c>
      <c r="AI70" s="170" t="s">
        <v>117</v>
      </c>
      <c r="AJ70" s="170" t="s">
        <v>18</v>
      </c>
      <c r="AK70" s="178">
        <v>4.5</v>
      </c>
      <c r="AL70" s="177"/>
      <c r="AO70" s="178"/>
      <c r="AP70" s="177"/>
      <c r="AS70" s="178"/>
      <c r="AW70" s="178"/>
      <c r="BA70" s="179"/>
    </row>
    <row r="71" spans="1:53" s="170" customFormat="1" x14ac:dyDescent="0.15">
      <c r="A71" s="215">
        <v>1988</v>
      </c>
      <c r="B71" s="281"/>
      <c r="C71" s="369" t="s">
        <v>355</v>
      </c>
      <c r="D71" s="369"/>
      <c r="E71" s="170">
        <v>366</v>
      </c>
      <c r="G71" s="232">
        <v>9</v>
      </c>
      <c r="H71" s="170">
        <v>1</v>
      </c>
      <c r="I71" s="170">
        <v>8</v>
      </c>
      <c r="J71" s="240">
        <v>18</v>
      </c>
      <c r="K71" s="213">
        <f>G71/J71*100</f>
        <v>50</v>
      </c>
      <c r="L71" s="213">
        <f>H71/J71*100</f>
        <v>5.5555555555555554</v>
      </c>
      <c r="M71" s="213">
        <f>I71/J71*100</f>
        <v>44.444444444444443</v>
      </c>
      <c r="N71" s="234">
        <f t="shared" si="3"/>
        <v>100</v>
      </c>
      <c r="O71" s="212">
        <v>33</v>
      </c>
      <c r="P71" s="213">
        <v>4.5</v>
      </c>
      <c r="Q71" s="213">
        <v>28</v>
      </c>
      <c r="R71" s="214">
        <f t="shared" si="4"/>
        <v>65.5</v>
      </c>
      <c r="S71" s="170">
        <v>3</v>
      </c>
      <c r="T71" s="283"/>
      <c r="U71" s="281"/>
      <c r="V71" s="177" t="s">
        <v>108</v>
      </c>
      <c r="W71" s="170" t="s">
        <v>74</v>
      </c>
      <c r="X71" s="170" t="s">
        <v>11</v>
      </c>
      <c r="Y71" s="178">
        <v>26.5</v>
      </c>
      <c r="Z71" s="177" t="s">
        <v>111</v>
      </c>
      <c r="AA71" s="170" t="s">
        <v>20</v>
      </c>
      <c r="AB71" s="170" t="s">
        <v>12</v>
      </c>
      <c r="AC71" s="178">
        <v>28</v>
      </c>
      <c r="AD71" s="177" t="s">
        <v>109</v>
      </c>
      <c r="AE71" s="170" t="s">
        <v>89</v>
      </c>
      <c r="AF71" s="170" t="s">
        <v>11</v>
      </c>
      <c r="AG71" s="178">
        <v>6.5</v>
      </c>
      <c r="AH71" s="177" t="s">
        <v>116</v>
      </c>
      <c r="AI71" s="170" t="s">
        <v>117</v>
      </c>
      <c r="AJ71" s="170" t="s">
        <v>18</v>
      </c>
      <c r="AK71" s="178">
        <v>4.5</v>
      </c>
      <c r="AL71" s="177"/>
      <c r="AO71" s="178"/>
      <c r="AP71" s="177"/>
      <c r="AS71" s="178"/>
      <c r="AW71" s="178"/>
      <c r="BA71" s="179"/>
    </row>
    <row r="72" spans="1:53" s="170" customFormat="1" x14ac:dyDescent="0.15">
      <c r="A72" s="170">
        <v>1989</v>
      </c>
      <c r="B72" s="281"/>
      <c r="C72" s="369" t="s">
        <v>355</v>
      </c>
      <c r="D72" s="369"/>
      <c r="E72" s="170">
        <v>0</v>
      </c>
      <c r="G72" s="232">
        <v>9</v>
      </c>
      <c r="H72" s="170">
        <v>1</v>
      </c>
      <c r="I72" s="170">
        <v>8</v>
      </c>
      <c r="J72" s="240">
        <v>18</v>
      </c>
      <c r="K72" s="213">
        <f>G72/J72*100</f>
        <v>50</v>
      </c>
      <c r="L72" s="213">
        <f>H72/J72*100</f>
        <v>5.5555555555555554</v>
      </c>
      <c r="M72" s="213">
        <f>I72/J72*100</f>
        <v>44.444444444444443</v>
      </c>
      <c r="N72" s="234">
        <f t="shared" si="3"/>
        <v>100</v>
      </c>
      <c r="O72" s="212">
        <v>33</v>
      </c>
      <c r="P72" s="213">
        <v>4.5</v>
      </c>
      <c r="Q72" s="213">
        <v>28</v>
      </c>
      <c r="R72" s="214">
        <f t="shared" si="4"/>
        <v>65.5</v>
      </c>
      <c r="S72" s="170">
        <v>3</v>
      </c>
      <c r="T72" s="283"/>
      <c r="U72" s="281"/>
      <c r="V72" s="177" t="s">
        <v>108</v>
      </c>
      <c r="W72" s="170" t="s">
        <v>74</v>
      </c>
      <c r="X72" s="170" t="s">
        <v>11</v>
      </c>
      <c r="Y72" s="178">
        <v>26.5</v>
      </c>
      <c r="Z72" s="177" t="s">
        <v>111</v>
      </c>
      <c r="AA72" s="170" t="s">
        <v>20</v>
      </c>
      <c r="AB72" s="170" t="s">
        <v>12</v>
      </c>
      <c r="AC72" s="178">
        <v>28</v>
      </c>
      <c r="AD72" s="177" t="s">
        <v>109</v>
      </c>
      <c r="AE72" s="170" t="s">
        <v>89</v>
      </c>
      <c r="AF72" s="170" t="s">
        <v>11</v>
      </c>
      <c r="AG72" s="178">
        <v>6.5</v>
      </c>
      <c r="AH72" s="177" t="s">
        <v>116</v>
      </c>
      <c r="AI72" s="170" t="s">
        <v>117</v>
      </c>
      <c r="AJ72" s="170" t="s">
        <v>18</v>
      </c>
      <c r="AK72" s="178">
        <v>4.5</v>
      </c>
      <c r="AL72" s="177"/>
      <c r="AO72" s="178"/>
      <c r="AP72" s="177"/>
      <c r="AS72" s="178"/>
      <c r="AW72" s="178"/>
      <c r="BA72" s="179"/>
    </row>
    <row r="73" spans="1:53" s="53" customFormat="1" x14ac:dyDescent="0.15">
      <c r="A73" s="53">
        <v>1989</v>
      </c>
      <c r="B73" s="291"/>
      <c r="C73" s="368" t="s">
        <v>355</v>
      </c>
      <c r="D73" s="368"/>
      <c r="E73" s="53">
        <f>365-E72</f>
        <v>365</v>
      </c>
      <c r="G73" s="248">
        <v>9</v>
      </c>
      <c r="H73" s="53">
        <v>1</v>
      </c>
      <c r="I73" s="53">
        <v>8</v>
      </c>
      <c r="J73" s="249">
        <v>18</v>
      </c>
      <c r="K73" s="225">
        <f>G73/J73*100</f>
        <v>50</v>
      </c>
      <c r="L73" s="225">
        <f>H73/J73*100</f>
        <v>5.5555555555555554</v>
      </c>
      <c r="M73" s="225">
        <f>I73/J73*100</f>
        <v>44.444444444444443</v>
      </c>
      <c r="N73" s="237">
        <f t="shared" ref="N73:N123" si="26">SUM(K73:M73)</f>
        <v>100</v>
      </c>
      <c r="O73" s="224">
        <v>33</v>
      </c>
      <c r="P73" s="225">
        <v>4.5</v>
      </c>
      <c r="Q73" s="225">
        <v>28</v>
      </c>
      <c r="R73" s="226">
        <f t="shared" ref="R73:R121" si="27">SUM(O73:Q73)</f>
        <v>65.5</v>
      </c>
      <c r="S73" s="53">
        <v>3</v>
      </c>
      <c r="T73" s="285"/>
      <c r="U73" s="291"/>
      <c r="V73" s="54" t="s">
        <v>108</v>
      </c>
      <c r="W73" s="53" t="s">
        <v>74</v>
      </c>
      <c r="X73" s="53" t="s">
        <v>11</v>
      </c>
      <c r="Y73" s="55">
        <v>26.5</v>
      </c>
      <c r="Z73" s="54" t="s">
        <v>111</v>
      </c>
      <c r="AA73" s="53" t="s">
        <v>20</v>
      </c>
      <c r="AB73" s="53" t="s">
        <v>12</v>
      </c>
      <c r="AC73" s="55">
        <v>28</v>
      </c>
      <c r="AD73" s="54" t="s">
        <v>109</v>
      </c>
      <c r="AE73" s="53" t="s">
        <v>89</v>
      </c>
      <c r="AF73" s="53" t="s">
        <v>11</v>
      </c>
      <c r="AG73" s="55">
        <v>6.5</v>
      </c>
      <c r="AH73" s="54" t="s">
        <v>116</v>
      </c>
      <c r="AI73" s="53" t="s">
        <v>117</v>
      </c>
      <c r="AJ73" s="53" t="s">
        <v>18</v>
      </c>
      <c r="AK73" s="55">
        <v>4.5</v>
      </c>
      <c r="AL73" s="54"/>
      <c r="AO73" s="55"/>
      <c r="AP73" s="54"/>
      <c r="AS73" s="55"/>
      <c r="AW73" s="55"/>
      <c r="BA73" s="56"/>
    </row>
    <row r="74" spans="1:53" s="170" customFormat="1" x14ac:dyDescent="0.15">
      <c r="A74" s="170">
        <v>1990</v>
      </c>
      <c r="B74" s="281"/>
      <c r="C74" s="369" t="s">
        <v>355</v>
      </c>
      <c r="D74" s="369"/>
      <c r="E74" s="170">
        <v>239</v>
      </c>
      <c r="G74" s="232">
        <v>9</v>
      </c>
      <c r="H74" s="170">
        <v>1</v>
      </c>
      <c r="I74" s="170">
        <v>8</v>
      </c>
      <c r="J74" s="240">
        <v>18</v>
      </c>
      <c r="K74" s="213">
        <v>44.4</v>
      </c>
      <c r="L74" s="213">
        <v>11.1</v>
      </c>
      <c r="M74" s="213">
        <v>44.4</v>
      </c>
      <c r="N74" s="234">
        <f t="shared" si="26"/>
        <v>99.9</v>
      </c>
      <c r="O74" s="212">
        <v>33</v>
      </c>
      <c r="P74" s="213">
        <v>4.5</v>
      </c>
      <c r="Q74" s="213">
        <v>28</v>
      </c>
      <c r="R74" s="214">
        <f t="shared" si="27"/>
        <v>65.5</v>
      </c>
      <c r="S74" s="170">
        <v>3</v>
      </c>
      <c r="T74" s="283"/>
      <c r="U74" s="281"/>
      <c r="V74" s="177" t="s">
        <v>108</v>
      </c>
      <c r="W74" s="170" t="s">
        <v>74</v>
      </c>
      <c r="X74" s="170" t="s">
        <v>11</v>
      </c>
      <c r="Y74" s="178">
        <v>26.5</v>
      </c>
      <c r="Z74" s="177" t="s">
        <v>111</v>
      </c>
      <c r="AA74" s="170" t="s">
        <v>20</v>
      </c>
      <c r="AB74" s="170" t="s">
        <v>12</v>
      </c>
      <c r="AC74" s="178">
        <v>28</v>
      </c>
      <c r="AD74" s="177" t="s">
        <v>109</v>
      </c>
      <c r="AE74" s="170" t="s">
        <v>89</v>
      </c>
      <c r="AF74" s="170" t="s">
        <v>11</v>
      </c>
      <c r="AG74" s="178">
        <v>6.5</v>
      </c>
      <c r="AH74" s="177" t="s">
        <v>116</v>
      </c>
      <c r="AI74" s="170" t="s">
        <v>117</v>
      </c>
      <c r="AJ74" s="170" t="s">
        <v>18</v>
      </c>
      <c r="AK74" s="178">
        <v>4.5</v>
      </c>
      <c r="AL74" s="177"/>
      <c r="AO74" s="178"/>
      <c r="AP74" s="177"/>
      <c r="AS74" s="178"/>
      <c r="AW74" s="178"/>
      <c r="BA74" s="179"/>
    </row>
    <row r="75" spans="1:53" s="28" customFormat="1" x14ac:dyDescent="0.15">
      <c r="A75" s="28">
        <v>1990</v>
      </c>
      <c r="B75" s="293">
        <v>33113</v>
      </c>
      <c r="C75" s="394" t="s">
        <v>356</v>
      </c>
      <c r="D75" s="394"/>
      <c r="E75" s="28">
        <f>365-E74</f>
        <v>126</v>
      </c>
      <c r="F75" s="28">
        <v>4</v>
      </c>
      <c r="G75" s="65">
        <v>9</v>
      </c>
      <c r="I75" s="28">
        <v>8</v>
      </c>
      <c r="J75" s="72">
        <v>17</v>
      </c>
      <c r="K75" s="46">
        <f>G75/J75*100</f>
        <v>52.941176470588239</v>
      </c>
      <c r="L75" s="46">
        <f>H75/J75*100</f>
        <v>0</v>
      </c>
      <c r="M75" s="46">
        <f>I75/J75*100</f>
        <v>47.058823529411761</v>
      </c>
      <c r="N75" s="67">
        <f t="shared" si="26"/>
        <v>100</v>
      </c>
      <c r="O75" s="45">
        <v>33</v>
      </c>
      <c r="P75" s="46"/>
      <c r="Q75" s="46">
        <v>28</v>
      </c>
      <c r="R75" s="47">
        <f t="shared" si="27"/>
        <v>61</v>
      </c>
      <c r="S75" s="28">
        <v>3</v>
      </c>
      <c r="T75" s="284"/>
      <c r="U75" s="293">
        <v>33113</v>
      </c>
      <c r="V75" s="37" t="s">
        <v>108</v>
      </c>
      <c r="W75" s="28" t="s">
        <v>74</v>
      </c>
      <c r="X75" s="28" t="s">
        <v>11</v>
      </c>
      <c r="Y75" s="38">
        <v>26.5</v>
      </c>
      <c r="Z75" s="37" t="s">
        <v>111</v>
      </c>
      <c r="AA75" s="28" t="s">
        <v>20</v>
      </c>
      <c r="AB75" s="28" t="s">
        <v>12</v>
      </c>
      <c r="AC75" s="38">
        <v>28</v>
      </c>
      <c r="AD75" s="37" t="s">
        <v>109</v>
      </c>
      <c r="AE75" s="28" t="s">
        <v>89</v>
      </c>
      <c r="AF75" s="28" t="s">
        <v>11</v>
      </c>
      <c r="AG75" s="38">
        <v>6.5</v>
      </c>
      <c r="AL75" s="37"/>
      <c r="AO75" s="38"/>
      <c r="AP75" s="37"/>
      <c r="AS75" s="38"/>
      <c r="AW75" s="38"/>
      <c r="BA75" s="39"/>
    </row>
    <row r="76" spans="1:53" s="28" customFormat="1" x14ac:dyDescent="0.15">
      <c r="A76" s="28">
        <v>1991</v>
      </c>
      <c r="B76" s="293"/>
      <c r="C76" s="394" t="s">
        <v>356</v>
      </c>
      <c r="D76" s="394"/>
      <c r="E76" s="28">
        <v>115</v>
      </c>
      <c r="G76" s="65">
        <v>9</v>
      </c>
      <c r="I76" s="28">
        <v>8</v>
      </c>
      <c r="J76" s="72">
        <v>17</v>
      </c>
      <c r="K76" s="46">
        <f>G76/J76*100</f>
        <v>52.941176470588239</v>
      </c>
      <c r="L76" s="46">
        <f>H76/J76*100</f>
        <v>0</v>
      </c>
      <c r="M76" s="46">
        <f>I76/J76*100</f>
        <v>47.058823529411761</v>
      </c>
      <c r="N76" s="67">
        <f t="shared" si="26"/>
        <v>100</v>
      </c>
      <c r="O76" s="45">
        <v>33</v>
      </c>
      <c r="P76" s="46"/>
      <c r="Q76" s="46">
        <v>28</v>
      </c>
      <c r="R76" s="47">
        <f t="shared" si="27"/>
        <v>61</v>
      </c>
      <c r="S76" s="28">
        <v>3</v>
      </c>
      <c r="T76" s="284"/>
      <c r="U76" s="293"/>
      <c r="V76" s="37" t="s">
        <v>108</v>
      </c>
      <c r="W76" s="28" t="s">
        <v>74</v>
      </c>
      <c r="X76" s="28" t="s">
        <v>11</v>
      </c>
      <c r="Y76" s="38">
        <v>26.5</v>
      </c>
      <c r="Z76" s="37" t="s">
        <v>111</v>
      </c>
      <c r="AA76" s="28" t="s">
        <v>20</v>
      </c>
      <c r="AB76" s="28" t="s">
        <v>12</v>
      </c>
      <c r="AC76" s="38">
        <v>28</v>
      </c>
      <c r="AD76" s="37" t="s">
        <v>109</v>
      </c>
      <c r="AE76" s="28" t="s">
        <v>89</v>
      </c>
      <c r="AF76" s="28" t="s">
        <v>11</v>
      </c>
      <c r="AG76" s="38">
        <v>6.5</v>
      </c>
      <c r="AL76" s="37"/>
      <c r="AO76" s="38"/>
      <c r="AP76" s="37"/>
      <c r="AS76" s="38"/>
      <c r="AW76" s="38"/>
      <c r="BA76" s="39"/>
    </row>
    <row r="77" spans="1:53" s="170" customFormat="1" x14ac:dyDescent="0.15">
      <c r="A77" s="170">
        <v>1991</v>
      </c>
      <c r="B77" s="281">
        <v>33354</v>
      </c>
      <c r="C77" s="395" t="s">
        <v>357</v>
      </c>
      <c r="D77" s="395"/>
      <c r="E77" s="170">
        <f>365-E76</f>
        <v>250</v>
      </c>
      <c r="F77" s="170">
        <v>1</v>
      </c>
      <c r="G77" s="232">
        <v>8</v>
      </c>
      <c r="H77" s="170">
        <v>9</v>
      </c>
      <c r="J77" s="240">
        <v>17</v>
      </c>
      <c r="K77" s="213">
        <f>G77/J77*100</f>
        <v>47.058823529411761</v>
      </c>
      <c r="L77" s="213">
        <f>H77/J77*100</f>
        <v>52.941176470588239</v>
      </c>
      <c r="M77" s="213">
        <f>I77/J77*100</f>
        <v>0</v>
      </c>
      <c r="N77" s="234">
        <f t="shared" si="26"/>
        <v>100</v>
      </c>
      <c r="O77" s="212">
        <v>26</v>
      </c>
      <c r="P77" s="213">
        <v>31.5</v>
      </c>
      <c r="Q77" s="213"/>
      <c r="R77" s="214">
        <f t="shared" si="27"/>
        <v>57.5</v>
      </c>
      <c r="S77" s="170">
        <v>3</v>
      </c>
      <c r="T77" s="283">
        <v>33314</v>
      </c>
      <c r="U77" s="281">
        <v>33354</v>
      </c>
      <c r="V77" s="177" t="s">
        <v>107</v>
      </c>
      <c r="W77" s="170" t="s">
        <v>869</v>
      </c>
      <c r="X77" s="170" t="s">
        <v>18</v>
      </c>
      <c r="Y77" s="178">
        <v>27.5</v>
      </c>
      <c r="Z77" s="177" t="s">
        <v>108</v>
      </c>
      <c r="AA77" s="170" t="s">
        <v>74</v>
      </c>
      <c r="AB77" s="170" t="s">
        <v>11</v>
      </c>
      <c r="AC77" s="178">
        <v>20</v>
      </c>
      <c r="AD77" s="177" t="s">
        <v>109</v>
      </c>
      <c r="AE77" s="170" t="s">
        <v>89</v>
      </c>
      <c r="AF77" s="170" t="s">
        <v>11</v>
      </c>
      <c r="AG77" s="178">
        <v>6</v>
      </c>
      <c r="AH77" s="170" t="s">
        <v>358</v>
      </c>
      <c r="AI77" s="170" t="s">
        <v>17</v>
      </c>
      <c r="AJ77" s="170" t="s">
        <v>18</v>
      </c>
      <c r="AK77" s="170">
        <v>4</v>
      </c>
      <c r="AL77" s="177"/>
      <c r="AO77" s="178"/>
      <c r="AP77" s="177"/>
      <c r="AS77" s="178"/>
      <c r="AW77" s="178"/>
      <c r="BA77" s="179"/>
    </row>
    <row r="78" spans="1:53" s="170" customFormat="1" x14ac:dyDescent="0.15">
      <c r="A78" s="170">
        <v>1992</v>
      </c>
      <c r="B78" s="281"/>
      <c r="C78" s="395" t="s">
        <v>357</v>
      </c>
      <c r="D78" s="395"/>
      <c r="E78" s="170">
        <v>0</v>
      </c>
      <c r="G78" s="232">
        <v>8</v>
      </c>
      <c r="H78" s="170">
        <v>9</v>
      </c>
      <c r="J78" s="240">
        <v>17</v>
      </c>
      <c r="K78" s="213">
        <f>G78/J78*100</f>
        <v>47.058823529411761</v>
      </c>
      <c r="L78" s="213">
        <f>H78/J78*100</f>
        <v>52.941176470588239</v>
      </c>
      <c r="M78" s="213">
        <f>I78/J78*100</f>
        <v>0</v>
      </c>
      <c r="N78" s="234">
        <f t="shared" si="26"/>
        <v>100</v>
      </c>
      <c r="O78" s="212">
        <v>26</v>
      </c>
      <c r="P78" s="213">
        <v>31.5</v>
      </c>
      <c r="Q78" s="213"/>
      <c r="R78" s="214">
        <f t="shared" si="27"/>
        <v>57.5</v>
      </c>
      <c r="S78" s="170">
        <v>3</v>
      </c>
      <c r="T78" s="283"/>
      <c r="U78" s="281"/>
      <c r="V78" s="177" t="s">
        <v>107</v>
      </c>
      <c r="W78" s="170" t="s">
        <v>869</v>
      </c>
      <c r="X78" s="170" t="s">
        <v>18</v>
      </c>
      <c r="Y78" s="178">
        <v>27.5</v>
      </c>
      <c r="Z78" s="177" t="s">
        <v>108</v>
      </c>
      <c r="AA78" s="170" t="s">
        <v>74</v>
      </c>
      <c r="AB78" s="170" t="s">
        <v>11</v>
      </c>
      <c r="AC78" s="178">
        <v>20</v>
      </c>
      <c r="AD78" s="177" t="s">
        <v>109</v>
      </c>
      <c r="AE78" s="170" t="s">
        <v>89</v>
      </c>
      <c r="AF78" s="170" t="s">
        <v>11</v>
      </c>
      <c r="AG78" s="178">
        <v>6</v>
      </c>
      <c r="AH78" s="170" t="s">
        <v>358</v>
      </c>
      <c r="AI78" s="170" t="s">
        <v>17</v>
      </c>
      <c r="AJ78" s="170" t="s">
        <v>18</v>
      </c>
      <c r="AK78" s="170">
        <v>4</v>
      </c>
      <c r="AL78" s="177"/>
      <c r="AO78" s="178"/>
      <c r="AP78" s="177"/>
      <c r="AS78" s="178"/>
      <c r="AW78" s="178"/>
      <c r="BA78" s="179"/>
    </row>
    <row r="79" spans="1:53" s="170" customFormat="1" x14ac:dyDescent="0.15">
      <c r="A79" s="170">
        <v>1992</v>
      </c>
      <c r="B79" s="281"/>
      <c r="C79" s="395" t="s">
        <v>357</v>
      </c>
      <c r="D79" s="395"/>
      <c r="E79" s="170">
        <v>366</v>
      </c>
      <c r="G79" s="232">
        <v>8</v>
      </c>
      <c r="H79" s="170">
        <v>9</v>
      </c>
      <c r="J79" s="240">
        <v>17</v>
      </c>
      <c r="K79" s="213">
        <f>G79/J79*100</f>
        <v>47.058823529411761</v>
      </c>
      <c r="L79" s="213">
        <f>H79/J79*100</f>
        <v>52.941176470588239</v>
      </c>
      <c r="M79" s="213">
        <f>I79/J79*100</f>
        <v>0</v>
      </c>
      <c r="N79" s="234">
        <f t="shared" si="26"/>
        <v>100</v>
      </c>
      <c r="O79" s="212">
        <v>26</v>
      </c>
      <c r="P79" s="213">
        <v>31.5</v>
      </c>
      <c r="Q79" s="213"/>
      <c r="R79" s="214">
        <f t="shared" si="27"/>
        <v>57.5</v>
      </c>
      <c r="S79" s="170">
        <v>3</v>
      </c>
      <c r="T79" s="283"/>
      <c r="U79" s="281"/>
      <c r="V79" s="177" t="s">
        <v>107</v>
      </c>
      <c r="W79" s="170" t="s">
        <v>869</v>
      </c>
      <c r="X79" s="170" t="s">
        <v>18</v>
      </c>
      <c r="Y79" s="178">
        <v>27.5</v>
      </c>
      <c r="Z79" s="177" t="s">
        <v>108</v>
      </c>
      <c r="AA79" s="170" t="s">
        <v>74</v>
      </c>
      <c r="AB79" s="170" t="s">
        <v>11</v>
      </c>
      <c r="AC79" s="178">
        <v>20</v>
      </c>
      <c r="AD79" s="177" t="s">
        <v>109</v>
      </c>
      <c r="AE79" s="170" t="s">
        <v>89</v>
      </c>
      <c r="AF79" s="170" t="s">
        <v>11</v>
      </c>
      <c r="AG79" s="178">
        <v>6</v>
      </c>
      <c r="AH79" s="170" t="s">
        <v>358</v>
      </c>
      <c r="AI79" s="170" t="s">
        <v>17</v>
      </c>
      <c r="AJ79" s="170" t="s">
        <v>18</v>
      </c>
      <c r="AK79" s="170">
        <v>4</v>
      </c>
      <c r="AL79" s="177"/>
      <c r="AO79" s="178"/>
      <c r="AP79" s="177"/>
      <c r="AS79" s="178"/>
      <c r="AW79" s="178"/>
      <c r="BA79" s="179"/>
    </row>
    <row r="80" spans="1:53" s="170" customFormat="1" x14ac:dyDescent="0.15">
      <c r="A80" s="170">
        <v>1993</v>
      </c>
      <c r="B80" s="281"/>
      <c r="C80" s="395" t="s">
        <v>357</v>
      </c>
      <c r="D80" s="395"/>
      <c r="E80" s="170">
        <v>0</v>
      </c>
      <c r="G80" s="232">
        <v>8</v>
      </c>
      <c r="H80" s="170">
        <v>9</v>
      </c>
      <c r="J80" s="240">
        <v>17</v>
      </c>
      <c r="K80" s="213">
        <f t="shared" ref="K80:K107" si="28">G80/J80*100</f>
        <v>47.058823529411761</v>
      </c>
      <c r="L80" s="213">
        <f t="shared" ref="L80:L107" si="29">H80/J80*100</f>
        <v>52.941176470588239</v>
      </c>
      <c r="M80" s="213">
        <f t="shared" ref="M80:M107" si="30">I80/J80*100</f>
        <v>0</v>
      </c>
      <c r="N80" s="234">
        <f t="shared" si="26"/>
        <v>100</v>
      </c>
      <c r="O80" s="212">
        <v>26</v>
      </c>
      <c r="P80" s="213">
        <v>31.5</v>
      </c>
      <c r="Q80" s="213"/>
      <c r="R80" s="214">
        <f t="shared" si="27"/>
        <v>57.5</v>
      </c>
      <c r="S80" s="170">
        <v>3</v>
      </c>
      <c r="T80" s="283"/>
      <c r="U80" s="281"/>
      <c r="V80" s="177" t="s">
        <v>107</v>
      </c>
      <c r="W80" s="170" t="s">
        <v>869</v>
      </c>
      <c r="X80" s="170" t="s">
        <v>18</v>
      </c>
      <c r="Y80" s="178">
        <v>27.5</v>
      </c>
      <c r="Z80" s="177" t="s">
        <v>108</v>
      </c>
      <c r="AA80" s="170" t="s">
        <v>74</v>
      </c>
      <c r="AB80" s="170" t="s">
        <v>11</v>
      </c>
      <c r="AC80" s="178">
        <v>20</v>
      </c>
      <c r="AD80" s="177" t="s">
        <v>109</v>
      </c>
      <c r="AE80" s="170" t="s">
        <v>89</v>
      </c>
      <c r="AF80" s="170" t="s">
        <v>11</v>
      </c>
      <c r="AG80" s="178">
        <v>6</v>
      </c>
      <c r="AH80" s="170" t="s">
        <v>358</v>
      </c>
      <c r="AI80" s="170" t="s">
        <v>17</v>
      </c>
      <c r="AJ80" s="170" t="s">
        <v>18</v>
      </c>
      <c r="AK80" s="170">
        <v>4</v>
      </c>
      <c r="AL80" s="177"/>
      <c r="AO80" s="178"/>
      <c r="AP80" s="177"/>
      <c r="AS80" s="178"/>
      <c r="AW80" s="178"/>
      <c r="BA80" s="179"/>
    </row>
    <row r="81" spans="1:53" s="170" customFormat="1" x14ac:dyDescent="0.15">
      <c r="A81" s="170">
        <v>1993</v>
      </c>
      <c r="B81" s="281"/>
      <c r="C81" s="395" t="s">
        <v>357</v>
      </c>
      <c r="D81" s="395"/>
      <c r="E81" s="170">
        <f>365-E80</f>
        <v>365</v>
      </c>
      <c r="G81" s="232">
        <v>8</v>
      </c>
      <c r="H81" s="170">
        <v>9</v>
      </c>
      <c r="J81" s="240">
        <v>17</v>
      </c>
      <c r="K81" s="213">
        <f t="shared" si="28"/>
        <v>47.058823529411761</v>
      </c>
      <c r="L81" s="213">
        <f t="shared" si="29"/>
        <v>52.941176470588239</v>
      </c>
      <c r="M81" s="213">
        <f t="shared" si="30"/>
        <v>0</v>
      </c>
      <c r="N81" s="234">
        <f t="shared" si="26"/>
        <v>100</v>
      </c>
      <c r="O81" s="212">
        <v>26</v>
      </c>
      <c r="P81" s="213">
        <v>31.5</v>
      </c>
      <c r="Q81" s="213"/>
      <c r="R81" s="214">
        <f t="shared" si="27"/>
        <v>57.5</v>
      </c>
      <c r="S81" s="170">
        <v>3</v>
      </c>
      <c r="T81" s="283"/>
      <c r="U81" s="281"/>
      <c r="V81" s="177" t="s">
        <v>107</v>
      </c>
      <c r="W81" s="170" t="s">
        <v>869</v>
      </c>
      <c r="X81" s="170" t="s">
        <v>18</v>
      </c>
      <c r="Y81" s="178">
        <v>27.5</v>
      </c>
      <c r="Z81" s="177" t="s">
        <v>108</v>
      </c>
      <c r="AA81" s="170" t="s">
        <v>74</v>
      </c>
      <c r="AB81" s="170" t="s">
        <v>11</v>
      </c>
      <c r="AC81" s="178">
        <v>20</v>
      </c>
      <c r="AD81" s="177" t="s">
        <v>109</v>
      </c>
      <c r="AE81" s="170" t="s">
        <v>89</v>
      </c>
      <c r="AF81" s="170" t="s">
        <v>11</v>
      </c>
      <c r="AG81" s="178">
        <v>6</v>
      </c>
      <c r="AH81" s="170" t="s">
        <v>358</v>
      </c>
      <c r="AI81" s="170" t="s">
        <v>17</v>
      </c>
      <c r="AJ81" s="170" t="s">
        <v>18</v>
      </c>
      <c r="AK81" s="170">
        <v>4</v>
      </c>
      <c r="AL81" s="177"/>
      <c r="AO81" s="178"/>
      <c r="AP81" s="177"/>
      <c r="AS81" s="178"/>
      <c r="AW81" s="178"/>
      <c r="BA81" s="179"/>
    </row>
    <row r="82" spans="1:53" s="170" customFormat="1" x14ac:dyDescent="0.15">
      <c r="A82" s="170">
        <v>1994</v>
      </c>
      <c r="B82" s="281"/>
      <c r="C82" s="395" t="s">
        <v>357</v>
      </c>
      <c r="D82" s="395"/>
      <c r="E82" s="170">
        <v>170</v>
      </c>
      <c r="G82" s="232">
        <v>8</v>
      </c>
      <c r="H82" s="170">
        <v>9</v>
      </c>
      <c r="J82" s="240">
        <v>17</v>
      </c>
      <c r="K82" s="213">
        <f t="shared" si="28"/>
        <v>47.058823529411761</v>
      </c>
      <c r="L82" s="213">
        <f t="shared" si="29"/>
        <v>52.941176470588239</v>
      </c>
      <c r="M82" s="213">
        <f t="shared" si="30"/>
        <v>0</v>
      </c>
      <c r="N82" s="234">
        <f t="shared" si="26"/>
        <v>100</v>
      </c>
      <c r="O82" s="212">
        <v>26</v>
      </c>
      <c r="P82" s="213">
        <v>31.5</v>
      </c>
      <c r="Q82" s="213"/>
      <c r="R82" s="214">
        <f t="shared" si="27"/>
        <v>57.5</v>
      </c>
      <c r="S82" s="170">
        <v>3</v>
      </c>
      <c r="T82" s="283"/>
      <c r="U82" s="281"/>
      <c r="V82" s="177" t="s">
        <v>107</v>
      </c>
      <c r="W82" s="170" t="s">
        <v>869</v>
      </c>
      <c r="X82" s="170" t="s">
        <v>18</v>
      </c>
      <c r="Y82" s="178">
        <v>27.5</v>
      </c>
      <c r="Z82" s="177" t="s">
        <v>108</v>
      </c>
      <c r="AA82" s="170" t="s">
        <v>74</v>
      </c>
      <c r="AB82" s="170" t="s">
        <v>11</v>
      </c>
      <c r="AC82" s="178">
        <v>20</v>
      </c>
      <c r="AD82" s="177" t="s">
        <v>109</v>
      </c>
      <c r="AE82" s="170" t="s">
        <v>89</v>
      </c>
      <c r="AF82" s="170" t="s">
        <v>11</v>
      </c>
      <c r="AG82" s="178">
        <v>6</v>
      </c>
      <c r="AH82" s="170" t="s">
        <v>358</v>
      </c>
      <c r="AI82" s="170" t="s">
        <v>17</v>
      </c>
      <c r="AJ82" s="170" t="s">
        <v>18</v>
      </c>
      <c r="AK82" s="170">
        <v>4</v>
      </c>
      <c r="AL82" s="177"/>
      <c r="AO82" s="178"/>
      <c r="AP82" s="177"/>
      <c r="AS82" s="178"/>
      <c r="AW82" s="178"/>
      <c r="BA82" s="179"/>
    </row>
    <row r="83" spans="1:53" s="28" customFormat="1" x14ac:dyDescent="0.15">
      <c r="A83" s="28">
        <v>1994</v>
      </c>
      <c r="B83" s="293">
        <v>34505</v>
      </c>
      <c r="C83" s="394" t="s">
        <v>359</v>
      </c>
      <c r="D83" s="394"/>
      <c r="E83" s="28">
        <f>365-E82</f>
        <v>195</v>
      </c>
      <c r="F83" s="28">
        <v>4</v>
      </c>
      <c r="G83" s="65">
        <v>8</v>
      </c>
      <c r="H83" s="28">
        <v>8</v>
      </c>
      <c r="J83" s="72">
        <v>16</v>
      </c>
      <c r="K83" s="46">
        <f t="shared" si="28"/>
        <v>50</v>
      </c>
      <c r="L83" s="46">
        <f t="shared" si="29"/>
        <v>50</v>
      </c>
      <c r="M83" s="46">
        <f t="shared" si="30"/>
        <v>0</v>
      </c>
      <c r="N83" s="67">
        <f t="shared" si="26"/>
        <v>100</v>
      </c>
      <c r="O83" s="45">
        <v>26</v>
      </c>
      <c r="P83" s="46">
        <v>27.5</v>
      </c>
      <c r="Q83" s="46"/>
      <c r="R83" s="47">
        <f t="shared" si="27"/>
        <v>53.5</v>
      </c>
      <c r="S83" s="28">
        <v>2</v>
      </c>
      <c r="T83" s="284"/>
      <c r="U83" s="293">
        <v>34505</v>
      </c>
      <c r="V83" s="37" t="s">
        <v>107</v>
      </c>
      <c r="W83" s="28" t="s">
        <v>869</v>
      </c>
      <c r="X83" s="28" t="s">
        <v>18</v>
      </c>
      <c r="Y83" s="38">
        <v>27.5</v>
      </c>
      <c r="Z83" s="37" t="s">
        <v>108</v>
      </c>
      <c r="AA83" s="28" t="s">
        <v>74</v>
      </c>
      <c r="AB83" s="28" t="s">
        <v>11</v>
      </c>
      <c r="AC83" s="38">
        <v>20</v>
      </c>
      <c r="AD83" s="37" t="s">
        <v>109</v>
      </c>
      <c r="AE83" s="28" t="s">
        <v>89</v>
      </c>
      <c r="AF83" s="28" t="s">
        <v>11</v>
      </c>
      <c r="AG83" s="38">
        <v>6</v>
      </c>
      <c r="AL83" s="37"/>
      <c r="AO83" s="38"/>
      <c r="AP83" s="37"/>
      <c r="AS83" s="38"/>
      <c r="AW83" s="38"/>
      <c r="BA83" s="39"/>
    </row>
    <row r="84" spans="1:53" s="28" customFormat="1" x14ac:dyDescent="0.15">
      <c r="A84" s="28">
        <v>1995</v>
      </c>
      <c r="B84" s="293"/>
      <c r="C84" s="394" t="s">
        <v>359</v>
      </c>
      <c r="D84" s="394"/>
      <c r="E84" s="28">
        <v>102</v>
      </c>
      <c r="G84" s="65">
        <v>8</v>
      </c>
      <c r="H84" s="28">
        <v>8</v>
      </c>
      <c r="J84" s="72">
        <v>16</v>
      </c>
      <c r="K84" s="46">
        <f t="shared" si="28"/>
        <v>50</v>
      </c>
      <c r="L84" s="46">
        <f t="shared" si="29"/>
        <v>50</v>
      </c>
      <c r="M84" s="46">
        <f t="shared" si="30"/>
        <v>0</v>
      </c>
      <c r="N84" s="67">
        <f t="shared" si="26"/>
        <v>100</v>
      </c>
      <c r="O84" s="45">
        <v>26</v>
      </c>
      <c r="P84" s="46">
        <v>27.5</v>
      </c>
      <c r="Q84" s="46"/>
      <c r="R84" s="47">
        <f t="shared" si="27"/>
        <v>53.5</v>
      </c>
      <c r="S84" s="28">
        <v>2</v>
      </c>
      <c r="T84" s="284"/>
      <c r="U84" s="293"/>
      <c r="V84" s="37" t="s">
        <v>107</v>
      </c>
      <c r="W84" s="28" t="s">
        <v>869</v>
      </c>
      <c r="X84" s="28" t="s">
        <v>18</v>
      </c>
      <c r="Y84" s="38">
        <v>27.5</v>
      </c>
      <c r="Z84" s="37" t="s">
        <v>108</v>
      </c>
      <c r="AA84" s="28" t="s">
        <v>74</v>
      </c>
      <c r="AB84" s="28" t="s">
        <v>11</v>
      </c>
      <c r="AC84" s="38">
        <v>20</v>
      </c>
      <c r="AD84" s="37" t="s">
        <v>109</v>
      </c>
      <c r="AE84" s="28" t="s">
        <v>89</v>
      </c>
      <c r="AF84" s="28" t="s">
        <v>11</v>
      </c>
      <c r="AG84" s="38">
        <v>6</v>
      </c>
      <c r="AL84" s="37"/>
      <c r="AO84" s="38"/>
      <c r="AP84" s="37"/>
      <c r="AS84" s="38"/>
      <c r="AW84" s="38"/>
      <c r="BA84" s="39"/>
    </row>
    <row r="85" spans="1:53" s="170" customFormat="1" x14ac:dyDescent="0.15">
      <c r="A85" s="170">
        <v>1995</v>
      </c>
      <c r="B85" s="281">
        <v>34802</v>
      </c>
      <c r="C85" s="395" t="s">
        <v>360</v>
      </c>
      <c r="D85" s="395"/>
      <c r="E85" s="170">
        <f>365-E84</f>
        <v>263</v>
      </c>
      <c r="F85" s="170">
        <v>1</v>
      </c>
      <c r="G85" s="232">
        <v>7</v>
      </c>
      <c r="I85" s="170">
        <v>10</v>
      </c>
      <c r="J85" s="240">
        <v>18</v>
      </c>
      <c r="K85" s="213">
        <f t="shared" si="28"/>
        <v>38.888888888888893</v>
      </c>
      <c r="L85" s="213">
        <f t="shared" si="29"/>
        <v>0</v>
      </c>
      <c r="M85" s="213">
        <f t="shared" si="30"/>
        <v>55.555555555555557</v>
      </c>
      <c r="N85" s="234">
        <f t="shared" si="26"/>
        <v>94.444444444444457</v>
      </c>
      <c r="O85" s="212">
        <v>25.5</v>
      </c>
      <c r="P85" s="213"/>
      <c r="Q85" s="213">
        <v>47</v>
      </c>
      <c r="R85" s="214">
        <f t="shared" si="27"/>
        <v>72.5</v>
      </c>
      <c r="S85" s="170">
        <v>3</v>
      </c>
      <c r="T85" s="283">
        <v>34777</v>
      </c>
      <c r="U85" s="281">
        <v>34802</v>
      </c>
      <c r="V85" s="177" t="s">
        <v>111</v>
      </c>
      <c r="W85" s="170" t="s">
        <v>20</v>
      </c>
      <c r="X85" s="170" t="s">
        <v>12</v>
      </c>
      <c r="Y85" s="178">
        <v>31.5</v>
      </c>
      <c r="Z85" s="177" t="s">
        <v>108</v>
      </c>
      <c r="AA85" s="170" t="s">
        <v>74</v>
      </c>
      <c r="AB85" s="170" t="s">
        <v>11</v>
      </c>
      <c r="AC85" s="178">
        <v>19.5</v>
      </c>
      <c r="AD85" s="177" t="s">
        <v>109</v>
      </c>
      <c r="AE85" s="170" t="s">
        <v>89</v>
      </c>
      <c r="AF85" s="170" t="s">
        <v>11</v>
      </c>
      <c r="AG85" s="178">
        <v>6</v>
      </c>
      <c r="AH85" s="170" t="s">
        <v>361</v>
      </c>
      <c r="AI85" s="170" t="s">
        <v>191</v>
      </c>
      <c r="AJ85" s="170" t="s">
        <v>12</v>
      </c>
      <c r="AK85" s="170">
        <v>11</v>
      </c>
      <c r="AL85" s="177" t="s">
        <v>362</v>
      </c>
      <c r="AM85" s="170" t="s">
        <v>216</v>
      </c>
      <c r="AN85" s="170" t="s">
        <v>12</v>
      </c>
      <c r="AO85" s="178">
        <v>4.5</v>
      </c>
      <c r="AP85" s="177"/>
      <c r="AS85" s="178"/>
      <c r="AW85" s="178"/>
      <c r="BA85" s="179"/>
    </row>
    <row r="86" spans="1:53" s="170" customFormat="1" x14ac:dyDescent="0.15">
      <c r="A86" s="170">
        <v>1996</v>
      </c>
      <c r="B86" s="281"/>
      <c r="C86" s="395" t="s">
        <v>360</v>
      </c>
      <c r="D86" s="395"/>
      <c r="E86" s="170">
        <v>0</v>
      </c>
      <c r="G86" s="232">
        <v>7</v>
      </c>
      <c r="I86" s="170">
        <v>10</v>
      </c>
      <c r="J86" s="240">
        <v>18</v>
      </c>
      <c r="K86" s="213">
        <f t="shared" si="28"/>
        <v>38.888888888888893</v>
      </c>
      <c r="L86" s="213">
        <f t="shared" si="29"/>
        <v>0</v>
      </c>
      <c r="M86" s="213">
        <f t="shared" si="30"/>
        <v>55.555555555555557</v>
      </c>
      <c r="N86" s="234">
        <f t="shared" si="26"/>
        <v>94.444444444444457</v>
      </c>
      <c r="O86" s="212">
        <v>25.5</v>
      </c>
      <c r="P86" s="213"/>
      <c r="Q86" s="213">
        <v>47</v>
      </c>
      <c r="R86" s="214">
        <f t="shared" si="27"/>
        <v>72.5</v>
      </c>
      <c r="S86" s="170">
        <v>3</v>
      </c>
      <c r="T86" s="283"/>
      <c r="U86" s="281"/>
      <c r="V86" s="177" t="s">
        <v>111</v>
      </c>
      <c r="W86" s="170" t="s">
        <v>20</v>
      </c>
      <c r="X86" s="170" t="s">
        <v>12</v>
      </c>
      <c r="Y86" s="178">
        <v>31.5</v>
      </c>
      <c r="Z86" s="177" t="s">
        <v>108</v>
      </c>
      <c r="AA86" s="170" t="s">
        <v>74</v>
      </c>
      <c r="AB86" s="170" t="s">
        <v>11</v>
      </c>
      <c r="AC86" s="178">
        <v>19.5</v>
      </c>
      <c r="AD86" s="177" t="s">
        <v>109</v>
      </c>
      <c r="AE86" s="170" t="s">
        <v>89</v>
      </c>
      <c r="AF86" s="170" t="s">
        <v>11</v>
      </c>
      <c r="AG86" s="178">
        <v>6</v>
      </c>
      <c r="AH86" s="170" t="s">
        <v>361</v>
      </c>
      <c r="AI86" s="170" t="s">
        <v>191</v>
      </c>
      <c r="AJ86" s="170" t="s">
        <v>12</v>
      </c>
      <c r="AK86" s="170">
        <v>11</v>
      </c>
      <c r="AL86" s="177" t="s">
        <v>362</v>
      </c>
      <c r="AM86" s="170" t="s">
        <v>216</v>
      </c>
      <c r="AN86" s="170" t="s">
        <v>12</v>
      </c>
      <c r="AO86" s="178">
        <v>4.5</v>
      </c>
      <c r="AP86" s="177"/>
      <c r="AS86" s="178"/>
      <c r="AW86" s="178"/>
      <c r="BA86" s="179"/>
    </row>
    <row r="87" spans="1:53" s="170" customFormat="1" x14ac:dyDescent="0.15">
      <c r="A87" s="170">
        <v>1996</v>
      </c>
      <c r="B87" s="281"/>
      <c r="C87" s="395" t="s">
        <v>360</v>
      </c>
      <c r="D87" s="395"/>
      <c r="E87" s="170">
        <v>366</v>
      </c>
      <c r="G87" s="232">
        <v>7</v>
      </c>
      <c r="I87" s="170">
        <v>10</v>
      </c>
      <c r="J87" s="240">
        <v>18</v>
      </c>
      <c r="K87" s="213">
        <f t="shared" si="28"/>
        <v>38.888888888888893</v>
      </c>
      <c r="L87" s="213">
        <f t="shared" si="29"/>
        <v>0</v>
      </c>
      <c r="M87" s="213">
        <f t="shared" si="30"/>
        <v>55.555555555555557</v>
      </c>
      <c r="N87" s="234">
        <f t="shared" si="26"/>
        <v>94.444444444444457</v>
      </c>
      <c r="O87" s="212">
        <v>25.5</v>
      </c>
      <c r="P87" s="213"/>
      <c r="Q87" s="213">
        <v>47</v>
      </c>
      <c r="R87" s="214">
        <f t="shared" si="27"/>
        <v>72.5</v>
      </c>
      <c r="S87" s="170">
        <v>3</v>
      </c>
      <c r="T87" s="283"/>
      <c r="U87" s="281"/>
      <c r="V87" s="177" t="s">
        <v>111</v>
      </c>
      <c r="W87" s="170" t="s">
        <v>20</v>
      </c>
      <c r="X87" s="170" t="s">
        <v>12</v>
      </c>
      <c r="Y87" s="178">
        <v>31.5</v>
      </c>
      <c r="Z87" s="177" t="s">
        <v>108</v>
      </c>
      <c r="AA87" s="170" t="s">
        <v>74</v>
      </c>
      <c r="AB87" s="170" t="s">
        <v>11</v>
      </c>
      <c r="AC87" s="178">
        <v>19.5</v>
      </c>
      <c r="AD87" s="177" t="s">
        <v>109</v>
      </c>
      <c r="AE87" s="170" t="s">
        <v>89</v>
      </c>
      <c r="AF87" s="170" t="s">
        <v>11</v>
      </c>
      <c r="AG87" s="178">
        <v>6</v>
      </c>
      <c r="AH87" s="170" t="s">
        <v>361</v>
      </c>
      <c r="AI87" s="170" t="s">
        <v>191</v>
      </c>
      <c r="AJ87" s="170" t="s">
        <v>12</v>
      </c>
      <c r="AK87" s="170">
        <v>11</v>
      </c>
      <c r="AL87" s="177" t="s">
        <v>362</v>
      </c>
      <c r="AM87" s="170" t="s">
        <v>216</v>
      </c>
      <c r="AN87" s="170" t="s">
        <v>12</v>
      </c>
      <c r="AO87" s="178">
        <v>4.5</v>
      </c>
      <c r="AP87" s="177"/>
      <c r="AS87" s="178"/>
      <c r="AW87" s="178"/>
      <c r="BA87" s="179"/>
    </row>
    <row r="88" spans="1:53" s="170" customFormat="1" x14ac:dyDescent="0.15">
      <c r="A88" s="170">
        <v>1997</v>
      </c>
      <c r="B88" s="281"/>
      <c r="C88" s="395" t="s">
        <v>360</v>
      </c>
      <c r="D88" s="395"/>
      <c r="E88" s="170">
        <v>0</v>
      </c>
      <c r="G88" s="232">
        <v>7</v>
      </c>
      <c r="I88" s="170">
        <v>10</v>
      </c>
      <c r="J88" s="240">
        <v>18</v>
      </c>
      <c r="K88" s="213">
        <f t="shared" si="28"/>
        <v>38.888888888888893</v>
      </c>
      <c r="L88" s="213">
        <f t="shared" si="29"/>
        <v>0</v>
      </c>
      <c r="M88" s="213">
        <f t="shared" si="30"/>
        <v>55.555555555555557</v>
      </c>
      <c r="N88" s="234">
        <f t="shared" si="26"/>
        <v>94.444444444444457</v>
      </c>
      <c r="O88" s="212">
        <v>25.5</v>
      </c>
      <c r="P88" s="213"/>
      <c r="Q88" s="213">
        <v>47</v>
      </c>
      <c r="R88" s="214">
        <f t="shared" si="27"/>
        <v>72.5</v>
      </c>
      <c r="S88" s="170">
        <v>3</v>
      </c>
      <c r="T88" s="283"/>
      <c r="U88" s="281"/>
      <c r="V88" s="177" t="s">
        <v>111</v>
      </c>
      <c r="W88" s="170" t="s">
        <v>20</v>
      </c>
      <c r="X88" s="170" t="s">
        <v>12</v>
      </c>
      <c r="Y88" s="178">
        <v>31.5</v>
      </c>
      <c r="Z88" s="177" t="s">
        <v>108</v>
      </c>
      <c r="AA88" s="170" t="s">
        <v>74</v>
      </c>
      <c r="AB88" s="170" t="s">
        <v>11</v>
      </c>
      <c r="AC88" s="178">
        <v>19.5</v>
      </c>
      <c r="AD88" s="177" t="s">
        <v>109</v>
      </c>
      <c r="AE88" s="170" t="s">
        <v>89</v>
      </c>
      <c r="AF88" s="170" t="s">
        <v>11</v>
      </c>
      <c r="AG88" s="178">
        <v>6</v>
      </c>
      <c r="AH88" s="170" t="s">
        <v>361</v>
      </c>
      <c r="AI88" s="170" t="s">
        <v>191</v>
      </c>
      <c r="AJ88" s="170" t="s">
        <v>12</v>
      </c>
      <c r="AK88" s="170">
        <v>11</v>
      </c>
      <c r="AL88" s="177" t="s">
        <v>362</v>
      </c>
      <c r="AM88" s="170" t="s">
        <v>216</v>
      </c>
      <c r="AN88" s="170" t="s">
        <v>12</v>
      </c>
      <c r="AO88" s="178">
        <v>4.5</v>
      </c>
      <c r="AP88" s="177"/>
      <c r="AS88" s="178"/>
      <c r="AW88" s="178"/>
      <c r="BA88" s="179"/>
    </row>
    <row r="89" spans="1:53" s="170" customFormat="1" x14ac:dyDescent="0.15">
      <c r="A89" s="170">
        <v>1997</v>
      </c>
      <c r="B89" s="281"/>
      <c r="C89" s="395" t="s">
        <v>360</v>
      </c>
      <c r="D89" s="395"/>
      <c r="E89" s="170">
        <f>365-E88</f>
        <v>365</v>
      </c>
      <c r="G89" s="232">
        <v>7</v>
      </c>
      <c r="I89" s="170">
        <v>10</v>
      </c>
      <c r="J89" s="240">
        <v>18</v>
      </c>
      <c r="K89" s="213">
        <f t="shared" si="28"/>
        <v>38.888888888888893</v>
      </c>
      <c r="L89" s="213">
        <f t="shared" si="29"/>
        <v>0</v>
      </c>
      <c r="M89" s="213">
        <f t="shared" si="30"/>
        <v>55.555555555555557</v>
      </c>
      <c r="N89" s="234">
        <f t="shared" si="26"/>
        <v>94.444444444444457</v>
      </c>
      <c r="O89" s="212">
        <v>25.5</v>
      </c>
      <c r="P89" s="213"/>
      <c r="Q89" s="213">
        <v>47</v>
      </c>
      <c r="R89" s="214">
        <f t="shared" si="27"/>
        <v>72.5</v>
      </c>
      <c r="S89" s="170">
        <v>3</v>
      </c>
      <c r="T89" s="283"/>
      <c r="U89" s="281"/>
      <c r="V89" s="177" t="s">
        <v>111</v>
      </c>
      <c r="W89" s="170" t="s">
        <v>20</v>
      </c>
      <c r="X89" s="170" t="s">
        <v>12</v>
      </c>
      <c r="Y89" s="178">
        <v>31.5</v>
      </c>
      <c r="Z89" s="177" t="s">
        <v>108</v>
      </c>
      <c r="AA89" s="170" t="s">
        <v>74</v>
      </c>
      <c r="AB89" s="170" t="s">
        <v>11</v>
      </c>
      <c r="AC89" s="178">
        <v>19.5</v>
      </c>
      <c r="AD89" s="177" t="s">
        <v>109</v>
      </c>
      <c r="AE89" s="170" t="s">
        <v>89</v>
      </c>
      <c r="AF89" s="170" t="s">
        <v>11</v>
      </c>
      <c r="AG89" s="178">
        <v>6</v>
      </c>
      <c r="AH89" s="170" t="s">
        <v>361</v>
      </c>
      <c r="AI89" s="170" t="s">
        <v>191</v>
      </c>
      <c r="AJ89" s="170" t="s">
        <v>12</v>
      </c>
      <c r="AK89" s="170">
        <v>11</v>
      </c>
      <c r="AL89" s="177" t="s">
        <v>362</v>
      </c>
      <c r="AM89" s="170" t="s">
        <v>216</v>
      </c>
      <c r="AN89" s="170" t="s">
        <v>12</v>
      </c>
      <c r="AO89" s="178">
        <v>4.5</v>
      </c>
      <c r="AP89" s="177"/>
      <c r="AS89" s="178"/>
      <c r="AW89" s="178"/>
      <c r="BA89" s="179"/>
    </row>
    <row r="90" spans="1:53" s="170" customFormat="1" x14ac:dyDescent="0.15">
      <c r="A90" s="170">
        <v>1998</v>
      </c>
      <c r="B90" s="281"/>
      <c r="C90" s="395" t="s">
        <v>360</v>
      </c>
      <c r="D90" s="395"/>
      <c r="E90" s="170">
        <v>0</v>
      </c>
      <c r="G90" s="232">
        <v>7</v>
      </c>
      <c r="I90" s="170">
        <v>10</v>
      </c>
      <c r="J90" s="240">
        <v>18</v>
      </c>
      <c r="K90" s="213">
        <f t="shared" si="28"/>
        <v>38.888888888888893</v>
      </c>
      <c r="L90" s="213">
        <f t="shared" si="29"/>
        <v>0</v>
      </c>
      <c r="M90" s="213">
        <f t="shared" si="30"/>
        <v>55.555555555555557</v>
      </c>
      <c r="N90" s="234">
        <f t="shared" si="26"/>
        <v>94.444444444444457</v>
      </c>
      <c r="O90" s="212">
        <v>25.5</v>
      </c>
      <c r="P90" s="213"/>
      <c r="Q90" s="213">
        <v>47</v>
      </c>
      <c r="R90" s="214">
        <f t="shared" si="27"/>
        <v>72.5</v>
      </c>
      <c r="S90" s="170">
        <v>3</v>
      </c>
      <c r="T90" s="283"/>
      <c r="U90" s="281"/>
      <c r="V90" s="177" t="s">
        <v>111</v>
      </c>
      <c r="W90" s="170" t="s">
        <v>20</v>
      </c>
      <c r="X90" s="170" t="s">
        <v>12</v>
      </c>
      <c r="Y90" s="178">
        <v>31.5</v>
      </c>
      <c r="Z90" s="177" t="s">
        <v>108</v>
      </c>
      <c r="AA90" s="170" t="s">
        <v>74</v>
      </c>
      <c r="AB90" s="170" t="s">
        <v>11</v>
      </c>
      <c r="AC90" s="178">
        <v>19.5</v>
      </c>
      <c r="AD90" s="177" t="s">
        <v>109</v>
      </c>
      <c r="AE90" s="170" t="s">
        <v>89</v>
      </c>
      <c r="AF90" s="170" t="s">
        <v>11</v>
      </c>
      <c r="AG90" s="178">
        <v>6</v>
      </c>
      <c r="AH90" s="170" t="s">
        <v>361</v>
      </c>
      <c r="AI90" s="170" t="s">
        <v>191</v>
      </c>
      <c r="AJ90" s="170" t="s">
        <v>12</v>
      </c>
      <c r="AK90" s="170">
        <v>11</v>
      </c>
      <c r="AL90" s="177" t="s">
        <v>362</v>
      </c>
      <c r="AM90" s="170" t="s">
        <v>216</v>
      </c>
      <c r="AN90" s="170" t="s">
        <v>12</v>
      </c>
      <c r="AO90" s="178">
        <v>4.5</v>
      </c>
      <c r="AP90" s="177"/>
      <c r="AS90" s="178"/>
      <c r="AW90" s="178"/>
      <c r="BA90" s="179"/>
    </row>
    <row r="91" spans="1:53" s="170" customFormat="1" x14ac:dyDescent="0.15">
      <c r="A91" s="170">
        <v>1998</v>
      </c>
      <c r="B91" s="281"/>
      <c r="C91" s="395" t="s">
        <v>360</v>
      </c>
      <c r="D91" s="395"/>
      <c r="E91" s="170">
        <f>365-E90</f>
        <v>365</v>
      </c>
      <c r="G91" s="232">
        <v>7</v>
      </c>
      <c r="I91" s="170">
        <v>10</v>
      </c>
      <c r="J91" s="240">
        <v>18</v>
      </c>
      <c r="K91" s="213">
        <f t="shared" si="28"/>
        <v>38.888888888888893</v>
      </c>
      <c r="L91" s="213">
        <f t="shared" si="29"/>
        <v>0</v>
      </c>
      <c r="M91" s="213">
        <f t="shared" si="30"/>
        <v>55.555555555555557</v>
      </c>
      <c r="N91" s="234">
        <f t="shared" si="26"/>
        <v>94.444444444444457</v>
      </c>
      <c r="O91" s="212">
        <v>25.5</v>
      </c>
      <c r="P91" s="213"/>
      <c r="Q91" s="213">
        <v>47</v>
      </c>
      <c r="R91" s="214">
        <f t="shared" si="27"/>
        <v>72.5</v>
      </c>
      <c r="S91" s="170">
        <v>3</v>
      </c>
      <c r="T91" s="283"/>
      <c r="U91" s="281"/>
      <c r="V91" s="177" t="s">
        <v>111</v>
      </c>
      <c r="W91" s="170" t="s">
        <v>20</v>
      </c>
      <c r="X91" s="170" t="s">
        <v>12</v>
      </c>
      <c r="Y91" s="178">
        <v>31.5</v>
      </c>
      <c r="Z91" s="177" t="s">
        <v>108</v>
      </c>
      <c r="AA91" s="170" t="s">
        <v>74</v>
      </c>
      <c r="AB91" s="170" t="s">
        <v>11</v>
      </c>
      <c r="AC91" s="178">
        <v>19.5</v>
      </c>
      <c r="AD91" s="177" t="s">
        <v>109</v>
      </c>
      <c r="AE91" s="170" t="s">
        <v>89</v>
      </c>
      <c r="AF91" s="170" t="s">
        <v>11</v>
      </c>
      <c r="AG91" s="178">
        <v>6</v>
      </c>
      <c r="AH91" s="170" t="s">
        <v>361</v>
      </c>
      <c r="AI91" s="170" t="s">
        <v>191</v>
      </c>
      <c r="AJ91" s="170" t="s">
        <v>12</v>
      </c>
      <c r="AK91" s="170">
        <v>11</v>
      </c>
      <c r="AL91" s="177" t="s">
        <v>362</v>
      </c>
      <c r="AM91" s="170" t="s">
        <v>216</v>
      </c>
      <c r="AN91" s="170" t="s">
        <v>12</v>
      </c>
      <c r="AO91" s="178">
        <v>4.5</v>
      </c>
      <c r="AP91" s="177"/>
      <c r="AS91" s="178"/>
      <c r="AW91" s="178"/>
      <c r="BA91" s="179"/>
    </row>
    <row r="92" spans="1:53" s="170" customFormat="1" x14ac:dyDescent="0.15">
      <c r="A92" s="170">
        <v>1999</v>
      </c>
      <c r="B92" s="281"/>
      <c r="C92" s="395" t="s">
        <v>360</v>
      </c>
      <c r="D92" s="395"/>
      <c r="E92" s="170">
        <v>104</v>
      </c>
      <c r="G92" s="232">
        <v>7</v>
      </c>
      <c r="I92" s="170">
        <v>10</v>
      </c>
      <c r="J92" s="240">
        <v>18</v>
      </c>
      <c r="K92" s="213">
        <f t="shared" si="28"/>
        <v>38.888888888888893</v>
      </c>
      <c r="L92" s="213">
        <f t="shared" si="29"/>
        <v>0</v>
      </c>
      <c r="M92" s="213">
        <f t="shared" si="30"/>
        <v>55.555555555555557</v>
      </c>
      <c r="N92" s="234">
        <f t="shared" si="26"/>
        <v>94.444444444444457</v>
      </c>
      <c r="O92" s="212">
        <v>25.5</v>
      </c>
      <c r="P92" s="213"/>
      <c r="Q92" s="213">
        <v>47</v>
      </c>
      <c r="R92" s="214">
        <f t="shared" si="27"/>
        <v>72.5</v>
      </c>
      <c r="S92" s="170">
        <v>3</v>
      </c>
      <c r="T92" s="283"/>
      <c r="U92" s="281"/>
      <c r="V92" s="177" t="s">
        <v>111</v>
      </c>
      <c r="W92" s="170" t="s">
        <v>20</v>
      </c>
      <c r="X92" s="170" t="s">
        <v>12</v>
      </c>
      <c r="Y92" s="178">
        <v>31.5</v>
      </c>
      <c r="Z92" s="177" t="s">
        <v>108</v>
      </c>
      <c r="AA92" s="170" t="s">
        <v>74</v>
      </c>
      <c r="AB92" s="170" t="s">
        <v>11</v>
      </c>
      <c r="AC92" s="178">
        <v>19.5</v>
      </c>
      <c r="AD92" s="177" t="s">
        <v>109</v>
      </c>
      <c r="AE92" s="170" t="s">
        <v>89</v>
      </c>
      <c r="AF92" s="170" t="s">
        <v>11</v>
      </c>
      <c r="AG92" s="178">
        <v>6</v>
      </c>
      <c r="AH92" s="170" t="s">
        <v>361</v>
      </c>
      <c r="AI92" s="170" t="s">
        <v>191</v>
      </c>
      <c r="AJ92" s="170" t="s">
        <v>12</v>
      </c>
      <c r="AK92" s="170">
        <v>11</v>
      </c>
      <c r="AL92" s="177" t="s">
        <v>362</v>
      </c>
      <c r="AM92" s="170" t="s">
        <v>216</v>
      </c>
      <c r="AN92" s="170" t="s">
        <v>12</v>
      </c>
      <c r="AO92" s="178">
        <v>4.5</v>
      </c>
      <c r="AP92" s="177"/>
      <c r="AS92" s="178"/>
      <c r="AW92" s="178"/>
      <c r="BA92" s="179"/>
    </row>
    <row r="93" spans="1:53" s="28" customFormat="1" x14ac:dyDescent="0.15">
      <c r="A93" s="28">
        <v>1999</v>
      </c>
      <c r="B93" s="293">
        <v>36265</v>
      </c>
      <c r="C93" s="394" t="s">
        <v>363</v>
      </c>
      <c r="D93" s="394"/>
      <c r="E93" s="28">
        <f>365-E92</f>
        <v>261</v>
      </c>
      <c r="F93" s="28">
        <v>1</v>
      </c>
      <c r="G93" s="65">
        <v>8</v>
      </c>
      <c r="I93" s="28">
        <v>9</v>
      </c>
      <c r="J93" s="72">
        <v>18</v>
      </c>
      <c r="K93" s="46">
        <f t="shared" si="28"/>
        <v>44.444444444444443</v>
      </c>
      <c r="L93" s="46">
        <f t="shared" si="29"/>
        <v>0</v>
      </c>
      <c r="M93" s="46">
        <f t="shared" si="30"/>
        <v>50</v>
      </c>
      <c r="N93" s="67">
        <f t="shared" si="26"/>
        <v>94.444444444444443</v>
      </c>
      <c r="O93" s="45">
        <v>29</v>
      </c>
      <c r="P93" s="46"/>
      <c r="Q93" s="46">
        <v>41</v>
      </c>
      <c r="R93" s="47">
        <f t="shared" si="27"/>
        <v>70</v>
      </c>
      <c r="S93" s="28">
        <v>3</v>
      </c>
      <c r="T93" s="284">
        <v>36240</v>
      </c>
      <c r="U93" s="293">
        <v>36265</v>
      </c>
      <c r="V93" s="37" t="s">
        <v>111</v>
      </c>
      <c r="W93" s="28" t="s">
        <v>20</v>
      </c>
      <c r="X93" s="28" t="s">
        <v>12</v>
      </c>
      <c r="Y93" s="38">
        <v>25.5</v>
      </c>
      <c r="Z93" s="37" t="s">
        <v>108</v>
      </c>
      <c r="AA93" s="28" t="s">
        <v>74</v>
      </c>
      <c r="AB93" s="28" t="s">
        <v>11</v>
      </c>
      <c r="AC93" s="38">
        <v>23</v>
      </c>
      <c r="AD93" s="37" t="s">
        <v>109</v>
      </c>
      <c r="AE93" s="28" t="s">
        <v>89</v>
      </c>
      <c r="AF93" s="28" t="s">
        <v>11</v>
      </c>
      <c r="AG93" s="38">
        <v>6</v>
      </c>
      <c r="AH93" s="28" t="s">
        <v>361</v>
      </c>
      <c r="AI93" s="28" t="s">
        <v>191</v>
      </c>
      <c r="AJ93" s="28" t="s">
        <v>12</v>
      </c>
      <c r="AK93" s="28">
        <v>10</v>
      </c>
      <c r="AL93" s="37" t="s">
        <v>362</v>
      </c>
      <c r="AM93" s="28" t="s">
        <v>216</v>
      </c>
      <c r="AN93" s="28" t="s">
        <v>12</v>
      </c>
      <c r="AO93" s="38">
        <v>5.5</v>
      </c>
      <c r="AP93" s="37"/>
      <c r="AS93" s="38"/>
      <c r="AW93" s="38"/>
      <c r="BA93" s="39"/>
    </row>
    <row r="94" spans="1:53" s="28" customFormat="1" x14ac:dyDescent="0.15">
      <c r="A94" s="28">
        <v>2000</v>
      </c>
      <c r="B94" s="293"/>
      <c r="C94" s="394" t="s">
        <v>363</v>
      </c>
      <c r="D94" s="394"/>
      <c r="E94" s="28">
        <v>0</v>
      </c>
      <c r="G94" s="65">
        <v>8</v>
      </c>
      <c r="I94" s="28">
        <v>9</v>
      </c>
      <c r="J94" s="72">
        <v>18</v>
      </c>
      <c r="K94" s="46">
        <f t="shared" si="28"/>
        <v>44.444444444444443</v>
      </c>
      <c r="L94" s="46">
        <f t="shared" si="29"/>
        <v>0</v>
      </c>
      <c r="M94" s="46">
        <f t="shared" si="30"/>
        <v>50</v>
      </c>
      <c r="N94" s="67">
        <f t="shared" si="26"/>
        <v>94.444444444444443</v>
      </c>
      <c r="O94" s="45">
        <v>29</v>
      </c>
      <c r="P94" s="46"/>
      <c r="Q94" s="46">
        <v>41</v>
      </c>
      <c r="R94" s="47">
        <f t="shared" si="27"/>
        <v>70</v>
      </c>
      <c r="S94" s="28">
        <v>3</v>
      </c>
      <c r="T94" s="284"/>
      <c r="U94" s="293"/>
      <c r="V94" s="37" t="s">
        <v>111</v>
      </c>
      <c r="W94" s="28" t="s">
        <v>20</v>
      </c>
      <c r="X94" s="28" t="s">
        <v>12</v>
      </c>
      <c r="Y94" s="38">
        <v>25.5</v>
      </c>
      <c r="Z94" s="37" t="s">
        <v>108</v>
      </c>
      <c r="AA94" s="28" t="s">
        <v>74</v>
      </c>
      <c r="AB94" s="28" t="s">
        <v>11</v>
      </c>
      <c r="AC94" s="38">
        <v>23</v>
      </c>
      <c r="AD94" s="37" t="s">
        <v>109</v>
      </c>
      <c r="AE94" s="28" t="s">
        <v>89</v>
      </c>
      <c r="AF94" s="28" t="s">
        <v>11</v>
      </c>
      <c r="AG94" s="38">
        <v>6</v>
      </c>
      <c r="AH94" s="28" t="s">
        <v>361</v>
      </c>
      <c r="AI94" s="28" t="s">
        <v>191</v>
      </c>
      <c r="AJ94" s="28" t="s">
        <v>12</v>
      </c>
      <c r="AK94" s="28">
        <v>10</v>
      </c>
      <c r="AL94" s="37" t="s">
        <v>362</v>
      </c>
      <c r="AM94" s="28" t="s">
        <v>216</v>
      </c>
      <c r="AN94" s="28" t="s">
        <v>12</v>
      </c>
      <c r="AO94" s="38">
        <v>5.5</v>
      </c>
      <c r="AP94" s="37"/>
      <c r="AS94" s="38"/>
      <c r="AW94" s="38"/>
      <c r="BA94" s="39"/>
    </row>
    <row r="95" spans="1:53" s="28" customFormat="1" x14ac:dyDescent="0.15">
      <c r="A95" s="28">
        <v>2000</v>
      </c>
      <c r="B95" s="293"/>
      <c r="C95" s="394" t="s">
        <v>363</v>
      </c>
      <c r="D95" s="394"/>
      <c r="E95" s="28">
        <v>366</v>
      </c>
      <c r="G95" s="65">
        <v>8</v>
      </c>
      <c r="I95" s="28">
        <v>9</v>
      </c>
      <c r="J95" s="72">
        <v>18</v>
      </c>
      <c r="K95" s="46">
        <f t="shared" si="28"/>
        <v>44.444444444444443</v>
      </c>
      <c r="L95" s="46">
        <f t="shared" si="29"/>
        <v>0</v>
      </c>
      <c r="M95" s="46">
        <f t="shared" si="30"/>
        <v>50</v>
      </c>
      <c r="N95" s="67">
        <f t="shared" si="26"/>
        <v>94.444444444444443</v>
      </c>
      <c r="O95" s="45">
        <v>29</v>
      </c>
      <c r="P95" s="46"/>
      <c r="Q95" s="46">
        <v>41</v>
      </c>
      <c r="R95" s="47">
        <f t="shared" si="27"/>
        <v>70</v>
      </c>
      <c r="S95" s="28">
        <v>3</v>
      </c>
      <c r="T95" s="284"/>
      <c r="U95" s="293"/>
      <c r="V95" s="37" t="s">
        <v>111</v>
      </c>
      <c r="W95" s="28" t="s">
        <v>20</v>
      </c>
      <c r="X95" s="28" t="s">
        <v>12</v>
      </c>
      <c r="Y95" s="38">
        <v>25.5</v>
      </c>
      <c r="Z95" s="37" t="s">
        <v>108</v>
      </c>
      <c r="AA95" s="28" t="s">
        <v>74</v>
      </c>
      <c r="AB95" s="28" t="s">
        <v>11</v>
      </c>
      <c r="AC95" s="38">
        <v>23</v>
      </c>
      <c r="AD95" s="37" t="s">
        <v>109</v>
      </c>
      <c r="AE95" s="28" t="s">
        <v>89</v>
      </c>
      <c r="AF95" s="28" t="s">
        <v>11</v>
      </c>
      <c r="AG95" s="38">
        <v>6</v>
      </c>
      <c r="AH95" s="28" t="s">
        <v>361</v>
      </c>
      <c r="AI95" s="28" t="s">
        <v>191</v>
      </c>
      <c r="AJ95" s="28" t="s">
        <v>12</v>
      </c>
      <c r="AK95" s="28">
        <v>10</v>
      </c>
      <c r="AL95" s="37" t="s">
        <v>362</v>
      </c>
      <c r="AM95" s="28" t="s">
        <v>216</v>
      </c>
      <c r="AN95" s="28" t="s">
        <v>12</v>
      </c>
      <c r="AO95" s="38">
        <v>5.5</v>
      </c>
      <c r="AP95" s="37"/>
      <c r="AS95" s="38"/>
      <c r="AW95" s="38"/>
      <c r="BA95" s="39"/>
    </row>
    <row r="96" spans="1:53" s="28" customFormat="1" x14ac:dyDescent="0.15">
      <c r="A96" s="28">
        <v>2001</v>
      </c>
      <c r="B96" s="293"/>
      <c r="C96" s="394" t="s">
        <v>363</v>
      </c>
      <c r="D96" s="394"/>
      <c r="E96" s="28">
        <v>0</v>
      </c>
      <c r="G96" s="65">
        <v>8</v>
      </c>
      <c r="I96" s="28">
        <v>9</v>
      </c>
      <c r="J96" s="72">
        <v>18</v>
      </c>
      <c r="K96" s="46">
        <f t="shared" si="28"/>
        <v>44.444444444444443</v>
      </c>
      <c r="L96" s="46">
        <f t="shared" si="29"/>
        <v>0</v>
      </c>
      <c r="M96" s="46">
        <f t="shared" si="30"/>
        <v>50</v>
      </c>
      <c r="N96" s="67">
        <f t="shared" si="26"/>
        <v>94.444444444444443</v>
      </c>
      <c r="O96" s="45">
        <v>29</v>
      </c>
      <c r="P96" s="46"/>
      <c r="Q96" s="46">
        <v>41</v>
      </c>
      <c r="R96" s="47">
        <f t="shared" si="27"/>
        <v>70</v>
      </c>
      <c r="S96" s="28">
        <v>3</v>
      </c>
      <c r="T96" s="284"/>
      <c r="U96" s="293"/>
      <c r="V96" s="37" t="s">
        <v>111</v>
      </c>
      <c r="W96" s="28" t="s">
        <v>20</v>
      </c>
      <c r="X96" s="28" t="s">
        <v>12</v>
      </c>
      <c r="Y96" s="38">
        <v>25.5</v>
      </c>
      <c r="Z96" s="37" t="s">
        <v>108</v>
      </c>
      <c r="AA96" s="28" t="s">
        <v>74</v>
      </c>
      <c r="AB96" s="28" t="s">
        <v>11</v>
      </c>
      <c r="AC96" s="38">
        <v>23</v>
      </c>
      <c r="AD96" s="37" t="s">
        <v>109</v>
      </c>
      <c r="AE96" s="28" t="s">
        <v>89</v>
      </c>
      <c r="AF96" s="28" t="s">
        <v>11</v>
      </c>
      <c r="AG96" s="38">
        <v>6</v>
      </c>
      <c r="AH96" s="28" t="s">
        <v>361</v>
      </c>
      <c r="AI96" s="28" t="s">
        <v>191</v>
      </c>
      <c r="AJ96" s="28" t="s">
        <v>12</v>
      </c>
      <c r="AK96" s="28">
        <v>10</v>
      </c>
      <c r="AL96" s="37" t="s">
        <v>362</v>
      </c>
      <c r="AM96" s="28" t="s">
        <v>216</v>
      </c>
      <c r="AN96" s="28" t="s">
        <v>12</v>
      </c>
      <c r="AO96" s="38">
        <v>5.5</v>
      </c>
      <c r="AP96" s="37"/>
      <c r="AS96" s="38"/>
      <c r="AW96" s="38"/>
      <c r="BA96" s="39"/>
    </row>
    <row r="97" spans="1:53" s="28" customFormat="1" x14ac:dyDescent="0.15">
      <c r="A97" s="28">
        <v>2001</v>
      </c>
      <c r="B97" s="293"/>
      <c r="C97" s="394" t="s">
        <v>363</v>
      </c>
      <c r="D97" s="394"/>
      <c r="E97" s="28">
        <f>365-E96</f>
        <v>365</v>
      </c>
      <c r="G97" s="65">
        <v>8</v>
      </c>
      <c r="I97" s="28">
        <v>9</v>
      </c>
      <c r="J97" s="72">
        <v>18</v>
      </c>
      <c r="K97" s="46">
        <f t="shared" si="28"/>
        <v>44.444444444444443</v>
      </c>
      <c r="L97" s="46">
        <f t="shared" si="29"/>
        <v>0</v>
      </c>
      <c r="M97" s="46">
        <f t="shared" si="30"/>
        <v>50</v>
      </c>
      <c r="N97" s="67">
        <f t="shared" si="26"/>
        <v>94.444444444444443</v>
      </c>
      <c r="O97" s="45">
        <v>29</v>
      </c>
      <c r="P97" s="46"/>
      <c r="Q97" s="46">
        <v>41</v>
      </c>
      <c r="R97" s="47">
        <f t="shared" si="27"/>
        <v>70</v>
      </c>
      <c r="S97" s="28">
        <v>3</v>
      </c>
      <c r="T97" s="284"/>
      <c r="U97" s="293"/>
      <c r="V97" s="37" t="s">
        <v>111</v>
      </c>
      <c r="W97" s="28" t="s">
        <v>20</v>
      </c>
      <c r="X97" s="28" t="s">
        <v>12</v>
      </c>
      <c r="Y97" s="38">
        <v>25.5</v>
      </c>
      <c r="Z97" s="37" t="s">
        <v>108</v>
      </c>
      <c r="AA97" s="28" t="s">
        <v>74</v>
      </c>
      <c r="AB97" s="28" t="s">
        <v>11</v>
      </c>
      <c r="AC97" s="38">
        <v>23</v>
      </c>
      <c r="AD97" s="37" t="s">
        <v>109</v>
      </c>
      <c r="AE97" s="28" t="s">
        <v>89</v>
      </c>
      <c r="AF97" s="28" t="s">
        <v>11</v>
      </c>
      <c r="AG97" s="38">
        <v>6</v>
      </c>
      <c r="AH97" s="28" t="s">
        <v>361</v>
      </c>
      <c r="AI97" s="28" t="s">
        <v>191</v>
      </c>
      <c r="AJ97" s="28" t="s">
        <v>12</v>
      </c>
      <c r="AK97" s="28">
        <v>10</v>
      </c>
      <c r="AL97" s="37" t="s">
        <v>362</v>
      </c>
      <c r="AM97" s="28" t="s">
        <v>216</v>
      </c>
      <c r="AN97" s="28" t="s">
        <v>12</v>
      </c>
      <c r="AO97" s="38">
        <v>5.5</v>
      </c>
      <c r="AP97" s="37"/>
      <c r="AS97" s="38"/>
      <c r="AW97" s="38"/>
      <c r="BA97" s="39"/>
    </row>
    <row r="98" spans="1:53" s="28" customFormat="1" x14ac:dyDescent="0.15">
      <c r="A98" s="28">
        <v>2002</v>
      </c>
      <c r="B98" s="293"/>
      <c r="C98" s="394" t="s">
        <v>363</v>
      </c>
      <c r="D98" s="394"/>
      <c r="E98" s="28">
        <v>108</v>
      </c>
      <c r="G98" s="65">
        <v>8</v>
      </c>
      <c r="I98" s="28">
        <v>9</v>
      </c>
      <c r="J98" s="72">
        <v>18</v>
      </c>
      <c r="K98" s="46">
        <f t="shared" si="28"/>
        <v>44.444444444444443</v>
      </c>
      <c r="L98" s="46">
        <f t="shared" si="29"/>
        <v>0</v>
      </c>
      <c r="M98" s="46">
        <f t="shared" si="30"/>
        <v>50</v>
      </c>
      <c r="N98" s="67">
        <f t="shared" si="26"/>
        <v>94.444444444444443</v>
      </c>
      <c r="O98" s="45">
        <v>29</v>
      </c>
      <c r="P98" s="46"/>
      <c r="Q98" s="46">
        <v>41</v>
      </c>
      <c r="R98" s="47">
        <f t="shared" si="27"/>
        <v>70</v>
      </c>
      <c r="S98" s="28">
        <v>3</v>
      </c>
      <c r="T98" s="284"/>
      <c r="U98" s="293"/>
      <c r="V98" s="37" t="s">
        <v>111</v>
      </c>
      <c r="W98" s="28" t="s">
        <v>20</v>
      </c>
      <c r="X98" s="28" t="s">
        <v>12</v>
      </c>
      <c r="Y98" s="38">
        <v>25.5</v>
      </c>
      <c r="Z98" s="37" t="s">
        <v>108</v>
      </c>
      <c r="AA98" s="28" t="s">
        <v>74</v>
      </c>
      <c r="AB98" s="28" t="s">
        <v>11</v>
      </c>
      <c r="AC98" s="38">
        <v>23</v>
      </c>
      <c r="AD98" s="37" t="s">
        <v>109</v>
      </c>
      <c r="AE98" s="28" t="s">
        <v>89</v>
      </c>
      <c r="AF98" s="28" t="s">
        <v>11</v>
      </c>
      <c r="AG98" s="38">
        <v>6</v>
      </c>
      <c r="AH98" s="28" t="s">
        <v>361</v>
      </c>
      <c r="AI98" s="28" t="s">
        <v>191</v>
      </c>
      <c r="AJ98" s="28" t="s">
        <v>12</v>
      </c>
      <c r="AK98" s="28">
        <v>10</v>
      </c>
      <c r="AL98" s="37" t="s">
        <v>362</v>
      </c>
      <c r="AM98" s="28" t="s">
        <v>216</v>
      </c>
      <c r="AN98" s="28" t="s">
        <v>12</v>
      </c>
      <c r="AO98" s="38">
        <v>5.5</v>
      </c>
      <c r="AP98" s="37"/>
      <c r="AS98" s="38"/>
      <c r="AW98" s="38"/>
      <c r="BA98" s="39"/>
    </row>
    <row r="99" spans="1:53" s="170" customFormat="1" x14ac:dyDescent="0.15">
      <c r="A99" s="170">
        <v>2002</v>
      </c>
      <c r="B99" s="281">
        <v>37365</v>
      </c>
      <c r="C99" s="395" t="s">
        <v>364</v>
      </c>
      <c r="D99" s="395"/>
      <c r="E99" s="170">
        <v>42</v>
      </c>
      <c r="F99" s="170">
        <v>4</v>
      </c>
      <c r="G99" s="232">
        <v>9</v>
      </c>
      <c r="I99" s="170">
        <v>8</v>
      </c>
      <c r="J99" s="240">
        <v>18</v>
      </c>
      <c r="K99" s="213">
        <f>G99/J99*100</f>
        <v>50</v>
      </c>
      <c r="L99" s="213">
        <f>H99/J99*100</f>
        <v>0</v>
      </c>
      <c r="M99" s="213">
        <f>I99/J99*100</f>
        <v>44.444444444444443</v>
      </c>
      <c r="N99" s="234">
        <f>SUM(K99:M99)</f>
        <v>94.444444444444443</v>
      </c>
      <c r="O99" s="212">
        <v>29</v>
      </c>
      <c r="P99" s="213"/>
      <c r="Q99" s="213">
        <v>35.5</v>
      </c>
      <c r="R99" s="214">
        <f>SUM(O99:Q99)</f>
        <v>64.5</v>
      </c>
      <c r="S99" s="170">
        <v>3</v>
      </c>
      <c r="T99" s="283"/>
      <c r="U99" s="281">
        <v>37365</v>
      </c>
      <c r="V99" s="177" t="s">
        <v>111</v>
      </c>
      <c r="W99" s="170" t="s">
        <v>20</v>
      </c>
      <c r="X99" s="170" t="s">
        <v>12</v>
      </c>
      <c r="Y99" s="178">
        <v>25.5</v>
      </c>
      <c r="Z99" s="177" t="s">
        <v>108</v>
      </c>
      <c r="AA99" s="170" t="s">
        <v>74</v>
      </c>
      <c r="AB99" s="170" t="s">
        <v>11</v>
      </c>
      <c r="AC99" s="178">
        <v>23</v>
      </c>
      <c r="AD99" s="177" t="s">
        <v>109</v>
      </c>
      <c r="AE99" s="170" t="s">
        <v>89</v>
      </c>
      <c r="AF99" s="170" t="s">
        <v>11</v>
      </c>
      <c r="AG99" s="178">
        <v>6</v>
      </c>
      <c r="AH99" s="170" t="s">
        <v>361</v>
      </c>
      <c r="AI99" s="170" t="s">
        <v>191</v>
      </c>
      <c r="AJ99" s="170" t="s">
        <v>12</v>
      </c>
      <c r="AK99" s="170">
        <v>10</v>
      </c>
      <c r="AL99" s="177"/>
      <c r="AO99" s="178"/>
      <c r="AP99" s="177"/>
      <c r="AS99" s="178"/>
      <c r="AW99" s="178"/>
      <c r="BA99" s="179"/>
    </row>
    <row r="100" spans="1:53" s="170" customFormat="1" x14ac:dyDescent="0.15">
      <c r="A100" s="170">
        <v>2002</v>
      </c>
      <c r="B100" s="303">
        <v>37407</v>
      </c>
      <c r="C100" s="395" t="s">
        <v>364</v>
      </c>
      <c r="D100" s="395"/>
      <c r="E100" s="170">
        <v>215</v>
      </c>
      <c r="F100" s="243">
        <v>0</v>
      </c>
      <c r="G100" s="232">
        <v>10</v>
      </c>
      <c r="I100" s="170">
        <v>8</v>
      </c>
      <c r="J100" s="240">
        <v>18</v>
      </c>
      <c r="K100" s="213">
        <f t="shared" si="28"/>
        <v>55.555555555555557</v>
      </c>
      <c r="L100" s="213">
        <f t="shared" si="29"/>
        <v>0</v>
      </c>
      <c r="M100" s="213">
        <f t="shared" si="30"/>
        <v>44.444444444444443</v>
      </c>
      <c r="N100" s="234">
        <f t="shared" si="26"/>
        <v>100</v>
      </c>
      <c r="O100" s="212">
        <v>29</v>
      </c>
      <c r="P100" s="213"/>
      <c r="Q100" s="213">
        <v>35.5</v>
      </c>
      <c r="R100" s="214">
        <f t="shared" si="27"/>
        <v>64.5</v>
      </c>
      <c r="S100" s="170">
        <v>3</v>
      </c>
      <c r="T100" s="283"/>
      <c r="U100" s="281"/>
      <c r="V100" s="177" t="s">
        <v>111</v>
      </c>
      <c r="W100" s="170" t="s">
        <v>20</v>
      </c>
      <c r="X100" s="170" t="s">
        <v>12</v>
      </c>
      <c r="Y100" s="178">
        <v>25.5</v>
      </c>
      <c r="Z100" s="177" t="s">
        <v>108</v>
      </c>
      <c r="AA100" s="170" t="s">
        <v>74</v>
      </c>
      <c r="AB100" s="170" t="s">
        <v>11</v>
      </c>
      <c r="AC100" s="178">
        <v>23</v>
      </c>
      <c r="AD100" s="177" t="s">
        <v>109</v>
      </c>
      <c r="AE100" s="170" t="s">
        <v>89</v>
      </c>
      <c r="AF100" s="170" t="s">
        <v>11</v>
      </c>
      <c r="AG100" s="178">
        <v>6</v>
      </c>
      <c r="AH100" s="170" t="s">
        <v>361</v>
      </c>
      <c r="AI100" s="170" t="s">
        <v>191</v>
      </c>
      <c r="AJ100" s="170" t="s">
        <v>12</v>
      </c>
      <c r="AK100" s="170">
        <v>10</v>
      </c>
      <c r="AL100" s="177"/>
      <c r="AO100" s="178"/>
      <c r="AP100" s="177"/>
      <c r="AS100" s="178"/>
      <c r="AW100" s="178"/>
      <c r="BA100" s="179"/>
    </row>
    <row r="101" spans="1:53" s="170" customFormat="1" x14ac:dyDescent="0.15">
      <c r="A101" s="170">
        <v>2003</v>
      </c>
      <c r="B101" s="281"/>
      <c r="C101" s="395" t="s">
        <v>364</v>
      </c>
      <c r="D101" s="395"/>
      <c r="E101" s="170">
        <v>106</v>
      </c>
      <c r="G101" s="232">
        <v>10</v>
      </c>
      <c r="I101" s="170">
        <v>8</v>
      </c>
      <c r="J101" s="240">
        <v>18</v>
      </c>
      <c r="K101" s="213">
        <f t="shared" si="28"/>
        <v>55.555555555555557</v>
      </c>
      <c r="L101" s="213">
        <f t="shared" si="29"/>
        <v>0</v>
      </c>
      <c r="M101" s="213">
        <f t="shared" si="30"/>
        <v>44.444444444444443</v>
      </c>
      <c r="N101" s="234">
        <f t="shared" si="26"/>
        <v>100</v>
      </c>
      <c r="O101" s="212">
        <v>29</v>
      </c>
      <c r="P101" s="213"/>
      <c r="Q101" s="213">
        <v>35.5</v>
      </c>
      <c r="R101" s="214">
        <f t="shared" si="27"/>
        <v>64.5</v>
      </c>
      <c r="S101" s="170">
        <v>3</v>
      </c>
      <c r="T101" s="283"/>
      <c r="U101" s="281"/>
      <c r="V101" s="177" t="s">
        <v>111</v>
      </c>
      <c r="W101" s="170" t="s">
        <v>20</v>
      </c>
      <c r="X101" s="170" t="s">
        <v>12</v>
      </c>
      <c r="Y101" s="178">
        <v>25.5</v>
      </c>
      <c r="Z101" s="177" t="s">
        <v>108</v>
      </c>
      <c r="AA101" s="170" t="s">
        <v>74</v>
      </c>
      <c r="AB101" s="170" t="s">
        <v>11</v>
      </c>
      <c r="AC101" s="178">
        <v>23</v>
      </c>
      <c r="AD101" s="177" t="s">
        <v>109</v>
      </c>
      <c r="AE101" s="170" t="s">
        <v>89</v>
      </c>
      <c r="AF101" s="170" t="s">
        <v>11</v>
      </c>
      <c r="AG101" s="178">
        <v>6</v>
      </c>
      <c r="AH101" s="170" t="s">
        <v>361</v>
      </c>
      <c r="AI101" s="170" t="s">
        <v>191</v>
      </c>
      <c r="AJ101" s="170" t="s">
        <v>12</v>
      </c>
      <c r="AK101" s="170">
        <v>10</v>
      </c>
      <c r="AL101" s="177"/>
      <c r="AO101" s="178"/>
      <c r="AP101" s="177"/>
      <c r="AS101" s="178"/>
      <c r="AW101" s="178"/>
      <c r="BA101" s="179"/>
    </row>
    <row r="102" spans="1:53" s="28" customFormat="1" x14ac:dyDescent="0.15">
      <c r="A102" s="28">
        <v>2003</v>
      </c>
      <c r="B102" s="293">
        <v>37728</v>
      </c>
      <c r="C102" s="394" t="s">
        <v>365</v>
      </c>
      <c r="D102" s="394"/>
      <c r="E102" s="28">
        <v>68</v>
      </c>
      <c r="F102" s="28">
        <v>1</v>
      </c>
      <c r="G102" s="65">
        <v>2</v>
      </c>
      <c r="H102" s="28">
        <v>8</v>
      </c>
      <c r="I102" s="28">
        <v>8</v>
      </c>
      <c r="J102" s="72">
        <v>18</v>
      </c>
      <c r="K102" s="46">
        <f>G102/J102*100</f>
        <v>11.111111111111111</v>
      </c>
      <c r="L102" s="46">
        <f>H102/J102*100</f>
        <v>44.444444444444443</v>
      </c>
      <c r="M102" s="46">
        <f>I102/J102*100</f>
        <v>44.444444444444443</v>
      </c>
      <c r="N102" s="67">
        <f>SUM(K102:M102)</f>
        <v>100</v>
      </c>
      <c r="O102" s="45">
        <v>4.5</v>
      </c>
      <c r="P102" s="46">
        <v>27.5</v>
      </c>
      <c r="Q102" s="46">
        <v>26.5</v>
      </c>
      <c r="R102" s="47">
        <f>SUM(O102:Q102)</f>
        <v>58.5</v>
      </c>
      <c r="S102" s="28">
        <v>3</v>
      </c>
      <c r="T102" s="284">
        <v>37696</v>
      </c>
      <c r="U102" s="293">
        <v>37728</v>
      </c>
      <c r="V102" s="37" t="s">
        <v>107</v>
      </c>
      <c r="W102" s="28" t="s">
        <v>869</v>
      </c>
      <c r="X102" s="28" t="s">
        <v>18</v>
      </c>
      <c r="Y102" s="38">
        <v>27.5</v>
      </c>
      <c r="Z102" s="28" t="s">
        <v>111</v>
      </c>
      <c r="AA102" s="28" t="s">
        <v>20</v>
      </c>
      <c r="AB102" s="28" t="s">
        <v>12</v>
      </c>
      <c r="AC102" s="28">
        <v>26.5</v>
      </c>
      <c r="AD102" s="37" t="s">
        <v>109</v>
      </c>
      <c r="AE102" s="28" t="s">
        <v>89</v>
      </c>
      <c r="AF102" s="28" t="s">
        <v>11</v>
      </c>
      <c r="AG102" s="38">
        <v>4.5</v>
      </c>
      <c r="AL102" s="37"/>
      <c r="AO102" s="38"/>
      <c r="AP102" s="37"/>
      <c r="AS102" s="38"/>
      <c r="AW102" s="38"/>
      <c r="BA102" s="39"/>
    </row>
    <row r="103" spans="1:53" s="170" customFormat="1" x14ac:dyDescent="0.15">
      <c r="A103" s="170">
        <v>2003</v>
      </c>
      <c r="B103" s="281">
        <v>37796</v>
      </c>
      <c r="C103" s="395" t="s">
        <v>366</v>
      </c>
      <c r="D103" s="395"/>
      <c r="E103" s="170">
        <v>191</v>
      </c>
      <c r="F103" s="170">
        <v>2</v>
      </c>
      <c r="G103" s="232">
        <v>2</v>
      </c>
      <c r="H103" s="170">
        <v>8</v>
      </c>
      <c r="I103" s="170">
        <v>8</v>
      </c>
      <c r="J103" s="240">
        <v>18</v>
      </c>
      <c r="K103" s="213">
        <f t="shared" si="28"/>
        <v>11.111111111111111</v>
      </c>
      <c r="L103" s="213">
        <f t="shared" si="29"/>
        <v>44.444444444444443</v>
      </c>
      <c r="M103" s="213">
        <f t="shared" si="30"/>
        <v>44.444444444444443</v>
      </c>
      <c r="N103" s="234">
        <f t="shared" si="26"/>
        <v>100</v>
      </c>
      <c r="O103" s="212">
        <v>4.5</v>
      </c>
      <c r="P103" s="213">
        <v>27.5</v>
      </c>
      <c r="Q103" s="213">
        <v>26.5</v>
      </c>
      <c r="R103" s="214">
        <f t="shared" si="27"/>
        <v>58.5</v>
      </c>
      <c r="S103" s="170">
        <v>3</v>
      </c>
      <c r="T103" s="283"/>
      <c r="U103" s="281">
        <v>37796</v>
      </c>
      <c r="V103" s="177" t="s">
        <v>107</v>
      </c>
      <c r="W103" s="170" t="s">
        <v>869</v>
      </c>
      <c r="X103" s="170" t="s">
        <v>18</v>
      </c>
      <c r="Y103" s="178">
        <v>27.5</v>
      </c>
      <c r="Z103" s="170" t="s">
        <v>111</v>
      </c>
      <c r="AA103" s="170" t="s">
        <v>20</v>
      </c>
      <c r="AB103" s="170" t="s">
        <v>12</v>
      </c>
      <c r="AC103" s="170">
        <v>26.5</v>
      </c>
      <c r="AD103" s="177" t="s">
        <v>109</v>
      </c>
      <c r="AE103" s="170" t="s">
        <v>89</v>
      </c>
      <c r="AF103" s="170" t="s">
        <v>11</v>
      </c>
      <c r="AG103" s="178">
        <v>4.5</v>
      </c>
      <c r="AL103" s="177"/>
      <c r="AO103" s="178"/>
      <c r="AP103" s="177"/>
      <c r="AS103" s="178"/>
      <c r="AW103" s="178"/>
      <c r="BA103" s="179"/>
    </row>
    <row r="104" spans="1:53" s="170" customFormat="1" x14ac:dyDescent="0.15">
      <c r="A104" s="170">
        <v>2004</v>
      </c>
      <c r="B104" s="281"/>
      <c r="C104" s="395" t="s">
        <v>366</v>
      </c>
      <c r="D104" s="395"/>
      <c r="E104" s="170">
        <v>0</v>
      </c>
      <c r="G104" s="232">
        <v>2</v>
      </c>
      <c r="H104" s="170">
        <v>8</v>
      </c>
      <c r="I104" s="170">
        <v>8</v>
      </c>
      <c r="J104" s="240">
        <v>18</v>
      </c>
      <c r="K104" s="213">
        <f t="shared" si="28"/>
        <v>11.111111111111111</v>
      </c>
      <c r="L104" s="213">
        <f t="shared" si="29"/>
        <v>44.444444444444443</v>
      </c>
      <c r="M104" s="213">
        <f t="shared" si="30"/>
        <v>44.444444444444443</v>
      </c>
      <c r="N104" s="234">
        <f t="shared" si="26"/>
        <v>100</v>
      </c>
      <c r="O104" s="212">
        <v>4.5</v>
      </c>
      <c r="P104" s="213">
        <v>27.5</v>
      </c>
      <c r="Q104" s="213">
        <v>26.5</v>
      </c>
      <c r="R104" s="214">
        <f t="shared" si="27"/>
        <v>58.5</v>
      </c>
      <c r="S104" s="170">
        <v>3</v>
      </c>
      <c r="T104" s="283"/>
      <c r="U104" s="281"/>
      <c r="V104" s="177" t="s">
        <v>107</v>
      </c>
      <c r="W104" s="170" t="s">
        <v>869</v>
      </c>
      <c r="X104" s="170" t="s">
        <v>18</v>
      </c>
      <c r="Y104" s="178">
        <v>27.5</v>
      </c>
      <c r="Z104" s="170" t="s">
        <v>111</v>
      </c>
      <c r="AA104" s="170" t="s">
        <v>20</v>
      </c>
      <c r="AB104" s="170" t="s">
        <v>12</v>
      </c>
      <c r="AC104" s="170">
        <v>26.5</v>
      </c>
      <c r="AD104" s="177" t="s">
        <v>109</v>
      </c>
      <c r="AE104" s="170" t="s">
        <v>89</v>
      </c>
      <c r="AF104" s="170" t="s">
        <v>11</v>
      </c>
      <c r="AG104" s="178">
        <v>4.5</v>
      </c>
      <c r="AL104" s="177"/>
      <c r="AO104" s="178"/>
      <c r="AP104" s="177"/>
      <c r="AS104" s="178"/>
      <c r="AW104" s="178"/>
      <c r="BA104" s="179"/>
    </row>
    <row r="105" spans="1:53" s="170" customFormat="1" x14ac:dyDescent="0.15">
      <c r="A105" s="170">
        <v>2004</v>
      </c>
      <c r="B105" s="281"/>
      <c r="C105" s="395" t="s">
        <v>366</v>
      </c>
      <c r="D105" s="395"/>
      <c r="E105" s="170">
        <v>366</v>
      </c>
      <c r="G105" s="232">
        <v>2</v>
      </c>
      <c r="H105" s="170">
        <v>8</v>
      </c>
      <c r="I105" s="170">
        <v>8</v>
      </c>
      <c r="J105" s="240">
        <v>18</v>
      </c>
      <c r="K105" s="213">
        <f t="shared" si="28"/>
        <v>11.111111111111111</v>
      </c>
      <c r="L105" s="213">
        <f t="shared" si="29"/>
        <v>44.444444444444443</v>
      </c>
      <c r="M105" s="213">
        <f t="shared" si="30"/>
        <v>44.444444444444443</v>
      </c>
      <c r="N105" s="234">
        <f t="shared" si="26"/>
        <v>100</v>
      </c>
      <c r="O105" s="212">
        <v>4.5</v>
      </c>
      <c r="P105" s="213">
        <v>27.5</v>
      </c>
      <c r="Q105" s="213">
        <v>26.5</v>
      </c>
      <c r="R105" s="214">
        <f t="shared" si="27"/>
        <v>58.5</v>
      </c>
      <c r="S105" s="170">
        <v>3</v>
      </c>
      <c r="T105" s="283"/>
      <c r="U105" s="281"/>
      <c r="V105" s="177" t="s">
        <v>107</v>
      </c>
      <c r="W105" s="170" t="s">
        <v>869</v>
      </c>
      <c r="X105" s="170" t="s">
        <v>18</v>
      </c>
      <c r="Y105" s="178">
        <v>27.5</v>
      </c>
      <c r="Z105" s="170" t="s">
        <v>111</v>
      </c>
      <c r="AA105" s="170" t="s">
        <v>20</v>
      </c>
      <c r="AB105" s="170" t="s">
        <v>12</v>
      </c>
      <c r="AC105" s="170">
        <v>26.5</v>
      </c>
      <c r="AD105" s="177" t="s">
        <v>109</v>
      </c>
      <c r="AE105" s="170" t="s">
        <v>89</v>
      </c>
      <c r="AF105" s="170" t="s">
        <v>11</v>
      </c>
      <c r="AG105" s="178">
        <v>4.5</v>
      </c>
      <c r="AL105" s="177"/>
      <c r="AO105" s="178"/>
      <c r="AP105" s="177"/>
      <c r="AS105" s="178"/>
      <c r="AW105" s="178"/>
      <c r="BA105" s="179"/>
    </row>
    <row r="106" spans="1:53" s="170" customFormat="1" x14ac:dyDescent="0.15">
      <c r="A106" s="170">
        <v>2005</v>
      </c>
      <c r="B106" s="281"/>
      <c r="C106" s="395" t="s">
        <v>366</v>
      </c>
      <c r="D106" s="395"/>
      <c r="E106" s="170">
        <v>0</v>
      </c>
      <c r="G106" s="232">
        <v>2</v>
      </c>
      <c r="H106" s="170">
        <v>8</v>
      </c>
      <c r="I106" s="170">
        <v>8</v>
      </c>
      <c r="J106" s="240">
        <v>18</v>
      </c>
      <c r="K106" s="213">
        <f t="shared" si="28"/>
        <v>11.111111111111111</v>
      </c>
      <c r="L106" s="213">
        <f t="shared" si="29"/>
        <v>44.444444444444443</v>
      </c>
      <c r="M106" s="213">
        <f t="shared" si="30"/>
        <v>44.444444444444443</v>
      </c>
      <c r="N106" s="234">
        <f t="shared" si="26"/>
        <v>100</v>
      </c>
      <c r="O106" s="212">
        <v>4.5</v>
      </c>
      <c r="P106" s="213">
        <v>27.5</v>
      </c>
      <c r="Q106" s="213">
        <v>26.5</v>
      </c>
      <c r="R106" s="214">
        <f t="shared" si="27"/>
        <v>58.5</v>
      </c>
      <c r="S106" s="170">
        <v>3</v>
      </c>
      <c r="T106" s="283"/>
      <c r="U106" s="281"/>
      <c r="V106" s="177" t="s">
        <v>107</v>
      </c>
      <c r="W106" s="170" t="s">
        <v>869</v>
      </c>
      <c r="X106" s="170" t="s">
        <v>18</v>
      </c>
      <c r="Y106" s="178">
        <v>27.5</v>
      </c>
      <c r="Z106" s="170" t="s">
        <v>111</v>
      </c>
      <c r="AA106" s="170" t="s">
        <v>20</v>
      </c>
      <c r="AB106" s="170" t="s">
        <v>12</v>
      </c>
      <c r="AC106" s="170">
        <v>26.5</v>
      </c>
      <c r="AD106" s="177" t="s">
        <v>109</v>
      </c>
      <c r="AE106" s="170" t="s">
        <v>89</v>
      </c>
      <c r="AF106" s="170" t="s">
        <v>11</v>
      </c>
      <c r="AG106" s="178">
        <v>4.5</v>
      </c>
      <c r="AL106" s="177"/>
      <c r="AO106" s="178"/>
      <c r="AP106" s="177"/>
      <c r="AS106" s="178"/>
      <c r="AW106" s="178"/>
      <c r="BA106" s="179"/>
    </row>
    <row r="107" spans="1:53" s="170" customFormat="1" x14ac:dyDescent="0.15">
      <c r="A107" s="170">
        <v>2005</v>
      </c>
      <c r="B107" s="281"/>
      <c r="C107" s="395" t="s">
        <v>366</v>
      </c>
      <c r="D107" s="395"/>
      <c r="E107" s="170">
        <f>365-E106</f>
        <v>365</v>
      </c>
      <c r="G107" s="232">
        <v>2</v>
      </c>
      <c r="H107" s="170">
        <v>8</v>
      </c>
      <c r="I107" s="170">
        <v>8</v>
      </c>
      <c r="J107" s="240">
        <v>18</v>
      </c>
      <c r="K107" s="213">
        <f t="shared" si="28"/>
        <v>11.111111111111111</v>
      </c>
      <c r="L107" s="213">
        <f t="shared" si="29"/>
        <v>44.444444444444443</v>
      </c>
      <c r="M107" s="213">
        <f t="shared" si="30"/>
        <v>44.444444444444443</v>
      </c>
      <c r="N107" s="234">
        <f t="shared" si="26"/>
        <v>100</v>
      </c>
      <c r="O107" s="212">
        <v>4.5</v>
      </c>
      <c r="P107" s="213">
        <v>27.5</v>
      </c>
      <c r="Q107" s="213">
        <v>26.5</v>
      </c>
      <c r="R107" s="214">
        <f t="shared" si="27"/>
        <v>58.5</v>
      </c>
      <c r="S107" s="170">
        <v>3</v>
      </c>
      <c r="T107" s="283"/>
      <c r="U107" s="281"/>
      <c r="V107" s="177" t="s">
        <v>107</v>
      </c>
      <c r="W107" s="170" t="s">
        <v>869</v>
      </c>
      <c r="X107" s="170" t="s">
        <v>18</v>
      </c>
      <c r="Y107" s="178">
        <v>27.5</v>
      </c>
      <c r="Z107" s="170" t="s">
        <v>111</v>
      </c>
      <c r="AA107" s="170" t="s">
        <v>20</v>
      </c>
      <c r="AB107" s="170" t="s">
        <v>12</v>
      </c>
      <c r="AC107" s="170">
        <v>26.5</v>
      </c>
      <c r="AD107" s="177" t="s">
        <v>109</v>
      </c>
      <c r="AE107" s="170" t="s">
        <v>89</v>
      </c>
      <c r="AF107" s="170" t="s">
        <v>11</v>
      </c>
      <c r="AG107" s="178">
        <v>4.5</v>
      </c>
      <c r="AL107" s="177"/>
      <c r="AO107" s="178"/>
      <c r="AP107" s="177"/>
      <c r="AS107" s="178"/>
      <c r="AW107" s="178"/>
      <c r="BA107" s="179"/>
    </row>
    <row r="108" spans="1:53" s="170" customFormat="1" x14ac:dyDescent="0.15">
      <c r="A108" s="170">
        <v>2006</v>
      </c>
      <c r="B108" s="281"/>
      <c r="C108" s="395" t="s">
        <v>366</v>
      </c>
      <c r="D108" s="395"/>
      <c r="E108" s="170">
        <v>0</v>
      </c>
      <c r="G108" s="232">
        <v>2</v>
      </c>
      <c r="H108" s="170">
        <v>8</v>
      </c>
      <c r="I108" s="170">
        <v>8</v>
      </c>
      <c r="J108" s="240">
        <v>18</v>
      </c>
      <c r="K108" s="213">
        <f t="shared" ref="K108:K117" si="31">G108/J108*100</f>
        <v>11.111111111111111</v>
      </c>
      <c r="L108" s="213">
        <f t="shared" ref="L108:L117" si="32">H108/J108*100</f>
        <v>44.444444444444443</v>
      </c>
      <c r="M108" s="213">
        <f t="shared" ref="M108:M117" si="33">I108/J108*100</f>
        <v>44.444444444444443</v>
      </c>
      <c r="N108" s="234">
        <f t="shared" si="26"/>
        <v>100</v>
      </c>
      <c r="O108" s="212">
        <v>4.5</v>
      </c>
      <c r="P108" s="213">
        <v>27.5</v>
      </c>
      <c r="Q108" s="213">
        <v>26.5</v>
      </c>
      <c r="R108" s="214">
        <f t="shared" si="27"/>
        <v>58.5</v>
      </c>
      <c r="S108" s="170">
        <v>3</v>
      </c>
      <c r="T108" s="283"/>
      <c r="U108" s="281"/>
      <c r="V108" s="177" t="s">
        <v>107</v>
      </c>
      <c r="W108" s="170" t="s">
        <v>869</v>
      </c>
      <c r="X108" s="170" t="s">
        <v>18</v>
      </c>
      <c r="Y108" s="178">
        <v>27.5</v>
      </c>
      <c r="Z108" s="170" t="s">
        <v>111</v>
      </c>
      <c r="AA108" s="170" t="s">
        <v>20</v>
      </c>
      <c r="AB108" s="170" t="s">
        <v>12</v>
      </c>
      <c r="AC108" s="170">
        <v>26.5</v>
      </c>
      <c r="AD108" s="177" t="s">
        <v>109</v>
      </c>
      <c r="AE108" s="170" t="s">
        <v>89</v>
      </c>
      <c r="AF108" s="170" t="s">
        <v>11</v>
      </c>
      <c r="AG108" s="178">
        <v>4.5</v>
      </c>
      <c r="AL108" s="177"/>
      <c r="AO108" s="178"/>
      <c r="AP108" s="177"/>
      <c r="AS108" s="178"/>
      <c r="AW108" s="178"/>
      <c r="BA108" s="179"/>
    </row>
    <row r="109" spans="1:53" s="170" customFormat="1" x14ac:dyDescent="0.15">
      <c r="A109" s="170">
        <v>2006</v>
      </c>
      <c r="B109" s="281"/>
      <c r="C109" s="395" t="s">
        <v>366</v>
      </c>
      <c r="D109" s="395"/>
      <c r="E109" s="170">
        <v>365</v>
      </c>
      <c r="G109" s="232">
        <v>2</v>
      </c>
      <c r="H109" s="170">
        <v>8</v>
      </c>
      <c r="I109" s="170">
        <v>8</v>
      </c>
      <c r="J109" s="240">
        <v>18</v>
      </c>
      <c r="K109" s="213">
        <f t="shared" si="31"/>
        <v>11.111111111111111</v>
      </c>
      <c r="L109" s="213">
        <f t="shared" si="32"/>
        <v>44.444444444444443</v>
      </c>
      <c r="M109" s="213">
        <f t="shared" si="33"/>
        <v>44.444444444444443</v>
      </c>
      <c r="N109" s="234">
        <f t="shared" si="26"/>
        <v>100</v>
      </c>
      <c r="O109" s="212">
        <v>4.5</v>
      </c>
      <c r="P109" s="213">
        <v>27.5</v>
      </c>
      <c r="Q109" s="213">
        <v>26.5</v>
      </c>
      <c r="R109" s="214">
        <f t="shared" si="27"/>
        <v>58.5</v>
      </c>
      <c r="S109" s="170">
        <v>3</v>
      </c>
      <c r="T109" s="283"/>
      <c r="U109" s="281"/>
      <c r="V109" s="177" t="s">
        <v>107</v>
      </c>
      <c r="W109" s="170" t="s">
        <v>869</v>
      </c>
      <c r="X109" s="170" t="s">
        <v>18</v>
      </c>
      <c r="Y109" s="178">
        <v>27.5</v>
      </c>
      <c r="Z109" s="170" t="s">
        <v>111</v>
      </c>
      <c r="AA109" s="170" t="s">
        <v>20</v>
      </c>
      <c r="AB109" s="170" t="s">
        <v>12</v>
      </c>
      <c r="AC109" s="170">
        <v>26.5</v>
      </c>
      <c r="AD109" s="177" t="s">
        <v>109</v>
      </c>
      <c r="AE109" s="170" t="s">
        <v>89</v>
      </c>
      <c r="AF109" s="170" t="s">
        <v>11</v>
      </c>
      <c r="AG109" s="178">
        <v>4.5</v>
      </c>
      <c r="AL109" s="177"/>
      <c r="AO109" s="178"/>
      <c r="AP109" s="177"/>
      <c r="AS109" s="178"/>
      <c r="AW109" s="178"/>
      <c r="BA109" s="179"/>
    </row>
    <row r="110" spans="1:53" s="170" customFormat="1" x14ac:dyDescent="0.15">
      <c r="A110" s="170">
        <v>2007</v>
      </c>
      <c r="B110" s="281"/>
      <c r="C110" s="395" t="s">
        <v>366</v>
      </c>
      <c r="D110" s="395"/>
      <c r="E110" s="170">
        <v>108</v>
      </c>
      <c r="G110" s="232">
        <v>2</v>
      </c>
      <c r="H110" s="170">
        <v>8</v>
      </c>
      <c r="I110" s="170">
        <v>8</v>
      </c>
      <c r="J110" s="240">
        <v>18</v>
      </c>
      <c r="K110" s="213">
        <f t="shared" si="31"/>
        <v>11.111111111111111</v>
      </c>
      <c r="L110" s="213">
        <f t="shared" si="32"/>
        <v>44.444444444444443</v>
      </c>
      <c r="M110" s="213">
        <f t="shared" si="33"/>
        <v>44.444444444444443</v>
      </c>
      <c r="N110" s="234">
        <f t="shared" si="26"/>
        <v>100</v>
      </c>
      <c r="O110" s="212">
        <v>4.5</v>
      </c>
      <c r="P110" s="213">
        <v>27.5</v>
      </c>
      <c r="Q110" s="213">
        <v>26.5</v>
      </c>
      <c r="R110" s="214">
        <f t="shared" si="27"/>
        <v>58.5</v>
      </c>
      <c r="S110" s="170">
        <v>3</v>
      </c>
      <c r="T110" s="283"/>
      <c r="U110" s="281"/>
      <c r="V110" s="177" t="s">
        <v>107</v>
      </c>
      <c r="W110" s="170" t="s">
        <v>869</v>
      </c>
      <c r="X110" s="170" t="s">
        <v>18</v>
      </c>
      <c r="Y110" s="178">
        <v>27.5</v>
      </c>
      <c r="Z110" s="170" t="s">
        <v>111</v>
      </c>
      <c r="AA110" s="170" t="s">
        <v>20</v>
      </c>
      <c r="AB110" s="170" t="s">
        <v>12</v>
      </c>
      <c r="AC110" s="170">
        <v>26.5</v>
      </c>
      <c r="AD110" s="177" t="s">
        <v>109</v>
      </c>
      <c r="AE110" s="170" t="s">
        <v>89</v>
      </c>
      <c r="AF110" s="170" t="s">
        <v>11</v>
      </c>
      <c r="AG110" s="178">
        <v>4.5</v>
      </c>
      <c r="AL110" s="177"/>
      <c r="AO110" s="178"/>
      <c r="AP110" s="177"/>
      <c r="AS110" s="178"/>
      <c r="AW110" s="178"/>
      <c r="BA110" s="179"/>
    </row>
    <row r="111" spans="1:53" s="28" customFormat="1" x14ac:dyDescent="0.15">
      <c r="A111" s="28">
        <v>2007</v>
      </c>
      <c r="B111" s="293">
        <v>39191</v>
      </c>
      <c r="C111" s="394" t="s">
        <v>367</v>
      </c>
      <c r="D111" s="394"/>
      <c r="E111" s="28">
        <f>365-E110</f>
        <v>257</v>
      </c>
      <c r="F111" s="28">
        <v>1</v>
      </c>
      <c r="G111" s="65">
        <v>10</v>
      </c>
      <c r="H111" s="28">
        <v>8</v>
      </c>
      <c r="I111" s="28">
        <v>2</v>
      </c>
      <c r="J111" s="72">
        <v>20</v>
      </c>
      <c r="K111" s="46">
        <f t="shared" si="31"/>
        <v>50</v>
      </c>
      <c r="L111" s="46">
        <f t="shared" si="32"/>
        <v>40</v>
      </c>
      <c r="M111" s="46">
        <f t="shared" si="33"/>
        <v>10</v>
      </c>
      <c r="N111" s="67">
        <f t="shared" si="26"/>
        <v>100</v>
      </c>
      <c r="O111" s="45">
        <v>30</v>
      </c>
      <c r="P111" s="46">
        <v>25.5</v>
      </c>
      <c r="Q111" s="46">
        <v>7.5</v>
      </c>
      <c r="R111" s="47">
        <f t="shared" si="27"/>
        <v>63</v>
      </c>
      <c r="S111" s="28">
        <v>3</v>
      </c>
      <c r="T111" s="284">
        <v>39159</v>
      </c>
      <c r="U111" s="293">
        <v>39191</v>
      </c>
      <c r="V111" s="37" t="s">
        <v>107</v>
      </c>
      <c r="W111" s="28" t="s">
        <v>869</v>
      </c>
      <c r="X111" s="28" t="s">
        <v>18</v>
      </c>
      <c r="Y111" s="38">
        <v>25.5</v>
      </c>
      <c r="Z111" s="37" t="s">
        <v>108</v>
      </c>
      <c r="AA111" s="28" t="s">
        <v>74</v>
      </c>
      <c r="AB111" s="28" t="s">
        <v>11</v>
      </c>
      <c r="AC111" s="28">
        <v>25</v>
      </c>
      <c r="AD111" s="37" t="s">
        <v>109</v>
      </c>
      <c r="AE111" s="28" t="s">
        <v>89</v>
      </c>
      <c r="AF111" s="28" t="s">
        <v>11</v>
      </c>
      <c r="AG111" s="38">
        <v>5</v>
      </c>
      <c r="AH111" s="37" t="s">
        <v>362</v>
      </c>
      <c r="AI111" s="28" t="s">
        <v>216</v>
      </c>
      <c r="AJ111" s="28" t="s">
        <v>12</v>
      </c>
      <c r="AK111" s="28">
        <v>7.5</v>
      </c>
      <c r="AL111" s="37"/>
      <c r="AO111" s="38"/>
      <c r="AP111" s="37"/>
      <c r="AS111" s="38"/>
      <c r="AW111" s="38"/>
      <c r="BA111" s="39"/>
    </row>
    <row r="112" spans="1:53" s="28" customFormat="1" x14ac:dyDescent="0.15">
      <c r="A112" s="28">
        <v>2008</v>
      </c>
      <c r="B112" s="293"/>
      <c r="C112" s="394" t="s">
        <v>367</v>
      </c>
      <c r="D112" s="394"/>
      <c r="E112" s="28">
        <v>0</v>
      </c>
      <c r="G112" s="65">
        <v>10</v>
      </c>
      <c r="H112" s="28">
        <v>8</v>
      </c>
      <c r="I112" s="28">
        <v>2</v>
      </c>
      <c r="J112" s="72">
        <v>20</v>
      </c>
      <c r="K112" s="46">
        <f t="shared" si="31"/>
        <v>50</v>
      </c>
      <c r="L112" s="46">
        <f t="shared" si="32"/>
        <v>40</v>
      </c>
      <c r="M112" s="46">
        <f t="shared" si="33"/>
        <v>10</v>
      </c>
      <c r="N112" s="67">
        <f t="shared" si="26"/>
        <v>100</v>
      </c>
      <c r="O112" s="45">
        <v>30</v>
      </c>
      <c r="P112" s="46">
        <v>25.5</v>
      </c>
      <c r="Q112" s="46">
        <v>7.5</v>
      </c>
      <c r="R112" s="47">
        <f t="shared" si="27"/>
        <v>63</v>
      </c>
      <c r="S112" s="28">
        <v>3</v>
      </c>
      <c r="T112" s="284"/>
      <c r="U112" s="293"/>
      <c r="V112" s="37" t="s">
        <v>107</v>
      </c>
      <c r="W112" s="28" t="s">
        <v>869</v>
      </c>
      <c r="X112" s="28" t="s">
        <v>18</v>
      </c>
      <c r="Y112" s="38">
        <v>25.5</v>
      </c>
      <c r="Z112" s="37" t="s">
        <v>108</v>
      </c>
      <c r="AA112" s="28" t="s">
        <v>74</v>
      </c>
      <c r="AB112" s="28" t="s">
        <v>11</v>
      </c>
      <c r="AC112" s="28">
        <v>25</v>
      </c>
      <c r="AD112" s="37" t="s">
        <v>109</v>
      </c>
      <c r="AE112" s="28" t="s">
        <v>89</v>
      </c>
      <c r="AF112" s="28" t="s">
        <v>11</v>
      </c>
      <c r="AG112" s="38">
        <v>5</v>
      </c>
      <c r="AH112" s="37" t="s">
        <v>362</v>
      </c>
      <c r="AI112" s="28" t="s">
        <v>216</v>
      </c>
      <c r="AJ112" s="28" t="s">
        <v>12</v>
      </c>
      <c r="AK112" s="28">
        <v>7.5</v>
      </c>
      <c r="AL112" s="37"/>
      <c r="AO112" s="38"/>
      <c r="AP112" s="37"/>
      <c r="AS112" s="38"/>
      <c r="AW112" s="38"/>
      <c r="BA112" s="39"/>
    </row>
    <row r="113" spans="1:53" s="28" customFormat="1" x14ac:dyDescent="0.15">
      <c r="A113" s="28">
        <v>2008</v>
      </c>
      <c r="B113" s="293"/>
      <c r="C113" s="394" t="s">
        <v>367</v>
      </c>
      <c r="D113" s="394"/>
      <c r="E113" s="28">
        <v>366</v>
      </c>
      <c r="G113" s="65">
        <v>10</v>
      </c>
      <c r="H113" s="28">
        <v>8</v>
      </c>
      <c r="I113" s="28">
        <v>2</v>
      </c>
      <c r="J113" s="72">
        <v>20</v>
      </c>
      <c r="K113" s="46">
        <f t="shared" si="31"/>
        <v>50</v>
      </c>
      <c r="L113" s="46">
        <f t="shared" si="32"/>
        <v>40</v>
      </c>
      <c r="M113" s="46">
        <f t="shared" si="33"/>
        <v>10</v>
      </c>
      <c r="N113" s="67">
        <f t="shared" si="26"/>
        <v>100</v>
      </c>
      <c r="O113" s="45">
        <v>30</v>
      </c>
      <c r="P113" s="46">
        <v>25.5</v>
      </c>
      <c r="Q113" s="46">
        <v>7.5</v>
      </c>
      <c r="R113" s="47">
        <f t="shared" si="27"/>
        <v>63</v>
      </c>
      <c r="S113" s="28">
        <v>3</v>
      </c>
      <c r="T113" s="284"/>
      <c r="U113" s="293"/>
      <c r="V113" s="37" t="s">
        <v>107</v>
      </c>
      <c r="W113" s="28" t="s">
        <v>869</v>
      </c>
      <c r="X113" s="28" t="s">
        <v>18</v>
      </c>
      <c r="Y113" s="38">
        <v>25.5</v>
      </c>
      <c r="Z113" s="37" t="s">
        <v>108</v>
      </c>
      <c r="AA113" s="28" t="s">
        <v>74</v>
      </c>
      <c r="AB113" s="28" t="s">
        <v>11</v>
      </c>
      <c r="AC113" s="28">
        <v>25</v>
      </c>
      <c r="AD113" s="37" t="s">
        <v>109</v>
      </c>
      <c r="AE113" s="28" t="s">
        <v>89</v>
      </c>
      <c r="AF113" s="28" t="s">
        <v>11</v>
      </c>
      <c r="AG113" s="38">
        <v>5</v>
      </c>
      <c r="AH113" s="37" t="s">
        <v>362</v>
      </c>
      <c r="AI113" s="28" t="s">
        <v>216</v>
      </c>
      <c r="AJ113" s="28" t="s">
        <v>12</v>
      </c>
      <c r="AK113" s="28">
        <v>7.5</v>
      </c>
      <c r="AL113" s="37"/>
      <c r="AO113" s="38"/>
      <c r="AP113" s="37"/>
      <c r="AS113" s="38"/>
      <c r="AW113" s="38"/>
      <c r="BA113" s="39"/>
    </row>
    <row r="114" spans="1:53" s="28" customFormat="1" x14ac:dyDescent="0.15">
      <c r="A114" s="28">
        <v>2009</v>
      </c>
      <c r="B114" s="293"/>
      <c r="C114" s="394" t="s">
        <v>367</v>
      </c>
      <c r="D114" s="394"/>
      <c r="E114" s="28">
        <v>0</v>
      </c>
      <c r="G114" s="65">
        <v>10</v>
      </c>
      <c r="H114" s="28">
        <v>8</v>
      </c>
      <c r="I114" s="28">
        <v>2</v>
      </c>
      <c r="J114" s="72">
        <v>20</v>
      </c>
      <c r="K114" s="46">
        <f t="shared" si="31"/>
        <v>50</v>
      </c>
      <c r="L114" s="46">
        <f t="shared" si="32"/>
        <v>40</v>
      </c>
      <c r="M114" s="46">
        <f t="shared" si="33"/>
        <v>10</v>
      </c>
      <c r="N114" s="67">
        <f t="shared" si="26"/>
        <v>100</v>
      </c>
      <c r="O114" s="45">
        <v>30</v>
      </c>
      <c r="P114" s="46">
        <v>25.5</v>
      </c>
      <c r="Q114" s="46">
        <v>7.5</v>
      </c>
      <c r="R114" s="47">
        <f t="shared" si="27"/>
        <v>63</v>
      </c>
      <c r="S114" s="28">
        <v>3</v>
      </c>
      <c r="T114" s="284"/>
      <c r="U114" s="293"/>
      <c r="V114" s="37" t="s">
        <v>107</v>
      </c>
      <c r="W114" s="28" t="s">
        <v>869</v>
      </c>
      <c r="X114" s="28" t="s">
        <v>18</v>
      </c>
      <c r="Y114" s="38">
        <v>25.5</v>
      </c>
      <c r="Z114" s="37" t="s">
        <v>108</v>
      </c>
      <c r="AA114" s="28" t="s">
        <v>74</v>
      </c>
      <c r="AB114" s="28" t="s">
        <v>11</v>
      </c>
      <c r="AC114" s="28">
        <v>25</v>
      </c>
      <c r="AD114" s="37" t="s">
        <v>109</v>
      </c>
      <c r="AE114" s="28" t="s">
        <v>89</v>
      </c>
      <c r="AF114" s="28" t="s">
        <v>11</v>
      </c>
      <c r="AG114" s="38">
        <v>5</v>
      </c>
      <c r="AH114" s="37" t="s">
        <v>362</v>
      </c>
      <c r="AI114" s="28" t="s">
        <v>216</v>
      </c>
      <c r="AJ114" s="28" t="s">
        <v>12</v>
      </c>
      <c r="AK114" s="28">
        <v>7.5</v>
      </c>
      <c r="AL114" s="37"/>
      <c r="AO114" s="38"/>
      <c r="AP114" s="37"/>
      <c r="AS114" s="38"/>
      <c r="AW114" s="38"/>
      <c r="BA114" s="39"/>
    </row>
    <row r="115" spans="1:53" s="28" customFormat="1" x14ac:dyDescent="0.15">
      <c r="A115" s="28">
        <v>2009</v>
      </c>
      <c r="B115" s="293"/>
      <c r="C115" s="394" t="s">
        <v>367</v>
      </c>
      <c r="D115" s="394"/>
      <c r="E115" s="28">
        <v>365</v>
      </c>
      <c r="G115" s="65">
        <v>10</v>
      </c>
      <c r="H115" s="28">
        <v>8</v>
      </c>
      <c r="I115" s="28">
        <v>2</v>
      </c>
      <c r="J115" s="72">
        <v>20</v>
      </c>
      <c r="K115" s="46">
        <f t="shared" si="31"/>
        <v>50</v>
      </c>
      <c r="L115" s="46">
        <f t="shared" si="32"/>
        <v>40</v>
      </c>
      <c r="M115" s="46">
        <f t="shared" si="33"/>
        <v>10</v>
      </c>
      <c r="N115" s="67">
        <f t="shared" si="26"/>
        <v>100</v>
      </c>
      <c r="O115" s="45">
        <v>30</v>
      </c>
      <c r="P115" s="46">
        <v>25.5</v>
      </c>
      <c r="Q115" s="46">
        <v>7.5</v>
      </c>
      <c r="R115" s="47">
        <f t="shared" si="27"/>
        <v>63</v>
      </c>
      <c r="S115" s="28">
        <v>3</v>
      </c>
      <c r="T115" s="284"/>
      <c r="U115" s="293"/>
      <c r="V115" s="37" t="s">
        <v>107</v>
      </c>
      <c r="W115" s="28" t="s">
        <v>869</v>
      </c>
      <c r="X115" s="28" t="s">
        <v>18</v>
      </c>
      <c r="Y115" s="38">
        <v>25.5</v>
      </c>
      <c r="Z115" s="37" t="s">
        <v>108</v>
      </c>
      <c r="AA115" s="28" t="s">
        <v>74</v>
      </c>
      <c r="AB115" s="28" t="s">
        <v>11</v>
      </c>
      <c r="AC115" s="28">
        <v>25</v>
      </c>
      <c r="AD115" s="37" t="s">
        <v>109</v>
      </c>
      <c r="AE115" s="28" t="s">
        <v>89</v>
      </c>
      <c r="AF115" s="28" t="s">
        <v>11</v>
      </c>
      <c r="AG115" s="38">
        <v>5</v>
      </c>
      <c r="AH115" s="37" t="s">
        <v>362</v>
      </c>
      <c r="AI115" s="28" t="s">
        <v>216</v>
      </c>
      <c r="AJ115" s="28" t="s">
        <v>12</v>
      </c>
      <c r="AK115" s="28">
        <v>7.5</v>
      </c>
      <c r="AL115" s="37"/>
      <c r="AO115" s="38"/>
      <c r="AP115" s="37"/>
      <c r="AS115" s="38"/>
      <c r="AW115" s="38"/>
      <c r="BA115" s="39"/>
    </row>
    <row r="116" spans="1:53" s="28" customFormat="1" x14ac:dyDescent="0.15">
      <c r="A116" s="28">
        <v>2010</v>
      </c>
      <c r="B116" s="293"/>
      <c r="C116" s="394" t="s">
        <v>367</v>
      </c>
      <c r="D116" s="394"/>
      <c r="E116" s="28">
        <v>172</v>
      </c>
      <c r="G116" s="65">
        <v>10</v>
      </c>
      <c r="H116" s="28">
        <v>8</v>
      </c>
      <c r="I116" s="28">
        <v>2</v>
      </c>
      <c r="J116" s="72">
        <v>20</v>
      </c>
      <c r="K116" s="46">
        <f t="shared" si="31"/>
        <v>50</v>
      </c>
      <c r="L116" s="46">
        <f t="shared" si="32"/>
        <v>40</v>
      </c>
      <c r="M116" s="46">
        <f t="shared" si="33"/>
        <v>10</v>
      </c>
      <c r="N116" s="67">
        <f t="shared" si="26"/>
        <v>100</v>
      </c>
      <c r="O116" s="45">
        <v>30</v>
      </c>
      <c r="P116" s="46">
        <v>25.5</v>
      </c>
      <c r="Q116" s="46">
        <v>7.5</v>
      </c>
      <c r="R116" s="47">
        <f t="shared" si="27"/>
        <v>63</v>
      </c>
      <c r="S116" s="28">
        <v>3</v>
      </c>
      <c r="T116" s="284"/>
      <c r="U116" s="293"/>
      <c r="V116" s="37" t="s">
        <v>107</v>
      </c>
      <c r="W116" s="28" t="s">
        <v>869</v>
      </c>
      <c r="X116" s="28" t="s">
        <v>18</v>
      </c>
      <c r="Y116" s="38">
        <v>25.5</v>
      </c>
      <c r="Z116" s="37" t="s">
        <v>108</v>
      </c>
      <c r="AA116" s="28" t="s">
        <v>74</v>
      </c>
      <c r="AB116" s="28" t="s">
        <v>11</v>
      </c>
      <c r="AC116" s="28">
        <v>25</v>
      </c>
      <c r="AD116" s="37" t="s">
        <v>109</v>
      </c>
      <c r="AE116" s="28" t="s">
        <v>89</v>
      </c>
      <c r="AF116" s="28" t="s">
        <v>11</v>
      </c>
      <c r="AG116" s="38">
        <v>5</v>
      </c>
      <c r="AH116" s="37" t="s">
        <v>362</v>
      </c>
      <c r="AI116" s="28" t="s">
        <v>216</v>
      </c>
      <c r="AJ116" s="28" t="s">
        <v>12</v>
      </c>
      <c r="AK116" s="28">
        <v>7.5</v>
      </c>
      <c r="AL116" s="37"/>
      <c r="AO116" s="38"/>
      <c r="AP116" s="37"/>
      <c r="AS116" s="38"/>
      <c r="AW116" s="38"/>
      <c r="BA116" s="39"/>
    </row>
    <row r="117" spans="1:53" s="170" customFormat="1" x14ac:dyDescent="0.15">
      <c r="A117" s="170">
        <v>2010</v>
      </c>
      <c r="B117" s="281">
        <v>40351</v>
      </c>
      <c r="C117" s="395" t="s">
        <v>368</v>
      </c>
      <c r="D117" s="395"/>
      <c r="E117" s="170">
        <f>365-E116</f>
        <v>193</v>
      </c>
      <c r="F117" s="170">
        <v>2</v>
      </c>
      <c r="G117" s="232">
        <v>10</v>
      </c>
      <c r="H117" s="170">
        <v>8</v>
      </c>
      <c r="I117" s="170">
        <v>2</v>
      </c>
      <c r="J117" s="240">
        <v>20</v>
      </c>
      <c r="K117" s="213">
        <f t="shared" si="31"/>
        <v>50</v>
      </c>
      <c r="L117" s="213">
        <f t="shared" si="32"/>
        <v>40</v>
      </c>
      <c r="M117" s="213">
        <f t="shared" si="33"/>
        <v>10</v>
      </c>
      <c r="N117" s="234">
        <f t="shared" si="26"/>
        <v>100</v>
      </c>
      <c r="O117" s="212">
        <v>30</v>
      </c>
      <c r="P117" s="213">
        <v>25.5</v>
      </c>
      <c r="Q117" s="213">
        <v>7.5</v>
      </c>
      <c r="R117" s="214">
        <f t="shared" si="27"/>
        <v>63</v>
      </c>
      <c r="S117" s="170">
        <v>3</v>
      </c>
      <c r="T117" s="283"/>
      <c r="U117" s="281">
        <v>40351</v>
      </c>
      <c r="V117" s="177" t="s">
        <v>107</v>
      </c>
      <c r="W117" s="170" t="s">
        <v>869</v>
      </c>
      <c r="X117" s="170" t="s">
        <v>18</v>
      </c>
      <c r="Y117" s="178">
        <v>25.5</v>
      </c>
      <c r="Z117" s="177" t="s">
        <v>108</v>
      </c>
      <c r="AA117" s="170" t="s">
        <v>74</v>
      </c>
      <c r="AB117" s="170" t="s">
        <v>11</v>
      </c>
      <c r="AC117" s="170">
        <v>25</v>
      </c>
      <c r="AD117" s="177" t="s">
        <v>109</v>
      </c>
      <c r="AE117" s="170" t="s">
        <v>89</v>
      </c>
      <c r="AF117" s="170" t="s">
        <v>11</v>
      </c>
      <c r="AG117" s="178">
        <v>5</v>
      </c>
      <c r="AH117" s="177" t="s">
        <v>362</v>
      </c>
      <c r="AI117" s="170" t="s">
        <v>216</v>
      </c>
      <c r="AJ117" s="170" t="s">
        <v>12</v>
      </c>
      <c r="AK117" s="170">
        <v>7.5</v>
      </c>
      <c r="AL117" s="177"/>
      <c r="AO117" s="178"/>
      <c r="AP117" s="177"/>
      <c r="AS117" s="178"/>
      <c r="AW117" s="178"/>
      <c r="BA117" s="179"/>
    </row>
    <row r="118" spans="1:53" s="170" customFormat="1" x14ac:dyDescent="0.15">
      <c r="A118" s="170">
        <v>2011</v>
      </c>
      <c r="B118" s="281"/>
      <c r="C118" s="395" t="s">
        <v>368</v>
      </c>
      <c r="D118" s="395"/>
      <c r="E118" s="170">
        <v>172</v>
      </c>
      <c r="G118" s="232">
        <v>10</v>
      </c>
      <c r="H118" s="170">
        <v>8</v>
      </c>
      <c r="I118" s="170">
        <v>2</v>
      </c>
      <c r="J118" s="240">
        <v>20</v>
      </c>
      <c r="K118" s="213">
        <f t="shared" ref="K118:K123" si="34">G118/J118*100</f>
        <v>50</v>
      </c>
      <c r="L118" s="213">
        <f t="shared" ref="L118:L123" si="35">H118/J118*100</f>
        <v>40</v>
      </c>
      <c r="M118" s="213">
        <f t="shared" ref="M118:M123" si="36">I118/J118*100</f>
        <v>10</v>
      </c>
      <c r="N118" s="234">
        <f t="shared" si="26"/>
        <v>100</v>
      </c>
      <c r="O118" s="212">
        <v>30</v>
      </c>
      <c r="P118" s="213">
        <v>25.5</v>
      </c>
      <c r="Q118" s="213">
        <v>7.5</v>
      </c>
      <c r="R118" s="214">
        <f t="shared" si="27"/>
        <v>63</v>
      </c>
      <c r="S118" s="170">
        <v>3</v>
      </c>
      <c r="T118" s="283"/>
      <c r="U118" s="281"/>
      <c r="V118" s="177" t="s">
        <v>107</v>
      </c>
      <c r="W118" s="170" t="s">
        <v>869</v>
      </c>
      <c r="X118" s="170" t="s">
        <v>18</v>
      </c>
      <c r="Y118" s="178">
        <v>25.5</v>
      </c>
      <c r="Z118" s="177" t="s">
        <v>108</v>
      </c>
      <c r="AA118" s="170" t="s">
        <v>74</v>
      </c>
      <c r="AB118" s="170" t="s">
        <v>11</v>
      </c>
      <c r="AC118" s="170">
        <v>25</v>
      </c>
      <c r="AD118" s="177" t="s">
        <v>109</v>
      </c>
      <c r="AE118" s="170" t="s">
        <v>89</v>
      </c>
      <c r="AF118" s="170" t="s">
        <v>11</v>
      </c>
      <c r="AG118" s="178">
        <v>5</v>
      </c>
      <c r="AH118" s="177" t="s">
        <v>362</v>
      </c>
      <c r="AI118" s="170" t="s">
        <v>216</v>
      </c>
      <c r="AJ118" s="170" t="s">
        <v>12</v>
      </c>
      <c r="AK118" s="170">
        <v>7.5</v>
      </c>
      <c r="AL118" s="177"/>
      <c r="AO118" s="178"/>
      <c r="AP118" s="177"/>
      <c r="AS118" s="178"/>
      <c r="AW118" s="178"/>
      <c r="BA118" s="179"/>
    </row>
    <row r="119" spans="1:53" s="28" customFormat="1" x14ac:dyDescent="0.15">
      <c r="A119" s="28">
        <v>2011</v>
      </c>
      <c r="B119" s="293">
        <v>40716</v>
      </c>
      <c r="C119" s="394" t="s">
        <v>369</v>
      </c>
      <c r="D119" s="394"/>
      <c r="E119" s="28">
        <v>193</v>
      </c>
      <c r="F119" s="28">
        <v>1</v>
      </c>
      <c r="G119" s="65">
        <v>8</v>
      </c>
      <c r="H119" s="28">
        <v>1</v>
      </c>
      <c r="I119" s="28">
        <v>10</v>
      </c>
      <c r="J119" s="72">
        <v>19</v>
      </c>
      <c r="K119" s="46">
        <f t="shared" si="34"/>
        <v>42.105263157894733</v>
      </c>
      <c r="L119" s="46">
        <f t="shared" si="35"/>
        <v>5.2631578947368416</v>
      </c>
      <c r="M119" s="46">
        <f t="shared" si="36"/>
        <v>52.631578947368418</v>
      </c>
      <c r="N119" s="67">
        <f t="shared" si="26"/>
        <v>100</v>
      </c>
      <c r="O119" s="45">
        <v>27</v>
      </c>
      <c r="P119" s="46">
        <v>3</v>
      </c>
      <c r="Q119" s="46">
        <v>33</v>
      </c>
      <c r="R119" s="47">
        <f t="shared" si="27"/>
        <v>63</v>
      </c>
      <c r="S119" s="28">
        <v>3</v>
      </c>
      <c r="T119" s="284">
        <v>40650</v>
      </c>
      <c r="U119" s="293">
        <v>40716</v>
      </c>
      <c r="V119" s="37" t="s">
        <v>108</v>
      </c>
      <c r="W119" s="28" t="s">
        <v>74</v>
      </c>
      <c r="X119" s="28" t="s">
        <v>11</v>
      </c>
      <c r="Y119" s="38">
        <v>22</v>
      </c>
      <c r="Z119" s="28" t="s">
        <v>111</v>
      </c>
      <c r="AA119" s="28" t="s">
        <v>20</v>
      </c>
      <c r="AB119" s="28" t="s">
        <v>12</v>
      </c>
      <c r="AC119" s="28">
        <v>21</v>
      </c>
      <c r="AD119" s="37" t="s">
        <v>109</v>
      </c>
      <c r="AE119" s="28" t="s">
        <v>89</v>
      </c>
      <c r="AF119" s="28" t="s">
        <v>11</v>
      </c>
      <c r="AG119" s="38">
        <v>5</v>
      </c>
      <c r="AH119" s="37" t="s">
        <v>362</v>
      </c>
      <c r="AI119" s="28" t="s">
        <v>216</v>
      </c>
      <c r="AJ119" s="28" t="s">
        <v>12</v>
      </c>
      <c r="AK119" s="28">
        <v>5</v>
      </c>
      <c r="AL119" s="37" t="s">
        <v>361</v>
      </c>
      <c r="AM119" s="28" t="s">
        <v>191</v>
      </c>
      <c r="AN119" s="28" t="s">
        <v>12</v>
      </c>
      <c r="AO119" s="38">
        <v>7</v>
      </c>
      <c r="AP119" s="37" t="s">
        <v>370</v>
      </c>
      <c r="AQ119" s="28" t="s">
        <v>17</v>
      </c>
      <c r="AR119" s="28" t="s">
        <v>18</v>
      </c>
      <c r="AS119" s="38">
        <v>3</v>
      </c>
      <c r="AW119" s="38"/>
      <c r="BA119" s="39"/>
    </row>
    <row r="120" spans="1:53" s="28" customFormat="1" x14ac:dyDescent="0.15">
      <c r="A120" s="28">
        <v>2012</v>
      </c>
      <c r="B120" s="293"/>
      <c r="C120" s="394" t="s">
        <v>369</v>
      </c>
      <c r="D120" s="394"/>
      <c r="E120" s="28">
        <v>0</v>
      </c>
      <c r="G120" s="65">
        <v>8</v>
      </c>
      <c r="H120" s="28">
        <v>1</v>
      </c>
      <c r="I120" s="28">
        <v>10</v>
      </c>
      <c r="J120" s="72">
        <v>19</v>
      </c>
      <c r="K120" s="46">
        <f t="shared" si="34"/>
        <v>42.105263157894733</v>
      </c>
      <c r="L120" s="46">
        <f t="shared" si="35"/>
        <v>5.2631578947368416</v>
      </c>
      <c r="M120" s="46">
        <f t="shared" si="36"/>
        <v>52.631578947368418</v>
      </c>
      <c r="N120" s="67">
        <f t="shared" si="26"/>
        <v>100</v>
      </c>
      <c r="O120" s="45">
        <v>27</v>
      </c>
      <c r="P120" s="46">
        <v>3</v>
      </c>
      <c r="Q120" s="46">
        <v>33</v>
      </c>
      <c r="R120" s="47">
        <f t="shared" si="27"/>
        <v>63</v>
      </c>
      <c r="S120" s="28">
        <v>3</v>
      </c>
      <c r="T120" s="284"/>
      <c r="U120" s="293"/>
      <c r="V120" s="37" t="s">
        <v>108</v>
      </c>
      <c r="W120" s="28" t="s">
        <v>74</v>
      </c>
      <c r="X120" s="28" t="s">
        <v>11</v>
      </c>
      <c r="Y120" s="38">
        <v>22</v>
      </c>
      <c r="Z120" s="28" t="s">
        <v>111</v>
      </c>
      <c r="AA120" s="28" t="s">
        <v>20</v>
      </c>
      <c r="AB120" s="28" t="s">
        <v>12</v>
      </c>
      <c r="AC120" s="28">
        <v>21</v>
      </c>
      <c r="AD120" s="37" t="s">
        <v>109</v>
      </c>
      <c r="AE120" s="28" t="s">
        <v>89</v>
      </c>
      <c r="AF120" s="28" t="s">
        <v>11</v>
      </c>
      <c r="AG120" s="38">
        <v>5</v>
      </c>
      <c r="AH120" s="37" t="s">
        <v>362</v>
      </c>
      <c r="AI120" s="28" t="s">
        <v>216</v>
      </c>
      <c r="AJ120" s="28" t="s">
        <v>12</v>
      </c>
      <c r="AK120" s="28">
        <v>5</v>
      </c>
      <c r="AL120" s="37" t="s">
        <v>361</v>
      </c>
      <c r="AM120" s="28" t="s">
        <v>191</v>
      </c>
      <c r="AN120" s="28" t="s">
        <v>12</v>
      </c>
      <c r="AO120" s="38">
        <v>7</v>
      </c>
      <c r="AP120" s="37" t="s">
        <v>370</v>
      </c>
      <c r="AQ120" s="28" t="s">
        <v>17</v>
      </c>
      <c r="AR120" s="28" t="s">
        <v>18</v>
      </c>
      <c r="AS120" s="38">
        <v>3</v>
      </c>
      <c r="AW120" s="38"/>
      <c r="BA120" s="39"/>
    </row>
    <row r="121" spans="1:53" s="28" customFormat="1" x14ac:dyDescent="0.15">
      <c r="A121" s="28">
        <v>2012</v>
      </c>
      <c r="B121" s="293"/>
      <c r="C121" s="394" t="s">
        <v>369</v>
      </c>
      <c r="D121" s="394"/>
      <c r="E121" s="28">
        <v>366</v>
      </c>
      <c r="G121" s="65">
        <v>8</v>
      </c>
      <c r="H121" s="28">
        <v>1</v>
      </c>
      <c r="I121" s="28">
        <v>10</v>
      </c>
      <c r="J121" s="72">
        <v>19</v>
      </c>
      <c r="K121" s="46">
        <f t="shared" si="34"/>
        <v>42.105263157894733</v>
      </c>
      <c r="L121" s="46">
        <f t="shared" si="35"/>
        <v>5.2631578947368416</v>
      </c>
      <c r="M121" s="46">
        <f t="shared" si="36"/>
        <v>52.631578947368418</v>
      </c>
      <c r="N121" s="67">
        <f t="shared" si="26"/>
        <v>100</v>
      </c>
      <c r="O121" s="45">
        <v>27</v>
      </c>
      <c r="P121" s="46">
        <v>3</v>
      </c>
      <c r="Q121" s="46">
        <v>33</v>
      </c>
      <c r="R121" s="47">
        <f t="shared" si="27"/>
        <v>63</v>
      </c>
      <c r="S121" s="28">
        <v>3</v>
      </c>
      <c r="T121" s="284"/>
      <c r="U121" s="293"/>
      <c r="V121" s="37" t="s">
        <v>108</v>
      </c>
      <c r="W121" s="28" t="s">
        <v>74</v>
      </c>
      <c r="X121" s="28" t="s">
        <v>11</v>
      </c>
      <c r="Y121" s="38">
        <v>22</v>
      </c>
      <c r="Z121" s="28" t="s">
        <v>111</v>
      </c>
      <c r="AA121" s="28" t="s">
        <v>20</v>
      </c>
      <c r="AB121" s="28" t="s">
        <v>12</v>
      </c>
      <c r="AC121" s="28">
        <v>21</v>
      </c>
      <c r="AD121" s="37" t="s">
        <v>109</v>
      </c>
      <c r="AE121" s="28" t="s">
        <v>89</v>
      </c>
      <c r="AF121" s="28" t="s">
        <v>11</v>
      </c>
      <c r="AG121" s="38">
        <v>5</v>
      </c>
      <c r="AH121" s="37" t="s">
        <v>362</v>
      </c>
      <c r="AI121" s="28" t="s">
        <v>216</v>
      </c>
      <c r="AJ121" s="28" t="s">
        <v>12</v>
      </c>
      <c r="AK121" s="28">
        <v>5</v>
      </c>
      <c r="AL121" s="37" t="s">
        <v>361</v>
      </c>
      <c r="AM121" s="28" t="s">
        <v>191</v>
      </c>
      <c r="AN121" s="28" t="s">
        <v>12</v>
      </c>
      <c r="AO121" s="38">
        <v>7</v>
      </c>
      <c r="AP121" s="37" t="s">
        <v>370</v>
      </c>
      <c r="AQ121" s="28" t="s">
        <v>17</v>
      </c>
      <c r="AR121" s="28" t="s">
        <v>18</v>
      </c>
      <c r="AS121" s="38">
        <v>3</v>
      </c>
      <c r="AW121" s="38"/>
      <c r="BA121" s="39"/>
    </row>
    <row r="122" spans="1:53" s="28" customFormat="1" x14ac:dyDescent="0.15">
      <c r="A122" s="28">
        <v>2013</v>
      </c>
      <c r="B122" s="293"/>
      <c r="C122" s="394" t="s">
        <v>369</v>
      </c>
      <c r="D122" s="394"/>
      <c r="E122" s="28">
        <v>0</v>
      </c>
      <c r="G122" s="65">
        <v>8</v>
      </c>
      <c r="H122" s="28">
        <v>1</v>
      </c>
      <c r="I122" s="28">
        <v>10</v>
      </c>
      <c r="J122" s="72">
        <v>19</v>
      </c>
      <c r="K122" s="46">
        <f t="shared" si="34"/>
        <v>42.105263157894733</v>
      </c>
      <c r="L122" s="46">
        <f t="shared" si="35"/>
        <v>5.2631578947368416</v>
      </c>
      <c r="M122" s="46">
        <f t="shared" si="36"/>
        <v>52.631578947368418</v>
      </c>
      <c r="N122" s="67">
        <f t="shared" si="26"/>
        <v>100</v>
      </c>
      <c r="O122" s="45">
        <v>27</v>
      </c>
      <c r="P122" s="46">
        <v>3</v>
      </c>
      <c r="Q122" s="46">
        <v>33</v>
      </c>
      <c r="R122" s="47">
        <f t="shared" ref="R122:R127" si="37">SUM(O122:Q122)</f>
        <v>63</v>
      </c>
      <c r="S122" s="28">
        <v>3</v>
      </c>
      <c r="T122" s="284"/>
      <c r="U122" s="293"/>
      <c r="V122" s="37" t="s">
        <v>108</v>
      </c>
      <c r="W122" s="28" t="s">
        <v>74</v>
      </c>
      <c r="X122" s="28" t="s">
        <v>11</v>
      </c>
      <c r="Y122" s="38">
        <v>22</v>
      </c>
      <c r="Z122" s="28" t="s">
        <v>111</v>
      </c>
      <c r="AA122" s="28" t="s">
        <v>20</v>
      </c>
      <c r="AB122" s="28" t="s">
        <v>12</v>
      </c>
      <c r="AC122" s="28">
        <v>21</v>
      </c>
      <c r="AD122" s="37" t="s">
        <v>109</v>
      </c>
      <c r="AE122" s="28" t="s">
        <v>89</v>
      </c>
      <c r="AF122" s="28" t="s">
        <v>11</v>
      </c>
      <c r="AG122" s="38">
        <v>5</v>
      </c>
      <c r="AH122" s="37" t="s">
        <v>362</v>
      </c>
      <c r="AI122" s="28" t="s">
        <v>216</v>
      </c>
      <c r="AJ122" s="28" t="s">
        <v>12</v>
      </c>
      <c r="AK122" s="28">
        <v>5</v>
      </c>
      <c r="AL122" s="37" t="s">
        <v>361</v>
      </c>
      <c r="AM122" s="28" t="s">
        <v>191</v>
      </c>
      <c r="AN122" s="28" t="s">
        <v>12</v>
      </c>
      <c r="AO122" s="38">
        <v>7</v>
      </c>
      <c r="AP122" s="37" t="s">
        <v>370</v>
      </c>
      <c r="AQ122" s="28" t="s">
        <v>17</v>
      </c>
      <c r="AR122" s="28" t="s">
        <v>18</v>
      </c>
      <c r="AS122" s="38">
        <v>3</v>
      </c>
      <c r="AW122" s="38"/>
      <c r="BA122" s="39"/>
    </row>
    <row r="123" spans="1:53" s="28" customFormat="1" x14ac:dyDescent="0.15">
      <c r="A123" s="28">
        <v>2013</v>
      </c>
      <c r="B123" s="293"/>
      <c r="C123" s="394" t="s">
        <v>369</v>
      </c>
      <c r="D123" s="394"/>
      <c r="E123" s="28">
        <v>365</v>
      </c>
      <c r="G123" s="65">
        <v>8</v>
      </c>
      <c r="H123" s="28">
        <v>1</v>
      </c>
      <c r="I123" s="28">
        <v>10</v>
      </c>
      <c r="J123" s="72">
        <v>19</v>
      </c>
      <c r="K123" s="46">
        <f t="shared" si="34"/>
        <v>42.105263157894733</v>
      </c>
      <c r="L123" s="46">
        <f t="shared" si="35"/>
        <v>5.2631578947368416</v>
      </c>
      <c r="M123" s="46">
        <f t="shared" si="36"/>
        <v>52.631578947368418</v>
      </c>
      <c r="N123" s="67">
        <f t="shared" si="26"/>
        <v>100</v>
      </c>
      <c r="O123" s="45">
        <v>27</v>
      </c>
      <c r="P123" s="46">
        <v>3</v>
      </c>
      <c r="Q123" s="46">
        <v>33</v>
      </c>
      <c r="R123" s="47">
        <f t="shared" si="37"/>
        <v>63</v>
      </c>
      <c r="S123" s="28">
        <v>3</v>
      </c>
      <c r="T123" s="284"/>
      <c r="U123" s="293"/>
      <c r="V123" s="37" t="s">
        <v>108</v>
      </c>
      <c r="W123" s="28" t="s">
        <v>74</v>
      </c>
      <c r="X123" s="28" t="s">
        <v>11</v>
      </c>
      <c r="Y123" s="38">
        <v>22</v>
      </c>
      <c r="Z123" s="28" t="s">
        <v>111</v>
      </c>
      <c r="AA123" s="28" t="s">
        <v>20</v>
      </c>
      <c r="AB123" s="28" t="s">
        <v>12</v>
      </c>
      <c r="AC123" s="28">
        <v>21</v>
      </c>
      <c r="AD123" s="37" t="s">
        <v>109</v>
      </c>
      <c r="AE123" s="28" t="s">
        <v>89</v>
      </c>
      <c r="AF123" s="28" t="s">
        <v>11</v>
      </c>
      <c r="AG123" s="38">
        <v>5</v>
      </c>
      <c r="AH123" s="28" t="s">
        <v>362</v>
      </c>
      <c r="AI123" s="28" t="s">
        <v>216</v>
      </c>
      <c r="AJ123" s="28" t="s">
        <v>12</v>
      </c>
      <c r="AK123" s="28">
        <v>5</v>
      </c>
      <c r="AL123" s="37" t="s">
        <v>361</v>
      </c>
      <c r="AM123" s="28" t="s">
        <v>191</v>
      </c>
      <c r="AN123" s="28" t="s">
        <v>12</v>
      </c>
      <c r="AO123" s="38">
        <v>7</v>
      </c>
      <c r="AP123" s="37" t="s">
        <v>370</v>
      </c>
      <c r="AQ123" s="28" t="s">
        <v>17</v>
      </c>
      <c r="AR123" s="28" t="s">
        <v>18</v>
      </c>
      <c r="AS123" s="38">
        <v>3</v>
      </c>
      <c r="AW123" s="38"/>
      <c r="BA123" s="39"/>
    </row>
    <row r="124" spans="1:53" s="28" customFormat="1" x14ac:dyDescent="0.15">
      <c r="A124" s="28">
        <v>2014</v>
      </c>
      <c r="B124" s="293"/>
      <c r="C124" s="394" t="s">
        <v>369</v>
      </c>
      <c r="D124" s="394"/>
      <c r="E124" s="28">
        <v>93</v>
      </c>
      <c r="G124" s="65">
        <v>8</v>
      </c>
      <c r="H124" s="28">
        <v>1</v>
      </c>
      <c r="I124" s="28">
        <v>10</v>
      </c>
      <c r="J124" s="72">
        <v>19</v>
      </c>
      <c r="K124" s="46">
        <f t="shared" ref="K124:K129" si="38">G124/J124*100</f>
        <v>42.105263157894733</v>
      </c>
      <c r="L124" s="46">
        <f t="shared" ref="L124:L129" si="39">H124/J124*100</f>
        <v>5.2631578947368416</v>
      </c>
      <c r="M124" s="46">
        <f t="shared" ref="M124:M129" si="40">I124/J124*100</f>
        <v>52.631578947368418</v>
      </c>
      <c r="N124" s="67">
        <f t="shared" ref="N124:N129" si="41">SUM(K124:M124)</f>
        <v>100</v>
      </c>
      <c r="O124" s="45">
        <v>27</v>
      </c>
      <c r="P124" s="46">
        <v>3</v>
      </c>
      <c r="Q124" s="46">
        <v>33</v>
      </c>
      <c r="R124" s="47">
        <f t="shared" si="37"/>
        <v>63</v>
      </c>
      <c r="S124" s="28">
        <v>3</v>
      </c>
      <c r="T124" s="284"/>
      <c r="U124" s="293"/>
      <c r="V124" s="37" t="s">
        <v>108</v>
      </c>
      <c r="W124" s="28" t="s">
        <v>74</v>
      </c>
      <c r="X124" s="28" t="s">
        <v>11</v>
      </c>
      <c r="Y124" s="38">
        <v>22</v>
      </c>
      <c r="Z124" s="28" t="s">
        <v>111</v>
      </c>
      <c r="AA124" s="28" t="s">
        <v>20</v>
      </c>
      <c r="AB124" s="28" t="s">
        <v>12</v>
      </c>
      <c r="AC124" s="28">
        <v>21</v>
      </c>
      <c r="AD124" s="37" t="s">
        <v>109</v>
      </c>
      <c r="AE124" s="28" t="s">
        <v>89</v>
      </c>
      <c r="AF124" s="28" t="s">
        <v>11</v>
      </c>
      <c r="AG124" s="38">
        <v>5</v>
      </c>
      <c r="AH124" s="28" t="s">
        <v>362</v>
      </c>
      <c r="AI124" s="28" t="s">
        <v>216</v>
      </c>
      <c r="AJ124" s="28" t="s">
        <v>12</v>
      </c>
      <c r="AK124" s="28">
        <v>5</v>
      </c>
      <c r="AL124" s="37" t="s">
        <v>361</v>
      </c>
      <c r="AM124" s="28" t="s">
        <v>191</v>
      </c>
      <c r="AN124" s="28" t="s">
        <v>12</v>
      </c>
      <c r="AO124" s="38">
        <v>7</v>
      </c>
      <c r="AP124" s="37" t="s">
        <v>370</v>
      </c>
      <c r="AQ124" s="28" t="s">
        <v>17</v>
      </c>
      <c r="AR124" s="28" t="s">
        <v>18</v>
      </c>
      <c r="AS124" s="38">
        <v>3</v>
      </c>
      <c r="AW124" s="38"/>
      <c r="BA124" s="39"/>
    </row>
    <row r="125" spans="1:53" s="28" customFormat="1" x14ac:dyDescent="0.15">
      <c r="A125" s="28">
        <v>2014</v>
      </c>
      <c r="B125" s="301">
        <v>41733</v>
      </c>
      <c r="C125" s="394" t="s">
        <v>369</v>
      </c>
      <c r="D125" s="394"/>
      <c r="E125" s="28">
        <v>81</v>
      </c>
      <c r="F125" s="83">
        <v>0</v>
      </c>
      <c r="G125" s="65">
        <v>9</v>
      </c>
      <c r="H125" s="28">
        <v>1</v>
      </c>
      <c r="I125" s="28">
        <v>9</v>
      </c>
      <c r="J125" s="72">
        <v>19</v>
      </c>
      <c r="K125" s="46">
        <f t="shared" si="38"/>
        <v>47.368421052631575</v>
      </c>
      <c r="L125" s="46">
        <f t="shared" si="39"/>
        <v>5.2631578947368416</v>
      </c>
      <c r="M125" s="46">
        <f t="shared" si="40"/>
        <v>47.368421052631575</v>
      </c>
      <c r="N125" s="67">
        <f t="shared" si="41"/>
        <v>100</v>
      </c>
      <c r="O125" s="45">
        <v>27</v>
      </c>
      <c r="P125" s="46">
        <v>3</v>
      </c>
      <c r="Q125" s="46">
        <v>26</v>
      </c>
      <c r="R125" s="47">
        <f t="shared" si="37"/>
        <v>56</v>
      </c>
      <c r="S125" s="28">
        <v>3</v>
      </c>
      <c r="T125" s="284"/>
      <c r="U125" s="293"/>
      <c r="V125" s="37" t="s">
        <v>108</v>
      </c>
      <c r="W125" s="28" t="s">
        <v>74</v>
      </c>
      <c r="X125" s="28" t="s">
        <v>11</v>
      </c>
      <c r="Y125" s="38">
        <v>22</v>
      </c>
      <c r="Z125" s="28" t="s">
        <v>111</v>
      </c>
      <c r="AA125" s="28" t="s">
        <v>20</v>
      </c>
      <c r="AB125" s="28" t="s">
        <v>12</v>
      </c>
      <c r="AC125" s="28">
        <v>21</v>
      </c>
      <c r="AD125" s="37" t="s">
        <v>109</v>
      </c>
      <c r="AE125" s="28" t="s">
        <v>89</v>
      </c>
      <c r="AF125" s="28" t="s">
        <v>11</v>
      </c>
      <c r="AG125" s="38">
        <v>5</v>
      </c>
      <c r="AH125" s="28" t="s">
        <v>362</v>
      </c>
      <c r="AI125" s="28" t="s">
        <v>216</v>
      </c>
      <c r="AJ125" s="28" t="s">
        <v>12</v>
      </c>
      <c r="AK125" s="28">
        <v>5</v>
      </c>
      <c r="AL125" s="37" t="s">
        <v>370</v>
      </c>
      <c r="AM125" s="28" t="s">
        <v>17</v>
      </c>
      <c r="AN125" s="28" t="s">
        <v>18</v>
      </c>
      <c r="AO125" s="38">
        <v>3</v>
      </c>
      <c r="AP125" s="37"/>
      <c r="AS125" s="38"/>
      <c r="AW125" s="38"/>
      <c r="BA125" s="39"/>
    </row>
    <row r="126" spans="1:53" s="170" customFormat="1" x14ac:dyDescent="0.15">
      <c r="A126" s="170">
        <v>2014</v>
      </c>
      <c r="B126" s="281">
        <v>41814</v>
      </c>
      <c r="C126" s="395" t="s">
        <v>1304</v>
      </c>
      <c r="D126" s="395"/>
      <c r="E126" s="170">
        <v>97</v>
      </c>
      <c r="F126" s="170">
        <v>2</v>
      </c>
      <c r="G126" s="232">
        <v>8</v>
      </c>
      <c r="H126" s="170">
        <v>1</v>
      </c>
      <c r="I126" s="170">
        <v>8</v>
      </c>
      <c r="J126" s="240">
        <v>17</v>
      </c>
      <c r="K126" s="213">
        <f t="shared" si="38"/>
        <v>47.058823529411761</v>
      </c>
      <c r="L126" s="213">
        <f t="shared" si="39"/>
        <v>5.8823529411764701</v>
      </c>
      <c r="M126" s="213">
        <f t="shared" si="40"/>
        <v>47.058823529411761</v>
      </c>
      <c r="N126" s="234">
        <f t="shared" si="41"/>
        <v>100</v>
      </c>
      <c r="O126" s="212">
        <v>27</v>
      </c>
      <c r="P126" s="213">
        <v>3</v>
      </c>
      <c r="Q126" s="213">
        <v>26</v>
      </c>
      <c r="R126" s="214">
        <f t="shared" si="37"/>
        <v>56</v>
      </c>
      <c r="S126" s="170">
        <v>3</v>
      </c>
      <c r="T126" s="283"/>
      <c r="U126" s="281">
        <v>41814</v>
      </c>
      <c r="V126" s="177" t="s">
        <v>108</v>
      </c>
      <c r="W126" s="170" t="s">
        <v>74</v>
      </c>
      <c r="X126" s="170" t="s">
        <v>11</v>
      </c>
      <c r="Y126" s="178">
        <v>22</v>
      </c>
      <c r="Z126" s="177" t="s">
        <v>111</v>
      </c>
      <c r="AA126" s="170" t="s">
        <v>20</v>
      </c>
      <c r="AB126" s="170" t="s">
        <v>12</v>
      </c>
      <c r="AC126" s="170">
        <v>21</v>
      </c>
      <c r="AD126" s="177" t="s">
        <v>109</v>
      </c>
      <c r="AE126" s="170" t="s">
        <v>89</v>
      </c>
      <c r="AF126" s="170" t="s">
        <v>11</v>
      </c>
      <c r="AG126" s="178">
        <v>5</v>
      </c>
      <c r="AH126" s="177" t="s">
        <v>362</v>
      </c>
      <c r="AI126" s="170" t="s">
        <v>216</v>
      </c>
      <c r="AJ126" s="170" t="s">
        <v>12</v>
      </c>
      <c r="AK126" s="170">
        <v>5</v>
      </c>
      <c r="AL126" s="177" t="s">
        <v>370</v>
      </c>
      <c r="AM126" s="170" t="s">
        <v>17</v>
      </c>
      <c r="AN126" s="170" t="s">
        <v>18</v>
      </c>
      <c r="AO126" s="178">
        <v>3</v>
      </c>
      <c r="AP126" s="177"/>
      <c r="AS126" s="178"/>
      <c r="AW126" s="178"/>
      <c r="BA126" s="179"/>
    </row>
    <row r="127" spans="1:53" s="170" customFormat="1" x14ac:dyDescent="0.15">
      <c r="A127" s="170">
        <v>2014</v>
      </c>
      <c r="B127" s="303">
        <v>41911</v>
      </c>
      <c r="C127" s="395" t="s">
        <v>1304</v>
      </c>
      <c r="D127" s="395"/>
      <c r="E127" s="170">
        <v>94</v>
      </c>
      <c r="F127" s="243">
        <v>0</v>
      </c>
      <c r="G127" s="232">
        <v>9</v>
      </c>
      <c r="H127" s="170">
        <v>1</v>
      </c>
      <c r="I127" s="170">
        <v>7</v>
      </c>
      <c r="J127" s="240">
        <v>17</v>
      </c>
      <c r="K127" s="213">
        <f t="shared" si="38"/>
        <v>52.941176470588239</v>
      </c>
      <c r="L127" s="213">
        <f t="shared" si="39"/>
        <v>5.8823529411764701</v>
      </c>
      <c r="M127" s="213">
        <f t="shared" si="40"/>
        <v>41.17647058823529</v>
      </c>
      <c r="N127" s="234">
        <f t="shared" si="41"/>
        <v>100</v>
      </c>
      <c r="O127" s="212">
        <v>27</v>
      </c>
      <c r="P127" s="213">
        <v>3</v>
      </c>
      <c r="Q127" s="213">
        <v>21</v>
      </c>
      <c r="R127" s="214">
        <f t="shared" si="37"/>
        <v>51</v>
      </c>
      <c r="S127" s="170">
        <v>2</v>
      </c>
      <c r="T127" s="283"/>
      <c r="U127" s="281"/>
      <c r="V127" s="177" t="s">
        <v>108</v>
      </c>
      <c r="W127" s="170" t="s">
        <v>74</v>
      </c>
      <c r="X127" s="170" t="s">
        <v>11</v>
      </c>
      <c r="Y127" s="178">
        <v>22</v>
      </c>
      <c r="Z127" s="177" t="s">
        <v>111</v>
      </c>
      <c r="AA127" s="170" t="s">
        <v>20</v>
      </c>
      <c r="AB127" s="170" t="s">
        <v>12</v>
      </c>
      <c r="AC127" s="170">
        <v>21</v>
      </c>
      <c r="AD127" s="177" t="s">
        <v>109</v>
      </c>
      <c r="AE127" s="170" t="s">
        <v>89</v>
      </c>
      <c r="AF127" s="170" t="s">
        <v>11</v>
      </c>
      <c r="AG127" s="178">
        <v>5</v>
      </c>
      <c r="AH127" s="177" t="s">
        <v>370</v>
      </c>
      <c r="AI127" s="170" t="s">
        <v>17</v>
      </c>
      <c r="AJ127" s="170" t="s">
        <v>18</v>
      </c>
      <c r="AK127" s="178">
        <v>3</v>
      </c>
      <c r="AL127" s="177"/>
      <c r="AO127" s="178"/>
      <c r="AP127" s="177"/>
      <c r="AS127" s="178"/>
      <c r="AW127" s="178"/>
      <c r="BA127" s="179"/>
    </row>
    <row r="128" spans="1:53" s="170" customFormat="1" x14ac:dyDescent="0.15">
      <c r="A128" s="170">
        <v>2015</v>
      </c>
      <c r="B128" s="303"/>
      <c r="C128" s="395" t="s">
        <v>1304</v>
      </c>
      <c r="D128" s="395"/>
      <c r="E128" s="170">
        <v>148</v>
      </c>
      <c r="F128" s="243"/>
      <c r="G128" s="232">
        <v>9</v>
      </c>
      <c r="H128" s="170">
        <v>1</v>
      </c>
      <c r="I128" s="170">
        <v>7</v>
      </c>
      <c r="J128" s="240">
        <v>17</v>
      </c>
      <c r="K128" s="213">
        <f t="shared" si="38"/>
        <v>52.941176470588239</v>
      </c>
      <c r="L128" s="213">
        <f t="shared" si="39"/>
        <v>5.8823529411764701</v>
      </c>
      <c r="M128" s="213">
        <f t="shared" si="40"/>
        <v>41.17647058823529</v>
      </c>
      <c r="N128" s="234">
        <f t="shared" si="41"/>
        <v>100</v>
      </c>
      <c r="O128" s="212">
        <v>27</v>
      </c>
      <c r="P128" s="213">
        <v>3</v>
      </c>
      <c r="Q128" s="213">
        <v>21</v>
      </c>
      <c r="R128" s="214">
        <f t="shared" ref="R128:R129" si="42">SUM(O128:Q128)</f>
        <v>51</v>
      </c>
      <c r="S128" s="170">
        <v>2</v>
      </c>
      <c r="T128" s="283"/>
      <c r="U128" s="281"/>
      <c r="V128" s="177" t="s">
        <v>108</v>
      </c>
      <c r="W128" s="170" t="s">
        <v>74</v>
      </c>
      <c r="X128" s="170" t="s">
        <v>11</v>
      </c>
      <c r="Y128" s="178">
        <v>22</v>
      </c>
      <c r="Z128" s="177" t="s">
        <v>111</v>
      </c>
      <c r="AA128" s="170" t="s">
        <v>20</v>
      </c>
      <c r="AB128" s="170" t="s">
        <v>12</v>
      </c>
      <c r="AC128" s="170">
        <v>21</v>
      </c>
      <c r="AD128" s="177" t="s">
        <v>109</v>
      </c>
      <c r="AE128" s="170" t="s">
        <v>89</v>
      </c>
      <c r="AF128" s="170" t="s">
        <v>11</v>
      </c>
      <c r="AG128" s="178">
        <v>5</v>
      </c>
      <c r="AH128" s="177" t="s">
        <v>370</v>
      </c>
      <c r="AI128" s="170" t="s">
        <v>17</v>
      </c>
      <c r="AJ128" s="170" t="s">
        <v>18</v>
      </c>
      <c r="AK128" s="178">
        <v>3</v>
      </c>
      <c r="AL128" s="177"/>
      <c r="AO128" s="178"/>
      <c r="AP128" s="177"/>
      <c r="AS128" s="178"/>
      <c r="AW128" s="178"/>
      <c r="BA128" s="179"/>
    </row>
    <row r="129" spans="1:53" s="28" customFormat="1" x14ac:dyDescent="0.15">
      <c r="A129" s="28">
        <v>2015</v>
      </c>
      <c r="B129" s="293">
        <v>42153</v>
      </c>
      <c r="C129" s="394" t="s">
        <v>1315</v>
      </c>
      <c r="D129" s="394"/>
      <c r="E129" s="28">
        <v>217</v>
      </c>
      <c r="F129" s="28">
        <v>1</v>
      </c>
      <c r="G129" s="65">
        <v>8</v>
      </c>
      <c r="H129" s="28">
        <v>6</v>
      </c>
      <c r="J129" s="72">
        <v>14</v>
      </c>
      <c r="K129" s="46">
        <f t="shared" si="38"/>
        <v>57.142857142857139</v>
      </c>
      <c r="L129" s="46">
        <f t="shared" si="39"/>
        <v>42.857142857142854</v>
      </c>
      <c r="M129" s="46">
        <f t="shared" si="40"/>
        <v>0</v>
      </c>
      <c r="N129" s="67">
        <f t="shared" si="41"/>
        <v>100</v>
      </c>
      <c r="O129" s="45">
        <v>37.5</v>
      </c>
      <c r="P129" s="46">
        <v>24.5</v>
      </c>
      <c r="Q129" s="46"/>
      <c r="R129" s="47">
        <f t="shared" si="42"/>
        <v>62</v>
      </c>
      <c r="S129" s="28">
        <v>2</v>
      </c>
      <c r="T129" s="284">
        <v>42113</v>
      </c>
      <c r="U129" s="293">
        <v>42153</v>
      </c>
      <c r="V129" s="37" t="s">
        <v>107</v>
      </c>
      <c r="W129" s="28" t="s">
        <v>869</v>
      </c>
      <c r="X129" s="28" t="s">
        <v>18</v>
      </c>
      <c r="Y129" s="38">
        <v>24.5</v>
      </c>
      <c r="Z129" s="28" t="s">
        <v>95</v>
      </c>
      <c r="AA129" s="28" t="s">
        <v>27</v>
      </c>
      <c r="AB129" s="28" t="s">
        <v>11</v>
      </c>
      <c r="AC129" s="28">
        <v>19</v>
      </c>
      <c r="AD129" s="37" t="s">
        <v>108</v>
      </c>
      <c r="AE129" s="28" t="s">
        <v>74</v>
      </c>
      <c r="AF129" s="28" t="s">
        <v>11</v>
      </c>
      <c r="AG129" s="38">
        <v>18.5</v>
      </c>
      <c r="AH129" s="37"/>
      <c r="AL129" s="37"/>
      <c r="AO129" s="38"/>
      <c r="AP129" s="37"/>
      <c r="AS129" s="38"/>
      <c r="AW129" s="38"/>
      <c r="BA129" s="39"/>
    </row>
    <row r="130" spans="1:53" s="28" customFormat="1" x14ac:dyDescent="0.15">
      <c r="A130" s="28">
        <v>2016</v>
      </c>
      <c r="B130" s="293"/>
      <c r="C130" s="394" t="s">
        <v>1315</v>
      </c>
      <c r="D130" s="394"/>
      <c r="E130" s="28">
        <v>0</v>
      </c>
      <c r="G130" s="65">
        <v>8</v>
      </c>
      <c r="H130" s="28">
        <v>6</v>
      </c>
      <c r="J130" s="72">
        <v>14</v>
      </c>
      <c r="K130" s="46">
        <f t="shared" ref="K130:K135" si="43">G130/J130*100</f>
        <v>57.142857142857139</v>
      </c>
      <c r="L130" s="46">
        <f t="shared" ref="L130:L135" si="44">H130/J130*100</f>
        <v>42.857142857142854</v>
      </c>
      <c r="M130" s="46">
        <f t="shared" ref="M130:M135" si="45">I130/J130*100</f>
        <v>0</v>
      </c>
      <c r="N130" s="67">
        <f t="shared" ref="N130:N135" si="46">SUM(K130:M130)</f>
        <v>100</v>
      </c>
      <c r="O130" s="45">
        <v>37.5</v>
      </c>
      <c r="P130" s="46">
        <v>24.5</v>
      </c>
      <c r="Q130" s="46"/>
      <c r="R130" s="47">
        <f t="shared" ref="R130:R131" si="47">SUM(O130:Q130)</f>
        <v>62</v>
      </c>
      <c r="S130" s="28">
        <v>2</v>
      </c>
      <c r="T130" s="284"/>
      <c r="U130" s="293"/>
      <c r="V130" s="37" t="s">
        <v>107</v>
      </c>
      <c r="W130" s="28" t="s">
        <v>869</v>
      </c>
      <c r="X130" s="28" t="s">
        <v>18</v>
      </c>
      <c r="Y130" s="38">
        <v>24.5</v>
      </c>
      <c r="Z130" s="28" t="s">
        <v>95</v>
      </c>
      <c r="AA130" s="28" t="s">
        <v>27</v>
      </c>
      <c r="AB130" s="28" t="s">
        <v>11</v>
      </c>
      <c r="AC130" s="28">
        <v>19</v>
      </c>
      <c r="AD130" s="37" t="s">
        <v>108</v>
      </c>
      <c r="AE130" s="28" t="s">
        <v>74</v>
      </c>
      <c r="AF130" s="28" t="s">
        <v>11</v>
      </c>
      <c r="AG130" s="38">
        <v>18.5</v>
      </c>
      <c r="AH130" s="37"/>
      <c r="AL130" s="37"/>
      <c r="AO130" s="38"/>
      <c r="AP130" s="37"/>
      <c r="AS130" s="38"/>
      <c r="AW130" s="38"/>
      <c r="BA130" s="39"/>
    </row>
    <row r="131" spans="1:53" s="28" customFormat="1" x14ac:dyDescent="0.15">
      <c r="A131" s="28">
        <v>2016</v>
      </c>
      <c r="B131" s="293"/>
      <c r="C131" s="394" t="s">
        <v>1315</v>
      </c>
      <c r="D131" s="394"/>
      <c r="E131" s="28">
        <v>366</v>
      </c>
      <c r="G131" s="65">
        <v>8</v>
      </c>
      <c r="H131" s="28">
        <v>6</v>
      </c>
      <c r="J131" s="72">
        <v>14</v>
      </c>
      <c r="K131" s="46">
        <f t="shared" si="43"/>
        <v>57.142857142857139</v>
      </c>
      <c r="L131" s="46">
        <f t="shared" si="44"/>
        <v>42.857142857142854</v>
      </c>
      <c r="M131" s="46">
        <f t="shared" si="45"/>
        <v>0</v>
      </c>
      <c r="N131" s="67">
        <f t="shared" si="46"/>
        <v>100</v>
      </c>
      <c r="O131" s="45">
        <v>37.5</v>
      </c>
      <c r="P131" s="46">
        <v>24.5</v>
      </c>
      <c r="Q131" s="46"/>
      <c r="R131" s="47">
        <f t="shared" si="47"/>
        <v>62</v>
      </c>
      <c r="S131" s="28">
        <v>2</v>
      </c>
      <c r="T131" s="284"/>
      <c r="U131" s="293"/>
      <c r="V131" s="37" t="s">
        <v>107</v>
      </c>
      <c r="W131" s="28" t="s">
        <v>869</v>
      </c>
      <c r="X131" s="28" t="s">
        <v>18</v>
      </c>
      <c r="Y131" s="38">
        <v>24.5</v>
      </c>
      <c r="Z131" s="28" t="s">
        <v>95</v>
      </c>
      <c r="AA131" s="28" t="s">
        <v>27</v>
      </c>
      <c r="AB131" s="28" t="s">
        <v>11</v>
      </c>
      <c r="AC131" s="28">
        <v>19</v>
      </c>
      <c r="AD131" s="37" t="s">
        <v>108</v>
      </c>
      <c r="AE131" s="28" t="s">
        <v>74</v>
      </c>
      <c r="AF131" s="28" t="s">
        <v>11</v>
      </c>
      <c r="AG131" s="38">
        <v>18.5</v>
      </c>
      <c r="AH131" s="37"/>
      <c r="AL131" s="37"/>
      <c r="AO131" s="38"/>
      <c r="AP131" s="37"/>
      <c r="AS131" s="38"/>
      <c r="AW131" s="38"/>
      <c r="BA131" s="39"/>
    </row>
    <row r="132" spans="1:53" s="28" customFormat="1" x14ac:dyDescent="0.15">
      <c r="A132" s="28">
        <v>2017</v>
      </c>
      <c r="B132" s="293"/>
      <c r="C132" s="394" t="s">
        <v>1315</v>
      </c>
      <c r="D132" s="394"/>
      <c r="E132" s="28">
        <v>124</v>
      </c>
      <c r="G132" s="65">
        <v>8</v>
      </c>
      <c r="H132" s="28">
        <v>6</v>
      </c>
      <c r="J132" s="72">
        <v>14</v>
      </c>
      <c r="K132" s="46">
        <f t="shared" ref="K132" si="48">G132/J132*100</f>
        <v>57.142857142857139</v>
      </c>
      <c r="L132" s="46">
        <f t="shared" ref="L132" si="49">H132/J132*100</f>
        <v>42.857142857142854</v>
      </c>
      <c r="M132" s="46">
        <f t="shared" ref="M132" si="50">I132/J132*100</f>
        <v>0</v>
      </c>
      <c r="N132" s="67">
        <f t="shared" ref="N132" si="51">SUM(K132:M132)</f>
        <v>100</v>
      </c>
      <c r="O132" s="45">
        <v>37.5</v>
      </c>
      <c r="P132" s="46">
        <v>24.5</v>
      </c>
      <c r="Q132" s="46"/>
      <c r="R132" s="47">
        <f t="shared" ref="R132" si="52">SUM(O132:Q132)</f>
        <v>62</v>
      </c>
      <c r="S132" s="28">
        <v>2</v>
      </c>
      <c r="T132" s="284"/>
      <c r="U132" s="293"/>
      <c r="V132" s="37" t="s">
        <v>107</v>
      </c>
      <c r="W132" s="28" t="s">
        <v>869</v>
      </c>
      <c r="X132" s="28" t="s">
        <v>18</v>
      </c>
      <c r="Y132" s="38">
        <v>24.5</v>
      </c>
      <c r="Z132" s="28" t="s">
        <v>95</v>
      </c>
      <c r="AA132" s="28" t="s">
        <v>27</v>
      </c>
      <c r="AB132" s="28" t="s">
        <v>11</v>
      </c>
      <c r="AC132" s="28">
        <v>19</v>
      </c>
      <c r="AD132" s="37" t="s">
        <v>108</v>
      </c>
      <c r="AE132" s="28" t="s">
        <v>74</v>
      </c>
      <c r="AF132" s="28" t="s">
        <v>11</v>
      </c>
      <c r="AG132" s="38">
        <v>18.5</v>
      </c>
      <c r="AH132" s="37"/>
      <c r="AL132" s="37"/>
      <c r="AO132" s="38"/>
      <c r="AP132" s="37"/>
      <c r="AS132" s="38"/>
      <c r="AW132" s="38"/>
      <c r="BA132" s="39"/>
    </row>
    <row r="133" spans="1:53" s="28" customFormat="1" x14ac:dyDescent="0.15">
      <c r="A133" s="28">
        <v>2017</v>
      </c>
      <c r="B133" s="301">
        <v>42860</v>
      </c>
      <c r="C133" s="394" t="s">
        <v>1315</v>
      </c>
      <c r="D133" s="394"/>
      <c r="E133" s="28">
        <v>54</v>
      </c>
      <c r="F133" s="83">
        <v>0</v>
      </c>
      <c r="G133" s="65">
        <v>9</v>
      </c>
      <c r="H133" s="28">
        <v>7</v>
      </c>
      <c r="J133" s="72">
        <v>16</v>
      </c>
      <c r="K133" s="46">
        <f t="shared" si="43"/>
        <v>56.25</v>
      </c>
      <c r="L133" s="46">
        <f t="shared" si="44"/>
        <v>43.75</v>
      </c>
      <c r="M133" s="46">
        <f t="shared" si="45"/>
        <v>0</v>
      </c>
      <c r="N133" s="67">
        <f t="shared" si="46"/>
        <v>100</v>
      </c>
      <c r="O133" s="45">
        <v>37.5</v>
      </c>
      <c r="P133" s="46">
        <v>24.5</v>
      </c>
      <c r="Q133" s="46"/>
      <c r="R133" s="47">
        <f t="shared" ref="R133:R134" si="53">SUM(O133:Q133)</f>
        <v>62</v>
      </c>
      <c r="S133" s="28">
        <v>2</v>
      </c>
      <c r="T133" s="284"/>
      <c r="U133" s="293"/>
      <c r="V133" s="37" t="s">
        <v>107</v>
      </c>
      <c r="W133" s="28" t="s">
        <v>869</v>
      </c>
      <c r="X133" s="28" t="s">
        <v>18</v>
      </c>
      <c r="Y133" s="38">
        <v>24.5</v>
      </c>
      <c r="Z133" s="28" t="s">
        <v>95</v>
      </c>
      <c r="AA133" s="28" t="s">
        <v>27</v>
      </c>
      <c r="AB133" s="28" t="s">
        <v>11</v>
      </c>
      <c r="AC133" s="28">
        <v>19</v>
      </c>
      <c r="AD133" s="37" t="s">
        <v>108</v>
      </c>
      <c r="AE133" s="28" t="s">
        <v>74</v>
      </c>
      <c r="AF133" s="28" t="s">
        <v>11</v>
      </c>
      <c r="AG133" s="38">
        <v>18.5</v>
      </c>
      <c r="AH133" s="37"/>
      <c r="AL133" s="37"/>
      <c r="AO133" s="38"/>
      <c r="AP133" s="37"/>
      <c r="AS133" s="38"/>
      <c r="AW133" s="38"/>
      <c r="BA133" s="39"/>
    </row>
    <row r="134" spans="1:53" s="170" customFormat="1" x14ac:dyDescent="0.15">
      <c r="A134" s="170">
        <v>2017</v>
      </c>
      <c r="B134" s="304">
        <v>42914</v>
      </c>
      <c r="C134" s="395" t="s">
        <v>1404</v>
      </c>
      <c r="D134" s="395"/>
      <c r="E134" s="170">
        <v>187</v>
      </c>
      <c r="F134" s="190">
        <v>4</v>
      </c>
      <c r="G134" s="232">
        <v>10</v>
      </c>
      <c r="H134" s="170">
        <v>7</v>
      </c>
      <c r="J134" s="240">
        <v>17</v>
      </c>
      <c r="K134" s="213">
        <f t="shared" si="43"/>
        <v>58.82352941176471</v>
      </c>
      <c r="L134" s="213">
        <f t="shared" si="44"/>
        <v>41.17647058823529</v>
      </c>
      <c r="M134" s="213">
        <f t="shared" si="45"/>
        <v>0</v>
      </c>
      <c r="N134" s="234">
        <f t="shared" si="46"/>
        <v>100</v>
      </c>
      <c r="O134" s="212">
        <v>37.5</v>
      </c>
      <c r="P134" s="213">
        <v>24.5</v>
      </c>
      <c r="Q134" s="213"/>
      <c r="R134" s="214">
        <f t="shared" si="53"/>
        <v>62</v>
      </c>
      <c r="S134" s="170">
        <v>2</v>
      </c>
      <c r="T134" s="283"/>
      <c r="U134" s="304">
        <v>42914</v>
      </c>
      <c r="V134" s="177" t="s">
        <v>107</v>
      </c>
      <c r="W134" s="170" t="s">
        <v>869</v>
      </c>
      <c r="X134" s="170" t="s">
        <v>18</v>
      </c>
      <c r="Y134" s="178">
        <v>24.5</v>
      </c>
      <c r="Z134" s="177" t="s">
        <v>95</v>
      </c>
      <c r="AA134" s="170" t="s">
        <v>27</v>
      </c>
      <c r="AB134" s="170" t="s">
        <v>11</v>
      </c>
      <c r="AC134" s="170">
        <v>19</v>
      </c>
      <c r="AD134" s="177" t="s">
        <v>108</v>
      </c>
      <c r="AE134" s="170" t="s">
        <v>74</v>
      </c>
      <c r="AF134" s="170" t="s">
        <v>11</v>
      </c>
      <c r="AG134" s="178">
        <v>18.5</v>
      </c>
      <c r="AH134" s="177"/>
      <c r="AK134" s="178"/>
      <c r="AL134" s="177"/>
      <c r="AO134" s="178"/>
      <c r="AP134" s="177"/>
      <c r="AS134" s="178"/>
      <c r="AW134" s="178"/>
      <c r="BA134" s="179"/>
    </row>
    <row r="135" spans="1:53" s="170" customFormat="1" x14ac:dyDescent="0.15">
      <c r="A135" s="170">
        <v>2018</v>
      </c>
      <c r="B135" s="304"/>
      <c r="C135" s="395" t="s">
        <v>1404</v>
      </c>
      <c r="D135" s="395"/>
      <c r="E135" s="170">
        <v>0</v>
      </c>
      <c r="F135" s="190"/>
      <c r="G135" s="232">
        <v>10</v>
      </c>
      <c r="H135" s="170">
        <v>7</v>
      </c>
      <c r="J135" s="240">
        <v>17</v>
      </c>
      <c r="K135" s="213">
        <f t="shared" si="43"/>
        <v>58.82352941176471</v>
      </c>
      <c r="L135" s="213">
        <f t="shared" si="44"/>
        <v>41.17647058823529</v>
      </c>
      <c r="M135" s="213">
        <f t="shared" si="45"/>
        <v>0</v>
      </c>
      <c r="N135" s="234">
        <f t="shared" si="46"/>
        <v>100</v>
      </c>
      <c r="O135" s="212">
        <v>37.5</v>
      </c>
      <c r="P135" s="213">
        <v>24.5</v>
      </c>
      <c r="Q135" s="213"/>
      <c r="R135" s="214">
        <f t="shared" ref="R135:R136" si="54">SUM(O135:Q135)</f>
        <v>62</v>
      </c>
      <c r="S135" s="170">
        <v>2</v>
      </c>
      <c r="T135" s="283"/>
      <c r="U135" s="281"/>
      <c r="V135" s="177" t="s">
        <v>107</v>
      </c>
      <c r="W135" s="170" t="s">
        <v>869</v>
      </c>
      <c r="X135" s="170" t="s">
        <v>18</v>
      </c>
      <c r="Y135" s="178">
        <v>24.5</v>
      </c>
      <c r="Z135" s="177" t="s">
        <v>1390</v>
      </c>
      <c r="AA135" s="170" t="s">
        <v>294</v>
      </c>
      <c r="AB135" s="170" t="s">
        <v>11</v>
      </c>
      <c r="AC135" s="170">
        <v>19</v>
      </c>
      <c r="AD135" s="177" t="s">
        <v>108</v>
      </c>
      <c r="AE135" s="170" t="s">
        <v>74</v>
      </c>
      <c r="AF135" s="170" t="s">
        <v>11</v>
      </c>
      <c r="AG135" s="178">
        <v>18.5</v>
      </c>
      <c r="AH135" s="177"/>
      <c r="AK135" s="178"/>
      <c r="AL135" s="177"/>
      <c r="AO135" s="178"/>
      <c r="AP135" s="177"/>
      <c r="AS135" s="178"/>
      <c r="AW135" s="178"/>
      <c r="BA135" s="179"/>
    </row>
    <row r="136" spans="1:53" s="170" customFormat="1" x14ac:dyDescent="0.15">
      <c r="A136" s="170">
        <v>2018</v>
      </c>
      <c r="B136" s="304"/>
      <c r="C136" s="395" t="s">
        <v>1404</v>
      </c>
      <c r="D136" s="395"/>
      <c r="E136" s="170">
        <v>365</v>
      </c>
      <c r="F136" s="190"/>
      <c r="G136" s="232">
        <v>10</v>
      </c>
      <c r="H136" s="170">
        <v>7</v>
      </c>
      <c r="J136" s="240">
        <v>17</v>
      </c>
      <c r="K136" s="213">
        <f t="shared" ref="K136" si="55">G136/J136*100</f>
        <v>58.82352941176471</v>
      </c>
      <c r="L136" s="213">
        <f t="shared" ref="L136" si="56">H136/J136*100</f>
        <v>41.17647058823529</v>
      </c>
      <c r="M136" s="213">
        <f t="shared" ref="M136" si="57">I136/J136*100</f>
        <v>0</v>
      </c>
      <c r="N136" s="234">
        <f t="shared" ref="N136" si="58">SUM(K136:M136)</f>
        <v>100</v>
      </c>
      <c r="O136" s="212">
        <v>37.5</v>
      </c>
      <c r="P136" s="213">
        <v>24.5</v>
      </c>
      <c r="Q136" s="213"/>
      <c r="R136" s="214">
        <f t="shared" si="54"/>
        <v>62</v>
      </c>
      <c r="S136" s="170">
        <v>2</v>
      </c>
      <c r="T136" s="283"/>
      <c r="U136" s="281"/>
      <c r="V136" s="177" t="s">
        <v>107</v>
      </c>
      <c r="W136" s="170" t="s">
        <v>869</v>
      </c>
      <c r="X136" s="170" t="s">
        <v>18</v>
      </c>
      <c r="Y136" s="178">
        <v>24.5</v>
      </c>
      <c r="Z136" s="177" t="s">
        <v>1390</v>
      </c>
      <c r="AA136" s="170" t="s">
        <v>294</v>
      </c>
      <c r="AB136" s="170" t="s">
        <v>11</v>
      </c>
      <c r="AC136" s="170">
        <v>19</v>
      </c>
      <c r="AD136" s="177" t="s">
        <v>108</v>
      </c>
      <c r="AE136" s="170" t="s">
        <v>74</v>
      </c>
      <c r="AF136" s="170" t="s">
        <v>11</v>
      </c>
      <c r="AG136" s="178">
        <v>18.5</v>
      </c>
      <c r="AH136" s="177"/>
      <c r="AK136" s="178"/>
      <c r="AL136" s="177"/>
      <c r="AO136" s="178"/>
      <c r="AP136" s="177"/>
      <c r="AS136" s="178"/>
      <c r="AW136" s="178"/>
      <c r="BA136" s="179"/>
    </row>
    <row r="137" spans="1:53" s="170" customFormat="1" x14ac:dyDescent="0.15">
      <c r="A137" s="170">
        <v>2019</v>
      </c>
      <c r="B137" s="304"/>
      <c r="C137" s="395" t="s">
        <v>1404</v>
      </c>
      <c r="D137" s="395"/>
      <c r="E137" s="170">
        <v>66</v>
      </c>
      <c r="F137" s="190"/>
      <c r="G137" s="232">
        <v>10</v>
      </c>
      <c r="H137" s="170">
        <v>7</v>
      </c>
      <c r="J137" s="240">
        <v>17</v>
      </c>
      <c r="K137" s="213">
        <f t="shared" ref="K137:K139" si="59">G137/J137*100</f>
        <v>58.82352941176471</v>
      </c>
      <c r="L137" s="213">
        <f t="shared" ref="L137:L139" si="60">H137/J137*100</f>
        <v>41.17647058823529</v>
      </c>
      <c r="M137" s="213">
        <f t="shared" ref="M137:M139" si="61">I137/J137*100</f>
        <v>0</v>
      </c>
      <c r="N137" s="234">
        <f t="shared" ref="N137:N139" si="62">SUM(K137:M137)</f>
        <v>100</v>
      </c>
      <c r="O137" s="212">
        <v>37.5</v>
      </c>
      <c r="P137" s="213">
        <v>24.5</v>
      </c>
      <c r="Q137" s="213"/>
      <c r="R137" s="214">
        <f t="shared" ref="R137:R139" si="63">SUM(O137:Q137)</f>
        <v>62</v>
      </c>
      <c r="S137" s="170">
        <v>2</v>
      </c>
      <c r="T137" s="283"/>
      <c r="U137" s="281"/>
      <c r="V137" s="177" t="s">
        <v>107</v>
      </c>
      <c r="W137" s="170" t="s">
        <v>869</v>
      </c>
      <c r="X137" s="170" t="s">
        <v>18</v>
      </c>
      <c r="Y137" s="178">
        <v>24.5</v>
      </c>
      <c r="Z137" s="177" t="s">
        <v>1390</v>
      </c>
      <c r="AA137" s="170" t="s">
        <v>294</v>
      </c>
      <c r="AB137" s="170" t="s">
        <v>11</v>
      </c>
      <c r="AC137" s="170">
        <v>19</v>
      </c>
      <c r="AD137" s="177" t="s">
        <v>108</v>
      </c>
      <c r="AE137" s="170" t="s">
        <v>74</v>
      </c>
      <c r="AF137" s="170" t="s">
        <v>11</v>
      </c>
      <c r="AG137" s="178">
        <v>18.5</v>
      </c>
      <c r="AH137" s="177"/>
      <c r="AL137" s="177"/>
      <c r="AO137" s="178"/>
      <c r="AP137" s="177"/>
      <c r="AS137" s="178"/>
      <c r="AW137" s="178"/>
      <c r="BA137" s="179"/>
    </row>
    <row r="138" spans="1:53" s="28" customFormat="1" x14ac:dyDescent="0.15">
      <c r="A138" s="28">
        <v>2019</v>
      </c>
      <c r="B138" s="293">
        <v>43532</v>
      </c>
      <c r="C138" s="394" t="s">
        <v>1454</v>
      </c>
      <c r="D138" s="394"/>
      <c r="E138" s="28">
        <v>90</v>
      </c>
      <c r="F138" s="28">
        <v>2</v>
      </c>
      <c r="G138" s="65">
        <v>10</v>
      </c>
      <c r="H138" s="28">
        <v>6</v>
      </c>
      <c r="J138" s="72">
        <v>16</v>
      </c>
      <c r="K138" s="46">
        <f t="shared" si="59"/>
        <v>62.5</v>
      </c>
      <c r="L138" s="46">
        <f t="shared" si="60"/>
        <v>37.5</v>
      </c>
      <c r="M138" s="46">
        <f t="shared" si="61"/>
        <v>0</v>
      </c>
      <c r="N138" s="67">
        <f t="shared" si="62"/>
        <v>100</v>
      </c>
      <c r="O138" s="45">
        <v>37.5</v>
      </c>
      <c r="P138" s="46">
        <v>24.5</v>
      </c>
      <c r="Q138" s="46"/>
      <c r="R138" s="47">
        <f t="shared" si="63"/>
        <v>62</v>
      </c>
      <c r="S138" s="28">
        <v>6</v>
      </c>
      <c r="T138" s="284"/>
      <c r="U138" s="293">
        <v>43532</v>
      </c>
      <c r="V138" s="37" t="s">
        <v>107</v>
      </c>
      <c r="W138" s="28" t="s">
        <v>869</v>
      </c>
      <c r="X138" s="28" t="s">
        <v>18</v>
      </c>
      <c r="Y138" s="38">
        <v>24.5</v>
      </c>
      <c r="Z138" s="28" t="s">
        <v>1390</v>
      </c>
      <c r="AA138" s="28" t="s">
        <v>294</v>
      </c>
      <c r="AB138" s="28" t="s">
        <v>11</v>
      </c>
      <c r="AC138" s="28">
        <v>19</v>
      </c>
      <c r="AD138" s="37" t="s">
        <v>108</v>
      </c>
      <c r="AE138" s="28" t="s">
        <v>74</v>
      </c>
      <c r="AF138" s="28" t="s">
        <v>11</v>
      </c>
      <c r="AG138" s="38">
        <v>18.5</v>
      </c>
      <c r="AH138" s="37"/>
      <c r="AL138" s="37"/>
      <c r="AO138" s="38"/>
      <c r="AP138" s="37"/>
      <c r="AS138" s="38"/>
      <c r="AW138" s="38"/>
      <c r="BA138" s="39"/>
    </row>
    <row r="139" spans="1:53" s="170" customFormat="1" x14ac:dyDescent="0.15">
      <c r="A139" s="170">
        <v>2019</v>
      </c>
      <c r="B139" s="304">
        <v>43622</v>
      </c>
      <c r="C139" s="395" t="s">
        <v>1409</v>
      </c>
      <c r="D139" s="395"/>
      <c r="E139" s="170">
        <v>187</v>
      </c>
      <c r="F139" s="190">
        <v>1</v>
      </c>
      <c r="G139" s="232">
        <v>2</v>
      </c>
      <c r="H139" s="170">
        <v>5</v>
      </c>
      <c r="I139" s="170">
        <v>12</v>
      </c>
      <c r="J139" s="240">
        <v>19</v>
      </c>
      <c r="K139" s="213">
        <f t="shared" si="59"/>
        <v>10.526315789473683</v>
      </c>
      <c r="L139" s="213">
        <f t="shared" si="60"/>
        <v>26.315789473684209</v>
      </c>
      <c r="M139" s="213">
        <f t="shared" si="61"/>
        <v>63.157894736842103</v>
      </c>
      <c r="N139" s="234">
        <f t="shared" si="62"/>
        <v>100</v>
      </c>
      <c r="O139" s="212">
        <v>4.5</v>
      </c>
      <c r="P139" s="213">
        <v>15.5</v>
      </c>
      <c r="Q139" s="213">
        <v>38</v>
      </c>
      <c r="R139" s="214">
        <f t="shared" si="63"/>
        <v>58</v>
      </c>
      <c r="S139" s="170">
        <v>3</v>
      </c>
      <c r="T139" s="283">
        <v>43569</v>
      </c>
      <c r="U139" s="281">
        <v>43622</v>
      </c>
      <c r="V139" s="177" t="s">
        <v>111</v>
      </c>
      <c r="W139" s="170" t="s">
        <v>20</v>
      </c>
      <c r="X139" s="170" t="s">
        <v>12</v>
      </c>
      <c r="Y139" s="178">
        <v>20</v>
      </c>
      <c r="Z139" s="177" t="s">
        <v>107</v>
      </c>
      <c r="AA139" s="170" t="s">
        <v>869</v>
      </c>
      <c r="AB139" s="170" t="s">
        <v>18</v>
      </c>
      <c r="AC139" s="170">
        <v>15.5</v>
      </c>
      <c r="AD139" s="177" t="s">
        <v>362</v>
      </c>
      <c r="AE139" s="170" t="s">
        <v>216</v>
      </c>
      <c r="AF139" s="170" t="s">
        <v>12</v>
      </c>
      <c r="AG139" s="178">
        <v>10</v>
      </c>
      <c r="AH139" s="177" t="s">
        <v>361</v>
      </c>
      <c r="AI139" s="170" t="s">
        <v>191</v>
      </c>
      <c r="AJ139" s="170" t="s">
        <v>12</v>
      </c>
      <c r="AK139" s="178">
        <v>8</v>
      </c>
      <c r="AL139" s="177" t="s">
        <v>1411</v>
      </c>
      <c r="AM139" s="170" t="s">
        <v>89</v>
      </c>
      <c r="AN139" s="170" t="s">
        <v>11</v>
      </c>
      <c r="AO139" s="178">
        <v>4.5</v>
      </c>
      <c r="AP139" s="177"/>
      <c r="AS139" s="178"/>
      <c r="AW139" s="178"/>
      <c r="BA139" s="179"/>
    </row>
    <row r="140" spans="1:53" s="28" customFormat="1" x14ac:dyDescent="0.15">
      <c r="A140" s="28">
        <v>2019</v>
      </c>
      <c r="B140" s="293">
        <v>43809</v>
      </c>
      <c r="C140" s="394" t="s">
        <v>1410</v>
      </c>
      <c r="D140" s="394"/>
      <c r="E140" s="28">
        <v>22</v>
      </c>
      <c r="F140" s="28">
        <v>2</v>
      </c>
      <c r="G140" s="65">
        <v>2</v>
      </c>
      <c r="H140" s="28">
        <v>5</v>
      </c>
      <c r="I140" s="28">
        <v>12</v>
      </c>
      <c r="J140" s="72">
        <v>19</v>
      </c>
      <c r="K140" s="46">
        <f t="shared" ref="K140:K141" si="64">G140/J140*100</f>
        <v>10.526315789473683</v>
      </c>
      <c r="L140" s="46">
        <f t="shared" ref="L140:L143" si="65">H140/J140*100</f>
        <v>26.315789473684209</v>
      </c>
      <c r="M140" s="46">
        <f t="shared" ref="M140:M141" si="66">I140/J140*100</f>
        <v>63.157894736842103</v>
      </c>
      <c r="N140" s="67">
        <f t="shared" ref="N140:N141" si="67">SUM(K140:M140)</f>
        <v>100</v>
      </c>
      <c r="O140" s="45">
        <v>4.5</v>
      </c>
      <c r="P140" s="46">
        <v>15.5</v>
      </c>
      <c r="Q140" s="46">
        <v>38</v>
      </c>
      <c r="R140" s="47">
        <f>SUM(O140:Q140)</f>
        <v>58</v>
      </c>
      <c r="S140" s="28">
        <v>3</v>
      </c>
      <c r="T140" s="284"/>
      <c r="U140" s="293">
        <v>43809</v>
      </c>
      <c r="V140" s="37" t="s">
        <v>111</v>
      </c>
      <c r="W140" s="28" t="s">
        <v>20</v>
      </c>
      <c r="X140" s="28" t="s">
        <v>12</v>
      </c>
      <c r="Y140" s="38">
        <v>20</v>
      </c>
      <c r="Z140" s="28" t="s">
        <v>107</v>
      </c>
      <c r="AA140" s="28" t="s">
        <v>869</v>
      </c>
      <c r="AB140" s="28" t="s">
        <v>18</v>
      </c>
      <c r="AC140" s="28">
        <v>15.5</v>
      </c>
      <c r="AD140" s="37" t="s">
        <v>362</v>
      </c>
      <c r="AE140" s="28" t="s">
        <v>216</v>
      </c>
      <c r="AF140" s="28" t="s">
        <v>12</v>
      </c>
      <c r="AG140" s="38">
        <v>10</v>
      </c>
      <c r="AH140" s="37" t="s">
        <v>361</v>
      </c>
      <c r="AI140" s="28" t="s">
        <v>191</v>
      </c>
      <c r="AJ140" s="28" t="s">
        <v>12</v>
      </c>
      <c r="AK140" s="28">
        <v>8</v>
      </c>
      <c r="AL140" s="37" t="s">
        <v>1411</v>
      </c>
      <c r="AM140" s="28" t="s">
        <v>89</v>
      </c>
      <c r="AN140" s="28" t="s">
        <v>11</v>
      </c>
      <c r="AO140" s="38">
        <v>4.5</v>
      </c>
      <c r="AP140" s="37"/>
      <c r="AS140" s="38"/>
      <c r="AW140" s="38"/>
      <c r="BA140" s="39"/>
    </row>
    <row r="141" spans="1:53" s="28" customFormat="1" x14ac:dyDescent="0.15">
      <c r="A141" s="28">
        <v>2020</v>
      </c>
      <c r="B141" s="293"/>
      <c r="C141" s="394" t="s">
        <v>1410</v>
      </c>
      <c r="D141" s="394"/>
      <c r="E141" s="28">
        <v>0</v>
      </c>
      <c r="G141" s="65">
        <v>2</v>
      </c>
      <c r="H141" s="28">
        <v>5</v>
      </c>
      <c r="I141" s="28">
        <v>12</v>
      </c>
      <c r="J141" s="72">
        <v>19</v>
      </c>
      <c r="K141" s="46">
        <f t="shared" si="64"/>
        <v>10.526315789473683</v>
      </c>
      <c r="L141" s="46">
        <f>H141/J141*100</f>
        <v>26.315789473684209</v>
      </c>
      <c r="M141" s="46">
        <f t="shared" si="66"/>
        <v>63.157894736842103</v>
      </c>
      <c r="N141" s="67">
        <f t="shared" si="67"/>
        <v>100</v>
      </c>
      <c r="O141" s="45">
        <v>4.5</v>
      </c>
      <c r="P141" s="46">
        <v>15.5</v>
      </c>
      <c r="Q141" s="46">
        <v>38</v>
      </c>
      <c r="R141" s="47">
        <f t="shared" ref="R141:R142" si="68">SUM(O141:Q141)</f>
        <v>58</v>
      </c>
      <c r="S141" s="28">
        <v>3</v>
      </c>
      <c r="T141" s="284"/>
      <c r="U141" s="293"/>
      <c r="V141" s="37" t="s">
        <v>111</v>
      </c>
      <c r="W141" s="28" t="s">
        <v>20</v>
      </c>
      <c r="X141" s="28" t="s">
        <v>12</v>
      </c>
      <c r="Y141" s="38">
        <v>20</v>
      </c>
      <c r="Z141" s="28" t="s">
        <v>107</v>
      </c>
      <c r="AA141" s="28" t="s">
        <v>869</v>
      </c>
      <c r="AB141" s="28" t="s">
        <v>18</v>
      </c>
      <c r="AC141" s="28">
        <v>15.5</v>
      </c>
      <c r="AD141" s="37" t="s">
        <v>362</v>
      </c>
      <c r="AE141" s="28" t="s">
        <v>216</v>
      </c>
      <c r="AF141" s="28" t="s">
        <v>12</v>
      </c>
      <c r="AG141" s="38">
        <v>10</v>
      </c>
      <c r="AH141" s="37" t="s">
        <v>361</v>
      </c>
      <c r="AI141" s="28" t="s">
        <v>191</v>
      </c>
      <c r="AJ141" s="28" t="s">
        <v>12</v>
      </c>
      <c r="AK141" s="28">
        <v>8</v>
      </c>
      <c r="AL141" s="37" t="s">
        <v>1411</v>
      </c>
      <c r="AM141" s="28" t="s">
        <v>89</v>
      </c>
      <c r="AN141" s="28" t="s">
        <v>11</v>
      </c>
      <c r="AO141" s="38">
        <v>4.5</v>
      </c>
      <c r="AP141" s="37"/>
      <c r="AS141" s="38"/>
      <c r="AW141" s="38"/>
      <c r="BA141" s="39"/>
    </row>
    <row r="142" spans="1:53" s="28" customFormat="1" x14ac:dyDescent="0.15">
      <c r="A142" s="28">
        <v>2020</v>
      </c>
      <c r="B142" s="40"/>
      <c r="C142" s="394" t="s">
        <v>1410</v>
      </c>
      <c r="D142" s="394"/>
      <c r="E142" s="28">
        <v>366</v>
      </c>
      <c r="G142" s="65">
        <v>2</v>
      </c>
      <c r="H142" s="28">
        <v>5</v>
      </c>
      <c r="I142" s="28">
        <v>12</v>
      </c>
      <c r="J142" s="72">
        <v>19</v>
      </c>
      <c r="K142" s="46">
        <f>G142/J142*100</f>
        <v>10.526315789473683</v>
      </c>
      <c r="L142" s="46">
        <f t="shared" si="65"/>
        <v>26.315789473684209</v>
      </c>
      <c r="M142" s="46">
        <f>I142/J142*100</f>
        <v>63.157894736842103</v>
      </c>
      <c r="N142" s="67">
        <f>SUM(K142:M142)</f>
        <v>100</v>
      </c>
      <c r="O142" s="45">
        <v>4.5</v>
      </c>
      <c r="P142" s="46">
        <v>15.5</v>
      </c>
      <c r="Q142" s="46">
        <v>38</v>
      </c>
      <c r="R142" s="47">
        <f t="shared" si="68"/>
        <v>58</v>
      </c>
      <c r="S142" s="28">
        <v>3</v>
      </c>
      <c r="T142" s="284"/>
      <c r="U142" s="293"/>
      <c r="V142" s="37" t="s">
        <v>111</v>
      </c>
      <c r="W142" s="28" t="s">
        <v>20</v>
      </c>
      <c r="X142" s="28" t="s">
        <v>12</v>
      </c>
      <c r="Y142" s="38">
        <v>20</v>
      </c>
      <c r="Z142" s="28" t="s">
        <v>107</v>
      </c>
      <c r="AA142" s="28" t="s">
        <v>869</v>
      </c>
      <c r="AB142" s="28" t="s">
        <v>18</v>
      </c>
      <c r="AC142" s="28">
        <v>15.5</v>
      </c>
      <c r="AD142" s="37" t="s">
        <v>362</v>
      </c>
      <c r="AE142" s="28" t="s">
        <v>216</v>
      </c>
      <c r="AF142" s="28" t="s">
        <v>12</v>
      </c>
      <c r="AG142" s="38">
        <v>10</v>
      </c>
      <c r="AH142" s="37" t="s">
        <v>361</v>
      </c>
      <c r="AI142" s="28" t="s">
        <v>191</v>
      </c>
      <c r="AJ142" s="28" t="s">
        <v>12</v>
      </c>
      <c r="AK142" s="28">
        <v>8</v>
      </c>
      <c r="AL142" s="37" t="s">
        <v>1411</v>
      </c>
      <c r="AM142" s="28" t="s">
        <v>89</v>
      </c>
      <c r="AN142" s="28" t="s">
        <v>11</v>
      </c>
      <c r="AO142" s="38">
        <v>4.5</v>
      </c>
      <c r="AP142" s="37"/>
      <c r="AS142" s="38"/>
      <c r="AW142" s="38"/>
      <c r="BA142" s="39"/>
    </row>
    <row r="143" spans="1:53" s="28" customFormat="1" x14ac:dyDescent="0.15">
      <c r="A143" s="28">
        <v>2021</v>
      </c>
      <c r="B143" s="40"/>
      <c r="C143" s="394" t="s">
        <v>1410</v>
      </c>
      <c r="D143" s="394"/>
      <c r="E143" s="28">
        <v>0</v>
      </c>
      <c r="G143" s="65">
        <v>2</v>
      </c>
      <c r="H143" s="28">
        <v>5</v>
      </c>
      <c r="I143" s="28">
        <v>12</v>
      </c>
      <c r="J143" s="72">
        <v>19</v>
      </c>
      <c r="K143" s="46">
        <f>G143/J143*100</f>
        <v>10.526315789473683</v>
      </c>
      <c r="L143" s="46">
        <f t="shared" si="65"/>
        <v>26.315789473684209</v>
      </c>
      <c r="M143" s="46">
        <f>I143/J143*100</f>
        <v>63.157894736842103</v>
      </c>
      <c r="N143" s="67">
        <f>SUM(K143:M143)</f>
        <v>100</v>
      </c>
      <c r="O143" s="45">
        <v>5</v>
      </c>
      <c r="P143" s="46">
        <v>15.5</v>
      </c>
      <c r="Q143" s="46">
        <v>38</v>
      </c>
      <c r="R143" s="47">
        <f>SUM(O143:Q143)</f>
        <v>58.5</v>
      </c>
      <c r="S143" s="28">
        <v>3</v>
      </c>
      <c r="T143" s="284"/>
      <c r="U143" s="293"/>
      <c r="V143" s="37" t="s">
        <v>111</v>
      </c>
      <c r="W143" s="28" t="s">
        <v>20</v>
      </c>
      <c r="X143" s="28" t="s">
        <v>12</v>
      </c>
      <c r="Y143" s="38">
        <v>20</v>
      </c>
      <c r="Z143" s="28" t="s">
        <v>107</v>
      </c>
      <c r="AA143" s="28" t="s">
        <v>869</v>
      </c>
      <c r="AB143" s="28" t="s">
        <v>18</v>
      </c>
      <c r="AC143" s="28">
        <v>15.5</v>
      </c>
      <c r="AD143" s="37" t="s">
        <v>362</v>
      </c>
      <c r="AE143" s="28" t="s">
        <v>216</v>
      </c>
      <c r="AF143" s="28" t="s">
        <v>12</v>
      </c>
      <c r="AG143" s="38">
        <v>10</v>
      </c>
      <c r="AH143" s="37" t="s">
        <v>361</v>
      </c>
      <c r="AI143" s="28" t="s">
        <v>191</v>
      </c>
      <c r="AJ143" s="28" t="s">
        <v>12</v>
      </c>
      <c r="AK143" s="28">
        <v>8</v>
      </c>
      <c r="AL143" s="37" t="s">
        <v>1411</v>
      </c>
      <c r="AM143" s="28" t="s">
        <v>89</v>
      </c>
      <c r="AN143" s="28" t="s">
        <v>11</v>
      </c>
      <c r="AO143" s="38">
        <v>4.5</v>
      </c>
      <c r="AP143" s="37"/>
      <c r="AS143" s="38"/>
      <c r="AW143" s="38"/>
      <c r="BA143" s="39"/>
    </row>
    <row r="144" spans="1:53" s="28" customFormat="1" x14ac:dyDescent="0.15">
      <c r="A144" s="28">
        <v>2021</v>
      </c>
      <c r="B144" s="40"/>
      <c r="C144" s="394" t="s">
        <v>1410</v>
      </c>
      <c r="D144" s="394"/>
      <c r="E144" s="28">
        <v>365</v>
      </c>
      <c r="G144" s="65">
        <v>2</v>
      </c>
      <c r="H144" s="28">
        <v>5</v>
      </c>
      <c r="I144" s="28">
        <v>12</v>
      </c>
      <c r="J144" s="72">
        <v>19</v>
      </c>
      <c r="K144" s="46">
        <f>G144/J144*100</f>
        <v>10.526315789473683</v>
      </c>
      <c r="L144" s="46">
        <f>H144/J144*100</f>
        <v>26.315789473684209</v>
      </c>
      <c r="M144" s="46">
        <f>I144/J144*100</f>
        <v>63.157894736842103</v>
      </c>
      <c r="N144" s="67">
        <f>SUM(K144:M144)</f>
        <v>100</v>
      </c>
      <c r="O144" s="45">
        <v>5</v>
      </c>
      <c r="P144" s="46">
        <v>15.5</v>
      </c>
      <c r="Q144" s="46">
        <v>38</v>
      </c>
      <c r="R144" s="47">
        <f>SUM(O144:Q144)</f>
        <v>58.5</v>
      </c>
      <c r="S144" s="28">
        <v>3</v>
      </c>
      <c r="T144" s="284"/>
      <c r="U144" s="293"/>
      <c r="V144" s="37" t="s">
        <v>111</v>
      </c>
      <c r="W144" s="28" t="s">
        <v>20</v>
      </c>
      <c r="X144" s="28" t="s">
        <v>12</v>
      </c>
      <c r="Y144" s="38">
        <v>20</v>
      </c>
      <c r="Z144" s="28" t="s">
        <v>107</v>
      </c>
      <c r="AA144" s="28" t="s">
        <v>869</v>
      </c>
      <c r="AB144" s="28" t="s">
        <v>18</v>
      </c>
      <c r="AC144" s="28">
        <v>15.5</v>
      </c>
      <c r="AD144" s="37" t="s">
        <v>362</v>
      </c>
      <c r="AE144" s="28" t="s">
        <v>216</v>
      </c>
      <c r="AF144" s="28" t="s">
        <v>12</v>
      </c>
      <c r="AG144" s="38">
        <v>10</v>
      </c>
      <c r="AH144" s="37" t="s">
        <v>361</v>
      </c>
      <c r="AI144" s="28" t="s">
        <v>191</v>
      </c>
      <c r="AJ144" s="28" t="s">
        <v>12</v>
      </c>
      <c r="AK144" s="28">
        <v>8</v>
      </c>
      <c r="AL144" s="37" t="s">
        <v>1411</v>
      </c>
      <c r="AM144" s="28" t="s">
        <v>89</v>
      </c>
      <c r="AN144" s="28" t="s">
        <v>11</v>
      </c>
      <c r="AO144" s="38">
        <v>4.5</v>
      </c>
      <c r="AP144" s="37"/>
      <c r="AS144" s="38"/>
      <c r="AW144" s="38"/>
      <c r="BA144" s="39"/>
    </row>
    <row r="145" spans="1:53" s="28" customFormat="1" x14ac:dyDescent="0.15">
      <c r="A145" s="28">
        <v>2022</v>
      </c>
      <c r="B145" s="40"/>
      <c r="C145" s="394" t="s">
        <v>1410</v>
      </c>
      <c r="D145" s="394"/>
      <c r="E145" s="28">
        <v>0</v>
      </c>
      <c r="G145" s="65">
        <v>2</v>
      </c>
      <c r="H145" s="28">
        <v>5</v>
      </c>
      <c r="I145" s="28">
        <v>12</v>
      </c>
      <c r="J145" s="72">
        <v>19</v>
      </c>
      <c r="K145" s="46">
        <f>G145/J145*100</f>
        <v>10.526315789473683</v>
      </c>
      <c r="L145" s="46">
        <f>H145/J145*100</f>
        <v>26.315789473684209</v>
      </c>
      <c r="M145" s="46">
        <f>I145/J145*100</f>
        <v>63.157894736842103</v>
      </c>
      <c r="N145" s="67">
        <f>SUM(K145:M145)</f>
        <v>100</v>
      </c>
      <c r="O145" s="45">
        <v>5</v>
      </c>
      <c r="P145" s="46">
        <v>15.5</v>
      </c>
      <c r="Q145" s="46">
        <v>38</v>
      </c>
      <c r="R145" s="47">
        <f>SUM(O145:Q145)</f>
        <v>58.5</v>
      </c>
      <c r="S145" s="28">
        <v>3</v>
      </c>
      <c r="T145" s="284"/>
      <c r="U145" s="293"/>
      <c r="V145" s="37" t="s">
        <v>111</v>
      </c>
      <c r="W145" s="28" t="s">
        <v>20</v>
      </c>
      <c r="X145" s="28" t="s">
        <v>12</v>
      </c>
      <c r="Y145" s="38">
        <v>20</v>
      </c>
      <c r="Z145" s="28" t="s">
        <v>107</v>
      </c>
      <c r="AA145" s="28" t="s">
        <v>869</v>
      </c>
      <c r="AB145" s="28" t="s">
        <v>18</v>
      </c>
      <c r="AC145" s="28">
        <v>15.5</v>
      </c>
      <c r="AD145" s="37" t="s">
        <v>362</v>
      </c>
      <c r="AE145" s="28" t="s">
        <v>216</v>
      </c>
      <c r="AF145" s="28" t="s">
        <v>12</v>
      </c>
      <c r="AG145" s="38">
        <v>10</v>
      </c>
      <c r="AH145" s="37" t="s">
        <v>361</v>
      </c>
      <c r="AI145" s="28" t="s">
        <v>191</v>
      </c>
      <c r="AJ145" s="28" t="s">
        <v>12</v>
      </c>
      <c r="AK145" s="28">
        <v>8</v>
      </c>
      <c r="AL145" s="37" t="s">
        <v>1411</v>
      </c>
      <c r="AM145" s="28" t="s">
        <v>89</v>
      </c>
      <c r="AN145" s="28" t="s">
        <v>11</v>
      </c>
      <c r="AO145" s="38">
        <v>4.5</v>
      </c>
      <c r="AP145" s="37"/>
      <c r="AS145" s="38"/>
      <c r="AW145" s="38"/>
      <c r="BA145" s="39"/>
    </row>
    <row r="146" spans="1:53" s="28" customFormat="1" x14ac:dyDescent="0.15">
      <c r="A146" s="28">
        <v>2022</v>
      </c>
      <c r="B146" s="40"/>
      <c r="C146" s="394" t="s">
        <v>1410</v>
      </c>
      <c r="D146" s="394"/>
      <c r="E146" s="28">
        <v>365</v>
      </c>
      <c r="G146" s="65">
        <v>2</v>
      </c>
      <c r="H146" s="28">
        <v>5</v>
      </c>
      <c r="I146" s="28">
        <v>12</v>
      </c>
      <c r="J146" s="72">
        <v>19</v>
      </c>
      <c r="K146" s="46">
        <f>G146/J146*100</f>
        <v>10.526315789473683</v>
      </c>
      <c r="L146" s="46">
        <f>H146/J146*100</f>
        <v>26.315789473684209</v>
      </c>
      <c r="M146" s="46">
        <f>I146/J146*100</f>
        <v>63.157894736842103</v>
      </c>
      <c r="N146" s="67">
        <f>SUM(K146:M146)</f>
        <v>100</v>
      </c>
      <c r="O146" s="45">
        <v>5</v>
      </c>
      <c r="P146" s="46">
        <v>15.5</v>
      </c>
      <c r="Q146" s="46">
        <v>38</v>
      </c>
      <c r="R146" s="47">
        <f>SUM(O146:Q146)</f>
        <v>58.5</v>
      </c>
      <c r="S146" s="28">
        <v>3</v>
      </c>
      <c r="T146" s="284"/>
      <c r="U146" s="293"/>
      <c r="V146" s="37" t="s">
        <v>111</v>
      </c>
      <c r="W146" s="28" t="s">
        <v>20</v>
      </c>
      <c r="X146" s="28" t="s">
        <v>12</v>
      </c>
      <c r="Y146" s="38">
        <v>20</v>
      </c>
      <c r="Z146" s="28" t="s">
        <v>107</v>
      </c>
      <c r="AA146" s="28" t="s">
        <v>869</v>
      </c>
      <c r="AB146" s="28" t="s">
        <v>18</v>
      </c>
      <c r="AC146" s="28">
        <v>15.5</v>
      </c>
      <c r="AD146" s="37" t="s">
        <v>362</v>
      </c>
      <c r="AE146" s="28" t="s">
        <v>216</v>
      </c>
      <c r="AF146" s="28" t="s">
        <v>12</v>
      </c>
      <c r="AG146" s="38">
        <v>10</v>
      </c>
      <c r="AH146" s="37" t="s">
        <v>361</v>
      </c>
      <c r="AI146" s="28" t="s">
        <v>191</v>
      </c>
      <c r="AJ146" s="28" t="s">
        <v>12</v>
      </c>
      <c r="AK146" s="28">
        <v>8</v>
      </c>
      <c r="AL146" s="37" t="s">
        <v>1411</v>
      </c>
      <c r="AM146" s="28" t="s">
        <v>89</v>
      </c>
      <c r="AN146" s="28" t="s">
        <v>11</v>
      </c>
      <c r="AO146" s="38">
        <v>4.5</v>
      </c>
      <c r="AP146" s="37"/>
      <c r="AS146" s="38"/>
      <c r="AW146" s="38"/>
      <c r="BA146" s="39"/>
    </row>
    <row r="147" spans="1:53" s="28" customFormat="1" x14ac:dyDescent="0.15">
      <c r="B147" s="40"/>
      <c r="J147" s="71"/>
      <c r="K147" s="46"/>
      <c r="L147" s="46"/>
      <c r="M147" s="46"/>
      <c r="N147" s="67"/>
      <c r="O147" s="46"/>
      <c r="P147" s="46"/>
      <c r="Q147" s="46"/>
      <c r="R147" s="67"/>
      <c r="T147" s="293"/>
      <c r="U147" s="293"/>
    </row>
    <row r="148" spans="1:53" ht="18" customHeight="1" x14ac:dyDescent="0.15">
      <c r="B148" s="15" t="s">
        <v>1262</v>
      </c>
    </row>
    <row r="149" spans="1:53" ht="9" customHeight="1" x14ac:dyDescent="0.15"/>
    <row r="150" spans="1:53" s="194" customFormat="1" ht="9" customHeight="1" x14ac:dyDescent="0.15">
      <c r="A150" s="192"/>
      <c r="B150" s="193" t="s">
        <v>1213</v>
      </c>
      <c r="C150" s="193"/>
      <c r="D150" s="193"/>
      <c r="E150" s="193"/>
      <c r="F150" s="193"/>
      <c r="G150" s="193" t="s">
        <v>1214</v>
      </c>
      <c r="H150" s="193"/>
      <c r="I150" s="193"/>
      <c r="J150" s="193"/>
      <c r="K150" s="193"/>
      <c r="L150" s="193"/>
      <c r="M150" s="193"/>
      <c r="N150" s="193"/>
      <c r="R150" s="386" t="s">
        <v>1215</v>
      </c>
      <c r="S150" s="386"/>
      <c r="T150" s="386"/>
      <c r="U150" s="386"/>
      <c r="V150" s="386"/>
      <c r="W150" s="386"/>
      <c r="X150" s="195"/>
      <c r="Y150" s="195"/>
      <c r="AA150" s="195"/>
      <c r="AB150" s="195"/>
      <c r="AC150" s="195"/>
      <c r="AD150" s="195"/>
    </row>
    <row r="151" spans="1:53" s="199" customFormat="1" ht="9" customHeight="1" x14ac:dyDescent="0.15">
      <c r="A151" s="196"/>
      <c r="B151" s="197" t="s">
        <v>1217</v>
      </c>
      <c r="C151" s="198"/>
      <c r="D151" s="198"/>
      <c r="E151" s="198"/>
      <c r="F151" s="198"/>
      <c r="G151" s="197" t="s">
        <v>1216</v>
      </c>
      <c r="H151" s="198"/>
      <c r="I151" s="198"/>
      <c r="J151" s="198"/>
      <c r="K151" s="198"/>
      <c r="L151" s="198"/>
      <c r="M151" s="198"/>
      <c r="N151" s="198"/>
      <c r="R151" s="200" t="s">
        <v>1218</v>
      </c>
      <c r="S151" s="201"/>
      <c r="T151" s="202"/>
      <c r="U151" s="202"/>
      <c r="V151" s="202"/>
      <c r="W151" s="200" t="s">
        <v>1219</v>
      </c>
      <c r="X151" s="202"/>
      <c r="Y151" s="202"/>
      <c r="AA151" s="202"/>
      <c r="AB151" s="202"/>
      <c r="AC151" s="202"/>
      <c r="AD151" s="202"/>
    </row>
    <row r="152" spans="1:53" s="185" customFormat="1" ht="12" customHeight="1" x14ac:dyDescent="0.15">
      <c r="A152" s="203" t="s">
        <v>3</v>
      </c>
      <c r="B152" s="204" t="s">
        <v>8</v>
      </c>
      <c r="C152" s="204" t="s">
        <v>9</v>
      </c>
      <c r="D152" s="204" t="s">
        <v>10</v>
      </c>
      <c r="E152" s="205" t="s">
        <v>1193</v>
      </c>
      <c r="F152" s="204"/>
      <c r="G152" s="185" t="s">
        <v>3</v>
      </c>
      <c r="H152" s="387" t="s">
        <v>0</v>
      </c>
      <c r="I152" s="387"/>
      <c r="J152" s="387" t="s">
        <v>1</v>
      </c>
      <c r="K152" s="387"/>
      <c r="L152" s="387" t="s">
        <v>2</v>
      </c>
      <c r="M152" s="387"/>
      <c r="N152" s="388" t="s">
        <v>1193</v>
      </c>
      <c r="O152" s="388"/>
      <c r="P152" s="206"/>
      <c r="Q152" s="206"/>
      <c r="R152" s="207" t="s">
        <v>3</v>
      </c>
      <c r="S152" s="208" t="s">
        <v>135</v>
      </c>
      <c r="T152" s="206" t="s">
        <v>133</v>
      </c>
      <c r="U152" s="204" t="s">
        <v>134</v>
      </c>
      <c r="V152" s="206"/>
      <c r="W152" s="209" t="s">
        <v>26</v>
      </c>
    </row>
    <row r="153" spans="1:53" s="139" customFormat="1" x14ac:dyDescent="0.15">
      <c r="A153" s="139">
        <v>1959</v>
      </c>
      <c r="B153" s="142">
        <f>(K6*($E6/365))+(K7*($E7/365))</f>
        <v>0.8966376089663759</v>
      </c>
      <c r="C153" s="142">
        <f>(L6*($E6/365))+(L7*($E7/365))</f>
        <v>97.907845579078469</v>
      </c>
      <c r="D153" s="142">
        <f>(M6*($E6/365))+(M7*($E7/365))</f>
        <v>0.8966376089663759</v>
      </c>
      <c r="E153" s="143">
        <f>B153+C153+D153</f>
        <v>99.701120797011214</v>
      </c>
      <c r="G153" s="139">
        <v>1959</v>
      </c>
      <c r="H153" s="389">
        <f>(O6/$R6*100*($E6/365))+(O7/$R7*100*($E7/365))</f>
        <v>1.0005955926146517</v>
      </c>
      <c r="I153" s="389"/>
      <c r="J153" s="389">
        <f>(P6/$R6*100*($E6/365))+(P7/$R7*100*($E7/365))</f>
        <v>97.855866587254326</v>
      </c>
      <c r="K153" s="389"/>
      <c r="L153" s="389">
        <f>(Q6/$R6*100*($E6/365))+(Q7/$R7*100*($E7/365))</f>
        <v>1.1435378201310302</v>
      </c>
      <c r="M153" s="389"/>
      <c r="N153" s="412">
        <f>H153+J153+K153</f>
        <v>98.856462179868984</v>
      </c>
      <c r="O153" s="412"/>
      <c r="P153" s="152"/>
      <c r="Q153" s="152"/>
      <c r="R153" s="152">
        <v>1959</v>
      </c>
      <c r="S153" s="142">
        <f>(O6*($E6/365))+(O7*($E7/365))</f>
        <v>0.69041095890410953</v>
      </c>
      <c r="T153" s="142">
        <f>(P6*($E6/365))+(P7*($E7/365))</f>
        <v>24</v>
      </c>
      <c r="U153" s="142">
        <f>(Q6*($E6/365))+(Q7*($E7/365))</f>
        <v>0.78904109589041083</v>
      </c>
      <c r="V153" s="152"/>
      <c r="W153" s="142">
        <f>S153+T153+U153</f>
        <v>25.479452054794521</v>
      </c>
      <c r="X153" s="144"/>
      <c r="Y153" s="144"/>
    </row>
    <row r="154" spans="1:53" x14ac:dyDescent="0.15">
      <c r="A154" s="1">
        <v>1960</v>
      </c>
      <c r="B154" s="5">
        <f>(K8*($E8/366))+(K9*($E9/366))</f>
        <v>0</v>
      </c>
      <c r="C154" s="5">
        <f>(L8*($E8/366))+(L9*($E9/366))</f>
        <v>100</v>
      </c>
      <c r="D154" s="5">
        <f>(M8*($E8/366))+(M9*($E9/366))</f>
        <v>0</v>
      </c>
      <c r="E154" s="17">
        <f>SUM(B154:D154)</f>
        <v>100</v>
      </c>
      <c r="G154" s="1">
        <v>1960</v>
      </c>
      <c r="H154" s="362">
        <f>(O8/$R8*100*($E8/366))+(O9/$R9*100*($E9/366))</f>
        <v>0</v>
      </c>
      <c r="I154" s="362"/>
      <c r="J154" s="362">
        <f>(P8/$R8*100*($E8/366))+(P9/$R9*100*($E9/366))</f>
        <v>100</v>
      </c>
      <c r="K154" s="362"/>
      <c r="L154" s="362">
        <f>(Q8/$R8*100*($E8/366))+(Q9/$R9*100*($E9/366))</f>
        <v>0</v>
      </c>
      <c r="M154" s="362"/>
      <c r="N154" s="363">
        <f t="shared" ref="N154:N184" si="69">SUM(H154:M154)</f>
        <v>100</v>
      </c>
      <c r="O154" s="363"/>
      <c r="P154" s="9"/>
      <c r="Q154" s="9"/>
      <c r="R154" s="9">
        <v>1960</v>
      </c>
      <c r="S154" s="5">
        <f>(O8*($E8/366))+(O9*($E9/366))</f>
        <v>0</v>
      </c>
      <c r="T154" s="5">
        <f>(P8*($E8/366))+(P9*($E9/366))</f>
        <v>24</v>
      </c>
      <c r="U154" s="5">
        <f>(Q8*($E8/366))+(Q9*($E9/366))</f>
        <v>0</v>
      </c>
      <c r="V154" s="9"/>
      <c r="W154" s="5">
        <f>SUM(S154:U154)</f>
        <v>24</v>
      </c>
      <c r="X154" s="4"/>
      <c r="Y154" s="4"/>
    </row>
    <row r="155" spans="1:53" x14ac:dyDescent="0.15">
      <c r="A155" s="1">
        <v>1961</v>
      </c>
      <c r="B155" s="5">
        <f>(K10*($E10/365))+(K11*($E11/365))</f>
        <v>0</v>
      </c>
      <c r="C155" s="5">
        <f>(L10*($E10/365))+(L11*($E11/365))</f>
        <v>96.396206533192839</v>
      </c>
      <c r="D155" s="5">
        <f>(M10*($E10/365))+(M11*($E11/365))</f>
        <v>0</v>
      </c>
      <c r="E155" s="17">
        <f t="shared" ref="E155:E207" si="70">SUM(B155:D155)</f>
        <v>96.396206533192839</v>
      </c>
      <c r="G155" s="1">
        <v>1961</v>
      </c>
      <c r="H155" s="362">
        <f>(O10/$R10*100*($E10/365))+(O11/$R11*100*($E11/365))</f>
        <v>0</v>
      </c>
      <c r="I155" s="362"/>
      <c r="J155" s="362">
        <f>(P10/$R10*100*($E10/365))+(P11/$R11*100*($E11/365))</f>
        <v>100</v>
      </c>
      <c r="K155" s="362"/>
      <c r="L155" s="362">
        <f>(Q10/$R10*100*($E10/365))+(Q11/$R11*100*($E11/365))</f>
        <v>0</v>
      </c>
      <c r="M155" s="362"/>
      <c r="N155" s="363">
        <f t="shared" si="69"/>
        <v>100</v>
      </c>
      <c r="O155" s="363"/>
      <c r="P155" s="9"/>
      <c r="Q155" s="9"/>
      <c r="R155" s="9">
        <v>1961</v>
      </c>
      <c r="S155" s="5">
        <f>(O10*($E10/365))+(O11*($E11/365))</f>
        <v>0</v>
      </c>
      <c r="T155" s="5">
        <f>(P10*($E10/365))+(P11*($E11/365))</f>
        <v>24</v>
      </c>
      <c r="U155" s="5">
        <f>(Q10*($E10/365))+(Q11*($E11/365))</f>
        <v>0</v>
      </c>
      <c r="V155" s="9"/>
      <c r="W155" s="5">
        <f t="shared" ref="W155:W207" si="71">SUM(S155:U155)</f>
        <v>24</v>
      </c>
      <c r="X155" s="4"/>
      <c r="Y155" s="4"/>
    </row>
    <row r="156" spans="1:53" x14ac:dyDescent="0.15">
      <c r="A156" s="1">
        <v>1962</v>
      </c>
      <c r="B156" s="5">
        <f>(K12*($E12/365))+(K13*($E13/365))</f>
        <v>19.651307596513075</v>
      </c>
      <c r="C156" s="5">
        <f>(L12*($E12/365))+(L13*($E13/365))</f>
        <v>71.648625347255489</v>
      </c>
      <c r="D156" s="5">
        <f>(M12*($E12/365))+(M13*($E13/365))</f>
        <v>0</v>
      </c>
      <c r="E156" s="17">
        <f t="shared" si="70"/>
        <v>91.299932943768567</v>
      </c>
      <c r="G156" s="1">
        <v>1962</v>
      </c>
      <c r="H156" s="362">
        <f>(O12/$R12*100*($E12/365))+(O13/$R13*100*($E13/365))</f>
        <v>29.593933463796478</v>
      </c>
      <c r="I156" s="362"/>
      <c r="J156" s="362">
        <f>(P12/$R12*100*($E12/365))+(P13/$R13*100*($E13/365))</f>
        <v>70.406066536203525</v>
      </c>
      <c r="K156" s="362"/>
      <c r="L156" s="362">
        <f>(Q12/$R12*100*($E12/365))+(Q13/$R13*100*($E13/365))</f>
        <v>0</v>
      </c>
      <c r="M156" s="362"/>
      <c r="N156" s="363">
        <f t="shared" si="69"/>
        <v>100</v>
      </c>
      <c r="O156" s="363"/>
      <c r="P156" s="9"/>
      <c r="Q156" s="9"/>
      <c r="R156" s="9">
        <v>1962</v>
      </c>
      <c r="S156" s="5">
        <f>(O12*($E12/365))+(O13*($E13/365))</f>
        <v>16.57260273972603</v>
      </c>
      <c r="T156" s="5">
        <f>(P12*($E12/365))+(P13*($E13/365))</f>
        <v>30.484931506849314</v>
      </c>
      <c r="U156" s="5">
        <f>(Q12*($E12/365))+(Q13*($E13/365))</f>
        <v>0</v>
      </c>
      <c r="V156" s="9"/>
      <c r="W156" s="5">
        <f t="shared" si="71"/>
        <v>47.057534246575344</v>
      </c>
      <c r="X156" s="4"/>
      <c r="Y156" s="4"/>
    </row>
    <row r="157" spans="1:53" x14ac:dyDescent="0.15">
      <c r="A157" s="1">
        <v>1963</v>
      </c>
      <c r="B157" s="5">
        <f>(K14*($E14/365))+(K15*($E15/365))+(K16*($E16/365))</f>
        <v>26.65255292652553</v>
      </c>
      <c r="C157" s="5">
        <f>(L14*($E14/365))+(L15*($E15/365))+(L16*($E16/365))</f>
        <v>62.189290161892899</v>
      </c>
      <c r="D157" s="5">
        <f>(M14*($E14/365))+(M15*($E15/365))+(M16*($E16/365))</f>
        <v>0</v>
      </c>
      <c r="E157" s="17">
        <f t="shared" si="70"/>
        <v>88.841843088418429</v>
      </c>
      <c r="G157" s="1">
        <v>1963</v>
      </c>
      <c r="H157" s="362">
        <f>(O14/$R14*100*($E14/365))+(O15/$R15*100*($E15/365))</f>
        <v>39.496086105675147</v>
      </c>
      <c r="I157" s="362"/>
      <c r="J157" s="362">
        <f>(P14/$R14*100*($E14/365))+(P15/$R15*100*($E15/365))</f>
        <v>56.668297455968691</v>
      </c>
      <c r="K157" s="362"/>
      <c r="L157" s="362">
        <f>(Q14/$R14*100*($E14/365))+(Q15/$R15*100*($E15/365))</f>
        <v>0</v>
      </c>
      <c r="M157" s="362"/>
      <c r="N157" s="363">
        <f t="shared" si="69"/>
        <v>96.164383561643831</v>
      </c>
      <c r="O157" s="363"/>
      <c r="P157" s="9"/>
      <c r="Q157" s="9"/>
      <c r="R157" s="9">
        <v>1963</v>
      </c>
      <c r="S157" s="5">
        <f>(O14*($E14/365))+(O15*($E15/365))+(O16*($E16/365))</f>
        <v>22.117808219178084</v>
      </c>
      <c r="T157" s="5">
        <f>(P14*($E14/365))+(P15*($E15/365))+(P16*($E16/365))</f>
        <v>31.734246575342468</v>
      </c>
      <c r="U157" s="5">
        <f>(Q14*($E14/365))+(Q15*($E15/365))+(Q16*($E16/365))</f>
        <v>0</v>
      </c>
      <c r="V157" s="9"/>
      <c r="W157" s="5">
        <f t="shared" si="71"/>
        <v>53.852054794520555</v>
      </c>
      <c r="X157" s="4"/>
      <c r="Y157" s="4"/>
    </row>
    <row r="158" spans="1:53" x14ac:dyDescent="0.15">
      <c r="A158" s="1">
        <v>1964</v>
      </c>
      <c r="B158" s="5">
        <f>(K17*($E17/366))+(K18*($E18/366))</f>
        <v>11.028315946348734</v>
      </c>
      <c r="C158" s="5">
        <f>(L17*($E17/366))+(L18*($E18/366))</f>
        <v>19.299552906110282</v>
      </c>
      <c r="D158" s="5">
        <f>(M17*($E17/366))+(M18*($E18/366))</f>
        <v>0</v>
      </c>
      <c r="E158" s="17">
        <f t="shared" si="70"/>
        <v>30.327868852459016</v>
      </c>
      <c r="G158" s="1">
        <v>1964</v>
      </c>
      <c r="H158" s="362">
        <f>(O18/$R18*100*($E18/366))</f>
        <v>12.456088992974239</v>
      </c>
      <c r="I158" s="362"/>
      <c r="J158" s="362">
        <f>(P18/$R18*100*($E18/366))</f>
        <v>17.871779859484779</v>
      </c>
      <c r="K158" s="362"/>
      <c r="L158" s="362">
        <f>(Q18/$R18*100*($E18/366))</f>
        <v>0</v>
      </c>
      <c r="M158" s="362"/>
      <c r="N158" s="363">
        <f t="shared" si="69"/>
        <v>30.327868852459019</v>
      </c>
      <c r="O158" s="363"/>
      <c r="P158" s="9"/>
      <c r="Q158" s="9"/>
      <c r="R158" s="9">
        <v>1964</v>
      </c>
      <c r="S158" s="5">
        <f>(O17*($E17/366))+(O18*($E18/366))</f>
        <v>6.9754098360655741</v>
      </c>
      <c r="T158" s="5">
        <f>(P17*($E17/366))+(P18*($E18/366))</f>
        <v>10.008196721311476</v>
      </c>
      <c r="U158" s="5">
        <f>(Q17*($E17/366))+(Q18*($E18/366))</f>
        <v>0</v>
      </c>
      <c r="V158" s="9"/>
      <c r="W158" s="5">
        <f t="shared" si="71"/>
        <v>16.983606557377051</v>
      </c>
      <c r="X158" s="4"/>
      <c r="Y158" s="4"/>
    </row>
    <row r="159" spans="1:53" x14ac:dyDescent="0.15">
      <c r="A159" s="1">
        <v>1965</v>
      </c>
      <c r="B159" s="5">
        <f>(K19*($E19/365))+(K20*($E20/365))</f>
        <v>36.363636363636367</v>
      </c>
      <c r="C159" s="5">
        <f>(L19*($E19/365))+(L20*($E20/365))</f>
        <v>63.636363636363633</v>
      </c>
      <c r="D159" s="5">
        <f>(M19*($E19/365))+(M20*($E20/365))</f>
        <v>0</v>
      </c>
      <c r="E159" s="17">
        <f t="shared" si="70"/>
        <v>100</v>
      </c>
      <c r="G159" s="1">
        <v>1965</v>
      </c>
      <c r="H159" s="362">
        <f>(O19/$R19*100*($E19/365))+(O20/$R20*100*($E20/365))</f>
        <v>41.071428571428569</v>
      </c>
      <c r="I159" s="362"/>
      <c r="J159" s="362">
        <f>(P19/$R19*100*($E19/365))+(P20/$R20*100*($E20/365))</f>
        <v>58.928571428571431</v>
      </c>
      <c r="K159" s="362"/>
      <c r="L159" s="362">
        <f>(Q19/$R19*100*($E19/365))+(Q20/$R20*100*($E20/365))</f>
        <v>0</v>
      </c>
      <c r="M159" s="362"/>
      <c r="N159" s="363">
        <f t="shared" si="69"/>
        <v>100</v>
      </c>
      <c r="O159" s="363"/>
      <c r="P159" s="9"/>
      <c r="Q159" s="9"/>
      <c r="R159" s="9">
        <v>1965</v>
      </c>
      <c r="S159" s="5">
        <f>(O19*($E19/365))+(O20*($E20/365))</f>
        <v>23</v>
      </c>
      <c r="T159" s="5">
        <f>(P19*($E19/365))+(P20*($E20/365))</f>
        <v>33</v>
      </c>
      <c r="U159" s="5">
        <f>(Q19*($E19/365))+(Q20*($E20/365))</f>
        <v>0</v>
      </c>
      <c r="V159" s="9"/>
      <c r="W159" s="5">
        <f t="shared" si="71"/>
        <v>56</v>
      </c>
      <c r="X159" s="4"/>
      <c r="Y159" s="4"/>
    </row>
    <row r="160" spans="1:53" x14ac:dyDescent="0.15">
      <c r="A160" s="1">
        <v>1966</v>
      </c>
      <c r="B160" s="5">
        <f>(K21*($E21/365))+(K22*($E22/365))</f>
        <v>14.545454545454547</v>
      </c>
      <c r="C160" s="5">
        <f>(L21*($E21/365))+(L22*($E22/365))</f>
        <v>45.454545454545453</v>
      </c>
      <c r="D160" s="5">
        <f>(M21*($E21/365))+(M22*($E22/365))</f>
        <v>39.999999999999993</v>
      </c>
      <c r="E160" s="17">
        <f t="shared" si="70"/>
        <v>100</v>
      </c>
      <c r="G160" s="1">
        <v>1966</v>
      </c>
      <c r="H160" s="362">
        <f>(O21/$R21*100*($E21/365))+(O22/$R22*100*($E22/365))</f>
        <v>16.428571428571427</v>
      </c>
      <c r="I160" s="362"/>
      <c r="J160" s="362">
        <f>(P21/$R21*100*($E21/365))+(P22/$R22*100*($E22/365))</f>
        <v>42.913533834586467</v>
      </c>
      <c r="K160" s="362"/>
      <c r="L160" s="362">
        <f>(Q21/$R21*100*($E21/365))+(Q22/$R22*100*($E22/365))</f>
        <v>40.65789473684211</v>
      </c>
      <c r="M160" s="362"/>
      <c r="N160" s="363">
        <f t="shared" si="69"/>
        <v>100</v>
      </c>
      <c r="O160" s="363"/>
      <c r="P160" s="9"/>
      <c r="Q160" s="9"/>
      <c r="R160" s="9">
        <v>1966</v>
      </c>
      <c r="S160" s="5">
        <f>(O21*($E21/365))+(O22*($E22/365))</f>
        <v>9.2000000000000011</v>
      </c>
      <c r="T160" s="5">
        <f>(P21*($E21/365))+(P22*($E22/365))</f>
        <v>27.9</v>
      </c>
      <c r="U160" s="5">
        <f>(Q21*($E21/365))+(Q22*($E22/365))</f>
        <v>30.9</v>
      </c>
      <c r="V160" s="9"/>
      <c r="W160" s="5">
        <f t="shared" si="71"/>
        <v>68</v>
      </c>
      <c r="X160" s="4"/>
      <c r="Y160" s="4"/>
    </row>
    <row r="161" spans="1:25" x14ac:dyDescent="0.15">
      <c r="A161" s="1">
        <v>1967</v>
      </c>
      <c r="B161" s="5">
        <f>(K23*($E23/365))+(K24*($E24/365))</f>
        <v>0</v>
      </c>
      <c r="C161" s="5">
        <f>(L23*($E23/365))+(L24*($E24/365))</f>
        <v>33.333333333333329</v>
      </c>
      <c r="D161" s="5">
        <f>(M23*($E23/365))+(M24*($E24/365))</f>
        <v>66.666666666666657</v>
      </c>
      <c r="E161" s="17">
        <f t="shared" si="70"/>
        <v>99.999999999999986</v>
      </c>
      <c r="G161" s="1">
        <v>1967</v>
      </c>
      <c r="H161" s="362">
        <f>(O23/$R23*100*($E23/365))+(O24/$R24*100*($E24/365))</f>
        <v>0</v>
      </c>
      <c r="I161" s="362"/>
      <c r="J161" s="362">
        <f>(P23/$R23*100*($E23/365))+(P24/$R24*100*($E24/365))</f>
        <v>32.236842105263158</v>
      </c>
      <c r="K161" s="362"/>
      <c r="L161" s="362">
        <f>(Q23/$R23*100*($E23/365))+(Q24/$R24*100*($E24/365))</f>
        <v>67.76315789473685</v>
      </c>
      <c r="M161" s="362"/>
      <c r="N161" s="363">
        <f t="shared" si="69"/>
        <v>100</v>
      </c>
      <c r="O161" s="363"/>
      <c r="P161" s="9"/>
      <c r="Q161" s="9"/>
      <c r="R161" s="9">
        <v>1967</v>
      </c>
      <c r="S161" s="5">
        <f>(O23*($E23/365))+(O24*($E24/365))</f>
        <v>0</v>
      </c>
      <c r="T161" s="5">
        <f>(P23*($E23/365))+(P24*($E24/365))</f>
        <v>24.5</v>
      </c>
      <c r="U161" s="5">
        <f>(Q23*($E23/365))+(Q24*($E24/365))</f>
        <v>51.5</v>
      </c>
      <c r="V161" s="9"/>
      <c r="W161" s="5">
        <f t="shared" si="71"/>
        <v>76</v>
      </c>
      <c r="X161" s="4"/>
      <c r="Y161" s="4"/>
    </row>
    <row r="162" spans="1:25" x14ac:dyDescent="0.15">
      <c r="A162" s="1">
        <v>1968</v>
      </c>
      <c r="B162" s="5">
        <f>(K25*($E25/366))+(K26*($E26/366))</f>
        <v>6.4890710382513648</v>
      </c>
      <c r="C162" s="5">
        <f>(L25*($E25/366))+(L26*($E26/366))</f>
        <v>33.333333333333329</v>
      </c>
      <c r="D162" s="5">
        <f>(M25*($E25/366))+(M26*($E26/366))</f>
        <v>60.177595628415304</v>
      </c>
      <c r="E162" s="17">
        <f t="shared" si="70"/>
        <v>100</v>
      </c>
      <c r="G162" s="1">
        <v>1968</v>
      </c>
      <c r="H162" s="362">
        <f>(O25/$R25*100*($E25/366))+(O26/$R26*100*($E26/366))</f>
        <v>7.3170731707317067</v>
      </c>
      <c r="I162" s="362"/>
      <c r="J162" s="362">
        <f>(P25/$R25*100*($E25/366))+(P26/$R26*100*($E26/366))</f>
        <v>29.878048780487802</v>
      </c>
      <c r="K162" s="362"/>
      <c r="L162" s="362">
        <f>(Q25/$R25*100*($E25/366))+(Q26/$R26*100*($E26/366))</f>
        <v>62.804878048780481</v>
      </c>
      <c r="M162" s="362"/>
      <c r="N162" s="363">
        <f t="shared" si="69"/>
        <v>99.999999999999986</v>
      </c>
      <c r="O162" s="363"/>
      <c r="P162" s="9"/>
      <c r="Q162" s="9"/>
      <c r="R162" s="9">
        <v>1968</v>
      </c>
      <c r="S162" s="5">
        <f>(O25*($E25/366))+(O26*($E26/366))</f>
        <v>6</v>
      </c>
      <c r="T162" s="5">
        <f>(P25*($E25/366))+(P26*($E26/366))</f>
        <v>24.5</v>
      </c>
      <c r="U162" s="5">
        <f>(Q25*($E25/366))+(Q26*($E26/366))</f>
        <v>51.5</v>
      </c>
      <c r="V162" s="9"/>
      <c r="W162" s="5">
        <f t="shared" si="71"/>
        <v>82</v>
      </c>
      <c r="X162" s="4"/>
      <c r="Y162" s="4"/>
    </row>
    <row r="163" spans="1:25" x14ac:dyDescent="0.15">
      <c r="A163" s="1">
        <v>1969</v>
      </c>
      <c r="B163" s="5">
        <f>(K27*($E27/365))+(K28*($E28/365))</f>
        <v>8.3333333333333321</v>
      </c>
      <c r="C163" s="5">
        <f>(L27*($E27/365))+(L28*($E28/365))</f>
        <v>33.333333333333329</v>
      </c>
      <c r="D163" s="5">
        <f>(M27*($E27/365))+(M28*($E28/365))</f>
        <v>58.333333333333336</v>
      </c>
      <c r="E163" s="17">
        <f t="shared" si="70"/>
        <v>100</v>
      </c>
      <c r="G163" s="1">
        <v>1969</v>
      </c>
      <c r="H163" s="362">
        <f>(O27/$R27*100*($E27/365))+(O28/$R28*100*($E28/365))</f>
        <v>7.3170731707317067</v>
      </c>
      <c r="I163" s="362"/>
      <c r="J163" s="362">
        <f>(P27/$R27*100*($E27/365))+(P28/$R28*100*($E28/365))</f>
        <v>29.878048780487802</v>
      </c>
      <c r="K163" s="362"/>
      <c r="L163" s="362">
        <f>(Q27/$R27*100*($E27/365))+(Q28/$R28*100*($E28/365))</f>
        <v>62.804878048780488</v>
      </c>
      <c r="M163" s="362"/>
      <c r="N163" s="363">
        <f t="shared" si="69"/>
        <v>100</v>
      </c>
      <c r="O163" s="363"/>
      <c r="P163" s="9"/>
      <c r="Q163" s="9"/>
      <c r="R163" s="9">
        <v>1969</v>
      </c>
      <c r="S163" s="5">
        <f>(O27*($E27/365))+(O28*($E28/365))</f>
        <v>6</v>
      </c>
      <c r="T163" s="5">
        <f>(P27*($E27/365))+(P28*($E28/365))</f>
        <v>24.5</v>
      </c>
      <c r="U163" s="5">
        <f>(Q27*($E27/365))+(Q28*($E28/365))</f>
        <v>51.5</v>
      </c>
      <c r="V163" s="9"/>
      <c r="W163" s="5">
        <f t="shared" si="71"/>
        <v>82</v>
      </c>
      <c r="X163" s="4"/>
      <c r="Y163" s="4"/>
    </row>
    <row r="164" spans="1:25" x14ac:dyDescent="0.15">
      <c r="A164" s="1">
        <v>1970</v>
      </c>
      <c r="B164" s="5">
        <f>(K29*($E29/365))+(K30*($E30/365))+(K31*($E31/365))</f>
        <v>11.617492096944151</v>
      </c>
      <c r="C164" s="5">
        <f>(L29*($E29/365))+(L30*($E30/365))+(L31*($E31/365))</f>
        <v>39.304531085352998</v>
      </c>
      <c r="D164" s="5">
        <f>(M29*($E29/365))+(M30*($E30/365))+(M31*($E31/365))</f>
        <v>49.077976817702847</v>
      </c>
      <c r="E164" s="17">
        <f t="shared" si="70"/>
        <v>100</v>
      </c>
      <c r="G164" s="1">
        <v>1970</v>
      </c>
      <c r="H164" s="362">
        <f>(O29/$R29*100*($E29/365))+(O30/$R30*100*($E30/365))+(O31/$R31*100*($E31/365))</f>
        <v>12.287698115526265</v>
      </c>
      <c r="I164" s="362"/>
      <c r="J164" s="362">
        <f>(P29/$R29*100*($E29/365))+(P30/$R30*100*($E30/365))+(P31/$R31*100*($E31/365))</f>
        <v>30.713475120107837</v>
      </c>
      <c r="K164" s="362"/>
      <c r="L164" s="362">
        <f>(Q29/$R29*100*($E29/365))+(Q30/$R30*100*($E30/365))+(Q31/$R31*100*($E31/365))</f>
        <v>56.998826764365894</v>
      </c>
      <c r="M164" s="362"/>
      <c r="N164" s="363">
        <f t="shared" si="69"/>
        <v>100</v>
      </c>
      <c r="O164" s="363"/>
      <c r="P164" s="9"/>
      <c r="Q164" s="9"/>
      <c r="R164" s="9">
        <v>1970</v>
      </c>
      <c r="S164" s="5">
        <f>(O29*($E29/365))+(O30*($E30/365))+(O31*($E31/365))</f>
        <v>9.1424657534246556</v>
      </c>
      <c r="T164" s="5">
        <f>(P29*($E29/365))+(P30*($E30/365))+(P31*($E31/365))</f>
        <v>23.228767123287668</v>
      </c>
      <c r="U164" s="5">
        <f>(Q29*($E29/365))+(Q30*($E30/365))+(Q31*($E31/365))</f>
        <v>43.357534246575341</v>
      </c>
      <c r="V164" s="9"/>
      <c r="W164" s="5">
        <f t="shared" si="71"/>
        <v>75.728767123287668</v>
      </c>
      <c r="X164" s="4"/>
      <c r="Y164" s="4"/>
    </row>
    <row r="165" spans="1:25" x14ac:dyDescent="0.15">
      <c r="A165" s="1">
        <v>1971</v>
      </c>
      <c r="B165" s="5">
        <f>(K32*($E32/365))+(K33*($E33/365))+(K34*($E34/365))</f>
        <v>13.382507903055847</v>
      </c>
      <c r="C165" s="5">
        <f>(L32*($E32/365))+(L33*($E33/365))+(L34*($E34/365))</f>
        <v>41.496311907270808</v>
      </c>
      <c r="D165" s="5">
        <f>(M32*($E32/365))+(M33*($E33/365))+(M34*($E34/365))</f>
        <v>38.37723919915701</v>
      </c>
      <c r="E165" s="17">
        <f t="shared" si="70"/>
        <v>93.256059009483664</v>
      </c>
      <c r="G165" s="1">
        <v>1971</v>
      </c>
      <c r="H165" s="362">
        <f>(O32/$R32*100*($E32/365))+(O33/$R33*100*($E33/365))+(O34/$R34*100*($E34/365))</f>
        <v>13.401540380631944</v>
      </c>
      <c r="I165" s="362"/>
      <c r="J165" s="362">
        <f>(P32/$R32*100*($E32/365))+(P33/$R33*100*($E33/365))+(P34/$R34*100*($E34/365))</f>
        <v>37.896110138359603</v>
      </c>
      <c r="K165" s="362"/>
      <c r="L165" s="362">
        <f>(Q32/$R32*100*($E32/365))+(Q33/$R33*100*($E33/365))+(Q34/$R34*100*($E34/365))</f>
        <v>48.702349481008454</v>
      </c>
      <c r="M165" s="362"/>
      <c r="N165" s="363">
        <f t="shared" si="69"/>
        <v>100</v>
      </c>
      <c r="O165" s="363"/>
      <c r="P165" s="9"/>
      <c r="Q165" s="9"/>
      <c r="R165" s="9">
        <v>1971</v>
      </c>
      <c r="S165" s="5">
        <f>(O32*($E32/365))+(O33*($E33/365))+(O34*($E34/365))</f>
        <v>8.1917808219178099</v>
      </c>
      <c r="T165" s="5">
        <f>(P32*($E32/365))+(P33*($E33/365))+(P34*($E34/365))</f>
        <v>22.5</v>
      </c>
      <c r="U165" s="5">
        <f>(Q32*($E32/365))+(Q33*($E33/365))+(Q34*($E34/365))</f>
        <v>29.642465753424659</v>
      </c>
      <c r="V165" s="9"/>
      <c r="W165" s="5">
        <f t="shared" si="71"/>
        <v>60.334246575342469</v>
      </c>
      <c r="X165" s="4"/>
      <c r="Y165" s="4"/>
    </row>
    <row r="166" spans="1:25" x14ac:dyDescent="0.15">
      <c r="A166" s="1">
        <v>1972</v>
      </c>
      <c r="B166" s="5">
        <f>(K35*($E35/366))+(K36*($E36/366))+(K37*($E37/366))</f>
        <v>5.1781210592685998</v>
      </c>
      <c r="C166" s="5">
        <f>(L35*($E35/366))+(L36*($E36/366))+(L37*($E37/366))</f>
        <v>16.648276586801178</v>
      </c>
      <c r="D166" s="5">
        <f>(M35*($E35/366))+(M36*($E36/366))+(M37*($E37/366))</f>
        <v>70.571931483816726</v>
      </c>
      <c r="E166" s="17">
        <f t="shared" si="70"/>
        <v>92.398329129886505</v>
      </c>
      <c r="G166" s="1">
        <v>1972</v>
      </c>
      <c r="H166" s="362">
        <f>(O35/$R35*100*($E35/366))+(O36/$R36*100*($E36/366))+(O37/$R37*100*($E37/366))</f>
        <v>7.0671738331580443</v>
      </c>
      <c r="I166" s="362"/>
      <c r="J166" s="362">
        <f>(P35/$R35*100*($E35/366))+(P36/$R36*100*($E36/366))+(P37/$R37*100*($E37/366))</f>
        <v>17.661915628661049</v>
      </c>
      <c r="K166" s="362"/>
      <c r="L166" s="362">
        <f>(Q35/$R35*100*($E35/366))+(Q36/$R36*100*($E36/366))+(Q37/$R37*100*($E37/366))</f>
        <v>75.270910538180914</v>
      </c>
      <c r="M166" s="362"/>
      <c r="N166" s="363">
        <f t="shared" si="69"/>
        <v>100</v>
      </c>
      <c r="O166" s="363"/>
      <c r="P166" s="9"/>
      <c r="Q166" s="9"/>
      <c r="R166" s="9">
        <v>1972</v>
      </c>
      <c r="S166" s="5">
        <f>(O35*($E35/366))+(O36*($E36/366))+(O37*($E37/366))</f>
        <v>4.304644808743169</v>
      </c>
      <c r="T166" s="5">
        <f>(P35*($E35/366))+(P36*($E36/366))+(P37*($E37/366))</f>
        <v>10.08606557377049</v>
      </c>
      <c r="U166" s="5">
        <f>(Q35*($E35/366))+(Q36*($E36/366))+(Q37*($E37/366))</f>
        <v>27.210382513661202</v>
      </c>
      <c r="V166" s="9"/>
      <c r="W166" s="5">
        <f t="shared" si="71"/>
        <v>41.601092896174862</v>
      </c>
      <c r="X166" s="4"/>
      <c r="Y166" s="4"/>
    </row>
    <row r="167" spans="1:25" x14ac:dyDescent="0.15">
      <c r="A167" s="1">
        <v>1973</v>
      </c>
      <c r="B167" s="5">
        <f>(K38*($E38/365))+(K39*($E39/365))</f>
        <v>12.5</v>
      </c>
      <c r="C167" s="5">
        <f>(L38*($E38/365))+(L39*($E39/365))</f>
        <v>37.5</v>
      </c>
      <c r="D167" s="5">
        <f>(M38*($E38/365))+(M39*($E39/365))</f>
        <v>43.75</v>
      </c>
      <c r="E167" s="17">
        <f t="shared" si="70"/>
        <v>93.75</v>
      </c>
      <c r="G167" s="1">
        <v>1973</v>
      </c>
      <c r="H167" s="362">
        <f>(O38/$R38*100*($E38/365))+(O39/$R39*100*($E39/365))</f>
        <v>9.3457943925233646</v>
      </c>
      <c r="I167" s="362"/>
      <c r="J167" s="362">
        <f>(P38/$R38*100*($E38/365))+(P39/$R39*100*($E39/365))</f>
        <v>39.252336448598129</v>
      </c>
      <c r="K167" s="362"/>
      <c r="L167" s="362">
        <f>(Q38/$R38*100*($E38/365))+(Q39/$R39*100*($E39/365))</f>
        <v>51.401869158878498</v>
      </c>
      <c r="M167" s="362"/>
      <c r="N167" s="363">
        <f t="shared" si="69"/>
        <v>100</v>
      </c>
      <c r="O167" s="363"/>
      <c r="P167" s="9"/>
      <c r="Q167" s="9"/>
      <c r="R167" s="9">
        <v>1973</v>
      </c>
      <c r="S167" s="5">
        <f>(O38*($E38/365))+(O39*($E39/365))</f>
        <v>5</v>
      </c>
      <c r="T167" s="5">
        <f>(P38*($E38/365))+(P39*($E39/365))</f>
        <v>21</v>
      </c>
      <c r="U167" s="5">
        <f>(Q38*($E38/365))+(Q39*($E39/365))</f>
        <v>27.5</v>
      </c>
      <c r="V167" s="9"/>
      <c r="W167" s="5">
        <f t="shared" si="71"/>
        <v>53.5</v>
      </c>
      <c r="X167" s="4"/>
      <c r="Y167" s="4"/>
    </row>
    <row r="168" spans="1:25" x14ac:dyDescent="0.15">
      <c r="A168" s="1">
        <v>1974</v>
      </c>
      <c r="B168" s="5">
        <f>(K40*($E40/365))+(K41*($E41/365))</f>
        <v>12.5</v>
      </c>
      <c r="C168" s="5">
        <f>(L40*($E40/365))+(L41*($E41/365))</f>
        <v>37.5</v>
      </c>
      <c r="D168" s="5">
        <f>(M40*($E40/365))+(M41*($E41/365))</f>
        <v>43.75</v>
      </c>
      <c r="E168" s="17">
        <f t="shared" si="70"/>
        <v>93.75</v>
      </c>
      <c r="G168" s="1">
        <v>1974</v>
      </c>
      <c r="H168" s="362">
        <f>(O40/$R40*100*($E40/365))+(O41/$R41*100*($E41/365))</f>
        <v>9.3457943925233646</v>
      </c>
      <c r="I168" s="362"/>
      <c r="J168" s="362">
        <f>(P40/$R40*100*($E40/365))+(P41/$R41*100*($E41/365))</f>
        <v>39.252336448598129</v>
      </c>
      <c r="K168" s="362"/>
      <c r="L168" s="362">
        <f>(Q40/$R40*100*($E40/365))+(Q41/$R41*100*($E41/365))</f>
        <v>51.401869158878498</v>
      </c>
      <c r="M168" s="362"/>
      <c r="N168" s="363">
        <f t="shared" si="69"/>
        <v>100</v>
      </c>
      <c r="O168" s="363"/>
      <c r="P168" s="9"/>
      <c r="Q168" s="9"/>
      <c r="R168" s="9">
        <v>1974</v>
      </c>
      <c r="S168" s="5">
        <f>(O40*($E40/365))+(O41*($E41/365))</f>
        <v>5</v>
      </c>
      <c r="T168" s="5">
        <f>(P40*($E40/365))+(P41*($E41/365))</f>
        <v>21</v>
      </c>
      <c r="U168" s="5">
        <f>(Q40*($E40/365))+(Q41*($E41/365))</f>
        <v>27.5</v>
      </c>
      <c r="V168" s="9"/>
      <c r="W168" s="5">
        <f t="shared" si="71"/>
        <v>53.5</v>
      </c>
      <c r="X168" s="4"/>
      <c r="Y168" s="4"/>
    </row>
    <row r="169" spans="1:25" x14ac:dyDescent="0.15">
      <c r="A169" s="1">
        <v>1975</v>
      </c>
      <c r="B169" s="5">
        <f>(K42*($E42/365))+(K43*($E43/365))+(K44*($E44/365))</f>
        <v>12.035768645357686</v>
      </c>
      <c r="C169" s="5">
        <f>(L42*($E42/365))+(L43*($E43/365))+(L44*($E44/365))</f>
        <v>30.140791476407916</v>
      </c>
      <c r="D169" s="5">
        <f>(M42*($E42/365))+(M43*($E43/365))+(M44*($E44/365))</f>
        <v>37.619863013698634</v>
      </c>
      <c r="E169" s="17">
        <f t="shared" si="70"/>
        <v>79.796423135464238</v>
      </c>
      <c r="G169" s="1">
        <v>1975</v>
      </c>
      <c r="H169" s="362">
        <f>(O42/$R42*100*($E42/365))+(O43/$R43*100*($E43/365))+(O44/$R44*100*($E44/365))</f>
        <v>19.388350533227189</v>
      </c>
      <c r="I169" s="362"/>
      <c r="J169" s="362">
        <f>(P42/$R42*100*($E42/365))+(P43/$R43*100*($E43/365))+(P44/$R44*100*($E44/365))</f>
        <v>34.270293580577999</v>
      </c>
      <c r="K169" s="362"/>
      <c r="L169" s="362">
        <f>(Q42/$R42*100*($E42/365))+(Q43/$R43*100*($E43/365))+(Q44/$R44*100*($E44/365))</f>
        <v>46.341355886194812</v>
      </c>
      <c r="M169" s="362"/>
      <c r="N169" s="363">
        <f t="shared" si="69"/>
        <v>100</v>
      </c>
      <c r="O169" s="363"/>
      <c r="P169" s="9"/>
      <c r="Q169" s="9"/>
      <c r="R169" s="9">
        <v>1975</v>
      </c>
      <c r="S169" s="5">
        <f>(O42*($E42/365))+(O43*($E43/365))+(O44*($E44/365))</f>
        <v>12.917808219178083</v>
      </c>
      <c r="T169" s="5">
        <f>(P42*($E42/365))+(P43*($E43/365))+(P44*($E44/365))</f>
        <v>21.263013698630132</v>
      </c>
      <c r="U169" s="5">
        <f>(Q42*($E42/365))+(Q43*($E43/365))+(Q44*($E44/365))</f>
        <v>28.976712328767121</v>
      </c>
      <c r="V169" s="9"/>
      <c r="W169" s="5">
        <f t="shared" si="71"/>
        <v>63.157534246575338</v>
      </c>
      <c r="X169" s="4"/>
      <c r="Y169" s="4"/>
    </row>
    <row r="170" spans="1:25" x14ac:dyDescent="0.15">
      <c r="A170" s="1">
        <v>1976</v>
      </c>
      <c r="B170" s="5">
        <f>(K45*($E45/366))+(K46*($E46/366))</f>
        <v>13.073011536126291</v>
      </c>
      <c r="C170" s="5">
        <f>(L45*($E45/366))+(L46*($E46/366))</f>
        <v>39.905889496053433</v>
      </c>
      <c r="D170" s="5">
        <f>(M45*($E45/366))+(M46*($E46/366))</f>
        <v>37.158469945355193</v>
      </c>
      <c r="E170" s="17">
        <f t="shared" si="70"/>
        <v>90.137370977534914</v>
      </c>
      <c r="G170" s="1">
        <v>1976</v>
      </c>
      <c r="H170" s="362">
        <f>(O45/$R45*100*($E45/366))+(O46/$R46*100*($E46/366))</f>
        <v>9.3173861731774323</v>
      </c>
      <c r="I170" s="362"/>
      <c r="J170" s="362">
        <f>(P45/$R45*100*($E45/366))+(P46/$R46*100*($E46/366))</f>
        <v>44.723453631251672</v>
      </c>
      <c r="K170" s="362"/>
      <c r="L170" s="362">
        <f>(Q45/$R45*100*($E45/366))+(Q46/$R46*100*($E46/366))</f>
        <v>45.959160195570902</v>
      </c>
      <c r="M170" s="362"/>
      <c r="N170" s="363">
        <f t="shared" si="69"/>
        <v>100</v>
      </c>
      <c r="O170" s="363"/>
      <c r="P170" s="9"/>
      <c r="Q170" s="9"/>
      <c r="R170" s="9">
        <v>1976</v>
      </c>
      <c r="S170" s="5">
        <f>(O45*($E45/366))+(O46*($E46/366))</f>
        <v>5</v>
      </c>
      <c r="T170" s="5">
        <f>(P45*($E45/366))+(P46*($E46/366))</f>
        <v>24</v>
      </c>
      <c r="U170" s="5">
        <f>(Q45*($E45/366))+(Q46*($E46/366))</f>
        <v>34.928961748633881</v>
      </c>
      <c r="V170" s="9"/>
      <c r="W170" s="5">
        <f t="shared" si="71"/>
        <v>63.928961748633881</v>
      </c>
      <c r="X170" s="4"/>
      <c r="Y170" s="4"/>
    </row>
    <row r="171" spans="1:25" x14ac:dyDescent="0.15">
      <c r="A171" s="1">
        <v>1977</v>
      </c>
      <c r="B171" s="5">
        <f>(K47*($E47/365))+(K48*($E48/365))</f>
        <v>11.102739726027398</v>
      </c>
      <c r="C171" s="5">
        <f>(L47*($E47/365))+(L48*($E48/365))</f>
        <v>52.849315068493148</v>
      </c>
      <c r="D171" s="5">
        <f>(M47*($E47/365))+(M48*($E48/365))</f>
        <v>29.534246575342461</v>
      </c>
      <c r="E171" s="17">
        <f t="shared" si="70"/>
        <v>93.486301369863014</v>
      </c>
      <c r="G171" s="1">
        <v>1977</v>
      </c>
      <c r="H171" s="362">
        <f>(O47/$R47*100*($E47/365))+(O48/$R48*100*($E48/365))</f>
        <v>10.493374437510877</v>
      </c>
      <c r="I171" s="362"/>
      <c r="J171" s="362">
        <f>(P47/$R47*100*($E47/365))+(P48/$R48*100*($E48/365))</f>
        <v>50.368197300052202</v>
      </c>
      <c r="K171" s="362"/>
      <c r="L171" s="362">
        <f>(Q47/$R47*100*($E47/365))+(Q48/$R48*100*($E48/365))</f>
        <v>39.138428262436911</v>
      </c>
      <c r="M171" s="362"/>
      <c r="N171" s="363">
        <f t="shared" si="69"/>
        <v>100</v>
      </c>
      <c r="O171" s="363"/>
      <c r="P171" s="9"/>
      <c r="Q171" s="9"/>
      <c r="R171" s="9">
        <v>1977</v>
      </c>
      <c r="S171" s="5">
        <f>(O47*($E47/365))+(O48*($E48/365))</f>
        <v>5</v>
      </c>
      <c r="T171" s="5">
        <f>(P47*($E47/365))+(P48*($E48/365))</f>
        <v>24</v>
      </c>
      <c r="U171" s="5">
        <f>(Q47*($E47/365))+(Q48*($E48/365))</f>
        <v>29.745205479452054</v>
      </c>
      <c r="V171" s="9"/>
      <c r="W171" s="5">
        <f t="shared" si="71"/>
        <v>58.745205479452054</v>
      </c>
      <c r="X171" s="4"/>
      <c r="Y171" s="4"/>
    </row>
    <row r="172" spans="1:25" x14ac:dyDescent="0.15">
      <c r="A172" s="1">
        <v>1978</v>
      </c>
      <c r="B172" s="5">
        <f>(K49*($E49/365))+(K50*($E50/365))</f>
        <v>1.095890410958904</v>
      </c>
      <c r="C172" s="5">
        <f>(L49*($E49/365))+(L50*($E50/365))</f>
        <v>45.570776255707756</v>
      </c>
      <c r="D172" s="5">
        <f>(M49*($E49/365))+(M50*($E50/365))</f>
        <v>46.666666666666664</v>
      </c>
      <c r="E172" s="17">
        <f t="shared" si="70"/>
        <v>93.333333333333314</v>
      </c>
      <c r="G172" s="1">
        <v>1978</v>
      </c>
      <c r="H172" s="362">
        <f>(O49/$R49*100*($E49/365))+(O50/$R50*100*($E50/365))</f>
        <v>1.0814708002883922</v>
      </c>
      <c r="I172" s="362"/>
      <c r="J172" s="362">
        <f>(P49/$R49*100*($E49/365))+(P50/$R50*100*($E50/365))</f>
        <v>33.437249306944764</v>
      </c>
      <c r="K172" s="362"/>
      <c r="L172" s="362">
        <f>(Q49/$R49*100*($E49/365))+(Q50/$R50*100*($E50/365))</f>
        <v>65.481279892766835</v>
      </c>
      <c r="M172" s="362"/>
      <c r="N172" s="363">
        <f t="shared" si="69"/>
        <v>100</v>
      </c>
      <c r="O172" s="363"/>
      <c r="P172" s="9"/>
      <c r="Q172" s="9"/>
      <c r="R172" s="9">
        <v>1978</v>
      </c>
      <c r="S172" s="5">
        <f>(O49*($E49/365))+(O50*($E50/365))</f>
        <v>0.82191780821917804</v>
      </c>
      <c r="T172" s="5">
        <f>(P49*($E49/365))+(P50*($E50/365))</f>
        <v>24</v>
      </c>
      <c r="U172" s="5">
        <f>(Q49*($E49/365))+(Q50*($E50/365))</f>
        <v>47</v>
      </c>
      <c r="V172" s="9"/>
      <c r="W172" s="5">
        <f t="shared" si="71"/>
        <v>71.821917808219183</v>
      </c>
      <c r="X172" s="4"/>
      <c r="Y172" s="4"/>
    </row>
    <row r="173" spans="1:25" x14ac:dyDescent="0.15">
      <c r="A173" s="1">
        <v>1979</v>
      </c>
      <c r="B173" s="5">
        <f>(K51*($E51/365))+(K52*($E52/365))</f>
        <v>7.1232876712328759</v>
      </c>
      <c r="C173" s="5">
        <f>(L51*($E51/365))+(L52*($E52/365))</f>
        <v>39.780821917808218</v>
      </c>
      <c r="D173" s="5">
        <f>(M51*($E51/365))+(M52*($E52/365))</f>
        <v>46.904109589041092</v>
      </c>
      <c r="E173" s="17">
        <f t="shared" si="70"/>
        <v>93.808219178082183</v>
      </c>
      <c r="G173" s="1">
        <v>1979</v>
      </c>
      <c r="H173" s="362">
        <f>(O51/$R51*100*($E51/365))+(O52/$R52*100*($E52/365))</f>
        <v>4.5524770831187551</v>
      </c>
      <c r="I173" s="362"/>
      <c r="J173" s="362">
        <f>(P51/$R51*100*($E51/365))+(P52/$R52*100*($E52/365))</f>
        <v>29.724823345262635</v>
      </c>
      <c r="K173" s="362"/>
      <c r="L173" s="362">
        <f>(Q51/$R51*100*($E51/365))+(Q52/$R52*100*($E52/365))</f>
        <v>65.722699571618605</v>
      </c>
      <c r="M173" s="362"/>
      <c r="N173" s="363">
        <f t="shared" si="69"/>
        <v>100</v>
      </c>
      <c r="O173" s="363"/>
      <c r="P173" s="9"/>
      <c r="Q173" s="9"/>
      <c r="R173" s="9">
        <v>1979</v>
      </c>
      <c r="S173" s="5">
        <f>(O51*($E51/365))+(O52*($E52/365))</f>
        <v>3.0273972602739723</v>
      </c>
      <c r="T173" s="5">
        <f>(P51*($E51/365))+(P52*($E52/365))</f>
        <v>20.367123287671234</v>
      </c>
      <c r="U173" s="5">
        <f>(Q51*($E51/365))+(Q52*($E52/365))</f>
        <v>44.88082191780822</v>
      </c>
      <c r="V173" s="9"/>
      <c r="W173" s="5">
        <f t="shared" si="71"/>
        <v>68.275342465753425</v>
      </c>
      <c r="X173" s="4"/>
      <c r="Y173" s="4"/>
    </row>
    <row r="174" spans="1:25" x14ac:dyDescent="0.15">
      <c r="A174" s="1">
        <v>1980</v>
      </c>
      <c r="B174" s="5">
        <f>(K53*($E53/366))+(K54*($E54/366))</f>
        <v>11.76470588235294</v>
      </c>
      <c r="C174" s="5">
        <f>(L53*($E53/366))+(L54*($E54/366))</f>
        <v>35.294117647058826</v>
      </c>
      <c r="D174" s="5">
        <f>(M53*($E53/366))+(M54*($E54/366))</f>
        <v>47.058823529411761</v>
      </c>
      <c r="E174" s="17">
        <f t="shared" si="70"/>
        <v>94.117647058823536</v>
      </c>
      <c r="G174" s="1">
        <v>1980</v>
      </c>
      <c r="H174" s="362">
        <f>(O53/$R53*100*($E53/366))+(O54/$R54*100*($E54/366))</f>
        <v>7.518796992481203</v>
      </c>
      <c r="I174" s="362"/>
      <c r="J174" s="362">
        <f>(P53/$R53*100*($E53/366))+(P54/$R54*100*($E54/366))</f>
        <v>27.06766917293233</v>
      </c>
      <c r="K174" s="362"/>
      <c r="L174" s="362">
        <f>(Q53/$R53*100*($E53/366))+(Q54/$R54*100*($E54/366))</f>
        <v>65.413533834586474</v>
      </c>
      <c r="M174" s="362"/>
      <c r="N174" s="363">
        <f t="shared" si="69"/>
        <v>100</v>
      </c>
      <c r="O174" s="363"/>
      <c r="P174" s="9"/>
      <c r="Q174" s="9"/>
      <c r="R174" s="9">
        <v>1980</v>
      </c>
      <c r="S174" s="5">
        <f>(O53*($E53/366))+(O54*($E54/366))</f>
        <v>5</v>
      </c>
      <c r="T174" s="5">
        <f>(P53*($E53/366))+(P54*($E54/366))</f>
        <v>18</v>
      </c>
      <c r="U174" s="5">
        <f>(Q53*($E53/366))+(Q54*($E54/366))</f>
        <v>43.5</v>
      </c>
      <c r="V174" s="9"/>
      <c r="W174" s="5">
        <f t="shared" si="71"/>
        <v>66.5</v>
      </c>
      <c r="X174" s="4"/>
      <c r="Y174" s="4"/>
    </row>
    <row r="175" spans="1:25" x14ac:dyDescent="0.15">
      <c r="A175" s="1">
        <v>1981</v>
      </c>
      <c r="B175" s="5">
        <f>(K55*($E55/365))+(K56*($E56/365))</f>
        <v>11.76470588235294</v>
      </c>
      <c r="C175" s="5">
        <f>(L55*($E55/365))+(L56*($E56/365))</f>
        <v>35.294117647058826</v>
      </c>
      <c r="D175" s="5">
        <f>(M55*($E55/365))+(M56*($E56/365))</f>
        <v>47.058823529411761</v>
      </c>
      <c r="E175" s="17">
        <f t="shared" si="70"/>
        <v>94.117647058823536</v>
      </c>
      <c r="G175" s="1">
        <v>1981</v>
      </c>
      <c r="H175" s="362">
        <f>(O55/$R55*100*($E55/365))+(O56/$R56*100*($E56/365))</f>
        <v>7.518796992481203</v>
      </c>
      <c r="I175" s="362"/>
      <c r="J175" s="362">
        <f>(P55/$R55*100*($E55/365))+(P56/$R56*100*($E56/365))</f>
        <v>27.06766917293233</v>
      </c>
      <c r="K175" s="362"/>
      <c r="L175" s="362">
        <f>(Q55/$R55*100*($E55/365))+(Q56/$R56*100*($E56/365))</f>
        <v>65.413533834586474</v>
      </c>
      <c r="M175" s="362"/>
      <c r="N175" s="363">
        <f t="shared" si="69"/>
        <v>100</v>
      </c>
      <c r="O175" s="363"/>
      <c r="P175" s="9"/>
      <c r="Q175" s="9"/>
      <c r="R175" s="9">
        <v>1981</v>
      </c>
      <c r="S175" s="5">
        <f>(O55*($E55/365))+(O56*($E56/365))</f>
        <v>5</v>
      </c>
      <c r="T175" s="5">
        <f>(P55*($E55/365))+(P56*($E56/365))</f>
        <v>18</v>
      </c>
      <c r="U175" s="5">
        <f>(Q55*($E55/365))+(Q56*($E56/365))</f>
        <v>43.5</v>
      </c>
      <c r="V175" s="9"/>
      <c r="W175" s="5">
        <f t="shared" si="71"/>
        <v>66.5</v>
      </c>
      <c r="X175" s="4"/>
      <c r="Y175" s="4"/>
    </row>
    <row r="176" spans="1:25" x14ac:dyDescent="0.15">
      <c r="A176" s="1">
        <v>1982</v>
      </c>
      <c r="B176" s="5">
        <f>(K57*($E57/365))+(K58*($E58/365))+(K59*($E59/365))</f>
        <v>11.76470588235294</v>
      </c>
      <c r="C176" s="5">
        <f>(L57*($E57/365))+(L58*($E58/365))+(L59*($E59/365))</f>
        <v>35.326349717969379</v>
      </c>
      <c r="D176" s="5">
        <f>(M57*($E57/365))+(M58*($E58/365))+(M59*($E59/365))</f>
        <v>47.058823529411761</v>
      </c>
      <c r="E176" s="17">
        <f t="shared" si="70"/>
        <v>94.149879129734074</v>
      </c>
      <c r="G176" s="1">
        <v>1982</v>
      </c>
      <c r="H176" s="362">
        <f>(O57/$R57*100*($E57/365))+(O58/$R58*100*($E58/365))+(O59/$R59*100*($E59/365))</f>
        <v>7.5335108809204998</v>
      </c>
      <c r="I176" s="362"/>
      <c r="J176" s="362">
        <f>(P57/$R57*100*($E57/365))+(P58/$R58*100*($E58/365))+(P59/$R59*100*($E59/365))</f>
        <v>27.120639171313801</v>
      </c>
      <c r="K176" s="362"/>
      <c r="L176" s="362">
        <f>(Q57/$R57*100*($E57/365))+(Q58/$R58*100*($E58/365))+(Q59/$R59*100*($E59/365))</f>
        <v>65.3458499477657</v>
      </c>
      <c r="M176" s="362"/>
      <c r="N176" s="363">
        <f t="shared" si="69"/>
        <v>100</v>
      </c>
      <c r="O176" s="363"/>
      <c r="P176" s="9"/>
      <c r="Q176" s="9"/>
      <c r="R176" s="9">
        <v>1982</v>
      </c>
      <c r="S176" s="5">
        <f>(O57*($E57/365))+(O58*($E58/365))+(O59*($E59/365))</f>
        <v>5</v>
      </c>
      <c r="T176" s="5">
        <f>(P57*($E57/365))+(P58*($E58/365))+(P59*($E59/365))</f>
        <v>18</v>
      </c>
      <c r="U176" s="5">
        <f>(Q57*($E57/365))+(Q58*($E58/365))+(Q59*($E59/365))</f>
        <v>43.404109589041092</v>
      </c>
      <c r="V176" s="9"/>
      <c r="W176" s="5">
        <f t="shared" si="71"/>
        <v>66.404109589041099</v>
      </c>
      <c r="X176" s="4"/>
      <c r="Y176" s="4"/>
    </row>
    <row r="177" spans="1:25" x14ac:dyDescent="0.15">
      <c r="A177" s="1">
        <v>1983</v>
      </c>
      <c r="B177" s="5">
        <f>(K60*($E60/365))+(K61*($E61/365))</f>
        <v>11.76470588235294</v>
      </c>
      <c r="C177" s="5">
        <f>(L60*($E60/365))+(L61*($E61/365))</f>
        <v>41.17647058823529</v>
      </c>
      <c r="D177" s="5">
        <f>(M60*($E60/365))+(M61*($E61/365))</f>
        <v>47.058823529411761</v>
      </c>
      <c r="E177" s="17">
        <f t="shared" si="70"/>
        <v>100</v>
      </c>
      <c r="G177" s="1">
        <v>1983</v>
      </c>
      <c r="H177" s="362">
        <f>(O60/$R60*100*($E60/365))+(O61/$R61*100*($E61/365))</f>
        <v>9.3783908484877418</v>
      </c>
      <c r="I177" s="362"/>
      <c r="J177" s="362">
        <f>(P60/$R60*100*($E60/365))+(P61/$R61*100*($E61/365))</f>
        <v>41.960447393123637</v>
      </c>
      <c r="K177" s="362"/>
      <c r="L177" s="362">
        <f>(Q60/$R60*100*($E60/365))+(Q61/$R61*100*($E61/365))</f>
        <v>48.661161758388623</v>
      </c>
      <c r="M177" s="362"/>
      <c r="N177" s="363">
        <f t="shared" si="69"/>
        <v>100</v>
      </c>
      <c r="O177" s="363"/>
      <c r="P177" s="9"/>
      <c r="Q177" s="9"/>
      <c r="R177" s="9">
        <v>1983</v>
      </c>
      <c r="S177" s="5">
        <f>(O60*($E60/365))+(O61*($E61/365))</f>
        <v>5.3273972602739725</v>
      </c>
      <c r="T177" s="5">
        <f>(P60*($E60/365))+(P61*($E61/365))</f>
        <v>24.220547945205482</v>
      </c>
      <c r="U177" s="5">
        <f>(Q60*($E60/365))+(Q61*($E61/365))</f>
        <v>27.636986301369863</v>
      </c>
      <c r="V177" s="9"/>
      <c r="W177" s="5">
        <f t="shared" si="71"/>
        <v>57.184931506849317</v>
      </c>
      <c r="X177" s="4"/>
      <c r="Y177" s="4"/>
    </row>
    <row r="178" spans="1:25" x14ac:dyDescent="0.15">
      <c r="A178" s="1">
        <v>1984</v>
      </c>
      <c r="B178" s="5">
        <f>(K62*($E62/366))+(K63*($E63/366))</f>
        <v>11.76470588235294</v>
      </c>
      <c r="C178" s="5">
        <f>(L62*($E62/366))+(L63*($E63/366))</f>
        <v>41.17647058823529</v>
      </c>
      <c r="D178" s="5">
        <f>(M62*($E62/366))+(M63*($E63/366))</f>
        <v>47.058823529411761</v>
      </c>
      <c r="E178" s="17">
        <f t="shared" si="70"/>
        <v>100</v>
      </c>
      <c r="G178" s="1">
        <v>1984</v>
      </c>
      <c r="H178" s="362">
        <f>(O62/$R62*100*($E62/366))+(O63/$R63*100*($E63/366))</f>
        <v>8.9430894308943092</v>
      </c>
      <c r="I178" s="362"/>
      <c r="J178" s="362">
        <f>(P62/$R62*100*($E62/366))+(P63/$R63*100*($E63/366))</f>
        <v>44.715447154471541</v>
      </c>
      <c r="K178" s="362"/>
      <c r="L178" s="362">
        <f>(Q62/$R62*100*($E62/366))+(Q63/$R63*100*($E63/366))</f>
        <v>46.341463414634148</v>
      </c>
      <c r="M178" s="362"/>
      <c r="N178" s="363">
        <f t="shared" si="69"/>
        <v>100</v>
      </c>
      <c r="O178" s="363"/>
      <c r="P178" s="9"/>
      <c r="Q178" s="9"/>
      <c r="R178" s="9">
        <v>1984</v>
      </c>
      <c r="S178" s="5">
        <f>(O62*($E62/366))+(O63*($E63/366))</f>
        <v>5.5</v>
      </c>
      <c r="T178" s="5">
        <f>(P62*($E62/366))+(P63*($E63/366))</f>
        <v>27.5</v>
      </c>
      <c r="U178" s="5">
        <f>(Q62*($E62/366))+(Q63*($E63/366))</f>
        <v>28.5</v>
      </c>
      <c r="V178" s="9"/>
      <c r="W178" s="5">
        <f t="shared" si="71"/>
        <v>61.5</v>
      </c>
      <c r="X178" s="4"/>
      <c r="Y178" s="4"/>
    </row>
    <row r="179" spans="1:25" x14ac:dyDescent="0.15">
      <c r="A179" s="1">
        <v>1985</v>
      </c>
      <c r="B179" s="5">
        <f>(K64*($E64/365))+(K65*($E65/365))</f>
        <v>11.76470588235294</v>
      </c>
      <c r="C179" s="5">
        <f>(L64*($E64/365))+(L65*($E65/365))</f>
        <v>41.17647058823529</v>
      </c>
      <c r="D179" s="5">
        <f>(M64*($E64/365))+(M65*($E65/365))</f>
        <v>47.058823529411761</v>
      </c>
      <c r="E179" s="17">
        <f t="shared" si="70"/>
        <v>100</v>
      </c>
      <c r="G179" s="1">
        <v>1985</v>
      </c>
      <c r="H179" s="362">
        <f>(O64/$R64*100*($E64/365))+(O65/$R65*100*($E65/365))</f>
        <v>8.9430894308943092</v>
      </c>
      <c r="I179" s="362"/>
      <c r="J179" s="362">
        <f>(P64/$R64*100*($E64/365))+(P65/$R65*100*($E65/365))</f>
        <v>44.715447154471541</v>
      </c>
      <c r="K179" s="362"/>
      <c r="L179" s="362">
        <f>(Q64/$R64*100*($E64/365))+(Q65/$R65*100*($E65/365))</f>
        <v>46.341463414634148</v>
      </c>
      <c r="M179" s="362"/>
      <c r="N179" s="363">
        <f t="shared" si="69"/>
        <v>100</v>
      </c>
      <c r="O179" s="363"/>
      <c r="P179" s="9"/>
      <c r="Q179" s="9"/>
      <c r="R179" s="9">
        <v>1985</v>
      </c>
      <c r="S179" s="5">
        <f>(O64*($E64/365))+(O65*($E65/365))</f>
        <v>5.5</v>
      </c>
      <c r="T179" s="5">
        <f>(P64*($E64/365))+(P65*($E65/365))</f>
        <v>27.5</v>
      </c>
      <c r="U179" s="5">
        <f>(Q64*($E64/365))+(Q65*($E65/365))</f>
        <v>28.5</v>
      </c>
      <c r="V179" s="9"/>
      <c r="W179" s="5">
        <f t="shared" si="71"/>
        <v>61.5</v>
      </c>
      <c r="X179" s="4"/>
      <c r="Y179" s="4"/>
    </row>
    <row r="180" spans="1:25" x14ac:dyDescent="0.15">
      <c r="A180" s="1">
        <v>1986</v>
      </c>
      <c r="B180" s="5">
        <f>(K66*($E66/365))+(K67*($E67/365))</f>
        <v>11.76470588235294</v>
      </c>
      <c r="C180" s="5">
        <f>(L66*($E66/365))+(L67*($E67/365))</f>
        <v>41.17647058823529</v>
      </c>
      <c r="D180" s="5">
        <f>(M66*($E66/365))+(M67*($E67/365))</f>
        <v>47.058823529411761</v>
      </c>
      <c r="E180" s="17">
        <f t="shared" si="70"/>
        <v>100</v>
      </c>
      <c r="G180" s="1">
        <v>1986</v>
      </c>
      <c r="H180" s="362">
        <f>(O66/$R66*100*($E66/365))+(O67/$R67*100*($E67/365))</f>
        <v>8.9430894308943092</v>
      </c>
      <c r="I180" s="362"/>
      <c r="J180" s="362">
        <f>(P66/$R66*100*($E66/365))+(P67/$R67*100*($E67/365))</f>
        <v>44.715447154471541</v>
      </c>
      <c r="K180" s="362"/>
      <c r="L180" s="362">
        <f>(Q66/$R66*100*($E66/365))+(Q67/$R67*100*($E67/365))</f>
        <v>46.341463414634148</v>
      </c>
      <c r="M180" s="362"/>
      <c r="N180" s="363">
        <f t="shared" si="69"/>
        <v>100</v>
      </c>
      <c r="O180" s="363"/>
      <c r="P180" s="9"/>
      <c r="Q180" s="9"/>
      <c r="R180" s="9">
        <v>1986</v>
      </c>
      <c r="S180" s="5">
        <f>(O66*($E66/365))+(O67*($E67/365))</f>
        <v>5.5</v>
      </c>
      <c r="T180" s="5">
        <f>(P66*($E66/365))+(P67*($E67/365))</f>
        <v>27.5</v>
      </c>
      <c r="U180" s="5">
        <f>(Q66*($E66/365))+(Q67*($E67/365))</f>
        <v>28.5</v>
      </c>
      <c r="V180" s="9"/>
      <c r="W180" s="5">
        <f t="shared" si="71"/>
        <v>61.5</v>
      </c>
      <c r="X180" s="4"/>
      <c r="Y180" s="4"/>
    </row>
    <row r="181" spans="1:25" x14ac:dyDescent="0.15">
      <c r="A181" s="1">
        <v>1987</v>
      </c>
      <c r="B181" s="5">
        <f>(K68*($E68/365))+(K69*($E69/365))</f>
        <v>37.534246575342465</v>
      </c>
      <c r="C181" s="5">
        <f>(L68*($E68/365))+(L69*($E69/365))</f>
        <v>17.168949771689498</v>
      </c>
      <c r="D181" s="5">
        <f>(M68*($E68/365))+(M69*($E69/365))</f>
        <v>45.296803652968038</v>
      </c>
      <c r="E181" s="17">
        <f t="shared" si="70"/>
        <v>100</v>
      </c>
      <c r="G181" s="1">
        <v>1987</v>
      </c>
      <c r="H181" s="362">
        <f>(O68/$R68*100*($E68/365))+(O69/$R69*100*($E69/365))</f>
        <v>36.871563759034011</v>
      </c>
      <c r="I181" s="362"/>
      <c r="J181" s="362">
        <f>(P68/$R68*100*($E68/365))+(P69/$R69*100*($E69/365))</f>
        <v>19.208806978794456</v>
      </c>
      <c r="K181" s="362"/>
      <c r="L181" s="362">
        <f>(Q68/$R68*100*($E68/365))+(Q69/$R69*100*($E69/365))</f>
        <v>43.919629262171526</v>
      </c>
      <c r="M181" s="362"/>
      <c r="N181" s="363">
        <f t="shared" si="69"/>
        <v>100</v>
      </c>
      <c r="O181" s="363"/>
      <c r="P181" s="9"/>
      <c r="Q181" s="9"/>
      <c r="R181" s="9">
        <v>1987</v>
      </c>
      <c r="S181" s="5">
        <f>(O68*($E68/365))+(O69*($E69/365))</f>
        <v>24.034246575342468</v>
      </c>
      <c r="T181" s="5">
        <f>(P68*($E68/365))+(P69*($E69/365))</f>
        <v>11.9986301369863</v>
      </c>
      <c r="U181" s="5">
        <f>(Q68*($E68/365))+(Q69*($E69/365))</f>
        <v>28.163013698630138</v>
      </c>
      <c r="V181" s="9"/>
      <c r="W181" s="5">
        <f t="shared" si="71"/>
        <v>64.19589041095891</v>
      </c>
      <c r="X181" s="4"/>
      <c r="Y181" s="4"/>
    </row>
    <row r="182" spans="1:25" x14ac:dyDescent="0.15">
      <c r="A182" s="1">
        <v>1988</v>
      </c>
      <c r="B182" s="5">
        <f>(K70*($E70/366))+(K71*($E71/366))</f>
        <v>50</v>
      </c>
      <c r="C182" s="5">
        <f>(L70*($E70/366))+(L71*($E71/366))</f>
        <v>5.5555555555555554</v>
      </c>
      <c r="D182" s="5">
        <f>(M70*($E70/366))+(M71*($E71/366))</f>
        <v>44.444444444444443</v>
      </c>
      <c r="E182" s="17">
        <f t="shared" si="70"/>
        <v>100</v>
      </c>
      <c r="G182" s="1">
        <v>1988</v>
      </c>
      <c r="H182" s="362">
        <f>(O70/$R70*100*($E70/366))+(O71/$R71*100*($E71/366))</f>
        <v>50.381679389312971</v>
      </c>
      <c r="I182" s="362"/>
      <c r="J182" s="362">
        <f>(P70/$R70*100*($E70/366))+(P71/$R71*100*($E71/366))</f>
        <v>6.8702290076335881</v>
      </c>
      <c r="K182" s="362"/>
      <c r="L182" s="362">
        <f>(Q70/$R70*100*($E70/366))+(Q71/$R71*100*($E71/366))</f>
        <v>42.748091603053432</v>
      </c>
      <c r="M182" s="362"/>
      <c r="N182" s="363">
        <f t="shared" si="69"/>
        <v>100</v>
      </c>
      <c r="O182" s="363"/>
      <c r="P182" s="9"/>
      <c r="Q182" s="9"/>
      <c r="R182" s="9">
        <v>1988</v>
      </c>
      <c r="S182" s="5">
        <f>(O70*($E70/366))+(O71*($E71/366))</f>
        <v>33</v>
      </c>
      <c r="T182" s="5">
        <f>(P70*($E70/366))+(P71*($E71/366))</f>
        <v>4.5</v>
      </c>
      <c r="U182" s="5">
        <f>(Q70*($E70/366))+(Q71*($E71/366))</f>
        <v>28</v>
      </c>
      <c r="V182" s="9"/>
      <c r="W182" s="5">
        <f t="shared" si="71"/>
        <v>65.5</v>
      </c>
      <c r="X182" s="4"/>
      <c r="Y182" s="4"/>
    </row>
    <row r="183" spans="1:25" s="3" customFormat="1" x14ac:dyDescent="0.15">
      <c r="A183" s="3">
        <v>1989</v>
      </c>
      <c r="B183" s="8">
        <f>(K72*($E72/365))+(K73*($E73/365))</f>
        <v>50</v>
      </c>
      <c r="C183" s="8">
        <f>(L72*($E72/365))+(L73*($E73/365))</f>
        <v>5.5555555555555554</v>
      </c>
      <c r="D183" s="8">
        <f>(M72*($E72/365))+(M73*($E73/365))</f>
        <v>44.444444444444443</v>
      </c>
      <c r="E183" s="18">
        <f t="shared" si="70"/>
        <v>100</v>
      </c>
      <c r="G183" s="3">
        <v>1989</v>
      </c>
      <c r="H183" s="364">
        <f>(O72/$R72*100*($E72/365))+(O73/$R73*100*($E73/365))</f>
        <v>50.381679389312971</v>
      </c>
      <c r="I183" s="364"/>
      <c r="J183" s="364">
        <f>(P72/$R72*100*($E72/365))+(P73/$R73*100*($E73/365))</f>
        <v>6.8702290076335881</v>
      </c>
      <c r="K183" s="364"/>
      <c r="L183" s="364">
        <f>(Q72/$R72*100*($E72/365))+(Q73/$R73*100*($E73/365))</f>
        <v>42.748091603053432</v>
      </c>
      <c r="M183" s="364"/>
      <c r="N183" s="391">
        <f t="shared" si="69"/>
        <v>100</v>
      </c>
      <c r="O183" s="391"/>
      <c r="P183" s="20"/>
      <c r="Q183" s="20"/>
      <c r="R183" s="20">
        <v>1989</v>
      </c>
      <c r="S183" s="8">
        <f>(O72*($E72/365))+(O73*($E73/365))</f>
        <v>33</v>
      </c>
      <c r="T183" s="8">
        <f>(P72*($E72/365))+(P73*($E73/365))</f>
        <v>4.5</v>
      </c>
      <c r="U183" s="8">
        <f>(Q72*($E72/365))+(Q73*($E73/365))</f>
        <v>28</v>
      </c>
      <c r="V183" s="20"/>
      <c r="W183" s="8">
        <f t="shared" si="71"/>
        <v>65.5</v>
      </c>
      <c r="X183" s="12"/>
      <c r="Y183" s="12"/>
    </row>
    <row r="184" spans="1:25" x14ac:dyDescent="0.15">
      <c r="A184" s="1">
        <v>1990</v>
      </c>
      <c r="B184" s="5">
        <f>(K74*($E74/365))+(K75*($E75/365))</f>
        <v>47.348460918614023</v>
      </c>
      <c r="C184" s="5">
        <f>(L74*($E74/365))+(L75*($E75/365))</f>
        <v>7.268219178082191</v>
      </c>
      <c r="D184" s="5">
        <f>(M74*($E74/365))+(M75*($E75/365))</f>
        <v>45.317840451248991</v>
      </c>
      <c r="E184" s="17">
        <f t="shared" si="70"/>
        <v>99.934520547945198</v>
      </c>
      <c r="G184" s="1">
        <v>1990</v>
      </c>
      <c r="H184" s="362">
        <f>(O74/$R74*100*($E74/365))+(O75/$R75*100*($E75/365))</f>
        <v>51.664698127859594</v>
      </c>
      <c r="I184" s="362"/>
      <c r="J184" s="362">
        <f>(P74/$R74*100*($E74/365))+(P75/$R75*100*($E75/365))</f>
        <v>4.4985883091080208</v>
      </c>
      <c r="K184" s="362"/>
      <c r="L184" s="362">
        <f>(Q74/$R74*100*($E74/365))+(Q75/$R75*100*($E75/365))</f>
        <v>43.836713563032376</v>
      </c>
      <c r="M184" s="362"/>
      <c r="N184" s="363">
        <f t="shared" si="69"/>
        <v>100</v>
      </c>
      <c r="O184" s="363"/>
      <c r="P184" s="9"/>
      <c r="Q184" s="9"/>
      <c r="R184" s="9">
        <v>1990</v>
      </c>
      <c r="S184" s="5">
        <f>(O74*($E74/365))+(O75*($E75/365))</f>
        <v>33</v>
      </c>
      <c r="T184" s="5">
        <f>(P74*($E74/365))+(P75*($E75/365))</f>
        <v>2.9465753424657533</v>
      </c>
      <c r="U184" s="5">
        <f>(Q74*($E74/365))+(Q75*($E75/365))</f>
        <v>28</v>
      </c>
      <c r="V184" s="9"/>
      <c r="W184" s="5">
        <f t="shared" si="71"/>
        <v>63.946575342465756</v>
      </c>
      <c r="X184" s="4"/>
      <c r="Y184" s="4"/>
    </row>
    <row r="185" spans="1:25" x14ac:dyDescent="0.15">
      <c r="A185" s="1">
        <v>1991</v>
      </c>
      <c r="B185" s="5">
        <f>(K76*($E76/365))+(K77*($E77/365))</f>
        <v>48.912167606768733</v>
      </c>
      <c r="C185" s="5">
        <f>(L76*($E76/365))+(L77*($E77/365))</f>
        <v>36.261079774375503</v>
      </c>
      <c r="D185" s="5">
        <f>(M76*($E76/365))+(M77*($E77/365))</f>
        <v>14.82675261885576</v>
      </c>
      <c r="E185" s="17">
        <f t="shared" si="70"/>
        <v>100</v>
      </c>
      <c r="G185" s="1">
        <v>1991</v>
      </c>
      <c r="H185" s="362">
        <f>(O76/$R76*100*($E76/365))+(O77/$R77*100*($E77/365))</f>
        <v>48.015504935607652</v>
      </c>
      <c r="I185" s="362"/>
      <c r="J185" s="362">
        <f>(P76/$R76*100*($E76/365))+(P77/$R77*100*($E77/365))</f>
        <v>37.522334723049433</v>
      </c>
      <c r="K185" s="362"/>
      <c r="L185" s="362">
        <f>(Q76/$R76*100*($E76/365))+(Q77/$R77*100*($E77/365))</f>
        <v>14.462160341342914</v>
      </c>
      <c r="M185" s="362"/>
      <c r="N185" s="363">
        <f t="shared" ref="N185:N206" si="72">SUM(H185:M185)</f>
        <v>99.999999999999986</v>
      </c>
      <c r="O185" s="363"/>
      <c r="P185" s="9"/>
      <c r="Q185" s="9"/>
      <c r="R185" s="9">
        <v>1991</v>
      </c>
      <c r="S185" s="5">
        <f>(O76*($E76/365))+(O77*($E77/365))</f>
        <v>28.205479452054792</v>
      </c>
      <c r="T185" s="5">
        <f>(P76*($E76/365))+(P77*($E77/365))</f>
        <v>21.575342465753423</v>
      </c>
      <c r="U185" s="5">
        <f>(Q76*($E76/365))+(Q77*($E77/365))</f>
        <v>8.8219178082191778</v>
      </c>
      <c r="V185" s="9"/>
      <c r="W185" s="5">
        <f t="shared" si="71"/>
        <v>58.602739726027387</v>
      </c>
      <c r="X185" s="4"/>
      <c r="Y185" s="4"/>
    </row>
    <row r="186" spans="1:25" x14ac:dyDescent="0.15">
      <c r="A186" s="1">
        <v>1992</v>
      </c>
      <c r="B186" s="5">
        <f>(K78*($E78/366))+(K79*($E79/366))</f>
        <v>47.058823529411761</v>
      </c>
      <c r="C186" s="5">
        <f>(L78*($E78/366))+(L79*($E79/366))</f>
        <v>52.941176470588239</v>
      </c>
      <c r="D186" s="5">
        <f>(M78*($E78/366))+(M79*($E79/366))</f>
        <v>0</v>
      </c>
      <c r="E186" s="17">
        <f t="shared" si="70"/>
        <v>100</v>
      </c>
      <c r="G186" s="1">
        <v>1992</v>
      </c>
      <c r="H186" s="362">
        <f>(O78/$R78*100*($E78/366))+(O79/$R79*100*($E79/366))</f>
        <v>45.217391304347828</v>
      </c>
      <c r="I186" s="362"/>
      <c r="J186" s="362">
        <f>(P78/$R78*100*($E78/366))+(P79/$R79*100*($E79/366))</f>
        <v>54.782608695652172</v>
      </c>
      <c r="K186" s="362"/>
      <c r="L186" s="362">
        <f>(Q78/$R78*100*($E78/366))+(Q79/$R79*100*($E79/366))</f>
        <v>0</v>
      </c>
      <c r="M186" s="362"/>
      <c r="N186" s="363">
        <f t="shared" si="72"/>
        <v>100</v>
      </c>
      <c r="O186" s="363"/>
      <c r="P186" s="9"/>
      <c r="Q186" s="9"/>
      <c r="R186" s="9">
        <v>1992</v>
      </c>
      <c r="S186" s="5">
        <f>(O78*($E78/366))+(O79*($E79/366))</f>
        <v>26</v>
      </c>
      <c r="T186" s="5">
        <f>(P78*($E78/366))+(P79*($E79/366))</f>
        <v>31.5</v>
      </c>
      <c r="U186" s="5">
        <f>(Q78*($E78/366))+(Q79*($E79/366))</f>
        <v>0</v>
      </c>
      <c r="V186" s="9"/>
      <c r="W186" s="5">
        <f t="shared" si="71"/>
        <v>57.5</v>
      </c>
      <c r="X186" s="4"/>
      <c r="Y186" s="4"/>
    </row>
    <row r="187" spans="1:25" x14ac:dyDescent="0.15">
      <c r="A187" s="1">
        <v>1993</v>
      </c>
      <c r="B187" s="5">
        <f>(K80*($E80/365))+(K81*($E81/365))</f>
        <v>47.058823529411761</v>
      </c>
      <c r="C187" s="5">
        <f>(L80*($E80/365))+(L81*($E81/365))</f>
        <v>52.941176470588239</v>
      </c>
      <c r="D187" s="5">
        <f>(M80*($E80/365))+(M81*($E81/365))</f>
        <v>0</v>
      </c>
      <c r="E187" s="17">
        <f t="shared" si="70"/>
        <v>100</v>
      </c>
      <c r="G187" s="1">
        <v>1993</v>
      </c>
      <c r="H187" s="362">
        <f>(O80/$R80*100*($E80/365))+(O81/$R81*100*($E81/365))</f>
        <v>45.217391304347828</v>
      </c>
      <c r="I187" s="362"/>
      <c r="J187" s="362">
        <f>(P80/$R80*100*($E80/365))+(P81/$R81*100*($E81/365))</f>
        <v>54.782608695652172</v>
      </c>
      <c r="K187" s="362"/>
      <c r="L187" s="362">
        <f>(Q80/$R80*100*($E80/365))+(Q81/$R81*100*($E81/365))</f>
        <v>0</v>
      </c>
      <c r="M187" s="362"/>
      <c r="N187" s="363">
        <f t="shared" si="72"/>
        <v>100</v>
      </c>
      <c r="O187" s="363"/>
      <c r="P187" s="9"/>
      <c r="Q187" s="9"/>
      <c r="R187" s="9">
        <v>1993</v>
      </c>
      <c r="S187" s="5">
        <f>(O80*($E80/365))+(O81*($E81/365))</f>
        <v>26</v>
      </c>
      <c r="T187" s="5">
        <f>(P80*($E80/365))+(P81*($E81/365))</f>
        <v>31.5</v>
      </c>
      <c r="U187" s="5">
        <f>(Q80*($E80/365))+(Q81*($E81/365))</f>
        <v>0</v>
      </c>
      <c r="V187" s="9"/>
      <c r="W187" s="5">
        <f t="shared" si="71"/>
        <v>57.5</v>
      </c>
      <c r="X187" s="4"/>
      <c r="Y187" s="4"/>
    </row>
    <row r="188" spans="1:25" x14ac:dyDescent="0.15">
      <c r="A188" s="1">
        <v>1994</v>
      </c>
      <c r="B188" s="5">
        <f>(K82*($E82/365))+(K83*($E83/365))</f>
        <v>48.630136986301366</v>
      </c>
      <c r="C188" s="5">
        <f>(L82*($E82/365))+(L83*($E83/365))</f>
        <v>51.369863013698634</v>
      </c>
      <c r="D188" s="5">
        <f>(M82*($E82/365))+(M83*($E83/365))</f>
        <v>0</v>
      </c>
      <c r="E188" s="17">
        <f t="shared" si="70"/>
        <v>100</v>
      </c>
      <c r="G188" s="1">
        <v>1994</v>
      </c>
      <c r="H188" s="362">
        <f>(O82/$R82*100*($E82/365))+(O83/$R83*100*($E83/365))</f>
        <v>47.023539823994028</v>
      </c>
      <c r="I188" s="362"/>
      <c r="J188" s="362">
        <f>(P82/$R82*100*($E82/365))+(P83/$R83*100*($E83/365))</f>
        <v>52.976460176005965</v>
      </c>
      <c r="K188" s="362"/>
      <c r="L188" s="362">
        <f>(Q82/$R82*100*($E82/365))+(Q83/$R83*100*($E83/365))</f>
        <v>0</v>
      </c>
      <c r="M188" s="362"/>
      <c r="N188" s="363">
        <f t="shared" si="72"/>
        <v>100</v>
      </c>
      <c r="O188" s="363"/>
      <c r="P188" s="9"/>
      <c r="Q188" s="9"/>
      <c r="R188" s="9">
        <v>1994</v>
      </c>
      <c r="S188" s="5">
        <f>(O82*($E82/365))+(O83*($E83/365))</f>
        <v>26</v>
      </c>
      <c r="T188" s="5">
        <f>(P82*($E82/365))+(P83*($E83/365))</f>
        <v>29.363013698630134</v>
      </c>
      <c r="U188" s="5">
        <f>(Q82*($E82/365))+(Q83*($E83/365))</f>
        <v>0</v>
      </c>
      <c r="V188" s="9"/>
      <c r="W188" s="5">
        <f t="shared" si="71"/>
        <v>55.363013698630134</v>
      </c>
      <c r="X188" s="4"/>
      <c r="Y188" s="4"/>
    </row>
    <row r="189" spans="1:25" x14ac:dyDescent="0.15">
      <c r="A189" s="1">
        <v>1995</v>
      </c>
      <c r="B189" s="5">
        <f>(K84*($E84/365))+(K85*($E85/365))</f>
        <v>41.993911719939121</v>
      </c>
      <c r="C189" s="5">
        <f>(L84*($E84/365))+(L85*($E85/365))</f>
        <v>13.972602739726028</v>
      </c>
      <c r="D189" s="5">
        <f>(M84*($E84/365))+(M85*($E85/365))</f>
        <v>40.030441400304419</v>
      </c>
      <c r="E189" s="17">
        <f t="shared" si="70"/>
        <v>95.996955859969574</v>
      </c>
      <c r="G189" s="1">
        <v>1995</v>
      </c>
      <c r="H189" s="362">
        <f>(O84/$R84*100*($E84/365))+(O85/$R85*100*($E85/365))</f>
        <v>38.924258009261912</v>
      </c>
      <c r="I189" s="362"/>
      <c r="J189" s="362">
        <f>(P84/$R84*100*($E84/365))+(P85/$R85*100*($E85/365))</f>
        <v>14.364357956727691</v>
      </c>
      <c r="K189" s="362"/>
      <c r="L189" s="362">
        <f>(Q84/$R84*100*($E84/365))+(Q85/$R85*100*($E85/365))</f>
        <v>46.711384034010386</v>
      </c>
      <c r="M189" s="362"/>
      <c r="N189" s="363">
        <f t="shared" si="72"/>
        <v>100</v>
      </c>
      <c r="O189" s="363"/>
      <c r="P189" s="9"/>
      <c r="Q189" s="9"/>
      <c r="R189" s="9">
        <v>1995</v>
      </c>
      <c r="S189" s="5">
        <f>(O84*($E84/365))+(O85*($E85/365))</f>
        <v>25.639726027397263</v>
      </c>
      <c r="T189" s="5">
        <f>(P84*($E84/365))+(P85*($E85/365))</f>
        <v>7.6849315068493151</v>
      </c>
      <c r="U189" s="5">
        <f>(Q84*($E84/365))+(Q85*($E85/365))</f>
        <v>33.865753424657534</v>
      </c>
      <c r="V189" s="9"/>
      <c r="W189" s="5">
        <f t="shared" si="71"/>
        <v>67.19041095890411</v>
      </c>
      <c r="X189" s="4"/>
      <c r="Y189" s="4"/>
    </row>
    <row r="190" spans="1:25" x14ac:dyDescent="0.15">
      <c r="A190" s="1">
        <v>1996</v>
      </c>
      <c r="B190" s="5">
        <f>(K86*($E86/366))+(K87*($E87/366))</f>
        <v>38.888888888888893</v>
      </c>
      <c r="C190" s="5">
        <f>(L86*($E86/366))+(L87*($E87/366))</f>
        <v>0</v>
      </c>
      <c r="D190" s="5">
        <f>(M86*($E86/366))+(M87*($E87/366))</f>
        <v>55.555555555555557</v>
      </c>
      <c r="E190" s="17">
        <f t="shared" si="70"/>
        <v>94.444444444444457</v>
      </c>
      <c r="G190" s="1">
        <v>1996</v>
      </c>
      <c r="H190" s="362">
        <f>(O86/$R86*100*($E86/366))+(O87/$R87*100*($E87/366))</f>
        <v>35.172413793103445</v>
      </c>
      <c r="I190" s="362"/>
      <c r="J190" s="362">
        <f>(P86/$R86*100*($E86/366))+(P87/$R87*100*($E87/366))</f>
        <v>0</v>
      </c>
      <c r="K190" s="362"/>
      <c r="L190" s="362">
        <f>(Q86/$R86*100*($E86/366))+(Q87/$R87*100*($E87/366))</f>
        <v>64.827586206896541</v>
      </c>
      <c r="M190" s="362"/>
      <c r="N190" s="363">
        <f t="shared" si="72"/>
        <v>99.999999999999986</v>
      </c>
      <c r="O190" s="363"/>
      <c r="P190" s="9"/>
      <c r="Q190" s="9"/>
      <c r="R190" s="9">
        <v>1996</v>
      </c>
      <c r="S190" s="5">
        <f>(O86*($E86/366))+(O87*($E87/366))</f>
        <v>25.5</v>
      </c>
      <c r="T190" s="5">
        <f>(P86*($E86/366))+(P87*($E87/366))</f>
        <v>0</v>
      </c>
      <c r="U190" s="5">
        <f>(Q86*($E86/366))+(Q87*($E87/366))</f>
        <v>47</v>
      </c>
      <c r="V190" s="9"/>
      <c r="W190" s="5">
        <f t="shared" si="71"/>
        <v>72.5</v>
      </c>
      <c r="X190" s="4"/>
      <c r="Y190" s="4"/>
    </row>
    <row r="191" spans="1:25" x14ac:dyDescent="0.15">
      <c r="A191" s="1">
        <v>1997</v>
      </c>
      <c r="B191" s="5">
        <f>(K88*($E88/365))+(K89*($E89/365))</f>
        <v>38.888888888888893</v>
      </c>
      <c r="C191" s="5">
        <f>(L88*($E88/365))+(L89*($E89/365))</f>
        <v>0</v>
      </c>
      <c r="D191" s="5">
        <f>(M88*($E88/365))+(M89*($E89/365))</f>
        <v>55.555555555555557</v>
      </c>
      <c r="E191" s="17">
        <f t="shared" si="70"/>
        <v>94.444444444444457</v>
      </c>
      <c r="G191" s="1">
        <v>1997</v>
      </c>
      <c r="H191" s="362">
        <f>(O88/$R88*100*($E88/365))+(O89/$R89*100*($E89/365))</f>
        <v>35.172413793103445</v>
      </c>
      <c r="I191" s="362"/>
      <c r="J191" s="362">
        <f>(P88/$R88*100*($E88/365))+(P89/$R89*100*($E89/365))</f>
        <v>0</v>
      </c>
      <c r="K191" s="362"/>
      <c r="L191" s="362">
        <f>(Q88/$R88*100*($E88/365))+(Q89/$R89*100*($E89/365))</f>
        <v>64.827586206896541</v>
      </c>
      <c r="M191" s="362"/>
      <c r="N191" s="363">
        <f t="shared" si="72"/>
        <v>99.999999999999986</v>
      </c>
      <c r="O191" s="363"/>
      <c r="P191" s="9"/>
      <c r="Q191" s="9"/>
      <c r="R191" s="9">
        <v>1997</v>
      </c>
      <c r="S191" s="5">
        <f>(O88*($E88/365))+(O89*($E89/365))</f>
        <v>25.5</v>
      </c>
      <c r="T191" s="5">
        <f>(P88*($E88/365))+(P89*($E89/365))</f>
        <v>0</v>
      </c>
      <c r="U191" s="5">
        <f>(Q88*($E88/365))+(Q89*($E89/365))</f>
        <v>47</v>
      </c>
      <c r="V191" s="9"/>
      <c r="W191" s="5">
        <f t="shared" si="71"/>
        <v>72.5</v>
      </c>
      <c r="X191" s="4"/>
      <c r="Y191" s="4"/>
    </row>
    <row r="192" spans="1:25" x14ac:dyDescent="0.15">
      <c r="A192" s="1">
        <v>1998</v>
      </c>
      <c r="B192" s="5">
        <f>(K90*($E90/365))+(K91*($E91/365))</f>
        <v>38.888888888888893</v>
      </c>
      <c r="C192" s="5">
        <f>(L90*($E90/365))+(L91*($E91/365))</f>
        <v>0</v>
      </c>
      <c r="D192" s="5">
        <f>(M90*($E90/365))+(M91*($E91/365))</f>
        <v>55.555555555555557</v>
      </c>
      <c r="E192" s="17">
        <f t="shared" si="70"/>
        <v>94.444444444444457</v>
      </c>
      <c r="G192" s="1">
        <v>1998</v>
      </c>
      <c r="H192" s="362">
        <f>(O90/$R90*100*($E90/365))+(O91/$R91*100*($E91/365))</f>
        <v>35.172413793103445</v>
      </c>
      <c r="I192" s="362"/>
      <c r="J192" s="362">
        <f>(P90/$R90*100*($E90/365))+(P91/$R91*100*($E91/365))</f>
        <v>0</v>
      </c>
      <c r="K192" s="362"/>
      <c r="L192" s="362">
        <f>(Q90/$R90*100*($E90/365))+(Q91/$R91*100*($E91/365))</f>
        <v>64.827586206896541</v>
      </c>
      <c r="M192" s="362"/>
      <c r="N192" s="363">
        <f t="shared" si="72"/>
        <v>99.999999999999986</v>
      </c>
      <c r="O192" s="363"/>
      <c r="P192" s="9"/>
      <c r="Q192" s="9"/>
      <c r="R192" s="9">
        <v>1998</v>
      </c>
      <c r="S192" s="5">
        <f>(O90*($E90/365))+(O91*($E91/365))</f>
        <v>25.5</v>
      </c>
      <c r="T192" s="5">
        <f>(P90*($E90/365))+(P91*($E91/365))</f>
        <v>0</v>
      </c>
      <c r="U192" s="5">
        <f>(Q90*($E90/365))+(Q91*($E91/365))</f>
        <v>47</v>
      </c>
      <c r="V192" s="9"/>
      <c r="W192" s="5">
        <f t="shared" si="71"/>
        <v>72.5</v>
      </c>
      <c r="X192" s="4"/>
      <c r="Y192" s="4"/>
    </row>
    <row r="193" spans="1:25" x14ac:dyDescent="0.15">
      <c r="A193" s="1">
        <v>1999</v>
      </c>
      <c r="B193" s="5">
        <f>(K92*($E92/365))+(K93*($E93/365))</f>
        <v>42.861491628614914</v>
      </c>
      <c r="C193" s="5">
        <f>(L92*($E92/365))+(L93*($E93/365))</f>
        <v>0</v>
      </c>
      <c r="D193" s="5">
        <f>(M92*($E92/365))+(M93*($E93/365))</f>
        <v>51.582952815829529</v>
      </c>
      <c r="E193" s="17">
        <f t="shared" si="70"/>
        <v>94.444444444444443</v>
      </c>
      <c r="G193" s="1">
        <v>1999</v>
      </c>
      <c r="H193" s="362">
        <f>(O92/$R92*100*($E92/365))+(O93/$R93*100*($E93/365))</f>
        <v>39.645995006410686</v>
      </c>
      <c r="I193" s="362"/>
      <c r="J193" s="362">
        <f>(P92/$R92*100*($E92/365))+(P93/$R93*100*($E93/365))</f>
        <v>0</v>
      </c>
      <c r="K193" s="362"/>
      <c r="L193" s="362">
        <f>(Q92/$R92*100*($E92/365))+(Q93/$R93*100*($E93/365))</f>
        <v>60.354004993589314</v>
      </c>
      <c r="M193" s="362"/>
      <c r="N193" s="363">
        <f t="shared" si="72"/>
        <v>100</v>
      </c>
      <c r="O193" s="363"/>
      <c r="P193" s="9"/>
      <c r="Q193" s="9"/>
      <c r="R193" s="9">
        <v>1999</v>
      </c>
      <c r="S193" s="5">
        <f>(O92*($E92/365))+(O93*($E93/365))</f>
        <v>28.002739726027393</v>
      </c>
      <c r="T193" s="5">
        <f>(P92*($E92/365))+(P93*($E93/365))</f>
        <v>0</v>
      </c>
      <c r="U193" s="5">
        <f>(Q92*($E92/365))+(Q93*($E93/365))</f>
        <v>42.709589041095889</v>
      </c>
      <c r="V193" s="9"/>
      <c r="W193" s="5">
        <f t="shared" si="71"/>
        <v>70.712328767123282</v>
      </c>
      <c r="X193" s="4"/>
      <c r="Y193" s="4"/>
    </row>
    <row r="194" spans="1:25" x14ac:dyDescent="0.15">
      <c r="A194" s="1">
        <v>2000</v>
      </c>
      <c r="B194" s="5">
        <f>(K94*($E94/366))+(K95*($E95/366))</f>
        <v>44.444444444444443</v>
      </c>
      <c r="C194" s="5">
        <f>(L94*($E94/366))+(L95*($E95/366))</f>
        <v>0</v>
      </c>
      <c r="D194" s="5">
        <f>(M94*($E94/366))+(M95*($E95/366))</f>
        <v>50</v>
      </c>
      <c r="E194" s="17">
        <f t="shared" si="70"/>
        <v>94.444444444444443</v>
      </c>
      <c r="G194" s="1">
        <v>2000</v>
      </c>
      <c r="H194" s="362">
        <f>(O94/$R94*100*($E94/366))+(O95/$R95*100*($E95/366))</f>
        <v>41.428571428571431</v>
      </c>
      <c r="I194" s="362"/>
      <c r="J194" s="362">
        <f>(P94/$R94*100*($E94/366))+(P95/$R95*100*($E95/366))</f>
        <v>0</v>
      </c>
      <c r="K194" s="362"/>
      <c r="L194" s="362">
        <f>(Q94/$R94*100*($E94/366))+(Q95/$R95*100*($E95/366))</f>
        <v>58.571428571428577</v>
      </c>
      <c r="M194" s="362"/>
      <c r="N194" s="363">
        <f t="shared" si="72"/>
        <v>100</v>
      </c>
      <c r="O194" s="363"/>
      <c r="P194" s="9"/>
      <c r="Q194" s="9"/>
      <c r="R194" s="9">
        <v>2000</v>
      </c>
      <c r="S194" s="5">
        <f>(O94*($E94/366))+(O95*($E95/366))</f>
        <v>29</v>
      </c>
      <c r="T194" s="5">
        <f>(P94*($E94/366))+(P95*($E95/366))</f>
        <v>0</v>
      </c>
      <c r="U194" s="5">
        <f>(Q94*($E94/366))+(Q95*($E95/366))</f>
        <v>41</v>
      </c>
      <c r="V194" s="9"/>
      <c r="W194" s="5">
        <f t="shared" si="71"/>
        <v>70</v>
      </c>
      <c r="X194" s="4"/>
      <c r="Y194" s="4"/>
    </row>
    <row r="195" spans="1:25" x14ac:dyDescent="0.15">
      <c r="A195" s="1">
        <v>2001</v>
      </c>
      <c r="B195" s="5">
        <f>(K96*($E96/365))+(K97*($E97/365))</f>
        <v>44.444444444444443</v>
      </c>
      <c r="C195" s="5">
        <f>(L96*($E96/365))+(L97*($E97/365))</f>
        <v>0</v>
      </c>
      <c r="D195" s="5">
        <f>(M96*($E96/365))+(M97*($E97/365))</f>
        <v>50</v>
      </c>
      <c r="E195" s="17">
        <f t="shared" si="70"/>
        <v>94.444444444444443</v>
      </c>
      <c r="G195" s="1">
        <v>2001</v>
      </c>
      <c r="H195" s="362">
        <f>(O96/$R96*100*($E96/365))+(O97/$R97*100*($E97/365))</f>
        <v>41.428571428571431</v>
      </c>
      <c r="I195" s="362"/>
      <c r="J195" s="362">
        <f>(P96/$R96*100*($E96/365))+(P97/$R97*100*($E97/365))</f>
        <v>0</v>
      </c>
      <c r="K195" s="362"/>
      <c r="L195" s="362">
        <f>(Q96/$R96*100*($E96/365))+(Q97/$R97*100*($E97/365))</f>
        <v>58.571428571428577</v>
      </c>
      <c r="M195" s="362"/>
      <c r="N195" s="363">
        <f t="shared" si="72"/>
        <v>100</v>
      </c>
      <c r="O195" s="363"/>
      <c r="P195" s="9"/>
      <c r="Q195" s="9"/>
      <c r="R195" s="9">
        <v>2001</v>
      </c>
      <c r="S195" s="5">
        <f>(O96*($E96/365))+(O97*($E97/365))</f>
        <v>29</v>
      </c>
      <c r="T195" s="5">
        <f>(P96*($E96/365))+(P97*($E97/365))</f>
        <v>0</v>
      </c>
      <c r="U195" s="5">
        <f>(Q96*($E96/365))+(Q97*($E97/365))</f>
        <v>41</v>
      </c>
      <c r="V195" s="9"/>
      <c r="W195" s="5">
        <f t="shared" si="71"/>
        <v>70</v>
      </c>
      <c r="X195" s="4"/>
      <c r="Y195" s="4"/>
    </row>
    <row r="196" spans="1:25" x14ac:dyDescent="0.15">
      <c r="A196" s="1">
        <v>2002</v>
      </c>
      <c r="B196" s="5">
        <f>(K98*($E98/365))+(K99*($E99/365))+(K100*($E100/365))</f>
        <v>51.628614916286153</v>
      </c>
      <c r="C196" s="5">
        <f>(L98*($E98/365))+(L99*($E99/365))+(L100*($E100/365))</f>
        <v>0</v>
      </c>
      <c r="D196" s="5">
        <f>(M98*($E98/365))+(M99*($E99/365))+(M100*($E100/365))</f>
        <v>46.088280060882802</v>
      </c>
      <c r="E196" s="17">
        <f t="shared" si="70"/>
        <v>97.716894977168948</v>
      </c>
      <c r="G196" s="1">
        <v>2002</v>
      </c>
      <c r="H196" s="362">
        <f>(O98/$R98*100*($E98/365))+(O99/$R99*100*($E99/365))+(O100/$R100*100*($E100/365))</f>
        <v>43.915957462946949</v>
      </c>
      <c r="I196" s="362"/>
      <c r="J196" s="362">
        <f>(P98/$R98*100*($E98/365))+(P99/$R99*100*($E99/365))+(P100/$R100*100*($E100/365))</f>
        <v>0</v>
      </c>
      <c r="K196" s="362"/>
      <c r="L196" s="362">
        <f>(Q98/$R98*100*($E98/365))+(Q99/$R99*100*($E99/365))+(Q100/$R100*100*($E100/365))</f>
        <v>56.084042537053051</v>
      </c>
      <c r="M196" s="362"/>
      <c r="N196" s="363">
        <f t="shared" si="72"/>
        <v>100</v>
      </c>
      <c r="O196" s="363"/>
      <c r="P196" s="9"/>
      <c r="Q196" s="9"/>
      <c r="R196" s="9">
        <v>2002</v>
      </c>
      <c r="S196" s="5">
        <f>(O98*($E98/365))+(O99*($E99/365))+(O100*($E100/365))</f>
        <v>29</v>
      </c>
      <c r="T196" s="5">
        <f>(P98*($E98/365))+(P99*($E99/365))+(P100*($E100/365))</f>
        <v>0</v>
      </c>
      <c r="U196" s="5">
        <f>(Q98*($E98/365))+(Q99*($E99/365))+(Q100*($E100/365))</f>
        <v>37.127397260273973</v>
      </c>
      <c r="V196" s="9"/>
      <c r="W196" s="5">
        <f t="shared" si="71"/>
        <v>66.127397260273966</v>
      </c>
      <c r="X196" s="4"/>
      <c r="Y196" s="4"/>
    </row>
    <row r="197" spans="1:25" x14ac:dyDescent="0.15">
      <c r="A197" s="1">
        <v>2003</v>
      </c>
      <c r="B197" s="5">
        <f>(K101*($E101/365))+(K102*($E102/365))+(K103*($E103/365))</f>
        <v>24.018264840182646</v>
      </c>
      <c r="C197" s="5">
        <f>(L101*($E101/365))+(L102*($E102/365))+(L103*($E103/365))</f>
        <v>31.537290715372905</v>
      </c>
      <c r="D197" s="5">
        <f>(M101*($E101/365))+(M102*($E102/365))+(M103*($E103/365))</f>
        <v>44.444444444444443</v>
      </c>
      <c r="E197" s="17">
        <f t="shared" si="70"/>
        <v>100</v>
      </c>
      <c r="G197" s="1">
        <v>2003</v>
      </c>
      <c r="H197" s="362">
        <f>(O101/$R101*100*($E101/365))+(O102/$R102*100*($E102/365))+(O103/$R103*100*($E103/365))</f>
        <v>18.515614151166872</v>
      </c>
      <c r="I197" s="362"/>
      <c r="J197" s="362">
        <f>(P101/$R101*100*($E101/365))+(P102/$R102*100*($E102/365))+(P103/$R103*100*($E103/365))</f>
        <v>33.356749795105955</v>
      </c>
      <c r="K197" s="362"/>
      <c r="L197" s="362">
        <f>(Q101/$R101*100*($E101/365))+(Q102/$R102*100*($E102/365))+(Q103/$R103*100*($E103/365))</f>
        <v>48.127636053727159</v>
      </c>
      <c r="M197" s="362"/>
      <c r="N197" s="363">
        <f t="shared" si="72"/>
        <v>99.999999999999986</v>
      </c>
      <c r="O197" s="363"/>
      <c r="P197" s="9"/>
      <c r="Q197" s="9"/>
      <c r="R197" s="9">
        <v>2003</v>
      </c>
      <c r="S197" s="5">
        <f>(O101*($E101/365))+(O102*($E102/365))+(O103*($E103/365))</f>
        <v>11.615068493150684</v>
      </c>
      <c r="T197" s="5">
        <f>(P101*($E101/365))+(P102*($E102/365))+(P103*($E103/365))</f>
        <v>19.513698630136986</v>
      </c>
      <c r="U197" s="5">
        <f>(Q101*($E101/365))+(Q102*($E102/365))+(Q103*($E103/365))</f>
        <v>29.113698630136987</v>
      </c>
      <c r="V197" s="9"/>
      <c r="W197" s="5">
        <f t="shared" si="71"/>
        <v>60.242465753424653</v>
      </c>
      <c r="X197" s="4"/>
      <c r="Y197" s="4"/>
    </row>
    <row r="198" spans="1:25" x14ac:dyDescent="0.15">
      <c r="A198" s="1">
        <v>2004</v>
      </c>
      <c r="B198" s="5">
        <f>(K104*($E104/366))+(K105*($E105/366))</f>
        <v>11.111111111111111</v>
      </c>
      <c r="C198" s="5">
        <f>(L104*($E104/366))+(L105*($E105/366))</f>
        <v>44.444444444444443</v>
      </c>
      <c r="D198" s="5">
        <f>(M104*($E104/366))+(M105*($E105/366))</f>
        <v>44.444444444444443</v>
      </c>
      <c r="E198" s="17">
        <f t="shared" si="70"/>
        <v>100</v>
      </c>
      <c r="G198" s="1">
        <v>2004</v>
      </c>
      <c r="H198" s="362">
        <f>(O104/$R104*100*($E104/366))+(O105/$R105*100*($E105/366))</f>
        <v>7.6923076923076925</v>
      </c>
      <c r="I198" s="362"/>
      <c r="J198" s="362">
        <f>(P104/$R104*100*($E104/366))+(P105/$R105*100*($E105/366))</f>
        <v>47.008547008547005</v>
      </c>
      <c r="K198" s="362"/>
      <c r="L198" s="362">
        <f>(Q104/$R104*100*($E104/366))+(Q105/$R105*100*($E105/366))</f>
        <v>45.299145299145302</v>
      </c>
      <c r="M198" s="362"/>
      <c r="N198" s="363">
        <f t="shared" si="72"/>
        <v>100</v>
      </c>
      <c r="O198" s="363"/>
      <c r="P198" s="9"/>
      <c r="Q198" s="9"/>
      <c r="R198" s="9">
        <v>2004</v>
      </c>
      <c r="S198" s="5">
        <f>(O104*($E104/366))+(O105*($E105/366))</f>
        <v>4.5</v>
      </c>
      <c r="T198" s="5">
        <f>(P104*($E104/366))+(P105*($E105/366))</f>
        <v>27.5</v>
      </c>
      <c r="U198" s="5">
        <f>(Q104*($E104/366))+(Q105*($E105/366))</f>
        <v>26.5</v>
      </c>
      <c r="V198" s="9"/>
      <c r="W198" s="5">
        <f t="shared" si="71"/>
        <v>58.5</v>
      </c>
      <c r="X198" s="4"/>
      <c r="Y198" s="4"/>
    </row>
    <row r="199" spans="1:25" x14ac:dyDescent="0.15">
      <c r="A199" s="1">
        <v>2005</v>
      </c>
      <c r="B199" s="5">
        <f>(K106*($E106/365))+(K107*($E107/365))</f>
        <v>11.111111111111111</v>
      </c>
      <c r="C199" s="5">
        <f>(L106*($E106/365))+(L107*($E107/365))</f>
        <v>44.444444444444443</v>
      </c>
      <c r="D199" s="5">
        <f>(M106*($E106/365))+(M107*($E107/365))</f>
        <v>44.444444444444443</v>
      </c>
      <c r="E199" s="17">
        <f t="shared" si="70"/>
        <v>100</v>
      </c>
      <c r="G199" s="1">
        <v>2005</v>
      </c>
      <c r="H199" s="362">
        <f>(O106/$R106*100*($E106/365))+(O107/$R107*100*($E107/365))</f>
        <v>7.6923076923076925</v>
      </c>
      <c r="I199" s="362"/>
      <c r="J199" s="362">
        <f>(P106/$R106*100*($E106/365))+(P107/$R107*100*($E107/365))</f>
        <v>47.008547008547005</v>
      </c>
      <c r="K199" s="362"/>
      <c r="L199" s="362">
        <f>(Q106/$R106*100*($E106/365))+(Q107/$R107*100*($E107/365))</f>
        <v>45.299145299145302</v>
      </c>
      <c r="M199" s="362"/>
      <c r="N199" s="363">
        <f t="shared" si="72"/>
        <v>100</v>
      </c>
      <c r="O199" s="363"/>
      <c r="P199" s="9"/>
      <c r="Q199" s="9"/>
      <c r="R199" s="9">
        <v>2005</v>
      </c>
      <c r="S199" s="5">
        <f>(O106*($E106/365))+(O107*($E107/365))</f>
        <v>4.5</v>
      </c>
      <c r="T199" s="5">
        <f>(P106*($E106/365))+(P107*($E107/365))</f>
        <v>27.5</v>
      </c>
      <c r="U199" s="5">
        <f>(Q106*($E106/365))+(Q107*($E107/365))</f>
        <v>26.5</v>
      </c>
      <c r="V199" s="9"/>
      <c r="W199" s="5">
        <f t="shared" si="71"/>
        <v>58.5</v>
      </c>
      <c r="X199" s="4"/>
      <c r="Y199" s="4"/>
    </row>
    <row r="200" spans="1:25" x14ac:dyDescent="0.15">
      <c r="A200" s="1">
        <v>2006</v>
      </c>
      <c r="B200" s="5">
        <f>(K108*($E108/365))+(K109*($E109/365))</f>
        <v>11.111111111111111</v>
      </c>
      <c r="C200" s="5">
        <f>(L108*($E108/365))+(L109*($E109/365))</f>
        <v>44.444444444444443</v>
      </c>
      <c r="D200" s="5">
        <f>(M108*($E108/365))+(M109*($E109/365))</f>
        <v>44.444444444444443</v>
      </c>
      <c r="E200" s="17">
        <f t="shared" si="70"/>
        <v>100</v>
      </c>
      <c r="G200" s="1">
        <v>2006</v>
      </c>
      <c r="H200" s="362">
        <f>(O108/$R108*100*($E108/365))+(O109/$R109*100*($E109/365))</f>
        <v>7.6923076923076925</v>
      </c>
      <c r="I200" s="362"/>
      <c r="J200" s="362">
        <f>(P108/$R108*100*($E108/365))+(P109/$R109*100*($E109/365))</f>
        <v>47.008547008547005</v>
      </c>
      <c r="K200" s="362"/>
      <c r="L200" s="362">
        <f>(Q108/$R108*100*($E108/365))+(Q109/$R109*100*($E109/365))</f>
        <v>45.299145299145302</v>
      </c>
      <c r="M200" s="362"/>
      <c r="N200" s="363">
        <f t="shared" si="72"/>
        <v>100</v>
      </c>
      <c r="O200" s="363"/>
      <c r="P200" s="9"/>
      <c r="Q200" s="9"/>
      <c r="R200" s="9">
        <v>2006</v>
      </c>
      <c r="S200" s="5">
        <f>(O108*($E108/365))+(O109*($E109/365))</f>
        <v>4.5</v>
      </c>
      <c r="T200" s="5">
        <f>(P108*($E108/365))+(P109*($E109/365))</f>
        <v>27.5</v>
      </c>
      <c r="U200" s="5">
        <f>(Q108*($E108/365))+(Q109*($E109/365))</f>
        <v>26.5</v>
      </c>
      <c r="V200" s="9"/>
      <c r="W200" s="5">
        <f t="shared" si="71"/>
        <v>58.5</v>
      </c>
      <c r="X200" s="4"/>
      <c r="Y200" s="4"/>
    </row>
    <row r="201" spans="1:25" x14ac:dyDescent="0.15">
      <c r="A201" s="1">
        <v>2007</v>
      </c>
      <c r="B201" s="5">
        <f>(K110*($E110/365))+(K111*($E111/365))</f>
        <v>38.493150684931507</v>
      </c>
      <c r="C201" s="5">
        <f>(L110*($E110/365))+(L111*($E111/365))</f>
        <v>41.315068493150683</v>
      </c>
      <c r="D201" s="5">
        <f>(M110*($E110/365))+(M111*($E111/365))</f>
        <v>20.191780821917806</v>
      </c>
      <c r="E201" s="17">
        <f t="shared" si="70"/>
        <v>100</v>
      </c>
      <c r="G201" s="1">
        <v>2007</v>
      </c>
      <c r="H201" s="362">
        <f>(O110/$R110*100*($E110/365))+(O111/$R111*100*($E111/365))</f>
        <v>35.805108133875251</v>
      </c>
      <c r="I201" s="362"/>
      <c r="J201" s="362">
        <f>(P110/$R110*100*($E110/365))+(P111/$R111*100*($E111/365))</f>
        <v>42.409052135079527</v>
      </c>
      <c r="K201" s="362"/>
      <c r="L201" s="362">
        <f>(Q110/$R110*100*($E110/365))+(Q111/$R111*100*($E111/365))</f>
        <v>21.785839731045211</v>
      </c>
      <c r="M201" s="362"/>
      <c r="N201" s="363">
        <f t="shared" si="72"/>
        <v>99.999999999999986</v>
      </c>
      <c r="O201" s="363"/>
      <c r="P201" s="9"/>
      <c r="Q201" s="9"/>
      <c r="R201" s="9">
        <v>2007</v>
      </c>
      <c r="S201" s="5">
        <f>(O110*($E110/365))+(O111*($E111/365))</f>
        <v>22.454794520547946</v>
      </c>
      <c r="T201" s="5">
        <f>(P110*($E110/365))+(P111*($E111/365))</f>
        <v>26.091780821917808</v>
      </c>
      <c r="U201" s="5">
        <f>(Q110*($E110/365))+(Q111*($E111/365))</f>
        <v>13.121917808219179</v>
      </c>
      <c r="V201" s="9"/>
      <c r="W201" s="5">
        <f t="shared" si="71"/>
        <v>61.668493150684938</v>
      </c>
      <c r="X201" s="4"/>
      <c r="Y201" s="4"/>
    </row>
    <row r="202" spans="1:25" x14ac:dyDescent="0.15">
      <c r="A202" s="1">
        <v>2008</v>
      </c>
      <c r="B202" s="5">
        <f>(K112*($E112/366))+(K113*($E113/366))</f>
        <v>50</v>
      </c>
      <c r="C202" s="5">
        <f>(L112*($E112/366))+(L113*($E113/366))</f>
        <v>40</v>
      </c>
      <c r="D202" s="5">
        <f>(M112*($E112/366))+(M113*($E113/366))</f>
        <v>10</v>
      </c>
      <c r="E202" s="17">
        <f t="shared" si="70"/>
        <v>100</v>
      </c>
      <c r="G202" s="1">
        <v>2008</v>
      </c>
      <c r="H202" s="362">
        <f>(O112/$R112*100*($E112/366))+(O113/$R113*100*($E113/366))</f>
        <v>47.619047619047613</v>
      </c>
      <c r="I202" s="362"/>
      <c r="J202" s="362">
        <f>(P112/$R112*100*($E112/366))+(P113/$R113*100*($E113/366))</f>
        <v>40.476190476190474</v>
      </c>
      <c r="K202" s="362"/>
      <c r="L202" s="362">
        <f>(Q112/$R112*100*($E112/366))+(Q113/$R113*100*($E113/366))</f>
        <v>11.904761904761903</v>
      </c>
      <c r="M202" s="362"/>
      <c r="N202" s="363">
        <f t="shared" si="72"/>
        <v>99.999999999999986</v>
      </c>
      <c r="O202" s="363"/>
      <c r="P202" s="9"/>
      <c r="Q202" s="9"/>
      <c r="R202" s="9">
        <v>2008</v>
      </c>
      <c r="S202" s="5">
        <f>(O112*($E112/366))+(O113*($E113/366))</f>
        <v>30</v>
      </c>
      <c r="T202" s="5">
        <f>(P112*($E112/366))+(P113*($E113/366))</f>
        <v>25.5</v>
      </c>
      <c r="U202" s="5">
        <f>(Q112*($E112/366))+(Q113*($E113/366))</f>
        <v>7.5</v>
      </c>
      <c r="V202" s="9"/>
      <c r="W202" s="5">
        <f t="shared" si="71"/>
        <v>63</v>
      </c>
      <c r="X202" s="4"/>
      <c r="Y202" s="4"/>
    </row>
    <row r="203" spans="1:25" x14ac:dyDescent="0.15">
      <c r="A203" s="1">
        <v>2009</v>
      </c>
      <c r="B203" s="5">
        <f>(K114*($E114/365))+(K115*($E115/365))</f>
        <v>50</v>
      </c>
      <c r="C203" s="5">
        <f>(L114*($E114/365))+(L115*($E115/365))</f>
        <v>40</v>
      </c>
      <c r="D203" s="5">
        <f>(M114*($E114/365))+(M115*($E115/365))</f>
        <v>10</v>
      </c>
      <c r="E203" s="17">
        <f t="shared" si="70"/>
        <v>100</v>
      </c>
      <c r="G203" s="1">
        <v>2009</v>
      </c>
      <c r="H203" s="362">
        <f>(O114/$R114*100*($E114/365))+(O115/$R115*100*($E115/365))</f>
        <v>47.619047619047613</v>
      </c>
      <c r="I203" s="362"/>
      <c r="J203" s="362">
        <f>(P114/$R114*100*($E114/365))+(P115/$R115*100*($E115/365))</f>
        <v>40.476190476190474</v>
      </c>
      <c r="K203" s="362"/>
      <c r="L203" s="362">
        <f>(Q114/$R114*100*($E114/365))+(Q115/$R115*100*($E115/365))</f>
        <v>11.904761904761903</v>
      </c>
      <c r="M203" s="362"/>
      <c r="N203" s="363">
        <f t="shared" si="72"/>
        <v>99.999999999999986</v>
      </c>
      <c r="O203" s="363"/>
      <c r="P203" s="9"/>
      <c r="Q203" s="9"/>
      <c r="R203" s="9">
        <v>2009</v>
      </c>
      <c r="S203" s="5">
        <f>(O114*($E114/365))+(O115*($E115/365))</f>
        <v>30</v>
      </c>
      <c r="T203" s="5">
        <f>(P114*($E114/365))+(P115*($E115/365))</f>
        <v>25.5</v>
      </c>
      <c r="U203" s="5">
        <f>(Q114*($E114/365))+(Q115*($E115/365))</f>
        <v>7.5</v>
      </c>
      <c r="V203" s="9"/>
      <c r="W203" s="5">
        <f t="shared" si="71"/>
        <v>63</v>
      </c>
      <c r="X203" s="4"/>
      <c r="Y203" s="4"/>
    </row>
    <row r="204" spans="1:25" x14ac:dyDescent="0.15">
      <c r="A204" s="1">
        <v>2010</v>
      </c>
      <c r="B204" s="5">
        <f>(K116*($E116/365))+(K117*($E117/365))</f>
        <v>50</v>
      </c>
      <c r="C204" s="5">
        <f>(L116*($E116/365))+(L117*($E117/365))</f>
        <v>40</v>
      </c>
      <c r="D204" s="5">
        <f>(M116*($E116/365))+(M117*($E117/365))</f>
        <v>10</v>
      </c>
      <c r="E204" s="17">
        <f t="shared" si="70"/>
        <v>100</v>
      </c>
      <c r="G204" s="1">
        <v>2010</v>
      </c>
      <c r="H204" s="362">
        <f>(O116/$R116*100*($E116/365))+(O117/$R117*100*($E117/365))</f>
        <v>47.61904761904762</v>
      </c>
      <c r="I204" s="362"/>
      <c r="J204" s="362">
        <f>(P116/$R116*100*($E116/365))+(P117/$R117*100*($E117/365))</f>
        <v>40.476190476190482</v>
      </c>
      <c r="K204" s="362"/>
      <c r="L204" s="362">
        <f>(Q116/$R116*100*($E116/365))+(Q117/$R117*100*($E117/365))</f>
        <v>11.904761904761905</v>
      </c>
      <c r="M204" s="362"/>
      <c r="N204" s="363">
        <f t="shared" si="72"/>
        <v>100</v>
      </c>
      <c r="O204" s="363"/>
      <c r="P204" s="9"/>
      <c r="Q204" s="9"/>
      <c r="R204" s="9">
        <v>2010</v>
      </c>
      <c r="S204" s="5">
        <f>(O116*($E116/365))+(O117*($E117/365))</f>
        <v>30</v>
      </c>
      <c r="T204" s="5">
        <f>(P116*($E116/365))+(P117*($E117/365))</f>
        <v>25.5</v>
      </c>
      <c r="U204" s="5">
        <f>(Q116*($E116/365))+(Q117*($E117/365))</f>
        <v>7.5</v>
      </c>
      <c r="V204" s="9"/>
      <c r="W204" s="5">
        <f t="shared" si="71"/>
        <v>63</v>
      </c>
      <c r="X204" s="4"/>
      <c r="Y204" s="4"/>
    </row>
    <row r="205" spans="1:25" x14ac:dyDescent="0.15">
      <c r="A205" s="1">
        <v>2011</v>
      </c>
      <c r="B205" s="5">
        <f>(K118*($E118/365))+(K119*($E119/365))</f>
        <v>45.825522710886808</v>
      </c>
      <c r="C205" s="5">
        <f>(L118*($E118/365))+(L119*($E119/365))</f>
        <v>21.632299927901947</v>
      </c>
      <c r="D205" s="5">
        <f>(M118*($E118/365))+(M119*($E119/365))</f>
        <v>32.542177361211245</v>
      </c>
      <c r="E205" s="17">
        <f t="shared" si="70"/>
        <v>100</v>
      </c>
      <c r="G205" s="1">
        <v>2011</v>
      </c>
      <c r="H205" s="362">
        <f>(O118/$R118*100*($E118/365))+(O119/$R119*100*($E119/365))</f>
        <v>45.101108936725367</v>
      </c>
      <c r="I205" s="362"/>
      <c r="J205" s="362">
        <f>(P118/$R118*100*($E118/365))+(P119/$R119*100*($E119/365))</f>
        <v>21.591650358773649</v>
      </c>
      <c r="K205" s="362"/>
      <c r="L205" s="362">
        <f>(Q118/$R118*100*($E118/365))+(Q119/$R119*100*($E119/365))</f>
        <v>33.307240704500984</v>
      </c>
      <c r="M205" s="362"/>
      <c r="N205" s="363">
        <f t="shared" si="72"/>
        <v>100</v>
      </c>
      <c r="O205" s="363"/>
      <c r="P205" s="9"/>
      <c r="Q205" s="9"/>
      <c r="R205" s="9">
        <v>2011</v>
      </c>
      <c r="S205" s="5">
        <f>(O118*($E118/365))+(O119*($E119/365))</f>
        <v>28.413698630136988</v>
      </c>
      <c r="T205" s="5">
        <f>(P118*($E118/365))+(P119*($E119/365))</f>
        <v>13.602739726027398</v>
      </c>
      <c r="U205" s="5">
        <f>(Q118*($E118/365))+(Q119*($E119/365))</f>
        <v>20.983561643835618</v>
      </c>
      <c r="V205" s="9"/>
      <c r="W205" s="5">
        <f t="shared" si="71"/>
        <v>63</v>
      </c>
      <c r="X205" s="4"/>
      <c r="Y205" s="4"/>
    </row>
    <row r="206" spans="1:25" x14ac:dyDescent="0.15">
      <c r="A206" s="1">
        <v>2012</v>
      </c>
      <c r="B206" s="5">
        <f>(K120*($E120/366))+(K121*($E121/366))</f>
        <v>42.105263157894733</v>
      </c>
      <c r="C206" s="5">
        <f>(L120*($E120/366))+(L121*($E121/366))</f>
        <v>5.2631578947368416</v>
      </c>
      <c r="D206" s="5">
        <f>(M120*($E120/366))+(M121*($E121/366))</f>
        <v>52.631578947368418</v>
      </c>
      <c r="E206" s="17">
        <f t="shared" si="70"/>
        <v>100</v>
      </c>
      <c r="G206" s="1">
        <v>2012</v>
      </c>
      <c r="H206" s="362">
        <f>(O120/$R120*100*($E120/366))+(O121/$R121*100*($E121/366))</f>
        <v>42.857142857142854</v>
      </c>
      <c r="I206" s="362"/>
      <c r="J206" s="362">
        <f>(P120/$R120*100*($E120/366))+(P121/$R121*100*($E121/366))</f>
        <v>4.7619047619047619</v>
      </c>
      <c r="K206" s="362"/>
      <c r="L206" s="362">
        <f>(Q120/$R120*100*($E120/366))+(Q121/$R121*100*($E121/366))</f>
        <v>52.380952380952387</v>
      </c>
      <c r="M206" s="362"/>
      <c r="N206" s="363">
        <f t="shared" si="72"/>
        <v>100</v>
      </c>
      <c r="O206" s="363"/>
      <c r="P206" s="9"/>
      <c r="Q206" s="9"/>
      <c r="R206" s="9">
        <v>2012</v>
      </c>
      <c r="S206" s="5">
        <f>(O120*($E120/366))+(O121*($E121/366))</f>
        <v>27</v>
      </c>
      <c r="T206" s="5">
        <f>(P120*($E120/366))+(P121*($E121/366))</f>
        <v>3</v>
      </c>
      <c r="U206" s="5">
        <f>(Q120*($E120/366))+(Q121*($E121/366))</f>
        <v>33</v>
      </c>
      <c r="V206" s="9"/>
      <c r="W206" s="5">
        <f t="shared" si="71"/>
        <v>63</v>
      </c>
      <c r="X206" s="4"/>
      <c r="Y206" s="4"/>
    </row>
    <row r="207" spans="1:25" x14ac:dyDescent="0.15">
      <c r="A207" s="1">
        <v>2013</v>
      </c>
      <c r="B207" s="5">
        <f>(K122*($E122/365))+(K123*($E123/365))</f>
        <v>42.105263157894733</v>
      </c>
      <c r="C207" s="5">
        <f>(L122*($E122/365))+(L123*($E123/365))</f>
        <v>5.2631578947368416</v>
      </c>
      <c r="D207" s="5">
        <f>(M122*($E122/365))+(M123*($E123/365))</f>
        <v>52.631578947368418</v>
      </c>
      <c r="E207" s="17">
        <f t="shared" si="70"/>
        <v>100</v>
      </c>
      <c r="G207" s="1">
        <v>2013</v>
      </c>
      <c r="H207" s="362">
        <f>(O122/$R122*100*($E122/365))+(O123/$R123*100*($E123/365))</f>
        <v>42.857142857142854</v>
      </c>
      <c r="I207" s="362"/>
      <c r="J207" s="362">
        <f>(P122/$R122*100*($E122/365))+(P123/$R123*100*($E123/365))</f>
        <v>4.7619047619047619</v>
      </c>
      <c r="K207" s="362"/>
      <c r="L207" s="362">
        <f>(Q122/$R122*100*($E122/365))+(Q123/$R123*100*($E123/365))</f>
        <v>52.380952380952387</v>
      </c>
      <c r="M207" s="362"/>
      <c r="N207" s="363">
        <f>SUM(H207:M207)</f>
        <v>100</v>
      </c>
      <c r="O207" s="363"/>
      <c r="P207" s="9"/>
      <c r="Q207" s="9"/>
      <c r="R207" s="9">
        <v>2013</v>
      </c>
      <c r="S207" s="5">
        <f>(O122*($E122/365))+(O123*($E123/365))</f>
        <v>27</v>
      </c>
      <c r="T207" s="5">
        <f>(P122*($E122/365))+(P123*($E123/365))</f>
        <v>3</v>
      </c>
      <c r="U207" s="5">
        <f>(Q122*($E122/365))+(Q123*($E123/365))</f>
        <v>33</v>
      </c>
      <c r="V207" s="9"/>
      <c r="W207" s="5">
        <f t="shared" si="71"/>
        <v>63</v>
      </c>
      <c r="X207" s="4"/>
      <c r="Y207" s="4"/>
    </row>
    <row r="208" spans="1:25" x14ac:dyDescent="0.15">
      <c r="A208" s="1">
        <v>2014</v>
      </c>
      <c r="B208" s="5">
        <f>(K124*($E124/365))+(K125*($E125/365))+(K126*($E126/365))+(K127*($E127/365))</f>
        <v>47.380296026124938</v>
      </c>
      <c r="C208" s="5">
        <f>(L124*($E124/365))+(L125*($E125/365))+(L126*($E126/365))+(L127*($E127/365))</f>
        <v>5.5871750286271675</v>
      </c>
      <c r="D208" s="5">
        <f>(M124*($E124/365))+(M125*($E125/365))+(M126*($E126/365))+(M127*($E127/365))</f>
        <v>47.032528945247883</v>
      </c>
      <c r="E208" s="17">
        <f>SUM(B208:D208)</f>
        <v>99.999999999999986</v>
      </c>
      <c r="G208" s="1">
        <v>2014</v>
      </c>
      <c r="H208" s="362">
        <f>(O124/$R124*100*($E124/365))+(O125/$R125*100*($E125/365))+(O126/$R126*100*($E126/365))+(O127/$R127*100*($E127/365))</f>
        <v>48.066651318061474</v>
      </c>
      <c r="I208" s="362"/>
      <c r="J208" s="362">
        <f>(P124/$R124*100*($E124/365))+(P125/$R125*100*($E125/365))+(P126/$R126*100*($E126/365))+(P127/$R127*100*($E127/365))</f>
        <v>5.3407390353401638</v>
      </c>
      <c r="K208" s="362"/>
      <c r="L208" s="362">
        <f>(Q124/$R124*100*($E124/365))+(Q125/$R125*100*($E125/365))+(Q126/$R126*100*($E126/365))+(Q127/$R127*100*($E127/365))</f>
        <v>46.592609646598362</v>
      </c>
      <c r="M208" s="362"/>
      <c r="N208" s="363">
        <f>SUM(H208:M208)</f>
        <v>100</v>
      </c>
      <c r="O208" s="363"/>
      <c r="P208" s="9"/>
      <c r="Q208" s="9"/>
      <c r="R208" s="9">
        <v>2014</v>
      </c>
      <c r="S208" s="5">
        <f>(O124*($E124/365))+(O125*($E125/365))+(O126*($E126/365))+(O127*($E127/365))</f>
        <v>27</v>
      </c>
      <c r="T208" s="5">
        <f>(P124*($E124/365))+(P125*($E125/365))+(P126*($E126/365))+(P127*($E127/365))</f>
        <v>3</v>
      </c>
      <c r="U208" s="5">
        <f>(Q124*($E124/365))+(Q125*($E125/365))+(Q126*($E126/365))+(Q127*($E127/365))</f>
        <v>26.495890410958904</v>
      </c>
      <c r="V208" s="9"/>
      <c r="W208" s="5">
        <f>SUM(S208:U208)</f>
        <v>56.495890410958907</v>
      </c>
      <c r="X208" s="4"/>
      <c r="Y208" s="4"/>
    </row>
    <row r="209" spans="1:25" x14ac:dyDescent="0.15">
      <c r="A209" s="1">
        <v>2015</v>
      </c>
      <c r="B209" s="5">
        <f>(K128*($E128/365))+(K129*($E129/365))</f>
        <v>55.439161966156327</v>
      </c>
      <c r="C209" s="5">
        <f>(L128*($E128/365))+(L129*($E129/365))</f>
        <v>27.864625302175661</v>
      </c>
      <c r="D209" s="5">
        <f>(M128*($E128/365))+(M129*($E129/365))</f>
        <v>16.696212731668009</v>
      </c>
      <c r="E209" s="17">
        <f>SUM(B209:D209)</f>
        <v>100</v>
      </c>
      <c r="G209" s="1">
        <v>2015</v>
      </c>
      <c r="H209" s="362">
        <f>(O128/$R128*100*($E128/365))+(O129/$R129*100*($E129/365))</f>
        <v>57.425463336019341</v>
      </c>
      <c r="I209" s="362"/>
      <c r="J209" s="362">
        <f>(P128/$R128*100*($E128/365))+(P129/$R129*100*($E129/365))</f>
        <v>25.87832393231265</v>
      </c>
      <c r="K209" s="362"/>
      <c r="L209" s="362">
        <f>(Q128/$R128*100*($E128/365))+(Q129/$R129*100*($E129/365))</f>
        <v>16.696212731668009</v>
      </c>
      <c r="M209" s="362"/>
      <c r="N209" s="363">
        <f>SUM(H209:M209)</f>
        <v>100</v>
      </c>
      <c r="O209" s="363"/>
      <c r="P209" s="9"/>
      <c r="Q209" s="9"/>
      <c r="R209" s="9">
        <v>2015</v>
      </c>
      <c r="S209" s="5">
        <f>(O128*($E128/365))+(O129*($E129/365))</f>
        <v>33.242465753424653</v>
      </c>
      <c r="T209" s="5">
        <f>(P128*($E128/365))+(P129*($E129/365))</f>
        <v>15.782191780821918</v>
      </c>
      <c r="U209" s="5">
        <f>(Q128*($E128/365))+(Q129*($E129/365))</f>
        <v>8.5150684931506841</v>
      </c>
      <c r="V209" s="9"/>
      <c r="W209" s="5">
        <f>SUM(S209:U209)</f>
        <v>57.539726027397258</v>
      </c>
      <c r="X209" s="4"/>
      <c r="Y209" s="4"/>
    </row>
    <row r="210" spans="1:25" x14ac:dyDescent="0.15">
      <c r="A210" s="1">
        <v>2016</v>
      </c>
      <c r="B210" s="5">
        <f>(K130*($E130/366))+(K131*($E131/366))</f>
        <v>57.142857142857139</v>
      </c>
      <c r="C210" s="5">
        <f>(L130*($E130/366))+(L131*($E131/366))</f>
        <v>42.857142857142854</v>
      </c>
      <c r="D210" s="5">
        <f>(M130*($E130/366))+(M131*($E131/366))</f>
        <v>0</v>
      </c>
      <c r="E210" s="17">
        <f>SUM(B210:D210)</f>
        <v>100</v>
      </c>
      <c r="G210" s="1">
        <v>2016</v>
      </c>
      <c r="H210" s="362">
        <f>(O130/$R130*100*($E130/365))+(O131/$R131*100*($E131/366))</f>
        <v>60.483870967741936</v>
      </c>
      <c r="I210" s="362"/>
      <c r="J210" s="362">
        <f>(P130/$R130*100*($E130/366))+(P131/$R131*100*($E131/366))</f>
        <v>39.516129032258064</v>
      </c>
      <c r="K210" s="362"/>
      <c r="L210" s="362">
        <f>(Q130/$R130*100*($E130/366))+(Q131/$R131*100*($E131/366))</f>
        <v>0</v>
      </c>
      <c r="M210" s="362"/>
      <c r="N210" s="363">
        <f>SUM(H210:M210)</f>
        <v>100</v>
      </c>
      <c r="O210" s="363"/>
      <c r="P210" s="9"/>
      <c r="Q210" s="9"/>
      <c r="R210" s="9">
        <v>2016</v>
      </c>
      <c r="S210" s="5">
        <f>(O130*($E130/366))+(O131*($E131/366))</f>
        <v>37.5</v>
      </c>
      <c r="T210" s="5">
        <f>(P130*($E130/366))+(P131*($E131/366))</f>
        <v>24.5</v>
      </c>
      <c r="U210" s="5">
        <f>(Q130*($E130/366))+(Q131*($E131/366))</f>
        <v>0</v>
      </c>
      <c r="V210" s="9"/>
      <c r="W210" s="5">
        <f>SUM(S210:U210)</f>
        <v>62</v>
      </c>
      <c r="X210" s="4"/>
      <c r="Y210" s="4"/>
    </row>
    <row r="211" spans="1:25" x14ac:dyDescent="0.15">
      <c r="A211" s="1">
        <v>2017</v>
      </c>
      <c r="B211" s="5">
        <f>(K132*($E132/365))+(K133*($E133/365))+(K134*($E134/365))</f>
        <v>57.87181996086106</v>
      </c>
      <c r="C211" s="5">
        <f>(L132*($E132/365))+(L133*($E133/365))+(L134*($E134/365))</f>
        <v>42.12818003913894</v>
      </c>
      <c r="D211" s="5">
        <f>(M132*($E132/365))+(M133*($E133/365))+(M134*($E134/365))</f>
        <v>0</v>
      </c>
      <c r="E211" s="17">
        <f>SUM(B211:D211)</f>
        <v>100</v>
      </c>
      <c r="G211" s="1">
        <v>2017</v>
      </c>
      <c r="H211" s="362">
        <f>(O132/$R132*100*($E132/365))+(O133/$R133*100*($E133/365))+(O134/$R134*100*($E134/365))</f>
        <v>60.483870967741936</v>
      </c>
      <c r="I211" s="362"/>
      <c r="J211" s="362">
        <f>(P132/$R132*100*($E132/365))+(P133/$R133*100*($E133/365))+(P134/$R134*100*($E134/365))</f>
        <v>39.516129032258064</v>
      </c>
      <c r="K211" s="362"/>
      <c r="L211" s="362">
        <f>(Q132/$R132*100*($E132/365))+(Q133/$R133*100*($E133/365))+(Q134/$R134*100*($E134/365))</f>
        <v>0</v>
      </c>
      <c r="M211" s="362"/>
      <c r="N211" s="363">
        <f>SUM(H211:M211)</f>
        <v>100</v>
      </c>
      <c r="O211" s="363"/>
      <c r="P211" s="9"/>
      <c r="Q211" s="9"/>
      <c r="R211" s="9">
        <v>2017</v>
      </c>
      <c r="S211" s="5">
        <f>(O132*($E132/365))+(O133*($E133/365))+(O134*($E134/365))</f>
        <v>37.5</v>
      </c>
      <c r="T211" s="5">
        <f>(P132*($E132/365))+(P133*($E133/365))+(P134*($E134/365))</f>
        <v>24.5</v>
      </c>
      <c r="U211" s="5">
        <f>(Q132*($E132/365))+(Q133*($E133/365))+(Q134*($E134/365))</f>
        <v>0</v>
      </c>
      <c r="V211" s="9"/>
      <c r="W211" s="5">
        <f>SUM(S211:U211)</f>
        <v>62</v>
      </c>
      <c r="X211" s="4"/>
      <c r="Y211" s="4"/>
    </row>
    <row r="212" spans="1:25" x14ac:dyDescent="0.15">
      <c r="A212" s="1">
        <v>2018</v>
      </c>
      <c r="B212" s="5">
        <f>(K135*($E135/365))+(K136*($E136/365))</f>
        <v>58.82352941176471</v>
      </c>
      <c r="C212" s="5">
        <f>(L135*($E135/365))+(L136*($E136/365))</f>
        <v>41.17647058823529</v>
      </c>
      <c r="D212" s="5">
        <f>(M135*($E135/365))+(M136*($E136/365))</f>
        <v>0</v>
      </c>
      <c r="E212" s="17">
        <f t="shared" ref="E212" si="73">SUM(B212:D212)</f>
        <v>100</v>
      </c>
      <c r="G212" s="1">
        <v>2018</v>
      </c>
      <c r="H212" s="362">
        <f>(O135/$R135*100*($E135/365))+(O136/$R136*100*($E136/365))</f>
        <v>60.483870967741936</v>
      </c>
      <c r="I212" s="362"/>
      <c r="J212" s="362">
        <f>(P135/$R135*100*($E135/365))+(P136/$R136*100*($E136/365))</f>
        <v>39.516129032258064</v>
      </c>
      <c r="K212" s="362"/>
      <c r="L212" s="362">
        <f>(Q135/$R135*100*($E135/365))+(Q136/$R136*100*($E136/365))</f>
        <v>0</v>
      </c>
      <c r="M212" s="362"/>
      <c r="N212" s="363">
        <f t="shared" ref="N212" si="74">SUM(H212:M212)</f>
        <v>100</v>
      </c>
      <c r="O212" s="363"/>
      <c r="P212" s="9"/>
      <c r="Q212" s="9"/>
      <c r="R212" s="9">
        <v>2018</v>
      </c>
      <c r="S212" s="5">
        <f>(O135*($E135/365))+(O136*($E136/365))</f>
        <v>37.5</v>
      </c>
      <c r="T212" s="5">
        <f>(P135*($E135/365))+(P136*($E136/365))</f>
        <v>24.5</v>
      </c>
      <c r="U212" s="5">
        <f>(Q135*($E135/365))+(Q136*($E136/365))</f>
        <v>0</v>
      </c>
      <c r="V212" s="9"/>
      <c r="W212" s="5">
        <f t="shared" ref="W212" si="75">SUM(S212:U212)</f>
        <v>62</v>
      </c>
    </row>
    <row r="213" spans="1:25" x14ac:dyDescent="0.15">
      <c r="A213" s="1">
        <v>2019</v>
      </c>
      <c r="B213" s="5">
        <f>(K137*($E137/365))+(K138*($E138/365))+(K139*(E139/365))+(K140*(E140/365))</f>
        <v>32.074939564867044</v>
      </c>
      <c r="C213" s="5">
        <f>(L137*($E137/365))+(L138*($E138/365))+(L139*(E139/365))+(L140*(E140/365))</f>
        <v>31.760676873489121</v>
      </c>
      <c r="D213" s="5">
        <f>(M137*($E137/365))+(M138*($E138/365))+(M139*(E139/365))+(M140*(E140/365))</f>
        <v>36.164383561643831</v>
      </c>
      <c r="E213" s="17">
        <f t="shared" ref="E213" si="76">SUM(B213:D213)</f>
        <v>100</v>
      </c>
      <c r="G213" s="1">
        <v>2019</v>
      </c>
      <c r="H213" s="362">
        <f>(O137/$R137*100*($E137/365))+(O138/$R138*100*($E138/365))+(O139/R139*100*(E139/365))+(O140/R140*100*(E140/365))</f>
        <v>30.293248205768965</v>
      </c>
      <c r="I213" s="362"/>
      <c r="J213" s="362">
        <f>(P137/$R137*100*($E137/365))+(P138/$R138*100*($E138/365))+(P139/R139*100*(E139/365))+(P140/R140*100*(E140/365))</f>
        <v>32.191399881146474</v>
      </c>
      <c r="K213" s="362"/>
      <c r="L213" s="362">
        <f>(Q137/$R137*100*($E137/365))+(Q138/$R138*100*($E138/365))+(Q139/R139*100*(E139/365))+(Q140/R140*100*(E140/365))</f>
        <v>37.515351913084558</v>
      </c>
      <c r="M213" s="362"/>
      <c r="N213" s="363">
        <f t="shared" ref="N213" si="77">SUM(H213:M213)</f>
        <v>100</v>
      </c>
      <c r="O213" s="363"/>
      <c r="P213" s="9"/>
      <c r="Q213" s="9"/>
      <c r="R213" s="9">
        <v>2019</v>
      </c>
      <c r="S213" s="5">
        <f>(O137*($E137/365))+(O138*($E138/365))+(O139*(E139/365))+(O140*(E140/365))</f>
        <v>18.604109589041094</v>
      </c>
      <c r="T213" s="5">
        <f>(P137*($E137/365))+(P138*($E138/365))+(P139*(E139/365))+(P140*(E140/365))</f>
        <v>19.346575342465755</v>
      </c>
      <c r="U213" s="5">
        <f>(Q137*($E137/365))+(Q138*($E138/365))+(Q139*(E139/365))+(Q140*(E140/365))</f>
        <v>21.758904109589039</v>
      </c>
      <c r="V213" s="9"/>
      <c r="W213" s="5">
        <f t="shared" ref="W213" si="78">SUM(S213:U213)</f>
        <v>59.709589041095889</v>
      </c>
    </row>
    <row r="214" spans="1:25" x14ac:dyDescent="0.15">
      <c r="A214" s="1">
        <v>2020</v>
      </c>
      <c r="B214" s="5">
        <f>(K141*($E141/366))+(K142*($E142/366))</f>
        <v>10.526315789473683</v>
      </c>
      <c r="C214" s="5">
        <f>(L141*($E141/366))+(L142*($E142/366))</f>
        <v>26.315789473684209</v>
      </c>
      <c r="D214" s="5">
        <f>(M141*($E141/366))+(M142*($E142/366))</f>
        <v>63.157894736842103</v>
      </c>
      <c r="E214" s="17">
        <f>SUM(B214:D214)</f>
        <v>100</v>
      </c>
      <c r="G214" s="1">
        <v>2020</v>
      </c>
      <c r="H214" s="362">
        <f>(O141/$R141*100*($E141/366))+(O142/$R142*100*($E142/366))</f>
        <v>7.7586206896551726</v>
      </c>
      <c r="I214" s="362"/>
      <c r="J214" s="362">
        <f>(P141/$R141*100*($E141/366))+(P142/$R142*100*($E142/366))</f>
        <v>26.72413793103448</v>
      </c>
      <c r="K214" s="362"/>
      <c r="L214" s="362">
        <f>(Q141/$R141*100*($E141/366))+(Q142/$R142*100*($E142/366))</f>
        <v>65.517241379310349</v>
      </c>
      <c r="M214" s="362"/>
      <c r="N214" s="363">
        <f>SUM(H214:M214)</f>
        <v>100</v>
      </c>
      <c r="O214" s="363"/>
      <c r="R214" s="9">
        <v>2020</v>
      </c>
      <c r="S214" s="5">
        <f>(O141*($E141/366))+(O142*($E142/366))</f>
        <v>4.5</v>
      </c>
      <c r="T214" s="5">
        <f>(P141*($E141/366))+(P142*($E142/366))</f>
        <v>15.5</v>
      </c>
      <c r="U214" s="5">
        <f>(Q141*($E141/366))+(Q142*($E142/366))</f>
        <v>38</v>
      </c>
      <c r="W214" s="5">
        <f>SUM(S214:U214)</f>
        <v>58</v>
      </c>
    </row>
    <row r="215" spans="1:25" x14ac:dyDescent="0.15">
      <c r="A215" s="1">
        <v>2021</v>
      </c>
      <c r="B215" s="5">
        <f>(K143*($E143/365))+(K144*($E144/365))</f>
        <v>10.526315789473683</v>
      </c>
      <c r="C215" s="5">
        <f>(L143*($E143/365))+(L144*($E144/365))</f>
        <v>26.315789473684209</v>
      </c>
      <c r="D215" s="5">
        <f>(M143*($E143/365))+(M144*($E144/365))</f>
        <v>63.157894736842103</v>
      </c>
      <c r="E215" s="17">
        <f>SUM(B215:D215)</f>
        <v>100</v>
      </c>
      <c r="G215" s="1">
        <v>2021</v>
      </c>
      <c r="H215" s="362">
        <f>(O143/$R143*100*($E143/365))+(O144/$R144*100*($E144/365))</f>
        <v>8.5470085470085468</v>
      </c>
      <c r="I215" s="362"/>
      <c r="J215" s="362">
        <f>(P143/$R143*100*($E143/365))+(P144/$R144*100*($E144/365))</f>
        <v>26.495726495726498</v>
      </c>
      <c r="K215" s="362"/>
      <c r="L215" s="362">
        <f>(Q143/$R143*100*($E143/365))+(Q144/$R144*100*($E144/365))</f>
        <v>64.957264957264954</v>
      </c>
      <c r="M215" s="362"/>
      <c r="N215" s="363">
        <f>SUM(H215:M215)</f>
        <v>100</v>
      </c>
      <c r="O215" s="363"/>
      <c r="R215" s="9">
        <v>2021</v>
      </c>
      <c r="S215" s="5">
        <f>(O143*($E143/365))+(O144*($E144/365))</f>
        <v>5</v>
      </c>
      <c r="T215" s="5">
        <f>(P143*($E143/365))+(P144*($E144/365))</f>
        <v>15.5</v>
      </c>
      <c r="U215" s="5">
        <f>(Q143*($E143/365))+(Q144*($E144/365))</f>
        <v>38</v>
      </c>
      <c r="W215" s="5">
        <f>SUM(S215:U215)</f>
        <v>58.5</v>
      </c>
    </row>
    <row r="216" spans="1:25" x14ac:dyDescent="0.15">
      <c r="A216" s="1">
        <v>2022</v>
      </c>
      <c r="B216" s="5">
        <f>(K146*($E146/365))+(K145*($E145/365))</f>
        <v>10.526315789473683</v>
      </c>
      <c r="C216" s="5">
        <f>(L146*($E146/365))+(L145*($E145/365))</f>
        <v>26.315789473684209</v>
      </c>
      <c r="D216" s="5">
        <f>(M146*($E146/365))+(M145*($E145/365))</f>
        <v>63.157894736842103</v>
      </c>
      <c r="E216" s="17">
        <f>SUM(B216:D216)</f>
        <v>100</v>
      </c>
      <c r="G216" s="1">
        <v>2022</v>
      </c>
      <c r="H216" s="362">
        <f>(O146/$R146*100*($E146/365))+(O145/$R145*100*($E145/365))</f>
        <v>8.5470085470085468</v>
      </c>
      <c r="I216" s="362"/>
      <c r="J216" s="362">
        <f>(P146/$R146*100*($E146/365))+(P145/$R145*100*($E145/365))</f>
        <v>26.495726495726498</v>
      </c>
      <c r="K216" s="362"/>
      <c r="L216" s="362">
        <f>(Q146/$R146*100*($E146/365))+(Q145/$R145*100*($E145/365))</f>
        <v>64.957264957264954</v>
      </c>
      <c r="M216" s="362"/>
      <c r="N216" s="363">
        <f>SUM(H216:M216)</f>
        <v>100</v>
      </c>
      <c r="O216" s="363"/>
      <c r="R216" s="9">
        <v>2022</v>
      </c>
      <c r="S216" s="5">
        <f>(O146*($E146/365))+(O145*($E145/365))</f>
        <v>5</v>
      </c>
      <c r="T216" s="5">
        <f>(P146*($E146/365))+(P145*($E145/365))</f>
        <v>15.5</v>
      </c>
      <c r="U216" s="5">
        <f>(Q146*($E146/365))+(Q145*($E145/365))</f>
        <v>38</v>
      </c>
      <c r="W216" s="5">
        <f>SUM(S216:U216)</f>
        <v>58.5</v>
      </c>
    </row>
  </sheetData>
  <mergeCells count="423">
    <mergeCell ref="N209:O209"/>
    <mergeCell ref="L208:M208"/>
    <mergeCell ref="N208:O208"/>
    <mergeCell ref="L209:M209"/>
    <mergeCell ref="N207:O207"/>
    <mergeCell ref="H215:I215"/>
    <mergeCell ref="J215:K215"/>
    <mergeCell ref="L215:M215"/>
    <mergeCell ref="N215:O215"/>
    <mergeCell ref="L214:M214"/>
    <mergeCell ref="N214:O214"/>
    <mergeCell ref="J213:K213"/>
    <mergeCell ref="L213:M213"/>
    <mergeCell ref="H213:I213"/>
    <mergeCell ref="N213:O213"/>
    <mergeCell ref="J212:K212"/>
    <mergeCell ref="L212:M212"/>
    <mergeCell ref="N212:O212"/>
    <mergeCell ref="H211:I211"/>
    <mergeCell ref="J211:K211"/>
    <mergeCell ref="L211:M211"/>
    <mergeCell ref="N211:O211"/>
    <mergeCell ref="H210:I210"/>
    <mergeCell ref="L210:M210"/>
    <mergeCell ref="H212:I212"/>
    <mergeCell ref="N210:O210"/>
    <mergeCell ref="J210:K210"/>
    <mergeCell ref="AL4:AO4"/>
    <mergeCell ref="H204:I204"/>
    <mergeCell ref="H205:I205"/>
    <mergeCell ref="J206:K206"/>
    <mergeCell ref="J200:K200"/>
    <mergeCell ref="J201:K201"/>
    <mergeCell ref="J202:K202"/>
    <mergeCell ref="J203:K203"/>
    <mergeCell ref="H200:I200"/>
    <mergeCell ref="H201:I201"/>
    <mergeCell ref="N205:O205"/>
    <mergeCell ref="N206:O206"/>
    <mergeCell ref="N155:O155"/>
    <mergeCell ref="N156:O156"/>
    <mergeCell ref="N157:O157"/>
    <mergeCell ref="N158:O158"/>
    <mergeCell ref="N159:O159"/>
    <mergeCell ref="N160:O160"/>
    <mergeCell ref="N161:O161"/>
    <mergeCell ref="N162:O162"/>
    <mergeCell ref="N163:O163"/>
    <mergeCell ref="H208:I208"/>
    <mergeCell ref="J208:K208"/>
    <mergeCell ref="H209:I209"/>
    <mergeCell ref="J209:K209"/>
    <mergeCell ref="H206:I206"/>
    <mergeCell ref="H202:I202"/>
    <mergeCell ref="H203:I203"/>
    <mergeCell ref="J204:K204"/>
    <mergeCell ref="J205:K205"/>
    <mergeCell ref="N177:O177"/>
    <mergeCell ref="N178:O178"/>
    <mergeCell ref="N164:O164"/>
    <mergeCell ref="N165:O165"/>
    <mergeCell ref="N166:O166"/>
    <mergeCell ref="N167:O167"/>
    <mergeCell ref="N168:O168"/>
    <mergeCell ref="N169:O169"/>
    <mergeCell ref="N172:O172"/>
    <mergeCell ref="N173:O173"/>
    <mergeCell ref="N176:O176"/>
    <mergeCell ref="R150:W150"/>
    <mergeCell ref="AP4:AS4"/>
    <mergeCell ref="S4:S5"/>
    <mergeCell ref="AX4:BA4"/>
    <mergeCell ref="N204:O204"/>
    <mergeCell ref="N203:O203"/>
    <mergeCell ref="N186:O186"/>
    <mergeCell ref="N187:O187"/>
    <mergeCell ref="N188:O188"/>
    <mergeCell ref="N189:O189"/>
    <mergeCell ref="N190:O190"/>
    <mergeCell ref="N179:O179"/>
    <mergeCell ref="N192:O192"/>
    <mergeCell ref="N193:O193"/>
    <mergeCell ref="N194:O194"/>
    <mergeCell ref="N195:O195"/>
    <mergeCell ref="N196:O196"/>
    <mergeCell ref="N180:O180"/>
    <mergeCell ref="N181:O181"/>
    <mergeCell ref="N182:O182"/>
    <mergeCell ref="N183:O183"/>
    <mergeCell ref="N170:O170"/>
    <mergeCell ref="N171:O171"/>
    <mergeCell ref="AT4:AW4"/>
    <mergeCell ref="L172:M172"/>
    <mergeCell ref="L173:M173"/>
    <mergeCell ref="N191:O191"/>
    <mergeCell ref="N185:O185"/>
    <mergeCell ref="L204:M204"/>
    <mergeCell ref="L205:M205"/>
    <mergeCell ref="L194:M194"/>
    <mergeCell ref="L195:M195"/>
    <mergeCell ref="L196:M196"/>
    <mergeCell ref="L197:M197"/>
    <mergeCell ref="L198:M198"/>
    <mergeCell ref="L199:M199"/>
    <mergeCell ref="L188:M188"/>
    <mergeCell ref="L189:M189"/>
    <mergeCell ref="N197:O197"/>
    <mergeCell ref="N198:O198"/>
    <mergeCell ref="N199:O199"/>
    <mergeCell ref="N200:O200"/>
    <mergeCell ref="N201:O201"/>
    <mergeCell ref="N202:O202"/>
    <mergeCell ref="L187:M187"/>
    <mergeCell ref="N184:O184"/>
    <mergeCell ref="N174:O174"/>
    <mergeCell ref="N175:O175"/>
    <mergeCell ref="L155:M155"/>
    <mergeCell ref="L156:M156"/>
    <mergeCell ref="L157:M157"/>
    <mergeCell ref="L158:M158"/>
    <mergeCell ref="L159:M159"/>
    <mergeCell ref="L160:M160"/>
    <mergeCell ref="L161:M161"/>
    <mergeCell ref="L162:M162"/>
    <mergeCell ref="L163:M163"/>
    <mergeCell ref="G3:M3"/>
    <mergeCell ref="O3:Q3"/>
    <mergeCell ref="C9:D9"/>
    <mergeCell ref="C10:D10"/>
    <mergeCell ref="A4:A5"/>
    <mergeCell ref="B4:B5"/>
    <mergeCell ref="C4:D5"/>
    <mergeCell ref="E4:E5"/>
    <mergeCell ref="F4:F5"/>
    <mergeCell ref="G4:J4"/>
    <mergeCell ref="C8:D8"/>
    <mergeCell ref="K4:N4"/>
    <mergeCell ref="O4:R4"/>
    <mergeCell ref="Z4:AC4"/>
    <mergeCell ref="AD4:AG4"/>
    <mergeCell ref="AH4:AK4"/>
    <mergeCell ref="C20:D20"/>
    <mergeCell ref="C21:D21"/>
    <mergeCell ref="C22:D22"/>
    <mergeCell ref="C23:D23"/>
    <mergeCell ref="C24:D24"/>
    <mergeCell ref="C25:D25"/>
    <mergeCell ref="U4:U5"/>
    <mergeCell ref="V4:Y4"/>
    <mergeCell ref="C7:D7"/>
    <mergeCell ref="C6:D6"/>
    <mergeCell ref="C16:D16"/>
    <mergeCell ref="C17:D17"/>
    <mergeCell ref="C18:D18"/>
    <mergeCell ref="C19:D19"/>
    <mergeCell ref="T4:T5"/>
    <mergeCell ref="C13:D13"/>
    <mergeCell ref="C14:D14"/>
    <mergeCell ref="C15:D15"/>
    <mergeCell ref="C11:D11"/>
    <mergeCell ref="C12:D12"/>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100:D100"/>
    <mergeCell ref="C101:D101"/>
    <mergeCell ref="C103:D103"/>
    <mergeCell ref="C104:D104"/>
    <mergeCell ref="C99:D99"/>
    <mergeCell ref="C102:D102"/>
    <mergeCell ref="C117:D117"/>
    <mergeCell ref="C105:D105"/>
    <mergeCell ref="C106:D106"/>
    <mergeCell ref="C107:D107"/>
    <mergeCell ref="C108:D108"/>
    <mergeCell ref="C109:D109"/>
    <mergeCell ref="C110:D110"/>
    <mergeCell ref="C118:D118"/>
    <mergeCell ref="C111:D111"/>
    <mergeCell ref="C112:D112"/>
    <mergeCell ref="C119:D119"/>
    <mergeCell ref="C120:D120"/>
    <mergeCell ref="C121:D121"/>
    <mergeCell ref="C113:D113"/>
    <mergeCell ref="C114:D114"/>
    <mergeCell ref="C115:D115"/>
    <mergeCell ref="C116:D116"/>
    <mergeCell ref="N152:O152"/>
    <mergeCell ref="C122:D122"/>
    <mergeCell ref="C123:D123"/>
    <mergeCell ref="H207:I207"/>
    <mergeCell ref="J207:K207"/>
    <mergeCell ref="L207:M207"/>
    <mergeCell ref="J153:K153"/>
    <mergeCell ref="L153:M153"/>
    <mergeCell ref="H155:I155"/>
    <mergeCell ref="H156:I156"/>
    <mergeCell ref="H157:I157"/>
    <mergeCell ref="H164:I164"/>
    <mergeCell ref="H165:I165"/>
    <mergeCell ref="H166:I166"/>
    <mergeCell ref="H167:I167"/>
    <mergeCell ref="H168:I168"/>
    <mergeCell ref="H169:I169"/>
    <mergeCell ref="H158:I158"/>
    <mergeCell ref="H159:I159"/>
    <mergeCell ref="H160:I160"/>
    <mergeCell ref="H161:I161"/>
    <mergeCell ref="H162:I162"/>
    <mergeCell ref="H163:I163"/>
    <mergeCell ref="J185:K185"/>
    <mergeCell ref="C128:D128"/>
    <mergeCell ref="H180:I180"/>
    <mergeCell ref="H181:I181"/>
    <mergeCell ref="H170:I170"/>
    <mergeCell ref="H171:I171"/>
    <mergeCell ref="H172:I172"/>
    <mergeCell ref="H173:I173"/>
    <mergeCell ref="H174:I174"/>
    <mergeCell ref="H175:I175"/>
    <mergeCell ref="H176:I176"/>
    <mergeCell ref="H177:I177"/>
    <mergeCell ref="C135:D135"/>
    <mergeCell ref="C137:D137"/>
    <mergeCell ref="C138:D138"/>
    <mergeCell ref="C139:D139"/>
    <mergeCell ref="C140:D140"/>
    <mergeCell ref="C129:D129"/>
    <mergeCell ref="H153:I153"/>
    <mergeCell ref="C141:D141"/>
    <mergeCell ref="C143:D143"/>
    <mergeCell ref="C144:D144"/>
    <mergeCell ref="C146:D146"/>
    <mergeCell ref="N153:O153"/>
    <mergeCell ref="H178:I178"/>
    <mergeCell ref="H179:I179"/>
    <mergeCell ref="C124:D124"/>
    <mergeCell ref="C125:D125"/>
    <mergeCell ref="C126:D126"/>
    <mergeCell ref="C127:D127"/>
    <mergeCell ref="H152:I152"/>
    <mergeCell ref="J152:K152"/>
    <mergeCell ref="J163:K163"/>
    <mergeCell ref="J157:K157"/>
    <mergeCell ref="J158:K158"/>
    <mergeCell ref="J159:K159"/>
    <mergeCell ref="J160:K160"/>
    <mergeCell ref="J161:K161"/>
    <mergeCell ref="J162:K162"/>
    <mergeCell ref="C133:D133"/>
    <mergeCell ref="C134:D134"/>
    <mergeCell ref="C136:D136"/>
    <mergeCell ref="C142:D142"/>
    <mergeCell ref="C132:D132"/>
    <mergeCell ref="C130:D130"/>
    <mergeCell ref="C145:D145"/>
    <mergeCell ref="C131:D131"/>
    <mergeCell ref="N154:O154"/>
    <mergeCell ref="H154:I154"/>
    <mergeCell ref="J154:K154"/>
    <mergeCell ref="L154:M154"/>
    <mergeCell ref="H182:I182"/>
    <mergeCell ref="H183:I183"/>
    <mergeCell ref="H184:I184"/>
    <mergeCell ref="H185:I185"/>
    <mergeCell ref="H186:I186"/>
    <mergeCell ref="J182:K182"/>
    <mergeCell ref="J183:K183"/>
    <mergeCell ref="J184:K184"/>
    <mergeCell ref="J176:K176"/>
    <mergeCell ref="J177:K177"/>
    <mergeCell ref="J178:K178"/>
    <mergeCell ref="J179:K179"/>
    <mergeCell ref="J180:K180"/>
    <mergeCell ref="J181:K181"/>
    <mergeCell ref="J174:K174"/>
    <mergeCell ref="J175:K175"/>
    <mergeCell ref="L164:M164"/>
    <mergeCell ref="L165:M165"/>
    <mergeCell ref="L166:M166"/>
    <mergeCell ref="L167:M167"/>
    <mergeCell ref="J155:K155"/>
    <mergeCell ref="J156:K156"/>
    <mergeCell ref="J165:K165"/>
    <mergeCell ref="J166:K166"/>
    <mergeCell ref="J167:K167"/>
    <mergeCell ref="J168:K168"/>
    <mergeCell ref="J169:K169"/>
    <mergeCell ref="J170:K170"/>
    <mergeCell ref="L206:M206"/>
    <mergeCell ref="L200:M200"/>
    <mergeCell ref="L201:M201"/>
    <mergeCell ref="L202:M202"/>
    <mergeCell ref="L203:M203"/>
    <mergeCell ref="J171:K171"/>
    <mergeCell ref="J172:K172"/>
    <mergeCell ref="J173:K173"/>
    <mergeCell ref="J191:K191"/>
    <mergeCell ref="J192:K192"/>
    <mergeCell ref="J195:K195"/>
    <mergeCell ref="J193:K193"/>
    <mergeCell ref="L168:M168"/>
    <mergeCell ref="L169:M169"/>
    <mergeCell ref="L174:M174"/>
    <mergeCell ref="L181:M181"/>
    <mergeCell ref="L152:M152"/>
    <mergeCell ref="J186:K186"/>
    <mergeCell ref="J187:K187"/>
    <mergeCell ref="J196:K196"/>
    <mergeCell ref="J197:K197"/>
    <mergeCell ref="J198:K198"/>
    <mergeCell ref="J199:K199"/>
    <mergeCell ref="J188:K188"/>
    <mergeCell ref="J189:K189"/>
    <mergeCell ref="J190:K190"/>
    <mergeCell ref="J194:K194"/>
    <mergeCell ref="J164:K164"/>
    <mergeCell ref="L176:M176"/>
    <mergeCell ref="L177:M177"/>
    <mergeCell ref="L178:M178"/>
    <mergeCell ref="L179:M179"/>
    <mergeCell ref="L180:M180"/>
    <mergeCell ref="L175:M175"/>
    <mergeCell ref="L190:M190"/>
    <mergeCell ref="L191:M191"/>
    <mergeCell ref="L192:M192"/>
    <mergeCell ref="L193:M193"/>
    <mergeCell ref="L170:M170"/>
    <mergeCell ref="L171:M171"/>
    <mergeCell ref="H216:I216"/>
    <mergeCell ref="J216:K216"/>
    <mergeCell ref="L216:M216"/>
    <mergeCell ref="N216:O216"/>
    <mergeCell ref="H187:I187"/>
    <mergeCell ref="L182:M182"/>
    <mergeCell ref="L183:M183"/>
    <mergeCell ref="L184:M184"/>
    <mergeCell ref="L185:M185"/>
    <mergeCell ref="L186:M186"/>
    <mergeCell ref="H197:I197"/>
    <mergeCell ref="H198:I198"/>
    <mergeCell ref="H199:I199"/>
    <mergeCell ref="H194:I194"/>
    <mergeCell ref="H195:I195"/>
    <mergeCell ref="H188:I188"/>
    <mergeCell ref="H189:I189"/>
    <mergeCell ref="H190:I190"/>
    <mergeCell ref="H191:I191"/>
    <mergeCell ref="H192:I192"/>
    <mergeCell ref="H193:I193"/>
    <mergeCell ref="H196:I196"/>
    <mergeCell ref="H214:I214"/>
    <mergeCell ref="J214:K214"/>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A224"/>
  <sheetViews>
    <sheetView zoomScale="112" zoomScaleNormal="120" workbookViewId="0">
      <pane xSplit="1" ySplit="5" topLeftCell="AS143"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54</v>
      </c>
    </row>
    <row r="3" spans="1:53" x14ac:dyDescent="0.15">
      <c r="G3" s="397"/>
      <c r="H3" s="397"/>
      <c r="I3" s="397"/>
      <c r="J3" s="397"/>
      <c r="K3" s="397"/>
      <c r="L3" s="397"/>
      <c r="M3" s="397"/>
      <c r="O3" s="397"/>
      <c r="P3" s="397"/>
      <c r="Q3" s="397"/>
      <c r="R3" s="4"/>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139" customFormat="1" x14ac:dyDescent="0.15">
      <c r="A6" s="145">
        <v>1959</v>
      </c>
      <c r="B6" s="294"/>
      <c r="C6" s="382" t="s">
        <v>1226</v>
      </c>
      <c r="D6" s="382"/>
      <c r="E6" s="139">
        <v>7</v>
      </c>
      <c r="G6" s="147">
        <v>5</v>
      </c>
      <c r="H6" s="139">
        <v>3</v>
      </c>
      <c r="I6" s="139">
        <v>5</v>
      </c>
      <c r="J6" s="153">
        <v>24</v>
      </c>
      <c r="K6" s="133">
        <f>G6/J6*100</f>
        <v>20.833333333333336</v>
      </c>
      <c r="L6" s="133">
        <f>H6/J6*100</f>
        <v>12.5</v>
      </c>
      <c r="M6" s="133">
        <f>I6/J6*100</f>
        <v>20.833333333333336</v>
      </c>
      <c r="N6" s="149">
        <f>SUM(K6:M6)</f>
        <v>54.166666666666671</v>
      </c>
      <c r="O6" s="132">
        <v>42.6</v>
      </c>
      <c r="P6" s="133">
        <v>12.3</v>
      </c>
      <c r="Q6" s="133">
        <v>14.3</v>
      </c>
      <c r="R6" s="134">
        <f>SUM(O6:Q6)</f>
        <v>69.2</v>
      </c>
      <c r="S6" s="139">
        <v>5</v>
      </c>
      <c r="T6" s="306"/>
      <c r="U6" s="294"/>
      <c r="V6" s="138" t="s">
        <v>371</v>
      </c>
      <c r="W6" s="139" t="s">
        <v>75</v>
      </c>
      <c r="X6" s="139" t="s">
        <v>11</v>
      </c>
      <c r="Y6" s="140">
        <v>42.6</v>
      </c>
      <c r="Z6" s="138" t="s">
        <v>120</v>
      </c>
      <c r="AA6" s="139" t="s">
        <v>17</v>
      </c>
      <c r="AB6" s="139" t="s">
        <v>18</v>
      </c>
      <c r="AC6" s="139">
        <v>12.3</v>
      </c>
      <c r="AD6" s="138" t="s">
        <v>95</v>
      </c>
      <c r="AE6" s="139" t="s">
        <v>20</v>
      </c>
      <c r="AF6" s="139" t="s">
        <v>12</v>
      </c>
      <c r="AG6" s="140">
        <v>9.4</v>
      </c>
      <c r="AH6" s="139" t="s">
        <v>121</v>
      </c>
      <c r="AI6" s="139" t="s">
        <v>22</v>
      </c>
      <c r="AJ6" s="139" t="s">
        <v>12</v>
      </c>
      <c r="AK6" s="139">
        <v>4.9000000000000004</v>
      </c>
      <c r="AL6" s="138"/>
      <c r="AO6" s="140"/>
      <c r="AP6" s="138"/>
      <c r="AS6" s="140"/>
      <c r="AW6" s="140"/>
      <c r="BA6" s="141"/>
    </row>
    <row r="7" spans="1:53" s="139" customFormat="1" x14ac:dyDescent="0.15">
      <c r="A7" s="145">
        <v>1959</v>
      </c>
      <c r="B7" s="294">
        <v>21558</v>
      </c>
      <c r="C7" s="382" t="s">
        <v>373</v>
      </c>
      <c r="D7" s="382"/>
      <c r="E7" s="139">
        <f>365-E6</f>
        <v>358</v>
      </c>
      <c r="F7" s="139">
        <v>4</v>
      </c>
      <c r="G7" s="147">
        <v>9</v>
      </c>
      <c r="H7" s="139">
        <v>4</v>
      </c>
      <c r="I7" s="139">
        <v>1</v>
      </c>
      <c r="J7" s="153">
        <v>21</v>
      </c>
      <c r="K7" s="133">
        <f>G7/J7*100</f>
        <v>42.857142857142854</v>
      </c>
      <c r="L7" s="133">
        <f>H7/J7*100</f>
        <v>19.047619047619047</v>
      </c>
      <c r="M7" s="133">
        <f>I7/J7*100</f>
        <v>4.7619047619047619</v>
      </c>
      <c r="N7" s="149">
        <f>SUM(K7:M7)</f>
        <v>66.666666666666657</v>
      </c>
      <c r="O7" s="132">
        <v>71.2</v>
      </c>
      <c r="P7" s="133">
        <v>12.3</v>
      </c>
      <c r="Q7" s="133">
        <v>4.9000000000000004</v>
      </c>
      <c r="R7" s="134">
        <f>SUM(O7:Q7)</f>
        <v>88.4</v>
      </c>
      <c r="S7" s="139">
        <v>3</v>
      </c>
      <c r="T7" s="306"/>
      <c r="U7" s="294">
        <v>21558</v>
      </c>
      <c r="V7" s="138" t="s">
        <v>371</v>
      </c>
      <c r="W7" s="139" t="s">
        <v>75</v>
      </c>
      <c r="X7" s="139" t="s">
        <v>11</v>
      </c>
      <c r="Y7" s="140">
        <v>42.6</v>
      </c>
      <c r="Z7" s="138" t="s">
        <v>119</v>
      </c>
      <c r="AA7" s="139" t="s">
        <v>74</v>
      </c>
      <c r="AB7" s="139" t="s">
        <v>11</v>
      </c>
      <c r="AC7" s="139">
        <v>28.6</v>
      </c>
      <c r="AD7" s="138" t="s">
        <v>120</v>
      </c>
      <c r="AE7" s="139" t="s">
        <v>17</v>
      </c>
      <c r="AF7" s="139" t="s">
        <v>18</v>
      </c>
      <c r="AG7" s="140">
        <v>12.3</v>
      </c>
      <c r="AH7" s="139" t="s">
        <v>121</v>
      </c>
      <c r="AI7" s="139" t="s">
        <v>22</v>
      </c>
      <c r="AJ7" s="139" t="s">
        <v>12</v>
      </c>
      <c r="AK7" s="139">
        <v>4.9000000000000004</v>
      </c>
      <c r="AL7" s="138"/>
      <c r="AO7" s="140"/>
      <c r="AP7" s="138"/>
      <c r="AS7" s="140"/>
      <c r="AW7" s="140"/>
      <c r="BA7" s="141"/>
    </row>
    <row r="8" spans="1:53" s="28" customFormat="1" x14ac:dyDescent="0.15">
      <c r="A8" s="51">
        <v>1960</v>
      </c>
      <c r="B8" s="293"/>
      <c r="C8" s="370" t="s">
        <v>373</v>
      </c>
      <c r="D8" s="370"/>
      <c r="E8" s="28">
        <v>0</v>
      </c>
      <c r="G8" s="65">
        <v>9</v>
      </c>
      <c r="H8" s="28">
        <v>4</v>
      </c>
      <c r="I8" s="28">
        <v>1</v>
      </c>
      <c r="J8" s="72">
        <v>21</v>
      </c>
      <c r="K8" s="46">
        <f t="shared" ref="K8:K64" si="0">G8/J8*100</f>
        <v>42.857142857142854</v>
      </c>
      <c r="L8" s="46">
        <f t="shared" ref="L8:L64" si="1">H8/J8*100</f>
        <v>19.047619047619047</v>
      </c>
      <c r="M8" s="46">
        <f t="shared" ref="M8:M64" si="2">I8/J8*100</f>
        <v>4.7619047619047619</v>
      </c>
      <c r="N8" s="67">
        <f>SUM(K8:M8)</f>
        <v>66.666666666666657</v>
      </c>
      <c r="O8" s="45">
        <v>71.2</v>
      </c>
      <c r="P8" s="46">
        <v>12.3</v>
      </c>
      <c r="Q8" s="46">
        <v>4.9000000000000004</v>
      </c>
      <c r="R8" s="47">
        <f>SUM(O8:Q8)</f>
        <v>88.4</v>
      </c>
      <c r="S8" s="28">
        <v>3</v>
      </c>
      <c r="T8" s="284"/>
      <c r="U8" s="293"/>
      <c r="V8" s="37" t="s">
        <v>371</v>
      </c>
      <c r="W8" s="28" t="s">
        <v>75</v>
      </c>
      <c r="X8" s="28" t="s">
        <v>11</v>
      </c>
      <c r="Y8" s="38">
        <v>42.6</v>
      </c>
      <c r="Z8" s="37" t="s">
        <v>119</v>
      </c>
      <c r="AA8" s="28" t="s">
        <v>74</v>
      </c>
      <c r="AB8" s="28" t="s">
        <v>11</v>
      </c>
      <c r="AC8" s="28">
        <v>28.6</v>
      </c>
      <c r="AD8" s="37" t="s">
        <v>120</v>
      </c>
      <c r="AE8" s="28" t="s">
        <v>17</v>
      </c>
      <c r="AF8" s="28" t="s">
        <v>18</v>
      </c>
      <c r="AG8" s="38">
        <v>12.3</v>
      </c>
      <c r="AH8" s="28" t="s">
        <v>121</v>
      </c>
      <c r="AI8" s="28" t="s">
        <v>22</v>
      </c>
      <c r="AJ8" s="28" t="s">
        <v>12</v>
      </c>
      <c r="AK8" s="28">
        <v>4.9000000000000004</v>
      </c>
      <c r="AL8" s="37"/>
      <c r="AO8" s="38"/>
      <c r="AP8" s="37"/>
      <c r="AS8" s="38"/>
      <c r="AW8" s="38"/>
      <c r="BA8" s="39"/>
    </row>
    <row r="9" spans="1:53" s="28" customFormat="1" x14ac:dyDescent="0.15">
      <c r="A9" s="51">
        <v>1960</v>
      </c>
      <c r="B9" s="293"/>
      <c r="C9" s="370" t="s">
        <v>373</v>
      </c>
      <c r="D9" s="370"/>
      <c r="E9" s="28">
        <v>366</v>
      </c>
      <c r="G9" s="65">
        <v>9</v>
      </c>
      <c r="H9" s="28">
        <v>4</v>
      </c>
      <c r="I9" s="28">
        <v>1</v>
      </c>
      <c r="J9" s="72">
        <v>21</v>
      </c>
      <c r="K9" s="46">
        <f t="shared" si="0"/>
        <v>42.857142857142854</v>
      </c>
      <c r="L9" s="46">
        <f t="shared" si="1"/>
        <v>19.047619047619047</v>
      </c>
      <c r="M9" s="46">
        <f t="shared" si="2"/>
        <v>4.7619047619047619</v>
      </c>
      <c r="N9" s="67">
        <f t="shared" ref="N9:N72" si="3">SUM(K9:M9)</f>
        <v>66.666666666666657</v>
      </c>
      <c r="O9" s="45">
        <v>71.2</v>
      </c>
      <c r="P9" s="46">
        <v>12.3</v>
      </c>
      <c r="Q9" s="46">
        <v>4.9000000000000004</v>
      </c>
      <c r="R9" s="47">
        <f t="shared" ref="R9:R72" si="4">SUM(O9:Q9)</f>
        <v>88.4</v>
      </c>
      <c r="S9" s="28">
        <v>3</v>
      </c>
      <c r="T9" s="284"/>
      <c r="U9" s="293"/>
      <c r="V9" s="37" t="s">
        <v>371</v>
      </c>
      <c r="W9" s="28" t="s">
        <v>75</v>
      </c>
      <c r="X9" s="28" t="s">
        <v>11</v>
      </c>
      <c r="Y9" s="38">
        <v>42.6</v>
      </c>
      <c r="Z9" s="37" t="s">
        <v>119</v>
      </c>
      <c r="AA9" s="28" t="s">
        <v>74</v>
      </c>
      <c r="AB9" s="28" t="s">
        <v>11</v>
      </c>
      <c r="AC9" s="28">
        <v>28.6</v>
      </c>
      <c r="AD9" s="37" t="s">
        <v>120</v>
      </c>
      <c r="AE9" s="28" t="s">
        <v>17</v>
      </c>
      <c r="AF9" s="28" t="s">
        <v>18</v>
      </c>
      <c r="AG9" s="38">
        <v>12.3</v>
      </c>
      <c r="AH9" s="28" t="s">
        <v>121</v>
      </c>
      <c r="AI9" s="28" t="s">
        <v>22</v>
      </c>
      <c r="AJ9" s="28" t="s">
        <v>12</v>
      </c>
      <c r="AK9" s="28">
        <v>4.9000000000000004</v>
      </c>
      <c r="AL9" s="37"/>
      <c r="AO9" s="38"/>
      <c r="AP9" s="37"/>
      <c r="AS9" s="38"/>
      <c r="AW9" s="38"/>
      <c r="BA9" s="39"/>
    </row>
    <row r="10" spans="1:53" s="28" customFormat="1" x14ac:dyDescent="0.15">
      <c r="A10" s="51">
        <v>1961</v>
      </c>
      <c r="B10" s="293"/>
      <c r="C10" s="370" t="s">
        <v>373</v>
      </c>
      <c r="D10" s="370"/>
      <c r="E10" s="28">
        <v>0</v>
      </c>
      <c r="G10" s="65">
        <v>9</v>
      </c>
      <c r="H10" s="28">
        <v>4</v>
      </c>
      <c r="I10" s="28">
        <v>1</v>
      </c>
      <c r="J10" s="72">
        <v>21</v>
      </c>
      <c r="K10" s="46">
        <f t="shared" si="0"/>
        <v>42.857142857142854</v>
      </c>
      <c r="L10" s="46">
        <f t="shared" si="1"/>
        <v>19.047619047619047</v>
      </c>
      <c r="M10" s="46">
        <f t="shared" si="2"/>
        <v>4.7619047619047619</v>
      </c>
      <c r="N10" s="67">
        <f t="shared" si="3"/>
        <v>66.666666666666657</v>
      </c>
      <c r="O10" s="45">
        <v>71.2</v>
      </c>
      <c r="P10" s="46">
        <v>12.3</v>
      </c>
      <c r="Q10" s="46">
        <v>4.9000000000000004</v>
      </c>
      <c r="R10" s="47">
        <f t="shared" si="4"/>
        <v>88.4</v>
      </c>
      <c r="S10" s="28">
        <v>3</v>
      </c>
      <c r="T10" s="284"/>
      <c r="U10" s="293"/>
      <c r="V10" s="37" t="s">
        <v>371</v>
      </c>
      <c r="W10" s="28" t="s">
        <v>75</v>
      </c>
      <c r="X10" s="28" t="s">
        <v>11</v>
      </c>
      <c r="Y10" s="38">
        <v>42.6</v>
      </c>
      <c r="Z10" s="37" t="s">
        <v>119</v>
      </c>
      <c r="AA10" s="28" t="s">
        <v>74</v>
      </c>
      <c r="AB10" s="28" t="s">
        <v>11</v>
      </c>
      <c r="AC10" s="28">
        <v>28.6</v>
      </c>
      <c r="AD10" s="37" t="s">
        <v>120</v>
      </c>
      <c r="AE10" s="28" t="s">
        <v>17</v>
      </c>
      <c r="AF10" s="28" t="s">
        <v>18</v>
      </c>
      <c r="AG10" s="38">
        <v>12.3</v>
      </c>
      <c r="AH10" s="28" t="s">
        <v>121</v>
      </c>
      <c r="AI10" s="28" t="s">
        <v>22</v>
      </c>
      <c r="AJ10" s="28" t="s">
        <v>12</v>
      </c>
      <c r="AK10" s="28">
        <v>4.9000000000000004</v>
      </c>
      <c r="AL10" s="37"/>
      <c r="AO10" s="38"/>
      <c r="AP10" s="37"/>
      <c r="AS10" s="38"/>
      <c r="AW10" s="38"/>
      <c r="BA10" s="39"/>
    </row>
    <row r="11" spans="1:53" s="28" customFormat="1" x14ac:dyDescent="0.15">
      <c r="A11" s="51">
        <v>1961</v>
      </c>
      <c r="B11" s="293"/>
      <c r="C11" s="370" t="s">
        <v>373</v>
      </c>
      <c r="D11" s="370"/>
      <c r="E11" s="28">
        <v>365</v>
      </c>
      <c r="G11" s="65">
        <v>9</v>
      </c>
      <c r="H11" s="28">
        <v>4</v>
      </c>
      <c r="I11" s="28">
        <v>1</v>
      </c>
      <c r="J11" s="72">
        <v>21</v>
      </c>
      <c r="K11" s="46">
        <f t="shared" si="0"/>
        <v>42.857142857142854</v>
      </c>
      <c r="L11" s="46">
        <f t="shared" si="1"/>
        <v>19.047619047619047</v>
      </c>
      <c r="M11" s="46">
        <f t="shared" si="2"/>
        <v>4.7619047619047619</v>
      </c>
      <c r="N11" s="67">
        <f t="shared" si="3"/>
        <v>66.666666666666657</v>
      </c>
      <c r="O11" s="45">
        <v>71.2</v>
      </c>
      <c r="P11" s="46">
        <v>12.3</v>
      </c>
      <c r="Q11" s="46">
        <v>4.9000000000000004</v>
      </c>
      <c r="R11" s="47">
        <f t="shared" si="4"/>
        <v>88.4</v>
      </c>
      <c r="S11" s="28">
        <v>3</v>
      </c>
      <c r="T11" s="284"/>
      <c r="U11" s="293"/>
      <c r="V11" s="37" t="s">
        <v>371</v>
      </c>
      <c r="W11" s="28" t="s">
        <v>75</v>
      </c>
      <c r="X11" s="28" t="s">
        <v>11</v>
      </c>
      <c r="Y11" s="38">
        <v>42.6</v>
      </c>
      <c r="Z11" s="37" t="s">
        <v>119</v>
      </c>
      <c r="AA11" s="28" t="s">
        <v>74</v>
      </c>
      <c r="AB11" s="28" t="s">
        <v>11</v>
      </c>
      <c r="AC11" s="28">
        <v>28.6</v>
      </c>
      <c r="AD11" s="37" t="s">
        <v>120</v>
      </c>
      <c r="AE11" s="28" t="s">
        <v>17</v>
      </c>
      <c r="AF11" s="28" t="s">
        <v>18</v>
      </c>
      <c r="AG11" s="38">
        <v>12.3</v>
      </c>
      <c r="AH11" s="28" t="s">
        <v>121</v>
      </c>
      <c r="AI11" s="28" t="s">
        <v>22</v>
      </c>
      <c r="AJ11" s="28" t="s">
        <v>12</v>
      </c>
      <c r="AK11" s="28">
        <v>4.9000000000000004</v>
      </c>
      <c r="AL11" s="37"/>
      <c r="AO11" s="38"/>
      <c r="AP11" s="37"/>
      <c r="AS11" s="38"/>
      <c r="AW11" s="38"/>
      <c r="BA11" s="39"/>
    </row>
    <row r="12" spans="1:53" s="28" customFormat="1" x14ac:dyDescent="0.15">
      <c r="A12" s="51">
        <v>1962</v>
      </c>
      <c r="B12" s="293"/>
      <c r="C12" s="370" t="s">
        <v>373</v>
      </c>
      <c r="D12" s="370"/>
      <c r="E12" s="28">
        <v>104</v>
      </c>
      <c r="G12" s="65">
        <v>9</v>
      </c>
      <c r="H12" s="28">
        <v>4</v>
      </c>
      <c r="I12" s="28">
        <v>1</v>
      </c>
      <c r="J12" s="72">
        <v>21</v>
      </c>
      <c r="K12" s="46">
        <f t="shared" si="0"/>
        <v>42.857142857142854</v>
      </c>
      <c r="L12" s="46">
        <f t="shared" si="1"/>
        <v>19.047619047619047</v>
      </c>
      <c r="M12" s="46">
        <f t="shared" si="2"/>
        <v>4.7619047619047619</v>
      </c>
      <c r="N12" s="67">
        <f t="shared" si="3"/>
        <v>66.666666666666657</v>
      </c>
      <c r="O12" s="45">
        <v>71.2</v>
      </c>
      <c r="P12" s="46">
        <v>12.3</v>
      </c>
      <c r="Q12" s="46">
        <v>4.9000000000000004</v>
      </c>
      <c r="R12" s="47">
        <f t="shared" si="4"/>
        <v>88.4</v>
      </c>
      <c r="S12" s="28">
        <v>3</v>
      </c>
      <c r="T12" s="284"/>
      <c r="U12" s="293"/>
      <c r="V12" s="37" t="s">
        <v>371</v>
      </c>
      <c r="W12" s="28" t="s">
        <v>75</v>
      </c>
      <c r="X12" s="28" t="s">
        <v>11</v>
      </c>
      <c r="Y12" s="38">
        <v>42.6</v>
      </c>
      <c r="Z12" s="37" t="s">
        <v>119</v>
      </c>
      <c r="AA12" s="28" t="s">
        <v>74</v>
      </c>
      <c r="AB12" s="28" t="s">
        <v>11</v>
      </c>
      <c r="AC12" s="28">
        <v>28.6</v>
      </c>
      <c r="AD12" s="37" t="s">
        <v>120</v>
      </c>
      <c r="AE12" s="28" t="s">
        <v>17</v>
      </c>
      <c r="AF12" s="28" t="s">
        <v>18</v>
      </c>
      <c r="AG12" s="38">
        <v>12.3</v>
      </c>
      <c r="AH12" s="28" t="s">
        <v>121</v>
      </c>
      <c r="AI12" s="28" t="s">
        <v>22</v>
      </c>
      <c r="AJ12" s="28" t="s">
        <v>12</v>
      </c>
      <c r="AK12" s="28">
        <v>4.9000000000000004</v>
      </c>
      <c r="AL12" s="37"/>
      <c r="AO12" s="38"/>
      <c r="AP12" s="37"/>
      <c r="AS12" s="38"/>
      <c r="AW12" s="38"/>
      <c r="BA12" s="39"/>
    </row>
    <row r="13" spans="1:53" s="170" customFormat="1" x14ac:dyDescent="0.15">
      <c r="A13" s="215">
        <v>1962</v>
      </c>
      <c r="B13" s="281">
        <v>22751</v>
      </c>
      <c r="C13" s="369" t="s">
        <v>374</v>
      </c>
      <c r="D13" s="369"/>
      <c r="E13" s="170">
        <v>31</v>
      </c>
      <c r="F13" s="170">
        <v>1</v>
      </c>
      <c r="G13" s="232">
        <v>11</v>
      </c>
      <c r="H13" s="170">
        <v>4</v>
      </c>
      <c r="J13" s="240">
        <v>22</v>
      </c>
      <c r="K13" s="213">
        <f t="shared" si="0"/>
        <v>50</v>
      </c>
      <c r="L13" s="213">
        <f t="shared" si="1"/>
        <v>18.181818181818183</v>
      </c>
      <c r="M13" s="213">
        <f t="shared" si="2"/>
        <v>0</v>
      </c>
      <c r="N13" s="234">
        <f t="shared" si="3"/>
        <v>68.181818181818187</v>
      </c>
      <c r="O13" s="212">
        <v>71.2</v>
      </c>
      <c r="P13" s="213">
        <v>12.3</v>
      </c>
      <c r="Q13" s="213"/>
      <c r="R13" s="214">
        <f t="shared" si="4"/>
        <v>83.5</v>
      </c>
      <c r="S13" s="170">
        <v>3</v>
      </c>
      <c r="T13" s="283"/>
      <c r="U13" s="281">
        <v>22751</v>
      </c>
      <c r="V13" s="177" t="s">
        <v>371</v>
      </c>
      <c r="W13" s="170" t="s">
        <v>75</v>
      </c>
      <c r="X13" s="170" t="s">
        <v>11</v>
      </c>
      <c r="Y13" s="178">
        <v>42.6</v>
      </c>
      <c r="Z13" s="177" t="s">
        <v>119</v>
      </c>
      <c r="AA13" s="170" t="s">
        <v>74</v>
      </c>
      <c r="AB13" s="170" t="s">
        <v>11</v>
      </c>
      <c r="AC13" s="170">
        <v>28.6</v>
      </c>
      <c r="AD13" s="177" t="s">
        <v>120</v>
      </c>
      <c r="AE13" s="170" t="s">
        <v>17</v>
      </c>
      <c r="AF13" s="170" t="s">
        <v>18</v>
      </c>
      <c r="AG13" s="178">
        <v>12.3</v>
      </c>
      <c r="AL13" s="177"/>
      <c r="AO13" s="178"/>
      <c r="AP13" s="177"/>
      <c r="AS13" s="178"/>
      <c r="AW13" s="178"/>
      <c r="BA13" s="179"/>
    </row>
    <row r="14" spans="1:53" s="28" customFormat="1" x14ac:dyDescent="0.15">
      <c r="A14" s="51">
        <v>1962</v>
      </c>
      <c r="B14" s="293">
        <v>22782</v>
      </c>
      <c r="C14" s="370" t="s">
        <v>375</v>
      </c>
      <c r="D14" s="370"/>
      <c r="E14" s="28">
        <v>204</v>
      </c>
      <c r="F14" s="28">
        <v>5</v>
      </c>
      <c r="G14" s="65">
        <v>15</v>
      </c>
      <c r="J14" s="72">
        <v>20</v>
      </c>
      <c r="K14" s="46">
        <f t="shared" si="0"/>
        <v>75</v>
      </c>
      <c r="L14" s="46">
        <f t="shared" si="1"/>
        <v>0</v>
      </c>
      <c r="M14" s="46">
        <f t="shared" si="2"/>
        <v>0</v>
      </c>
      <c r="N14" s="67">
        <f t="shared" si="3"/>
        <v>75</v>
      </c>
      <c r="O14" s="45">
        <v>71.2</v>
      </c>
      <c r="P14" s="46"/>
      <c r="Q14" s="46"/>
      <c r="R14" s="47">
        <f t="shared" si="4"/>
        <v>71.2</v>
      </c>
      <c r="S14" s="28">
        <v>2</v>
      </c>
      <c r="T14" s="284"/>
      <c r="U14" s="293">
        <v>22782</v>
      </c>
      <c r="V14" s="37" t="s">
        <v>371</v>
      </c>
      <c r="W14" s="28" t="s">
        <v>75</v>
      </c>
      <c r="X14" s="28" t="s">
        <v>11</v>
      </c>
      <c r="Y14" s="38">
        <v>42.6</v>
      </c>
      <c r="Z14" s="37" t="s">
        <v>119</v>
      </c>
      <c r="AA14" s="28" t="s">
        <v>74</v>
      </c>
      <c r="AB14" s="28" t="s">
        <v>11</v>
      </c>
      <c r="AC14" s="28">
        <v>28.6</v>
      </c>
      <c r="AD14" s="37"/>
      <c r="AG14" s="38"/>
      <c r="AL14" s="37"/>
      <c r="AO14" s="38"/>
      <c r="AP14" s="37"/>
      <c r="AS14" s="38"/>
      <c r="AW14" s="38"/>
      <c r="BA14" s="39"/>
    </row>
    <row r="15" spans="1:53" s="170" customFormat="1" x14ac:dyDescent="0.15">
      <c r="A15" s="215">
        <v>1962</v>
      </c>
      <c r="B15" s="281">
        <v>22986</v>
      </c>
      <c r="C15" s="369" t="s">
        <v>376</v>
      </c>
      <c r="D15" s="369"/>
      <c r="E15" s="170">
        <v>26</v>
      </c>
      <c r="F15" s="170">
        <v>7</v>
      </c>
      <c r="G15" s="232">
        <v>16</v>
      </c>
      <c r="J15" s="240">
        <v>22</v>
      </c>
      <c r="K15" s="213">
        <f t="shared" si="0"/>
        <v>72.727272727272734</v>
      </c>
      <c r="L15" s="213">
        <f t="shared" si="1"/>
        <v>0</v>
      </c>
      <c r="M15" s="213">
        <f t="shared" si="2"/>
        <v>0</v>
      </c>
      <c r="N15" s="234">
        <f t="shared" si="3"/>
        <v>72.727272727272734</v>
      </c>
      <c r="O15" s="212">
        <v>49.5</v>
      </c>
      <c r="P15" s="213">
        <v>3.8</v>
      </c>
      <c r="Q15" s="213"/>
      <c r="R15" s="214">
        <f t="shared" si="4"/>
        <v>53.3</v>
      </c>
      <c r="S15" s="170">
        <v>2</v>
      </c>
      <c r="T15" s="283">
        <v>22968</v>
      </c>
      <c r="U15" s="281">
        <v>22986</v>
      </c>
      <c r="V15" s="177" t="s">
        <v>371</v>
      </c>
      <c r="W15" s="170" t="s">
        <v>75</v>
      </c>
      <c r="X15" s="170" t="s">
        <v>11</v>
      </c>
      <c r="Y15" s="178">
        <v>49.5</v>
      </c>
      <c r="Z15" s="177" t="s">
        <v>122</v>
      </c>
      <c r="AA15" s="170" t="s">
        <v>76</v>
      </c>
      <c r="AB15" s="170" t="s">
        <v>18</v>
      </c>
      <c r="AC15" s="170">
        <v>3.8</v>
      </c>
      <c r="AD15" s="177"/>
      <c r="AG15" s="178"/>
      <c r="AL15" s="177"/>
      <c r="AO15" s="178"/>
      <c r="AP15" s="177"/>
      <c r="AS15" s="178"/>
      <c r="AW15" s="178"/>
      <c r="BA15" s="179"/>
    </row>
    <row r="16" spans="1:53" s="170" customFormat="1" x14ac:dyDescent="0.15">
      <c r="A16" s="215">
        <v>1963</v>
      </c>
      <c r="B16" s="281"/>
      <c r="C16" s="369" t="s">
        <v>376</v>
      </c>
      <c r="D16" s="369"/>
      <c r="E16" s="170">
        <v>0</v>
      </c>
      <c r="G16" s="232">
        <v>16</v>
      </c>
      <c r="J16" s="240">
        <v>22</v>
      </c>
      <c r="K16" s="213">
        <f t="shared" si="0"/>
        <v>72.727272727272734</v>
      </c>
      <c r="L16" s="213">
        <f t="shared" si="1"/>
        <v>0</v>
      </c>
      <c r="M16" s="213">
        <f t="shared" si="2"/>
        <v>0</v>
      </c>
      <c r="N16" s="234">
        <f t="shared" si="3"/>
        <v>72.727272727272734</v>
      </c>
      <c r="O16" s="212">
        <v>49.5</v>
      </c>
      <c r="P16" s="213">
        <v>3.8</v>
      </c>
      <c r="Q16" s="213"/>
      <c r="R16" s="214">
        <f t="shared" si="4"/>
        <v>53.3</v>
      </c>
      <c r="S16" s="170">
        <v>2</v>
      </c>
      <c r="T16" s="283"/>
      <c r="U16" s="281"/>
      <c r="V16" s="177" t="s">
        <v>371</v>
      </c>
      <c r="W16" s="170" t="s">
        <v>75</v>
      </c>
      <c r="X16" s="170" t="s">
        <v>11</v>
      </c>
      <c r="Y16" s="178">
        <v>49.5</v>
      </c>
      <c r="Z16" s="177" t="s">
        <v>122</v>
      </c>
      <c r="AA16" s="170" t="s">
        <v>76</v>
      </c>
      <c r="AB16" s="170" t="s">
        <v>18</v>
      </c>
      <c r="AC16" s="170">
        <v>3.8</v>
      </c>
      <c r="AD16" s="177"/>
      <c r="AG16" s="178"/>
      <c r="AL16" s="177"/>
      <c r="AO16" s="178"/>
      <c r="AP16" s="177"/>
      <c r="AS16" s="178"/>
      <c r="AW16" s="178"/>
      <c r="BA16" s="179"/>
    </row>
    <row r="17" spans="1:53" s="170" customFormat="1" x14ac:dyDescent="0.15">
      <c r="A17" s="215">
        <v>1963</v>
      </c>
      <c r="B17" s="281"/>
      <c r="C17" s="369" t="s">
        <v>376</v>
      </c>
      <c r="D17" s="369"/>
      <c r="E17" s="170">
        <v>365</v>
      </c>
      <c r="G17" s="232">
        <v>16</v>
      </c>
      <c r="J17" s="240">
        <v>22</v>
      </c>
      <c r="K17" s="213">
        <f t="shared" si="0"/>
        <v>72.727272727272734</v>
      </c>
      <c r="L17" s="213">
        <f t="shared" si="1"/>
        <v>0</v>
      </c>
      <c r="M17" s="213">
        <f t="shared" si="2"/>
        <v>0</v>
      </c>
      <c r="N17" s="234">
        <f t="shared" si="3"/>
        <v>72.727272727272734</v>
      </c>
      <c r="O17" s="212">
        <v>49.5</v>
      </c>
      <c r="P17" s="213">
        <v>3.8</v>
      </c>
      <c r="Q17" s="213"/>
      <c r="R17" s="214">
        <f t="shared" si="4"/>
        <v>53.3</v>
      </c>
      <c r="S17" s="170">
        <v>2</v>
      </c>
      <c r="T17" s="283"/>
      <c r="U17" s="281"/>
      <c r="V17" s="177" t="s">
        <v>371</v>
      </c>
      <c r="W17" s="170" t="s">
        <v>75</v>
      </c>
      <c r="X17" s="170" t="s">
        <v>11</v>
      </c>
      <c r="Y17" s="178">
        <v>49.5</v>
      </c>
      <c r="Z17" s="177" t="s">
        <v>122</v>
      </c>
      <c r="AA17" s="170" t="s">
        <v>76</v>
      </c>
      <c r="AB17" s="170" t="s">
        <v>18</v>
      </c>
      <c r="AC17" s="170">
        <v>3.8</v>
      </c>
      <c r="AD17" s="177"/>
      <c r="AG17" s="178"/>
      <c r="AL17" s="177"/>
      <c r="AO17" s="178"/>
      <c r="AP17" s="177"/>
      <c r="AS17" s="178"/>
      <c r="AW17" s="178"/>
      <c r="BA17" s="179"/>
    </row>
    <row r="18" spans="1:53" s="170" customFormat="1" x14ac:dyDescent="0.15">
      <c r="A18" s="215">
        <v>1964</v>
      </c>
      <c r="B18" s="281"/>
      <c r="C18" s="369" t="s">
        <v>376</v>
      </c>
      <c r="D18" s="369"/>
      <c r="E18" s="170">
        <v>0</v>
      </c>
      <c r="G18" s="232">
        <v>16</v>
      </c>
      <c r="J18" s="240">
        <v>22</v>
      </c>
      <c r="K18" s="213">
        <f t="shared" si="0"/>
        <v>72.727272727272734</v>
      </c>
      <c r="L18" s="213">
        <f t="shared" si="1"/>
        <v>0</v>
      </c>
      <c r="M18" s="213">
        <f t="shared" si="2"/>
        <v>0</v>
      </c>
      <c r="N18" s="234">
        <f t="shared" si="3"/>
        <v>72.727272727272734</v>
      </c>
      <c r="O18" s="212">
        <v>49.5</v>
      </c>
      <c r="P18" s="213">
        <v>3.8</v>
      </c>
      <c r="Q18" s="213"/>
      <c r="R18" s="214">
        <f t="shared" si="4"/>
        <v>53.3</v>
      </c>
      <c r="S18" s="170">
        <v>2</v>
      </c>
      <c r="T18" s="283"/>
      <c r="U18" s="281"/>
      <c r="V18" s="177" t="s">
        <v>371</v>
      </c>
      <c r="W18" s="170" t="s">
        <v>75</v>
      </c>
      <c r="X18" s="170" t="s">
        <v>11</v>
      </c>
      <c r="Y18" s="178">
        <v>49.5</v>
      </c>
      <c r="Z18" s="177" t="s">
        <v>122</v>
      </c>
      <c r="AA18" s="170" t="s">
        <v>76</v>
      </c>
      <c r="AB18" s="170" t="s">
        <v>18</v>
      </c>
      <c r="AC18" s="170">
        <v>3.8</v>
      </c>
      <c r="AD18" s="177"/>
      <c r="AG18" s="178"/>
      <c r="AL18" s="177"/>
      <c r="AO18" s="178"/>
      <c r="AP18" s="177"/>
      <c r="AS18" s="178"/>
      <c r="AW18" s="178"/>
      <c r="BA18" s="179"/>
    </row>
    <row r="19" spans="1:53" s="170" customFormat="1" x14ac:dyDescent="0.15">
      <c r="A19" s="215">
        <v>1964</v>
      </c>
      <c r="B19" s="281"/>
      <c r="C19" s="369" t="s">
        <v>376</v>
      </c>
      <c r="D19" s="369"/>
      <c r="E19" s="170">
        <v>366</v>
      </c>
      <c r="G19" s="232">
        <v>16</v>
      </c>
      <c r="J19" s="240">
        <v>22</v>
      </c>
      <c r="K19" s="213">
        <f t="shared" si="0"/>
        <v>72.727272727272734</v>
      </c>
      <c r="L19" s="213">
        <f t="shared" si="1"/>
        <v>0</v>
      </c>
      <c r="M19" s="213">
        <f t="shared" si="2"/>
        <v>0</v>
      </c>
      <c r="N19" s="234">
        <f t="shared" si="3"/>
        <v>72.727272727272734</v>
      </c>
      <c r="O19" s="212">
        <v>49.5</v>
      </c>
      <c r="P19" s="213">
        <v>3.8</v>
      </c>
      <c r="Q19" s="213"/>
      <c r="R19" s="214">
        <f t="shared" si="4"/>
        <v>53.3</v>
      </c>
      <c r="S19" s="170">
        <v>2</v>
      </c>
      <c r="T19" s="283"/>
      <c r="U19" s="281"/>
      <c r="V19" s="177" t="s">
        <v>371</v>
      </c>
      <c r="W19" s="170" t="s">
        <v>75</v>
      </c>
      <c r="X19" s="170" t="s">
        <v>11</v>
      </c>
      <c r="Y19" s="178">
        <v>49.5</v>
      </c>
      <c r="Z19" s="177" t="s">
        <v>122</v>
      </c>
      <c r="AA19" s="170" t="s">
        <v>76</v>
      </c>
      <c r="AB19" s="170" t="s">
        <v>18</v>
      </c>
      <c r="AC19" s="170">
        <v>3.8</v>
      </c>
      <c r="AD19" s="177"/>
      <c r="AG19" s="178"/>
      <c r="AL19" s="177"/>
      <c r="AO19" s="178"/>
      <c r="AP19" s="177"/>
      <c r="AS19" s="178"/>
      <c r="AW19" s="178"/>
      <c r="BA19" s="179"/>
    </row>
    <row r="20" spans="1:53" s="170" customFormat="1" x14ac:dyDescent="0.15">
      <c r="A20" s="215">
        <v>1965</v>
      </c>
      <c r="B20" s="281"/>
      <c r="C20" s="369" t="s">
        <v>376</v>
      </c>
      <c r="D20" s="369"/>
      <c r="E20" s="170">
        <v>0</v>
      </c>
      <c r="G20" s="232">
        <v>16</v>
      </c>
      <c r="J20" s="240">
        <v>22</v>
      </c>
      <c r="K20" s="213">
        <f t="shared" si="0"/>
        <v>72.727272727272734</v>
      </c>
      <c r="L20" s="213">
        <f t="shared" si="1"/>
        <v>0</v>
      </c>
      <c r="M20" s="213">
        <f t="shared" si="2"/>
        <v>0</v>
      </c>
      <c r="N20" s="234">
        <f t="shared" si="3"/>
        <v>72.727272727272734</v>
      </c>
      <c r="O20" s="212">
        <v>49.5</v>
      </c>
      <c r="P20" s="213">
        <v>3.8</v>
      </c>
      <c r="Q20" s="213"/>
      <c r="R20" s="214">
        <f t="shared" si="4"/>
        <v>53.3</v>
      </c>
      <c r="S20" s="170">
        <v>2</v>
      </c>
      <c r="T20" s="283"/>
      <c r="U20" s="281"/>
      <c r="V20" s="177" t="s">
        <v>371</v>
      </c>
      <c r="W20" s="170" t="s">
        <v>75</v>
      </c>
      <c r="X20" s="170" t="s">
        <v>11</v>
      </c>
      <c r="Y20" s="178">
        <v>49.5</v>
      </c>
      <c r="Z20" s="177" t="s">
        <v>122</v>
      </c>
      <c r="AA20" s="170" t="s">
        <v>76</v>
      </c>
      <c r="AB20" s="170" t="s">
        <v>18</v>
      </c>
      <c r="AC20" s="170">
        <v>3.8</v>
      </c>
      <c r="AD20" s="177"/>
      <c r="AG20" s="178"/>
      <c r="AL20" s="177"/>
      <c r="AO20" s="178"/>
      <c r="AP20" s="177"/>
      <c r="AS20" s="178"/>
      <c r="AW20" s="178"/>
      <c r="BA20" s="179"/>
    </row>
    <row r="21" spans="1:53" s="170" customFormat="1" x14ac:dyDescent="0.15">
      <c r="A21" s="215">
        <v>1965</v>
      </c>
      <c r="B21" s="281"/>
      <c r="C21" s="369" t="s">
        <v>376</v>
      </c>
      <c r="D21" s="369"/>
      <c r="E21" s="170">
        <v>365</v>
      </c>
      <c r="G21" s="232">
        <v>16</v>
      </c>
      <c r="J21" s="240">
        <v>22</v>
      </c>
      <c r="K21" s="213">
        <f t="shared" si="0"/>
        <v>72.727272727272734</v>
      </c>
      <c r="L21" s="213">
        <f t="shared" si="1"/>
        <v>0</v>
      </c>
      <c r="M21" s="213">
        <f t="shared" si="2"/>
        <v>0</v>
      </c>
      <c r="N21" s="234">
        <f t="shared" si="3"/>
        <v>72.727272727272734</v>
      </c>
      <c r="O21" s="212">
        <v>49.5</v>
      </c>
      <c r="P21" s="213">
        <v>3.8</v>
      </c>
      <c r="Q21" s="213"/>
      <c r="R21" s="214">
        <f t="shared" si="4"/>
        <v>53.3</v>
      </c>
      <c r="S21" s="170">
        <v>2</v>
      </c>
      <c r="T21" s="283"/>
      <c r="U21" s="281"/>
      <c r="V21" s="177" t="s">
        <v>371</v>
      </c>
      <c r="W21" s="170" t="s">
        <v>75</v>
      </c>
      <c r="X21" s="170" t="s">
        <v>11</v>
      </c>
      <c r="Y21" s="178">
        <v>49.5</v>
      </c>
      <c r="Z21" s="177" t="s">
        <v>122</v>
      </c>
      <c r="AA21" s="170" t="s">
        <v>76</v>
      </c>
      <c r="AB21" s="170" t="s">
        <v>18</v>
      </c>
      <c r="AC21" s="170">
        <v>3.8</v>
      </c>
      <c r="AD21" s="177"/>
      <c r="AG21" s="178"/>
      <c r="AL21" s="177"/>
      <c r="AO21" s="178"/>
      <c r="AP21" s="177"/>
      <c r="AS21" s="178"/>
      <c r="AW21" s="178"/>
      <c r="BA21" s="179"/>
    </row>
    <row r="22" spans="1:53" s="170" customFormat="1" x14ac:dyDescent="0.15">
      <c r="A22" s="215">
        <v>1966</v>
      </c>
      <c r="B22" s="281"/>
      <c r="C22" s="369" t="s">
        <v>376</v>
      </c>
      <c r="D22" s="369"/>
      <c r="E22" s="170">
        <v>8</v>
      </c>
      <c r="G22" s="232">
        <v>16</v>
      </c>
      <c r="J22" s="240">
        <v>22</v>
      </c>
      <c r="K22" s="213">
        <f t="shared" si="0"/>
        <v>72.727272727272734</v>
      </c>
      <c r="L22" s="213">
        <f t="shared" si="1"/>
        <v>0</v>
      </c>
      <c r="M22" s="213">
        <f t="shared" si="2"/>
        <v>0</v>
      </c>
      <c r="N22" s="234">
        <f t="shared" si="3"/>
        <v>72.727272727272734</v>
      </c>
      <c r="O22" s="212">
        <v>49.5</v>
      </c>
      <c r="P22" s="213">
        <v>3.8</v>
      </c>
      <c r="Q22" s="213"/>
      <c r="R22" s="214">
        <f t="shared" si="4"/>
        <v>53.3</v>
      </c>
      <c r="S22" s="170">
        <v>2</v>
      </c>
      <c r="T22" s="283"/>
      <c r="U22" s="281"/>
      <c r="V22" s="177" t="s">
        <v>371</v>
      </c>
      <c r="W22" s="170" t="s">
        <v>75</v>
      </c>
      <c r="X22" s="170" t="s">
        <v>11</v>
      </c>
      <c r="Y22" s="178">
        <v>49.5</v>
      </c>
      <c r="Z22" s="177" t="s">
        <v>122</v>
      </c>
      <c r="AA22" s="170" t="s">
        <v>76</v>
      </c>
      <c r="AB22" s="170" t="s">
        <v>18</v>
      </c>
      <c r="AC22" s="170">
        <v>3.8</v>
      </c>
      <c r="AD22" s="177"/>
      <c r="AG22" s="178"/>
      <c r="AL22" s="177"/>
      <c r="AO22" s="178"/>
      <c r="AP22" s="177"/>
      <c r="AS22" s="178"/>
      <c r="AW22" s="178"/>
      <c r="BA22" s="179"/>
    </row>
    <row r="23" spans="1:53" s="28" customFormat="1" x14ac:dyDescent="0.15">
      <c r="A23" s="51">
        <v>1966</v>
      </c>
      <c r="B23" s="293">
        <v>24116</v>
      </c>
      <c r="C23" s="370" t="s">
        <v>377</v>
      </c>
      <c r="D23" s="370"/>
      <c r="E23" s="28">
        <v>357</v>
      </c>
      <c r="F23" s="28">
        <v>1</v>
      </c>
      <c r="G23" s="65">
        <v>12</v>
      </c>
      <c r="J23" s="72">
        <v>18</v>
      </c>
      <c r="K23" s="46">
        <f t="shared" si="0"/>
        <v>66.666666666666657</v>
      </c>
      <c r="L23" s="46">
        <f t="shared" si="1"/>
        <v>0</v>
      </c>
      <c r="M23" s="46">
        <f t="shared" si="2"/>
        <v>0</v>
      </c>
      <c r="N23" s="67">
        <f t="shared" si="3"/>
        <v>66.666666666666657</v>
      </c>
      <c r="O23" s="45">
        <v>49.5</v>
      </c>
      <c r="P23" s="46">
        <v>3.8</v>
      </c>
      <c r="Q23" s="46"/>
      <c r="R23" s="47">
        <f t="shared" si="4"/>
        <v>53.3</v>
      </c>
      <c r="S23" s="28">
        <v>2</v>
      </c>
      <c r="T23" s="284"/>
      <c r="U23" s="293">
        <v>24116</v>
      </c>
      <c r="V23" s="37" t="s">
        <v>371</v>
      </c>
      <c r="W23" s="28" t="s">
        <v>75</v>
      </c>
      <c r="X23" s="28" t="s">
        <v>11</v>
      </c>
      <c r="Y23" s="38">
        <v>49.5</v>
      </c>
      <c r="Z23" s="37" t="s">
        <v>122</v>
      </c>
      <c r="AA23" s="28" t="s">
        <v>76</v>
      </c>
      <c r="AB23" s="28" t="s">
        <v>18</v>
      </c>
      <c r="AC23" s="28">
        <v>3.8</v>
      </c>
      <c r="AD23" s="37"/>
      <c r="AG23" s="38"/>
      <c r="AL23" s="37"/>
      <c r="AO23" s="38"/>
      <c r="AP23" s="37"/>
      <c r="AS23" s="38"/>
      <c r="AW23" s="38"/>
      <c r="BA23" s="39"/>
    </row>
    <row r="24" spans="1:53" s="28" customFormat="1" x14ac:dyDescent="0.15">
      <c r="A24" s="51">
        <v>1967</v>
      </c>
      <c r="B24" s="293"/>
      <c r="C24" s="370" t="s">
        <v>377</v>
      </c>
      <c r="D24" s="370"/>
      <c r="E24" s="28">
        <v>97</v>
      </c>
      <c r="G24" s="65">
        <v>12</v>
      </c>
      <c r="J24" s="72">
        <v>18</v>
      </c>
      <c r="K24" s="46">
        <f t="shared" si="0"/>
        <v>66.666666666666657</v>
      </c>
      <c r="L24" s="46">
        <f t="shared" si="1"/>
        <v>0</v>
      </c>
      <c r="M24" s="46">
        <f t="shared" si="2"/>
        <v>0</v>
      </c>
      <c r="N24" s="67">
        <f t="shared" si="3"/>
        <v>66.666666666666657</v>
      </c>
      <c r="O24" s="45">
        <v>49.5</v>
      </c>
      <c r="P24" s="46">
        <v>3.8</v>
      </c>
      <c r="Q24" s="46"/>
      <c r="R24" s="47">
        <f t="shared" si="4"/>
        <v>53.3</v>
      </c>
      <c r="S24" s="28">
        <v>2</v>
      </c>
      <c r="T24" s="284"/>
      <c r="U24" s="293"/>
      <c r="V24" s="37" t="s">
        <v>371</v>
      </c>
      <c r="W24" s="28" t="s">
        <v>75</v>
      </c>
      <c r="X24" s="28" t="s">
        <v>11</v>
      </c>
      <c r="Y24" s="38">
        <v>49.5</v>
      </c>
      <c r="Z24" s="37" t="s">
        <v>122</v>
      </c>
      <c r="AA24" s="28" t="s">
        <v>76</v>
      </c>
      <c r="AB24" s="28" t="s">
        <v>18</v>
      </c>
      <c r="AC24" s="28">
        <v>3.8</v>
      </c>
      <c r="AD24" s="37"/>
      <c r="AG24" s="38"/>
      <c r="AL24" s="37"/>
      <c r="AO24" s="38"/>
      <c r="AP24" s="37"/>
      <c r="AS24" s="38"/>
      <c r="AW24" s="38"/>
      <c r="BA24" s="39"/>
    </row>
    <row r="25" spans="1:53" s="170" customFormat="1" x14ac:dyDescent="0.15">
      <c r="A25" s="215">
        <v>1967</v>
      </c>
      <c r="B25" s="281">
        <v>24570</v>
      </c>
      <c r="C25" s="369" t="s">
        <v>378</v>
      </c>
      <c r="D25" s="369"/>
      <c r="E25" s="170">
        <v>268</v>
      </c>
      <c r="F25" s="170">
        <v>2</v>
      </c>
      <c r="G25" s="232">
        <v>12</v>
      </c>
      <c r="H25" s="170">
        <v>6</v>
      </c>
      <c r="J25" s="240">
        <v>22</v>
      </c>
      <c r="K25" s="213">
        <f t="shared" si="0"/>
        <v>54.54545454545454</v>
      </c>
      <c r="L25" s="213">
        <f t="shared" si="1"/>
        <v>27.27272727272727</v>
      </c>
      <c r="M25" s="213">
        <f t="shared" si="2"/>
        <v>0</v>
      </c>
      <c r="N25" s="234">
        <f t="shared" si="3"/>
        <v>81.818181818181813</v>
      </c>
      <c r="O25" s="212">
        <v>40.6</v>
      </c>
      <c r="P25" s="213">
        <v>8.6999999999999993</v>
      </c>
      <c r="Q25" s="213"/>
      <c r="R25" s="214">
        <f t="shared" si="4"/>
        <v>49.3</v>
      </c>
      <c r="S25" s="170">
        <v>5</v>
      </c>
      <c r="T25" s="283">
        <v>24536</v>
      </c>
      <c r="U25" s="281">
        <v>24570</v>
      </c>
      <c r="V25" s="177" t="s">
        <v>371</v>
      </c>
      <c r="W25" s="170" t="s">
        <v>75</v>
      </c>
      <c r="X25" s="170" t="s">
        <v>11</v>
      </c>
      <c r="Y25" s="170">
        <v>40.6</v>
      </c>
      <c r="Z25" s="177" t="s">
        <v>122</v>
      </c>
      <c r="AA25" s="170" t="s">
        <v>76</v>
      </c>
      <c r="AB25" s="170" t="s">
        <v>18</v>
      </c>
      <c r="AC25" s="170">
        <v>8.6999999999999993</v>
      </c>
      <c r="AD25" s="177"/>
      <c r="AG25" s="178"/>
      <c r="AL25" s="177"/>
      <c r="AO25" s="178"/>
      <c r="AP25" s="177"/>
      <c r="AS25" s="178"/>
      <c r="AW25" s="178"/>
      <c r="BA25" s="179"/>
    </row>
    <row r="26" spans="1:53" s="170" customFormat="1" x14ac:dyDescent="0.15">
      <c r="A26" s="215">
        <v>1968</v>
      </c>
      <c r="B26" s="281"/>
      <c r="C26" s="369" t="s">
        <v>378</v>
      </c>
      <c r="D26" s="369"/>
      <c r="E26" s="170">
        <v>151</v>
      </c>
      <c r="G26" s="232">
        <v>12</v>
      </c>
      <c r="H26" s="170">
        <v>6</v>
      </c>
      <c r="J26" s="240">
        <v>22</v>
      </c>
      <c r="K26" s="213">
        <f t="shared" si="0"/>
        <v>54.54545454545454</v>
      </c>
      <c r="L26" s="213">
        <f t="shared" si="1"/>
        <v>27.27272727272727</v>
      </c>
      <c r="M26" s="213">
        <f t="shared" si="2"/>
        <v>0</v>
      </c>
      <c r="N26" s="234">
        <f t="shared" si="3"/>
        <v>81.818181818181813</v>
      </c>
      <c r="O26" s="212">
        <v>40.6</v>
      </c>
      <c r="P26" s="213">
        <v>8.6999999999999993</v>
      </c>
      <c r="Q26" s="213"/>
      <c r="R26" s="214">
        <f t="shared" si="4"/>
        <v>49.3</v>
      </c>
      <c r="S26" s="170">
        <v>5</v>
      </c>
      <c r="T26" s="283"/>
      <c r="U26" s="281"/>
      <c r="V26" s="177" t="s">
        <v>371</v>
      </c>
      <c r="W26" s="170" t="s">
        <v>75</v>
      </c>
      <c r="X26" s="170" t="s">
        <v>11</v>
      </c>
      <c r="Y26" s="170">
        <v>40.6</v>
      </c>
      <c r="Z26" s="177" t="s">
        <v>122</v>
      </c>
      <c r="AA26" s="170" t="s">
        <v>76</v>
      </c>
      <c r="AB26" s="170" t="s">
        <v>18</v>
      </c>
      <c r="AC26" s="170">
        <v>8.6999999999999993</v>
      </c>
      <c r="AD26" s="177"/>
      <c r="AG26" s="178"/>
      <c r="AL26" s="177"/>
      <c r="AO26" s="178"/>
      <c r="AP26" s="177"/>
      <c r="AS26" s="178"/>
      <c r="AW26" s="178"/>
      <c r="BA26" s="179"/>
    </row>
    <row r="27" spans="1:53" s="28" customFormat="1" x14ac:dyDescent="0.15">
      <c r="A27" s="51">
        <v>1968</v>
      </c>
      <c r="B27" s="293">
        <v>24989</v>
      </c>
      <c r="C27" s="370" t="s">
        <v>379</v>
      </c>
      <c r="D27" s="370"/>
      <c r="E27" s="28">
        <v>42</v>
      </c>
      <c r="F27" s="28">
        <v>6</v>
      </c>
      <c r="G27" s="65">
        <v>14</v>
      </c>
      <c r="H27" s="28">
        <v>3</v>
      </c>
      <c r="J27" s="72">
        <v>22</v>
      </c>
      <c r="K27" s="46">
        <f t="shared" si="0"/>
        <v>63.636363636363633</v>
      </c>
      <c r="L27" s="46">
        <f t="shared" si="1"/>
        <v>13.636363636363635</v>
      </c>
      <c r="M27" s="46">
        <f t="shared" si="2"/>
        <v>0</v>
      </c>
      <c r="N27" s="67">
        <f t="shared" si="3"/>
        <v>77.272727272727266</v>
      </c>
      <c r="O27" s="45">
        <v>40.6</v>
      </c>
      <c r="P27" s="46">
        <v>8.6999999999999993</v>
      </c>
      <c r="Q27" s="46"/>
      <c r="R27" s="47">
        <f t="shared" si="4"/>
        <v>49.3</v>
      </c>
      <c r="S27" s="28">
        <v>5</v>
      </c>
      <c r="T27" s="284"/>
      <c r="U27" s="293">
        <v>24989</v>
      </c>
      <c r="V27" s="37" t="s">
        <v>371</v>
      </c>
      <c r="W27" s="28" t="s">
        <v>75</v>
      </c>
      <c r="X27" s="28" t="s">
        <v>11</v>
      </c>
      <c r="Y27" s="28">
        <v>40.6</v>
      </c>
      <c r="Z27" s="37" t="s">
        <v>122</v>
      </c>
      <c r="AA27" s="28" t="s">
        <v>76</v>
      </c>
      <c r="AB27" s="28" t="s">
        <v>18</v>
      </c>
      <c r="AC27" s="28">
        <v>8.6999999999999993</v>
      </c>
      <c r="AD27" s="37"/>
      <c r="AG27" s="38"/>
      <c r="AL27" s="37"/>
      <c r="AO27" s="38"/>
      <c r="AP27" s="37"/>
      <c r="AS27" s="38"/>
      <c r="AW27" s="38"/>
      <c r="BA27" s="39"/>
    </row>
    <row r="28" spans="1:53" s="170" customFormat="1" x14ac:dyDescent="0.15">
      <c r="A28" s="215">
        <v>1968</v>
      </c>
      <c r="B28" s="281">
        <v>25031</v>
      </c>
      <c r="C28" s="369" t="s">
        <v>380</v>
      </c>
      <c r="D28" s="369"/>
      <c r="E28" s="170">
        <v>173</v>
      </c>
      <c r="F28" s="170">
        <v>1</v>
      </c>
      <c r="G28" s="232">
        <v>14</v>
      </c>
      <c r="H28" s="170">
        <v>2</v>
      </c>
      <c r="J28" s="240">
        <v>19</v>
      </c>
      <c r="K28" s="213">
        <f t="shared" si="0"/>
        <v>73.68421052631578</v>
      </c>
      <c r="L28" s="213">
        <f t="shared" si="1"/>
        <v>10.526315789473683</v>
      </c>
      <c r="M28" s="213">
        <f t="shared" si="2"/>
        <v>0</v>
      </c>
      <c r="N28" s="234">
        <f t="shared" si="3"/>
        <v>84.210526315789465</v>
      </c>
      <c r="O28" s="212">
        <v>60</v>
      </c>
      <c r="P28" s="213">
        <v>13.6</v>
      </c>
      <c r="Q28" s="213"/>
      <c r="R28" s="214">
        <f t="shared" si="4"/>
        <v>73.599999999999994</v>
      </c>
      <c r="S28" s="170">
        <v>3</v>
      </c>
      <c r="T28" s="283">
        <v>25012</v>
      </c>
      <c r="U28" s="281">
        <v>25031</v>
      </c>
      <c r="V28" s="177" t="s">
        <v>371</v>
      </c>
      <c r="W28" s="170" t="s">
        <v>75</v>
      </c>
      <c r="X28" s="170" t="s">
        <v>11</v>
      </c>
      <c r="Y28" s="170">
        <v>60</v>
      </c>
      <c r="Z28" s="177" t="s">
        <v>122</v>
      </c>
      <c r="AA28" s="170" t="s">
        <v>76</v>
      </c>
      <c r="AB28" s="170" t="s">
        <v>18</v>
      </c>
      <c r="AC28" s="170">
        <v>13.6</v>
      </c>
      <c r="AD28" s="177"/>
      <c r="AG28" s="178"/>
      <c r="AL28" s="177"/>
      <c r="AO28" s="178"/>
      <c r="AP28" s="177"/>
      <c r="AS28" s="178"/>
      <c r="AW28" s="178"/>
      <c r="BA28" s="179"/>
    </row>
    <row r="29" spans="1:53" s="170" customFormat="1" x14ac:dyDescent="0.15">
      <c r="A29" s="215">
        <v>1969</v>
      </c>
      <c r="B29" s="281"/>
      <c r="C29" s="369" t="s">
        <v>380</v>
      </c>
      <c r="D29" s="369"/>
      <c r="E29" s="170">
        <v>172</v>
      </c>
      <c r="G29" s="232">
        <v>14</v>
      </c>
      <c r="H29" s="170">
        <v>2</v>
      </c>
      <c r="J29" s="240">
        <v>19</v>
      </c>
      <c r="K29" s="213">
        <f t="shared" si="0"/>
        <v>73.68421052631578</v>
      </c>
      <c r="L29" s="213">
        <f t="shared" si="1"/>
        <v>10.526315789473683</v>
      </c>
      <c r="M29" s="213">
        <f t="shared" si="2"/>
        <v>0</v>
      </c>
      <c r="N29" s="234">
        <f t="shared" si="3"/>
        <v>84.210526315789465</v>
      </c>
      <c r="O29" s="212">
        <v>60</v>
      </c>
      <c r="P29" s="213">
        <v>13.6</v>
      </c>
      <c r="Q29" s="213"/>
      <c r="R29" s="214">
        <f t="shared" si="4"/>
        <v>73.599999999999994</v>
      </c>
      <c r="S29" s="170">
        <v>3</v>
      </c>
      <c r="T29" s="283"/>
      <c r="U29" s="281"/>
      <c r="V29" s="177" t="s">
        <v>371</v>
      </c>
      <c r="W29" s="170" t="s">
        <v>75</v>
      </c>
      <c r="X29" s="170" t="s">
        <v>11</v>
      </c>
      <c r="Y29" s="170">
        <v>60</v>
      </c>
      <c r="Z29" s="177" t="s">
        <v>122</v>
      </c>
      <c r="AA29" s="170" t="s">
        <v>76</v>
      </c>
      <c r="AB29" s="170" t="s">
        <v>18</v>
      </c>
      <c r="AC29" s="170">
        <v>13.6</v>
      </c>
      <c r="AD29" s="177"/>
      <c r="AG29" s="178"/>
      <c r="AL29" s="177"/>
      <c r="AO29" s="178"/>
      <c r="AP29" s="177"/>
      <c r="AS29" s="178"/>
      <c r="AW29" s="178"/>
      <c r="BA29" s="179"/>
    </row>
    <row r="30" spans="1:53" s="28" customFormat="1" x14ac:dyDescent="0.15">
      <c r="A30" s="51">
        <v>1969</v>
      </c>
      <c r="B30" s="293">
        <v>25376</v>
      </c>
      <c r="C30" s="370" t="s">
        <v>381</v>
      </c>
      <c r="D30" s="370"/>
      <c r="E30" s="28">
        <v>193</v>
      </c>
      <c r="F30" s="28">
        <v>2</v>
      </c>
      <c r="G30" s="65">
        <v>16</v>
      </c>
      <c r="H30" s="28">
        <v>3</v>
      </c>
      <c r="J30" s="72">
        <v>19</v>
      </c>
      <c r="K30" s="46">
        <f t="shared" si="0"/>
        <v>84.210526315789465</v>
      </c>
      <c r="L30" s="46">
        <f t="shared" si="1"/>
        <v>15.789473684210526</v>
      </c>
      <c r="M30" s="46">
        <f t="shared" si="2"/>
        <v>0</v>
      </c>
      <c r="N30" s="67">
        <f t="shared" si="3"/>
        <v>99.999999999999986</v>
      </c>
      <c r="O30" s="45">
        <v>60</v>
      </c>
      <c r="P30" s="46">
        <v>19.100000000000001</v>
      </c>
      <c r="Q30" s="46"/>
      <c r="R30" s="47">
        <f t="shared" si="4"/>
        <v>79.099999999999994</v>
      </c>
      <c r="S30" s="28">
        <v>3</v>
      </c>
      <c r="T30" s="284"/>
      <c r="U30" s="293">
        <v>25376</v>
      </c>
      <c r="V30" s="37" t="s">
        <v>371</v>
      </c>
      <c r="W30" s="28" t="s">
        <v>75</v>
      </c>
      <c r="X30" s="28" t="s">
        <v>11</v>
      </c>
      <c r="Y30" s="28">
        <v>60</v>
      </c>
      <c r="Z30" s="37" t="s">
        <v>122</v>
      </c>
      <c r="AA30" s="28" t="s">
        <v>76</v>
      </c>
      <c r="AB30" s="28" t="s">
        <v>18</v>
      </c>
      <c r="AC30" s="28">
        <v>13.6</v>
      </c>
      <c r="AD30" s="37" t="s">
        <v>123</v>
      </c>
      <c r="AE30" s="28" t="s">
        <v>81</v>
      </c>
      <c r="AF30" s="28" t="s">
        <v>18</v>
      </c>
      <c r="AG30" s="38">
        <v>5.5</v>
      </c>
      <c r="AL30" s="37"/>
      <c r="AO30" s="38"/>
      <c r="AP30" s="37"/>
      <c r="AS30" s="38"/>
      <c r="AW30" s="38"/>
      <c r="BA30" s="39"/>
    </row>
    <row r="31" spans="1:53" s="28" customFormat="1" x14ac:dyDescent="0.15">
      <c r="A31" s="51">
        <v>1970</v>
      </c>
      <c r="B31" s="293"/>
      <c r="C31" s="370" t="s">
        <v>381</v>
      </c>
      <c r="D31" s="370"/>
      <c r="E31" s="28">
        <v>0</v>
      </c>
      <c r="G31" s="65">
        <v>16</v>
      </c>
      <c r="H31" s="28">
        <v>3</v>
      </c>
      <c r="J31" s="72">
        <v>19</v>
      </c>
      <c r="K31" s="46">
        <f t="shared" si="0"/>
        <v>84.210526315789465</v>
      </c>
      <c r="L31" s="46">
        <f t="shared" si="1"/>
        <v>15.789473684210526</v>
      </c>
      <c r="M31" s="46">
        <f t="shared" si="2"/>
        <v>0</v>
      </c>
      <c r="N31" s="67">
        <f t="shared" si="3"/>
        <v>99.999999999999986</v>
      </c>
      <c r="O31" s="45">
        <v>60</v>
      </c>
      <c r="P31" s="46">
        <v>19.100000000000001</v>
      </c>
      <c r="Q31" s="46"/>
      <c r="R31" s="47">
        <f t="shared" si="4"/>
        <v>79.099999999999994</v>
      </c>
      <c r="S31" s="28">
        <v>3</v>
      </c>
      <c r="T31" s="284"/>
      <c r="U31" s="293"/>
      <c r="V31" s="37" t="s">
        <v>371</v>
      </c>
      <c r="W31" s="28" t="s">
        <v>75</v>
      </c>
      <c r="X31" s="28" t="s">
        <v>11</v>
      </c>
      <c r="Y31" s="28">
        <v>60</v>
      </c>
      <c r="Z31" s="37" t="s">
        <v>122</v>
      </c>
      <c r="AA31" s="28" t="s">
        <v>76</v>
      </c>
      <c r="AB31" s="28" t="s">
        <v>18</v>
      </c>
      <c r="AC31" s="28">
        <v>13.6</v>
      </c>
      <c r="AD31" s="37" t="s">
        <v>123</v>
      </c>
      <c r="AE31" s="28" t="s">
        <v>81</v>
      </c>
      <c r="AF31" s="28" t="s">
        <v>18</v>
      </c>
      <c r="AG31" s="38">
        <v>5.5</v>
      </c>
      <c r="AL31" s="37"/>
      <c r="AO31" s="38"/>
      <c r="AP31" s="37"/>
      <c r="AS31" s="38"/>
      <c r="AW31" s="38"/>
      <c r="BA31" s="39"/>
    </row>
    <row r="32" spans="1:53" s="28" customFormat="1" x14ac:dyDescent="0.15">
      <c r="A32" s="51">
        <v>1970</v>
      </c>
      <c r="B32" s="293"/>
      <c r="C32" s="370" t="s">
        <v>381</v>
      </c>
      <c r="D32" s="370"/>
      <c r="E32" s="28">
        <v>365</v>
      </c>
      <c r="G32" s="65">
        <v>16</v>
      </c>
      <c r="H32" s="28">
        <v>3</v>
      </c>
      <c r="J32" s="72">
        <v>19</v>
      </c>
      <c r="K32" s="46">
        <f t="shared" si="0"/>
        <v>84.210526315789465</v>
      </c>
      <c r="L32" s="46">
        <f t="shared" si="1"/>
        <v>15.789473684210526</v>
      </c>
      <c r="M32" s="46">
        <f t="shared" si="2"/>
        <v>0</v>
      </c>
      <c r="N32" s="67">
        <f t="shared" si="3"/>
        <v>99.999999999999986</v>
      </c>
      <c r="O32" s="45">
        <v>60</v>
      </c>
      <c r="P32" s="46">
        <v>19.100000000000001</v>
      </c>
      <c r="Q32" s="46"/>
      <c r="R32" s="47">
        <f t="shared" si="4"/>
        <v>79.099999999999994</v>
      </c>
      <c r="S32" s="28">
        <v>3</v>
      </c>
      <c r="T32" s="284"/>
      <c r="U32" s="293"/>
      <c r="V32" s="37" t="s">
        <v>371</v>
      </c>
      <c r="W32" s="28" t="s">
        <v>75</v>
      </c>
      <c r="X32" s="28" t="s">
        <v>11</v>
      </c>
      <c r="Y32" s="28">
        <v>60</v>
      </c>
      <c r="Z32" s="37" t="s">
        <v>122</v>
      </c>
      <c r="AA32" s="28" t="s">
        <v>76</v>
      </c>
      <c r="AB32" s="28" t="s">
        <v>18</v>
      </c>
      <c r="AC32" s="28">
        <v>13.6</v>
      </c>
      <c r="AD32" s="37" t="s">
        <v>123</v>
      </c>
      <c r="AE32" s="28" t="s">
        <v>81</v>
      </c>
      <c r="AF32" s="28" t="s">
        <v>18</v>
      </c>
      <c r="AG32" s="38">
        <v>5.5</v>
      </c>
      <c r="AL32" s="37"/>
      <c r="AO32" s="38"/>
      <c r="AP32" s="37"/>
      <c r="AS32" s="38"/>
      <c r="AW32" s="38"/>
      <c r="BA32" s="39"/>
    </row>
    <row r="33" spans="1:53" s="28" customFormat="1" x14ac:dyDescent="0.15">
      <c r="A33" s="51">
        <v>1971</v>
      </c>
      <c r="B33" s="293"/>
      <c r="C33" s="370" t="s">
        <v>381</v>
      </c>
      <c r="D33" s="370"/>
      <c r="E33" s="28">
        <v>0</v>
      </c>
      <c r="G33" s="65">
        <v>16</v>
      </c>
      <c r="H33" s="28">
        <v>3</v>
      </c>
      <c r="J33" s="72">
        <v>19</v>
      </c>
      <c r="K33" s="46">
        <f t="shared" si="0"/>
        <v>84.210526315789465</v>
      </c>
      <c r="L33" s="46">
        <f t="shared" si="1"/>
        <v>15.789473684210526</v>
      </c>
      <c r="M33" s="46">
        <f t="shared" si="2"/>
        <v>0</v>
      </c>
      <c r="N33" s="67">
        <f t="shared" si="3"/>
        <v>99.999999999999986</v>
      </c>
      <c r="O33" s="45">
        <v>60</v>
      </c>
      <c r="P33" s="46">
        <v>19.100000000000001</v>
      </c>
      <c r="Q33" s="46"/>
      <c r="R33" s="47">
        <f t="shared" si="4"/>
        <v>79.099999999999994</v>
      </c>
      <c r="S33" s="28">
        <v>3</v>
      </c>
      <c r="T33" s="284"/>
      <c r="U33" s="293"/>
      <c r="V33" s="37" t="s">
        <v>371</v>
      </c>
      <c r="W33" s="28" t="s">
        <v>75</v>
      </c>
      <c r="X33" s="28" t="s">
        <v>11</v>
      </c>
      <c r="Y33" s="28">
        <v>60</v>
      </c>
      <c r="Z33" s="37" t="s">
        <v>122</v>
      </c>
      <c r="AA33" s="28" t="s">
        <v>76</v>
      </c>
      <c r="AB33" s="28" t="s">
        <v>18</v>
      </c>
      <c r="AC33" s="28">
        <v>13.6</v>
      </c>
      <c r="AD33" s="37" t="s">
        <v>123</v>
      </c>
      <c r="AE33" s="28" t="s">
        <v>81</v>
      </c>
      <c r="AF33" s="28" t="s">
        <v>18</v>
      </c>
      <c r="AG33" s="38">
        <v>5.5</v>
      </c>
      <c r="AL33" s="37"/>
      <c r="AO33" s="38"/>
      <c r="AP33" s="37"/>
      <c r="AS33" s="38"/>
      <c r="AW33" s="38"/>
      <c r="BA33" s="39"/>
    </row>
    <row r="34" spans="1:53" s="28" customFormat="1" x14ac:dyDescent="0.15">
      <c r="A34" s="51">
        <v>1971</v>
      </c>
      <c r="B34" s="293"/>
      <c r="C34" s="370" t="s">
        <v>381</v>
      </c>
      <c r="D34" s="370"/>
      <c r="E34" s="28">
        <v>365</v>
      </c>
      <c r="G34" s="65">
        <v>16</v>
      </c>
      <c r="H34" s="28">
        <v>3</v>
      </c>
      <c r="J34" s="72">
        <v>19</v>
      </c>
      <c r="K34" s="46">
        <f t="shared" si="0"/>
        <v>84.210526315789465</v>
      </c>
      <c r="L34" s="46">
        <f t="shared" si="1"/>
        <v>15.789473684210526</v>
      </c>
      <c r="M34" s="46">
        <f t="shared" si="2"/>
        <v>0</v>
      </c>
      <c r="N34" s="67">
        <f t="shared" si="3"/>
        <v>99.999999999999986</v>
      </c>
      <c r="O34" s="45">
        <v>60</v>
      </c>
      <c r="P34" s="46">
        <v>19.100000000000001</v>
      </c>
      <c r="Q34" s="46"/>
      <c r="R34" s="47">
        <f t="shared" si="4"/>
        <v>79.099999999999994</v>
      </c>
      <c r="S34" s="28">
        <v>3</v>
      </c>
      <c r="T34" s="284"/>
      <c r="U34" s="293"/>
      <c r="V34" s="37" t="s">
        <v>371</v>
      </c>
      <c r="W34" s="28" t="s">
        <v>75</v>
      </c>
      <c r="X34" s="28" t="s">
        <v>11</v>
      </c>
      <c r="Y34" s="28">
        <v>60</v>
      </c>
      <c r="Z34" s="37" t="s">
        <v>122</v>
      </c>
      <c r="AA34" s="28" t="s">
        <v>76</v>
      </c>
      <c r="AB34" s="28" t="s">
        <v>18</v>
      </c>
      <c r="AC34" s="28">
        <v>13.6</v>
      </c>
      <c r="AD34" s="37" t="s">
        <v>123</v>
      </c>
      <c r="AE34" s="28" t="s">
        <v>81</v>
      </c>
      <c r="AF34" s="28" t="s">
        <v>18</v>
      </c>
      <c r="AG34" s="38">
        <v>5.5</v>
      </c>
      <c r="AL34" s="37"/>
      <c r="AO34" s="38"/>
      <c r="AP34" s="37"/>
      <c r="AS34" s="38"/>
      <c r="AW34" s="38"/>
      <c r="BA34" s="39"/>
    </row>
    <row r="35" spans="1:53" s="28" customFormat="1" x14ac:dyDescent="0.15">
      <c r="A35" s="51">
        <v>1972</v>
      </c>
      <c r="B35" s="293"/>
      <c r="C35" s="370" t="s">
        <v>381</v>
      </c>
      <c r="D35" s="370"/>
      <c r="E35" s="28">
        <v>188</v>
      </c>
      <c r="G35" s="65">
        <v>16</v>
      </c>
      <c r="H35" s="28">
        <v>3</v>
      </c>
      <c r="J35" s="72">
        <v>19</v>
      </c>
      <c r="K35" s="46">
        <f t="shared" si="0"/>
        <v>84.210526315789465</v>
      </c>
      <c r="L35" s="46">
        <f t="shared" si="1"/>
        <v>15.789473684210526</v>
      </c>
      <c r="M35" s="46">
        <f t="shared" si="2"/>
        <v>0</v>
      </c>
      <c r="N35" s="67">
        <f t="shared" si="3"/>
        <v>99.999999999999986</v>
      </c>
      <c r="O35" s="45">
        <v>60</v>
      </c>
      <c r="P35" s="46">
        <v>19.100000000000001</v>
      </c>
      <c r="Q35" s="46"/>
      <c r="R35" s="47">
        <f t="shared" si="4"/>
        <v>79.099999999999994</v>
      </c>
      <c r="S35" s="28">
        <v>3</v>
      </c>
      <c r="T35" s="284"/>
      <c r="U35" s="293"/>
      <c r="V35" s="37" t="s">
        <v>371</v>
      </c>
      <c r="W35" s="28" t="s">
        <v>75</v>
      </c>
      <c r="X35" s="28" t="s">
        <v>11</v>
      </c>
      <c r="Y35" s="28">
        <v>60</v>
      </c>
      <c r="Z35" s="37" t="s">
        <v>122</v>
      </c>
      <c r="AA35" s="28" t="s">
        <v>76</v>
      </c>
      <c r="AB35" s="28" t="s">
        <v>18</v>
      </c>
      <c r="AC35" s="28">
        <v>13.6</v>
      </c>
      <c r="AD35" s="37" t="s">
        <v>123</v>
      </c>
      <c r="AE35" s="28" t="s">
        <v>81</v>
      </c>
      <c r="AF35" s="28" t="s">
        <v>18</v>
      </c>
      <c r="AG35" s="38">
        <v>5.5</v>
      </c>
      <c r="AL35" s="37"/>
      <c r="AO35" s="38"/>
      <c r="AP35" s="37"/>
      <c r="AS35" s="38"/>
      <c r="AW35" s="38"/>
      <c r="BA35" s="39"/>
    </row>
    <row r="36" spans="1:53" s="170" customFormat="1" x14ac:dyDescent="0.15">
      <c r="A36" s="215">
        <v>1972</v>
      </c>
      <c r="B36" s="281">
        <v>26487</v>
      </c>
      <c r="C36" s="369" t="s">
        <v>382</v>
      </c>
      <c r="D36" s="369"/>
      <c r="E36" s="170">
        <v>178</v>
      </c>
      <c r="F36" s="170">
        <v>6</v>
      </c>
      <c r="G36" s="232">
        <v>17</v>
      </c>
      <c r="H36" s="170">
        <v>3</v>
      </c>
      <c r="J36" s="240">
        <v>20</v>
      </c>
      <c r="K36" s="213">
        <f t="shared" si="0"/>
        <v>85</v>
      </c>
      <c r="L36" s="213">
        <f t="shared" si="1"/>
        <v>15</v>
      </c>
      <c r="M36" s="213">
        <f t="shared" si="2"/>
        <v>0</v>
      </c>
      <c r="N36" s="234">
        <f t="shared" si="3"/>
        <v>100</v>
      </c>
      <c r="O36" s="212">
        <v>60</v>
      </c>
      <c r="P36" s="213">
        <v>19.100000000000001</v>
      </c>
      <c r="Q36" s="213"/>
      <c r="R36" s="214">
        <f t="shared" si="4"/>
        <v>79.099999999999994</v>
      </c>
      <c r="S36" s="170">
        <v>3</v>
      </c>
      <c r="T36" s="283"/>
      <c r="U36" s="281">
        <v>26487</v>
      </c>
      <c r="V36" s="177" t="s">
        <v>371</v>
      </c>
      <c r="W36" s="170" t="s">
        <v>75</v>
      </c>
      <c r="X36" s="170" t="s">
        <v>11</v>
      </c>
      <c r="Y36" s="170">
        <v>60</v>
      </c>
      <c r="Z36" s="177" t="s">
        <v>122</v>
      </c>
      <c r="AA36" s="170" t="s">
        <v>76</v>
      </c>
      <c r="AB36" s="170" t="s">
        <v>18</v>
      </c>
      <c r="AC36" s="170">
        <v>13.6</v>
      </c>
      <c r="AD36" s="177" t="s">
        <v>123</v>
      </c>
      <c r="AE36" s="170" t="s">
        <v>81</v>
      </c>
      <c r="AF36" s="170" t="s">
        <v>18</v>
      </c>
      <c r="AG36" s="178">
        <v>5.5</v>
      </c>
      <c r="AL36" s="177"/>
      <c r="AO36" s="178"/>
      <c r="AP36" s="177"/>
      <c r="AS36" s="178"/>
      <c r="AW36" s="178"/>
      <c r="BA36" s="179"/>
    </row>
    <row r="37" spans="1:53" s="170" customFormat="1" x14ac:dyDescent="0.15">
      <c r="A37" s="215">
        <v>1973</v>
      </c>
      <c r="B37" s="281"/>
      <c r="C37" s="369" t="s">
        <v>382</v>
      </c>
      <c r="D37" s="369"/>
      <c r="E37" s="170">
        <v>94</v>
      </c>
      <c r="G37" s="232">
        <v>17</v>
      </c>
      <c r="H37" s="170">
        <v>3</v>
      </c>
      <c r="J37" s="240">
        <v>20</v>
      </c>
      <c r="K37" s="213">
        <f t="shared" si="0"/>
        <v>85</v>
      </c>
      <c r="L37" s="213">
        <f t="shared" si="1"/>
        <v>15</v>
      </c>
      <c r="M37" s="213">
        <f t="shared" si="2"/>
        <v>0</v>
      </c>
      <c r="N37" s="234">
        <f t="shared" si="3"/>
        <v>100</v>
      </c>
      <c r="O37" s="212">
        <v>60</v>
      </c>
      <c r="P37" s="213">
        <v>19.100000000000001</v>
      </c>
      <c r="Q37" s="213"/>
      <c r="R37" s="214">
        <f t="shared" si="4"/>
        <v>79.099999999999994</v>
      </c>
      <c r="S37" s="170">
        <v>3</v>
      </c>
      <c r="T37" s="283"/>
      <c r="U37" s="281"/>
      <c r="V37" s="177" t="s">
        <v>371</v>
      </c>
      <c r="W37" s="170" t="s">
        <v>75</v>
      </c>
      <c r="X37" s="170" t="s">
        <v>11</v>
      </c>
      <c r="Y37" s="170">
        <v>60</v>
      </c>
      <c r="Z37" s="177" t="s">
        <v>122</v>
      </c>
      <c r="AA37" s="170" t="s">
        <v>76</v>
      </c>
      <c r="AB37" s="170" t="s">
        <v>18</v>
      </c>
      <c r="AC37" s="170">
        <v>13.6</v>
      </c>
      <c r="AD37" s="177" t="s">
        <v>123</v>
      </c>
      <c r="AE37" s="170" t="s">
        <v>81</v>
      </c>
      <c r="AF37" s="170" t="s">
        <v>18</v>
      </c>
      <c r="AG37" s="178">
        <v>5.5</v>
      </c>
      <c r="AL37" s="177"/>
      <c r="AO37" s="178"/>
      <c r="AP37" s="177"/>
      <c r="AS37" s="178"/>
      <c r="AW37" s="178"/>
      <c r="BA37" s="179"/>
    </row>
    <row r="38" spans="1:53" s="28" customFormat="1" x14ac:dyDescent="0.15">
      <c r="A38" s="51">
        <v>1973</v>
      </c>
      <c r="B38" s="293">
        <v>26759</v>
      </c>
      <c r="C38" s="370" t="s">
        <v>383</v>
      </c>
      <c r="D38" s="370"/>
      <c r="E38" s="28">
        <v>271</v>
      </c>
      <c r="F38" s="28">
        <v>1</v>
      </c>
      <c r="G38" s="65">
        <v>19</v>
      </c>
      <c r="J38" s="72">
        <v>22</v>
      </c>
      <c r="K38" s="46">
        <f t="shared" si="0"/>
        <v>86.36363636363636</v>
      </c>
      <c r="L38" s="46">
        <f t="shared" si="1"/>
        <v>0</v>
      </c>
      <c r="M38" s="46">
        <f t="shared" si="2"/>
        <v>0</v>
      </c>
      <c r="N38" s="67">
        <f t="shared" si="3"/>
        <v>86.36363636363636</v>
      </c>
      <c r="O38" s="45">
        <v>42</v>
      </c>
      <c r="P38" s="46">
        <v>11.4</v>
      </c>
      <c r="Q38" s="46"/>
      <c r="R38" s="47">
        <f t="shared" si="4"/>
        <v>53.4</v>
      </c>
      <c r="S38" s="28">
        <v>2</v>
      </c>
      <c r="T38" s="284">
        <v>26727</v>
      </c>
      <c r="U38" s="293">
        <v>26759</v>
      </c>
      <c r="V38" s="37" t="s">
        <v>371</v>
      </c>
      <c r="W38" s="28" t="s">
        <v>75</v>
      </c>
      <c r="X38" s="28" t="s">
        <v>11</v>
      </c>
      <c r="Y38" s="28">
        <v>37.6</v>
      </c>
      <c r="Z38" s="37" t="s">
        <v>122</v>
      </c>
      <c r="AA38" s="28" t="s">
        <v>76</v>
      </c>
      <c r="AB38" s="28" t="s">
        <v>18</v>
      </c>
      <c r="AC38" s="28">
        <v>11.4</v>
      </c>
      <c r="AD38" s="37" t="s">
        <v>124</v>
      </c>
      <c r="AE38" s="28" t="s">
        <v>79</v>
      </c>
      <c r="AF38" s="28" t="s">
        <v>11</v>
      </c>
      <c r="AG38" s="38">
        <v>4.4000000000000004</v>
      </c>
      <c r="AL38" s="37"/>
      <c r="AO38" s="38"/>
      <c r="AP38" s="37"/>
      <c r="AS38" s="38"/>
      <c r="AW38" s="38"/>
      <c r="BA38" s="39"/>
    </row>
    <row r="39" spans="1:53" s="28" customFormat="1" x14ac:dyDescent="0.15">
      <c r="A39" s="51">
        <v>1974</v>
      </c>
      <c r="B39" s="293"/>
      <c r="C39" s="370" t="s">
        <v>383</v>
      </c>
      <c r="D39" s="370"/>
      <c r="E39" s="28">
        <v>59</v>
      </c>
      <c r="G39" s="65">
        <v>19</v>
      </c>
      <c r="J39" s="72">
        <v>22</v>
      </c>
      <c r="K39" s="46">
        <f t="shared" si="0"/>
        <v>86.36363636363636</v>
      </c>
      <c r="L39" s="46">
        <f t="shared" si="1"/>
        <v>0</v>
      </c>
      <c r="M39" s="46">
        <f t="shared" si="2"/>
        <v>0</v>
      </c>
      <c r="N39" s="67">
        <f t="shared" si="3"/>
        <v>86.36363636363636</v>
      </c>
      <c r="O39" s="45">
        <v>42</v>
      </c>
      <c r="P39" s="46">
        <v>11.4</v>
      </c>
      <c r="Q39" s="46"/>
      <c r="R39" s="47">
        <f t="shared" si="4"/>
        <v>53.4</v>
      </c>
      <c r="S39" s="28">
        <v>2</v>
      </c>
      <c r="T39" s="284"/>
      <c r="U39" s="293"/>
      <c r="V39" s="37" t="s">
        <v>371</v>
      </c>
      <c r="W39" s="28" t="s">
        <v>75</v>
      </c>
      <c r="X39" s="28" t="s">
        <v>11</v>
      </c>
      <c r="Y39" s="28">
        <v>37.6</v>
      </c>
      <c r="Z39" s="37" t="s">
        <v>122</v>
      </c>
      <c r="AA39" s="28" t="s">
        <v>76</v>
      </c>
      <c r="AB39" s="28" t="s">
        <v>18</v>
      </c>
      <c r="AC39" s="28">
        <v>11.4</v>
      </c>
      <c r="AD39" s="37" t="s">
        <v>124</v>
      </c>
      <c r="AE39" s="28" t="s">
        <v>79</v>
      </c>
      <c r="AF39" s="28" t="s">
        <v>11</v>
      </c>
      <c r="AG39" s="38">
        <v>4.4000000000000004</v>
      </c>
      <c r="AL39" s="37"/>
      <c r="AO39" s="38"/>
      <c r="AP39" s="37"/>
      <c r="AS39" s="38"/>
      <c r="AW39" s="38"/>
      <c r="BA39" s="39"/>
    </row>
    <row r="40" spans="1:53" s="170" customFormat="1" x14ac:dyDescent="0.15">
      <c r="A40" s="215">
        <v>1974</v>
      </c>
      <c r="B40" s="281">
        <v>27089</v>
      </c>
      <c r="C40" s="369" t="s">
        <v>384</v>
      </c>
      <c r="D40" s="369"/>
      <c r="E40" s="170">
        <v>88</v>
      </c>
      <c r="F40" s="170">
        <v>7</v>
      </c>
      <c r="G40" s="232">
        <v>14</v>
      </c>
      <c r="J40" s="240">
        <v>16</v>
      </c>
      <c r="K40" s="213">
        <f t="shared" si="0"/>
        <v>87.5</v>
      </c>
      <c r="L40" s="213">
        <f t="shared" si="1"/>
        <v>0</v>
      </c>
      <c r="M40" s="213">
        <f t="shared" si="2"/>
        <v>0</v>
      </c>
      <c r="N40" s="234">
        <f t="shared" si="3"/>
        <v>87.5</v>
      </c>
      <c r="O40" s="212">
        <v>42</v>
      </c>
      <c r="P40" s="213">
        <v>11.4</v>
      </c>
      <c r="Q40" s="213"/>
      <c r="R40" s="214">
        <f t="shared" si="4"/>
        <v>53.4</v>
      </c>
      <c r="S40" s="170">
        <v>2</v>
      </c>
      <c r="T40" s="283"/>
      <c r="U40" s="281">
        <v>27089</v>
      </c>
      <c r="V40" s="177" t="s">
        <v>371</v>
      </c>
      <c r="W40" s="170" t="s">
        <v>75</v>
      </c>
      <c r="X40" s="170" t="s">
        <v>11</v>
      </c>
      <c r="Y40" s="170">
        <v>37.6</v>
      </c>
      <c r="Z40" s="177" t="s">
        <v>122</v>
      </c>
      <c r="AA40" s="170" t="s">
        <v>76</v>
      </c>
      <c r="AB40" s="170" t="s">
        <v>18</v>
      </c>
      <c r="AC40" s="170">
        <v>11.4</v>
      </c>
      <c r="AD40" s="177" t="s">
        <v>124</v>
      </c>
      <c r="AE40" s="170" t="s">
        <v>79</v>
      </c>
      <c r="AF40" s="170" t="s">
        <v>11</v>
      </c>
      <c r="AG40" s="178">
        <v>4.4000000000000004</v>
      </c>
      <c r="AL40" s="177"/>
      <c r="AO40" s="178"/>
      <c r="AP40" s="177"/>
      <c r="AS40" s="178"/>
      <c r="AW40" s="178"/>
      <c r="BA40" s="179"/>
    </row>
    <row r="41" spans="1:53" s="28" customFormat="1" x14ac:dyDescent="0.15">
      <c r="A41" s="51">
        <v>1974</v>
      </c>
      <c r="B41" s="293">
        <v>27177</v>
      </c>
      <c r="C41" s="370" t="s">
        <v>385</v>
      </c>
      <c r="D41" s="370"/>
      <c r="E41" s="28">
        <v>218</v>
      </c>
      <c r="F41" s="28">
        <v>1</v>
      </c>
      <c r="G41" s="65">
        <v>11</v>
      </c>
      <c r="H41" s="28">
        <v>1</v>
      </c>
      <c r="I41" s="28">
        <v>1</v>
      </c>
      <c r="J41" s="72">
        <v>16</v>
      </c>
      <c r="K41" s="46">
        <f t="shared" si="0"/>
        <v>68.75</v>
      </c>
      <c r="L41" s="46">
        <f t="shared" si="1"/>
        <v>6.25</v>
      </c>
      <c r="M41" s="46">
        <f t="shared" si="2"/>
        <v>6.25</v>
      </c>
      <c r="N41" s="67">
        <f t="shared" si="3"/>
        <v>81.25</v>
      </c>
      <c r="O41" s="45">
        <v>42</v>
      </c>
      <c r="P41" s="46">
        <v>11.4</v>
      </c>
      <c r="Q41" s="46">
        <v>2.2999999999999998</v>
      </c>
      <c r="R41" s="47">
        <f t="shared" si="4"/>
        <v>55.699999999999996</v>
      </c>
      <c r="S41" s="28">
        <v>3</v>
      </c>
      <c r="T41" s="284"/>
      <c r="U41" s="293">
        <v>27177</v>
      </c>
      <c r="V41" s="37" t="s">
        <v>371</v>
      </c>
      <c r="W41" s="28" t="s">
        <v>75</v>
      </c>
      <c r="X41" s="28" t="s">
        <v>11</v>
      </c>
      <c r="Y41" s="28">
        <v>37.6</v>
      </c>
      <c r="Z41" s="37" t="s">
        <v>122</v>
      </c>
      <c r="AA41" s="28" t="s">
        <v>76</v>
      </c>
      <c r="AB41" s="28" t="s">
        <v>18</v>
      </c>
      <c r="AC41" s="28">
        <v>11.4</v>
      </c>
      <c r="AD41" s="37" t="s">
        <v>124</v>
      </c>
      <c r="AE41" s="28" t="s">
        <v>79</v>
      </c>
      <c r="AF41" s="28" t="s">
        <v>11</v>
      </c>
      <c r="AG41" s="38">
        <v>4.4000000000000004</v>
      </c>
      <c r="AH41" s="28" t="s">
        <v>125</v>
      </c>
      <c r="AI41" s="28" t="s">
        <v>87</v>
      </c>
      <c r="AJ41" s="28" t="s">
        <v>12</v>
      </c>
      <c r="AK41" s="28">
        <v>2.2999999999999998</v>
      </c>
      <c r="AL41" s="37"/>
      <c r="AO41" s="38"/>
      <c r="AP41" s="37"/>
      <c r="AS41" s="38"/>
      <c r="AW41" s="38"/>
      <c r="BA41" s="39"/>
    </row>
    <row r="42" spans="1:53" s="28" customFormat="1" x14ac:dyDescent="0.15">
      <c r="A42" s="51">
        <v>1975</v>
      </c>
      <c r="B42" s="293"/>
      <c r="C42" s="370" t="s">
        <v>385</v>
      </c>
      <c r="D42" s="370"/>
      <c r="E42" s="28">
        <v>0</v>
      </c>
      <c r="G42" s="65">
        <v>11</v>
      </c>
      <c r="H42" s="28">
        <v>1</v>
      </c>
      <c r="I42" s="28">
        <v>1</v>
      </c>
      <c r="J42" s="72">
        <v>16</v>
      </c>
      <c r="K42" s="46">
        <f t="shared" si="0"/>
        <v>68.75</v>
      </c>
      <c r="L42" s="46">
        <f t="shared" si="1"/>
        <v>6.25</v>
      </c>
      <c r="M42" s="46">
        <f t="shared" si="2"/>
        <v>6.25</v>
      </c>
      <c r="N42" s="67">
        <f t="shared" si="3"/>
        <v>81.25</v>
      </c>
      <c r="O42" s="45">
        <v>42</v>
      </c>
      <c r="P42" s="46">
        <v>11.4</v>
      </c>
      <c r="Q42" s="46">
        <v>2.2999999999999998</v>
      </c>
      <c r="R42" s="47">
        <f t="shared" si="4"/>
        <v>55.699999999999996</v>
      </c>
      <c r="S42" s="28">
        <v>3</v>
      </c>
      <c r="T42" s="284"/>
      <c r="U42" s="293"/>
      <c r="V42" s="37" t="s">
        <v>371</v>
      </c>
      <c r="W42" s="28" t="s">
        <v>75</v>
      </c>
      <c r="X42" s="28" t="s">
        <v>11</v>
      </c>
      <c r="Y42" s="28">
        <v>37.6</v>
      </c>
      <c r="Z42" s="37" t="s">
        <v>122</v>
      </c>
      <c r="AA42" s="28" t="s">
        <v>76</v>
      </c>
      <c r="AB42" s="28" t="s">
        <v>18</v>
      </c>
      <c r="AC42" s="28">
        <v>11.4</v>
      </c>
      <c r="AD42" s="37" t="s">
        <v>124</v>
      </c>
      <c r="AE42" s="28" t="s">
        <v>79</v>
      </c>
      <c r="AF42" s="28" t="s">
        <v>11</v>
      </c>
      <c r="AG42" s="38">
        <v>4.4000000000000004</v>
      </c>
      <c r="AH42" s="28" t="s">
        <v>125</v>
      </c>
      <c r="AI42" s="28" t="s">
        <v>87</v>
      </c>
      <c r="AJ42" s="28" t="s">
        <v>12</v>
      </c>
      <c r="AK42" s="28">
        <v>2.2999999999999998</v>
      </c>
      <c r="AL42" s="37"/>
      <c r="AO42" s="38"/>
      <c r="AP42" s="37"/>
      <c r="AS42" s="38"/>
      <c r="AW42" s="38"/>
      <c r="BA42" s="39"/>
    </row>
    <row r="43" spans="1:53" s="28" customFormat="1" x14ac:dyDescent="0.15">
      <c r="A43" s="51">
        <v>1975</v>
      </c>
      <c r="B43" s="293"/>
      <c r="C43" s="370" t="s">
        <v>385</v>
      </c>
      <c r="D43" s="370"/>
      <c r="E43" s="28">
        <v>365</v>
      </c>
      <c r="G43" s="65">
        <v>11</v>
      </c>
      <c r="H43" s="28">
        <v>1</v>
      </c>
      <c r="I43" s="28">
        <v>1</v>
      </c>
      <c r="J43" s="72">
        <v>16</v>
      </c>
      <c r="K43" s="46">
        <f t="shared" si="0"/>
        <v>68.75</v>
      </c>
      <c r="L43" s="46">
        <f t="shared" si="1"/>
        <v>6.25</v>
      </c>
      <c r="M43" s="46">
        <f t="shared" si="2"/>
        <v>6.25</v>
      </c>
      <c r="N43" s="67">
        <f t="shared" si="3"/>
        <v>81.25</v>
      </c>
      <c r="O43" s="45">
        <v>42</v>
      </c>
      <c r="P43" s="46">
        <v>11.4</v>
      </c>
      <c r="Q43" s="46">
        <v>2.2999999999999998</v>
      </c>
      <c r="R43" s="47">
        <f t="shared" si="4"/>
        <v>55.699999999999996</v>
      </c>
      <c r="S43" s="28">
        <v>3</v>
      </c>
      <c r="T43" s="284"/>
      <c r="U43" s="293"/>
      <c r="V43" s="37" t="s">
        <v>371</v>
      </c>
      <c r="W43" s="28" t="s">
        <v>75</v>
      </c>
      <c r="X43" s="28" t="s">
        <v>11</v>
      </c>
      <c r="Y43" s="28">
        <v>37.6</v>
      </c>
      <c r="Z43" s="37" t="s">
        <v>122</v>
      </c>
      <c r="AA43" s="28" t="s">
        <v>76</v>
      </c>
      <c r="AB43" s="28" t="s">
        <v>18</v>
      </c>
      <c r="AC43" s="28">
        <v>11.4</v>
      </c>
      <c r="AD43" s="37" t="s">
        <v>124</v>
      </c>
      <c r="AE43" s="28" t="s">
        <v>79</v>
      </c>
      <c r="AF43" s="28" t="s">
        <v>11</v>
      </c>
      <c r="AG43" s="38">
        <v>4.4000000000000004</v>
      </c>
      <c r="AH43" s="28" t="s">
        <v>125</v>
      </c>
      <c r="AI43" s="28" t="s">
        <v>87</v>
      </c>
      <c r="AJ43" s="28" t="s">
        <v>12</v>
      </c>
      <c r="AK43" s="28">
        <v>2.2999999999999998</v>
      </c>
      <c r="AL43" s="37"/>
      <c r="AO43" s="38"/>
      <c r="AP43" s="37"/>
      <c r="AS43" s="38"/>
      <c r="AW43" s="38"/>
      <c r="BA43" s="39"/>
    </row>
    <row r="44" spans="1:53" s="28" customFormat="1" x14ac:dyDescent="0.15">
      <c r="A44" s="51">
        <v>1976</v>
      </c>
      <c r="B44" s="293"/>
      <c r="C44" s="370" t="s">
        <v>385</v>
      </c>
      <c r="D44" s="370"/>
      <c r="E44" s="28">
        <v>229</v>
      </c>
      <c r="G44" s="65">
        <v>11</v>
      </c>
      <c r="H44" s="28">
        <v>1</v>
      </c>
      <c r="I44" s="28">
        <v>1</v>
      </c>
      <c r="J44" s="72">
        <v>16</v>
      </c>
      <c r="K44" s="46">
        <f t="shared" si="0"/>
        <v>68.75</v>
      </c>
      <c r="L44" s="46">
        <f t="shared" si="1"/>
        <v>6.25</v>
      </c>
      <c r="M44" s="46">
        <f t="shared" si="2"/>
        <v>6.25</v>
      </c>
      <c r="N44" s="67">
        <f t="shared" si="3"/>
        <v>81.25</v>
      </c>
      <c r="O44" s="45">
        <v>42</v>
      </c>
      <c r="P44" s="46">
        <v>11.4</v>
      </c>
      <c r="Q44" s="46">
        <v>2.2999999999999998</v>
      </c>
      <c r="R44" s="47">
        <f t="shared" si="4"/>
        <v>55.699999999999996</v>
      </c>
      <c r="S44" s="28">
        <v>3</v>
      </c>
      <c r="T44" s="284"/>
      <c r="U44" s="293"/>
      <c r="V44" s="37" t="s">
        <v>371</v>
      </c>
      <c r="W44" s="28" t="s">
        <v>75</v>
      </c>
      <c r="X44" s="28" t="s">
        <v>11</v>
      </c>
      <c r="Y44" s="28">
        <v>37.6</v>
      </c>
      <c r="Z44" s="37" t="s">
        <v>122</v>
      </c>
      <c r="AA44" s="28" t="s">
        <v>76</v>
      </c>
      <c r="AB44" s="28" t="s">
        <v>18</v>
      </c>
      <c r="AC44" s="28">
        <v>11.4</v>
      </c>
      <c r="AD44" s="37" t="s">
        <v>124</v>
      </c>
      <c r="AE44" s="28" t="s">
        <v>79</v>
      </c>
      <c r="AF44" s="28" t="s">
        <v>11</v>
      </c>
      <c r="AG44" s="38">
        <v>4.4000000000000004</v>
      </c>
      <c r="AH44" s="28" t="s">
        <v>125</v>
      </c>
      <c r="AI44" s="28" t="s">
        <v>87</v>
      </c>
      <c r="AJ44" s="28" t="s">
        <v>12</v>
      </c>
      <c r="AK44" s="28">
        <v>2.2999999999999998</v>
      </c>
      <c r="AL44" s="37"/>
      <c r="AO44" s="38"/>
      <c r="AP44" s="37"/>
      <c r="AS44" s="38"/>
      <c r="AW44" s="38"/>
      <c r="BA44" s="39"/>
    </row>
    <row r="45" spans="1:53" s="170" customFormat="1" x14ac:dyDescent="0.15">
      <c r="A45" s="215">
        <v>1976</v>
      </c>
      <c r="B45" s="281">
        <v>27989</v>
      </c>
      <c r="C45" s="369" t="s">
        <v>386</v>
      </c>
      <c r="D45" s="369"/>
      <c r="E45" s="170">
        <v>137</v>
      </c>
      <c r="F45" s="170">
        <v>6</v>
      </c>
      <c r="G45" s="232">
        <v>9</v>
      </c>
      <c r="H45" s="170">
        <v>1</v>
      </c>
      <c r="I45" s="170">
        <v>3</v>
      </c>
      <c r="J45" s="240">
        <v>18</v>
      </c>
      <c r="K45" s="213">
        <f t="shared" si="0"/>
        <v>50</v>
      </c>
      <c r="L45" s="213">
        <f t="shared" si="1"/>
        <v>5.5555555555555554</v>
      </c>
      <c r="M45" s="213">
        <f t="shared" si="2"/>
        <v>16.666666666666664</v>
      </c>
      <c r="N45" s="234">
        <f t="shared" si="3"/>
        <v>72.222222222222229</v>
      </c>
      <c r="O45" s="212">
        <v>42</v>
      </c>
      <c r="P45" s="213">
        <v>11.4</v>
      </c>
      <c r="Q45" s="213">
        <v>2.2999999999999998</v>
      </c>
      <c r="R45" s="214">
        <f t="shared" si="4"/>
        <v>55.699999999999996</v>
      </c>
      <c r="S45" s="170">
        <v>3</v>
      </c>
      <c r="T45" s="283"/>
      <c r="U45" s="281">
        <v>27989</v>
      </c>
      <c r="V45" s="177" t="s">
        <v>371</v>
      </c>
      <c r="W45" s="170" t="s">
        <v>75</v>
      </c>
      <c r="X45" s="170" t="s">
        <v>11</v>
      </c>
      <c r="Y45" s="170">
        <v>37.6</v>
      </c>
      <c r="Z45" s="177" t="s">
        <v>122</v>
      </c>
      <c r="AA45" s="170" t="s">
        <v>76</v>
      </c>
      <c r="AB45" s="170" t="s">
        <v>18</v>
      </c>
      <c r="AC45" s="170">
        <v>11.4</v>
      </c>
      <c r="AD45" s="177" t="s">
        <v>124</v>
      </c>
      <c r="AE45" s="170" t="s">
        <v>79</v>
      </c>
      <c r="AF45" s="170" t="s">
        <v>11</v>
      </c>
      <c r="AG45" s="178">
        <v>4.4000000000000004</v>
      </c>
      <c r="AH45" s="170" t="s">
        <v>125</v>
      </c>
      <c r="AI45" s="170" t="s">
        <v>87</v>
      </c>
      <c r="AJ45" s="170" t="s">
        <v>12</v>
      </c>
      <c r="AK45" s="170">
        <v>2.2999999999999998</v>
      </c>
      <c r="AL45" s="177"/>
      <c r="AO45" s="178"/>
      <c r="AP45" s="177"/>
      <c r="AS45" s="178"/>
      <c r="AW45" s="178"/>
      <c r="BA45" s="179"/>
    </row>
    <row r="46" spans="1:53" s="170" customFormat="1" x14ac:dyDescent="0.15">
      <c r="A46" s="215">
        <v>1977</v>
      </c>
      <c r="B46" s="281"/>
      <c r="C46" s="369" t="s">
        <v>386</v>
      </c>
      <c r="D46" s="369"/>
      <c r="E46" s="170">
        <v>88</v>
      </c>
      <c r="G46" s="232">
        <v>9</v>
      </c>
      <c r="H46" s="170">
        <v>1</v>
      </c>
      <c r="I46" s="170">
        <v>3</v>
      </c>
      <c r="J46" s="240">
        <v>18</v>
      </c>
      <c r="K46" s="213">
        <f t="shared" si="0"/>
        <v>50</v>
      </c>
      <c r="L46" s="213">
        <f t="shared" si="1"/>
        <v>5.5555555555555554</v>
      </c>
      <c r="M46" s="213">
        <f t="shared" si="2"/>
        <v>16.666666666666664</v>
      </c>
      <c r="N46" s="234">
        <f t="shared" si="3"/>
        <v>72.222222222222229</v>
      </c>
      <c r="O46" s="212">
        <v>42</v>
      </c>
      <c r="P46" s="213">
        <v>11.4</v>
      </c>
      <c r="Q46" s="213">
        <v>2.2999999999999998</v>
      </c>
      <c r="R46" s="214">
        <f t="shared" si="4"/>
        <v>55.699999999999996</v>
      </c>
      <c r="S46" s="170">
        <v>3</v>
      </c>
      <c r="T46" s="283"/>
      <c r="U46" s="281"/>
      <c r="V46" s="177" t="s">
        <v>371</v>
      </c>
      <c r="W46" s="170" t="s">
        <v>75</v>
      </c>
      <c r="X46" s="170" t="s">
        <v>11</v>
      </c>
      <c r="Y46" s="170">
        <v>37.6</v>
      </c>
      <c r="Z46" s="177" t="s">
        <v>122</v>
      </c>
      <c r="AA46" s="170" t="s">
        <v>76</v>
      </c>
      <c r="AB46" s="170" t="s">
        <v>18</v>
      </c>
      <c r="AC46" s="170">
        <v>11.4</v>
      </c>
      <c r="AD46" s="177" t="s">
        <v>124</v>
      </c>
      <c r="AE46" s="170" t="s">
        <v>79</v>
      </c>
      <c r="AF46" s="170" t="s">
        <v>11</v>
      </c>
      <c r="AG46" s="178">
        <v>4.4000000000000004</v>
      </c>
      <c r="AH46" s="170" t="s">
        <v>125</v>
      </c>
      <c r="AI46" s="170" t="s">
        <v>87</v>
      </c>
      <c r="AJ46" s="170" t="s">
        <v>12</v>
      </c>
      <c r="AK46" s="170">
        <v>2.2999999999999998</v>
      </c>
      <c r="AL46" s="177"/>
      <c r="AO46" s="178"/>
      <c r="AP46" s="177"/>
      <c r="AS46" s="178"/>
      <c r="AW46" s="178"/>
      <c r="BA46" s="179"/>
    </row>
    <row r="47" spans="1:53" s="28" customFormat="1" x14ac:dyDescent="0.15">
      <c r="A47" s="51">
        <v>1977</v>
      </c>
      <c r="B47" s="293">
        <v>28214</v>
      </c>
      <c r="C47" s="370" t="s">
        <v>387</v>
      </c>
      <c r="D47" s="370"/>
      <c r="E47" s="28">
        <v>277</v>
      </c>
      <c r="F47" s="28">
        <v>4</v>
      </c>
      <c r="G47" s="65">
        <v>6</v>
      </c>
      <c r="H47" s="28">
        <v>2</v>
      </c>
      <c r="I47" s="28">
        <v>2</v>
      </c>
      <c r="J47" s="72">
        <v>15</v>
      </c>
      <c r="K47" s="46">
        <f t="shared" si="0"/>
        <v>40</v>
      </c>
      <c r="L47" s="46">
        <f t="shared" si="1"/>
        <v>13.333333333333334</v>
      </c>
      <c r="M47" s="46">
        <f t="shared" si="2"/>
        <v>13.333333333333334</v>
      </c>
      <c r="N47" s="67">
        <f t="shared" si="3"/>
        <v>66.666666666666671</v>
      </c>
      <c r="O47" s="45">
        <v>42</v>
      </c>
      <c r="P47" s="46">
        <v>11.4</v>
      </c>
      <c r="Q47" s="46">
        <v>2.2999999999999998</v>
      </c>
      <c r="R47" s="47">
        <f t="shared" si="4"/>
        <v>55.699999999999996</v>
      </c>
      <c r="S47" s="28">
        <v>3</v>
      </c>
      <c r="T47" s="284"/>
      <c r="U47" s="293">
        <v>28214</v>
      </c>
      <c r="V47" s="37" t="s">
        <v>372</v>
      </c>
      <c r="W47" s="28" t="s">
        <v>75</v>
      </c>
      <c r="X47" s="28" t="s">
        <v>11</v>
      </c>
      <c r="Y47" s="28">
        <v>37.6</v>
      </c>
      <c r="Z47" s="37" t="s">
        <v>122</v>
      </c>
      <c r="AA47" s="28" t="s">
        <v>76</v>
      </c>
      <c r="AB47" s="28" t="s">
        <v>18</v>
      </c>
      <c r="AC47" s="28">
        <v>11.4</v>
      </c>
      <c r="AD47" s="37" t="s">
        <v>124</v>
      </c>
      <c r="AE47" s="28" t="s">
        <v>79</v>
      </c>
      <c r="AF47" s="28" t="s">
        <v>11</v>
      </c>
      <c r="AG47" s="38">
        <v>4.4000000000000004</v>
      </c>
      <c r="AH47" s="28" t="s">
        <v>125</v>
      </c>
      <c r="AI47" s="28" t="s">
        <v>87</v>
      </c>
      <c r="AJ47" s="28" t="s">
        <v>12</v>
      </c>
      <c r="AK47" s="28">
        <v>2.2999999999999998</v>
      </c>
      <c r="AL47" s="37"/>
      <c r="AO47" s="38"/>
      <c r="AP47" s="37"/>
      <c r="AS47" s="38"/>
      <c r="AW47" s="38"/>
      <c r="BA47" s="39"/>
    </row>
    <row r="48" spans="1:53" s="28" customFormat="1" x14ac:dyDescent="0.15">
      <c r="A48" s="51">
        <v>1978</v>
      </c>
      <c r="B48" s="293"/>
      <c r="C48" s="370" t="s">
        <v>387</v>
      </c>
      <c r="D48" s="370"/>
      <c r="E48" s="28">
        <v>93</v>
      </c>
      <c r="G48" s="65">
        <v>6</v>
      </c>
      <c r="H48" s="28">
        <v>2</v>
      </c>
      <c r="I48" s="28">
        <v>2</v>
      </c>
      <c r="J48" s="72">
        <v>15</v>
      </c>
      <c r="K48" s="46">
        <f t="shared" si="0"/>
        <v>40</v>
      </c>
      <c r="L48" s="46">
        <f t="shared" si="1"/>
        <v>13.333333333333334</v>
      </c>
      <c r="M48" s="46">
        <f t="shared" si="2"/>
        <v>13.333333333333334</v>
      </c>
      <c r="N48" s="67">
        <f t="shared" si="3"/>
        <v>66.666666666666671</v>
      </c>
      <c r="O48" s="45">
        <v>42</v>
      </c>
      <c r="P48" s="46">
        <v>11.4</v>
      </c>
      <c r="Q48" s="46">
        <v>2.2999999999999998</v>
      </c>
      <c r="R48" s="47">
        <f t="shared" si="4"/>
        <v>55.699999999999996</v>
      </c>
      <c r="S48" s="28">
        <v>3</v>
      </c>
      <c r="T48" s="284"/>
      <c r="U48" s="293"/>
      <c r="V48" s="37" t="s">
        <v>372</v>
      </c>
      <c r="W48" s="28" t="s">
        <v>75</v>
      </c>
      <c r="X48" s="28" t="s">
        <v>11</v>
      </c>
      <c r="Y48" s="28">
        <v>37.6</v>
      </c>
      <c r="Z48" s="37" t="s">
        <v>122</v>
      </c>
      <c r="AA48" s="28" t="s">
        <v>76</v>
      </c>
      <c r="AB48" s="28" t="s">
        <v>18</v>
      </c>
      <c r="AC48" s="28">
        <v>11.4</v>
      </c>
      <c r="AD48" s="37" t="s">
        <v>124</v>
      </c>
      <c r="AE48" s="28" t="s">
        <v>79</v>
      </c>
      <c r="AF48" s="28" t="s">
        <v>11</v>
      </c>
      <c r="AG48" s="38">
        <v>4.4000000000000004</v>
      </c>
      <c r="AH48" s="28" t="s">
        <v>125</v>
      </c>
      <c r="AI48" s="28" t="s">
        <v>87</v>
      </c>
      <c r="AJ48" s="28" t="s">
        <v>12</v>
      </c>
      <c r="AK48" s="28">
        <v>2.2999999999999998</v>
      </c>
      <c r="AL48" s="37"/>
      <c r="AO48" s="38"/>
      <c r="AP48" s="37"/>
      <c r="AS48" s="38"/>
      <c r="AW48" s="38"/>
      <c r="BA48" s="39"/>
    </row>
    <row r="49" spans="1:53" s="170" customFormat="1" x14ac:dyDescent="0.15">
      <c r="A49" s="215">
        <v>1978</v>
      </c>
      <c r="B49" s="281">
        <v>28584</v>
      </c>
      <c r="C49" s="369" t="s">
        <v>388</v>
      </c>
      <c r="D49" s="369"/>
      <c r="E49" s="170">
        <v>272</v>
      </c>
      <c r="F49" s="170">
        <v>1</v>
      </c>
      <c r="G49" s="232">
        <v>6</v>
      </c>
      <c r="H49" s="170">
        <v>9</v>
      </c>
      <c r="J49" s="240">
        <v>20</v>
      </c>
      <c r="K49" s="213">
        <f t="shared" si="0"/>
        <v>30</v>
      </c>
      <c r="L49" s="213">
        <f t="shared" si="1"/>
        <v>45</v>
      </c>
      <c r="M49" s="213">
        <f t="shared" si="2"/>
        <v>0</v>
      </c>
      <c r="N49" s="234">
        <f t="shared" si="3"/>
        <v>75</v>
      </c>
      <c r="O49" s="212">
        <v>30</v>
      </c>
      <c r="P49" s="213">
        <v>26.2</v>
      </c>
      <c r="Q49" s="213"/>
      <c r="R49" s="214">
        <f t="shared" si="4"/>
        <v>56.2</v>
      </c>
      <c r="S49" s="170">
        <v>2</v>
      </c>
      <c r="T49" s="283">
        <v>28561</v>
      </c>
      <c r="U49" s="281">
        <v>28584</v>
      </c>
      <c r="V49" s="177" t="s">
        <v>372</v>
      </c>
      <c r="W49" s="170" t="s">
        <v>75</v>
      </c>
      <c r="X49" s="170" t="s">
        <v>11</v>
      </c>
      <c r="Y49" s="170">
        <v>30</v>
      </c>
      <c r="Z49" s="177" t="s">
        <v>126</v>
      </c>
      <c r="AA49" s="170" t="s">
        <v>78</v>
      </c>
      <c r="AB49" s="170" t="s">
        <v>18</v>
      </c>
      <c r="AC49" s="170">
        <v>26.2</v>
      </c>
      <c r="AD49" s="177"/>
      <c r="AG49" s="178"/>
      <c r="AL49" s="177"/>
      <c r="AO49" s="178"/>
      <c r="AP49" s="177"/>
      <c r="AS49" s="178"/>
      <c r="AW49" s="178"/>
      <c r="BA49" s="179"/>
    </row>
    <row r="50" spans="1:53" s="170" customFormat="1" x14ac:dyDescent="0.15">
      <c r="A50" s="215">
        <v>1979</v>
      </c>
      <c r="B50" s="281"/>
      <c r="C50" s="369" t="s">
        <v>388</v>
      </c>
      <c r="D50" s="369"/>
      <c r="E50" s="170">
        <v>0</v>
      </c>
      <c r="G50" s="232">
        <v>6</v>
      </c>
      <c r="H50" s="170">
        <v>9</v>
      </c>
      <c r="J50" s="240">
        <v>20</v>
      </c>
      <c r="K50" s="213">
        <f t="shared" si="0"/>
        <v>30</v>
      </c>
      <c r="L50" s="213">
        <f t="shared" si="1"/>
        <v>45</v>
      </c>
      <c r="M50" s="213">
        <f t="shared" si="2"/>
        <v>0</v>
      </c>
      <c r="N50" s="234">
        <f t="shared" si="3"/>
        <v>75</v>
      </c>
      <c r="O50" s="212">
        <v>30</v>
      </c>
      <c r="P50" s="213">
        <v>26.2</v>
      </c>
      <c r="Q50" s="213"/>
      <c r="R50" s="214">
        <f t="shared" si="4"/>
        <v>56.2</v>
      </c>
      <c r="S50" s="170">
        <v>2</v>
      </c>
      <c r="T50" s="283"/>
      <c r="U50" s="281"/>
      <c r="V50" s="177" t="s">
        <v>372</v>
      </c>
      <c r="W50" s="170" t="s">
        <v>75</v>
      </c>
      <c r="X50" s="170" t="s">
        <v>11</v>
      </c>
      <c r="Y50" s="170">
        <v>30</v>
      </c>
      <c r="Z50" s="177" t="s">
        <v>126</v>
      </c>
      <c r="AA50" s="170" t="s">
        <v>78</v>
      </c>
      <c r="AB50" s="170" t="s">
        <v>18</v>
      </c>
      <c r="AC50" s="170">
        <v>26.2</v>
      </c>
      <c r="AD50" s="177"/>
      <c r="AG50" s="178"/>
      <c r="AL50" s="177"/>
      <c r="AO50" s="178"/>
      <c r="AP50" s="177"/>
      <c r="AS50" s="178"/>
      <c r="AW50" s="178"/>
      <c r="BA50" s="179"/>
    </row>
    <row r="51" spans="1:53" s="170" customFormat="1" x14ac:dyDescent="0.15">
      <c r="A51" s="215">
        <v>1979</v>
      </c>
      <c r="B51" s="281"/>
      <c r="C51" s="369" t="s">
        <v>388</v>
      </c>
      <c r="D51" s="369"/>
      <c r="E51" s="170">
        <v>365</v>
      </c>
      <c r="G51" s="232">
        <v>6</v>
      </c>
      <c r="H51" s="170">
        <v>9</v>
      </c>
      <c r="J51" s="240">
        <v>20</v>
      </c>
      <c r="K51" s="213">
        <f t="shared" si="0"/>
        <v>30</v>
      </c>
      <c r="L51" s="213">
        <f t="shared" si="1"/>
        <v>45</v>
      </c>
      <c r="M51" s="213">
        <f t="shared" si="2"/>
        <v>0</v>
      </c>
      <c r="N51" s="234">
        <f t="shared" si="3"/>
        <v>75</v>
      </c>
      <c r="O51" s="212">
        <v>30</v>
      </c>
      <c r="P51" s="213">
        <v>26.2</v>
      </c>
      <c r="Q51" s="213"/>
      <c r="R51" s="214">
        <f t="shared" si="4"/>
        <v>56.2</v>
      </c>
      <c r="S51" s="170">
        <v>2</v>
      </c>
      <c r="T51" s="283"/>
      <c r="U51" s="281"/>
      <c r="V51" s="177" t="s">
        <v>372</v>
      </c>
      <c r="W51" s="170" t="s">
        <v>75</v>
      </c>
      <c r="X51" s="170" t="s">
        <v>11</v>
      </c>
      <c r="Y51" s="170">
        <v>30</v>
      </c>
      <c r="Z51" s="177" t="s">
        <v>126</v>
      </c>
      <c r="AA51" s="170" t="s">
        <v>78</v>
      </c>
      <c r="AB51" s="170" t="s">
        <v>18</v>
      </c>
      <c r="AC51" s="170">
        <v>26.2</v>
      </c>
      <c r="AD51" s="177"/>
      <c r="AG51" s="178"/>
      <c r="AL51" s="177"/>
      <c r="AO51" s="178"/>
      <c r="AP51" s="177"/>
      <c r="AS51" s="178"/>
      <c r="AW51" s="178"/>
      <c r="BA51" s="179"/>
    </row>
    <row r="52" spans="1:53" s="170" customFormat="1" x14ac:dyDescent="0.15">
      <c r="A52" s="215">
        <v>1980</v>
      </c>
      <c r="B52" s="281"/>
      <c r="C52" s="369" t="s">
        <v>388</v>
      </c>
      <c r="D52" s="369"/>
      <c r="E52" s="170">
        <v>0</v>
      </c>
      <c r="G52" s="232">
        <v>6</v>
      </c>
      <c r="H52" s="170">
        <v>9</v>
      </c>
      <c r="J52" s="240">
        <v>20</v>
      </c>
      <c r="K52" s="213">
        <f t="shared" si="0"/>
        <v>30</v>
      </c>
      <c r="L52" s="213">
        <f t="shared" si="1"/>
        <v>45</v>
      </c>
      <c r="M52" s="213">
        <f t="shared" si="2"/>
        <v>0</v>
      </c>
      <c r="N52" s="234">
        <f t="shared" si="3"/>
        <v>75</v>
      </c>
      <c r="O52" s="212">
        <v>30</v>
      </c>
      <c r="P52" s="213">
        <v>26.2</v>
      </c>
      <c r="Q52" s="213"/>
      <c r="R52" s="214">
        <f t="shared" si="4"/>
        <v>56.2</v>
      </c>
      <c r="S52" s="170">
        <v>2</v>
      </c>
      <c r="T52" s="283"/>
      <c r="U52" s="281"/>
      <c r="V52" s="177" t="s">
        <v>372</v>
      </c>
      <c r="W52" s="170" t="s">
        <v>75</v>
      </c>
      <c r="X52" s="170" t="s">
        <v>11</v>
      </c>
      <c r="Y52" s="170">
        <v>30</v>
      </c>
      <c r="Z52" s="177" t="s">
        <v>126</v>
      </c>
      <c r="AA52" s="170" t="s">
        <v>78</v>
      </c>
      <c r="AB52" s="170" t="s">
        <v>18</v>
      </c>
      <c r="AC52" s="170">
        <v>26.2</v>
      </c>
      <c r="AD52" s="177"/>
      <c r="AG52" s="178"/>
      <c r="AL52" s="177"/>
      <c r="AO52" s="178"/>
      <c r="AP52" s="177"/>
      <c r="AS52" s="178"/>
      <c r="AW52" s="178"/>
      <c r="BA52" s="179"/>
    </row>
    <row r="53" spans="1:53" s="170" customFormat="1" x14ac:dyDescent="0.15">
      <c r="A53" s="215">
        <v>1980</v>
      </c>
      <c r="B53" s="281"/>
      <c r="C53" s="369" t="s">
        <v>388</v>
      </c>
      <c r="D53" s="369"/>
      <c r="E53" s="170">
        <v>366</v>
      </c>
      <c r="G53" s="232">
        <v>6</v>
      </c>
      <c r="H53" s="170">
        <v>9</v>
      </c>
      <c r="J53" s="240">
        <v>20</v>
      </c>
      <c r="K53" s="213">
        <f t="shared" si="0"/>
        <v>30</v>
      </c>
      <c r="L53" s="213">
        <f t="shared" si="1"/>
        <v>45</v>
      </c>
      <c r="M53" s="213">
        <f t="shared" si="2"/>
        <v>0</v>
      </c>
      <c r="N53" s="234">
        <f t="shared" si="3"/>
        <v>75</v>
      </c>
      <c r="O53" s="212">
        <v>30</v>
      </c>
      <c r="P53" s="213">
        <v>26.2</v>
      </c>
      <c r="Q53" s="213"/>
      <c r="R53" s="214">
        <f t="shared" si="4"/>
        <v>56.2</v>
      </c>
      <c r="S53" s="170">
        <v>2</v>
      </c>
      <c r="T53" s="283"/>
      <c r="U53" s="281"/>
      <c r="V53" s="177" t="s">
        <v>372</v>
      </c>
      <c r="W53" s="170" t="s">
        <v>75</v>
      </c>
      <c r="X53" s="170" t="s">
        <v>11</v>
      </c>
      <c r="Y53" s="170">
        <v>30</v>
      </c>
      <c r="Z53" s="177" t="s">
        <v>126</v>
      </c>
      <c r="AA53" s="170" t="s">
        <v>78</v>
      </c>
      <c r="AB53" s="170" t="s">
        <v>18</v>
      </c>
      <c r="AC53" s="170">
        <v>26.2</v>
      </c>
      <c r="AD53" s="177"/>
      <c r="AG53" s="178"/>
      <c r="AL53" s="177"/>
      <c r="AO53" s="178"/>
      <c r="AP53" s="177"/>
      <c r="AS53" s="178"/>
      <c r="AW53" s="178"/>
      <c r="BA53" s="179"/>
    </row>
    <row r="54" spans="1:53" s="170" customFormat="1" x14ac:dyDescent="0.15">
      <c r="A54" s="215">
        <v>1981</v>
      </c>
      <c r="B54" s="281"/>
      <c r="C54" s="369" t="s">
        <v>388</v>
      </c>
      <c r="D54" s="369"/>
      <c r="E54" s="170">
        <v>141</v>
      </c>
      <c r="G54" s="232">
        <v>6</v>
      </c>
      <c r="H54" s="170">
        <v>9</v>
      </c>
      <c r="J54" s="240">
        <v>20</v>
      </c>
      <c r="K54" s="213">
        <f t="shared" si="0"/>
        <v>30</v>
      </c>
      <c r="L54" s="213">
        <f t="shared" si="1"/>
        <v>45</v>
      </c>
      <c r="M54" s="213">
        <f t="shared" si="2"/>
        <v>0</v>
      </c>
      <c r="N54" s="234">
        <f t="shared" si="3"/>
        <v>75</v>
      </c>
      <c r="O54" s="212">
        <v>30</v>
      </c>
      <c r="P54" s="213">
        <v>26.2</v>
      </c>
      <c r="Q54" s="213"/>
      <c r="R54" s="214">
        <f t="shared" si="4"/>
        <v>56.2</v>
      </c>
      <c r="S54" s="170">
        <v>2</v>
      </c>
      <c r="T54" s="283"/>
      <c r="U54" s="281"/>
      <c r="V54" s="177" t="s">
        <v>372</v>
      </c>
      <c r="W54" s="170" t="s">
        <v>75</v>
      </c>
      <c r="X54" s="170" t="s">
        <v>11</v>
      </c>
      <c r="Y54" s="170">
        <v>30</v>
      </c>
      <c r="Z54" s="177" t="s">
        <v>126</v>
      </c>
      <c r="AA54" s="170" t="s">
        <v>78</v>
      </c>
      <c r="AB54" s="170" t="s">
        <v>18</v>
      </c>
      <c r="AC54" s="170">
        <v>26.2</v>
      </c>
      <c r="AD54" s="177"/>
      <c r="AG54" s="178"/>
      <c r="AL54" s="177"/>
      <c r="AO54" s="178"/>
      <c r="AP54" s="177"/>
      <c r="AS54" s="178"/>
      <c r="AW54" s="178"/>
      <c r="BA54" s="179"/>
    </row>
    <row r="55" spans="1:53" s="28" customFormat="1" x14ac:dyDescent="0.15">
      <c r="A55" s="51">
        <v>1981</v>
      </c>
      <c r="B55" s="293">
        <v>29728</v>
      </c>
      <c r="C55" s="370" t="s">
        <v>389</v>
      </c>
      <c r="D55" s="370"/>
      <c r="E55" s="28">
        <v>32</v>
      </c>
      <c r="F55" s="28">
        <v>1</v>
      </c>
      <c r="G55" s="65"/>
      <c r="I55" s="28">
        <v>31</v>
      </c>
      <c r="J55" s="72">
        <v>31</v>
      </c>
      <c r="K55" s="46">
        <f t="shared" si="0"/>
        <v>0</v>
      </c>
      <c r="L55" s="46">
        <f t="shared" si="1"/>
        <v>0</v>
      </c>
      <c r="M55" s="46">
        <f t="shared" si="2"/>
        <v>100</v>
      </c>
      <c r="N55" s="67">
        <f t="shared" si="3"/>
        <v>100</v>
      </c>
      <c r="O55" s="45"/>
      <c r="P55" s="46"/>
      <c r="Q55" s="46">
        <v>21.5</v>
      </c>
      <c r="R55" s="47">
        <f t="shared" si="4"/>
        <v>21.5</v>
      </c>
      <c r="S55" s="28">
        <v>6</v>
      </c>
      <c r="T55" s="284"/>
      <c r="U55" s="293">
        <v>29728</v>
      </c>
      <c r="V55" s="37" t="s">
        <v>95</v>
      </c>
      <c r="W55" s="28" t="s">
        <v>20</v>
      </c>
      <c r="X55" s="28" t="s">
        <v>12</v>
      </c>
      <c r="Y55" s="28">
        <v>21.5</v>
      </c>
      <c r="Z55" s="37"/>
      <c r="AD55" s="37"/>
      <c r="AG55" s="38"/>
      <c r="AL55" s="37"/>
      <c r="AO55" s="38"/>
      <c r="AP55" s="37"/>
      <c r="AS55" s="38"/>
      <c r="AW55" s="38"/>
      <c r="BA55" s="39"/>
    </row>
    <row r="56" spans="1:53" s="170" customFormat="1" x14ac:dyDescent="0.15">
      <c r="A56" s="215">
        <v>1981</v>
      </c>
      <c r="B56" s="281">
        <v>29760</v>
      </c>
      <c r="C56" s="369" t="s">
        <v>390</v>
      </c>
      <c r="D56" s="369"/>
      <c r="E56" s="170">
        <v>192</v>
      </c>
      <c r="F56" s="170">
        <v>1</v>
      </c>
      <c r="G56" s="232"/>
      <c r="I56" s="170">
        <v>36</v>
      </c>
      <c r="J56" s="240">
        <v>36</v>
      </c>
      <c r="K56" s="213">
        <f t="shared" si="0"/>
        <v>0</v>
      </c>
      <c r="L56" s="213">
        <f t="shared" si="1"/>
        <v>0</v>
      </c>
      <c r="M56" s="213">
        <f t="shared" si="2"/>
        <v>100</v>
      </c>
      <c r="N56" s="234">
        <f t="shared" si="3"/>
        <v>100</v>
      </c>
      <c r="O56" s="212"/>
      <c r="P56" s="213"/>
      <c r="Q56" s="213">
        <v>65.7</v>
      </c>
      <c r="R56" s="214">
        <f t="shared" si="4"/>
        <v>65.7</v>
      </c>
      <c r="S56" s="170">
        <v>3</v>
      </c>
      <c r="T56" s="283">
        <v>29751</v>
      </c>
      <c r="U56" s="281">
        <v>29760</v>
      </c>
      <c r="V56" s="177" t="s">
        <v>95</v>
      </c>
      <c r="W56" s="170" t="s">
        <v>20</v>
      </c>
      <c r="X56" s="170" t="s">
        <v>12</v>
      </c>
      <c r="Y56" s="170">
        <v>56.5</v>
      </c>
      <c r="Z56" s="177" t="s">
        <v>127</v>
      </c>
      <c r="AA56" s="170" t="s">
        <v>113</v>
      </c>
      <c r="AB56" s="170" t="s">
        <v>12</v>
      </c>
      <c r="AC56" s="170">
        <v>9.1999999999999993</v>
      </c>
      <c r="AD56" s="177"/>
      <c r="AG56" s="178"/>
      <c r="AL56" s="177"/>
      <c r="AO56" s="178"/>
      <c r="AP56" s="177"/>
      <c r="AS56" s="178"/>
      <c r="AW56" s="178"/>
      <c r="BA56" s="179"/>
    </row>
    <row r="57" spans="1:53" s="170" customFormat="1" x14ac:dyDescent="0.15">
      <c r="A57" s="215">
        <v>1982</v>
      </c>
      <c r="B57" s="281"/>
      <c r="C57" s="369" t="s">
        <v>390</v>
      </c>
      <c r="D57" s="369"/>
      <c r="E57" s="170">
        <v>0</v>
      </c>
      <c r="G57" s="232"/>
      <c r="I57" s="170">
        <v>36</v>
      </c>
      <c r="J57" s="240">
        <v>36</v>
      </c>
      <c r="K57" s="213">
        <f t="shared" si="0"/>
        <v>0</v>
      </c>
      <c r="L57" s="213">
        <f t="shared" si="1"/>
        <v>0</v>
      </c>
      <c r="M57" s="213">
        <f t="shared" si="2"/>
        <v>100</v>
      </c>
      <c r="N57" s="234">
        <f t="shared" si="3"/>
        <v>100</v>
      </c>
      <c r="O57" s="212"/>
      <c r="P57" s="213"/>
      <c r="Q57" s="213">
        <v>65.7</v>
      </c>
      <c r="R57" s="214">
        <f t="shared" si="4"/>
        <v>65.7</v>
      </c>
      <c r="S57" s="170">
        <v>3</v>
      </c>
      <c r="T57" s="283"/>
      <c r="U57" s="281"/>
      <c r="V57" s="177" t="s">
        <v>95</v>
      </c>
      <c r="W57" s="170" t="s">
        <v>20</v>
      </c>
      <c r="X57" s="170" t="s">
        <v>12</v>
      </c>
      <c r="Y57" s="170">
        <v>56.5</v>
      </c>
      <c r="Z57" s="177" t="s">
        <v>127</v>
      </c>
      <c r="AA57" s="170" t="s">
        <v>113</v>
      </c>
      <c r="AB57" s="170" t="s">
        <v>12</v>
      </c>
      <c r="AC57" s="170">
        <v>9.1999999999999993</v>
      </c>
      <c r="AD57" s="177"/>
      <c r="AG57" s="178"/>
      <c r="AL57" s="177"/>
      <c r="AO57" s="178"/>
      <c r="AP57" s="177"/>
      <c r="AS57" s="178"/>
      <c r="AW57" s="178"/>
      <c r="BA57" s="179"/>
    </row>
    <row r="58" spans="1:53" s="170" customFormat="1" x14ac:dyDescent="0.15">
      <c r="A58" s="215">
        <v>1982</v>
      </c>
      <c r="B58" s="281"/>
      <c r="C58" s="369" t="s">
        <v>390</v>
      </c>
      <c r="D58" s="369"/>
      <c r="E58" s="170">
        <v>365</v>
      </c>
      <c r="G58" s="232"/>
      <c r="I58" s="170">
        <v>36</v>
      </c>
      <c r="J58" s="240">
        <v>36</v>
      </c>
      <c r="K58" s="213">
        <f t="shared" si="0"/>
        <v>0</v>
      </c>
      <c r="L58" s="213">
        <f t="shared" si="1"/>
        <v>0</v>
      </c>
      <c r="M58" s="213">
        <f t="shared" si="2"/>
        <v>100</v>
      </c>
      <c r="N58" s="234">
        <f t="shared" si="3"/>
        <v>100</v>
      </c>
      <c r="O58" s="212"/>
      <c r="P58" s="213"/>
      <c r="Q58" s="213">
        <v>65.7</v>
      </c>
      <c r="R58" s="214">
        <f t="shared" si="4"/>
        <v>65.7</v>
      </c>
      <c r="S58" s="170">
        <v>3</v>
      </c>
      <c r="T58" s="283"/>
      <c r="U58" s="281"/>
      <c r="V58" s="177" t="s">
        <v>95</v>
      </c>
      <c r="W58" s="170" t="s">
        <v>20</v>
      </c>
      <c r="X58" s="170" t="s">
        <v>12</v>
      </c>
      <c r="Y58" s="170">
        <v>56.5</v>
      </c>
      <c r="Z58" s="177" t="s">
        <v>127</v>
      </c>
      <c r="AA58" s="170" t="s">
        <v>113</v>
      </c>
      <c r="AB58" s="170" t="s">
        <v>12</v>
      </c>
      <c r="AC58" s="170">
        <v>9.1999999999999993</v>
      </c>
      <c r="AD58" s="177"/>
      <c r="AG58" s="178"/>
      <c r="AL58" s="177"/>
      <c r="AO58" s="178"/>
      <c r="AP58" s="177"/>
      <c r="AS58" s="178"/>
      <c r="AW58" s="178"/>
      <c r="BA58" s="179"/>
    </row>
    <row r="59" spans="1:53" s="170" customFormat="1" x14ac:dyDescent="0.15">
      <c r="A59" s="215">
        <v>1983</v>
      </c>
      <c r="B59" s="281"/>
      <c r="C59" s="369" t="s">
        <v>390</v>
      </c>
      <c r="D59" s="369"/>
      <c r="E59" s="170">
        <v>80</v>
      </c>
      <c r="G59" s="232"/>
      <c r="I59" s="170">
        <v>36</v>
      </c>
      <c r="J59" s="240">
        <v>36</v>
      </c>
      <c r="K59" s="213">
        <f t="shared" si="0"/>
        <v>0</v>
      </c>
      <c r="L59" s="213">
        <f t="shared" si="1"/>
        <v>0</v>
      </c>
      <c r="M59" s="213">
        <f t="shared" si="2"/>
        <v>100</v>
      </c>
      <c r="N59" s="234">
        <f t="shared" si="3"/>
        <v>100</v>
      </c>
      <c r="O59" s="212"/>
      <c r="P59" s="213"/>
      <c r="Q59" s="213">
        <v>65.7</v>
      </c>
      <c r="R59" s="214">
        <f t="shared" si="4"/>
        <v>65.7</v>
      </c>
      <c r="S59" s="170">
        <v>3</v>
      </c>
      <c r="T59" s="283"/>
      <c r="U59" s="281"/>
      <c r="V59" s="177" t="s">
        <v>95</v>
      </c>
      <c r="W59" s="170" t="s">
        <v>20</v>
      </c>
      <c r="X59" s="170" t="s">
        <v>12</v>
      </c>
      <c r="Y59" s="170">
        <v>56.5</v>
      </c>
      <c r="Z59" s="177" t="s">
        <v>127</v>
      </c>
      <c r="AA59" s="170" t="s">
        <v>113</v>
      </c>
      <c r="AB59" s="170" t="s">
        <v>12</v>
      </c>
      <c r="AC59" s="170">
        <v>9.1999999999999993</v>
      </c>
      <c r="AD59" s="177"/>
      <c r="AG59" s="178"/>
      <c r="AL59" s="177"/>
      <c r="AO59" s="178"/>
      <c r="AP59" s="177"/>
      <c r="AS59" s="178"/>
      <c r="AW59" s="178"/>
      <c r="BA59" s="179"/>
    </row>
    <row r="60" spans="1:53" s="28" customFormat="1" x14ac:dyDescent="0.15">
      <c r="A60" s="51">
        <v>1983</v>
      </c>
      <c r="B60" s="293">
        <v>30397</v>
      </c>
      <c r="C60" s="370" t="s">
        <v>391</v>
      </c>
      <c r="D60" s="370"/>
      <c r="E60" s="28">
        <v>285</v>
      </c>
      <c r="F60" s="28">
        <v>6</v>
      </c>
      <c r="G60" s="65"/>
      <c r="I60" s="28">
        <v>23</v>
      </c>
      <c r="J60" s="72">
        <v>23</v>
      </c>
      <c r="K60" s="46">
        <f t="shared" si="0"/>
        <v>0</v>
      </c>
      <c r="L60" s="46">
        <f t="shared" si="1"/>
        <v>0</v>
      </c>
      <c r="M60" s="46">
        <f t="shared" si="2"/>
        <v>100</v>
      </c>
      <c r="N60" s="67">
        <f t="shared" si="3"/>
        <v>100</v>
      </c>
      <c r="O60" s="45"/>
      <c r="P60" s="46"/>
      <c r="Q60" s="46">
        <v>65.7</v>
      </c>
      <c r="R60" s="47">
        <f t="shared" si="4"/>
        <v>65.7</v>
      </c>
      <c r="S60" s="28">
        <v>3</v>
      </c>
      <c r="T60" s="284"/>
      <c r="U60" s="293">
        <v>30397</v>
      </c>
      <c r="V60" s="37" t="s">
        <v>95</v>
      </c>
      <c r="W60" s="28" t="s">
        <v>20</v>
      </c>
      <c r="X60" s="28" t="s">
        <v>12</v>
      </c>
      <c r="Y60" s="28">
        <v>56.5</v>
      </c>
      <c r="Z60" s="37" t="s">
        <v>127</v>
      </c>
      <c r="AA60" s="28" t="s">
        <v>113</v>
      </c>
      <c r="AB60" s="28" t="s">
        <v>12</v>
      </c>
      <c r="AC60" s="28">
        <v>9.1999999999999993</v>
      </c>
      <c r="AD60" s="37"/>
      <c r="AG60" s="38"/>
      <c r="AL60" s="37"/>
      <c r="AO60" s="38"/>
      <c r="AP60" s="37"/>
      <c r="AS60" s="38"/>
      <c r="AW60" s="38"/>
      <c r="BA60" s="39"/>
    </row>
    <row r="61" spans="1:53" s="28" customFormat="1" x14ac:dyDescent="0.15">
      <c r="A61" s="51">
        <v>1984</v>
      </c>
      <c r="B61" s="293"/>
      <c r="C61" s="370" t="s">
        <v>391</v>
      </c>
      <c r="D61" s="370"/>
      <c r="E61" s="28">
        <v>204</v>
      </c>
      <c r="G61" s="65"/>
      <c r="I61" s="28">
        <v>23</v>
      </c>
      <c r="J61" s="72">
        <v>23</v>
      </c>
      <c r="K61" s="46">
        <f t="shared" si="0"/>
        <v>0</v>
      </c>
      <c r="L61" s="46">
        <f t="shared" si="1"/>
        <v>0</v>
      </c>
      <c r="M61" s="46">
        <f t="shared" si="2"/>
        <v>100</v>
      </c>
      <c r="N61" s="67">
        <f t="shared" si="3"/>
        <v>100</v>
      </c>
      <c r="O61" s="45"/>
      <c r="P61" s="46"/>
      <c r="Q61" s="46">
        <v>65.7</v>
      </c>
      <c r="R61" s="47">
        <f t="shared" si="4"/>
        <v>65.7</v>
      </c>
      <c r="S61" s="28">
        <v>3</v>
      </c>
      <c r="T61" s="284"/>
      <c r="U61" s="293"/>
      <c r="V61" s="37" t="s">
        <v>95</v>
      </c>
      <c r="W61" s="28" t="s">
        <v>20</v>
      </c>
      <c r="X61" s="28" t="s">
        <v>12</v>
      </c>
      <c r="Y61" s="28">
        <v>56.5</v>
      </c>
      <c r="Z61" s="37" t="s">
        <v>127</v>
      </c>
      <c r="AA61" s="28" t="s">
        <v>113</v>
      </c>
      <c r="AB61" s="28" t="s">
        <v>12</v>
      </c>
      <c r="AC61" s="28">
        <v>9.1999999999999993</v>
      </c>
      <c r="AD61" s="37"/>
      <c r="AG61" s="38"/>
      <c r="AL61" s="37"/>
      <c r="AO61" s="38"/>
      <c r="AP61" s="37"/>
      <c r="AS61" s="38"/>
      <c r="AW61" s="38"/>
      <c r="BA61" s="39"/>
    </row>
    <row r="62" spans="1:53" s="170" customFormat="1" x14ac:dyDescent="0.15">
      <c r="A62" s="215">
        <v>1984</v>
      </c>
      <c r="B62" s="281">
        <v>30886</v>
      </c>
      <c r="C62" s="369" t="s">
        <v>392</v>
      </c>
      <c r="D62" s="369"/>
      <c r="E62" s="170">
        <v>162</v>
      </c>
      <c r="F62" s="170">
        <v>6</v>
      </c>
      <c r="G62" s="232"/>
      <c r="I62" s="170">
        <v>23</v>
      </c>
      <c r="J62" s="240">
        <v>23</v>
      </c>
      <c r="K62" s="213">
        <f t="shared" si="0"/>
        <v>0</v>
      </c>
      <c r="L62" s="213">
        <f t="shared" si="1"/>
        <v>0</v>
      </c>
      <c r="M62" s="213">
        <f t="shared" si="2"/>
        <v>100</v>
      </c>
      <c r="N62" s="234">
        <f t="shared" si="3"/>
        <v>100</v>
      </c>
      <c r="O62" s="212"/>
      <c r="P62" s="213"/>
      <c r="Q62" s="213">
        <v>56.5</v>
      </c>
      <c r="R62" s="214">
        <f t="shared" si="4"/>
        <v>56.5</v>
      </c>
      <c r="S62" s="170">
        <v>1</v>
      </c>
      <c r="T62" s="283"/>
      <c r="U62" s="281">
        <v>30886</v>
      </c>
      <c r="V62" s="177" t="s">
        <v>95</v>
      </c>
      <c r="W62" s="170" t="s">
        <v>20</v>
      </c>
      <c r="X62" s="170" t="s">
        <v>12</v>
      </c>
      <c r="Y62" s="170">
        <v>56.5</v>
      </c>
      <c r="Z62" s="177"/>
      <c r="AD62" s="177"/>
      <c r="AG62" s="178"/>
      <c r="AL62" s="177"/>
      <c r="AO62" s="178"/>
      <c r="AP62" s="177"/>
      <c r="AS62" s="178"/>
      <c r="AW62" s="178"/>
      <c r="BA62" s="179"/>
    </row>
    <row r="63" spans="1:53" s="170" customFormat="1" x14ac:dyDescent="0.15">
      <c r="A63" s="215">
        <v>1985</v>
      </c>
      <c r="B63" s="281"/>
      <c r="C63" s="369" t="s">
        <v>392</v>
      </c>
      <c r="D63" s="369"/>
      <c r="E63" s="170">
        <v>0</v>
      </c>
      <c r="G63" s="232"/>
      <c r="I63" s="170">
        <v>23</v>
      </c>
      <c r="J63" s="240">
        <v>23</v>
      </c>
      <c r="K63" s="213">
        <f t="shared" si="0"/>
        <v>0</v>
      </c>
      <c r="L63" s="213">
        <f t="shared" si="1"/>
        <v>0</v>
      </c>
      <c r="M63" s="213">
        <f t="shared" si="2"/>
        <v>100</v>
      </c>
      <c r="N63" s="234">
        <f t="shared" si="3"/>
        <v>100</v>
      </c>
      <c r="O63" s="212"/>
      <c r="P63" s="213"/>
      <c r="Q63" s="213">
        <v>56.5</v>
      </c>
      <c r="R63" s="214">
        <f t="shared" si="4"/>
        <v>56.5</v>
      </c>
      <c r="S63" s="170">
        <v>1</v>
      </c>
      <c r="T63" s="283"/>
      <c r="U63" s="281"/>
      <c r="V63" s="177" t="s">
        <v>95</v>
      </c>
      <c r="W63" s="170" t="s">
        <v>20</v>
      </c>
      <c r="X63" s="170" t="s">
        <v>12</v>
      </c>
      <c r="Y63" s="170">
        <v>56.5</v>
      </c>
      <c r="Z63" s="177"/>
      <c r="AD63" s="177"/>
      <c r="AG63" s="178"/>
      <c r="AL63" s="177"/>
      <c r="AO63" s="178"/>
      <c r="AP63" s="177"/>
      <c r="AS63" s="178"/>
      <c r="AW63" s="178"/>
      <c r="BA63" s="179"/>
    </row>
    <row r="64" spans="1:53" s="170" customFormat="1" x14ac:dyDescent="0.15">
      <c r="A64" s="215">
        <v>1985</v>
      </c>
      <c r="B64" s="281"/>
      <c r="C64" s="369" t="s">
        <v>392</v>
      </c>
      <c r="D64" s="369"/>
      <c r="E64" s="170">
        <v>365</v>
      </c>
      <c r="G64" s="232"/>
      <c r="I64" s="170">
        <v>23</v>
      </c>
      <c r="J64" s="240">
        <v>23</v>
      </c>
      <c r="K64" s="213">
        <f t="shared" si="0"/>
        <v>0</v>
      </c>
      <c r="L64" s="213">
        <f t="shared" si="1"/>
        <v>0</v>
      </c>
      <c r="M64" s="213">
        <f t="shared" si="2"/>
        <v>100</v>
      </c>
      <c r="N64" s="234">
        <f t="shared" si="3"/>
        <v>100</v>
      </c>
      <c r="O64" s="212"/>
      <c r="P64" s="213"/>
      <c r="Q64" s="213">
        <v>56.5</v>
      </c>
      <c r="R64" s="214">
        <f t="shared" si="4"/>
        <v>56.5</v>
      </c>
      <c r="S64" s="170">
        <v>1</v>
      </c>
      <c r="T64" s="283"/>
      <c r="U64" s="281"/>
      <c r="V64" s="177" t="s">
        <v>95</v>
      </c>
      <c r="W64" s="170" t="s">
        <v>20</v>
      </c>
      <c r="X64" s="170" t="s">
        <v>12</v>
      </c>
      <c r="Y64" s="170">
        <v>56.5</v>
      </c>
      <c r="Z64" s="177"/>
      <c r="AD64" s="177"/>
      <c r="AG64" s="178"/>
      <c r="AL64" s="177"/>
      <c r="AO64" s="178"/>
      <c r="AP64" s="177"/>
      <c r="AS64" s="178"/>
      <c r="AW64" s="178"/>
      <c r="BA64" s="179"/>
    </row>
    <row r="65" spans="1:53" s="170" customFormat="1" x14ac:dyDescent="0.15">
      <c r="A65" s="170">
        <v>1986</v>
      </c>
      <c r="B65" s="281"/>
      <c r="C65" s="369" t="s">
        <v>392</v>
      </c>
      <c r="D65" s="369"/>
      <c r="E65" s="170">
        <v>78</v>
      </c>
      <c r="G65" s="232"/>
      <c r="I65" s="170">
        <v>23</v>
      </c>
      <c r="J65" s="240">
        <v>23</v>
      </c>
      <c r="K65" s="213">
        <f>G65/J65*100</f>
        <v>0</v>
      </c>
      <c r="L65" s="213">
        <f>H65/J65*100</f>
        <v>0</v>
      </c>
      <c r="M65" s="213">
        <f>I65/J65*100</f>
        <v>100</v>
      </c>
      <c r="N65" s="234">
        <f t="shared" si="3"/>
        <v>100</v>
      </c>
      <c r="O65" s="212"/>
      <c r="P65" s="213"/>
      <c r="Q65" s="213">
        <v>56.5</v>
      </c>
      <c r="R65" s="214">
        <f t="shared" si="4"/>
        <v>56.5</v>
      </c>
      <c r="S65" s="170">
        <v>1</v>
      </c>
      <c r="T65" s="283"/>
      <c r="U65" s="281"/>
      <c r="V65" s="177" t="s">
        <v>95</v>
      </c>
      <c r="W65" s="170" t="s">
        <v>20</v>
      </c>
      <c r="X65" s="170" t="s">
        <v>12</v>
      </c>
      <c r="Y65" s="170">
        <v>56.5</v>
      </c>
      <c r="Z65" s="177"/>
      <c r="AD65" s="177"/>
      <c r="AG65" s="178"/>
      <c r="AL65" s="177"/>
      <c r="AO65" s="178"/>
      <c r="AP65" s="177"/>
      <c r="AS65" s="178"/>
      <c r="AW65" s="178"/>
      <c r="BA65" s="179"/>
    </row>
    <row r="66" spans="1:53" s="28" customFormat="1" x14ac:dyDescent="0.15">
      <c r="A66" s="28">
        <v>1986</v>
      </c>
      <c r="B66" s="293">
        <v>31491</v>
      </c>
      <c r="C66" s="370" t="s">
        <v>399</v>
      </c>
      <c r="D66" s="370"/>
      <c r="E66" s="28">
        <v>287</v>
      </c>
      <c r="F66" s="28">
        <v>1</v>
      </c>
      <c r="G66" s="65">
        <v>14</v>
      </c>
      <c r="H66" s="28">
        <v>8</v>
      </c>
      <c r="J66" s="72">
        <v>25</v>
      </c>
      <c r="K66" s="46">
        <f t="shared" ref="K66:K73" si="5">G66/J66*100</f>
        <v>56.000000000000007</v>
      </c>
      <c r="L66" s="46">
        <f t="shared" ref="L66:L73" si="6">H66/J66*100</f>
        <v>32</v>
      </c>
      <c r="M66" s="46">
        <f t="shared" ref="M66:M73" si="7">I66/J66*100</f>
        <v>0</v>
      </c>
      <c r="N66" s="67">
        <f t="shared" si="3"/>
        <v>88</v>
      </c>
      <c r="O66" s="45">
        <v>26.3</v>
      </c>
      <c r="P66" s="46">
        <v>23</v>
      </c>
      <c r="Q66" s="46"/>
      <c r="R66" s="47">
        <f t="shared" si="4"/>
        <v>49.3</v>
      </c>
      <c r="S66" s="28">
        <v>5</v>
      </c>
      <c r="T66" s="284">
        <v>31487</v>
      </c>
      <c r="U66" s="293">
        <v>31491</v>
      </c>
      <c r="V66" s="37" t="s">
        <v>372</v>
      </c>
      <c r="W66" s="28" t="s">
        <v>75</v>
      </c>
      <c r="X66" s="28" t="s">
        <v>11</v>
      </c>
      <c r="Y66" s="28">
        <v>26.3</v>
      </c>
      <c r="Z66" s="37" t="s">
        <v>126</v>
      </c>
      <c r="AA66" s="28" t="s">
        <v>78</v>
      </c>
      <c r="AB66" s="28" t="s">
        <v>18</v>
      </c>
      <c r="AC66" s="28">
        <v>23</v>
      </c>
      <c r="AD66" s="37"/>
      <c r="AG66" s="38"/>
      <c r="AL66" s="37"/>
      <c r="AO66" s="38"/>
      <c r="AP66" s="37"/>
      <c r="AS66" s="38"/>
      <c r="AW66" s="38"/>
      <c r="BA66" s="39"/>
    </row>
    <row r="67" spans="1:53" s="28" customFormat="1" x14ac:dyDescent="0.15">
      <c r="A67" s="28">
        <v>1987</v>
      </c>
      <c r="B67" s="293"/>
      <c r="C67" s="370" t="s">
        <v>399</v>
      </c>
      <c r="D67" s="370"/>
      <c r="E67" s="28">
        <v>0</v>
      </c>
      <c r="G67" s="65">
        <v>14</v>
      </c>
      <c r="H67" s="28">
        <v>8</v>
      </c>
      <c r="J67" s="72">
        <v>25</v>
      </c>
      <c r="K67" s="46">
        <f t="shared" si="5"/>
        <v>56.000000000000007</v>
      </c>
      <c r="L67" s="46">
        <f t="shared" si="6"/>
        <v>32</v>
      </c>
      <c r="M67" s="46">
        <f t="shared" si="7"/>
        <v>0</v>
      </c>
      <c r="N67" s="67">
        <f t="shared" si="3"/>
        <v>88</v>
      </c>
      <c r="O67" s="45">
        <v>26.3</v>
      </c>
      <c r="P67" s="46">
        <v>23</v>
      </c>
      <c r="Q67" s="46"/>
      <c r="R67" s="47">
        <f t="shared" si="4"/>
        <v>49.3</v>
      </c>
      <c r="S67" s="28">
        <v>5</v>
      </c>
      <c r="T67" s="284"/>
      <c r="U67" s="293"/>
      <c r="V67" s="37" t="s">
        <v>372</v>
      </c>
      <c r="W67" s="28" t="s">
        <v>75</v>
      </c>
      <c r="X67" s="28" t="s">
        <v>11</v>
      </c>
      <c r="Y67" s="28">
        <v>26.3</v>
      </c>
      <c r="Z67" s="37" t="s">
        <v>126</v>
      </c>
      <c r="AA67" s="28" t="s">
        <v>78</v>
      </c>
      <c r="AB67" s="28" t="s">
        <v>18</v>
      </c>
      <c r="AC67" s="28">
        <v>23</v>
      </c>
      <c r="AD67" s="37"/>
      <c r="AG67" s="38"/>
      <c r="AL67" s="37"/>
      <c r="AO67" s="38"/>
      <c r="AP67" s="37"/>
      <c r="AS67" s="38"/>
      <c r="AW67" s="38"/>
      <c r="BA67" s="39"/>
    </row>
    <row r="68" spans="1:53" s="28" customFormat="1" x14ac:dyDescent="0.15">
      <c r="A68" s="28">
        <v>1987</v>
      </c>
      <c r="B68" s="293"/>
      <c r="C68" s="370" t="s">
        <v>399</v>
      </c>
      <c r="D68" s="370"/>
      <c r="E68" s="28">
        <v>365</v>
      </c>
      <c r="G68" s="65">
        <v>14</v>
      </c>
      <c r="H68" s="28">
        <v>8</v>
      </c>
      <c r="J68" s="72">
        <v>25</v>
      </c>
      <c r="K68" s="46">
        <f t="shared" si="5"/>
        <v>56.000000000000007</v>
      </c>
      <c r="L68" s="46">
        <f t="shared" si="6"/>
        <v>32</v>
      </c>
      <c r="M68" s="46">
        <f t="shared" si="7"/>
        <v>0</v>
      </c>
      <c r="N68" s="67">
        <f t="shared" si="3"/>
        <v>88</v>
      </c>
      <c r="O68" s="45">
        <v>26.3</v>
      </c>
      <c r="P68" s="46">
        <v>23</v>
      </c>
      <c r="Q68" s="46"/>
      <c r="R68" s="47">
        <f t="shared" si="4"/>
        <v>49.3</v>
      </c>
      <c r="S68" s="28">
        <v>5</v>
      </c>
      <c r="T68" s="284"/>
      <c r="U68" s="293"/>
      <c r="V68" s="37" t="s">
        <v>372</v>
      </c>
      <c r="W68" s="28" t="s">
        <v>75</v>
      </c>
      <c r="X68" s="28" t="s">
        <v>11</v>
      </c>
      <c r="Y68" s="28">
        <v>26.3</v>
      </c>
      <c r="Z68" s="37" t="s">
        <v>126</v>
      </c>
      <c r="AA68" s="28" t="s">
        <v>78</v>
      </c>
      <c r="AB68" s="28" t="s">
        <v>18</v>
      </c>
      <c r="AC68" s="28">
        <v>23</v>
      </c>
      <c r="AD68" s="37"/>
      <c r="AG68" s="38"/>
      <c r="AL68" s="37"/>
      <c r="AO68" s="38"/>
      <c r="AP68" s="37"/>
      <c r="AS68" s="38"/>
      <c r="AW68" s="38"/>
      <c r="BA68" s="39"/>
    </row>
    <row r="69" spans="1:53" s="28" customFormat="1" x14ac:dyDescent="0.15">
      <c r="A69" s="28">
        <v>1988</v>
      </c>
      <c r="B69" s="293"/>
      <c r="C69" s="370" t="s">
        <v>399</v>
      </c>
      <c r="D69" s="370"/>
      <c r="E69" s="28">
        <v>133</v>
      </c>
      <c r="G69" s="65">
        <v>14</v>
      </c>
      <c r="H69" s="28">
        <v>8</v>
      </c>
      <c r="J69" s="72">
        <v>25</v>
      </c>
      <c r="K69" s="46">
        <f t="shared" si="5"/>
        <v>56.000000000000007</v>
      </c>
      <c r="L69" s="46">
        <f t="shared" si="6"/>
        <v>32</v>
      </c>
      <c r="M69" s="46">
        <f t="shared" si="7"/>
        <v>0</v>
      </c>
      <c r="N69" s="67">
        <f t="shared" si="3"/>
        <v>88</v>
      </c>
      <c r="O69" s="45">
        <v>26.3</v>
      </c>
      <c r="P69" s="46">
        <v>23</v>
      </c>
      <c r="Q69" s="46"/>
      <c r="R69" s="47">
        <f t="shared" si="4"/>
        <v>49.3</v>
      </c>
      <c r="S69" s="28">
        <v>5</v>
      </c>
      <c r="T69" s="284"/>
      <c r="U69" s="293"/>
      <c r="V69" s="37" t="s">
        <v>372</v>
      </c>
      <c r="W69" s="28" t="s">
        <v>75</v>
      </c>
      <c r="X69" s="28" t="s">
        <v>11</v>
      </c>
      <c r="Y69" s="28">
        <v>26.3</v>
      </c>
      <c r="Z69" s="37" t="s">
        <v>126</v>
      </c>
      <c r="AA69" s="28" t="s">
        <v>78</v>
      </c>
      <c r="AB69" s="28" t="s">
        <v>18</v>
      </c>
      <c r="AC69" s="28">
        <v>23</v>
      </c>
      <c r="AD69" s="37"/>
      <c r="AG69" s="38"/>
      <c r="AL69" s="37"/>
      <c r="AO69" s="38"/>
      <c r="AP69" s="37"/>
      <c r="AS69" s="38"/>
      <c r="AW69" s="38"/>
      <c r="BA69" s="39"/>
    </row>
    <row r="70" spans="1:53" s="170" customFormat="1" x14ac:dyDescent="0.15">
      <c r="A70" s="170">
        <v>1988</v>
      </c>
      <c r="B70" s="281">
        <v>32276</v>
      </c>
      <c r="C70" s="369" t="s">
        <v>393</v>
      </c>
      <c r="D70" s="369"/>
      <c r="E70" s="170">
        <v>46</v>
      </c>
      <c r="F70" s="170">
        <v>1</v>
      </c>
      <c r="G70" s="232"/>
      <c r="H70" s="170">
        <v>2</v>
      </c>
      <c r="I70" s="170">
        <v>14</v>
      </c>
      <c r="J70" s="240">
        <v>19</v>
      </c>
      <c r="K70" s="213">
        <f>G70/J70*100</f>
        <v>0</v>
      </c>
      <c r="L70" s="213">
        <f>H70/J70*100</f>
        <v>10.526315789473683</v>
      </c>
      <c r="M70" s="213">
        <f>I70/J70*100</f>
        <v>73.68421052631578</v>
      </c>
      <c r="N70" s="234">
        <f t="shared" si="3"/>
        <v>84.210526315789465</v>
      </c>
      <c r="O70" s="212"/>
      <c r="P70" s="213">
        <v>23</v>
      </c>
      <c r="Q70" s="213">
        <v>35.6</v>
      </c>
      <c r="R70" s="214">
        <f t="shared" si="4"/>
        <v>58.6</v>
      </c>
      <c r="S70" s="170">
        <v>2</v>
      </c>
      <c r="T70" s="283"/>
      <c r="U70" s="281">
        <v>32276</v>
      </c>
      <c r="V70" s="177" t="s">
        <v>95</v>
      </c>
      <c r="W70" s="170" t="s">
        <v>20</v>
      </c>
      <c r="X70" s="170" t="s">
        <v>12</v>
      </c>
      <c r="Y70" s="170">
        <v>35.6</v>
      </c>
      <c r="Z70" s="177" t="s">
        <v>126</v>
      </c>
      <c r="AA70" s="170" t="s">
        <v>78</v>
      </c>
      <c r="AB70" s="170" t="s">
        <v>18</v>
      </c>
      <c r="AC70" s="170">
        <v>23</v>
      </c>
      <c r="AD70" s="177"/>
      <c r="AG70" s="178"/>
      <c r="AL70" s="177"/>
      <c r="AO70" s="178"/>
      <c r="AP70" s="177"/>
      <c r="AS70" s="178"/>
      <c r="AW70" s="178"/>
      <c r="BA70" s="179"/>
    </row>
    <row r="71" spans="1:53" s="28" customFormat="1" x14ac:dyDescent="0.15">
      <c r="A71" s="28">
        <v>1988</v>
      </c>
      <c r="B71" s="293">
        <v>32322</v>
      </c>
      <c r="C71" s="370" t="s">
        <v>394</v>
      </c>
      <c r="D71" s="370"/>
      <c r="E71" s="28">
        <v>187</v>
      </c>
      <c r="F71" s="28">
        <v>6</v>
      </c>
      <c r="G71" s="65"/>
      <c r="I71" s="28">
        <v>14</v>
      </c>
      <c r="J71" s="72">
        <v>20</v>
      </c>
      <c r="K71" s="46">
        <f t="shared" si="5"/>
        <v>0</v>
      </c>
      <c r="L71" s="46">
        <f t="shared" si="6"/>
        <v>0</v>
      </c>
      <c r="M71" s="46">
        <f t="shared" si="7"/>
        <v>70</v>
      </c>
      <c r="N71" s="67">
        <f t="shared" si="3"/>
        <v>70</v>
      </c>
      <c r="O71" s="45"/>
      <c r="P71" s="46"/>
      <c r="Q71" s="46">
        <v>48.4</v>
      </c>
      <c r="R71" s="47">
        <f t="shared" si="4"/>
        <v>48.4</v>
      </c>
      <c r="S71" s="28">
        <v>5</v>
      </c>
      <c r="T71" s="284">
        <v>32299</v>
      </c>
      <c r="U71" s="293">
        <v>32322</v>
      </c>
      <c r="V71" s="37" t="s">
        <v>95</v>
      </c>
      <c r="W71" s="28" t="s">
        <v>20</v>
      </c>
      <c r="X71" s="28" t="s">
        <v>12</v>
      </c>
      <c r="Y71" s="38">
        <v>46.8</v>
      </c>
      <c r="Z71" s="28" t="s">
        <v>125</v>
      </c>
      <c r="AA71" s="28" t="s">
        <v>87</v>
      </c>
      <c r="AB71" s="28" t="s">
        <v>12</v>
      </c>
      <c r="AC71" s="28">
        <v>1.6</v>
      </c>
      <c r="AD71" s="37" t="s">
        <v>396</v>
      </c>
      <c r="AE71" s="28" t="s">
        <v>217</v>
      </c>
      <c r="AF71" s="28" t="s">
        <v>12</v>
      </c>
      <c r="AG71" s="38">
        <v>0</v>
      </c>
      <c r="AL71" s="37"/>
      <c r="AO71" s="38"/>
      <c r="AP71" s="37"/>
      <c r="AS71" s="38"/>
      <c r="AW71" s="38"/>
      <c r="BA71" s="39"/>
    </row>
    <row r="72" spans="1:53" s="28" customFormat="1" x14ac:dyDescent="0.15">
      <c r="A72" s="28">
        <v>1989</v>
      </c>
      <c r="B72" s="293"/>
      <c r="C72" s="370" t="s">
        <v>394</v>
      </c>
      <c r="D72" s="370"/>
      <c r="E72" s="28">
        <v>0</v>
      </c>
      <c r="G72" s="65"/>
      <c r="I72" s="28">
        <v>14</v>
      </c>
      <c r="J72" s="72">
        <v>20</v>
      </c>
      <c r="K72" s="46">
        <f t="shared" si="5"/>
        <v>0</v>
      </c>
      <c r="L72" s="46">
        <f t="shared" si="6"/>
        <v>0</v>
      </c>
      <c r="M72" s="46">
        <f t="shared" si="7"/>
        <v>70</v>
      </c>
      <c r="N72" s="67">
        <f t="shared" si="3"/>
        <v>70</v>
      </c>
      <c r="O72" s="45"/>
      <c r="P72" s="46"/>
      <c r="Q72" s="46">
        <v>48.4</v>
      </c>
      <c r="R72" s="47">
        <f t="shared" si="4"/>
        <v>48.4</v>
      </c>
      <c r="S72" s="28">
        <v>5</v>
      </c>
      <c r="T72" s="284"/>
      <c r="U72" s="293"/>
      <c r="V72" s="37" t="s">
        <v>95</v>
      </c>
      <c r="W72" s="28" t="s">
        <v>20</v>
      </c>
      <c r="X72" s="28" t="s">
        <v>12</v>
      </c>
      <c r="Y72" s="38">
        <v>46.8</v>
      </c>
      <c r="Z72" s="28" t="s">
        <v>125</v>
      </c>
      <c r="AA72" s="28" t="s">
        <v>87</v>
      </c>
      <c r="AB72" s="28" t="s">
        <v>12</v>
      </c>
      <c r="AC72" s="28">
        <v>1.6</v>
      </c>
      <c r="AD72" s="37" t="s">
        <v>396</v>
      </c>
      <c r="AE72" s="28" t="s">
        <v>217</v>
      </c>
      <c r="AF72" s="28" t="s">
        <v>12</v>
      </c>
      <c r="AG72" s="38">
        <v>0</v>
      </c>
      <c r="AL72" s="37"/>
      <c r="AO72" s="38"/>
      <c r="AP72" s="37"/>
      <c r="AS72" s="38"/>
      <c r="AW72" s="38"/>
      <c r="BA72" s="39"/>
    </row>
    <row r="73" spans="1:53" s="73" customFormat="1" x14ac:dyDescent="0.15">
      <c r="A73" s="73">
        <v>1989</v>
      </c>
      <c r="B73" s="300"/>
      <c r="C73" s="401" t="s">
        <v>394</v>
      </c>
      <c r="D73" s="401"/>
      <c r="E73" s="73">
        <f>365-E72</f>
        <v>365</v>
      </c>
      <c r="G73" s="74"/>
      <c r="I73" s="73">
        <v>14</v>
      </c>
      <c r="J73" s="75">
        <v>20</v>
      </c>
      <c r="K73" s="76">
        <f t="shared" si="5"/>
        <v>0</v>
      </c>
      <c r="L73" s="76">
        <f t="shared" si="6"/>
        <v>0</v>
      </c>
      <c r="M73" s="76">
        <f t="shared" si="7"/>
        <v>70</v>
      </c>
      <c r="N73" s="77">
        <f t="shared" ref="N73:N129" si="8">SUM(K73:M73)</f>
        <v>70</v>
      </c>
      <c r="O73" s="78"/>
      <c r="P73" s="76"/>
      <c r="Q73" s="76">
        <v>48.4</v>
      </c>
      <c r="R73" s="79">
        <f t="shared" ref="R73:R126" si="9">SUM(O73:Q73)</f>
        <v>48.4</v>
      </c>
      <c r="S73" s="73">
        <v>5</v>
      </c>
      <c r="T73" s="302"/>
      <c r="U73" s="300"/>
      <c r="V73" s="80" t="s">
        <v>95</v>
      </c>
      <c r="W73" s="73" t="s">
        <v>20</v>
      </c>
      <c r="X73" s="73" t="s">
        <v>12</v>
      </c>
      <c r="Y73" s="81">
        <v>46.8</v>
      </c>
      <c r="Z73" s="73" t="s">
        <v>125</v>
      </c>
      <c r="AA73" s="73" t="s">
        <v>87</v>
      </c>
      <c r="AB73" s="73" t="s">
        <v>12</v>
      </c>
      <c r="AC73" s="73">
        <v>1.6</v>
      </c>
      <c r="AD73" s="80" t="s">
        <v>396</v>
      </c>
      <c r="AE73" s="73" t="s">
        <v>217</v>
      </c>
      <c r="AF73" s="73" t="s">
        <v>12</v>
      </c>
      <c r="AG73" s="81">
        <v>0</v>
      </c>
      <c r="AL73" s="80"/>
      <c r="AO73" s="81"/>
      <c r="AP73" s="80"/>
      <c r="AS73" s="81"/>
      <c r="AW73" s="81"/>
      <c r="BA73" s="82"/>
    </row>
    <row r="74" spans="1:53" s="28" customFormat="1" x14ac:dyDescent="0.15">
      <c r="A74" s="28">
        <v>1990</v>
      </c>
      <c r="B74" s="293"/>
      <c r="C74" s="370" t="s">
        <v>394</v>
      </c>
      <c r="D74" s="370"/>
      <c r="E74" s="28">
        <v>0</v>
      </c>
      <c r="G74" s="65"/>
      <c r="I74" s="28">
        <v>14</v>
      </c>
      <c r="J74" s="72">
        <v>20</v>
      </c>
      <c r="K74" s="46">
        <v>0</v>
      </c>
      <c r="L74" s="46">
        <v>0</v>
      </c>
      <c r="M74" s="46">
        <v>70</v>
      </c>
      <c r="N74" s="67">
        <f t="shared" si="8"/>
        <v>70</v>
      </c>
      <c r="O74" s="45"/>
      <c r="P74" s="46"/>
      <c r="Q74" s="46">
        <v>48.4</v>
      </c>
      <c r="R74" s="47">
        <f t="shared" si="9"/>
        <v>48.4</v>
      </c>
      <c r="S74" s="28">
        <v>5</v>
      </c>
      <c r="T74" s="284"/>
      <c r="U74" s="293"/>
      <c r="V74" s="37" t="s">
        <v>95</v>
      </c>
      <c r="W74" s="28" t="s">
        <v>20</v>
      </c>
      <c r="X74" s="28" t="s">
        <v>12</v>
      </c>
      <c r="Y74" s="38">
        <v>46.8</v>
      </c>
      <c r="Z74" s="28" t="s">
        <v>125</v>
      </c>
      <c r="AA74" s="28" t="s">
        <v>87</v>
      </c>
      <c r="AB74" s="28" t="s">
        <v>12</v>
      </c>
      <c r="AC74" s="28">
        <v>1.6</v>
      </c>
      <c r="AD74" s="37" t="s">
        <v>396</v>
      </c>
      <c r="AE74" s="28" t="s">
        <v>217</v>
      </c>
      <c r="AF74" s="28" t="s">
        <v>12</v>
      </c>
      <c r="AG74" s="38">
        <v>0</v>
      </c>
      <c r="AL74" s="37"/>
      <c r="AO74" s="38"/>
      <c r="AP74" s="37"/>
      <c r="AS74" s="38"/>
      <c r="AW74" s="38"/>
      <c r="BA74" s="39"/>
    </row>
    <row r="75" spans="1:53" s="28" customFormat="1" x14ac:dyDescent="0.15">
      <c r="A75" s="28">
        <v>1990</v>
      </c>
      <c r="B75" s="293"/>
      <c r="C75" s="370" t="s">
        <v>394</v>
      </c>
      <c r="D75" s="370"/>
      <c r="E75" s="28">
        <f>365-E74</f>
        <v>365</v>
      </c>
      <c r="G75" s="65"/>
      <c r="I75" s="28">
        <v>14</v>
      </c>
      <c r="J75" s="72">
        <v>20</v>
      </c>
      <c r="K75" s="46">
        <f>G75/J75*100</f>
        <v>0</v>
      </c>
      <c r="L75" s="46">
        <f>H75/J75*100</f>
        <v>0</v>
      </c>
      <c r="M75" s="46">
        <f>I75/J75*100</f>
        <v>70</v>
      </c>
      <c r="N75" s="67">
        <f t="shared" si="8"/>
        <v>70</v>
      </c>
      <c r="O75" s="45"/>
      <c r="P75" s="46"/>
      <c r="Q75" s="46">
        <v>48.4</v>
      </c>
      <c r="R75" s="47">
        <f t="shared" si="9"/>
        <v>48.4</v>
      </c>
      <c r="S75" s="28">
        <v>5</v>
      </c>
      <c r="T75" s="284"/>
      <c r="U75" s="293"/>
      <c r="V75" s="37" t="s">
        <v>95</v>
      </c>
      <c r="W75" s="28" t="s">
        <v>20</v>
      </c>
      <c r="X75" s="28" t="s">
        <v>12</v>
      </c>
      <c r="Y75" s="38">
        <v>46.8</v>
      </c>
      <c r="Z75" s="28" t="s">
        <v>125</v>
      </c>
      <c r="AA75" s="28" t="s">
        <v>87</v>
      </c>
      <c r="AB75" s="28" t="s">
        <v>12</v>
      </c>
      <c r="AC75" s="28">
        <v>1.6</v>
      </c>
      <c r="AD75" s="37" t="s">
        <v>396</v>
      </c>
      <c r="AE75" s="28" t="s">
        <v>217</v>
      </c>
      <c r="AF75" s="28" t="s">
        <v>12</v>
      </c>
      <c r="AG75" s="38">
        <v>0</v>
      </c>
      <c r="AL75" s="37"/>
      <c r="AO75" s="38"/>
      <c r="AP75" s="37"/>
      <c r="AS75" s="38"/>
      <c r="AW75" s="38"/>
      <c r="BA75" s="39"/>
    </row>
    <row r="76" spans="1:53" s="28" customFormat="1" x14ac:dyDescent="0.15">
      <c r="A76" s="28">
        <v>1991</v>
      </c>
      <c r="B76" s="293"/>
      <c r="C76" s="370" t="s">
        <v>394</v>
      </c>
      <c r="D76" s="370"/>
      <c r="E76" s="28">
        <v>134</v>
      </c>
      <c r="G76" s="65"/>
      <c r="I76" s="28">
        <v>14</v>
      </c>
      <c r="J76" s="72">
        <v>20</v>
      </c>
      <c r="K76" s="46">
        <f>G76/J76*100</f>
        <v>0</v>
      </c>
      <c r="L76" s="46">
        <f>H76/J76*100</f>
        <v>0</v>
      </c>
      <c r="M76" s="46">
        <f>I76/J76*100</f>
        <v>70</v>
      </c>
      <c r="N76" s="67">
        <f t="shared" si="8"/>
        <v>70</v>
      </c>
      <c r="O76" s="45"/>
      <c r="P76" s="46"/>
      <c r="Q76" s="46">
        <v>48.4</v>
      </c>
      <c r="R76" s="47">
        <f t="shared" si="9"/>
        <v>48.4</v>
      </c>
      <c r="S76" s="28">
        <v>5</v>
      </c>
      <c r="T76" s="284"/>
      <c r="U76" s="293"/>
      <c r="V76" s="37" t="s">
        <v>95</v>
      </c>
      <c r="W76" s="28" t="s">
        <v>20</v>
      </c>
      <c r="X76" s="28" t="s">
        <v>12</v>
      </c>
      <c r="Y76" s="38">
        <v>46.8</v>
      </c>
      <c r="Z76" s="28" t="s">
        <v>125</v>
      </c>
      <c r="AA76" s="28" t="s">
        <v>87</v>
      </c>
      <c r="AB76" s="28" t="s">
        <v>12</v>
      </c>
      <c r="AC76" s="28">
        <v>1.6</v>
      </c>
      <c r="AD76" s="37" t="s">
        <v>396</v>
      </c>
      <c r="AE76" s="28" t="s">
        <v>217</v>
      </c>
      <c r="AF76" s="28" t="s">
        <v>12</v>
      </c>
      <c r="AG76" s="38">
        <v>0</v>
      </c>
      <c r="AL76" s="37"/>
      <c r="AO76" s="38"/>
      <c r="AP76" s="37"/>
      <c r="AS76" s="38"/>
      <c r="AW76" s="38"/>
      <c r="BA76" s="39"/>
    </row>
    <row r="77" spans="1:53" s="170" customFormat="1" x14ac:dyDescent="0.15">
      <c r="A77" s="170">
        <v>1991</v>
      </c>
      <c r="B77" s="281">
        <v>33373</v>
      </c>
      <c r="C77" s="395" t="s">
        <v>395</v>
      </c>
      <c r="D77" s="395"/>
      <c r="E77" s="170">
        <f>365-E76</f>
        <v>231</v>
      </c>
      <c r="F77" s="170">
        <v>6</v>
      </c>
      <c r="G77" s="232"/>
      <c r="I77" s="170">
        <v>17</v>
      </c>
      <c r="J77" s="240">
        <v>20</v>
      </c>
      <c r="K77" s="213">
        <f>G77/J77*100</f>
        <v>0</v>
      </c>
      <c r="L77" s="213">
        <f>H77/J77*100</f>
        <v>0</v>
      </c>
      <c r="M77" s="213">
        <f>I77/J77*100</f>
        <v>85</v>
      </c>
      <c r="N77" s="234">
        <f t="shared" si="8"/>
        <v>85</v>
      </c>
      <c r="O77" s="212"/>
      <c r="P77" s="213"/>
      <c r="Q77" s="213">
        <v>48.4</v>
      </c>
      <c r="R77" s="214">
        <f t="shared" si="9"/>
        <v>48.4</v>
      </c>
      <c r="S77" s="170">
        <v>5</v>
      </c>
      <c r="T77" s="283"/>
      <c r="U77" s="281">
        <v>33373</v>
      </c>
      <c r="V77" s="177" t="s">
        <v>95</v>
      </c>
      <c r="W77" s="170" t="s">
        <v>20</v>
      </c>
      <c r="X77" s="170" t="s">
        <v>12</v>
      </c>
      <c r="Y77" s="178">
        <v>46.8</v>
      </c>
      <c r="Z77" s="170" t="s">
        <v>125</v>
      </c>
      <c r="AA77" s="170" t="s">
        <v>87</v>
      </c>
      <c r="AB77" s="170" t="s">
        <v>12</v>
      </c>
      <c r="AC77" s="170">
        <v>1.6</v>
      </c>
      <c r="AD77" s="177" t="s">
        <v>396</v>
      </c>
      <c r="AE77" s="170" t="s">
        <v>217</v>
      </c>
      <c r="AF77" s="170" t="s">
        <v>12</v>
      </c>
      <c r="AG77" s="178">
        <v>0</v>
      </c>
      <c r="AL77" s="177"/>
      <c r="AO77" s="178"/>
      <c r="AP77" s="177"/>
      <c r="AS77" s="178"/>
      <c r="AW77" s="178"/>
      <c r="BA77" s="179"/>
    </row>
    <row r="78" spans="1:53" s="170" customFormat="1" x14ac:dyDescent="0.15">
      <c r="A78" s="170">
        <v>1992</v>
      </c>
      <c r="B78" s="281"/>
      <c r="C78" s="395" t="s">
        <v>395</v>
      </c>
      <c r="D78" s="395"/>
      <c r="E78" s="170">
        <v>92</v>
      </c>
      <c r="G78" s="232"/>
      <c r="I78" s="170">
        <v>17</v>
      </c>
      <c r="J78" s="240">
        <v>20</v>
      </c>
      <c r="K78" s="213">
        <f>G78/J78*100</f>
        <v>0</v>
      </c>
      <c r="L78" s="213">
        <f>H78/J78*100</f>
        <v>0</v>
      </c>
      <c r="M78" s="213">
        <f>I78/J78*100</f>
        <v>85</v>
      </c>
      <c r="N78" s="234">
        <f t="shared" si="8"/>
        <v>85</v>
      </c>
      <c r="O78" s="212"/>
      <c r="P78" s="213"/>
      <c r="Q78" s="213">
        <v>48.4</v>
      </c>
      <c r="R78" s="214">
        <f t="shared" si="9"/>
        <v>48.4</v>
      </c>
      <c r="S78" s="170">
        <v>5</v>
      </c>
      <c r="T78" s="283"/>
      <c r="U78" s="281"/>
      <c r="V78" s="177" t="s">
        <v>95</v>
      </c>
      <c r="W78" s="170" t="s">
        <v>20</v>
      </c>
      <c r="X78" s="170" t="s">
        <v>12</v>
      </c>
      <c r="Y78" s="178">
        <v>46.8</v>
      </c>
      <c r="Z78" s="170" t="s">
        <v>125</v>
      </c>
      <c r="AA78" s="170" t="s">
        <v>87</v>
      </c>
      <c r="AB78" s="170" t="s">
        <v>12</v>
      </c>
      <c r="AC78" s="170">
        <v>1.6</v>
      </c>
      <c r="AD78" s="177" t="s">
        <v>396</v>
      </c>
      <c r="AE78" s="170" t="s">
        <v>217</v>
      </c>
      <c r="AF78" s="170" t="s">
        <v>12</v>
      </c>
      <c r="AG78" s="178">
        <v>0</v>
      </c>
      <c r="AL78" s="177"/>
      <c r="AO78" s="178"/>
      <c r="AP78" s="177"/>
      <c r="AS78" s="178"/>
      <c r="AW78" s="178"/>
      <c r="BA78" s="179"/>
    </row>
    <row r="79" spans="1:53" s="28" customFormat="1" x14ac:dyDescent="0.15">
      <c r="A79" s="28">
        <v>1992</v>
      </c>
      <c r="B79" s="293">
        <v>33696</v>
      </c>
      <c r="C79" s="394" t="s">
        <v>397</v>
      </c>
      <c r="D79" s="394"/>
      <c r="E79" s="28">
        <v>274</v>
      </c>
      <c r="F79" s="28">
        <v>6</v>
      </c>
      <c r="G79" s="65"/>
      <c r="I79" s="28">
        <v>20</v>
      </c>
      <c r="J79" s="72">
        <v>27</v>
      </c>
      <c r="K79" s="46">
        <f>G79/J79*100</f>
        <v>0</v>
      </c>
      <c r="L79" s="46">
        <f>H79/J79*100</f>
        <v>0</v>
      </c>
      <c r="M79" s="46">
        <f>I79/J79*100</f>
        <v>74.074074074074076</v>
      </c>
      <c r="N79" s="67">
        <f t="shared" si="8"/>
        <v>74.074074074074076</v>
      </c>
      <c r="O79" s="45"/>
      <c r="P79" s="46"/>
      <c r="Q79" s="46">
        <v>48.4</v>
      </c>
      <c r="R79" s="47">
        <f t="shared" si="9"/>
        <v>48.4</v>
      </c>
      <c r="S79" s="28">
        <v>5</v>
      </c>
      <c r="T79" s="284"/>
      <c r="U79" s="293">
        <v>33696</v>
      </c>
      <c r="V79" s="37" t="s">
        <v>95</v>
      </c>
      <c r="W79" s="28" t="s">
        <v>20</v>
      </c>
      <c r="X79" s="28" t="s">
        <v>12</v>
      </c>
      <c r="Y79" s="38">
        <v>46.8</v>
      </c>
      <c r="Z79" s="28" t="s">
        <v>125</v>
      </c>
      <c r="AA79" s="28" t="s">
        <v>87</v>
      </c>
      <c r="AB79" s="28" t="s">
        <v>12</v>
      </c>
      <c r="AC79" s="28">
        <v>1.6</v>
      </c>
      <c r="AD79" s="37"/>
      <c r="AG79" s="38"/>
      <c r="AL79" s="37"/>
      <c r="AO79" s="38"/>
      <c r="AP79" s="37"/>
      <c r="AS79" s="38"/>
      <c r="AW79" s="38"/>
      <c r="BA79" s="39"/>
    </row>
    <row r="80" spans="1:53" s="28" customFormat="1" x14ac:dyDescent="0.15">
      <c r="A80" s="28">
        <v>1993</v>
      </c>
      <c r="B80" s="293"/>
      <c r="C80" s="394" t="s">
        <v>397</v>
      </c>
      <c r="D80" s="394"/>
      <c r="E80" s="28">
        <v>87</v>
      </c>
      <c r="G80" s="65"/>
      <c r="I80" s="28">
        <v>20</v>
      </c>
      <c r="J80" s="72">
        <v>27</v>
      </c>
      <c r="K80" s="46">
        <f t="shared" ref="K80:K107" si="10">G80/J80*100</f>
        <v>0</v>
      </c>
      <c r="L80" s="46">
        <f t="shared" ref="L80:L107" si="11">H80/J80*100</f>
        <v>0</v>
      </c>
      <c r="M80" s="46">
        <f t="shared" ref="M80:M107" si="12">I80/J80*100</f>
        <v>74.074074074074076</v>
      </c>
      <c r="N80" s="67">
        <f t="shared" si="8"/>
        <v>74.074074074074076</v>
      </c>
      <c r="O80" s="45"/>
      <c r="P80" s="46"/>
      <c r="Q80" s="46">
        <v>48.4</v>
      </c>
      <c r="R80" s="47">
        <f t="shared" si="9"/>
        <v>48.4</v>
      </c>
      <c r="S80" s="28">
        <v>5</v>
      </c>
      <c r="T80" s="284"/>
      <c r="U80" s="293"/>
      <c r="V80" s="37" t="s">
        <v>95</v>
      </c>
      <c r="W80" s="28" t="s">
        <v>20</v>
      </c>
      <c r="X80" s="28" t="s">
        <v>12</v>
      </c>
      <c r="Y80" s="38">
        <v>46.8</v>
      </c>
      <c r="Z80" s="28" t="s">
        <v>125</v>
      </c>
      <c r="AA80" s="28" t="s">
        <v>87</v>
      </c>
      <c r="AB80" s="28" t="s">
        <v>12</v>
      </c>
      <c r="AC80" s="28">
        <v>1.6</v>
      </c>
      <c r="AD80" s="37"/>
      <c r="AG80" s="38"/>
      <c r="AL80" s="37"/>
      <c r="AO80" s="38"/>
      <c r="AP80" s="37"/>
      <c r="AS80" s="38"/>
      <c r="AW80" s="38"/>
      <c r="BA80" s="39"/>
    </row>
    <row r="81" spans="1:53" s="170" customFormat="1" x14ac:dyDescent="0.15">
      <c r="A81" s="170">
        <v>1993</v>
      </c>
      <c r="B81" s="281">
        <v>34057</v>
      </c>
      <c r="C81" s="395" t="s">
        <v>398</v>
      </c>
      <c r="D81" s="395"/>
      <c r="E81" s="170">
        <f>365-E80</f>
        <v>278</v>
      </c>
      <c r="F81" s="170">
        <v>1</v>
      </c>
      <c r="G81" s="232">
        <v>15</v>
      </c>
      <c r="H81" s="170">
        <v>14</v>
      </c>
      <c r="J81" s="240">
        <v>30</v>
      </c>
      <c r="K81" s="213">
        <f t="shared" si="10"/>
        <v>50</v>
      </c>
      <c r="L81" s="213">
        <f t="shared" si="11"/>
        <v>46.666666666666664</v>
      </c>
      <c r="M81" s="213">
        <f t="shared" si="12"/>
        <v>0</v>
      </c>
      <c r="N81" s="234">
        <f t="shared" si="8"/>
        <v>96.666666666666657</v>
      </c>
      <c r="O81" s="212">
        <v>44.5</v>
      </c>
      <c r="P81" s="213">
        <v>37.299999999999997</v>
      </c>
      <c r="Q81" s="213"/>
      <c r="R81" s="214">
        <f t="shared" si="9"/>
        <v>81.8</v>
      </c>
      <c r="S81" s="170">
        <v>2</v>
      </c>
      <c r="T81" s="283">
        <v>34056</v>
      </c>
      <c r="U81" s="281">
        <v>34057</v>
      </c>
      <c r="V81" s="177" t="s">
        <v>372</v>
      </c>
      <c r="W81" s="170" t="s">
        <v>75</v>
      </c>
      <c r="X81" s="170" t="s">
        <v>11</v>
      </c>
      <c r="Y81" s="178">
        <v>44.5</v>
      </c>
      <c r="Z81" s="177" t="s">
        <v>126</v>
      </c>
      <c r="AA81" s="170" t="s">
        <v>78</v>
      </c>
      <c r="AB81" s="170" t="s">
        <v>18</v>
      </c>
      <c r="AC81" s="170">
        <v>37.299999999999997</v>
      </c>
      <c r="AD81" s="177"/>
      <c r="AG81" s="178"/>
      <c r="AL81" s="177"/>
      <c r="AO81" s="178"/>
      <c r="AP81" s="177"/>
      <c r="AS81" s="178"/>
      <c r="AW81" s="178"/>
      <c r="BA81" s="179"/>
    </row>
    <row r="82" spans="1:53" s="170" customFormat="1" x14ac:dyDescent="0.15">
      <c r="A82" s="170">
        <v>1994</v>
      </c>
      <c r="B82" s="281"/>
      <c r="C82" s="395" t="s">
        <v>398</v>
      </c>
      <c r="D82" s="395"/>
      <c r="E82" s="170">
        <v>0</v>
      </c>
      <c r="G82" s="232">
        <v>14</v>
      </c>
      <c r="H82" s="170">
        <v>14</v>
      </c>
      <c r="J82" s="240">
        <v>29</v>
      </c>
      <c r="K82" s="213">
        <f t="shared" si="10"/>
        <v>48.275862068965516</v>
      </c>
      <c r="L82" s="213">
        <f t="shared" si="11"/>
        <v>48.275862068965516</v>
      </c>
      <c r="M82" s="213">
        <f t="shared" si="12"/>
        <v>0</v>
      </c>
      <c r="N82" s="234">
        <f t="shared" si="8"/>
        <v>96.551724137931032</v>
      </c>
      <c r="O82" s="212">
        <v>44.5</v>
      </c>
      <c r="P82" s="213">
        <v>37.299999999999997</v>
      </c>
      <c r="Q82" s="213"/>
      <c r="R82" s="214">
        <f t="shared" si="9"/>
        <v>81.8</v>
      </c>
      <c r="S82" s="170">
        <v>2</v>
      </c>
      <c r="T82" s="283"/>
      <c r="U82" s="281"/>
      <c r="V82" s="177" t="s">
        <v>372</v>
      </c>
      <c r="W82" s="170" t="s">
        <v>75</v>
      </c>
      <c r="X82" s="170" t="s">
        <v>11</v>
      </c>
      <c r="Y82" s="178">
        <v>44.5</v>
      </c>
      <c r="Z82" s="177" t="s">
        <v>126</v>
      </c>
      <c r="AA82" s="170" t="s">
        <v>78</v>
      </c>
      <c r="AB82" s="170" t="s">
        <v>18</v>
      </c>
      <c r="AC82" s="170">
        <v>37.299999999999997</v>
      </c>
      <c r="AD82" s="177"/>
      <c r="AG82" s="178"/>
      <c r="AL82" s="177"/>
      <c r="AO82" s="178"/>
      <c r="AP82" s="177"/>
      <c r="AS82" s="178"/>
      <c r="AW82" s="178"/>
      <c r="BA82" s="179"/>
    </row>
    <row r="83" spans="1:53" s="170" customFormat="1" x14ac:dyDescent="0.15">
      <c r="A83" s="170">
        <v>1994</v>
      </c>
      <c r="B83" s="281"/>
      <c r="C83" s="395" t="s">
        <v>398</v>
      </c>
      <c r="D83" s="395"/>
      <c r="E83" s="170">
        <f>365-E82</f>
        <v>365</v>
      </c>
      <c r="G83" s="232">
        <v>14</v>
      </c>
      <c r="H83" s="170">
        <v>14</v>
      </c>
      <c r="J83" s="240">
        <v>29</v>
      </c>
      <c r="K83" s="213">
        <f t="shared" si="10"/>
        <v>48.275862068965516</v>
      </c>
      <c r="L83" s="213">
        <f t="shared" si="11"/>
        <v>48.275862068965516</v>
      </c>
      <c r="M83" s="213">
        <f t="shared" si="12"/>
        <v>0</v>
      </c>
      <c r="N83" s="234">
        <f t="shared" si="8"/>
        <v>96.551724137931032</v>
      </c>
      <c r="O83" s="212">
        <v>44.5</v>
      </c>
      <c r="P83" s="213">
        <v>37.299999999999997</v>
      </c>
      <c r="Q83" s="213"/>
      <c r="R83" s="214">
        <f t="shared" si="9"/>
        <v>81.8</v>
      </c>
      <c r="S83" s="170">
        <v>2</v>
      </c>
      <c r="T83" s="283"/>
      <c r="U83" s="281"/>
      <c r="V83" s="177" t="s">
        <v>372</v>
      </c>
      <c r="W83" s="170" t="s">
        <v>75</v>
      </c>
      <c r="X83" s="170" t="s">
        <v>11</v>
      </c>
      <c r="Y83" s="178">
        <v>44.5</v>
      </c>
      <c r="Z83" s="177" t="s">
        <v>126</v>
      </c>
      <c r="AA83" s="170" t="s">
        <v>78</v>
      </c>
      <c r="AB83" s="170" t="s">
        <v>18</v>
      </c>
      <c r="AC83" s="170">
        <v>37.299999999999997</v>
      </c>
      <c r="AD83" s="177"/>
      <c r="AG83" s="178"/>
      <c r="AL83" s="177"/>
      <c r="AO83" s="178"/>
      <c r="AP83" s="177"/>
      <c r="AS83" s="178"/>
      <c r="AW83" s="178"/>
      <c r="BA83" s="179"/>
    </row>
    <row r="84" spans="1:53" s="170" customFormat="1" x14ac:dyDescent="0.15">
      <c r="A84" s="170">
        <v>1995</v>
      </c>
      <c r="B84" s="281"/>
      <c r="C84" s="395" t="s">
        <v>398</v>
      </c>
      <c r="D84" s="395"/>
      <c r="E84" s="170">
        <v>137</v>
      </c>
      <c r="G84" s="232">
        <v>14</v>
      </c>
      <c r="H84" s="170">
        <v>14</v>
      </c>
      <c r="J84" s="240">
        <v>29</v>
      </c>
      <c r="K84" s="213">
        <f t="shared" si="10"/>
        <v>48.275862068965516</v>
      </c>
      <c r="L84" s="213">
        <f t="shared" si="11"/>
        <v>48.275862068965516</v>
      </c>
      <c r="M84" s="213">
        <f t="shared" si="12"/>
        <v>0</v>
      </c>
      <c r="N84" s="234">
        <f t="shared" si="8"/>
        <v>96.551724137931032</v>
      </c>
      <c r="O84" s="212">
        <v>44.5</v>
      </c>
      <c r="P84" s="213">
        <v>37.299999999999997</v>
      </c>
      <c r="Q84" s="213"/>
      <c r="R84" s="214">
        <f t="shared" si="9"/>
        <v>81.8</v>
      </c>
      <c r="S84" s="170">
        <v>2</v>
      </c>
      <c r="T84" s="283"/>
      <c r="U84" s="281"/>
      <c r="V84" s="177" t="s">
        <v>372</v>
      </c>
      <c r="W84" s="170" t="s">
        <v>75</v>
      </c>
      <c r="X84" s="170" t="s">
        <v>11</v>
      </c>
      <c r="Y84" s="178">
        <v>44.5</v>
      </c>
      <c r="Z84" s="177" t="s">
        <v>126</v>
      </c>
      <c r="AA84" s="170" t="s">
        <v>78</v>
      </c>
      <c r="AB84" s="170" t="s">
        <v>18</v>
      </c>
      <c r="AC84" s="170">
        <v>37.299999999999997</v>
      </c>
      <c r="AD84" s="177"/>
      <c r="AG84" s="178"/>
      <c r="AL84" s="177"/>
      <c r="AO84" s="178"/>
      <c r="AP84" s="177"/>
      <c r="AS84" s="178"/>
      <c r="AW84" s="178"/>
      <c r="BA84" s="179"/>
    </row>
    <row r="85" spans="1:53" s="28" customFormat="1" x14ac:dyDescent="0.15">
      <c r="A85" s="28">
        <v>1995</v>
      </c>
      <c r="B85" s="293">
        <v>34837</v>
      </c>
      <c r="C85" s="394" t="s">
        <v>400</v>
      </c>
      <c r="D85" s="394"/>
      <c r="E85" s="28">
        <v>173</v>
      </c>
      <c r="F85" s="28">
        <v>2</v>
      </c>
      <c r="G85" s="65">
        <v>17</v>
      </c>
      <c r="H85" s="28">
        <v>11</v>
      </c>
      <c r="J85" s="72">
        <v>29</v>
      </c>
      <c r="K85" s="46">
        <f>G85/J85*100</f>
        <v>58.620689655172406</v>
      </c>
      <c r="L85" s="46">
        <f>H85/J85*100</f>
        <v>37.931034482758619</v>
      </c>
      <c r="M85" s="46">
        <f>I85/J85*100</f>
        <v>0</v>
      </c>
      <c r="N85" s="67">
        <f>SUM(K85:M85)</f>
        <v>96.551724137931018</v>
      </c>
      <c r="O85" s="45">
        <v>44.5</v>
      </c>
      <c r="P85" s="46">
        <v>37.299999999999997</v>
      </c>
      <c r="Q85" s="46"/>
      <c r="R85" s="47">
        <f>SUM(O85:Q85)</f>
        <v>81.8</v>
      </c>
      <c r="S85" s="28">
        <v>2</v>
      </c>
      <c r="T85" s="284"/>
      <c r="U85" s="293">
        <v>34837</v>
      </c>
      <c r="V85" s="37" t="s">
        <v>372</v>
      </c>
      <c r="W85" s="28" t="s">
        <v>75</v>
      </c>
      <c r="X85" s="28" t="s">
        <v>11</v>
      </c>
      <c r="Y85" s="38">
        <v>44.5</v>
      </c>
      <c r="Z85" s="37" t="s">
        <v>126</v>
      </c>
      <c r="AA85" s="28" t="s">
        <v>78</v>
      </c>
      <c r="AB85" s="28" t="s">
        <v>18</v>
      </c>
      <c r="AC85" s="28">
        <v>37.299999999999997</v>
      </c>
      <c r="AD85" s="37"/>
      <c r="AG85" s="38"/>
      <c r="AL85" s="37"/>
      <c r="AO85" s="38"/>
      <c r="AP85" s="37"/>
      <c r="AS85" s="38"/>
      <c r="AW85" s="38"/>
      <c r="BA85" s="39"/>
    </row>
    <row r="86" spans="1:53" s="170" customFormat="1" x14ac:dyDescent="0.15">
      <c r="A86" s="170">
        <v>1995</v>
      </c>
      <c r="B86" s="281">
        <v>35010</v>
      </c>
      <c r="C86" s="395" t="s">
        <v>401</v>
      </c>
      <c r="D86" s="395"/>
      <c r="E86" s="170">
        <v>55</v>
      </c>
      <c r="F86" s="170">
        <v>2</v>
      </c>
      <c r="G86" s="232">
        <v>17</v>
      </c>
      <c r="H86" s="170">
        <v>10</v>
      </c>
      <c r="J86" s="240">
        <v>29</v>
      </c>
      <c r="K86" s="213">
        <f t="shared" si="10"/>
        <v>58.620689655172406</v>
      </c>
      <c r="L86" s="213">
        <f t="shared" si="11"/>
        <v>34.482758620689658</v>
      </c>
      <c r="M86" s="213">
        <f t="shared" si="12"/>
        <v>0</v>
      </c>
      <c r="N86" s="234">
        <f t="shared" si="8"/>
        <v>93.103448275862064</v>
      </c>
      <c r="O86" s="212">
        <v>44.5</v>
      </c>
      <c r="P86" s="213">
        <v>37.299999999999997</v>
      </c>
      <c r="Q86" s="213"/>
      <c r="R86" s="214">
        <f t="shared" si="9"/>
        <v>81.8</v>
      </c>
      <c r="S86" s="170">
        <v>2</v>
      </c>
      <c r="T86" s="283"/>
      <c r="U86" s="281">
        <v>35010</v>
      </c>
      <c r="V86" s="177" t="s">
        <v>372</v>
      </c>
      <c r="W86" s="170" t="s">
        <v>75</v>
      </c>
      <c r="X86" s="170" t="s">
        <v>11</v>
      </c>
      <c r="Y86" s="178">
        <v>44.5</v>
      </c>
      <c r="Z86" s="177" t="s">
        <v>126</v>
      </c>
      <c r="AA86" s="170" t="s">
        <v>78</v>
      </c>
      <c r="AB86" s="170" t="s">
        <v>18</v>
      </c>
      <c r="AC86" s="170">
        <v>37.299999999999997</v>
      </c>
      <c r="AD86" s="177"/>
      <c r="AG86" s="178"/>
      <c r="AL86" s="177"/>
      <c r="AO86" s="178"/>
      <c r="AP86" s="177"/>
      <c r="AS86" s="178"/>
      <c r="AW86" s="178"/>
      <c r="BA86" s="179"/>
    </row>
    <row r="87" spans="1:53" s="170" customFormat="1" x14ac:dyDescent="0.15">
      <c r="A87" s="170">
        <v>1996</v>
      </c>
      <c r="B87" s="281"/>
      <c r="C87" s="395" t="s">
        <v>401</v>
      </c>
      <c r="D87" s="395"/>
      <c r="E87" s="170">
        <v>0</v>
      </c>
      <c r="G87" s="232">
        <v>17</v>
      </c>
      <c r="H87" s="170">
        <v>10</v>
      </c>
      <c r="J87" s="240">
        <v>29</v>
      </c>
      <c r="K87" s="213">
        <f t="shared" si="10"/>
        <v>58.620689655172406</v>
      </c>
      <c r="L87" s="213">
        <f t="shared" si="11"/>
        <v>34.482758620689658</v>
      </c>
      <c r="M87" s="213">
        <f t="shared" si="12"/>
        <v>0</v>
      </c>
      <c r="N87" s="234">
        <f t="shared" si="8"/>
        <v>93.103448275862064</v>
      </c>
      <c r="O87" s="212">
        <v>44.5</v>
      </c>
      <c r="P87" s="213">
        <v>37.299999999999997</v>
      </c>
      <c r="Q87" s="213"/>
      <c r="R87" s="214">
        <f t="shared" si="9"/>
        <v>81.8</v>
      </c>
      <c r="S87" s="170">
        <v>2</v>
      </c>
      <c r="T87" s="283"/>
      <c r="U87" s="281"/>
      <c r="V87" s="177" t="s">
        <v>372</v>
      </c>
      <c r="W87" s="170" t="s">
        <v>75</v>
      </c>
      <c r="X87" s="170" t="s">
        <v>11</v>
      </c>
      <c r="Y87" s="178">
        <v>44.5</v>
      </c>
      <c r="Z87" s="177" t="s">
        <v>126</v>
      </c>
      <c r="AA87" s="170" t="s">
        <v>78</v>
      </c>
      <c r="AB87" s="170" t="s">
        <v>18</v>
      </c>
      <c r="AC87" s="170">
        <v>37.299999999999997</v>
      </c>
      <c r="AD87" s="177"/>
      <c r="AG87" s="178"/>
      <c r="AL87" s="177"/>
      <c r="AO87" s="178"/>
      <c r="AP87" s="177"/>
      <c r="AS87" s="178"/>
      <c r="AW87" s="178"/>
      <c r="BA87" s="179"/>
    </row>
    <row r="88" spans="1:53" s="170" customFormat="1" x14ac:dyDescent="0.15">
      <c r="A88" s="170">
        <v>1996</v>
      </c>
      <c r="B88" s="281"/>
      <c r="C88" s="395" t="s">
        <v>401</v>
      </c>
      <c r="D88" s="395"/>
      <c r="E88" s="170">
        <v>366</v>
      </c>
      <c r="G88" s="232">
        <v>17</v>
      </c>
      <c r="H88" s="170">
        <v>10</v>
      </c>
      <c r="J88" s="240">
        <v>29</v>
      </c>
      <c r="K88" s="213">
        <f t="shared" si="10"/>
        <v>58.620689655172406</v>
      </c>
      <c r="L88" s="213">
        <f t="shared" si="11"/>
        <v>34.482758620689658</v>
      </c>
      <c r="M88" s="213">
        <f t="shared" si="12"/>
        <v>0</v>
      </c>
      <c r="N88" s="234">
        <f t="shared" si="8"/>
        <v>93.103448275862064</v>
      </c>
      <c r="O88" s="212">
        <v>44.5</v>
      </c>
      <c r="P88" s="213">
        <v>37.299999999999997</v>
      </c>
      <c r="Q88" s="213"/>
      <c r="R88" s="214">
        <f t="shared" si="9"/>
        <v>81.8</v>
      </c>
      <c r="S88" s="170">
        <v>2</v>
      </c>
      <c r="T88" s="283"/>
      <c r="U88" s="281"/>
      <c r="V88" s="177" t="s">
        <v>372</v>
      </c>
      <c r="W88" s="170" t="s">
        <v>75</v>
      </c>
      <c r="X88" s="170" t="s">
        <v>11</v>
      </c>
      <c r="Y88" s="178">
        <v>44.5</v>
      </c>
      <c r="Z88" s="177" t="s">
        <v>126</v>
      </c>
      <c r="AA88" s="170" t="s">
        <v>78</v>
      </c>
      <c r="AB88" s="170" t="s">
        <v>18</v>
      </c>
      <c r="AC88" s="170">
        <v>37.299999999999997</v>
      </c>
      <c r="AD88" s="177"/>
      <c r="AG88" s="178"/>
      <c r="AL88" s="177"/>
      <c r="AO88" s="178"/>
      <c r="AP88" s="177"/>
      <c r="AS88" s="178"/>
      <c r="AW88" s="178"/>
      <c r="BA88" s="179"/>
    </row>
    <row r="89" spans="1:53" s="170" customFormat="1" x14ac:dyDescent="0.15">
      <c r="A89" s="170">
        <v>1997</v>
      </c>
      <c r="B89" s="281"/>
      <c r="C89" s="395" t="s">
        <v>401</v>
      </c>
      <c r="D89" s="395"/>
      <c r="E89" s="170">
        <v>154</v>
      </c>
      <c r="G89" s="232">
        <v>17</v>
      </c>
      <c r="H89" s="170">
        <v>10</v>
      </c>
      <c r="J89" s="240">
        <v>29</v>
      </c>
      <c r="K89" s="213">
        <f t="shared" si="10"/>
        <v>58.620689655172406</v>
      </c>
      <c r="L89" s="213">
        <f t="shared" si="11"/>
        <v>34.482758620689658</v>
      </c>
      <c r="M89" s="213">
        <f t="shared" si="12"/>
        <v>0</v>
      </c>
      <c r="N89" s="234">
        <f t="shared" si="8"/>
        <v>93.103448275862064</v>
      </c>
      <c r="O89" s="212">
        <v>44.5</v>
      </c>
      <c r="P89" s="213">
        <v>37.299999999999997</v>
      </c>
      <c r="Q89" s="213"/>
      <c r="R89" s="214">
        <f t="shared" si="9"/>
        <v>81.8</v>
      </c>
      <c r="S89" s="170">
        <v>2</v>
      </c>
      <c r="T89" s="283"/>
      <c r="U89" s="281"/>
      <c r="V89" s="177" t="s">
        <v>372</v>
      </c>
      <c r="W89" s="170" t="s">
        <v>75</v>
      </c>
      <c r="X89" s="170" t="s">
        <v>11</v>
      </c>
      <c r="Y89" s="178">
        <v>44.5</v>
      </c>
      <c r="Z89" s="177" t="s">
        <v>126</v>
      </c>
      <c r="AA89" s="170" t="s">
        <v>78</v>
      </c>
      <c r="AB89" s="170" t="s">
        <v>18</v>
      </c>
      <c r="AC89" s="170">
        <v>37.299999999999997</v>
      </c>
      <c r="AD89" s="177"/>
      <c r="AG89" s="178"/>
      <c r="AL89" s="177"/>
      <c r="AO89" s="178"/>
      <c r="AP89" s="177"/>
      <c r="AS89" s="178"/>
      <c r="AW89" s="178"/>
      <c r="BA89" s="179"/>
    </row>
    <row r="90" spans="1:53" s="28" customFormat="1" x14ac:dyDescent="0.15">
      <c r="A90" s="28">
        <v>1997</v>
      </c>
      <c r="B90" s="293">
        <v>35585</v>
      </c>
      <c r="C90" s="394" t="s">
        <v>402</v>
      </c>
      <c r="D90" s="394"/>
      <c r="E90" s="28">
        <f>365-E89</f>
        <v>211</v>
      </c>
      <c r="F90" s="28">
        <v>1</v>
      </c>
      <c r="G90" s="65"/>
      <c r="I90" s="28">
        <v>17</v>
      </c>
      <c r="J90" s="72">
        <v>17</v>
      </c>
      <c r="K90" s="46">
        <f t="shared" si="10"/>
        <v>0</v>
      </c>
      <c r="L90" s="46">
        <f t="shared" si="11"/>
        <v>0</v>
      </c>
      <c r="M90" s="46">
        <f t="shared" si="12"/>
        <v>100</v>
      </c>
      <c r="N90" s="67">
        <f t="shared" si="8"/>
        <v>100</v>
      </c>
      <c r="O90" s="45"/>
      <c r="P90" s="46"/>
      <c r="Q90" s="46">
        <v>53.8</v>
      </c>
      <c r="R90" s="47">
        <f t="shared" si="9"/>
        <v>53.8</v>
      </c>
      <c r="S90" s="28">
        <v>3</v>
      </c>
      <c r="T90" s="284">
        <v>35582</v>
      </c>
      <c r="U90" s="293">
        <v>35585</v>
      </c>
      <c r="V90" s="37" t="s">
        <v>95</v>
      </c>
      <c r="W90" s="28" t="s">
        <v>20</v>
      </c>
      <c r="X90" s="28" t="s">
        <v>12</v>
      </c>
      <c r="Y90" s="38">
        <v>42.6</v>
      </c>
      <c r="Z90" s="37" t="s">
        <v>127</v>
      </c>
      <c r="AA90" s="28" t="s">
        <v>113</v>
      </c>
      <c r="AB90" s="28" t="s">
        <v>12</v>
      </c>
      <c r="AC90" s="28">
        <v>6.4</v>
      </c>
      <c r="AD90" s="37" t="s">
        <v>404</v>
      </c>
      <c r="AE90" s="28" t="s">
        <v>216</v>
      </c>
      <c r="AF90" s="28" t="s">
        <v>12</v>
      </c>
      <c r="AG90" s="38">
        <v>1.4</v>
      </c>
      <c r="AH90" s="28" t="s">
        <v>125</v>
      </c>
      <c r="AI90" s="28" t="s">
        <v>87</v>
      </c>
      <c r="AJ90" s="28" t="s">
        <v>12</v>
      </c>
      <c r="AK90" s="28">
        <v>2.2000000000000002</v>
      </c>
      <c r="AL90" s="37" t="s">
        <v>403</v>
      </c>
      <c r="AM90" s="28" t="s">
        <v>327</v>
      </c>
      <c r="AN90" s="28" t="s">
        <v>12</v>
      </c>
      <c r="AO90" s="38">
        <v>1.2</v>
      </c>
      <c r="AP90" s="37"/>
      <c r="AS90" s="38"/>
      <c r="AW90" s="38"/>
      <c r="BA90" s="39"/>
    </row>
    <row r="91" spans="1:53" s="28" customFormat="1" x14ac:dyDescent="0.15">
      <c r="A91" s="28">
        <v>1998</v>
      </c>
      <c r="B91" s="293"/>
      <c r="C91" s="394" t="s">
        <v>402</v>
      </c>
      <c r="D91" s="394"/>
      <c r="E91" s="28">
        <v>88</v>
      </c>
      <c r="G91" s="65"/>
      <c r="I91" s="28">
        <v>17</v>
      </c>
      <c r="J91" s="72">
        <v>17</v>
      </c>
      <c r="K91" s="46">
        <f t="shared" si="10"/>
        <v>0</v>
      </c>
      <c r="L91" s="46">
        <f t="shared" si="11"/>
        <v>0</v>
      </c>
      <c r="M91" s="46">
        <f t="shared" si="12"/>
        <v>100</v>
      </c>
      <c r="N91" s="67">
        <f t="shared" si="8"/>
        <v>100</v>
      </c>
      <c r="O91" s="45"/>
      <c r="P91" s="46"/>
      <c r="Q91" s="46">
        <v>53.8</v>
      </c>
      <c r="R91" s="47">
        <f t="shared" si="9"/>
        <v>53.8</v>
      </c>
      <c r="S91" s="28">
        <v>3</v>
      </c>
      <c r="T91" s="284"/>
      <c r="U91" s="293"/>
      <c r="V91" s="37" t="s">
        <v>95</v>
      </c>
      <c r="W91" s="28" t="s">
        <v>20</v>
      </c>
      <c r="X91" s="28" t="s">
        <v>12</v>
      </c>
      <c r="Y91" s="38">
        <v>42.6</v>
      </c>
      <c r="Z91" s="37" t="s">
        <v>127</v>
      </c>
      <c r="AA91" s="28" t="s">
        <v>113</v>
      </c>
      <c r="AB91" s="28" t="s">
        <v>12</v>
      </c>
      <c r="AC91" s="28">
        <v>6.4</v>
      </c>
      <c r="AD91" s="37" t="s">
        <v>404</v>
      </c>
      <c r="AE91" s="28" t="s">
        <v>216</v>
      </c>
      <c r="AF91" s="28" t="s">
        <v>12</v>
      </c>
      <c r="AG91" s="38">
        <v>1.4</v>
      </c>
      <c r="AH91" s="28" t="s">
        <v>1316</v>
      </c>
      <c r="AI91" s="28" t="s">
        <v>87</v>
      </c>
      <c r="AJ91" s="28" t="s">
        <v>12</v>
      </c>
      <c r="AK91" s="28">
        <v>2.2000000000000002</v>
      </c>
      <c r="AL91" s="37" t="s">
        <v>403</v>
      </c>
      <c r="AM91" s="28" t="s">
        <v>327</v>
      </c>
      <c r="AN91" s="28" t="s">
        <v>12</v>
      </c>
      <c r="AO91" s="38">
        <v>1.2</v>
      </c>
      <c r="AP91" s="37"/>
      <c r="AS91" s="38"/>
      <c r="AW91" s="38"/>
      <c r="BA91" s="39"/>
    </row>
    <row r="92" spans="1:53" s="28" customFormat="1" x14ac:dyDescent="0.15">
      <c r="A92" s="28">
        <v>1998</v>
      </c>
      <c r="B92" s="301">
        <v>35884</v>
      </c>
      <c r="C92" s="394" t="s">
        <v>402</v>
      </c>
      <c r="D92" s="394"/>
      <c r="E92" s="28">
        <f>365-E91</f>
        <v>277</v>
      </c>
      <c r="F92" s="83">
        <v>0</v>
      </c>
      <c r="G92" s="65"/>
      <c r="I92" s="28">
        <v>18</v>
      </c>
      <c r="J92" s="72">
        <v>18</v>
      </c>
      <c r="K92" s="46">
        <f t="shared" si="10"/>
        <v>0</v>
      </c>
      <c r="L92" s="46">
        <f t="shared" si="11"/>
        <v>0</v>
      </c>
      <c r="M92" s="46">
        <f t="shared" si="12"/>
        <v>100</v>
      </c>
      <c r="N92" s="67">
        <f t="shared" si="8"/>
        <v>100</v>
      </c>
      <c r="O92" s="45"/>
      <c r="P92" s="46"/>
      <c r="Q92" s="46">
        <v>53.8</v>
      </c>
      <c r="R92" s="47">
        <f t="shared" si="9"/>
        <v>53.8</v>
      </c>
      <c r="S92" s="28">
        <v>3</v>
      </c>
      <c r="T92" s="284"/>
      <c r="U92" s="301"/>
      <c r="V92" s="37" t="s">
        <v>95</v>
      </c>
      <c r="W92" s="28" t="s">
        <v>20</v>
      </c>
      <c r="X92" s="28" t="s">
        <v>12</v>
      </c>
      <c r="Y92" s="38">
        <v>42.6</v>
      </c>
      <c r="Z92" s="37" t="s">
        <v>127</v>
      </c>
      <c r="AA92" s="28" t="s">
        <v>113</v>
      </c>
      <c r="AB92" s="28" t="s">
        <v>12</v>
      </c>
      <c r="AC92" s="28">
        <v>6.4</v>
      </c>
      <c r="AD92" s="37" t="s">
        <v>404</v>
      </c>
      <c r="AE92" s="28" t="s">
        <v>216</v>
      </c>
      <c r="AF92" s="28" t="s">
        <v>12</v>
      </c>
      <c r="AG92" s="38">
        <v>1.4</v>
      </c>
      <c r="AH92" s="28" t="s">
        <v>1316</v>
      </c>
      <c r="AI92" s="28" t="s">
        <v>87</v>
      </c>
      <c r="AJ92" s="28" t="s">
        <v>12</v>
      </c>
      <c r="AK92" s="28">
        <v>2.2000000000000002</v>
      </c>
      <c r="AL92" s="37" t="s">
        <v>403</v>
      </c>
      <c r="AM92" s="28" t="s">
        <v>327</v>
      </c>
      <c r="AN92" s="28" t="s">
        <v>12</v>
      </c>
      <c r="AO92" s="38">
        <v>1.2</v>
      </c>
      <c r="AP92" s="37"/>
      <c r="AS92" s="38"/>
      <c r="AW92" s="38"/>
      <c r="BA92" s="39"/>
    </row>
    <row r="93" spans="1:53" s="28" customFormat="1" x14ac:dyDescent="0.15">
      <c r="A93" s="28">
        <v>1999</v>
      </c>
      <c r="B93" s="293"/>
      <c r="C93" s="394" t="s">
        <v>402</v>
      </c>
      <c r="D93" s="394"/>
      <c r="E93" s="28">
        <v>0</v>
      </c>
      <c r="G93" s="65"/>
      <c r="I93" s="28">
        <v>18</v>
      </c>
      <c r="J93" s="72">
        <v>18</v>
      </c>
      <c r="K93" s="46">
        <f t="shared" si="10"/>
        <v>0</v>
      </c>
      <c r="L93" s="46">
        <f t="shared" si="11"/>
        <v>0</v>
      </c>
      <c r="M93" s="46">
        <f t="shared" si="12"/>
        <v>100</v>
      </c>
      <c r="N93" s="67">
        <f t="shared" si="8"/>
        <v>100</v>
      </c>
      <c r="O93" s="45"/>
      <c r="P93" s="46"/>
      <c r="Q93" s="46">
        <v>53.8</v>
      </c>
      <c r="R93" s="47">
        <f t="shared" si="9"/>
        <v>53.8</v>
      </c>
      <c r="S93" s="28">
        <v>3</v>
      </c>
      <c r="T93" s="284"/>
      <c r="U93" s="293"/>
      <c r="V93" s="37" t="s">
        <v>95</v>
      </c>
      <c r="W93" s="28" t="s">
        <v>20</v>
      </c>
      <c r="X93" s="28" t="s">
        <v>12</v>
      </c>
      <c r="Y93" s="38">
        <v>42.6</v>
      </c>
      <c r="Z93" s="37" t="s">
        <v>127</v>
      </c>
      <c r="AA93" s="28" t="s">
        <v>113</v>
      </c>
      <c r="AB93" s="28" t="s">
        <v>12</v>
      </c>
      <c r="AC93" s="28">
        <v>6.4</v>
      </c>
      <c r="AD93" s="37" t="s">
        <v>404</v>
      </c>
      <c r="AE93" s="28" t="s">
        <v>216</v>
      </c>
      <c r="AF93" s="28" t="s">
        <v>12</v>
      </c>
      <c r="AG93" s="38">
        <v>1.4</v>
      </c>
      <c r="AH93" s="28" t="s">
        <v>1316</v>
      </c>
      <c r="AI93" s="28" t="s">
        <v>87</v>
      </c>
      <c r="AJ93" s="28" t="s">
        <v>12</v>
      </c>
      <c r="AK93" s="28">
        <v>2.2000000000000002</v>
      </c>
      <c r="AL93" s="37" t="s">
        <v>403</v>
      </c>
      <c r="AM93" s="28" t="s">
        <v>327</v>
      </c>
      <c r="AN93" s="28" t="s">
        <v>12</v>
      </c>
      <c r="AO93" s="38">
        <v>1.2</v>
      </c>
      <c r="AP93" s="37"/>
      <c r="AS93" s="38"/>
      <c r="AW93" s="38"/>
      <c r="BA93" s="39"/>
    </row>
    <row r="94" spans="1:53" s="28" customFormat="1" x14ac:dyDescent="0.15">
      <c r="A94" s="28">
        <v>1999</v>
      </c>
      <c r="B94" s="293"/>
      <c r="C94" s="394" t="s">
        <v>402</v>
      </c>
      <c r="D94" s="394"/>
      <c r="E94" s="28">
        <f>365-E93</f>
        <v>365</v>
      </c>
      <c r="G94" s="65"/>
      <c r="I94" s="28">
        <v>18</v>
      </c>
      <c r="J94" s="72">
        <v>18</v>
      </c>
      <c r="K94" s="46">
        <f t="shared" si="10"/>
        <v>0</v>
      </c>
      <c r="L94" s="46">
        <f t="shared" si="11"/>
        <v>0</v>
      </c>
      <c r="M94" s="46">
        <f t="shared" si="12"/>
        <v>100</v>
      </c>
      <c r="N94" s="67">
        <f t="shared" si="8"/>
        <v>100</v>
      </c>
      <c r="O94" s="45"/>
      <c r="P94" s="46"/>
      <c r="Q94" s="46">
        <v>53.8</v>
      </c>
      <c r="R94" s="47">
        <f t="shared" si="9"/>
        <v>53.8</v>
      </c>
      <c r="S94" s="28">
        <v>3</v>
      </c>
      <c r="T94" s="284"/>
      <c r="U94" s="293"/>
      <c r="V94" s="37" t="s">
        <v>95</v>
      </c>
      <c r="W94" s="28" t="s">
        <v>20</v>
      </c>
      <c r="X94" s="28" t="s">
        <v>12</v>
      </c>
      <c r="Y94" s="38">
        <v>42.6</v>
      </c>
      <c r="Z94" s="37" t="s">
        <v>127</v>
      </c>
      <c r="AA94" s="28" t="s">
        <v>113</v>
      </c>
      <c r="AB94" s="28" t="s">
        <v>12</v>
      </c>
      <c r="AC94" s="28">
        <v>6.4</v>
      </c>
      <c r="AD94" s="37" t="s">
        <v>404</v>
      </c>
      <c r="AE94" s="28" t="s">
        <v>216</v>
      </c>
      <c r="AF94" s="28" t="s">
        <v>12</v>
      </c>
      <c r="AG94" s="38">
        <v>1.4</v>
      </c>
      <c r="AH94" s="28" t="s">
        <v>1316</v>
      </c>
      <c r="AI94" s="28" t="s">
        <v>87</v>
      </c>
      <c r="AJ94" s="28" t="s">
        <v>12</v>
      </c>
      <c r="AK94" s="28">
        <v>2.2000000000000002</v>
      </c>
      <c r="AL94" s="37" t="s">
        <v>403</v>
      </c>
      <c r="AM94" s="28" t="s">
        <v>327</v>
      </c>
      <c r="AN94" s="28" t="s">
        <v>12</v>
      </c>
      <c r="AO94" s="38">
        <v>1.2</v>
      </c>
      <c r="AP94" s="37"/>
      <c r="AS94" s="38"/>
      <c r="AW94" s="38"/>
      <c r="BA94" s="39"/>
    </row>
    <row r="95" spans="1:53" s="28" customFormat="1" x14ac:dyDescent="0.15">
      <c r="A95" s="28">
        <v>2000</v>
      </c>
      <c r="B95" s="293"/>
      <c r="C95" s="394" t="s">
        <v>402</v>
      </c>
      <c r="D95" s="394"/>
      <c r="E95" s="28">
        <v>86</v>
      </c>
      <c r="G95" s="65"/>
      <c r="I95" s="28">
        <v>18</v>
      </c>
      <c r="J95" s="72">
        <v>18</v>
      </c>
      <c r="K95" s="46">
        <f t="shared" si="10"/>
        <v>0</v>
      </c>
      <c r="L95" s="46">
        <f t="shared" si="11"/>
        <v>0</v>
      </c>
      <c r="M95" s="46">
        <f t="shared" si="12"/>
        <v>100</v>
      </c>
      <c r="N95" s="67">
        <f t="shared" si="8"/>
        <v>100</v>
      </c>
      <c r="O95" s="45"/>
      <c r="P95" s="46"/>
      <c r="Q95" s="46">
        <v>53.8</v>
      </c>
      <c r="R95" s="47">
        <f t="shared" si="9"/>
        <v>53.8</v>
      </c>
      <c r="S95" s="28">
        <v>3</v>
      </c>
      <c r="T95" s="284"/>
      <c r="U95" s="293"/>
      <c r="V95" s="37" t="s">
        <v>95</v>
      </c>
      <c r="W95" s="28" t="s">
        <v>20</v>
      </c>
      <c r="X95" s="28" t="s">
        <v>12</v>
      </c>
      <c r="Y95" s="38">
        <v>42.6</v>
      </c>
      <c r="Z95" s="37" t="s">
        <v>127</v>
      </c>
      <c r="AA95" s="28" t="s">
        <v>113</v>
      </c>
      <c r="AB95" s="28" t="s">
        <v>12</v>
      </c>
      <c r="AC95" s="28">
        <v>6.4</v>
      </c>
      <c r="AD95" s="37" t="s">
        <v>404</v>
      </c>
      <c r="AE95" s="28" t="s">
        <v>216</v>
      </c>
      <c r="AF95" s="28" t="s">
        <v>12</v>
      </c>
      <c r="AG95" s="38">
        <v>1.4</v>
      </c>
      <c r="AH95" s="28" t="s">
        <v>1316</v>
      </c>
      <c r="AI95" s="28" t="s">
        <v>87</v>
      </c>
      <c r="AJ95" s="28" t="s">
        <v>12</v>
      </c>
      <c r="AK95" s="28">
        <v>2.2000000000000002</v>
      </c>
      <c r="AL95" s="37" t="s">
        <v>403</v>
      </c>
      <c r="AM95" s="28" t="s">
        <v>327</v>
      </c>
      <c r="AN95" s="28" t="s">
        <v>12</v>
      </c>
      <c r="AO95" s="38">
        <v>1.2</v>
      </c>
      <c r="AP95" s="37"/>
      <c r="AS95" s="38"/>
      <c r="AW95" s="38"/>
      <c r="BA95" s="39"/>
    </row>
    <row r="96" spans="1:53" s="28" customFormat="1" x14ac:dyDescent="0.15">
      <c r="A96" s="28">
        <v>2000</v>
      </c>
      <c r="B96" s="301">
        <v>36612</v>
      </c>
      <c r="C96" s="394" t="s">
        <v>402</v>
      </c>
      <c r="D96" s="394"/>
      <c r="E96" s="28">
        <v>280</v>
      </c>
      <c r="F96" s="83">
        <v>0</v>
      </c>
      <c r="G96" s="65"/>
      <c r="I96" s="28">
        <v>21</v>
      </c>
      <c r="J96" s="72">
        <v>21</v>
      </c>
      <c r="K96" s="46">
        <f t="shared" si="10"/>
        <v>0</v>
      </c>
      <c r="L96" s="46">
        <f t="shared" si="11"/>
        <v>0</v>
      </c>
      <c r="M96" s="46">
        <f t="shared" si="12"/>
        <v>100</v>
      </c>
      <c r="N96" s="67">
        <f t="shared" si="8"/>
        <v>100</v>
      </c>
      <c r="O96" s="45"/>
      <c r="P96" s="46"/>
      <c r="Q96" s="46">
        <v>53.8</v>
      </c>
      <c r="R96" s="47">
        <f t="shared" si="9"/>
        <v>53.8</v>
      </c>
      <c r="S96" s="28">
        <v>3</v>
      </c>
      <c r="T96" s="284"/>
      <c r="U96" s="301"/>
      <c r="V96" s="37" t="s">
        <v>95</v>
      </c>
      <c r="W96" s="28" t="s">
        <v>20</v>
      </c>
      <c r="X96" s="28" t="s">
        <v>12</v>
      </c>
      <c r="Y96" s="38">
        <v>42.6</v>
      </c>
      <c r="Z96" s="37" t="s">
        <v>127</v>
      </c>
      <c r="AA96" s="28" t="s">
        <v>113</v>
      </c>
      <c r="AB96" s="28" t="s">
        <v>12</v>
      </c>
      <c r="AC96" s="28">
        <v>6.4</v>
      </c>
      <c r="AD96" s="37" t="s">
        <v>404</v>
      </c>
      <c r="AE96" s="28" t="s">
        <v>216</v>
      </c>
      <c r="AF96" s="28" t="s">
        <v>12</v>
      </c>
      <c r="AG96" s="38">
        <v>1.4</v>
      </c>
      <c r="AH96" s="28" t="s">
        <v>1316</v>
      </c>
      <c r="AI96" s="28" t="s">
        <v>87</v>
      </c>
      <c r="AJ96" s="28" t="s">
        <v>12</v>
      </c>
      <c r="AK96" s="28">
        <v>2.2000000000000002</v>
      </c>
      <c r="AL96" s="37" t="s">
        <v>403</v>
      </c>
      <c r="AM96" s="28" t="s">
        <v>327</v>
      </c>
      <c r="AN96" s="28" t="s">
        <v>12</v>
      </c>
      <c r="AO96" s="38">
        <v>1.2</v>
      </c>
      <c r="AP96" s="37"/>
      <c r="AS96" s="38"/>
      <c r="AW96" s="38"/>
      <c r="BA96" s="39"/>
    </row>
    <row r="97" spans="1:53" s="28" customFormat="1" x14ac:dyDescent="0.15">
      <c r="A97" s="28">
        <v>2001</v>
      </c>
      <c r="B97" s="293"/>
      <c r="C97" s="394" t="s">
        <v>402</v>
      </c>
      <c r="D97" s="394"/>
      <c r="E97" s="28">
        <v>0</v>
      </c>
      <c r="G97" s="65"/>
      <c r="I97" s="28">
        <v>21</v>
      </c>
      <c r="J97" s="72">
        <v>21</v>
      </c>
      <c r="K97" s="46">
        <f t="shared" si="10"/>
        <v>0</v>
      </c>
      <c r="L97" s="46">
        <f t="shared" si="11"/>
        <v>0</v>
      </c>
      <c r="M97" s="46">
        <f t="shared" si="12"/>
        <v>100</v>
      </c>
      <c r="N97" s="67">
        <f t="shared" si="8"/>
        <v>100</v>
      </c>
      <c r="O97" s="45"/>
      <c r="P97" s="46"/>
      <c r="Q97" s="46">
        <v>53.8</v>
      </c>
      <c r="R97" s="47">
        <f t="shared" si="9"/>
        <v>53.8</v>
      </c>
      <c r="S97" s="28">
        <v>3</v>
      </c>
      <c r="T97" s="284"/>
      <c r="U97" s="293"/>
      <c r="V97" s="37" t="s">
        <v>95</v>
      </c>
      <c r="W97" s="28" t="s">
        <v>20</v>
      </c>
      <c r="X97" s="28" t="s">
        <v>12</v>
      </c>
      <c r="Y97" s="38">
        <v>42.6</v>
      </c>
      <c r="Z97" s="37" t="s">
        <v>127</v>
      </c>
      <c r="AA97" s="28" t="s">
        <v>113</v>
      </c>
      <c r="AB97" s="28" t="s">
        <v>12</v>
      </c>
      <c r="AC97" s="28">
        <v>6.4</v>
      </c>
      <c r="AD97" s="37" t="s">
        <v>404</v>
      </c>
      <c r="AE97" s="28" t="s">
        <v>216</v>
      </c>
      <c r="AF97" s="28" t="s">
        <v>12</v>
      </c>
      <c r="AG97" s="38">
        <v>1.4</v>
      </c>
      <c r="AH97" s="28" t="s">
        <v>1316</v>
      </c>
      <c r="AI97" s="28" t="s">
        <v>87</v>
      </c>
      <c r="AJ97" s="28" t="s">
        <v>12</v>
      </c>
      <c r="AK97" s="28">
        <v>2.2000000000000002</v>
      </c>
      <c r="AL97" s="37" t="s">
        <v>403</v>
      </c>
      <c r="AM97" s="28" t="s">
        <v>327</v>
      </c>
      <c r="AN97" s="28" t="s">
        <v>12</v>
      </c>
      <c r="AO97" s="38">
        <v>1.2</v>
      </c>
      <c r="AP97" s="37"/>
      <c r="AS97" s="38"/>
      <c r="AW97" s="38"/>
      <c r="BA97" s="39"/>
    </row>
    <row r="98" spans="1:53" s="28" customFormat="1" x14ac:dyDescent="0.15">
      <c r="A98" s="28">
        <v>2001</v>
      </c>
      <c r="B98" s="293"/>
      <c r="C98" s="394" t="s">
        <v>402</v>
      </c>
      <c r="D98" s="394"/>
      <c r="E98" s="28">
        <f>365-E97</f>
        <v>365</v>
      </c>
      <c r="G98" s="65"/>
      <c r="I98" s="28">
        <v>21</v>
      </c>
      <c r="J98" s="72">
        <v>21</v>
      </c>
      <c r="K98" s="46">
        <f t="shared" si="10"/>
        <v>0</v>
      </c>
      <c r="L98" s="46">
        <f t="shared" si="11"/>
        <v>0</v>
      </c>
      <c r="M98" s="46">
        <f t="shared" si="12"/>
        <v>100</v>
      </c>
      <c r="N98" s="67">
        <f t="shared" si="8"/>
        <v>100</v>
      </c>
      <c r="O98" s="45"/>
      <c r="P98" s="46"/>
      <c r="Q98" s="46">
        <v>53.8</v>
      </c>
      <c r="R98" s="47">
        <f t="shared" si="9"/>
        <v>53.8</v>
      </c>
      <c r="S98" s="28">
        <v>3</v>
      </c>
      <c r="T98" s="284"/>
      <c r="U98" s="293"/>
      <c r="V98" s="37" t="s">
        <v>95</v>
      </c>
      <c r="W98" s="28" t="s">
        <v>20</v>
      </c>
      <c r="X98" s="28" t="s">
        <v>12</v>
      </c>
      <c r="Y98" s="38">
        <v>42.6</v>
      </c>
      <c r="Z98" s="37" t="s">
        <v>127</v>
      </c>
      <c r="AA98" s="28" t="s">
        <v>113</v>
      </c>
      <c r="AB98" s="28" t="s">
        <v>12</v>
      </c>
      <c r="AC98" s="28">
        <v>6.4</v>
      </c>
      <c r="AD98" s="37" t="s">
        <v>404</v>
      </c>
      <c r="AE98" s="28" t="s">
        <v>216</v>
      </c>
      <c r="AF98" s="28" t="s">
        <v>12</v>
      </c>
      <c r="AG98" s="38">
        <v>1.4</v>
      </c>
      <c r="AH98" s="28" t="s">
        <v>1316</v>
      </c>
      <c r="AI98" s="28" t="s">
        <v>87</v>
      </c>
      <c r="AJ98" s="28" t="s">
        <v>12</v>
      </c>
      <c r="AK98" s="28">
        <v>2.2000000000000002</v>
      </c>
      <c r="AL98" s="37" t="s">
        <v>403</v>
      </c>
      <c r="AM98" s="28" t="s">
        <v>327</v>
      </c>
      <c r="AN98" s="28" t="s">
        <v>12</v>
      </c>
      <c r="AO98" s="38">
        <v>1.2</v>
      </c>
      <c r="AP98" s="37"/>
      <c r="AS98" s="38"/>
      <c r="AW98" s="38"/>
      <c r="BA98" s="39"/>
    </row>
    <row r="99" spans="1:53" s="28" customFormat="1" x14ac:dyDescent="0.15">
      <c r="A99" s="28">
        <v>2002</v>
      </c>
      <c r="B99" s="293"/>
      <c r="C99" s="394" t="s">
        <v>402</v>
      </c>
      <c r="D99" s="394"/>
      <c r="E99" s="28">
        <v>126</v>
      </c>
      <c r="G99" s="65"/>
      <c r="I99" s="28">
        <v>21</v>
      </c>
      <c r="J99" s="72">
        <v>21</v>
      </c>
      <c r="K99" s="46">
        <f t="shared" si="10"/>
        <v>0</v>
      </c>
      <c r="L99" s="46">
        <f t="shared" si="11"/>
        <v>0</v>
      </c>
      <c r="M99" s="46">
        <f t="shared" si="12"/>
        <v>100</v>
      </c>
      <c r="N99" s="67">
        <f t="shared" si="8"/>
        <v>100</v>
      </c>
      <c r="O99" s="45"/>
      <c r="P99" s="46"/>
      <c r="Q99" s="46">
        <v>53.8</v>
      </c>
      <c r="R99" s="47">
        <f t="shared" si="9"/>
        <v>53.8</v>
      </c>
      <c r="S99" s="28">
        <v>3</v>
      </c>
      <c r="T99" s="284"/>
      <c r="U99" s="293"/>
      <c r="V99" s="37" t="s">
        <v>95</v>
      </c>
      <c r="W99" s="28" t="s">
        <v>20</v>
      </c>
      <c r="X99" s="28" t="s">
        <v>12</v>
      </c>
      <c r="Y99" s="38">
        <v>42.6</v>
      </c>
      <c r="Z99" s="37" t="s">
        <v>127</v>
      </c>
      <c r="AA99" s="28" t="s">
        <v>113</v>
      </c>
      <c r="AB99" s="28" t="s">
        <v>12</v>
      </c>
      <c r="AC99" s="28">
        <v>6.4</v>
      </c>
      <c r="AD99" s="37" t="s">
        <v>404</v>
      </c>
      <c r="AE99" s="28" t="s">
        <v>216</v>
      </c>
      <c r="AF99" s="28" t="s">
        <v>12</v>
      </c>
      <c r="AG99" s="38">
        <v>1.4</v>
      </c>
      <c r="AH99" s="28" t="s">
        <v>1316</v>
      </c>
      <c r="AI99" s="28" t="s">
        <v>87</v>
      </c>
      <c r="AJ99" s="28" t="s">
        <v>12</v>
      </c>
      <c r="AK99" s="28">
        <v>2.2000000000000002</v>
      </c>
      <c r="AL99" s="37" t="s">
        <v>403</v>
      </c>
      <c r="AM99" s="28" t="s">
        <v>327</v>
      </c>
      <c r="AN99" s="28" t="s">
        <v>12</v>
      </c>
      <c r="AO99" s="38">
        <v>1.2</v>
      </c>
      <c r="AP99" s="37"/>
      <c r="AS99" s="38"/>
      <c r="AW99" s="38"/>
      <c r="BA99" s="39"/>
    </row>
    <row r="100" spans="1:53" s="170" customFormat="1" x14ac:dyDescent="0.15">
      <c r="A100" s="170">
        <v>2002</v>
      </c>
      <c r="B100" s="281">
        <v>37383</v>
      </c>
      <c r="C100" s="395" t="s">
        <v>405</v>
      </c>
      <c r="D100" s="395"/>
      <c r="E100" s="170">
        <v>43</v>
      </c>
      <c r="F100" s="170">
        <v>1</v>
      </c>
      <c r="G100" s="232">
        <v>15</v>
      </c>
      <c r="H100" s="170">
        <v>2</v>
      </c>
      <c r="J100" s="240">
        <v>22</v>
      </c>
      <c r="K100" s="213">
        <f>G100/J100*100</f>
        <v>68.181818181818173</v>
      </c>
      <c r="L100" s="213">
        <f>H100/J100*100</f>
        <v>9.0909090909090917</v>
      </c>
      <c r="M100" s="213">
        <f>I100/J100*100</f>
        <v>0</v>
      </c>
      <c r="N100" s="234">
        <f>SUM(K100:M100)</f>
        <v>77.272727272727266</v>
      </c>
      <c r="O100" s="212">
        <v>24.1</v>
      </c>
      <c r="P100" s="213">
        <v>18.899999999999999</v>
      </c>
      <c r="Q100" s="213"/>
      <c r="R100" s="214">
        <f>SUM(O100:Q100)</f>
        <v>43</v>
      </c>
      <c r="S100" s="170">
        <v>6</v>
      </c>
      <c r="T100" s="283"/>
      <c r="U100" s="281">
        <v>37383</v>
      </c>
      <c r="V100" s="177" t="s">
        <v>118</v>
      </c>
      <c r="W100" s="170" t="s">
        <v>75</v>
      </c>
      <c r="X100" s="170" t="s">
        <v>11</v>
      </c>
      <c r="Y100" s="178">
        <v>24.1</v>
      </c>
      <c r="Z100" s="177" t="s">
        <v>126</v>
      </c>
      <c r="AA100" s="170" t="s">
        <v>78</v>
      </c>
      <c r="AB100" s="170" t="s">
        <v>18</v>
      </c>
      <c r="AC100" s="170">
        <v>18.899999999999999</v>
      </c>
      <c r="AD100" s="177"/>
      <c r="AG100" s="178"/>
      <c r="AL100" s="177"/>
      <c r="AO100" s="178"/>
      <c r="AP100" s="177"/>
      <c r="AS100" s="178"/>
      <c r="AW100" s="178"/>
      <c r="BA100" s="179"/>
    </row>
    <row r="101" spans="1:53" s="28" customFormat="1" x14ac:dyDescent="0.15">
      <c r="A101" s="28">
        <v>2002</v>
      </c>
      <c r="B101" s="293">
        <v>37426</v>
      </c>
      <c r="C101" s="394" t="s">
        <v>406</v>
      </c>
      <c r="D101" s="394"/>
      <c r="E101" s="28">
        <v>196</v>
      </c>
      <c r="F101" s="28">
        <v>1</v>
      </c>
      <c r="G101" s="65">
        <v>18</v>
      </c>
      <c r="H101" s="28">
        <v>2</v>
      </c>
      <c r="J101" s="72">
        <v>27</v>
      </c>
      <c r="K101" s="46">
        <f t="shared" si="10"/>
        <v>66.666666666666657</v>
      </c>
      <c r="L101" s="46">
        <f t="shared" si="11"/>
        <v>7.4074074074074066</v>
      </c>
      <c r="M101" s="46">
        <f t="shared" si="12"/>
        <v>0</v>
      </c>
      <c r="N101" s="67">
        <f t="shared" si="8"/>
        <v>74.074074074074062</v>
      </c>
      <c r="O101" s="45">
        <v>63.3</v>
      </c>
      <c r="P101" s="46">
        <v>5</v>
      </c>
      <c r="Q101" s="46"/>
      <c r="R101" s="47">
        <f t="shared" si="9"/>
        <v>68.3</v>
      </c>
      <c r="S101" s="28">
        <v>3</v>
      </c>
      <c r="T101" s="284">
        <v>37423</v>
      </c>
      <c r="U101" s="293">
        <v>37426</v>
      </c>
      <c r="V101" s="37" t="s">
        <v>118</v>
      </c>
      <c r="W101" s="28" t="s">
        <v>75</v>
      </c>
      <c r="X101" s="28" t="s">
        <v>11</v>
      </c>
      <c r="Y101" s="38">
        <v>63.3</v>
      </c>
      <c r="Z101" s="37" t="s">
        <v>126</v>
      </c>
      <c r="AA101" s="28" t="s">
        <v>78</v>
      </c>
      <c r="AB101" s="28" t="s">
        <v>18</v>
      </c>
      <c r="AC101" s="28">
        <v>5</v>
      </c>
      <c r="AD101" s="37"/>
      <c r="AG101" s="38"/>
      <c r="AL101" s="37"/>
      <c r="AO101" s="38"/>
      <c r="AP101" s="37"/>
      <c r="AS101" s="38"/>
      <c r="AW101" s="38"/>
      <c r="BA101" s="39"/>
    </row>
    <row r="102" spans="1:53" s="28" customFormat="1" x14ac:dyDescent="0.15">
      <c r="A102" s="28">
        <v>2003</v>
      </c>
      <c r="B102" s="293"/>
      <c r="C102" s="394" t="s">
        <v>406</v>
      </c>
      <c r="D102" s="394"/>
      <c r="E102" s="28">
        <v>0</v>
      </c>
      <c r="G102" s="65">
        <v>18</v>
      </c>
      <c r="H102" s="28">
        <v>2</v>
      </c>
      <c r="J102" s="72">
        <v>27</v>
      </c>
      <c r="K102" s="46">
        <f t="shared" si="10"/>
        <v>66.666666666666657</v>
      </c>
      <c r="L102" s="46">
        <f t="shared" si="11"/>
        <v>7.4074074074074066</v>
      </c>
      <c r="M102" s="46">
        <f t="shared" si="12"/>
        <v>0</v>
      </c>
      <c r="N102" s="67">
        <f t="shared" si="8"/>
        <v>74.074074074074062</v>
      </c>
      <c r="O102" s="45">
        <v>63.3</v>
      </c>
      <c r="P102" s="46">
        <v>5</v>
      </c>
      <c r="Q102" s="46"/>
      <c r="R102" s="47">
        <f t="shared" si="9"/>
        <v>68.3</v>
      </c>
      <c r="S102" s="28">
        <v>3</v>
      </c>
      <c r="T102" s="284"/>
      <c r="U102" s="293"/>
      <c r="V102" s="37" t="s">
        <v>118</v>
      </c>
      <c r="W102" s="28" t="s">
        <v>75</v>
      </c>
      <c r="X102" s="28" t="s">
        <v>11</v>
      </c>
      <c r="Y102" s="38">
        <v>63.3</v>
      </c>
      <c r="Z102" s="37" t="s">
        <v>126</v>
      </c>
      <c r="AA102" s="28" t="s">
        <v>78</v>
      </c>
      <c r="AB102" s="28" t="s">
        <v>18</v>
      </c>
      <c r="AC102" s="28">
        <v>5</v>
      </c>
      <c r="AD102" s="37"/>
      <c r="AG102" s="38"/>
      <c r="AL102" s="37"/>
      <c r="AO102" s="38"/>
      <c r="AP102" s="37"/>
      <c r="AS102" s="38"/>
      <c r="AW102" s="38"/>
      <c r="BA102" s="39"/>
    </row>
    <row r="103" spans="1:53" s="28" customFormat="1" x14ac:dyDescent="0.15">
      <c r="A103" s="28">
        <v>2003</v>
      </c>
      <c r="B103" s="293"/>
      <c r="C103" s="394" t="s">
        <v>406</v>
      </c>
      <c r="D103" s="394"/>
      <c r="E103" s="28">
        <f>365-E102</f>
        <v>365</v>
      </c>
      <c r="G103" s="65">
        <v>18</v>
      </c>
      <c r="H103" s="28">
        <v>2</v>
      </c>
      <c r="J103" s="72">
        <v>27</v>
      </c>
      <c r="K103" s="46">
        <f t="shared" si="10"/>
        <v>66.666666666666657</v>
      </c>
      <c r="L103" s="46">
        <f t="shared" si="11"/>
        <v>7.4074074074074066</v>
      </c>
      <c r="M103" s="46">
        <f t="shared" si="12"/>
        <v>0</v>
      </c>
      <c r="N103" s="67">
        <f t="shared" si="8"/>
        <v>74.074074074074062</v>
      </c>
      <c r="O103" s="45">
        <v>63.3</v>
      </c>
      <c r="P103" s="46">
        <v>5</v>
      </c>
      <c r="Q103" s="46"/>
      <c r="R103" s="47">
        <f t="shared" si="9"/>
        <v>68.3</v>
      </c>
      <c r="S103" s="28">
        <v>3</v>
      </c>
      <c r="T103" s="284"/>
      <c r="U103" s="293"/>
      <c r="V103" s="37" t="s">
        <v>118</v>
      </c>
      <c r="W103" s="28" t="s">
        <v>75</v>
      </c>
      <c r="X103" s="28" t="s">
        <v>11</v>
      </c>
      <c r="Y103" s="38">
        <v>63.3</v>
      </c>
      <c r="Z103" s="37" t="s">
        <v>126</v>
      </c>
      <c r="AA103" s="28" t="s">
        <v>78</v>
      </c>
      <c r="AB103" s="28" t="s">
        <v>18</v>
      </c>
      <c r="AC103" s="28">
        <v>5</v>
      </c>
      <c r="AD103" s="37"/>
      <c r="AG103" s="38"/>
      <c r="AL103" s="37"/>
      <c r="AO103" s="38"/>
      <c r="AP103" s="37"/>
      <c r="AS103" s="38"/>
      <c r="AW103" s="38"/>
      <c r="BA103" s="39"/>
    </row>
    <row r="104" spans="1:53" s="28" customFormat="1" x14ac:dyDescent="0.15">
      <c r="A104" s="28">
        <v>2004</v>
      </c>
      <c r="B104" s="293"/>
      <c r="C104" s="394" t="s">
        <v>406</v>
      </c>
      <c r="D104" s="394"/>
      <c r="E104" s="28">
        <v>90</v>
      </c>
      <c r="G104" s="65">
        <v>18</v>
      </c>
      <c r="H104" s="28">
        <v>2</v>
      </c>
      <c r="J104" s="72">
        <v>27</v>
      </c>
      <c r="K104" s="46">
        <f t="shared" si="10"/>
        <v>66.666666666666657</v>
      </c>
      <c r="L104" s="46">
        <f t="shared" si="11"/>
        <v>7.4074074074074066</v>
      </c>
      <c r="M104" s="46">
        <f t="shared" si="12"/>
        <v>0</v>
      </c>
      <c r="N104" s="67">
        <f t="shared" si="8"/>
        <v>74.074074074074062</v>
      </c>
      <c r="O104" s="45">
        <v>63.3</v>
      </c>
      <c r="P104" s="46">
        <v>5</v>
      </c>
      <c r="Q104" s="46"/>
      <c r="R104" s="47">
        <f t="shared" si="9"/>
        <v>68.3</v>
      </c>
      <c r="S104" s="28">
        <v>3</v>
      </c>
      <c r="T104" s="284"/>
      <c r="U104" s="293"/>
      <c r="V104" s="37" t="s">
        <v>118</v>
      </c>
      <c r="W104" s="28" t="s">
        <v>75</v>
      </c>
      <c r="X104" s="28" t="s">
        <v>11</v>
      </c>
      <c r="Y104" s="38">
        <v>63.3</v>
      </c>
      <c r="Z104" s="37" t="s">
        <v>126</v>
      </c>
      <c r="AA104" s="28" t="s">
        <v>78</v>
      </c>
      <c r="AB104" s="28" t="s">
        <v>18</v>
      </c>
      <c r="AC104" s="28">
        <v>5</v>
      </c>
      <c r="AD104" s="37"/>
      <c r="AG104" s="38"/>
      <c r="AL104" s="37"/>
      <c r="AO104" s="38"/>
      <c r="AP104" s="37"/>
      <c r="AS104" s="38"/>
      <c r="AW104" s="38"/>
      <c r="BA104" s="39"/>
    </row>
    <row r="105" spans="1:53" s="170" customFormat="1" x14ac:dyDescent="0.15">
      <c r="A105" s="170">
        <v>2004</v>
      </c>
      <c r="B105" s="281">
        <v>38077</v>
      </c>
      <c r="C105" s="395" t="s">
        <v>407</v>
      </c>
      <c r="D105" s="395"/>
      <c r="E105" s="170">
        <v>276</v>
      </c>
      <c r="F105" s="170">
        <v>2</v>
      </c>
      <c r="G105" s="232">
        <v>29</v>
      </c>
      <c r="H105" s="170">
        <v>1</v>
      </c>
      <c r="J105" s="240">
        <v>31</v>
      </c>
      <c r="K105" s="213">
        <f t="shared" si="10"/>
        <v>93.548387096774192</v>
      </c>
      <c r="L105" s="213">
        <f t="shared" si="11"/>
        <v>3.225806451612903</v>
      </c>
      <c r="M105" s="213">
        <f t="shared" si="12"/>
        <v>0</v>
      </c>
      <c r="N105" s="234">
        <f t="shared" si="8"/>
        <v>96.774193548387089</v>
      </c>
      <c r="O105" s="212">
        <v>63.3</v>
      </c>
      <c r="P105" s="213">
        <v>5</v>
      </c>
      <c r="Q105" s="213"/>
      <c r="R105" s="214">
        <f t="shared" si="9"/>
        <v>68.3</v>
      </c>
      <c r="S105" s="170">
        <v>3</v>
      </c>
      <c r="T105" s="283"/>
      <c r="U105" s="281">
        <v>38077</v>
      </c>
      <c r="V105" s="177" t="s">
        <v>118</v>
      </c>
      <c r="W105" s="170" t="s">
        <v>75</v>
      </c>
      <c r="X105" s="170" t="s">
        <v>11</v>
      </c>
      <c r="Y105" s="178">
        <v>63.3</v>
      </c>
      <c r="Z105" s="177" t="s">
        <v>126</v>
      </c>
      <c r="AA105" s="170" t="s">
        <v>78</v>
      </c>
      <c r="AB105" s="170" t="s">
        <v>18</v>
      </c>
      <c r="AC105" s="170">
        <v>5</v>
      </c>
      <c r="AD105" s="177"/>
      <c r="AG105" s="178"/>
      <c r="AL105" s="177"/>
      <c r="AO105" s="178"/>
      <c r="AP105" s="177"/>
      <c r="AS105" s="178"/>
      <c r="AW105" s="178"/>
      <c r="BA105" s="179"/>
    </row>
    <row r="106" spans="1:53" s="170" customFormat="1" x14ac:dyDescent="0.15">
      <c r="A106" s="170">
        <v>2005</v>
      </c>
      <c r="B106" s="281"/>
      <c r="C106" s="395" t="s">
        <v>407</v>
      </c>
      <c r="D106" s="395"/>
      <c r="E106" s="170">
        <v>150</v>
      </c>
      <c r="G106" s="232">
        <v>29</v>
      </c>
      <c r="H106" s="170">
        <v>1</v>
      </c>
      <c r="J106" s="240">
        <v>31</v>
      </c>
      <c r="K106" s="213">
        <f t="shared" si="10"/>
        <v>93.548387096774192</v>
      </c>
      <c r="L106" s="213">
        <f t="shared" si="11"/>
        <v>3.225806451612903</v>
      </c>
      <c r="M106" s="213">
        <f t="shared" si="12"/>
        <v>0</v>
      </c>
      <c r="N106" s="234">
        <f t="shared" si="8"/>
        <v>96.774193548387089</v>
      </c>
      <c r="O106" s="212">
        <v>63.3</v>
      </c>
      <c r="P106" s="213">
        <v>5</v>
      </c>
      <c r="Q106" s="213"/>
      <c r="R106" s="214">
        <f t="shared" si="9"/>
        <v>68.3</v>
      </c>
      <c r="S106" s="170">
        <v>3</v>
      </c>
      <c r="T106" s="283"/>
      <c r="U106" s="281"/>
      <c r="V106" s="177" t="s">
        <v>118</v>
      </c>
      <c r="W106" s="170" t="s">
        <v>75</v>
      </c>
      <c r="X106" s="170" t="s">
        <v>11</v>
      </c>
      <c r="Y106" s="178">
        <v>63.3</v>
      </c>
      <c r="Z106" s="177" t="s">
        <v>126</v>
      </c>
      <c r="AA106" s="170" t="s">
        <v>78</v>
      </c>
      <c r="AB106" s="170" t="s">
        <v>18</v>
      </c>
      <c r="AC106" s="170">
        <v>5</v>
      </c>
      <c r="AD106" s="177"/>
      <c r="AG106" s="178"/>
      <c r="AL106" s="177"/>
      <c r="AO106" s="178"/>
      <c r="AP106" s="177"/>
      <c r="AS106" s="178"/>
      <c r="AW106" s="178"/>
      <c r="BA106" s="179"/>
    </row>
    <row r="107" spans="1:53" s="28" customFormat="1" x14ac:dyDescent="0.15">
      <c r="A107" s="28">
        <v>2005</v>
      </c>
      <c r="B107" s="293">
        <v>38503</v>
      </c>
      <c r="C107" s="394" t="s">
        <v>408</v>
      </c>
      <c r="D107" s="394"/>
      <c r="E107" s="28">
        <f>365-E106</f>
        <v>215</v>
      </c>
      <c r="F107" s="28">
        <v>2</v>
      </c>
      <c r="G107" s="65">
        <v>27</v>
      </c>
      <c r="H107" s="28">
        <v>1</v>
      </c>
      <c r="J107" s="72">
        <v>31</v>
      </c>
      <c r="K107" s="46">
        <f t="shared" si="10"/>
        <v>87.096774193548384</v>
      </c>
      <c r="L107" s="46">
        <f t="shared" si="11"/>
        <v>3.225806451612903</v>
      </c>
      <c r="M107" s="46">
        <f t="shared" si="12"/>
        <v>0</v>
      </c>
      <c r="N107" s="67">
        <f t="shared" si="8"/>
        <v>90.322580645161281</v>
      </c>
      <c r="O107" s="45">
        <v>63.3</v>
      </c>
      <c r="P107" s="46">
        <v>5</v>
      </c>
      <c r="Q107" s="46"/>
      <c r="R107" s="47">
        <f t="shared" si="9"/>
        <v>68.3</v>
      </c>
      <c r="S107" s="28">
        <v>3</v>
      </c>
      <c r="T107" s="284"/>
      <c r="U107" s="293">
        <v>38503</v>
      </c>
      <c r="V107" s="37" t="s">
        <v>118</v>
      </c>
      <c r="W107" s="28" t="s">
        <v>75</v>
      </c>
      <c r="X107" s="28" t="s">
        <v>11</v>
      </c>
      <c r="Y107" s="38">
        <v>63.3</v>
      </c>
      <c r="Z107" s="37" t="s">
        <v>126</v>
      </c>
      <c r="AA107" s="28" t="s">
        <v>78</v>
      </c>
      <c r="AB107" s="28" t="s">
        <v>18</v>
      </c>
      <c r="AC107" s="28">
        <v>5</v>
      </c>
      <c r="AD107" s="37"/>
      <c r="AG107" s="38"/>
      <c r="AL107" s="37"/>
      <c r="AO107" s="38"/>
      <c r="AP107" s="37"/>
      <c r="AS107" s="38"/>
      <c r="AW107" s="38"/>
      <c r="BA107" s="39"/>
    </row>
    <row r="108" spans="1:53" s="28" customFormat="1" x14ac:dyDescent="0.15">
      <c r="A108" s="28">
        <v>2006</v>
      </c>
      <c r="B108" s="293"/>
      <c r="C108" s="394" t="s">
        <v>408</v>
      </c>
      <c r="D108" s="394"/>
      <c r="E108" s="28">
        <v>0</v>
      </c>
      <c r="G108" s="65">
        <v>27</v>
      </c>
      <c r="H108" s="28">
        <v>1</v>
      </c>
      <c r="J108" s="72">
        <v>31</v>
      </c>
      <c r="K108" s="46">
        <f t="shared" ref="K108:L119" si="13">G108/J108*100</f>
        <v>87.096774193548384</v>
      </c>
      <c r="L108" s="46">
        <f t="shared" ref="L108:L118" si="14">H108/J108*100</f>
        <v>3.225806451612903</v>
      </c>
      <c r="M108" s="46">
        <f t="shared" ref="M108:M119" si="15">I108/J108*100</f>
        <v>0</v>
      </c>
      <c r="N108" s="67">
        <f t="shared" si="8"/>
        <v>90.322580645161281</v>
      </c>
      <c r="O108" s="45">
        <v>63.3</v>
      </c>
      <c r="P108" s="46">
        <v>5</v>
      </c>
      <c r="Q108" s="46"/>
      <c r="R108" s="47">
        <f t="shared" si="9"/>
        <v>68.3</v>
      </c>
      <c r="S108" s="28">
        <v>3</v>
      </c>
      <c r="T108" s="284"/>
      <c r="U108" s="293"/>
      <c r="V108" s="37" t="s">
        <v>118</v>
      </c>
      <c r="W108" s="28" t="s">
        <v>75</v>
      </c>
      <c r="X108" s="28" t="s">
        <v>11</v>
      </c>
      <c r="Y108" s="38">
        <v>63.3</v>
      </c>
      <c r="Z108" s="37" t="s">
        <v>126</v>
      </c>
      <c r="AA108" s="28" t="s">
        <v>78</v>
      </c>
      <c r="AB108" s="28" t="s">
        <v>18</v>
      </c>
      <c r="AC108" s="28">
        <v>5</v>
      </c>
      <c r="AD108" s="37"/>
      <c r="AG108" s="38"/>
      <c r="AL108" s="37"/>
      <c r="AO108" s="38"/>
      <c r="AP108" s="37"/>
      <c r="AS108" s="38"/>
      <c r="AW108" s="38"/>
      <c r="BA108" s="39"/>
    </row>
    <row r="109" spans="1:53" s="28" customFormat="1" x14ac:dyDescent="0.15">
      <c r="A109" s="28">
        <v>2006</v>
      </c>
      <c r="B109" s="293"/>
      <c r="C109" s="394" t="s">
        <v>408</v>
      </c>
      <c r="D109" s="394"/>
      <c r="E109" s="28">
        <v>365</v>
      </c>
      <c r="G109" s="65">
        <v>27</v>
      </c>
      <c r="H109" s="28">
        <v>1</v>
      </c>
      <c r="J109" s="72">
        <v>31</v>
      </c>
      <c r="K109" s="46">
        <f t="shared" si="13"/>
        <v>87.096774193548384</v>
      </c>
      <c r="L109" s="46">
        <f t="shared" si="14"/>
        <v>3.225806451612903</v>
      </c>
      <c r="M109" s="46">
        <f t="shared" si="15"/>
        <v>0</v>
      </c>
      <c r="N109" s="67">
        <f t="shared" si="8"/>
        <v>90.322580645161281</v>
      </c>
      <c r="O109" s="45">
        <v>63.3</v>
      </c>
      <c r="P109" s="46">
        <v>5</v>
      </c>
      <c r="Q109" s="46"/>
      <c r="R109" s="47">
        <f t="shared" si="9"/>
        <v>68.3</v>
      </c>
      <c r="S109" s="28">
        <v>3</v>
      </c>
      <c r="T109" s="284"/>
      <c r="U109" s="293"/>
      <c r="V109" s="37" t="s">
        <v>118</v>
      </c>
      <c r="W109" s="28" t="s">
        <v>75</v>
      </c>
      <c r="X109" s="28" t="s">
        <v>11</v>
      </c>
      <c r="Y109" s="38">
        <v>63.3</v>
      </c>
      <c r="Z109" s="37" t="s">
        <v>126</v>
      </c>
      <c r="AA109" s="28" t="s">
        <v>78</v>
      </c>
      <c r="AB109" s="28" t="s">
        <v>18</v>
      </c>
      <c r="AC109" s="28">
        <v>5</v>
      </c>
      <c r="AD109" s="37"/>
      <c r="AG109" s="38"/>
      <c r="AL109" s="37"/>
      <c r="AO109" s="38"/>
      <c r="AP109" s="37"/>
      <c r="AS109" s="38"/>
      <c r="AW109" s="38"/>
      <c r="BA109" s="39"/>
    </row>
    <row r="110" spans="1:53" s="28" customFormat="1" x14ac:dyDescent="0.15">
      <c r="A110" s="28">
        <v>2007</v>
      </c>
      <c r="B110" s="293"/>
      <c r="C110" s="394" t="s">
        <v>408</v>
      </c>
      <c r="D110" s="394"/>
      <c r="E110" s="28">
        <v>137</v>
      </c>
      <c r="G110" s="65">
        <v>27</v>
      </c>
      <c r="H110" s="28">
        <v>1</v>
      </c>
      <c r="J110" s="72">
        <v>31</v>
      </c>
      <c r="K110" s="46">
        <f t="shared" si="13"/>
        <v>87.096774193548384</v>
      </c>
      <c r="L110" s="46">
        <f t="shared" si="14"/>
        <v>3.225806451612903</v>
      </c>
      <c r="M110" s="46">
        <f t="shared" si="15"/>
        <v>0</v>
      </c>
      <c r="N110" s="67">
        <f t="shared" si="8"/>
        <v>90.322580645161281</v>
      </c>
      <c r="O110" s="45">
        <v>63.3</v>
      </c>
      <c r="P110" s="46">
        <v>5</v>
      </c>
      <c r="Q110" s="46"/>
      <c r="R110" s="47">
        <f t="shared" si="9"/>
        <v>68.3</v>
      </c>
      <c r="S110" s="28">
        <v>3</v>
      </c>
      <c r="T110" s="284"/>
      <c r="U110" s="293"/>
      <c r="V110" s="37" t="s">
        <v>118</v>
      </c>
      <c r="W110" s="28" t="s">
        <v>75</v>
      </c>
      <c r="X110" s="28" t="s">
        <v>11</v>
      </c>
      <c r="Y110" s="38">
        <v>63.3</v>
      </c>
      <c r="Z110" s="37" t="s">
        <v>126</v>
      </c>
      <c r="AA110" s="28" t="s">
        <v>78</v>
      </c>
      <c r="AB110" s="28" t="s">
        <v>18</v>
      </c>
      <c r="AC110" s="28">
        <v>5</v>
      </c>
      <c r="AD110" s="37"/>
      <c r="AG110" s="38"/>
      <c r="AL110" s="37"/>
      <c r="AO110" s="38"/>
      <c r="AP110" s="37"/>
      <c r="AS110" s="38"/>
      <c r="AW110" s="38"/>
      <c r="BA110" s="39"/>
    </row>
    <row r="111" spans="1:53" s="170" customFormat="1" x14ac:dyDescent="0.15">
      <c r="A111" s="170">
        <v>2007</v>
      </c>
      <c r="B111" s="281">
        <v>39220</v>
      </c>
      <c r="C111" s="395" t="s">
        <v>409</v>
      </c>
      <c r="D111" s="395"/>
      <c r="E111" s="170">
        <v>32</v>
      </c>
      <c r="F111" s="170">
        <v>1</v>
      </c>
      <c r="G111" s="232">
        <v>12</v>
      </c>
      <c r="H111" s="170">
        <v>1</v>
      </c>
      <c r="J111" s="240">
        <v>16</v>
      </c>
      <c r="K111" s="213">
        <f>G111/J111*100</f>
        <v>75</v>
      </c>
      <c r="L111" s="213">
        <f>H111/J111*100</f>
        <v>6.25</v>
      </c>
      <c r="M111" s="213">
        <f>I111/J111*100</f>
        <v>0</v>
      </c>
      <c r="N111" s="234">
        <f>SUM(K111:M111)</f>
        <v>81.25</v>
      </c>
      <c r="O111" s="212">
        <v>63.3</v>
      </c>
      <c r="P111" s="213">
        <v>0</v>
      </c>
      <c r="Q111" s="213"/>
      <c r="R111" s="214">
        <f>SUM(O111:Q111)</f>
        <v>63.3</v>
      </c>
      <c r="S111" s="170">
        <v>3</v>
      </c>
      <c r="T111" s="283"/>
      <c r="U111" s="281">
        <v>39220</v>
      </c>
      <c r="V111" s="177" t="s">
        <v>118</v>
      </c>
      <c r="W111" s="170" t="s">
        <v>75</v>
      </c>
      <c r="X111" s="170" t="s">
        <v>11</v>
      </c>
      <c r="Y111" s="178">
        <v>63.3</v>
      </c>
      <c r="Z111" s="170" t="s">
        <v>411</v>
      </c>
      <c r="AA111" s="170" t="s">
        <v>324</v>
      </c>
      <c r="AB111" s="170" t="s">
        <v>18</v>
      </c>
      <c r="AC111" s="170">
        <v>0</v>
      </c>
      <c r="AD111" s="177"/>
      <c r="AG111" s="178"/>
      <c r="AL111" s="177"/>
      <c r="AO111" s="178"/>
      <c r="AP111" s="177"/>
      <c r="AS111" s="178"/>
      <c r="AW111" s="178"/>
      <c r="BA111" s="179"/>
    </row>
    <row r="112" spans="1:53" s="28" customFormat="1" x14ac:dyDescent="0.15">
      <c r="A112" s="28">
        <v>2007</v>
      </c>
      <c r="B112" s="293">
        <v>39252</v>
      </c>
      <c r="C112" s="394" t="s">
        <v>410</v>
      </c>
      <c r="D112" s="394"/>
      <c r="E112" s="28">
        <v>196</v>
      </c>
      <c r="F112" s="28">
        <v>1</v>
      </c>
      <c r="G112" s="65">
        <v>12</v>
      </c>
      <c r="H112" s="28">
        <v>1</v>
      </c>
      <c r="J112" s="72">
        <v>16</v>
      </c>
      <c r="K112" s="46">
        <f t="shared" si="13"/>
        <v>75</v>
      </c>
      <c r="L112" s="46">
        <f t="shared" si="14"/>
        <v>6.25</v>
      </c>
      <c r="M112" s="46">
        <f t="shared" si="15"/>
        <v>0</v>
      </c>
      <c r="N112" s="67">
        <f t="shared" si="8"/>
        <v>81.25</v>
      </c>
      <c r="O112" s="45">
        <v>54.1</v>
      </c>
      <c r="P112" s="46">
        <v>3.8</v>
      </c>
      <c r="Q112" s="46"/>
      <c r="R112" s="47">
        <f t="shared" si="9"/>
        <v>57.9</v>
      </c>
      <c r="S112" s="28">
        <v>3</v>
      </c>
      <c r="T112" s="284">
        <v>39243</v>
      </c>
      <c r="U112" s="293">
        <v>39252</v>
      </c>
      <c r="V112" s="37" t="s">
        <v>118</v>
      </c>
      <c r="W112" s="28" t="s">
        <v>75</v>
      </c>
      <c r="X112" s="28" t="s">
        <v>11</v>
      </c>
      <c r="Y112" s="38">
        <v>54.1</v>
      </c>
      <c r="Z112" s="28" t="s">
        <v>411</v>
      </c>
      <c r="AA112" s="28" t="s">
        <v>324</v>
      </c>
      <c r="AB112" s="28" t="s">
        <v>18</v>
      </c>
      <c r="AC112" s="28">
        <v>3.8</v>
      </c>
      <c r="AD112" s="37"/>
      <c r="AG112" s="38"/>
      <c r="AL112" s="37"/>
      <c r="AO112" s="38"/>
      <c r="AP112" s="37"/>
      <c r="AS112" s="38"/>
      <c r="AW112" s="38"/>
      <c r="BA112" s="39"/>
    </row>
    <row r="113" spans="1:53" s="28" customFormat="1" x14ac:dyDescent="0.15">
      <c r="A113" s="28">
        <v>2008</v>
      </c>
      <c r="B113" s="293"/>
      <c r="C113" s="394" t="s">
        <v>410</v>
      </c>
      <c r="D113" s="394"/>
      <c r="E113" s="28">
        <v>0</v>
      </c>
      <c r="G113" s="65">
        <v>12</v>
      </c>
      <c r="H113" s="28">
        <v>1</v>
      </c>
      <c r="J113" s="72">
        <v>16</v>
      </c>
      <c r="K113" s="46">
        <f t="shared" si="13"/>
        <v>75</v>
      </c>
      <c r="L113" s="46">
        <f t="shared" si="14"/>
        <v>6.25</v>
      </c>
      <c r="M113" s="46">
        <f t="shared" si="15"/>
        <v>0</v>
      </c>
      <c r="N113" s="67">
        <f t="shared" si="8"/>
        <v>81.25</v>
      </c>
      <c r="O113" s="45">
        <v>54.1</v>
      </c>
      <c r="P113" s="46">
        <v>3.8</v>
      </c>
      <c r="Q113" s="46"/>
      <c r="R113" s="47">
        <f t="shared" si="9"/>
        <v>57.9</v>
      </c>
      <c r="S113" s="28">
        <v>3</v>
      </c>
      <c r="T113" s="284"/>
      <c r="U113" s="293"/>
      <c r="V113" s="37" t="s">
        <v>118</v>
      </c>
      <c r="W113" s="28" t="s">
        <v>75</v>
      </c>
      <c r="X113" s="28" t="s">
        <v>11</v>
      </c>
      <c r="Y113" s="38">
        <v>54.1</v>
      </c>
      <c r="Z113" s="28" t="s">
        <v>411</v>
      </c>
      <c r="AA113" s="28" t="s">
        <v>324</v>
      </c>
      <c r="AB113" s="28" t="s">
        <v>18</v>
      </c>
      <c r="AC113" s="28">
        <v>3.8</v>
      </c>
      <c r="AD113" s="37"/>
      <c r="AG113" s="38"/>
      <c r="AL113" s="37"/>
      <c r="AO113" s="38"/>
      <c r="AP113" s="37"/>
      <c r="AS113" s="38"/>
      <c r="AW113" s="38"/>
      <c r="BA113" s="39"/>
    </row>
    <row r="114" spans="1:53" s="28" customFormat="1" x14ac:dyDescent="0.15">
      <c r="A114" s="28">
        <v>2008</v>
      </c>
      <c r="B114" s="293"/>
      <c r="C114" s="394" t="s">
        <v>410</v>
      </c>
      <c r="D114" s="394"/>
      <c r="E114" s="28">
        <v>366</v>
      </c>
      <c r="G114" s="65">
        <v>12</v>
      </c>
      <c r="H114" s="28">
        <v>1</v>
      </c>
      <c r="J114" s="72">
        <v>16</v>
      </c>
      <c r="K114" s="46">
        <f t="shared" si="13"/>
        <v>75</v>
      </c>
      <c r="L114" s="46">
        <f t="shared" si="14"/>
        <v>6.25</v>
      </c>
      <c r="M114" s="46">
        <f t="shared" si="15"/>
        <v>0</v>
      </c>
      <c r="N114" s="67">
        <f t="shared" si="8"/>
        <v>81.25</v>
      </c>
      <c r="O114" s="45">
        <v>54.1</v>
      </c>
      <c r="P114" s="46">
        <v>3.8</v>
      </c>
      <c r="Q114" s="46"/>
      <c r="R114" s="47">
        <f t="shared" si="9"/>
        <v>57.9</v>
      </c>
      <c r="S114" s="28">
        <v>3</v>
      </c>
      <c r="T114" s="284"/>
      <c r="U114" s="293"/>
      <c r="V114" s="37" t="s">
        <v>118</v>
      </c>
      <c r="W114" s="28" t="s">
        <v>75</v>
      </c>
      <c r="X114" s="28" t="s">
        <v>11</v>
      </c>
      <c r="Y114" s="38">
        <v>54.1</v>
      </c>
      <c r="Z114" s="28" t="s">
        <v>411</v>
      </c>
      <c r="AA114" s="28" t="s">
        <v>324</v>
      </c>
      <c r="AB114" s="28" t="s">
        <v>18</v>
      </c>
      <c r="AC114" s="28">
        <v>3.8</v>
      </c>
      <c r="AD114" s="37"/>
      <c r="AG114" s="38"/>
      <c r="AL114" s="37"/>
      <c r="AO114" s="38"/>
      <c r="AP114" s="37"/>
      <c r="AS114" s="38"/>
      <c r="AW114" s="38"/>
      <c r="BA114" s="39"/>
    </row>
    <row r="115" spans="1:53" s="28" customFormat="1" x14ac:dyDescent="0.15">
      <c r="A115" s="28">
        <v>2009</v>
      </c>
      <c r="B115" s="293"/>
      <c r="C115" s="394" t="s">
        <v>410</v>
      </c>
      <c r="D115" s="394"/>
      <c r="E115" s="28">
        <v>14</v>
      </c>
      <c r="G115" s="65">
        <v>12</v>
      </c>
      <c r="H115" s="28">
        <v>1</v>
      </c>
      <c r="J115" s="72">
        <v>16</v>
      </c>
      <c r="K115" s="46">
        <f t="shared" si="13"/>
        <v>75</v>
      </c>
      <c r="L115" s="46">
        <f t="shared" si="14"/>
        <v>6.25</v>
      </c>
      <c r="M115" s="46">
        <f t="shared" si="15"/>
        <v>0</v>
      </c>
      <c r="N115" s="67">
        <f t="shared" si="8"/>
        <v>81.25</v>
      </c>
      <c r="O115" s="45">
        <v>54.1</v>
      </c>
      <c r="P115" s="46">
        <v>3.8</v>
      </c>
      <c r="Q115" s="46"/>
      <c r="R115" s="47">
        <f t="shared" si="9"/>
        <v>57.9</v>
      </c>
      <c r="S115" s="28">
        <v>3</v>
      </c>
      <c r="T115" s="284"/>
      <c r="U115" s="293"/>
      <c r="V115" s="37" t="s">
        <v>118</v>
      </c>
      <c r="W115" s="28" t="s">
        <v>75</v>
      </c>
      <c r="X115" s="28" t="s">
        <v>11</v>
      </c>
      <c r="Y115" s="38">
        <v>54.1</v>
      </c>
      <c r="Z115" s="28" t="s">
        <v>411</v>
      </c>
      <c r="AA115" s="28" t="s">
        <v>324</v>
      </c>
      <c r="AB115" s="28" t="s">
        <v>18</v>
      </c>
      <c r="AC115" s="28">
        <v>3.8</v>
      </c>
      <c r="AD115" s="37"/>
      <c r="AG115" s="38"/>
      <c r="AL115" s="37"/>
      <c r="AO115" s="38"/>
      <c r="AP115" s="37"/>
      <c r="AS115" s="38"/>
      <c r="AW115" s="38"/>
      <c r="BA115" s="39"/>
    </row>
    <row r="116" spans="1:53" s="28" customFormat="1" x14ac:dyDescent="0.15">
      <c r="A116" s="28">
        <v>2009</v>
      </c>
      <c r="B116" s="301">
        <v>39828</v>
      </c>
      <c r="C116" s="394" t="s">
        <v>410</v>
      </c>
      <c r="D116" s="394"/>
      <c r="E116" s="28">
        <v>159</v>
      </c>
      <c r="F116" s="83">
        <v>0</v>
      </c>
      <c r="G116" s="65">
        <v>15</v>
      </c>
      <c r="H116" s="28">
        <v>1</v>
      </c>
      <c r="J116" s="72">
        <v>17</v>
      </c>
      <c r="K116" s="46">
        <f t="shared" si="13"/>
        <v>88.235294117647058</v>
      </c>
      <c r="L116" s="46">
        <f t="shared" si="14"/>
        <v>5.8823529411764701</v>
      </c>
      <c r="M116" s="46">
        <f t="shared" si="15"/>
        <v>0</v>
      </c>
      <c r="N116" s="67">
        <f t="shared" si="8"/>
        <v>94.117647058823522</v>
      </c>
      <c r="O116" s="45">
        <v>54.1</v>
      </c>
      <c r="P116" s="46">
        <v>3.8</v>
      </c>
      <c r="Q116" s="46"/>
      <c r="R116" s="47">
        <f t="shared" si="9"/>
        <v>57.9</v>
      </c>
      <c r="S116" s="28">
        <v>3</v>
      </c>
      <c r="T116" s="284"/>
      <c r="U116" s="301"/>
      <c r="V116" s="37" t="s">
        <v>118</v>
      </c>
      <c r="W116" s="28" t="s">
        <v>75</v>
      </c>
      <c r="X116" s="28" t="s">
        <v>11</v>
      </c>
      <c r="Y116" s="38">
        <v>54.1</v>
      </c>
      <c r="Z116" s="28" t="s">
        <v>411</v>
      </c>
      <c r="AA116" s="28" t="s">
        <v>324</v>
      </c>
      <c r="AB116" s="28" t="s">
        <v>18</v>
      </c>
      <c r="AC116" s="28">
        <v>3.8</v>
      </c>
      <c r="AD116" s="37"/>
      <c r="AG116" s="38"/>
      <c r="AL116" s="37"/>
      <c r="AO116" s="38"/>
      <c r="AP116" s="37"/>
      <c r="AS116" s="38"/>
      <c r="AW116" s="38"/>
      <c r="BA116" s="39"/>
    </row>
    <row r="117" spans="1:53" s="28" customFormat="1" x14ac:dyDescent="0.15">
      <c r="A117" s="28">
        <v>2009</v>
      </c>
      <c r="B117" s="301">
        <v>39987</v>
      </c>
      <c r="C117" s="394" t="s">
        <v>410</v>
      </c>
      <c r="D117" s="394"/>
      <c r="E117" s="28">
        <v>192</v>
      </c>
      <c r="F117" s="83">
        <v>0</v>
      </c>
      <c r="G117" s="65">
        <v>15</v>
      </c>
      <c r="H117" s="28">
        <v>1</v>
      </c>
      <c r="J117" s="72">
        <v>19</v>
      </c>
      <c r="K117" s="46">
        <f t="shared" si="13"/>
        <v>78.94736842105263</v>
      </c>
      <c r="L117" s="46">
        <f t="shared" si="14"/>
        <v>5.2631578947368416</v>
      </c>
      <c r="M117" s="46">
        <f t="shared" si="15"/>
        <v>0</v>
      </c>
      <c r="N117" s="67">
        <f t="shared" si="8"/>
        <v>84.210526315789465</v>
      </c>
      <c r="O117" s="45">
        <v>54.1</v>
      </c>
      <c r="P117" s="46">
        <v>3.8</v>
      </c>
      <c r="Q117" s="46"/>
      <c r="R117" s="47">
        <f t="shared" si="9"/>
        <v>57.9</v>
      </c>
      <c r="S117" s="28">
        <v>3</v>
      </c>
      <c r="T117" s="284"/>
      <c r="U117" s="301"/>
      <c r="V117" s="37" t="s">
        <v>118</v>
      </c>
      <c r="W117" s="28" t="s">
        <v>75</v>
      </c>
      <c r="X117" s="28" t="s">
        <v>11</v>
      </c>
      <c r="Y117" s="38">
        <v>54.1</v>
      </c>
      <c r="Z117" s="28" t="s">
        <v>411</v>
      </c>
      <c r="AA117" s="28" t="s">
        <v>324</v>
      </c>
      <c r="AB117" s="28" t="s">
        <v>18</v>
      </c>
      <c r="AC117" s="28">
        <v>3.8</v>
      </c>
      <c r="AD117" s="37"/>
      <c r="AG117" s="38"/>
      <c r="AL117" s="37"/>
      <c r="AO117" s="38"/>
      <c r="AP117" s="37"/>
      <c r="AS117" s="38"/>
      <c r="AW117" s="38"/>
      <c r="BA117" s="39"/>
    </row>
    <row r="118" spans="1:53" s="28" customFormat="1" x14ac:dyDescent="0.15">
      <c r="A118" s="28">
        <v>2010</v>
      </c>
      <c r="B118" s="293"/>
      <c r="C118" s="394" t="s">
        <v>410</v>
      </c>
      <c r="D118" s="394"/>
      <c r="E118" s="28">
        <v>317</v>
      </c>
      <c r="G118" s="65">
        <v>15</v>
      </c>
      <c r="H118" s="28">
        <v>1</v>
      </c>
      <c r="J118" s="72">
        <v>19</v>
      </c>
      <c r="K118" s="46">
        <f t="shared" si="13"/>
        <v>78.94736842105263</v>
      </c>
      <c r="L118" s="46">
        <f t="shared" si="14"/>
        <v>5.2631578947368416</v>
      </c>
      <c r="M118" s="46">
        <f t="shared" si="15"/>
        <v>0</v>
      </c>
      <c r="N118" s="67">
        <f t="shared" si="8"/>
        <v>84.210526315789465</v>
      </c>
      <c r="O118" s="45">
        <v>54.1</v>
      </c>
      <c r="P118" s="46">
        <v>3.8</v>
      </c>
      <c r="Q118" s="46"/>
      <c r="R118" s="47">
        <f t="shared" si="9"/>
        <v>57.9</v>
      </c>
      <c r="S118" s="28">
        <v>3</v>
      </c>
      <c r="T118" s="284"/>
      <c r="U118" s="293"/>
      <c r="V118" s="37" t="s">
        <v>118</v>
      </c>
      <c r="W118" s="28" t="s">
        <v>75</v>
      </c>
      <c r="X118" s="28" t="s">
        <v>11</v>
      </c>
      <c r="Y118" s="38">
        <v>54.1</v>
      </c>
      <c r="Z118" s="28" t="s">
        <v>411</v>
      </c>
      <c r="AA118" s="28" t="s">
        <v>324</v>
      </c>
      <c r="AB118" s="28" t="s">
        <v>18</v>
      </c>
      <c r="AC118" s="28">
        <v>3.8</v>
      </c>
      <c r="AD118" s="37"/>
      <c r="AG118" s="38"/>
      <c r="AL118" s="37"/>
      <c r="AO118" s="38"/>
      <c r="AP118" s="37"/>
      <c r="AS118" s="38"/>
      <c r="AW118" s="38"/>
      <c r="BA118" s="39"/>
    </row>
    <row r="119" spans="1:53" s="170" customFormat="1" x14ac:dyDescent="0.15">
      <c r="A119" s="170">
        <v>2010</v>
      </c>
      <c r="B119" s="281">
        <v>40496</v>
      </c>
      <c r="C119" s="395" t="s">
        <v>1135</v>
      </c>
      <c r="D119" s="395"/>
      <c r="E119" s="170">
        <f>365-E118</f>
        <v>48</v>
      </c>
      <c r="F119" s="170">
        <v>4</v>
      </c>
      <c r="G119" s="232">
        <v>22</v>
      </c>
      <c r="J119" s="240">
        <v>23</v>
      </c>
      <c r="K119" s="213">
        <f t="shared" si="13"/>
        <v>95.652173913043484</v>
      </c>
      <c r="L119" s="213">
        <f t="shared" si="13"/>
        <v>0</v>
      </c>
      <c r="M119" s="213">
        <f t="shared" si="15"/>
        <v>0</v>
      </c>
      <c r="N119" s="234">
        <f t="shared" si="8"/>
        <v>95.652173913043484</v>
      </c>
      <c r="O119" s="212">
        <v>54.1</v>
      </c>
      <c r="P119" s="213"/>
      <c r="Q119" s="213"/>
      <c r="R119" s="214">
        <f t="shared" si="9"/>
        <v>54.1</v>
      </c>
      <c r="S119" s="170">
        <v>1</v>
      </c>
      <c r="T119" s="283"/>
      <c r="U119" s="281">
        <v>40496</v>
      </c>
      <c r="V119" s="177" t="s">
        <v>118</v>
      </c>
      <c r="W119" s="170" t="s">
        <v>75</v>
      </c>
      <c r="X119" s="170" t="s">
        <v>11</v>
      </c>
      <c r="Y119" s="178">
        <v>54.1</v>
      </c>
      <c r="AD119" s="177"/>
      <c r="AG119" s="178"/>
      <c r="AL119" s="177"/>
      <c r="AO119" s="178"/>
      <c r="AP119" s="177"/>
      <c r="AS119" s="178"/>
      <c r="AW119" s="178"/>
      <c r="BA119" s="179"/>
    </row>
    <row r="120" spans="1:53" s="170" customFormat="1" x14ac:dyDescent="0.15">
      <c r="A120" s="170">
        <v>2011</v>
      </c>
      <c r="B120" s="281"/>
      <c r="C120" s="395" t="s">
        <v>1135</v>
      </c>
      <c r="D120" s="395"/>
      <c r="E120" s="170">
        <v>0</v>
      </c>
      <c r="G120" s="232">
        <v>22</v>
      </c>
      <c r="J120" s="240">
        <v>23</v>
      </c>
      <c r="K120" s="213">
        <f t="shared" ref="K120:L122" si="16">G120/J120*100</f>
        <v>95.652173913043484</v>
      </c>
      <c r="L120" s="213">
        <f t="shared" si="16"/>
        <v>0</v>
      </c>
      <c r="M120" s="213">
        <f t="shared" ref="M120:M126" si="17">I120/J120*100</f>
        <v>0</v>
      </c>
      <c r="N120" s="234">
        <f t="shared" si="8"/>
        <v>95.652173913043484</v>
      </c>
      <c r="O120" s="212">
        <v>54.1</v>
      </c>
      <c r="P120" s="213"/>
      <c r="Q120" s="213"/>
      <c r="R120" s="214">
        <f t="shared" si="9"/>
        <v>54.1</v>
      </c>
      <c r="S120" s="170">
        <v>1</v>
      </c>
      <c r="T120" s="283"/>
      <c r="U120" s="281"/>
      <c r="V120" s="177" t="s">
        <v>118</v>
      </c>
      <c r="W120" s="170" t="s">
        <v>75</v>
      </c>
      <c r="X120" s="170" t="s">
        <v>11</v>
      </c>
      <c r="Y120" s="178">
        <v>54.1</v>
      </c>
      <c r="AD120" s="177"/>
      <c r="AG120" s="178"/>
      <c r="AL120" s="177"/>
      <c r="AO120" s="178"/>
      <c r="AP120" s="177"/>
      <c r="AS120" s="178"/>
      <c r="AW120" s="178"/>
      <c r="BA120" s="179"/>
    </row>
    <row r="121" spans="1:53" s="170" customFormat="1" x14ac:dyDescent="0.15">
      <c r="A121" s="170">
        <v>2011</v>
      </c>
      <c r="B121" s="281"/>
      <c r="C121" s="395" t="s">
        <v>1135</v>
      </c>
      <c r="D121" s="395"/>
      <c r="E121" s="170">
        <v>365</v>
      </c>
      <c r="G121" s="232">
        <v>22</v>
      </c>
      <c r="J121" s="240">
        <v>23</v>
      </c>
      <c r="K121" s="213">
        <f t="shared" si="16"/>
        <v>95.652173913043484</v>
      </c>
      <c r="L121" s="213">
        <f t="shared" si="16"/>
        <v>0</v>
      </c>
      <c r="M121" s="213">
        <f t="shared" si="17"/>
        <v>0</v>
      </c>
      <c r="N121" s="234">
        <f t="shared" si="8"/>
        <v>95.652173913043484</v>
      </c>
      <c r="O121" s="212">
        <v>54.1</v>
      </c>
      <c r="P121" s="213"/>
      <c r="Q121" s="213"/>
      <c r="R121" s="214">
        <f t="shared" si="9"/>
        <v>54.1</v>
      </c>
      <c r="S121" s="170">
        <v>1</v>
      </c>
      <c r="T121" s="283"/>
      <c r="U121" s="281"/>
      <c r="V121" s="177" t="s">
        <v>118</v>
      </c>
      <c r="W121" s="170" t="s">
        <v>75</v>
      </c>
      <c r="X121" s="170" t="s">
        <v>11</v>
      </c>
      <c r="Y121" s="178">
        <v>54.1</v>
      </c>
      <c r="AD121" s="177"/>
      <c r="AG121" s="178"/>
      <c r="AL121" s="177"/>
      <c r="AO121" s="178"/>
      <c r="AP121" s="177"/>
      <c r="AS121" s="178"/>
      <c r="AW121" s="178"/>
      <c r="BA121" s="179"/>
    </row>
    <row r="122" spans="1:53" s="170" customFormat="1" x14ac:dyDescent="0.15">
      <c r="A122" s="170">
        <v>2012</v>
      </c>
      <c r="B122" s="281"/>
      <c r="C122" s="395" t="s">
        <v>1135</v>
      </c>
      <c r="D122" s="395"/>
      <c r="E122" s="170">
        <v>136</v>
      </c>
      <c r="G122" s="232">
        <v>22</v>
      </c>
      <c r="J122" s="240">
        <v>23</v>
      </c>
      <c r="K122" s="213">
        <f t="shared" si="16"/>
        <v>95.652173913043484</v>
      </c>
      <c r="L122" s="213">
        <f t="shared" si="16"/>
        <v>0</v>
      </c>
      <c r="M122" s="213">
        <f t="shared" si="17"/>
        <v>0</v>
      </c>
      <c r="N122" s="234">
        <f t="shared" si="8"/>
        <v>95.652173913043484</v>
      </c>
      <c r="O122" s="212">
        <v>54.1</v>
      </c>
      <c r="P122" s="213"/>
      <c r="Q122" s="213"/>
      <c r="R122" s="214">
        <f t="shared" si="9"/>
        <v>54.1</v>
      </c>
      <c r="S122" s="170">
        <v>1</v>
      </c>
      <c r="T122" s="283"/>
      <c r="U122" s="281"/>
      <c r="V122" s="177" t="s">
        <v>118</v>
      </c>
      <c r="W122" s="170" t="s">
        <v>75</v>
      </c>
      <c r="X122" s="170" t="s">
        <v>11</v>
      </c>
      <c r="Y122" s="178">
        <v>54.1</v>
      </c>
      <c r="AD122" s="177"/>
      <c r="AG122" s="178"/>
      <c r="AL122" s="177"/>
      <c r="AO122" s="178"/>
      <c r="AP122" s="177"/>
      <c r="AS122" s="178"/>
      <c r="AW122" s="178"/>
      <c r="BA122" s="179"/>
    </row>
    <row r="123" spans="1:53" s="28" customFormat="1" x14ac:dyDescent="0.15">
      <c r="A123" s="28">
        <v>2012</v>
      </c>
      <c r="B123" s="293">
        <v>41045</v>
      </c>
      <c r="C123" s="394" t="s">
        <v>412</v>
      </c>
      <c r="D123" s="394"/>
      <c r="E123" s="28">
        <v>33</v>
      </c>
      <c r="F123" s="28">
        <v>1</v>
      </c>
      <c r="G123" s="65"/>
      <c r="I123" s="28">
        <v>20</v>
      </c>
      <c r="J123" s="72">
        <v>20</v>
      </c>
      <c r="K123" s="46">
        <f>G123/J123*100</f>
        <v>0</v>
      </c>
      <c r="L123" s="46">
        <f>H123/J123*100</f>
        <v>0</v>
      </c>
      <c r="M123" s="46">
        <f t="shared" si="17"/>
        <v>100</v>
      </c>
      <c r="N123" s="67">
        <f>SUM(K123:M123)</f>
        <v>100</v>
      </c>
      <c r="O123" s="45"/>
      <c r="P123" s="46"/>
      <c r="Q123" s="46">
        <v>37.4</v>
      </c>
      <c r="R123" s="47">
        <f>SUM(O123:Q123)</f>
        <v>37.4</v>
      </c>
      <c r="S123" s="28">
        <v>6</v>
      </c>
      <c r="T123" s="284"/>
      <c r="U123" s="293">
        <v>41045</v>
      </c>
      <c r="V123" s="37" t="s">
        <v>95</v>
      </c>
      <c r="W123" s="28" t="s">
        <v>20</v>
      </c>
      <c r="X123" s="28" t="s">
        <v>12</v>
      </c>
      <c r="Y123" s="38">
        <v>35.5</v>
      </c>
      <c r="Z123" s="28" t="s">
        <v>1316</v>
      </c>
      <c r="AA123" s="28" t="s">
        <v>87</v>
      </c>
      <c r="AB123" s="28" t="s">
        <v>12</v>
      </c>
      <c r="AC123" s="28">
        <v>1.2</v>
      </c>
      <c r="AD123" s="37" t="s">
        <v>404</v>
      </c>
      <c r="AE123" s="28" t="s">
        <v>216</v>
      </c>
      <c r="AF123" s="28" t="s">
        <v>12</v>
      </c>
      <c r="AG123" s="38">
        <v>0.7</v>
      </c>
      <c r="AL123" s="37"/>
      <c r="AO123" s="38"/>
      <c r="AP123" s="37"/>
      <c r="AS123" s="38"/>
      <c r="AW123" s="38"/>
      <c r="BA123" s="39"/>
    </row>
    <row r="124" spans="1:53" s="170" customFormat="1" x14ac:dyDescent="0.15">
      <c r="A124" s="170">
        <v>2012</v>
      </c>
      <c r="B124" s="281">
        <v>41078</v>
      </c>
      <c r="C124" s="395" t="s">
        <v>413</v>
      </c>
      <c r="D124" s="395"/>
      <c r="E124" s="170">
        <v>197</v>
      </c>
      <c r="F124" s="170">
        <v>1</v>
      </c>
      <c r="G124" s="232"/>
      <c r="I124" s="170">
        <v>21</v>
      </c>
      <c r="J124" s="240">
        <v>21</v>
      </c>
      <c r="K124" s="213">
        <f t="shared" ref="K124:K131" si="18">G124/J124*100</f>
        <v>0</v>
      </c>
      <c r="L124" s="213">
        <f>H124/J124*100</f>
        <v>0</v>
      </c>
      <c r="M124" s="213">
        <f t="shared" si="17"/>
        <v>100</v>
      </c>
      <c r="N124" s="234">
        <f t="shared" si="8"/>
        <v>100</v>
      </c>
      <c r="O124" s="212"/>
      <c r="P124" s="213"/>
      <c r="Q124" s="213">
        <v>53.5</v>
      </c>
      <c r="R124" s="214">
        <f t="shared" si="9"/>
        <v>53.5</v>
      </c>
      <c r="S124" s="170">
        <v>3</v>
      </c>
      <c r="T124" s="283">
        <v>41077</v>
      </c>
      <c r="U124" s="281">
        <v>41078</v>
      </c>
      <c r="V124" s="177" t="s">
        <v>95</v>
      </c>
      <c r="W124" s="170" t="s">
        <v>20</v>
      </c>
      <c r="X124" s="170" t="s">
        <v>12</v>
      </c>
      <c r="Y124" s="178">
        <v>48.5</v>
      </c>
      <c r="Z124" s="170" t="s">
        <v>1316</v>
      </c>
      <c r="AA124" s="170" t="s">
        <v>87</v>
      </c>
      <c r="AB124" s="170" t="s">
        <v>12</v>
      </c>
      <c r="AC124" s="170">
        <v>2.1</v>
      </c>
      <c r="AD124" s="177" t="s">
        <v>404</v>
      </c>
      <c r="AE124" s="170" t="s">
        <v>216</v>
      </c>
      <c r="AF124" s="170" t="s">
        <v>12</v>
      </c>
      <c r="AG124" s="178">
        <v>2.9</v>
      </c>
      <c r="AL124" s="177"/>
      <c r="AO124" s="178"/>
      <c r="AP124" s="177"/>
      <c r="AS124" s="178"/>
      <c r="AW124" s="178"/>
      <c r="BA124" s="179"/>
    </row>
    <row r="125" spans="1:53" s="170" customFormat="1" x14ac:dyDescent="0.15">
      <c r="A125" s="170">
        <v>2013</v>
      </c>
      <c r="B125" s="281"/>
      <c r="C125" s="369" t="s">
        <v>413</v>
      </c>
      <c r="D125" s="369"/>
      <c r="E125" s="170">
        <v>0</v>
      </c>
      <c r="G125" s="232"/>
      <c r="I125" s="170">
        <v>21</v>
      </c>
      <c r="J125" s="240">
        <v>21</v>
      </c>
      <c r="K125" s="213">
        <f t="shared" si="18"/>
        <v>0</v>
      </c>
      <c r="L125" s="213">
        <f t="shared" ref="L125:L131" si="19">H125/J125*100</f>
        <v>0</v>
      </c>
      <c r="M125" s="213">
        <f t="shared" si="17"/>
        <v>100</v>
      </c>
      <c r="N125" s="234">
        <f t="shared" si="8"/>
        <v>100</v>
      </c>
      <c r="O125" s="212"/>
      <c r="P125" s="213"/>
      <c r="Q125" s="213">
        <v>53.5</v>
      </c>
      <c r="R125" s="214">
        <f t="shared" si="9"/>
        <v>53.5</v>
      </c>
      <c r="S125" s="170">
        <v>3</v>
      </c>
      <c r="T125" s="283"/>
      <c r="U125" s="281"/>
      <c r="V125" s="177" t="s">
        <v>95</v>
      </c>
      <c r="W125" s="170" t="s">
        <v>20</v>
      </c>
      <c r="X125" s="170" t="s">
        <v>12</v>
      </c>
      <c r="Y125" s="178">
        <v>48.5</v>
      </c>
      <c r="Z125" s="170" t="s">
        <v>1316</v>
      </c>
      <c r="AA125" s="170" t="s">
        <v>87</v>
      </c>
      <c r="AB125" s="170" t="s">
        <v>12</v>
      </c>
      <c r="AC125" s="170">
        <v>2.1</v>
      </c>
      <c r="AD125" s="177" t="s">
        <v>404</v>
      </c>
      <c r="AE125" s="170" t="s">
        <v>216</v>
      </c>
      <c r="AF125" s="170" t="s">
        <v>12</v>
      </c>
      <c r="AG125" s="178">
        <v>2.9</v>
      </c>
      <c r="AL125" s="177"/>
      <c r="AO125" s="178"/>
      <c r="AP125" s="177"/>
      <c r="AS125" s="178"/>
      <c r="AW125" s="178"/>
      <c r="BA125" s="179"/>
    </row>
    <row r="126" spans="1:53" s="170" customFormat="1" x14ac:dyDescent="0.15">
      <c r="A126" s="170">
        <v>2013</v>
      </c>
      <c r="B126" s="281"/>
      <c r="C126" s="369" t="s">
        <v>413</v>
      </c>
      <c r="D126" s="369"/>
      <c r="E126" s="170">
        <v>365</v>
      </c>
      <c r="G126" s="232"/>
      <c r="I126" s="170">
        <v>21</v>
      </c>
      <c r="J126" s="240">
        <v>21</v>
      </c>
      <c r="K126" s="213">
        <f t="shared" si="18"/>
        <v>0</v>
      </c>
      <c r="L126" s="213">
        <f t="shared" si="19"/>
        <v>0</v>
      </c>
      <c r="M126" s="213">
        <f t="shared" si="17"/>
        <v>100</v>
      </c>
      <c r="N126" s="234">
        <f t="shared" si="8"/>
        <v>100</v>
      </c>
      <c r="O126" s="212"/>
      <c r="P126" s="213"/>
      <c r="Q126" s="213">
        <v>53.5</v>
      </c>
      <c r="R126" s="214">
        <f t="shared" si="9"/>
        <v>53.5</v>
      </c>
      <c r="S126" s="170">
        <v>3</v>
      </c>
      <c r="T126" s="283"/>
      <c r="U126" s="281"/>
      <c r="V126" s="177" t="s">
        <v>95</v>
      </c>
      <c r="W126" s="170" t="s">
        <v>20</v>
      </c>
      <c r="X126" s="170" t="s">
        <v>12</v>
      </c>
      <c r="Y126" s="178">
        <v>48.5</v>
      </c>
      <c r="Z126" s="170" t="s">
        <v>1316</v>
      </c>
      <c r="AA126" s="170" t="s">
        <v>87</v>
      </c>
      <c r="AB126" s="170" t="s">
        <v>12</v>
      </c>
      <c r="AC126" s="170">
        <v>2.1</v>
      </c>
      <c r="AD126" s="177" t="s">
        <v>404</v>
      </c>
      <c r="AE126" s="170" t="s">
        <v>216</v>
      </c>
      <c r="AF126" s="170" t="s">
        <v>12</v>
      </c>
      <c r="AG126" s="178">
        <v>2.9</v>
      </c>
      <c r="AL126" s="177"/>
      <c r="AO126" s="178"/>
      <c r="AP126" s="177"/>
      <c r="AS126" s="178"/>
      <c r="AW126" s="178"/>
      <c r="BA126" s="179"/>
    </row>
    <row r="127" spans="1:53" s="170" customFormat="1" x14ac:dyDescent="0.15">
      <c r="A127" s="170">
        <v>2014</v>
      </c>
      <c r="B127" s="281"/>
      <c r="C127" s="369" t="s">
        <v>413</v>
      </c>
      <c r="D127" s="369"/>
      <c r="E127" s="170">
        <v>89</v>
      </c>
      <c r="G127" s="232"/>
      <c r="I127" s="170">
        <v>21</v>
      </c>
      <c r="J127" s="240">
        <v>21</v>
      </c>
      <c r="K127" s="213">
        <f t="shared" si="18"/>
        <v>0</v>
      </c>
      <c r="L127" s="213">
        <f t="shared" si="19"/>
        <v>0</v>
      </c>
      <c r="M127" s="213">
        <f>I127/J127*100</f>
        <v>100</v>
      </c>
      <c r="N127" s="234">
        <f t="shared" si="8"/>
        <v>100</v>
      </c>
      <c r="O127" s="212"/>
      <c r="P127" s="213"/>
      <c r="Q127" s="213">
        <v>53.5</v>
      </c>
      <c r="R127" s="214">
        <f>SUM(O127:Q127)</f>
        <v>53.5</v>
      </c>
      <c r="S127" s="170">
        <v>3</v>
      </c>
      <c r="T127" s="283"/>
      <c r="U127" s="281"/>
      <c r="V127" s="177" t="s">
        <v>95</v>
      </c>
      <c r="W127" s="170" t="s">
        <v>20</v>
      </c>
      <c r="X127" s="170" t="s">
        <v>12</v>
      </c>
      <c r="Y127" s="178">
        <v>48.5</v>
      </c>
      <c r="Z127" s="170" t="s">
        <v>1316</v>
      </c>
      <c r="AA127" s="170" t="s">
        <v>87</v>
      </c>
      <c r="AB127" s="170" t="s">
        <v>12</v>
      </c>
      <c r="AC127" s="170">
        <v>2.1</v>
      </c>
      <c r="AD127" s="177" t="s">
        <v>404</v>
      </c>
      <c r="AE127" s="170" t="s">
        <v>216</v>
      </c>
      <c r="AF127" s="170" t="s">
        <v>12</v>
      </c>
      <c r="AG127" s="178">
        <v>2.9</v>
      </c>
      <c r="AL127" s="177"/>
      <c r="AO127" s="178"/>
      <c r="AP127" s="177"/>
      <c r="AS127" s="178"/>
      <c r="AW127" s="178"/>
      <c r="BA127" s="179"/>
    </row>
    <row r="128" spans="1:53" s="28" customFormat="1" x14ac:dyDescent="0.15">
      <c r="A128" s="28">
        <v>2014</v>
      </c>
      <c r="B128" s="293">
        <v>41729</v>
      </c>
      <c r="C128" s="394" t="s">
        <v>1285</v>
      </c>
      <c r="D128" s="394"/>
      <c r="E128" s="28">
        <v>149</v>
      </c>
      <c r="F128" s="28">
        <v>2</v>
      </c>
      <c r="G128" s="65"/>
      <c r="I128" s="28">
        <v>17</v>
      </c>
      <c r="J128" s="72">
        <v>17</v>
      </c>
      <c r="K128" s="46">
        <f t="shared" si="18"/>
        <v>0</v>
      </c>
      <c r="L128" s="46">
        <f>H128/J128*100</f>
        <v>0</v>
      </c>
      <c r="M128" s="46">
        <f>I128/J128*100</f>
        <v>100</v>
      </c>
      <c r="N128" s="67">
        <f t="shared" si="8"/>
        <v>100</v>
      </c>
      <c r="O128" s="45"/>
      <c r="P128" s="46"/>
      <c r="Q128" s="46">
        <v>50.2</v>
      </c>
      <c r="R128" s="47">
        <f>SUM(O128:Q128)</f>
        <v>50.2</v>
      </c>
      <c r="S128" s="28">
        <v>2</v>
      </c>
      <c r="T128" s="284"/>
      <c r="U128" s="293">
        <v>41729</v>
      </c>
      <c r="V128" s="37" t="s">
        <v>95</v>
      </c>
      <c r="W128" s="28" t="s">
        <v>20</v>
      </c>
      <c r="X128" s="28" t="s">
        <v>12</v>
      </c>
      <c r="Y128" s="38">
        <v>48.1</v>
      </c>
      <c r="Z128" s="28" t="s">
        <v>1316</v>
      </c>
      <c r="AA128" s="28" t="s">
        <v>87</v>
      </c>
      <c r="AB128" s="28" t="s">
        <v>12</v>
      </c>
      <c r="AC128" s="28">
        <v>2.1</v>
      </c>
      <c r="AD128" s="37"/>
      <c r="AG128" s="38"/>
      <c r="AL128" s="37"/>
      <c r="AO128" s="38"/>
      <c r="AP128" s="37"/>
      <c r="AS128" s="38"/>
      <c r="AW128" s="38"/>
      <c r="BA128" s="39"/>
    </row>
    <row r="129" spans="1:53" s="28" customFormat="1" x14ac:dyDescent="0.15">
      <c r="A129" s="28">
        <v>2014</v>
      </c>
      <c r="B129" s="301">
        <v>41878</v>
      </c>
      <c r="C129" s="394" t="s">
        <v>1285</v>
      </c>
      <c r="D129" s="394"/>
      <c r="E129" s="28">
        <v>127</v>
      </c>
      <c r="F129" s="83">
        <v>0</v>
      </c>
      <c r="G129" s="65"/>
      <c r="I129" s="28">
        <v>17</v>
      </c>
      <c r="J129" s="72">
        <v>17</v>
      </c>
      <c r="K129" s="46">
        <f t="shared" si="18"/>
        <v>0</v>
      </c>
      <c r="L129" s="46">
        <f t="shared" si="19"/>
        <v>0</v>
      </c>
      <c r="M129" s="46">
        <f>I129/J129*100</f>
        <v>100</v>
      </c>
      <c r="N129" s="67">
        <f t="shared" si="8"/>
        <v>100</v>
      </c>
      <c r="O129" s="45"/>
      <c r="P129" s="46"/>
      <c r="Q129" s="46">
        <v>50.2</v>
      </c>
      <c r="R129" s="47">
        <f>SUM(O129:Q129)</f>
        <v>50.2</v>
      </c>
      <c r="S129" s="28">
        <v>2</v>
      </c>
      <c r="T129" s="284"/>
      <c r="U129" s="301"/>
      <c r="V129" s="37" t="s">
        <v>95</v>
      </c>
      <c r="W129" s="28" t="s">
        <v>20</v>
      </c>
      <c r="X129" s="28" t="s">
        <v>12</v>
      </c>
      <c r="Y129" s="38">
        <v>48.1</v>
      </c>
      <c r="Z129" s="28" t="s">
        <v>1316</v>
      </c>
      <c r="AA129" s="28" t="s">
        <v>87</v>
      </c>
      <c r="AB129" s="28" t="s">
        <v>12</v>
      </c>
      <c r="AC129" s="28">
        <v>2.1</v>
      </c>
      <c r="AD129" s="37"/>
      <c r="AG129" s="38"/>
      <c r="AL129" s="37"/>
      <c r="AO129" s="38"/>
      <c r="AP129" s="37"/>
      <c r="AS129" s="38"/>
      <c r="AW129" s="38"/>
      <c r="BA129" s="39"/>
    </row>
    <row r="130" spans="1:53" s="28" customFormat="1" x14ac:dyDescent="0.15">
      <c r="A130" s="28">
        <v>2015</v>
      </c>
      <c r="B130" s="301"/>
      <c r="C130" s="394" t="s">
        <v>1285</v>
      </c>
      <c r="D130" s="394"/>
      <c r="E130" s="28">
        <v>0</v>
      </c>
      <c r="F130" s="83"/>
      <c r="G130" s="65"/>
      <c r="I130" s="28">
        <v>17</v>
      </c>
      <c r="J130" s="72">
        <v>17</v>
      </c>
      <c r="K130" s="46">
        <f t="shared" si="18"/>
        <v>0</v>
      </c>
      <c r="L130" s="46">
        <f t="shared" si="19"/>
        <v>0</v>
      </c>
      <c r="M130" s="46">
        <f t="shared" ref="M130:M131" si="20">I130/J130*100</f>
        <v>100</v>
      </c>
      <c r="N130" s="67">
        <f t="shared" ref="N130:N131" si="21">SUM(K130:M130)</f>
        <v>100</v>
      </c>
      <c r="O130" s="45"/>
      <c r="P130" s="46"/>
      <c r="Q130" s="46">
        <v>50.2</v>
      </c>
      <c r="R130" s="47">
        <f t="shared" ref="R130:R131" si="22">SUM(O130:Q130)</f>
        <v>50.2</v>
      </c>
      <c r="S130" s="28">
        <v>2</v>
      </c>
      <c r="T130" s="284"/>
      <c r="U130" s="301"/>
      <c r="V130" s="37" t="s">
        <v>95</v>
      </c>
      <c r="W130" s="28" t="s">
        <v>20</v>
      </c>
      <c r="X130" s="28" t="s">
        <v>12</v>
      </c>
      <c r="Y130" s="38">
        <v>48.1</v>
      </c>
      <c r="Z130" s="28" t="s">
        <v>1316</v>
      </c>
      <c r="AA130" s="28" t="s">
        <v>87</v>
      </c>
      <c r="AB130" s="28" t="s">
        <v>12</v>
      </c>
      <c r="AC130" s="28">
        <v>2.1</v>
      </c>
      <c r="AD130" s="37"/>
      <c r="AG130" s="38"/>
      <c r="AL130" s="37"/>
      <c r="AO130" s="38"/>
      <c r="AP130" s="37"/>
      <c r="AS130" s="38"/>
      <c r="AW130" s="38"/>
      <c r="BA130" s="39"/>
    </row>
    <row r="131" spans="1:53" s="28" customFormat="1" x14ac:dyDescent="0.15">
      <c r="A131" s="28">
        <v>2015</v>
      </c>
      <c r="B131" s="301"/>
      <c r="C131" s="394" t="s">
        <v>1285</v>
      </c>
      <c r="D131" s="394"/>
      <c r="E131" s="28">
        <v>365</v>
      </c>
      <c r="F131" s="83"/>
      <c r="G131" s="65"/>
      <c r="I131" s="28">
        <v>17</v>
      </c>
      <c r="J131" s="72">
        <v>17</v>
      </c>
      <c r="K131" s="46">
        <f t="shared" si="18"/>
        <v>0</v>
      </c>
      <c r="L131" s="46">
        <f t="shared" si="19"/>
        <v>0</v>
      </c>
      <c r="M131" s="46">
        <f t="shared" si="20"/>
        <v>100</v>
      </c>
      <c r="N131" s="67">
        <f t="shared" si="21"/>
        <v>100</v>
      </c>
      <c r="O131" s="45"/>
      <c r="P131" s="46"/>
      <c r="Q131" s="46">
        <v>50.2</v>
      </c>
      <c r="R131" s="47">
        <f t="shared" si="22"/>
        <v>50.2</v>
      </c>
      <c r="S131" s="28">
        <v>2</v>
      </c>
      <c r="T131" s="284"/>
      <c r="U131" s="301"/>
      <c r="V131" s="37" t="s">
        <v>95</v>
      </c>
      <c r="W131" s="28" t="s">
        <v>20</v>
      </c>
      <c r="X131" s="28" t="s">
        <v>12</v>
      </c>
      <c r="Y131" s="38">
        <v>48.1</v>
      </c>
      <c r="Z131" s="28" t="s">
        <v>1316</v>
      </c>
      <c r="AA131" s="28" t="s">
        <v>87</v>
      </c>
      <c r="AB131" s="28" t="s">
        <v>12</v>
      </c>
      <c r="AC131" s="28">
        <v>2.1</v>
      </c>
      <c r="AD131" s="37"/>
      <c r="AG131" s="38"/>
      <c r="AL131" s="37"/>
      <c r="AO131" s="38"/>
      <c r="AP131" s="37"/>
      <c r="AS131" s="38"/>
      <c r="AW131" s="38"/>
      <c r="BA131" s="39"/>
    </row>
    <row r="132" spans="1:53" s="28" customFormat="1" x14ac:dyDescent="0.15">
      <c r="A132" s="28">
        <v>2016</v>
      </c>
      <c r="B132" s="301"/>
      <c r="C132" s="394" t="s">
        <v>1285</v>
      </c>
      <c r="D132" s="394"/>
      <c r="E132" s="28">
        <v>25</v>
      </c>
      <c r="F132" s="83"/>
      <c r="G132" s="65"/>
      <c r="I132" s="28">
        <v>17</v>
      </c>
      <c r="J132" s="72">
        <v>17</v>
      </c>
      <c r="K132" s="46">
        <f t="shared" ref="K132:K137" si="23">G132/J132*100</f>
        <v>0</v>
      </c>
      <c r="L132" s="46">
        <f t="shared" ref="L132:L137" si="24">H132/J132*100</f>
        <v>0</v>
      </c>
      <c r="M132" s="46">
        <f t="shared" ref="M132:M137" si="25">I132/J132*100</f>
        <v>100</v>
      </c>
      <c r="N132" s="67">
        <f t="shared" ref="N132:N137" si="26">SUM(K132:M132)</f>
        <v>100</v>
      </c>
      <c r="O132" s="45"/>
      <c r="P132" s="46"/>
      <c r="Q132" s="46">
        <v>50.2</v>
      </c>
      <c r="R132" s="47">
        <f>SUM(O132:Q132)</f>
        <v>50.2</v>
      </c>
      <c r="S132" s="28">
        <v>2</v>
      </c>
      <c r="T132" s="284"/>
      <c r="U132" s="301"/>
      <c r="V132" s="37" t="s">
        <v>95</v>
      </c>
      <c r="W132" s="28" t="s">
        <v>20</v>
      </c>
      <c r="X132" s="28" t="s">
        <v>12</v>
      </c>
      <c r="Y132" s="38">
        <v>48.1</v>
      </c>
      <c r="Z132" s="28" t="s">
        <v>1316</v>
      </c>
      <c r="AA132" s="28" t="s">
        <v>87</v>
      </c>
      <c r="AB132" s="28" t="s">
        <v>12</v>
      </c>
      <c r="AC132" s="28">
        <v>2.1</v>
      </c>
      <c r="AD132" s="37"/>
      <c r="AG132" s="38"/>
      <c r="AL132" s="37"/>
      <c r="AO132" s="38"/>
      <c r="AP132" s="37"/>
      <c r="AS132" s="38"/>
      <c r="AW132" s="38"/>
      <c r="BA132" s="39"/>
    </row>
    <row r="133" spans="1:53" s="28" customFormat="1" x14ac:dyDescent="0.15">
      <c r="A133" s="28">
        <v>2016</v>
      </c>
      <c r="B133" s="301">
        <v>42395</v>
      </c>
      <c r="C133" s="394" t="s">
        <v>1285</v>
      </c>
      <c r="D133" s="394"/>
      <c r="E133" s="28">
        <v>16</v>
      </c>
      <c r="F133" s="83">
        <v>0</v>
      </c>
      <c r="G133" s="65"/>
      <c r="I133" s="28">
        <v>17</v>
      </c>
      <c r="J133" s="72">
        <v>17</v>
      </c>
      <c r="K133" s="46">
        <f t="shared" si="23"/>
        <v>0</v>
      </c>
      <c r="L133" s="46">
        <f t="shared" si="24"/>
        <v>0</v>
      </c>
      <c r="M133" s="46">
        <f t="shared" si="25"/>
        <v>100</v>
      </c>
      <c r="N133" s="67">
        <f t="shared" si="26"/>
        <v>100</v>
      </c>
      <c r="O133" s="45"/>
      <c r="P133" s="46"/>
      <c r="Q133" s="46">
        <v>50.2</v>
      </c>
      <c r="R133" s="47">
        <f t="shared" ref="R133" si="27">SUM(O133:Q133)</f>
        <v>50.2</v>
      </c>
      <c r="S133" s="28">
        <v>2</v>
      </c>
      <c r="T133" s="284"/>
      <c r="U133" s="301"/>
      <c r="V133" s="37" t="s">
        <v>95</v>
      </c>
      <c r="W133" s="28" t="s">
        <v>20</v>
      </c>
      <c r="X133" s="28" t="s">
        <v>12</v>
      </c>
      <c r="Y133" s="38">
        <v>48.1</v>
      </c>
      <c r="Z133" s="28" t="s">
        <v>1316</v>
      </c>
      <c r="AA133" s="28" t="s">
        <v>87</v>
      </c>
      <c r="AB133" s="28" t="s">
        <v>12</v>
      </c>
      <c r="AC133" s="28">
        <v>2.1</v>
      </c>
      <c r="AD133" s="37"/>
      <c r="AG133" s="38"/>
      <c r="AL133" s="37"/>
      <c r="AO133" s="38"/>
      <c r="AP133" s="37"/>
      <c r="AS133" s="38"/>
      <c r="AW133" s="38"/>
      <c r="BA133" s="39"/>
    </row>
    <row r="134" spans="1:53" s="170" customFormat="1" x14ac:dyDescent="0.15">
      <c r="A134" s="170">
        <v>2016</v>
      </c>
      <c r="B134" s="281">
        <v>42411</v>
      </c>
      <c r="C134" s="395" t="s">
        <v>1342</v>
      </c>
      <c r="D134" s="395"/>
      <c r="E134" s="170">
        <v>201</v>
      </c>
      <c r="F134" s="170">
        <v>7</v>
      </c>
      <c r="G134" s="232"/>
      <c r="I134" s="170">
        <v>19</v>
      </c>
      <c r="J134" s="240">
        <v>19</v>
      </c>
      <c r="K134" s="213">
        <f t="shared" si="23"/>
        <v>0</v>
      </c>
      <c r="L134" s="213">
        <f t="shared" si="24"/>
        <v>0</v>
      </c>
      <c r="M134" s="213">
        <f t="shared" si="25"/>
        <v>100</v>
      </c>
      <c r="N134" s="234">
        <f t="shared" si="26"/>
        <v>100</v>
      </c>
      <c r="O134" s="212"/>
      <c r="P134" s="213"/>
      <c r="Q134" s="213">
        <v>53.5</v>
      </c>
      <c r="R134" s="214">
        <f t="shared" ref="R134:R137" si="28">SUM(O134:Q134)</f>
        <v>53.5</v>
      </c>
      <c r="S134" s="170">
        <v>2</v>
      </c>
      <c r="T134" s="283"/>
      <c r="U134" s="281"/>
      <c r="V134" s="177" t="s">
        <v>95</v>
      </c>
      <c r="W134" s="170" t="s">
        <v>20</v>
      </c>
      <c r="X134" s="170" t="s">
        <v>12</v>
      </c>
      <c r="Y134" s="178">
        <v>48.1</v>
      </c>
      <c r="Z134" s="170" t="s">
        <v>1316</v>
      </c>
      <c r="AA134" s="170" t="s">
        <v>87</v>
      </c>
      <c r="AB134" s="170" t="s">
        <v>12</v>
      </c>
      <c r="AC134" s="170">
        <v>2.1</v>
      </c>
      <c r="AD134" s="177" t="s">
        <v>404</v>
      </c>
      <c r="AE134" s="170" t="s">
        <v>216</v>
      </c>
      <c r="AF134" s="170" t="s">
        <v>12</v>
      </c>
      <c r="AG134" s="178">
        <v>2.9</v>
      </c>
      <c r="AL134" s="177"/>
      <c r="AO134" s="178"/>
      <c r="AP134" s="177"/>
      <c r="AS134" s="178"/>
      <c r="AW134" s="178"/>
      <c r="BA134" s="179"/>
    </row>
    <row r="135" spans="1:53" s="170" customFormat="1" x14ac:dyDescent="0.15">
      <c r="A135" s="170">
        <v>2016</v>
      </c>
      <c r="B135" s="303">
        <v>42612</v>
      </c>
      <c r="C135" s="395" t="s">
        <v>1342</v>
      </c>
      <c r="D135" s="395"/>
      <c r="E135" s="170">
        <v>98</v>
      </c>
      <c r="F135" s="243">
        <v>0</v>
      </c>
      <c r="G135" s="232"/>
      <c r="I135" s="170">
        <v>18</v>
      </c>
      <c r="J135" s="240">
        <v>18</v>
      </c>
      <c r="K135" s="213">
        <f t="shared" si="23"/>
        <v>0</v>
      </c>
      <c r="L135" s="213">
        <f t="shared" si="24"/>
        <v>0</v>
      </c>
      <c r="M135" s="213">
        <f t="shared" si="25"/>
        <v>100</v>
      </c>
      <c r="N135" s="234">
        <f t="shared" si="26"/>
        <v>100</v>
      </c>
      <c r="O135" s="212"/>
      <c r="P135" s="213"/>
      <c r="Q135" s="213">
        <v>53.5</v>
      </c>
      <c r="R135" s="214">
        <f t="shared" si="28"/>
        <v>53.5</v>
      </c>
      <c r="S135" s="170">
        <v>2</v>
      </c>
      <c r="T135" s="283"/>
      <c r="U135" s="303"/>
      <c r="V135" s="177" t="s">
        <v>95</v>
      </c>
      <c r="W135" s="170" t="s">
        <v>20</v>
      </c>
      <c r="X135" s="170" t="s">
        <v>12</v>
      </c>
      <c r="Y135" s="178">
        <v>48.1</v>
      </c>
      <c r="Z135" s="170" t="s">
        <v>1316</v>
      </c>
      <c r="AA135" s="170" t="s">
        <v>87</v>
      </c>
      <c r="AB135" s="170" t="s">
        <v>12</v>
      </c>
      <c r="AC135" s="170">
        <v>2.1</v>
      </c>
      <c r="AD135" s="177" t="s">
        <v>404</v>
      </c>
      <c r="AE135" s="170" t="s">
        <v>216</v>
      </c>
      <c r="AF135" s="170" t="s">
        <v>12</v>
      </c>
      <c r="AG135" s="178">
        <v>2.9</v>
      </c>
      <c r="AL135" s="177"/>
      <c r="AO135" s="178"/>
      <c r="AP135" s="177"/>
      <c r="AS135" s="178"/>
      <c r="AW135" s="178"/>
      <c r="BA135" s="179"/>
    </row>
    <row r="136" spans="1:53" s="28" customFormat="1" x14ac:dyDescent="0.15">
      <c r="A136" s="28">
        <v>2016</v>
      </c>
      <c r="B136" s="293">
        <v>42710</v>
      </c>
      <c r="C136" s="394" t="s">
        <v>1338</v>
      </c>
      <c r="D136" s="394"/>
      <c r="E136" s="28">
        <v>26</v>
      </c>
      <c r="F136" s="28">
        <v>2</v>
      </c>
      <c r="G136" s="65"/>
      <c r="I136" s="28">
        <v>18</v>
      </c>
      <c r="J136" s="72">
        <v>18</v>
      </c>
      <c r="K136" s="46">
        <f t="shared" si="23"/>
        <v>0</v>
      </c>
      <c r="L136" s="46">
        <f t="shared" si="24"/>
        <v>0</v>
      </c>
      <c r="M136" s="46">
        <f t="shared" si="25"/>
        <v>100</v>
      </c>
      <c r="N136" s="67">
        <f t="shared" si="26"/>
        <v>100</v>
      </c>
      <c r="O136" s="45"/>
      <c r="P136" s="46"/>
      <c r="Q136" s="46">
        <v>53.5</v>
      </c>
      <c r="R136" s="47">
        <f t="shared" si="28"/>
        <v>53.5</v>
      </c>
      <c r="S136" s="28">
        <v>2</v>
      </c>
      <c r="T136" s="284"/>
      <c r="U136" s="293">
        <v>42710</v>
      </c>
      <c r="V136" s="37" t="s">
        <v>95</v>
      </c>
      <c r="W136" s="28" t="s">
        <v>20</v>
      </c>
      <c r="X136" s="28" t="s">
        <v>12</v>
      </c>
      <c r="Y136" s="38">
        <v>48.9</v>
      </c>
      <c r="Z136" s="28" t="s">
        <v>1316</v>
      </c>
      <c r="AA136" s="28" t="s">
        <v>87</v>
      </c>
      <c r="AB136" s="28" t="s">
        <v>12</v>
      </c>
      <c r="AC136" s="28">
        <v>2.8</v>
      </c>
      <c r="AD136" s="37" t="s">
        <v>404</v>
      </c>
      <c r="AE136" s="28" t="s">
        <v>216</v>
      </c>
      <c r="AF136" s="28" t="s">
        <v>12</v>
      </c>
      <c r="AG136" s="38">
        <v>0.7</v>
      </c>
      <c r="AL136" s="37"/>
      <c r="AO136" s="38"/>
      <c r="AP136" s="37"/>
      <c r="AS136" s="38"/>
      <c r="AW136" s="38"/>
      <c r="BA136" s="39"/>
    </row>
    <row r="137" spans="1:53" s="28" customFormat="1" x14ac:dyDescent="0.15">
      <c r="A137" s="28">
        <v>2017</v>
      </c>
      <c r="B137" s="293"/>
      <c r="C137" s="394" t="s">
        <v>1338</v>
      </c>
      <c r="D137" s="394"/>
      <c r="E137" s="28">
        <v>129</v>
      </c>
      <c r="G137" s="65"/>
      <c r="I137" s="28">
        <v>18</v>
      </c>
      <c r="J137" s="72">
        <v>18</v>
      </c>
      <c r="K137" s="46">
        <f t="shared" si="23"/>
        <v>0</v>
      </c>
      <c r="L137" s="46">
        <f t="shared" si="24"/>
        <v>0</v>
      </c>
      <c r="M137" s="46">
        <f t="shared" si="25"/>
        <v>100</v>
      </c>
      <c r="N137" s="67">
        <f t="shared" si="26"/>
        <v>100</v>
      </c>
      <c r="O137" s="45"/>
      <c r="P137" s="46"/>
      <c r="Q137" s="46">
        <v>53.5</v>
      </c>
      <c r="R137" s="47">
        <f t="shared" si="28"/>
        <v>53.5</v>
      </c>
      <c r="S137" s="28">
        <v>2</v>
      </c>
      <c r="T137" s="284"/>
      <c r="U137" s="301"/>
      <c r="V137" s="37" t="s">
        <v>95</v>
      </c>
      <c r="W137" s="28" t="s">
        <v>20</v>
      </c>
      <c r="X137" s="28" t="s">
        <v>12</v>
      </c>
      <c r="Y137" s="38">
        <v>48.9</v>
      </c>
      <c r="Z137" s="28" t="s">
        <v>1316</v>
      </c>
      <c r="AA137" s="28" t="s">
        <v>87</v>
      </c>
      <c r="AB137" s="28" t="s">
        <v>12</v>
      </c>
      <c r="AC137" s="28">
        <v>2.8</v>
      </c>
      <c r="AD137" s="37" t="s">
        <v>404</v>
      </c>
      <c r="AE137" s="28" t="s">
        <v>216</v>
      </c>
      <c r="AF137" s="28" t="s">
        <v>12</v>
      </c>
      <c r="AG137" s="38">
        <v>0.7</v>
      </c>
      <c r="AL137" s="37"/>
      <c r="AO137" s="38"/>
      <c r="AP137" s="37"/>
      <c r="AS137" s="38"/>
      <c r="AW137" s="38"/>
      <c r="BA137" s="39"/>
    </row>
    <row r="138" spans="1:53" s="170" customFormat="1" x14ac:dyDescent="0.15">
      <c r="A138" s="170">
        <v>2017</v>
      </c>
      <c r="B138" s="281">
        <v>42865</v>
      </c>
      <c r="C138" s="395" t="s">
        <v>1366</v>
      </c>
      <c r="D138" s="395"/>
      <c r="E138" s="170">
        <v>40</v>
      </c>
      <c r="F138" s="170">
        <v>1</v>
      </c>
      <c r="G138" s="232">
        <v>4</v>
      </c>
      <c r="H138" s="170">
        <v>3</v>
      </c>
      <c r="I138" s="170">
        <v>4</v>
      </c>
      <c r="J138" s="240">
        <v>19</v>
      </c>
      <c r="K138" s="213">
        <f t="shared" ref="K138:K141" si="29">G138/J138*100</f>
        <v>21.052631578947366</v>
      </c>
      <c r="L138" s="213">
        <f t="shared" ref="L138:L141" si="30">H138/J138*100</f>
        <v>15.789473684210526</v>
      </c>
      <c r="M138" s="213">
        <f t="shared" ref="M138:M141" si="31">I138/J138*100</f>
        <v>21.052631578947366</v>
      </c>
      <c r="N138" s="234">
        <f t="shared" ref="N138:N141" si="32">SUM(K138:M138)</f>
        <v>57.89473684210526</v>
      </c>
      <c r="O138" s="212">
        <v>33.4</v>
      </c>
      <c r="P138" s="213">
        <v>0.3</v>
      </c>
      <c r="Q138" s="213">
        <v>51.7</v>
      </c>
      <c r="R138" s="214">
        <f t="shared" ref="R138:R139" si="33">SUM(O138:Q138)</f>
        <v>85.4</v>
      </c>
      <c r="S138" s="170">
        <v>6</v>
      </c>
      <c r="T138" s="283"/>
      <c r="U138" s="281">
        <v>42865</v>
      </c>
      <c r="V138" s="177" t="s">
        <v>95</v>
      </c>
      <c r="W138" s="170" t="s">
        <v>20</v>
      </c>
      <c r="X138" s="170" t="s">
        <v>12</v>
      </c>
      <c r="Y138" s="178">
        <v>48.9</v>
      </c>
      <c r="Z138" s="170" t="s">
        <v>1368</v>
      </c>
      <c r="AA138" s="170" t="s">
        <v>75</v>
      </c>
      <c r="AB138" s="170" t="s">
        <v>11</v>
      </c>
      <c r="AC138" s="170">
        <v>33.4</v>
      </c>
      <c r="AD138" s="177" t="s">
        <v>1316</v>
      </c>
      <c r="AE138" s="170" t="s">
        <v>87</v>
      </c>
      <c r="AF138" s="170" t="s">
        <v>12</v>
      </c>
      <c r="AG138" s="178">
        <v>2.8</v>
      </c>
      <c r="AH138" s="170" t="s">
        <v>1369</v>
      </c>
      <c r="AI138" s="170" t="s">
        <v>78</v>
      </c>
      <c r="AJ138" s="170" t="s">
        <v>18</v>
      </c>
      <c r="AK138" s="170">
        <v>0.3</v>
      </c>
      <c r="AL138" s="177" t="s">
        <v>1370</v>
      </c>
      <c r="AM138" s="170" t="s">
        <v>99</v>
      </c>
      <c r="AN138" s="170" t="s">
        <v>11</v>
      </c>
      <c r="AO138" s="178">
        <v>0</v>
      </c>
      <c r="AP138" s="177"/>
      <c r="AS138" s="178"/>
      <c r="AW138" s="178"/>
      <c r="BA138" s="179"/>
    </row>
    <row r="139" spans="1:53" s="28" customFormat="1" x14ac:dyDescent="0.15">
      <c r="A139" s="28">
        <v>2017</v>
      </c>
      <c r="B139" s="293">
        <v>42905</v>
      </c>
      <c r="C139" s="394" t="s">
        <v>1367</v>
      </c>
      <c r="D139" s="394"/>
      <c r="E139" s="28">
        <v>196</v>
      </c>
      <c r="F139" s="28">
        <v>1</v>
      </c>
      <c r="G139" s="65">
        <v>10</v>
      </c>
      <c r="H139" s="28">
        <v>1</v>
      </c>
      <c r="J139" s="72">
        <v>20</v>
      </c>
      <c r="K139" s="46">
        <f t="shared" si="29"/>
        <v>50</v>
      </c>
      <c r="L139" s="46">
        <f t="shared" si="30"/>
        <v>5</v>
      </c>
      <c r="M139" s="46">
        <f t="shared" si="31"/>
        <v>0</v>
      </c>
      <c r="N139" s="67">
        <f t="shared" si="32"/>
        <v>55</v>
      </c>
      <c r="O139" s="45">
        <v>53.4</v>
      </c>
      <c r="P139" s="46">
        <v>7.3</v>
      </c>
      <c r="Q139" s="46"/>
      <c r="R139" s="47">
        <f t="shared" si="33"/>
        <v>60.699999999999996</v>
      </c>
      <c r="S139" s="28">
        <v>3</v>
      </c>
      <c r="T139" s="284">
        <v>42904</v>
      </c>
      <c r="U139" s="293">
        <v>42905</v>
      </c>
      <c r="V139" s="37" t="s">
        <v>1370</v>
      </c>
      <c r="W139" s="28" t="s">
        <v>99</v>
      </c>
      <c r="X139" s="28" t="s">
        <v>11</v>
      </c>
      <c r="Y139" s="38">
        <v>53.4</v>
      </c>
      <c r="Z139" s="28" t="s">
        <v>1369</v>
      </c>
      <c r="AA139" s="28" t="s">
        <v>78</v>
      </c>
      <c r="AB139" s="28" t="s">
        <v>18</v>
      </c>
      <c r="AC139" s="28">
        <v>7.3</v>
      </c>
      <c r="AD139" s="37"/>
      <c r="AG139" s="38"/>
      <c r="AL139" s="37"/>
      <c r="AO139" s="38"/>
      <c r="AP139" s="37"/>
      <c r="AS139" s="38"/>
      <c r="AW139" s="38"/>
      <c r="BA139" s="39"/>
    </row>
    <row r="140" spans="1:53" s="28" customFormat="1" x14ac:dyDescent="0.15">
      <c r="A140" s="28">
        <v>2018</v>
      </c>
      <c r="B140" s="293"/>
      <c r="C140" s="394" t="s">
        <v>1367</v>
      </c>
      <c r="D140" s="394"/>
      <c r="E140" s="28">
        <v>288</v>
      </c>
      <c r="G140" s="65">
        <v>10</v>
      </c>
      <c r="H140" s="28">
        <v>1</v>
      </c>
      <c r="J140" s="72">
        <v>20</v>
      </c>
      <c r="K140" s="46">
        <f t="shared" si="29"/>
        <v>50</v>
      </c>
      <c r="L140" s="46">
        <f t="shared" si="30"/>
        <v>5</v>
      </c>
      <c r="M140" s="46">
        <f t="shared" si="31"/>
        <v>0</v>
      </c>
      <c r="N140" s="67">
        <f t="shared" si="32"/>
        <v>55</v>
      </c>
      <c r="O140" s="45">
        <v>53.4</v>
      </c>
      <c r="P140" s="46">
        <v>7.3</v>
      </c>
      <c r="Q140" s="46"/>
      <c r="R140" s="47">
        <f t="shared" ref="R140:R141" si="34">SUM(O140:Q140)</f>
        <v>60.699999999999996</v>
      </c>
      <c r="S140" s="28">
        <v>3</v>
      </c>
      <c r="T140" s="284"/>
      <c r="U140" s="293"/>
      <c r="V140" s="37" t="s">
        <v>1370</v>
      </c>
      <c r="W140" s="28" t="s">
        <v>99</v>
      </c>
      <c r="X140" s="28" t="s">
        <v>11</v>
      </c>
      <c r="Y140" s="38">
        <v>53.4</v>
      </c>
      <c r="Z140" s="28" t="s">
        <v>1369</v>
      </c>
      <c r="AA140" s="28" t="s">
        <v>78</v>
      </c>
      <c r="AB140" s="28" t="s">
        <v>18</v>
      </c>
      <c r="AC140" s="28">
        <v>7.3</v>
      </c>
      <c r="AD140" s="37"/>
      <c r="AG140" s="38"/>
      <c r="AL140" s="37"/>
      <c r="AO140" s="38"/>
      <c r="AP140" s="37"/>
      <c r="AS140" s="38"/>
      <c r="AW140" s="38"/>
      <c r="BA140" s="39"/>
    </row>
    <row r="141" spans="1:53" s="28" customFormat="1" x14ac:dyDescent="0.15">
      <c r="A141" s="28">
        <v>2018</v>
      </c>
      <c r="B141" s="301">
        <v>43389</v>
      </c>
      <c r="C141" s="394" t="s">
        <v>1367</v>
      </c>
      <c r="D141" s="394"/>
      <c r="E141" s="28">
        <v>77</v>
      </c>
      <c r="F141" s="83">
        <v>0</v>
      </c>
      <c r="G141" s="65">
        <v>13</v>
      </c>
      <c r="H141" s="28">
        <v>2</v>
      </c>
      <c r="J141" s="72">
        <v>22</v>
      </c>
      <c r="K141" s="46">
        <f t="shared" si="29"/>
        <v>59.090909090909093</v>
      </c>
      <c r="L141" s="46">
        <f t="shared" si="30"/>
        <v>9.0909090909090917</v>
      </c>
      <c r="M141" s="46">
        <f t="shared" si="31"/>
        <v>0</v>
      </c>
      <c r="N141" s="67">
        <f t="shared" si="32"/>
        <v>68.181818181818187</v>
      </c>
      <c r="O141" s="45">
        <v>55</v>
      </c>
      <c r="P141" s="46">
        <v>7.3</v>
      </c>
      <c r="Q141" s="46"/>
      <c r="R141" s="47">
        <f t="shared" si="34"/>
        <v>62.3</v>
      </c>
      <c r="S141" s="28">
        <v>3</v>
      </c>
      <c r="T141" s="284"/>
      <c r="U141" s="293"/>
      <c r="V141" s="37" t="s">
        <v>1370</v>
      </c>
      <c r="W141" s="28" t="s">
        <v>99</v>
      </c>
      <c r="X141" s="28" t="s">
        <v>11</v>
      </c>
      <c r="Y141" s="38">
        <v>53.4</v>
      </c>
      <c r="Z141" s="28" t="s">
        <v>1369</v>
      </c>
      <c r="AA141" s="28" t="s">
        <v>78</v>
      </c>
      <c r="AB141" s="28" t="s">
        <v>18</v>
      </c>
      <c r="AC141" s="28">
        <v>7.3</v>
      </c>
      <c r="AD141" s="37" t="s">
        <v>1412</v>
      </c>
      <c r="AE141" s="28" t="s">
        <v>106</v>
      </c>
      <c r="AF141" s="28" t="s">
        <v>11</v>
      </c>
      <c r="AG141" s="38">
        <v>1.6</v>
      </c>
      <c r="AL141" s="37"/>
      <c r="AO141" s="38"/>
      <c r="AP141" s="37"/>
      <c r="AS141" s="38"/>
      <c r="AW141" s="38"/>
      <c r="BA141" s="39"/>
    </row>
    <row r="142" spans="1:53" s="28" customFormat="1" x14ac:dyDescent="0.15">
      <c r="A142" s="28">
        <v>2019</v>
      </c>
      <c r="B142" s="301"/>
      <c r="C142" s="394" t="s">
        <v>1367</v>
      </c>
      <c r="D142" s="394"/>
      <c r="E142" s="28">
        <v>85</v>
      </c>
      <c r="F142" s="83"/>
      <c r="G142" s="65">
        <v>13</v>
      </c>
      <c r="H142" s="28">
        <v>2</v>
      </c>
      <c r="J142" s="72">
        <v>22</v>
      </c>
      <c r="K142" s="46">
        <f t="shared" ref="K142:K143" si="35">G142/J142*100</f>
        <v>59.090909090909093</v>
      </c>
      <c r="L142" s="46">
        <f t="shared" ref="L142:L154" si="36">H142/J142*100</f>
        <v>9.0909090909090917</v>
      </c>
      <c r="M142" s="46">
        <f t="shared" ref="M142:M154" si="37">I142/J142*100</f>
        <v>0</v>
      </c>
      <c r="N142" s="67">
        <f t="shared" ref="N142:N143" si="38">SUM(K142:M142)</f>
        <v>68.181818181818187</v>
      </c>
      <c r="O142" s="45">
        <v>55</v>
      </c>
      <c r="P142" s="46">
        <v>7.3</v>
      </c>
      <c r="Q142" s="46"/>
      <c r="R142" s="47">
        <f t="shared" ref="R142:R146" si="39">SUM(O142:Q142)</f>
        <v>62.3</v>
      </c>
      <c r="S142" s="28">
        <v>3</v>
      </c>
      <c r="T142" s="284"/>
      <c r="U142" s="293"/>
      <c r="V142" s="37" t="s">
        <v>1370</v>
      </c>
      <c r="W142" s="28" t="s">
        <v>99</v>
      </c>
      <c r="X142" s="28" t="s">
        <v>11</v>
      </c>
      <c r="Y142" s="38">
        <v>53.4</v>
      </c>
      <c r="Z142" s="28" t="s">
        <v>1369</v>
      </c>
      <c r="AA142" s="28" t="s">
        <v>78</v>
      </c>
      <c r="AB142" s="28" t="s">
        <v>18</v>
      </c>
      <c r="AC142" s="28">
        <v>7.3</v>
      </c>
      <c r="AD142" s="37" t="s">
        <v>1412</v>
      </c>
      <c r="AE142" s="28" t="s">
        <v>106</v>
      </c>
      <c r="AF142" s="28" t="s">
        <v>11</v>
      </c>
      <c r="AG142" s="38">
        <v>1.6</v>
      </c>
      <c r="AL142" s="37"/>
      <c r="AO142" s="38"/>
      <c r="AP142" s="37"/>
      <c r="AS142" s="38"/>
      <c r="AW142" s="38"/>
      <c r="BA142" s="39"/>
    </row>
    <row r="143" spans="1:53" s="28" customFormat="1" x14ac:dyDescent="0.15">
      <c r="A143" s="28">
        <v>2019</v>
      </c>
      <c r="B143" s="301">
        <v>43551</v>
      </c>
      <c r="C143" s="394" t="s">
        <v>1367</v>
      </c>
      <c r="D143" s="394"/>
      <c r="E143" s="28">
        <v>280</v>
      </c>
      <c r="F143" s="340">
        <v>0</v>
      </c>
      <c r="G143" s="28">
        <v>12</v>
      </c>
      <c r="H143" s="28">
        <v>2</v>
      </c>
      <c r="J143" s="72">
        <v>21</v>
      </c>
      <c r="K143" s="46">
        <f t="shared" si="35"/>
        <v>57.142857142857139</v>
      </c>
      <c r="L143" s="46">
        <f t="shared" si="36"/>
        <v>9.5238095238095237</v>
      </c>
      <c r="M143" s="46">
        <f t="shared" si="37"/>
        <v>0</v>
      </c>
      <c r="N143" s="67">
        <f t="shared" si="38"/>
        <v>66.666666666666657</v>
      </c>
      <c r="O143" s="45">
        <v>55</v>
      </c>
      <c r="P143" s="46">
        <v>7.3</v>
      </c>
      <c r="Q143" s="46"/>
      <c r="R143" s="47">
        <f t="shared" si="39"/>
        <v>62.3</v>
      </c>
      <c r="S143" s="28">
        <v>3</v>
      </c>
      <c r="T143" s="284"/>
      <c r="U143" s="293"/>
      <c r="V143" s="37" t="s">
        <v>1370</v>
      </c>
      <c r="W143" s="28" t="s">
        <v>99</v>
      </c>
      <c r="X143" s="28" t="s">
        <v>11</v>
      </c>
      <c r="Y143" s="38">
        <v>53.4</v>
      </c>
      <c r="Z143" s="28" t="s">
        <v>1369</v>
      </c>
      <c r="AA143" s="28" t="s">
        <v>78</v>
      </c>
      <c r="AB143" s="28" t="s">
        <v>18</v>
      </c>
      <c r="AC143" s="28">
        <v>7.3</v>
      </c>
      <c r="AD143" s="37" t="s">
        <v>1412</v>
      </c>
      <c r="AE143" s="28" t="s">
        <v>106</v>
      </c>
      <c r="AF143" s="28" t="s">
        <v>11</v>
      </c>
      <c r="AG143" s="38">
        <v>1.6</v>
      </c>
      <c r="AL143" s="37"/>
      <c r="AO143" s="38"/>
      <c r="AP143" s="37"/>
      <c r="AS143" s="38"/>
      <c r="AW143" s="38"/>
      <c r="BA143" s="39"/>
    </row>
    <row r="144" spans="1:53" s="28" customFormat="1" x14ac:dyDescent="0.15">
      <c r="A144" s="28">
        <v>2020</v>
      </c>
      <c r="B144" s="301"/>
      <c r="C144" s="394" t="s">
        <v>1367</v>
      </c>
      <c r="D144" s="394"/>
      <c r="E144" s="28">
        <v>46</v>
      </c>
      <c r="F144" s="340"/>
      <c r="G144" s="28">
        <v>12</v>
      </c>
      <c r="H144" s="28">
        <v>2</v>
      </c>
      <c r="J144" s="72">
        <v>21</v>
      </c>
      <c r="K144" s="46">
        <f t="shared" ref="K144:K152" si="40">G144/J144*100</f>
        <v>57.142857142857139</v>
      </c>
      <c r="L144" s="46">
        <f t="shared" si="36"/>
        <v>9.5238095238095237</v>
      </c>
      <c r="M144" s="46">
        <f t="shared" si="37"/>
        <v>0</v>
      </c>
      <c r="N144" s="67">
        <f t="shared" ref="N144:N154" si="41">SUM(K144:M144)</f>
        <v>66.666666666666657</v>
      </c>
      <c r="O144" s="45">
        <v>55</v>
      </c>
      <c r="P144" s="46">
        <v>7.3</v>
      </c>
      <c r="Q144" s="46"/>
      <c r="R144" s="47">
        <f t="shared" si="39"/>
        <v>62.3</v>
      </c>
      <c r="S144" s="36">
        <v>3</v>
      </c>
      <c r="T144" s="284"/>
      <c r="U144" s="293"/>
      <c r="V144" s="37" t="s">
        <v>1370</v>
      </c>
      <c r="W144" s="28" t="s">
        <v>99</v>
      </c>
      <c r="X144" s="28" t="s">
        <v>11</v>
      </c>
      <c r="Y144" s="38">
        <v>53.4</v>
      </c>
      <c r="Z144" s="28" t="s">
        <v>1369</v>
      </c>
      <c r="AA144" s="28" t="s">
        <v>78</v>
      </c>
      <c r="AB144" s="28" t="s">
        <v>18</v>
      </c>
      <c r="AC144" s="38">
        <v>7.3</v>
      </c>
      <c r="AD144" s="28" t="s">
        <v>1412</v>
      </c>
      <c r="AE144" s="28" t="s">
        <v>106</v>
      </c>
      <c r="AF144" s="28" t="s">
        <v>11</v>
      </c>
      <c r="AG144" s="38">
        <v>1.6</v>
      </c>
      <c r="AK144" s="38"/>
      <c r="AP144" s="37"/>
      <c r="AS144" s="38"/>
      <c r="AW144" s="38"/>
      <c r="BA144" s="39"/>
    </row>
    <row r="145" spans="1:53" s="28" customFormat="1" x14ac:dyDescent="0.15">
      <c r="A145" s="28">
        <v>2020</v>
      </c>
      <c r="B145" s="301">
        <v>43877</v>
      </c>
      <c r="C145" s="394" t="s">
        <v>1367</v>
      </c>
      <c r="D145" s="394"/>
      <c r="E145" s="28">
        <v>142</v>
      </c>
      <c r="F145" s="340">
        <v>0</v>
      </c>
      <c r="G145" s="28">
        <v>11</v>
      </c>
      <c r="H145" s="28">
        <v>2</v>
      </c>
      <c r="I145" s="28">
        <v>3</v>
      </c>
      <c r="J145" s="72">
        <v>21</v>
      </c>
      <c r="K145" s="46">
        <f t="shared" si="40"/>
        <v>52.380952380952387</v>
      </c>
      <c r="L145" s="46">
        <f t="shared" si="36"/>
        <v>9.5238095238095237</v>
      </c>
      <c r="M145" s="46">
        <f t="shared" si="37"/>
        <v>14.285714285714285</v>
      </c>
      <c r="N145" s="67">
        <f t="shared" si="41"/>
        <v>76.190476190476204</v>
      </c>
      <c r="O145" s="45">
        <v>55</v>
      </c>
      <c r="P145" s="46">
        <v>7.3</v>
      </c>
      <c r="Q145" s="46"/>
      <c r="R145" s="47">
        <f t="shared" si="39"/>
        <v>62.3</v>
      </c>
      <c r="S145" s="36">
        <v>3</v>
      </c>
      <c r="T145" s="284"/>
      <c r="U145" s="293"/>
      <c r="V145" s="37" t="s">
        <v>1370</v>
      </c>
      <c r="W145" s="28" t="s">
        <v>99</v>
      </c>
      <c r="X145" s="28" t="s">
        <v>11</v>
      </c>
      <c r="Y145" s="38">
        <v>53.4</v>
      </c>
      <c r="Z145" s="28" t="s">
        <v>1369</v>
      </c>
      <c r="AA145" s="28" t="s">
        <v>78</v>
      </c>
      <c r="AB145" s="28" t="s">
        <v>18</v>
      </c>
      <c r="AC145" s="38">
        <v>7.3</v>
      </c>
      <c r="AD145" s="28" t="s">
        <v>1412</v>
      </c>
      <c r="AE145" s="28" t="s">
        <v>106</v>
      </c>
      <c r="AF145" s="28" t="s">
        <v>11</v>
      </c>
      <c r="AG145" s="38">
        <v>1.6</v>
      </c>
      <c r="AH145" s="28" t="s">
        <v>1460</v>
      </c>
      <c r="AI145" s="28" t="s">
        <v>304</v>
      </c>
      <c r="AJ145" s="28" t="s">
        <v>12</v>
      </c>
      <c r="AK145" s="38">
        <v>0</v>
      </c>
      <c r="AO145" s="38"/>
      <c r="AS145" s="38"/>
      <c r="AW145" s="38"/>
      <c r="BA145" s="39"/>
    </row>
    <row r="146" spans="1:53" s="170" customFormat="1" x14ac:dyDescent="0.15">
      <c r="A146" s="170">
        <v>2020</v>
      </c>
      <c r="B146" s="281">
        <v>44019</v>
      </c>
      <c r="C146" s="395" t="s">
        <v>1461</v>
      </c>
      <c r="D146" s="395"/>
      <c r="E146" s="170">
        <v>178</v>
      </c>
      <c r="F146" s="179">
        <v>6</v>
      </c>
      <c r="G146" s="170">
        <v>8</v>
      </c>
      <c r="H146" s="170">
        <v>1</v>
      </c>
      <c r="I146" s="170">
        <v>5</v>
      </c>
      <c r="J146" s="240">
        <v>17</v>
      </c>
      <c r="K146" s="213">
        <f t="shared" si="40"/>
        <v>47.058823529411761</v>
      </c>
      <c r="L146" s="213">
        <f t="shared" si="36"/>
        <v>5.8823529411764701</v>
      </c>
      <c r="M146" s="213">
        <f t="shared" si="37"/>
        <v>29.411764705882355</v>
      </c>
      <c r="N146" s="214">
        <f t="shared" si="41"/>
        <v>82.35294117647058</v>
      </c>
      <c r="O146" s="213">
        <v>53.4</v>
      </c>
      <c r="P146" s="213">
        <v>7.3</v>
      </c>
      <c r="Q146" s="213"/>
      <c r="R146" s="214">
        <f t="shared" si="39"/>
        <v>60.699999999999996</v>
      </c>
      <c r="S146" s="189">
        <v>3</v>
      </c>
      <c r="T146" s="283"/>
      <c r="U146" s="296"/>
      <c r="V146" s="170" t="s">
        <v>1370</v>
      </c>
      <c r="W146" s="170" t="s">
        <v>99</v>
      </c>
      <c r="X146" s="170" t="s">
        <v>11</v>
      </c>
      <c r="Y146" s="178">
        <v>53.4</v>
      </c>
      <c r="Z146" s="170" t="s">
        <v>1369</v>
      </c>
      <c r="AA146" s="170" t="s">
        <v>78</v>
      </c>
      <c r="AB146" s="170" t="s">
        <v>18</v>
      </c>
      <c r="AC146" s="178">
        <v>7.3</v>
      </c>
      <c r="AD146" s="170" t="s">
        <v>1460</v>
      </c>
      <c r="AE146" s="170" t="s">
        <v>304</v>
      </c>
      <c r="AF146" s="170" t="s">
        <v>12</v>
      </c>
      <c r="AG146" s="178">
        <v>0</v>
      </c>
      <c r="AH146" s="170" t="s">
        <v>1462</v>
      </c>
      <c r="AI146" s="170" t="s">
        <v>1031</v>
      </c>
      <c r="AJ146" s="170" t="s">
        <v>12</v>
      </c>
      <c r="AK146" s="178">
        <v>0</v>
      </c>
      <c r="AO146" s="178"/>
      <c r="AS146" s="178"/>
      <c r="AW146" s="178"/>
      <c r="BA146" s="179"/>
    </row>
    <row r="147" spans="1:53" s="170" customFormat="1" x14ac:dyDescent="0.15">
      <c r="A147" s="170">
        <v>2021</v>
      </c>
      <c r="B147" s="281"/>
      <c r="C147" s="395" t="s">
        <v>1461</v>
      </c>
      <c r="D147" s="395"/>
      <c r="E147" s="170">
        <v>0</v>
      </c>
      <c r="F147" s="179"/>
      <c r="G147" s="170">
        <v>8</v>
      </c>
      <c r="H147" s="170">
        <v>1</v>
      </c>
      <c r="I147" s="170">
        <v>5</v>
      </c>
      <c r="J147" s="240">
        <v>17</v>
      </c>
      <c r="K147" s="213">
        <f t="shared" si="40"/>
        <v>47.058823529411761</v>
      </c>
      <c r="L147" s="213">
        <f t="shared" si="36"/>
        <v>5.8823529411764701</v>
      </c>
      <c r="M147" s="213">
        <f t="shared" si="37"/>
        <v>29.411764705882355</v>
      </c>
      <c r="N147" s="214">
        <f t="shared" si="41"/>
        <v>82.35294117647058</v>
      </c>
      <c r="O147" s="213">
        <v>53.4</v>
      </c>
      <c r="P147" s="213">
        <v>7.3</v>
      </c>
      <c r="Q147" s="213"/>
      <c r="R147" s="214">
        <f t="shared" ref="R147" si="42">SUM(O147:Q147)</f>
        <v>60.699999999999996</v>
      </c>
      <c r="S147" s="189">
        <v>3</v>
      </c>
      <c r="T147" s="283"/>
      <c r="U147" s="296"/>
      <c r="V147" s="170" t="s">
        <v>1370</v>
      </c>
      <c r="W147" s="170" t="s">
        <v>99</v>
      </c>
      <c r="X147" s="170" t="s">
        <v>11</v>
      </c>
      <c r="Y147" s="178">
        <v>53.4</v>
      </c>
      <c r="Z147" s="170" t="s">
        <v>1369</v>
      </c>
      <c r="AA147" s="170" t="s">
        <v>78</v>
      </c>
      <c r="AB147" s="170" t="s">
        <v>18</v>
      </c>
      <c r="AC147" s="178">
        <v>7.3</v>
      </c>
      <c r="AD147" s="170" t="s">
        <v>1460</v>
      </c>
      <c r="AE147" s="170" t="s">
        <v>304</v>
      </c>
      <c r="AF147" s="170" t="s">
        <v>12</v>
      </c>
      <c r="AG147" s="178">
        <v>0</v>
      </c>
      <c r="AH147" s="170" t="s">
        <v>1462</v>
      </c>
      <c r="AI147" s="170" t="s">
        <v>1031</v>
      </c>
      <c r="AJ147" s="170" t="s">
        <v>12</v>
      </c>
      <c r="AK147" s="178">
        <v>0</v>
      </c>
      <c r="AO147" s="178"/>
      <c r="AS147" s="178"/>
      <c r="AW147" s="178"/>
      <c r="BA147" s="179"/>
    </row>
    <row r="148" spans="1:53" s="170" customFormat="1" x14ac:dyDescent="0.15">
      <c r="A148" s="170">
        <v>2021</v>
      </c>
      <c r="B148" s="281"/>
      <c r="C148" s="395" t="s">
        <v>1461</v>
      </c>
      <c r="D148" s="395"/>
      <c r="E148" s="170">
        <v>365</v>
      </c>
      <c r="F148" s="179"/>
      <c r="G148" s="170">
        <v>8</v>
      </c>
      <c r="H148" s="170">
        <v>1</v>
      </c>
      <c r="I148" s="170">
        <v>5</v>
      </c>
      <c r="J148" s="240">
        <v>17</v>
      </c>
      <c r="K148" s="213">
        <f t="shared" si="40"/>
        <v>47.058823529411761</v>
      </c>
      <c r="L148" s="213">
        <f t="shared" si="36"/>
        <v>5.8823529411764701</v>
      </c>
      <c r="M148" s="213">
        <f t="shared" si="37"/>
        <v>29.411764705882355</v>
      </c>
      <c r="N148" s="214">
        <f t="shared" si="41"/>
        <v>82.35294117647058</v>
      </c>
      <c r="O148" s="213">
        <v>53.4</v>
      </c>
      <c r="P148" s="213">
        <v>7.3</v>
      </c>
      <c r="Q148" s="213"/>
      <c r="R148" s="214">
        <f t="shared" ref="R148:R154" si="43">SUM(O148:Q148)</f>
        <v>60.699999999999996</v>
      </c>
      <c r="S148" s="189">
        <v>3</v>
      </c>
      <c r="T148" s="283"/>
      <c r="U148" s="296"/>
      <c r="V148" s="170" t="s">
        <v>1370</v>
      </c>
      <c r="W148" s="170" t="s">
        <v>99</v>
      </c>
      <c r="X148" s="170" t="s">
        <v>11</v>
      </c>
      <c r="Y148" s="178">
        <v>53.4</v>
      </c>
      <c r="Z148" s="170" t="s">
        <v>1369</v>
      </c>
      <c r="AA148" s="170" t="s">
        <v>78</v>
      </c>
      <c r="AB148" s="170" t="s">
        <v>18</v>
      </c>
      <c r="AC148" s="178">
        <v>7.3</v>
      </c>
      <c r="AD148" s="170" t="s">
        <v>1460</v>
      </c>
      <c r="AE148" s="170" t="s">
        <v>304</v>
      </c>
      <c r="AF148" s="170" t="s">
        <v>12</v>
      </c>
      <c r="AG148" s="178">
        <v>0</v>
      </c>
      <c r="AH148" s="170" t="s">
        <v>1462</v>
      </c>
      <c r="AI148" s="170" t="s">
        <v>1031</v>
      </c>
      <c r="AJ148" s="170" t="s">
        <v>12</v>
      </c>
      <c r="AK148" s="178">
        <v>0</v>
      </c>
      <c r="AO148" s="178"/>
      <c r="AS148" s="178"/>
      <c r="AW148" s="178"/>
      <c r="BA148" s="179"/>
    </row>
    <row r="149" spans="1:53" s="170" customFormat="1" x14ac:dyDescent="0.15">
      <c r="A149" s="170">
        <v>2022</v>
      </c>
      <c r="B149" s="281"/>
      <c r="C149" s="395" t="s">
        <v>1461</v>
      </c>
      <c r="D149" s="395"/>
      <c r="E149" s="170">
        <v>136</v>
      </c>
      <c r="F149" s="179"/>
      <c r="G149" s="170">
        <v>8</v>
      </c>
      <c r="H149" s="170">
        <v>1</v>
      </c>
      <c r="I149" s="170">
        <v>5</v>
      </c>
      <c r="J149" s="240">
        <v>17</v>
      </c>
      <c r="K149" s="213">
        <f t="shared" si="40"/>
        <v>47.058823529411761</v>
      </c>
      <c r="L149" s="213">
        <f t="shared" si="36"/>
        <v>5.8823529411764701</v>
      </c>
      <c r="M149" s="213">
        <f t="shared" si="37"/>
        <v>29.411764705882355</v>
      </c>
      <c r="N149" s="214">
        <f t="shared" si="41"/>
        <v>82.35294117647058</v>
      </c>
      <c r="O149" s="213">
        <v>53.4</v>
      </c>
      <c r="P149" s="213">
        <v>7.3</v>
      </c>
      <c r="Q149" s="213"/>
      <c r="R149" s="214">
        <f t="shared" si="43"/>
        <v>60.699999999999996</v>
      </c>
      <c r="S149" s="189">
        <v>3</v>
      </c>
      <c r="T149" s="283"/>
      <c r="U149" s="296"/>
      <c r="V149" s="170" t="s">
        <v>1090</v>
      </c>
      <c r="W149" s="170" t="s">
        <v>99</v>
      </c>
      <c r="X149" s="170" t="s">
        <v>11</v>
      </c>
      <c r="Y149" s="178">
        <v>53.4</v>
      </c>
      <c r="Z149" s="170" t="s">
        <v>1369</v>
      </c>
      <c r="AA149" s="170" t="s">
        <v>78</v>
      </c>
      <c r="AB149" s="170" t="s">
        <v>18</v>
      </c>
      <c r="AC149" s="178">
        <v>7.3</v>
      </c>
      <c r="AD149" s="170" t="s">
        <v>1460</v>
      </c>
      <c r="AE149" s="170" t="s">
        <v>304</v>
      </c>
      <c r="AF149" s="170" t="s">
        <v>12</v>
      </c>
      <c r="AG149" s="178">
        <v>0</v>
      </c>
      <c r="AH149" s="170" t="s">
        <v>1462</v>
      </c>
      <c r="AI149" s="170" t="s">
        <v>1031</v>
      </c>
      <c r="AJ149" s="170" t="s">
        <v>12</v>
      </c>
      <c r="AK149" s="178">
        <v>0</v>
      </c>
      <c r="AO149" s="178"/>
      <c r="AS149" s="178"/>
      <c r="AW149" s="178"/>
      <c r="BA149" s="179"/>
    </row>
    <row r="150" spans="1:53" s="28" customFormat="1" x14ac:dyDescent="0.15">
      <c r="A150" s="28">
        <v>2022</v>
      </c>
      <c r="B150" s="293">
        <v>44697</v>
      </c>
      <c r="C150" s="394" t="s">
        <v>1536</v>
      </c>
      <c r="D150" s="394"/>
      <c r="E150" s="28">
        <v>35</v>
      </c>
      <c r="F150" s="39">
        <v>2</v>
      </c>
      <c r="G150" s="28">
        <v>16</v>
      </c>
      <c r="H150" s="28">
        <v>1</v>
      </c>
      <c r="J150" s="72">
        <v>24</v>
      </c>
      <c r="K150" s="46">
        <f t="shared" si="40"/>
        <v>66.666666666666657</v>
      </c>
      <c r="L150" s="46">
        <f t="shared" si="36"/>
        <v>4.1666666666666661</v>
      </c>
      <c r="M150" s="46">
        <f t="shared" si="37"/>
        <v>0</v>
      </c>
      <c r="N150" s="67">
        <f t="shared" si="41"/>
        <v>70.833333333333329</v>
      </c>
      <c r="O150" s="45">
        <v>46.4</v>
      </c>
      <c r="P150" s="46">
        <v>9.9</v>
      </c>
      <c r="Q150" s="46"/>
      <c r="R150" s="47">
        <f t="shared" si="43"/>
        <v>56.3</v>
      </c>
      <c r="S150" s="28">
        <v>3</v>
      </c>
      <c r="T150" s="284"/>
      <c r="U150" s="293">
        <v>44697</v>
      </c>
      <c r="V150" s="37" t="s">
        <v>1090</v>
      </c>
      <c r="W150" s="28" t="s">
        <v>99</v>
      </c>
      <c r="X150" s="28" t="s">
        <v>11</v>
      </c>
      <c r="Y150" s="38">
        <v>46.4</v>
      </c>
      <c r="Z150" s="28" t="s">
        <v>1369</v>
      </c>
      <c r="AA150" s="28" t="s">
        <v>78</v>
      </c>
      <c r="AB150" s="28" t="s">
        <v>18</v>
      </c>
      <c r="AC150" s="38">
        <v>9.9</v>
      </c>
      <c r="AD150" s="28" t="s">
        <v>1537</v>
      </c>
      <c r="AE150" s="28" t="s">
        <v>1050</v>
      </c>
      <c r="AF150" s="28" t="s">
        <v>11</v>
      </c>
      <c r="AG150" s="38">
        <v>0</v>
      </c>
      <c r="AK150" s="38"/>
      <c r="AO150" s="38"/>
      <c r="AS150" s="38"/>
      <c r="AW150" s="38"/>
      <c r="BA150" s="39"/>
    </row>
    <row r="151" spans="1:53" s="170" customFormat="1" x14ac:dyDescent="0.15">
      <c r="A151" s="170">
        <v>2022</v>
      </c>
      <c r="B151" s="281">
        <v>44732</v>
      </c>
      <c r="C151" s="395" t="s">
        <v>1549</v>
      </c>
      <c r="D151" s="395"/>
      <c r="E151" s="170">
        <v>5</v>
      </c>
      <c r="F151" s="179">
        <v>1</v>
      </c>
      <c r="G151" s="170">
        <v>16</v>
      </c>
      <c r="H151" s="170">
        <v>1</v>
      </c>
      <c r="J151" s="240">
        <v>24</v>
      </c>
      <c r="K151" s="213">
        <f t="shared" si="40"/>
        <v>66.666666666666657</v>
      </c>
      <c r="L151" s="213">
        <f t="shared" si="36"/>
        <v>4.1666666666666661</v>
      </c>
      <c r="M151" s="213">
        <f t="shared" si="37"/>
        <v>0</v>
      </c>
      <c r="N151" s="214">
        <f t="shared" si="41"/>
        <v>70.833333333333329</v>
      </c>
      <c r="O151" s="213">
        <v>34.6</v>
      </c>
      <c r="P151" s="213">
        <v>8.8000000000000007</v>
      </c>
      <c r="Q151" s="213"/>
      <c r="R151" s="214">
        <f t="shared" si="43"/>
        <v>43.400000000000006</v>
      </c>
      <c r="S151" s="189">
        <v>5</v>
      </c>
      <c r="T151" s="283">
        <v>44731</v>
      </c>
      <c r="U151" s="296">
        <v>44732</v>
      </c>
      <c r="V151" s="170" t="s">
        <v>1090</v>
      </c>
      <c r="W151" s="170" t="s">
        <v>99</v>
      </c>
      <c r="X151" s="170" t="s">
        <v>11</v>
      </c>
      <c r="Y151" s="178">
        <v>29.6</v>
      </c>
      <c r="Z151" s="170" t="s">
        <v>1369</v>
      </c>
      <c r="AA151" s="170" t="s">
        <v>78</v>
      </c>
      <c r="AB151" s="170" t="s">
        <v>18</v>
      </c>
      <c r="AC151" s="178">
        <v>8.8000000000000007</v>
      </c>
      <c r="AD151" s="170" t="s">
        <v>1537</v>
      </c>
      <c r="AE151" s="170" t="s">
        <v>1050</v>
      </c>
      <c r="AF151" s="170" t="s">
        <v>11</v>
      </c>
      <c r="AG151" s="178">
        <v>5</v>
      </c>
      <c r="AK151" s="178"/>
      <c r="AO151" s="178"/>
      <c r="AS151" s="178"/>
      <c r="AW151" s="178"/>
      <c r="BA151" s="179"/>
    </row>
    <row r="152" spans="1:53" s="170" customFormat="1" x14ac:dyDescent="0.15">
      <c r="A152" s="170">
        <v>2022</v>
      </c>
      <c r="B152" s="303">
        <v>44737</v>
      </c>
      <c r="C152" s="395" t="s">
        <v>1549</v>
      </c>
      <c r="D152" s="395"/>
      <c r="E152" s="170">
        <v>9</v>
      </c>
      <c r="F152" s="246">
        <v>0</v>
      </c>
      <c r="G152" s="170">
        <v>15</v>
      </c>
      <c r="H152" s="170">
        <v>1</v>
      </c>
      <c r="J152" s="240">
        <v>23</v>
      </c>
      <c r="K152" s="213">
        <f t="shared" si="40"/>
        <v>65.217391304347828</v>
      </c>
      <c r="L152" s="213">
        <f t="shared" si="36"/>
        <v>4.3478260869565215</v>
      </c>
      <c r="M152" s="213">
        <f t="shared" si="37"/>
        <v>0</v>
      </c>
      <c r="N152" s="214">
        <f t="shared" si="41"/>
        <v>69.565217391304344</v>
      </c>
      <c r="O152" s="213">
        <v>34.6</v>
      </c>
      <c r="P152" s="213">
        <v>8.8000000000000007</v>
      </c>
      <c r="Q152" s="213"/>
      <c r="R152" s="214">
        <f t="shared" si="43"/>
        <v>43.400000000000006</v>
      </c>
      <c r="S152" s="189">
        <v>5</v>
      </c>
      <c r="T152" s="283"/>
      <c r="U152" s="296"/>
      <c r="V152" s="170" t="s">
        <v>1090</v>
      </c>
      <c r="W152" s="170" t="s">
        <v>99</v>
      </c>
      <c r="X152" s="170" t="s">
        <v>11</v>
      </c>
      <c r="Y152" s="178">
        <v>29.6</v>
      </c>
      <c r="Z152" s="170" t="s">
        <v>1369</v>
      </c>
      <c r="AA152" s="170" t="s">
        <v>78</v>
      </c>
      <c r="AB152" s="170" t="s">
        <v>18</v>
      </c>
      <c r="AC152" s="178">
        <v>8.8000000000000007</v>
      </c>
      <c r="AD152" s="170" t="s">
        <v>1537</v>
      </c>
      <c r="AE152" s="170" t="s">
        <v>1050</v>
      </c>
      <c r="AF152" s="170" t="s">
        <v>11</v>
      </c>
      <c r="AG152" s="178">
        <v>5</v>
      </c>
      <c r="AK152" s="178"/>
      <c r="AO152" s="178"/>
      <c r="AS152" s="178"/>
      <c r="AW152" s="178"/>
      <c r="BA152" s="179"/>
    </row>
    <row r="153" spans="1:53" s="170" customFormat="1" x14ac:dyDescent="0.15">
      <c r="A153" s="170">
        <v>2022</v>
      </c>
      <c r="B153" s="303">
        <v>44746</v>
      </c>
      <c r="C153" s="395" t="s">
        <v>1549</v>
      </c>
      <c r="D153" s="395"/>
      <c r="E153" s="170">
        <v>147</v>
      </c>
      <c r="F153" s="246">
        <v>0</v>
      </c>
      <c r="G153" s="170">
        <v>13</v>
      </c>
      <c r="H153" s="170">
        <v>2</v>
      </c>
      <c r="J153" s="240">
        <v>23</v>
      </c>
      <c r="K153" s="213">
        <f>G153/J153*100</f>
        <v>56.521739130434781</v>
      </c>
      <c r="L153" s="213">
        <f t="shared" si="36"/>
        <v>8.695652173913043</v>
      </c>
      <c r="M153" s="213">
        <f t="shared" si="37"/>
        <v>0</v>
      </c>
      <c r="N153" s="214">
        <f t="shared" si="41"/>
        <v>65.217391304347828</v>
      </c>
      <c r="O153" s="213">
        <v>34.6</v>
      </c>
      <c r="P153" s="213">
        <v>8.8000000000000007</v>
      </c>
      <c r="Q153" s="213"/>
      <c r="R153" s="214">
        <f t="shared" si="43"/>
        <v>43.400000000000006</v>
      </c>
      <c r="S153" s="189">
        <v>5</v>
      </c>
      <c r="T153" s="283"/>
      <c r="U153" s="296"/>
      <c r="V153" s="170" t="s">
        <v>1090</v>
      </c>
      <c r="W153" s="170" t="s">
        <v>99</v>
      </c>
      <c r="X153" s="170" t="s">
        <v>11</v>
      </c>
      <c r="Y153" s="178">
        <v>29.6</v>
      </c>
      <c r="Z153" s="170" t="s">
        <v>1369</v>
      </c>
      <c r="AA153" s="170" t="s">
        <v>78</v>
      </c>
      <c r="AB153" s="170" t="s">
        <v>18</v>
      </c>
      <c r="AC153" s="178">
        <v>8.8000000000000007</v>
      </c>
      <c r="AD153" s="170" t="s">
        <v>1537</v>
      </c>
      <c r="AE153" s="170" t="s">
        <v>1050</v>
      </c>
      <c r="AF153" s="170" t="s">
        <v>11</v>
      </c>
      <c r="AG153" s="178">
        <v>5</v>
      </c>
      <c r="AK153" s="178"/>
      <c r="AO153" s="178"/>
      <c r="AS153" s="178"/>
      <c r="AW153" s="178"/>
      <c r="BA153" s="179"/>
    </row>
    <row r="154" spans="1:53" s="170" customFormat="1" x14ac:dyDescent="0.15">
      <c r="A154" s="170">
        <v>2022</v>
      </c>
      <c r="B154" s="303">
        <v>44893</v>
      </c>
      <c r="C154" s="395" t="s">
        <v>1549</v>
      </c>
      <c r="D154" s="395"/>
      <c r="E154" s="170">
        <v>33</v>
      </c>
      <c r="F154" s="246">
        <v>0</v>
      </c>
      <c r="G154" s="170">
        <v>14</v>
      </c>
      <c r="H154" s="170">
        <v>2</v>
      </c>
      <c r="J154" s="240">
        <v>23</v>
      </c>
      <c r="K154" s="213">
        <f>G154/J154*100</f>
        <v>60.869565217391312</v>
      </c>
      <c r="L154" s="213">
        <f t="shared" si="36"/>
        <v>8.695652173913043</v>
      </c>
      <c r="M154" s="213">
        <f t="shared" si="37"/>
        <v>0</v>
      </c>
      <c r="N154" s="214">
        <f t="shared" si="41"/>
        <v>69.565217391304358</v>
      </c>
      <c r="O154" s="213">
        <v>34.6</v>
      </c>
      <c r="P154" s="213">
        <v>8.8000000000000007</v>
      </c>
      <c r="Q154" s="213"/>
      <c r="R154" s="214">
        <f t="shared" si="43"/>
        <v>43.400000000000006</v>
      </c>
      <c r="S154" s="189">
        <v>5</v>
      </c>
      <c r="T154" s="283"/>
      <c r="U154" s="296"/>
      <c r="V154" s="170" t="s">
        <v>1090</v>
      </c>
      <c r="W154" s="170" t="s">
        <v>99</v>
      </c>
      <c r="X154" s="170" t="s">
        <v>11</v>
      </c>
      <c r="Y154" s="178">
        <v>29.6</v>
      </c>
      <c r="Z154" s="170" t="s">
        <v>1369</v>
      </c>
      <c r="AA154" s="170" t="s">
        <v>78</v>
      </c>
      <c r="AB154" s="170" t="s">
        <v>18</v>
      </c>
      <c r="AC154" s="178">
        <v>8.8000000000000007</v>
      </c>
      <c r="AD154" s="170" t="s">
        <v>1537</v>
      </c>
      <c r="AE154" s="170" t="s">
        <v>1050</v>
      </c>
      <c r="AF154" s="170" t="s">
        <v>11</v>
      </c>
      <c r="AG154" s="178">
        <v>5</v>
      </c>
      <c r="AK154" s="178"/>
      <c r="AO154" s="178"/>
      <c r="AS154" s="178"/>
      <c r="AW154" s="178"/>
      <c r="BA154" s="179"/>
    </row>
    <row r="155" spans="1:53" s="28" customFormat="1" x14ac:dyDescent="0.15">
      <c r="B155" s="301"/>
      <c r="F155" s="83"/>
      <c r="J155" s="71"/>
      <c r="K155" s="46"/>
      <c r="L155" s="46"/>
      <c r="M155" s="46"/>
      <c r="N155" s="67"/>
      <c r="O155" s="46"/>
      <c r="P155" s="46"/>
      <c r="Q155" s="46"/>
      <c r="R155" s="67"/>
      <c r="T155" s="293"/>
      <c r="U155" s="293"/>
    </row>
    <row r="156" spans="1:53" ht="18" customHeight="1" x14ac:dyDescent="0.15">
      <c r="B156" s="15" t="s">
        <v>1262</v>
      </c>
    </row>
    <row r="157" spans="1:53" ht="9" customHeight="1" x14ac:dyDescent="0.15"/>
    <row r="158" spans="1:53" s="194" customFormat="1" ht="9" customHeight="1" x14ac:dyDescent="0.15">
      <c r="A158" s="192"/>
      <c r="B158" s="193" t="s">
        <v>1213</v>
      </c>
      <c r="C158" s="193"/>
      <c r="D158" s="193"/>
      <c r="E158" s="193"/>
      <c r="F158" s="193"/>
      <c r="G158" s="193" t="s">
        <v>1214</v>
      </c>
      <c r="H158" s="193"/>
      <c r="I158" s="193"/>
      <c r="J158" s="193"/>
      <c r="K158" s="193"/>
      <c r="L158" s="193"/>
      <c r="M158" s="193"/>
      <c r="N158" s="193"/>
      <c r="R158" s="386" t="s">
        <v>1215</v>
      </c>
      <c r="S158" s="386"/>
      <c r="T158" s="386"/>
      <c r="U158" s="386"/>
      <c r="V158" s="386"/>
      <c r="W158" s="386"/>
      <c r="X158" s="195"/>
      <c r="Y158" s="195"/>
      <c r="AA158" s="195"/>
      <c r="AB158" s="195"/>
      <c r="AC158" s="195"/>
      <c r="AD158" s="195"/>
    </row>
    <row r="159" spans="1:53" s="199" customFormat="1" ht="9" customHeight="1" x14ac:dyDescent="0.15">
      <c r="A159" s="196"/>
      <c r="B159" s="197" t="s">
        <v>1217</v>
      </c>
      <c r="C159" s="198"/>
      <c r="D159" s="198"/>
      <c r="E159" s="198"/>
      <c r="F159" s="198"/>
      <c r="G159" s="197" t="s">
        <v>1216</v>
      </c>
      <c r="H159" s="198"/>
      <c r="I159" s="198"/>
      <c r="J159" s="198"/>
      <c r="K159" s="198"/>
      <c r="L159" s="198"/>
      <c r="M159" s="198"/>
      <c r="N159" s="198"/>
      <c r="R159" s="200" t="s">
        <v>1218</v>
      </c>
      <c r="S159" s="201"/>
      <c r="T159" s="202"/>
      <c r="U159" s="202"/>
      <c r="V159" s="202"/>
      <c r="W159" s="200" t="s">
        <v>1219</v>
      </c>
      <c r="X159" s="202"/>
      <c r="Y159" s="202"/>
      <c r="AA159" s="202"/>
      <c r="AB159" s="202"/>
      <c r="AC159" s="202"/>
      <c r="AD159" s="202"/>
    </row>
    <row r="160" spans="1:53" s="185" customFormat="1" ht="12" customHeight="1" x14ac:dyDescent="0.15">
      <c r="A160" s="203" t="s">
        <v>3</v>
      </c>
      <c r="B160" s="204" t="s">
        <v>8</v>
      </c>
      <c r="C160" s="204" t="s">
        <v>9</v>
      </c>
      <c r="D160" s="204" t="s">
        <v>10</v>
      </c>
      <c r="E160" s="205" t="s">
        <v>1193</v>
      </c>
      <c r="F160" s="204"/>
      <c r="G160" s="185" t="s">
        <v>3</v>
      </c>
      <c r="H160" s="387" t="s">
        <v>0</v>
      </c>
      <c r="I160" s="387"/>
      <c r="J160" s="387" t="s">
        <v>1</v>
      </c>
      <c r="K160" s="387"/>
      <c r="L160" s="387" t="s">
        <v>2</v>
      </c>
      <c r="M160" s="387"/>
      <c r="N160" s="388" t="s">
        <v>1193</v>
      </c>
      <c r="O160" s="388"/>
      <c r="P160" s="206"/>
      <c r="Q160" s="206"/>
      <c r="R160" s="207" t="s">
        <v>3</v>
      </c>
      <c r="S160" s="208" t="s">
        <v>135</v>
      </c>
      <c r="T160" s="206" t="s">
        <v>133</v>
      </c>
      <c r="U160" s="204" t="s">
        <v>134</v>
      </c>
      <c r="V160" s="206"/>
      <c r="W160" s="209" t="s">
        <v>26</v>
      </c>
    </row>
    <row r="161" spans="1:25" s="139" customFormat="1" x14ac:dyDescent="0.15">
      <c r="A161" s="139">
        <v>1959</v>
      </c>
      <c r="B161" s="142">
        <f>(K6*($E8/365))+(K7*($E7/365))</f>
        <v>42.035225048923678</v>
      </c>
      <c r="C161" s="142">
        <f>(L6*($E8/365))+(L7*($E7/365))</f>
        <v>18.68232224396608</v>
      </c>
      <c r="D161" s="142">
        <f>(M6*($E8/365))+(M7*($E7/365))</f>
        <v>4.6705805609915201</v>
      </c>
      <c r="E161" s="143">
        <f>B161+C161+D161</f>
        <v>65.388127853881286</v>
      </c>
      <c r="G161" s="145">
        <v>1959</v>
      </c>
      <c r="H161" s="389">
        <f>(O6/$R6*100*($E6/365))+(O7/$R7*100*($E7/365))</f>
        <v>80.178942454144718</v>
      </c>
      <c r="I161" s="389"/>
      <c r="J161" s="389">
        <f>(P6/$R6*100*($E6/365))+(P7/$R7*100*($E7/365))</f>
        <v>13.988064889794336</v>
      </c>
      <c r="K161" s="389"/>
      <c r="L161" s="389">
        <f>(Q6/$R6*100*($E6/365))+(Q7/$R7*100*($E7/365))</f>
        <v>5.8329926560609433</v>
      </c>
      <c r="M161" s="389"/>
      <c r="N161" s="400">
        <f>H161+J161+K161</f>
        <v>94.167007343939048</v>
      </c>
      <c r="O161" s="400"/>
      <c r="P161" s="142"/>
      <c r="Q161" s="142"/>
      <c r="R161" s="145">
        <v>1959</v>
      </c>
      <c r="S161" s="142">
        <f>(O6*($E6/365))+(O7*($E7/365))</f>
        <v>70.651506849315069</v>
      </c>
      <c r="T161" s="142">
        <f>(P6*($E6/365))+(P7*($E7/365))</f>
        <v>12.3</v>
      </c>
      <c r="U161" s="142">
        <f>(Q6*($E6/365))+(Q7*($E7/365))</f>
        <v>5.0802739726027397</v>
      </c>
      <c r="W161" s="154">
        <f>S161+T161+U161</f>
        <v>88.031780821917806</v>
      </c>
      <c r="X161" s="144"/>
    </row>
    <row r="162" spans="1:25" x14ac:dyDescent="0.15">
      <c r="A162" s="1">
        <v>1960</v>
      </c>
      <c r="B162" s="5">
        <f>(K8*($E8/366))+(K9*($E9/366))</f>
        <v>42.857142857142854</v>
      </c>
      <c r="C162" s="5">
        <f>(L8*($E8/366))+(L9*($E9/366))</f>
        <v>19.047619047619047</v>
      </c>
      <c r="D162" s="5">
        <f>(M8*($E8/366))+(M9*($E9/366))</f>
        <v>4.7619047619047619</v>
      </c>
      <c r="E162" s="17">
        <f>SUM(B162:D162)</f>
        <v>66.666666666666657</v>
      </c>
      <c r="G162" s="13">
        <v>1960</v>
      </c>
      <c r="H162" s="362">
        <f>(O8/$R8*100*($E8/366))+(O9/$R9*100*($E9/366))</f>
        <v>80.542986425339365</v>
      </c>
      <c r="I162" s="362"/>
      <c r="J162" s="362">
        <f>(P8/$R8*100*($E8/366))+(P9/$R9*100*($E9/366))</f>
        <v>13.914027149321267</v>
      </c>
      <c r="K162" s="362"/>
      <c r="L162" s="362">
        <f>(Q8/$R8*100*($E8/366))+(Q9/$R9*100*($E9/366))</f>
        <v>5.5429864253393664</v>
      </c>
      <c r="M162" s="362"/>
      <c r="N162" s="363">
        <f>SUM(H162:M162)</f>
        <v>100</v>
      </c>
      <c r="O162" s="363"/>
      <c r="P162" s="5"/>
      <c r="Q162" s="5"/>
      <c r="R162" s="13">
        <v>1960</v>
      </c>
      <c r="S162" s="5">
        <f>(O8*($E8/366))+(O9*($E9/366))</f>
        <v>71.2</v>
      </c>
      <c r="T162" s="5">
        <f>(P8*($E8/366))+(P9*($E9/366))</f>
        <v>12.3</v>
      </c>
      <c r="U162" s="5">
        <f>(Q8*($E8/366))+(Q9*($E9/366))</f>
        <v>4.9000000000000004</v>
      </c>
      <c r="W162" s="10">
        <f t="shared" ref="W162:W193" si="44">SUM(S162:U162)</f>
        <v>88.4</v>
      </c>
      <c r="X162" s="4"/>
    </row>
    <row r="163" spans="1:25" x14ac:dyDescent="0.15">
      <c r="A163" s="1">
        <v>1961</v>
      </c>
      <c r="B163" s="5">
        <f>(K10*($E10/365))+(K11*($E11/365))</f>
        <v>42.857142857142854</v>
      </c>
      <c r="C163" s="5">
        <f>(L10*($E10/365))+(L11*($E11/365))</f>
        <v>19.047619047619047</v>
      </c>
      <c r="D163" s="5">
        <f>(M10*($E10/365))+(M11*($E11/365))</f>
        <v>4.7619047619047619</v>
      </c>
      <c r="E163" s="17">
        <f t="shared" ref="E163:E215" si="45">SUM(B163:D163)</f>
        <v>66.666666666666657</v>
      </c>
      <c r="G163" s="13">
        <v>1961</v>
      </c>
      <c r="H163" s="362">
        <f>(O10/$R10*100*($E10/365))+(O11/$R11*100*($E11/365))</f>
        <v>80.542986425339365</v>
      </c>
      <c r="I163" s="362"/>
      <c r="J163" s="362">
        <f>(P10/$R10*100*($E10/365))+(P11/$R11*100*($E11/365))</f>
        <v>13.914027149321267</v>
      </c>
      <c r="K163" s="362"/>
      <c r="L163" s="362">
        <f>(Q10/$R10*100*($E10/365))+(Q11/$R11*100*($E11/365))</f>
        <v>5.5429864253393664</v>
      </c>
      <c r="M163" s="362"/>
      <c r="N163" s="363">
        <f>SUM(H163:M163)</f>
        <v>100</v>
      </c>
      <c r="O163" s="363"/>
      <c r="P163" s="5"/>
      <c r="Q163" s="5"/>
      <c r="R163" s="13">
        <v>1961</v>
      </c>
      <c r="S163" s="5">
        <f>(O10*($E10/365))+(O11*($E11/365))</f>
        <v>71.2</v>
      </c>
      <c r="T163" s="5">
        <f>(P10*($E10/365))+(P11*($E11/365))</f>
        <v>12.3</v>
      </c>
      <c r="U163" s="5">
        <f>(Q10*($E10/365))+(Q11*($E11/365))</f>
        <v>4.9000000000000004</v>
      </c>
      <c r="W163" s="10">
        <f t="shared" si="44"/>
        <v>88.4</v>
      </c>
      <c r="X163" s="4"/>
    </row>
    <row r="164" spans="1:25" x14ac:dyDescent="0.15">
      <c r="A164" s="1">
        <v>1962</v>
      </c>
      <c r="B164" s="5">
        <f>(K12*($E12/365))+(K13*($E13/365))+(K14*($E14/365))+(K15*($E15/365))</f>
        <v>63.556306706991641</v>
      </c>
      <c r="C164" s="5">
        <f>(L12*($E12/365))+(L13*($E13/365))+(L14*($E14/365))+(L15*($E15/365))</f>
        <v>6.9714760125719026</v>
      </c>
      <c r="D164" s="5">
        <f>(M12*($E12/365))+(M13*($E13/365))+(M14*($E14/365))+(M15*($E15/365))</f>
        <v>1.3568166992824526</v>
      </c>
      <c r="E164" s="17">
        <f t="shared" si="45"/>
        <v>71.884599418845994</v>
      </c>
      <c r="G164" s="13">
        <v>1962</v>
      </c>
      <c r="H164" s="362">
        <f>(O12/$R12*100*($E12/365))+(O13/$R13*100*($E13/365))+(O14/$R14*100*($E14/365))+(O15/$R15*100*($E15/365))</f>
        <v>92.6971452821642</v>
      </c>
      <c r="I164" s="362"/>
      <c r="J164" s="362">
        <f>(P12/$R12*100*($E12/365))+(P13/$R13*100*($E13/365))+(P14/$R14*100*($E14/365))+(P15/$R15*100*($E15/365))</f>
        <v>5.7234832432185616</v>
      </c>
      <c r="K164" s="362"/>
      <c r="L164" s="362">
        <f>(Q12/$R12*100*($E12/365))+(Q13/$R13*100*($E13/365))+(Q14/$R14*100*($E14/365))+(Q15/$R15*100*($E15/365))</f>
        <v>1.579371474617244</v>
      </c>
      <c r="M164" s="362"/>
      <c r="N164" s="363">
        <f t="shared" ref="N164:N213" si="46">SUM(H164:M164)</f>
        <v>100.00000000000001</v>
      </c>
      <c r="O164" s="363"/>
      <c r="P164" s="5"/>
      <c r="Q164" s="5"/>
      <c r="R164" s="13">
        <v>1962</v>
      </c>
      <c r="S164" s="5">
        <f>(O12*($E12/365))+(O13*($E13/365))+(O14*($E14/365))+(O15*($E15/365))</f>
        <v>69.654246575342469</v>
      </c>
      <c r="T164" s="5">
        <f>(P12*($E12/365))+(P13*($E13/365))+(P14*($E14/365))+(P15*($E15/365))</f>
        <v>4.82</v>
      </c>
      <c r="U164" s="5">
        <f>(Q12*($E12/365))+(Q13*($E13/365))+(Q14*($E14/365))+(Q15*($E15/365))</f>
        <v>1.396164383561644</v>
      </c>
      <c r="W164" s="10">
        <f t="shared" si="44"/>
        <v>75.870410958904117</v>
      </c>
      <c r="X164" s="4"/>
      <c r="Y164" s="22"/>
    </row>
    <row r="165" spans="1:25" x14ac:dyDescent="0.15">
      <c r="A165" s="1">
        <v>1963</v>
      </c>
      <c r="B165" s="5">
        <f>(K16*($E16/365))+(K17*($E17/365))</f>
        <v>72.727272727272734</v>
      </c>
      <c r="C165" s="5">
        <f>(L16*($E16/365))+(L17*($E17/365))</f>
        <v>0</v>
      </c>
      <c r="D165" s="5">
        <f>(M16*($E16/365))+(M17*($E17/365))</f>
        <v>0</v>
      </c>
      <c r="E165" s="17">
        <f t="shared" si="45"/>
        <v>72.727272727272734</v>
      </c>
      <c r="G165" s="13">
        <v>1963</v>
      </c>
      <c r="H165" s="362">
        <f>(O16/$R16*100*($E16/365))+(O17/$R17*100*($E17/365))</f>
        <v>92.870544090056299</v>
      </c>
      <c r="I165" s="362"/>
      <c r="J165" s="362">
        <f>(P16/$R16*100*($E16/365))+(P17/$R17*100*($E17/365))</f>
        <v>7.1294559099437143</v>
      </c>
      <c r="K165" s="362"/>
      <c r="L165" s="362">
        <f>(Q16/$R16*100*($E16/365))+(Q17/$R17*100*($E17/365))</f>
        <v>0</v>
      </c>
      <c r="M165" s="362"/>
      <c r="N165" s="363">
        <f t="shared" si="46"/>
        <v>100.00000000000001</v>
      </c>
      <c r="O165" s="363"/>
      <c r="P165" s="5"/>
      <c r="Q165" s="5"/>
      <c r="R165" s="13">
        <v>1963</v>
      </c>
      <c r="S165" s="5">
        <f>(O16*($E16/365))+(O17*($E17/365))</f>
        <v>49.5</v>
      </c>
      <c r="T165" s="5">
        <f>(P16*($E16/365))+(P17*($E17/365))</f>
        <v>3.8</v>
      </c>
      <c r="U165" s="5">
        <f>(Q16*($E16/365))+(Q17*($E17/365))</f>
        <v>0</v>
      </c>
      <c r="W165" s="10">
        <f t="shared" si="44"/>
        <v>53.3</v>
      </c>
      <c r="X165" s="4"/>
      <c r="Y165" s="22"/>
    </row>
    <row r="166" spans="1:25" x14ac:dyDescent="0.15">
      <c r="A166" s="1">
        <v>1964</v>
      </c>
      <c r="B166" s="5">
        <f>(K18*($E18/366))+(K19*($E19/366))</f>
        <v>72.727272727272734</v>
      </c>
      <c r="C166" s="5">
        <f>(L18*($E18/366))+(L19*($E19/366))</f>
        <v>0</v>
      </c>
      <c r="D166" s="5">
        <f>(M18*($E18/366))+(M19*($E19/366))</f>
        <v>0</v>
      </c>
      <c r="E166" s="17">
        <f t="shared" si="45"/>
        <v>72.727272727272734</v>
      </c>
      <c r="G166" s="13">
        <v>1964</v>
      </c>
      <c r="H166" s="362">
        <f>(O18/$R18*100*($E18/366))+(O19/$R19*100*($E19/366))</f>
        <v>92.870544090056299</v>
      </c>
      <c r="I166" s="362"/>
      <c r="J166" s="362">
        <f>(P18/$R18*100*($E18/366))+(P19/$R19*100*($E19/366))</f>
        <v>7.1294559099437143</v>
      </c>
      <c r="K166" s="362"/>
      <c r="L166" s="362">
        <f>(Q18/$R18*100*($E18/366))+(Q19/$R19*100*($E19/366))</f>
        <v>0</v>
      </c>
      <c r="M166" s="362"/>
      <c r="N166" s="363">
        <f t="shared" si="46"/>
        <v>100.00000000000001</v>
      </c>
      <c r="O166" s="363"/>
      <c r="P166" s="5"/>
      <c r="Q166" s="5"/>
      <c r="R166" s="13">
        <v>1964</v>
      </c>
      <c r="S166" s="5">
        <f>(O18*($E18/366))+(O19*($E19/366))</f>
        <v>49.5</v>
      </c>
      <c r="T166" s="5">
        <f>(P18*($E18/366))+(P19*($E19/366))</f>
        <v>3.8</v>
      </c>
      <c r="U166" s="5">
        <f>(Q18*($E18/366))+(Q19*($E19/366))</f>
        <v>0</v>
      </c>
      <c r="W166" s="10">
        <f t="shared" si="44"/>
        <v>53.3</v>
      </c>
      <c r="X166" s="4"/>
      <c r="Y166" s="22"/>
    </row>
    <row r="167" spans="1:25" x14ac:dyDescent="0.15">
      <c r="A167" s="1">
        <v>1965</v>
      </c>
      <c r="B167" s="5">
        <f>(K20*($E20/365))+(K21*($E21/365))</f>
        <v>72.727272727272734</v>
      </c>
      <c r="C167" s="5">
        <f>(L20*($E20/365))+(L21*($E21/365))</f>
        <v>0</v>
      </c>
      <c r="D167" s="5">
        <f>(M20*($E20/365))+(M21*($E21/365))</f>
        <v>0</v>
      </c>
      <c r="E167" s="17">
        <f t="shared" si="45"/>
        <v>72.727272727272734</v>
      </c>
      <c r="G167" s="13">
        <v>1965</v>
      </c>
      <c r="H167" s="362">
        <f>(O20/$R20*100*($E20/365))+(O21/$R21*100*($E21/365))</f>
        <v>92.870544090056299</v>
      </c>
      <c r="I167" s="362"/>
      <c r="J167" s="362">
        <f>(P20/$R20*100*($E20/365))+(P21/$R21*100*($E21/365))</f>
        <v>7.1294559099437143</v>
      </c>
      <c r="K167" s="362"/>
      <c r="L167" s="362">
        <f>(Q20/$R20*100*($E20/365))+(Q21/$R21*100*($E21/365))</f>
        <v>0</v>
      </c>
      <c r="M167" s="362"/>
      <c r="N167" s="363">
        <f t="shared" si="46"/>
        <v>100.00000000000001</v>
      </c>
      <c r="O167" s="363"/>
      <c r="P167" s="5"/>
      <c r="Q167" s="5"/>
      <c r="R167" s="13">
        <v>1965</v>
      </c>
      <c r="S167" s="5">
        <f>(O20*($E20/365))+(O21*($E21/365))</f>
        <v>49.5</v>
      </c>
      <c r="T167" s="5">
        <f>(P20*($E20/365))+(P21*($E21/365))</f>
        <v>3.8</v>
      </c>
      <c r="U167" s="5">
        <f>(Q20*($E20/365))+(Q21*($E21/365))</f>
        <v>0</v>
      </c>
      <c r="W167" s="10">
        <f t="shared" si="44"/>
        <v>53.3</v>
      </c>
      <c r="X167" s="4"/>
      <c r="Y167" s="22"/>
    </row>
    <row r="168" spans="1:25" x14ac:dyDescent="0.15">
      <c r="A168" s="1">
        <v>1966</v>
      </c>
      <c r="B168" s="5">
        <f>(K22*($E22/365))+(K23*($E23/365))</f>
        <v>66.799501867995019</v>
      </c>
      <c r="C168" s="5">
        <f>(L22*($E22/365))+(L23*($E23/365))</f>
        <v>0</v>
      </c>
      <c r="D168" s="5">
        <f>(M22*($E22/365))+(M23*($E23/365))</f>
        <v>0</v>
      </c>
      <c r="E168" s="17">
        <f t="shared" si="45"/>
        <v>66.799501867995019</v>
      </c>
      <c r="G168" s="13">
        <v>1966</v>
      </c>
      <c r="H168" s="362">
        <f>(O22/$R22*100*($E22/365))+(O23/$R23*100*($E23/365))</f>
        <v>92.870544090056299</v>
      </c>
      <c r="I168" s="362"/>
      <c r="J168" s="362">
        <f>(P22/$R22*100*($E22/365))+(P23/$R23*100*($E23/365))</f>
        <v>7.1294559099437143</v>
      </c>
      <c r="K168" s="362"/>
      <c r="L168" s="362">
        <f>(Q22/$R22*100*($E22/365))+(Q23/$R23*100*($E23/365))</f>
        <v>0</v>
      </c>
      <c r="M168" s="362"/>
      <c r="N168" s="363">
        <f>SUM(H168:M168)</f>
        <v>100.00000000000001</v>
      </c>
      <c r="O168" s="363"/>
      <c r="P168" s="5"/>
      <c r="Q168" s="5"/>
      <c r="R168" s="13">
        <v>1966</v>
      </c>
      <c r="S168" s="5">
        <f>(O22*($E22/365))+(O23*($E23/365))</f>
        <v>49.5</v>
      </c>
      <c r="T168" s="5">
        <f>(P22*($E22/365))+(P23*($E23/365))</f>
        <v>3.8</v>
      </c>
      <c r="U168" s="5">
        <f>(Q22*($E22/365))+(Q23*($E23/365))</f>
        <v>0</v>
      </c>
      <c r="W168" s="10">
        <f t="shared" si="44"/>
        <v>53.3</v>
      </c>
      <c r="X168" s="4"/>
      <c r="Y168" s="22"/>
    </row>
    <row r="169" spans="1:25" x14ac:dyDescent="0.15">
      <c r="A169" s="1">
        <v>1967</v>
      </c>
      <c r="B169" s="5">
        <f>(K24*($E24/365))+(K25*($E25/365))</f>
        <v>57.766708177667077</v>
      </c>
      <c r="C169" s="5">
        <f>(L24*($E24/365))+(L25*($E25/365))</f>
        <v>20.024906600249064</v>
      </c>
      <c r="D169" s="5">
        <f>(M24*($E24/365))+(M25*($E25/365))</f>
        <v>0</v>
      </c>
      <c r="E169" s="17">
        <f t="shared" si="45"/>
        <v>77.791614777916138</v>
      </c>
      <c r="G169" s="13">
        <v>1967</v>
      </c>
      <c r="H169" s="362">
        <f>(O24/$R24*100*($E24/365))+(O25/$R25*100*($E25/365))</f>
        <v>85.14803016994405</v>
      </c>
      <c r="I169" s="362"/>
      <c r="J169" s="362">
        <f>(P24/$R24*100*($E24/365))+(P25/$R25*100*($E25/365))</f>
        <v>14.851969830055952</v>
      </c>
      <c r="K169" s="362"/>
      <c r="L169" s="362">
        <f>(Q24/$R24*100*($E24/365))+(Q25/$R25*100*($E25/365))</f>
        <v>0</v>
      </c>
      <c r="M169" s="362"/>
      <c r="N169" s="363">
        <f t="shared" si="46"/>
        <v>100</v>
      </c>
      <c r="O169" s="363"/>
      <c r="P169" s="5"/>
      <c r="Q169" s="5"/>
      <c r="R169" s="13">
        <v>1967</v>
      </c>
      <c r="S169" s="5">
        <f>(O24*($E24/365))+(O25*($E25/365))</f>
        <v>42.965205479452059</v>
      </c>
      <c r="T169" s="5">
        <f>(P24*($E24/365))+(P25*($E25/365))</f>
        <v>7.3978082191780814</v>
      </c>
      <c r="U169" s="5">
        <f>(Q24*($E24/365))+(Q25*($E25/365))</f>
        <v>0</v>
      </c>
      <c r="W169" s="10">
        <f t="shared" si="44"/>
        <v>50.363013698630141</v>
      </c>
      <c r="X169" s="4"/>
      <c r="Y169" s="22"/>
    </row>
    <row r="170" spans="1:25" x14ac:dyDescent="0.15">
      <c r="A170" s="1">
        <v>1968</v>
      </c>
      <c r="B170" s="5">
        <f>(K26*($E26/366))+(K27*($E27/366))+(K28*($E28/366))</f>
        <v>64.635134781812951</v>
      </c>
      <c r="C170" s="5">
        <f>(L26*($E26/366))+(L27*($E27/366))+(L28*($E28/366))</f>
        <v>17.792245143409939</v>
      </c>
      <c r="D170" s="5">
        <f>(M26*($E26/366))+(M27*($E27/366))+(M28*($E28/366))</f>
        <v>0</v>
      </c>
      <c r="E170" s="17">
        <f t="shared" si="45"/>
        <v>82.427379925222894</v>
      </c>
      <c r="G170" s="13">
        <v>1968</v>
      </c>
      <c r="H170" s="362">
        <f>(O26/$R26*100*($E26/366))+(O27/$R27*100*($E27/366))+(O28/$R28*100*($E28/366))</f>
        <v>81.960050591868963</v>
      </c>
      <c r="I170" s="362"/>
      <c r="J170" s="362">
        <f>(P26/$R26*100*($E26/366))+(P27/$R27*100*($E27/366))+(P28/$R28*100*($E28/366))</f>
        <v>18.039949408131037</v>
      </c>
      <c r="K170" s="362"/>
      <c r="L170" s="362">
        <f>(Q26/$R26*100*($E26/366))+(Q27/$R27*100*($E27/366))+(Q28/$R28*100*($E28/366))</f>
        <v>0</v>
      </c>
      <c r="M170" s="362"/>
      <c r="N170" s="363">
        <f t="shared" si="46"/>
        <v>100</v>
      </c>
      <c r="O170" s="363"/>
      <c r="P170" s="5"/>
      <c r="Q170" s="5"/>
      <c r="R170" s="13">
        <v>1968</v>
      </c>
      <c r="S170" s="5">
        <f>(O26*($E26/366))+(O27*($E27/366))+(O28*($E28/366))</f>
        <v>49.769945355191261</v>
      </c>
      <c r="T170" s="5">
        <f>(P26*($E26/366))+(P27*($E27/366))+(P28*($E28/366))</f>
        <v>11.016120218579236</v>
      </c>
      <c r="U170" s="5">
        <f>(Q26*($E26/366))+(Q27*($E27/366))+(Q28*($E28/366))</f>
        <v>0</v>
      </c>
      <c r="W170" s="10">
        <f t="shared" si="44"/>
        <v>60.7860655737705</v>
      </c>
      <c r="X170" s="4"/>
      <c r="Y170" s="22"/>
    </row>
    <row r="171" spans="1:25" x14ac:dyDescent="0.15">
      <c r="A171" s="1">
        <v>1969</v>
      </c>
      <c r="B171" s="5">
        <f>(K29*($E29/365))+(K30*($E30/365))</f>
        <v>79.250180245133379</v>
      </c>
      <c r="C171" s="5">
        <f>(L29*($E29/365))+(L30*($E30/365))</f>
        <v>13.309300648882481</v>
      </c>
      <c r="D171" s="5">
        <f>(M29*($E29/365))+(M30*($E30/365))</f>
        <v>0</v>
      </c>
      <c r="E171" s="17">
        <f t="shared" si="45"/>
        <v>92.559480894015863</v>
      </c>
      <c r="G171" s="13">
        <v>1969</v>
      </c>
      <c r="H171" s="362">
        <f>(O29/$R29*100*($E29/365))+(O30/$R30*100*($E30/365))</f>
        <v>78.524481416531586</v>
      </c>
      <c r="I171" s="362"/>
      <c r="J171" s="362">
        <f>(P29/$R29*100*($E29/365))+(P30/$R30*100*($E30/365))</f>
        <v>21.475518583468428</v>
      </c>
      <c r="K171" s="362"/>
      <c r="L171" s="362">
        <f>(Q29/$R29*100*($E29/365))+(Q30/$R30*100*($E30/365))</f>
        <v>0</v>
      </c>
      <c r="M171" s="362"/>
      <c r="N171" s="363">
        <f t="shared" si="46"/>
        <v>100.00000000000001</v>
      </c>
      <c r="O171" s="363"/>
      <c r="P171" s="5"/>
      <c r="Q171" s="5"/>
      <c r="R171" s="13">
        <v>1969</v>
      </c>
      <c r="S171" s="5">
        <f>(O29*($E29/365))+(O30*($E30/365))</f>
        <v>60</v>
      </c>
      <c r="T171" s="5">
        <f>(P29*($E29/365))+(P30*($E30/365))</f>
        <v>16.508219178082193</v>
      </c>
      <c r="U171" s="5">
        <f>(Q29*($E29/365))+(Q30*($E30/365))</f>
        <v>0</v>
      </c>
      <c r="W171" s="10">
        <f t="shared" si="44"/>
        <v>76.508219178082186</v>
      </c>
      <c r="X171" s="4"/>
      <c r="Y171" s="22"/>
    </row>
    <row r="172" spans="1:25" x14ac:dyDescent="0.15">
      <c r="A172" s="1">
        <v>1970</v>
      </c>
      <c r="B172" s="5">
        <f>(K31*($E31/365))+(K32*($E32/365))</f>
        <v>84.210526315789465</v>
      </c>
      <c r="C172" s="5">
        <f>(L31*($E31/365))+(L32*($E32/365))</f>
        <v>15.789473684210526</v>
      </c>
      <c r="D172" s="5">
        <f>(M31*($E31/365))+(M32*($E32/365))</f>
        <v>0</v>
      </c>
      <c r="E172" s="17">
        <f t="shared" si="45"/>
        <v>99.999999999999986</v>
      </c>
      <c r="G172" s="13">
        <v>1970</v>
      </c>
      <c r="H172" s="362">
        <f>(O31/$R31*100*($E31/365))+(O32/$R32*100*($E32/365))</f>
        <v>75.853350189633389</v>
      </c>
      <c r="I172" s="362"/>
      <c r="J172" s="362">
        <f>(P31/$R31*100*($E31/365))+(P32/$R32*100*($E32/365))</f>
        <v>24.146649810366625</v>
      </c>
      <c r="K172" s="362"/>
      <c r="L172" s="362">
        <f>(Q31/$R31*100*($E31/365))+(Q32/$R32*100*($E32/365))</f>
        <v>0</v>
      </c>
      <c r="M172" s="362"/>
      <c r="N172" s="363">
        <f t="shared" si="46"/>
        <v>100.00000000000001</v>
      </c>
      <c r="O172" s="363"/>
      <c r="P172" s="5"/>
      <c r="Q172" s="5"/>
      <c r="R172" s="13">
        <v>1970</v>
      </c>
      <c r="S172" s="5">
        <f>(O31*($E31/365))+(O32*($E32/365))</f>
        <v>60</v>
      </c>
      <c r="T172" s="5">
        <f>(P31*($E31/365))+(P32*($E32/365))</f>
        <v>19.100000000000001</v>
      </c>
      <c r="U172" s="5">
        <f>(Q31*($E31/365))+(Q32*($E32/365))</f>
        <v>0</v>
      </c>
      <c r="W172" s="10">
        <f t="shared" si="44"/>
        <v>79.099999999999994</v>
      </c>
      <c r="X172" s="4"/>
      <c r="Y172" s="22"/>
    </row>
    <row r="173" spans="1:25" x14ac:dyDescent="0.15">
      <c r="A173" s="1">
        <v>1971</v>
      </c>
      <c r="B173" s="5">
        <f>(K33*($E33/365))+(K34*($E34/365))</f>
        <v>84.210526315789465</v>
      </c>
      <c r="C173" s="5">
        <f>(L33*($E33/365))+(L34*($E34/365))</f>
        <v>15.789473684210526</v>
      </c>
      <c r="D173" s="5">
        <f>(M33*($E33/365))+(M34*($E34/365))</f>
        <v>0</v>
      </c>
      <c r="E173" s="17">
        <f t="shared" si="45"/>
        <v>99.999999999999986</v>
      </c>
      <c r="G173" s="13">
        <v>1971</v>
      </c>
      <c r="H173" s="362">
        <f>(O33/$R33*100*($E33/365))+(O34/$R34*100*($E34/365))</f>
        <v>75.853350189633389</v>
      </c>
      <c r="I173" s="362"/>
      <c r="J173" s="362">
        <f>(P33/$R33*100*($E33/365))+(P34/$R34*100*($E34/365))</f>
        <v>24.146649810366625</v>
      </c>
      <c r="K173" s="362"/>
      <c r="L173" s="362">
        <f>(Q33/$R33*100*($E33/365))+(Q34/$R34*100*($E34/365))</f>
        <v>0</v>
      </c>
      <c r="M173" s="362"/>
      <c r="N173" s="363">
        <f t="shared" si="46"/>
        <v>100.00000000000001</v>
      </c>
      <c r="O173" s="363"/>
      <c r="P173" s="5"/>
      <c r="Q173" s="5"/>
      <c r="R173" s="13">
        <v>1971</v>
      </c>
      <c r="S173" s="5">
        <f>(O33*($E33/365))+(O34*($E34/365))</f>
        <v>60</v>
      </c>
      <c r="T173" s="5">
        <f>(P33*($E33/365))+(P34*($E34/365))</f>
        <v>19.100000000000001</v>
      </c>
      <c r="U173" s="5">
        <f>(Q33*($E33/365))+(Q34*($E34/365))</f>
        <v>0</v>
      </c>
      <c r="W173" s="10">
        <f t="shared" si="44"/>
        <v>79.099999999999994</v>
      </c>
      <c r="X173" s="4"/>
      <c r="Y173" s="22"/>
    </row>
    <row r="174" spans="1:25" x14ac:dyDescent="0.15">
      <c r="A174" s="1">
        <v>1972</v>
      </c>
      <c r="B174" s="5">
        <f>(K35*($E35/366))+(K36*($E36/366))</f>
        <v>84.594477998274371</v>
      </c>
      <c r="C174" s="5">
        <f>(L35*($E35/366))+(L36*($E36/366))</f>
        <v>15.405522001725625</v>
      </c>
      <c r="D174" s="5">
        <f>(M35*($E35/366))+(M36*($E36/366))</f>
        <v>0</v>
      </c>
      <c r="E174" s="17">
        <f t="shared" si="45"/>
        <v>100</v>
      </c>
      <c r="G174" s="13">
        <v>1972</v>
      </c>
      <c r="H174" s="362">
        <f>(O35/$R35*100*($E35/366))+(O36/$R36*100*($E36/366))</f>
        <v>75.853350189633389</v>
      </c>
      <c r="I174" s="362"/>
      <c r="J174" s="362">
        <f>(P35/$R35*100*($E35/366))+(P36/$R36*100*($E36/366))</f>
        <v>24.146649810366625</v>
      </c>
      <c r="K174" s="362"/>
      <c r="L174" s="362">
        <f>(Q35/$R35*100*($E35/366))+(Q36/$R36*100*($E36/366))</f>
        <v>0</v>
      </c>
      <c r="M174" s="362"/>
      <c r="N174" s="363">
        <f t="shared" si="46"/>
        <v>100.00000000000001</v>
      </c>
      <c r="O174" s="363"/>
      <c r="P174" s="5"/>
      <c r="Q174" s="5"/>
      <c r="R174" s="13">
        <v>1972</v>
      </c>
      <c r="S174" s="5">
        <f>(O35*($E35/366))+(O36*($E36/366))</f>
        <v>60</v>
      </c>
      <c r="T174" s="5">
        <f>(P35*($E35/366))+(P36*($E36/366))</f>
        <v>19.100000000000001</v>
      </c>
      <c r="U174" s="5">
        <f>(Q35*($E35/366))+(Q36*($E36/366))</f>
        <v>0</v>
      </c>
      <c r="W174" s="10">
        <f t="shared" si="44"/>
        <v>79.099999999999994</v>
      </c>
      <c r="X174" s="4"/>
      <c r="Y174" s="22"/>
    </row>
    <row r="175" spans="1:25" x14ac:dyDescent="0.15">
      <c r="A175" s="1">
        <v>1973</v>
      </c>
      <c r="B175" s="5">
        <f>(K37*($E37/365))+(K38*($E38/365))</f>
        <v>86.012453300124534</v>
      </c>
      <c r="C175" s="5">
        <f>(L37*($E37/365))+(L38*($E38/365))</f>
        <v>3.8630136986301369</v>
      </c>
      <c r="D175" s="5">
        <f>(M37*($E37/365))+(M38*($E38/365))</f>
        <v>0</v>
      </c>
      <c r="E175" s="17">
        <f t="shared" si="45"/>
        <v>89.875466998754675</v>
      </c>
      <c r="G175" s="13">
        <v>1973</v>
      </c>
      <c r="H175" s="362">
        <f>(O37/$R37*100*($E37/365))+(O38/$R38*100*($E38/365))</f>
        <v>77.9310182449276</v>
      </c>
      <c r="I175" s="362"/>
      <c r="J175" s="362">
        <f>(P37/$R37*100*($E37/365))+(P38/$R38*100*($E38/365))</f>
        <v>22.068981755072407</v>
      </c>
      <c r="K175" s="362"/>
      <c r="L175" s="362">
        <f>(Q37/$R37*100*($E37/365))+(Q38/$R38*100*($E38/365))</f>
        <v>0</v>
      </c>
      <c r="M175" s="362"/>
      <c r="N175" s="363">
        <f t="shared" si="46"/>
        <v>100</v>
      </c>
      <c r="O175" s="363"/>
      <c r="P175" s="5"/>
      <c r="Q175" s="5"/>
      <c r="R175" s="13">
        <v>1973</v>
      </c>
      <c r="S175" s="5">
        <f>(O37*($E37/365))+(O38*($E38/365))</f>
        <v>46.635616438356159</v>
      </c>
      <c r="T175" s="5">
        <f>(P37*($E37/365))+(P38*($E38/365))</f>
        <v>13.383013698630137</v>
      </c>
      <c r="U175" s="5">
        <f>(Q37*($E37/365))+(Q38*($E38/365))</f>
        <v>0</v>
      </c>
      <c r="W175" s="10">
        <f t="shared" si="44"/>
        <v>60.018630136986296</v>
      </c>
      <c r="X175" s="4"/>
      <c r="Y175" s="22"/>
    </row>
    <row r="176" spans="1:25" x14ac:dyDescent="0.15">
      <c r="A176" s="1">
        <v>1974</v>
      </c>
      <c r="B176" s="5">
        <f>(K39*($E39/365))+(K40*($E40/365))+(K41*($E41/365))</f>
        <v>76.117683686176832</v>
      </c>
      <c r="C176" s="5">
        <f>(L39*($E39/365))+(L40*($E40/365))+(L41*($E41/365))</f>
        <v>3.7328767123287672</v>
      </c>
      <c r="D176" s="5">
        <f>(M39*($E39/365))+(M40*($E40/365))+(M41*($E41/365))</f>
        <v>3.7328767123287672</v>
      </c>
      <c r="E176" s="17">
        <f t="shared" si="45"/>
        <v>83.583437110834353</v>
      </c>
      <c r="G176" s="13">
        <v>1974</v>
      </c>
      <c r="H176" s="362">
        <f>(O39/$R39*100*($E39/365))+(O40/$R40*100*($E40/365))+(O41/$R41*100*($E41/365))</f>
        <v>76.711941901648288</v>
      </c>
      <c r="I176" s="362"/>
      <c r="J176" s="362">
        <f>(P39/$R39*100*($E39/365))+(P40/$R40*100*($E40/365))+(P41/$R41*100*($E41/365))</f>
        <v>20.821812801875968</v>
      </c>
      <c r="K176" s="362"/>
      <c r="L176" s="362">
        <f>(Q39/$R39*100*($E39/365))+(Q40/$R40*100*($E40/365))+(Q41/$R41*100*($E41/365))</f>
        <v>2.4662452964757389</v>
      </c>
      <c r="M176" s="362"/>
      <c r="N176" s="363">
        <f t="shared" si="46"/>
        <v>99.999999999999986</v>
      </c>
      <c r="O176" s="363"/>
      <c r="P176" s="5"/>
      <c r="Q176" s="5"/>
      <c r="R176" s="13">
        <v>1974</v>
      </c>
      <c r="S176" s="5">
        <f>(O39*($E39/365))+(O40*($E40/365))+(O41*($E41/365))</f>
        <v>42</v>
      </c>
      <c r="T176" s="5">
        <f>(P39*($E39/365))+(P40*($E40/365))+(P41*($E41/365))</f>
        <v>11.4</v>
      </c>
      <c r="U176" s="5">
        <f>(Q39*($E39/365))+(Q40*($E40/365))+(Q41*($E41/365))</f>
        <v>1.3736986301369862</v>
      </c>
      <c r="W176" s="10">
        <f t="shared" si="44"/>
        <v>54.773698630136984</v>
      </c>
      <c r="X176" s="4"/>
      <c r="Y176" s="22"/>
    </row>
    <row r="177" spans="1:25" x14ac:dyDescent="0.15">
      <c r="A177" s="1">
        <v>1975</v>
      </c>
      <c r="B177" s="5">
        <f>(K42*($E42/365))+(K43*($E43/365))</f>
        <v>68.75</v>
      </c>
      <c r="C177" s="5">
        <f>(L42*($E42/365))+(L43*($E43/365))</f>
        <v>6.25</v>
      </c>
      <c r="D177" s="5">
        <f>(M42*($E42/365))+(M43*($E43/365))</f>
        <v>6.25</v>
      </c>
      <c r="E177" s="17">
        <f t="shared" si="45"/>
        <v>81.25</v>
      </c>
      <c r="G177" s="13">
        <v>1975</v>
      </c>
      <c r="H177" s="362">
        <f>(O42/$R42*100*($E42/365))+(O43/$R43*100*($E43/365))</f>
        <v>75.403949730700177</v>
      </c>
      <c r="I177" s="362"/>
      <c r="J177" s="362">
        <f>(P42/$R42*100*($E42/365))+(P43/$R43*100*($E43/365))</f>
        <v>20.466786355475765</v>
      </c>
      <c r="K177" s="362"/>
      <c r="L177" s="362">
        <f>(Q42/$R42*100*($E42/365))+(Q43/$R43*100*($E43/365))</f>
        <v>4.1292639138240581</v>
      </c>
      <c r="M177" s="362"/>
      <c r="N177" s="363">
        <f t="shared" si="46"/>
        <v>100</v>
      </c>
      <c r="O177" s="363"/>
      <c r="P177" s="5"/>
      <c r="Q177" s="5"/>
      <c r="R177" s="13">
        <v>1975</v>
      </c>
      <c r="S177" s="5">
        <f>(O42*($E42/365))+(O43*($E43/365))</f>
        <v>42</v>
      </c>
      <c r="T177" s="5">
        <f>(P42*($E42/365))+(P43*($E43/365))</f>
        <v>11.4</v>
      </c>
      <c r="U177" s="5">
        <f>(Q42*($E42/365))+(Q43*($E43/365))</f>
        <v>2.2999999999999998</v>
      </c>
      <c r="W177" s="10">
        <f t="shared" si="44"/>
        <v>55.699999999999996</v>
      </c>
      <c r="X177" s="4"/>
      <c r="Y177" s="22"/>
    </row>
    <row r="178" spans="1:25" x14ac:dyDescent="0.15">
      <c r="A178" s="1">
        <v>1976</v>
      </c>
      <c r="B178" s="5">
        <f>(K44*($E44/366))+(K45*($E45/366))</f>
        <v>61.731557377049185</v>
      </c>
      <c r="C178" s="5">
        <f>(L44*($E44/366))+(L45*($E45/366))</f>
        <v>5.9900576806314518</v>
      </c>
      <c r="D178" s="5">
        <f>(M44*($E44/366))+(M45*($E45/366))</f>
        <v>10.149134790528233</v>
      </c>
      <c r="E178" s="17">
        <f t="shared" si="45"/>
        <v>77.870749848208874</v>
      </c>
      <c r="G178" s="13">
        <v>1976</v>
      </c>
      <c r="H178" s="362">
        <f>(O44/$R44*100*($E44/366))+(O45/$R45*100*($E45/366))</f>
        <v>75.403949730700191</v>
      </c>
      <c r="I178" s="362"/>
      <c r="J178" s="362">
        <f>(P44/$R44*100*($E44/366))+(P45/$R45*100*($E45/366))</f>
        <v>20.466786355475765</v>
      </c>
      <c r="K178" s="362"/>
      <c r="L178" s="362">
        <f>(Q44/$R44*100*($E44/366))+(Q45/$R45*100*($E45/366))</f>
        <v>4.1292639138240581</v>
      </c>
      <c r="M178" s="362"/>
      <c r="N178" s="363">
        <f t="shared" si="46"/>
        <v>100.00000000000001</v>
      </c>
      <c r="O178" s="363"/>
      <c r="P178" s="5"/>
      <c r="Q178" s="5"/>
      <c r="R178" s="13">
        <v>1976</v>
      </c>
      <c r="S178" s="5">
        <f>(O44*($E44/366))+(O45*($E45/366))</f>
        <v>42</v>
      </c>
      <c r="T178" s="5">
        <f>(P44*($E44/366))+(P45*($E45/366))</f>
        <v>11.4</v>
      </c>
      <c r="U178" s="5">
        <f>(Q44*($E44/366))+(Q45*($E45/366))</f>
        <v>2.2999999999999998</v>
      </c>
      <c r="W178" s="10">
        <f t="shared" si="44"/>
        <v>55.699999999999996</v>
      </c>
      <c r="X178" s="4"/>
      <c r="Y178" s="22"/>
    </row>
    <row r="179" spans="1:25" s="9" customFormat="1" x14ac:dyDescent="0.15">
      <c r="A179" s="1">
        <v>1977</v>
      </c>
      <c r="B179" s="5">
        <f>(K46*($E46/365))+(K47*($E47/365))</f>
        <v>42.410958904109592</v>
      </c>
      <c r="C179" s="5">
        <f>(L46*($E46/365))+(L47*($E47/365))</f>
        <v>11.458143074581432</v>
      </c>
      <c r="D179" s="5">
        <f>(M46*($E46/365))+(M47*($E47/365))</f>
        <v>14.136986301369863</v>
      </c>
      <c r="E179" s="17">
        <f t="shared" si="45"/>
        <v>68.006088280060879</v>
      </c>
      <c r="G179" s="13">
        <v>1977</v>
      </c>
      <c r="H179" s="362">
        <f>(O46/$R46*100*($E46/365))+(O47/$R47*100*($E47/365))</f>
        <v>75.403949730700177</v>
      </c>
      <c r="I179" s="362"/>
      <c r="J179" s="362">
        <f>(P46/$R46*100*($E46/365))+(P47/$R47*100*($E47/365))</f>
        <v>20.466786355475765</v>
      </c>
      <c r="K179" s="362"/>
      <c r="L179" s="362">
        <f>(Q46/$R46*100*($E46/365))+(Q47/$R47*100*($E47/365))</f>
        <v>4.1292639138240581</v>
      </c>
      <c r="M179" s="362"/>
      <c r="N179" s="363">
        <f t="shared" si="46"/>
        <v>100</v>
      </c>
      <c r="O179" s="363"/>
      <c r="P179" s="5"/>
      <c r="Q179" s="5"/>
      <c r="R179" s="13">
        <v>1977</v>
      </c>
      <c r="S179" s="5">
        <f>(O46*($E46/365))+(O47*($E47/365))</f>
        <v>42</v>
      </c>
      <c r="T179" s="5">
        <f>(P46*($E46/365))+(P47*($E47/365))</f>
        <v>11.4</v>
      </c>
      <c r="U179" s="5">
        <f>(Q46*($E46/365))+(Q47*($E47/365))</f>
        <v>2.2999999999999998</v>
      </c>
      <c r="W179" s="10">
        <f t="shared" si="44"/>
        <v>55.699999999999996</v>
      </c>
      <c r="X179" s="4"/>
      <c r="Y179" s="22"/>
    </row>
    <row r="180" spans="1:25" x14ac:dyDescent="0.15">
      <c r="A180" s="1">
        <v>1978</v>
      </c>
      <c r="B180" s="5">
        <f>(K48*($E48/365))+(K49*($E49/365))</f>
        <v>32.547945205479451</v>
      </c>
      <c r="C180" s="5">
        <f>(L48*($E48/365))+(L49*($E49/365))</f>
        <v>36.93150684931507</v>
      </c>
      <c r="D180" s="5">
        <f>(M48*($E48/365))+(M49*($E49/365))</f>
        <v>3.397260273972603</v>
      </c>
      <c r="E180" s="17">
        <f t="shared" si="45"/>
        <v>72.876712328767127</v>
      </c>
      <c r="G180" s="13">
        <v>1978</v>
      </c>
      <c r="H180" s="362">
        <f>(O48/$R48*100*($E48/365))+(O49/$R49*100*($E49/365))</f>
        <v>58.992165147100749</v>
      </c>
      <c r="I180" s="362"/>
      <c r="J180" s="362">
        <f>(P48/$R48*100*($E48/365))+(P49/$R49*100*($E49/365))</f>
        <v>39.955721033760526</v>
      </c>
      <c r="K180" s="362"/>
      <c r="L180" s="362">
        <f>(Q48/$R48*100*($E48/365))+(Q49/$R49*100*($E49/365))</f>
        <v>1.0521138191387327</v>
      </c>
      <c r="M180" s="362"/>
      <c r="N180" s="363">
        <f t="shared" si="46"/>
        <v>100.00000000000001</v>
      </c>
      <c r="O180" s="363"/>
      <c r="P180" s="5"/>
      <c r="Q180" s="5"/>
      <c r="R180" s="13">
        <v>1978</v>
      </c>
      <c r="S180" s="5">
        <f>(O48*($E48/365))+(O49*($E49/365))</f>
        <v>33.057534246575344</v>
      </c>
      <c r="T180" s="5">
        <f>(P48*($E48/365))+(P49*($E49/365))</f>
        <v>22.429041095890412</v>
      </c>
      <c r="U180" s="5">
        <f>(Q48*($E48/365))+(Q49*($E49/365))</f>
        <v>0.58602739726027397</v>
      </c>
      <c r="W180" s="10">
        <f t="shared" si="44"/>
        <v>56.07260273972603</v>
      </c>
      <c r="X180" s="4"/>
      <c r="Y180" s="22"/>
    </row>
    <row r="181" spans="1:25" x14ac:dyDescent="0.15">
      <c r="A181" s="1">
        <v>1979</v>
      </c>
      <c r="B181" s="5">
        <f>(K50*($E50/365))+(K51*($E51/365))</f>
        <v>30</v>
      </c>
      <c r="C181" s="5">
        <f>(L50*($E50/365))+(L51*($E51/365))</f>
        <v>45</v>
      </c>
      <c r="D181" s="5">
        <f>(M50*($E50/365))+(M51*($E51/365))</f>
        <v>0</v>
      </c>
      <c r="E181" s="17">
        <f t="shared" si="45"/>
        <v>75</v>
      </c>
      <c r="G181" s="13">
        <v>1979</v>
      </c>
      <c r="H181" s="362">
        <f>(O50/$R50*100*($E50/365))+(O51/$R51*100*($E51/365))</f>
        <v>53.380782918149464</v>
      </c>
      <c r="I181" s="362"/>
      <c r="J181" s="362">
        <f>(P50/$R50*100*($E50/365))+(P51/$R51*100*($E51/365))</f>
        <v>46.619217081850529</v>
      </c>
      <c r="K181" s="362"/>
      <c r="L181" s="362">
        <f>(Q50/$R50*100*($E50/365))+(Q51/$R51*100*($E51/365))</f>
        <v>0</v>
      </c>
      <c r="M181" s="362"/>
      <c r="N181" s="363">
        <f t="shared" si="46"/>
        <v>100</v>
      </c>
      <c r="O181" s="363"/>
      <c r="P181" s="5"/>
      <c r="Q181" s="5"/>
      <c r="R181" s="13">
        <v>1979</v>
      </c>
      <c r="S181" s="5">
        <f>(O50*($E50/365))+(O51*($E51/365))</f>
        <v>30</v>
      </c>
      <c r="T181" s="5">
        <f>(P50*($E50/365))+(P51*($E51/365))</f>
        <v>26.2</v>
      </c>
      <c r="U181" s="5">
        <f>(Q50*($E50/365))+(Q51*($E51/365))</f>
        <v>0</v>
      </c>
      <c r="W181" s="10">
        <f t="shared" si="44"/>
        <v>56.2</v>
      </c>
      <c r="X181" s="4"/>
    </row>
    <row r="182" spans="1:25" x14ac:dyDescent="0.15">
      <c r="A182" s="1">
        <v>1980</v>
      </c>
      <c r="B182" s="5">
        <f>(K52*($E52/366))+(K53*($E53/366))</f>
        <v>30</v>
      </c>
      <c r="C182" s="5">
        <f>(L52*($E52/366))+(L53*($E53/366))</f>
        <v>45</v>
      </c>
      <c r="D182" s="5">
        <f>(M52*($E52/366))+(M53*($E53/366))</f>
        <v>0</v>
      </c>
      <c r="E182" s="17">
        <f t="shared" si="45"/>
        <v>75</v>
      </c>
      <c r="G182" s="13">
        <v>1980</v>
      </c>
      <c r="H182" s="362">
        <f>(O52/$R52*100*($E52/366))+(O53/$R53*100*($E53/366))</f>
        <v>53.380782918149464</v>
      </c>
      <c r="I182" s="362"/>
      <c r="J182" s="362">
        <f>(P52/$R52*100*($E52/366))+(P53/$R53*100*($E53/366))</f>
        <v>46.619217081850529</v>
      </c>
      <c r="K182" s="362"/>
      <c r="L182" s="362">
        <f>(Q52/$R52*100*($E52/366))+(Q53/$R53*100*($E53/366))</f>
        <v>0</v>
      </c>
      <c r="M182" s="362"/>
      <c r="N182" s="363">
        <f t="shared" si="46"/>
        <v>100</v>
      </c>
      <c r="O182" s="363"/>
      <c r="P182" s="5"/>
      <c r="Q182" s="5"/>
      <c r="R182" s="13">
        <v>1980</v>
      </c>
      <c r="S182" s="5">
        <f>(O52*($E52/366))+(O53*($E53/366))</f>
        <v>30</v>
      </c>
      <c r="T182" s="5">
        <f>(P52*($E52/366))+(P53*($E53/366))</f>
        <v>26.2</v>
      </c>
      <c r="U182" s="5">
        <f>(Q52*($E52/366))+(Q53*($E53/366))</f>
        <v>0</v>
      </c>
      <c r="W182" s="10">
        <f t="shared" si="44"/>
        <v>56.2</v>
      </c>
      <c r="X182" s="4"/>
    </row>
    <row r="183" spans="1:25" x14ac:dyDescent="0.15">
      <c r="A183" s="1">
        <v>1981</v>
      </c>
      <c r="B183" s="5">
        <f>(K54*($E54/365))+(K55*($E55/365))+(K56*($E56/365))</f>
        <v>11.589041095890412</v>
      </c>
      <c r="C183" s="5">
        <f>(L54*($E54/365))+(L55*($E55/365))+(L56*($E56/365))</f>
        <v>17.383561643835616</v>
      </c>
      <c r="D183" s="5">
        <f>(M54*($E54/365))+(M55*($E55/365))+(M56*($E56/365))</f>
        <v>61.369863013698627</v>
      </c>
      <c r="E183" s="17">
        <f t="shared" si="45"/>
        <v>90.342465753424648</v>
      </c>
      <c r="G183" s="13">
        <v>1981</v>
      </c>
      <c r="H183" s="362">
        <f>(O54/$R54*100*($E54/365))+(O55/$R55*100*($E55/365))+(O56/$R56*100*($E56/365))</f>
        <v>20.621069565641299</v>
      </c>
      <c r="I183" s="362"/>
      <c r="J183" s="362">
        <f>(P54/$R54*100*($E54/365))+(P55/$R55*100*($E55/365))+(P56/$R56*100*($E56/365))</f>
        <v>18.009067420660067</v>
      </c>
      <c r="K183" s="362"/>
      <c r="L183" s="362">
        <f>(Q54/$R54*100*($E54/365))+(Q55/$R55*100*($E55/365))+(Q56/$R56*100*($E56/365))</f>
        <v>61.369863013698627</v>
      </c>
      <c r="M183" s="362"/>
      <c r="N183" s="363">
        <f t="shared" si="46"/>
        <v>100</v>
      </c>
      <c r="O183" s="363"/>
      <c r="P183" s="5"/>
      <c r="Q183" s="5"/>
      <c r="R183" s="13">
        <v>1981</v>
      </c>
      <c r="S183" s="5">
        <f>(O54*($E54/365))+(O55*($E55/365))+(O56*($E56/365))</f>
        <v>11.589041095890412</v>
      </c>
      <c r="T183" s="5">
        <f>(P54*($E54/365))+(P55*($E55/365))+(P56*($E56/365))</f>
        <v>10.12109589041096</v>
      </c>
      <c r="U183" s="5">
        <f>(Q54*($E54/365))+(Q55*($E55/365))+(Q56*($E56/365))</f>
        <v>36.444931506849308</v>
      </c>
      <c r="W183" s="10">
        <f t="shared" si="44"/>
        <v>58.155068493150679</v>
      </c>
      <c r="X183" s="4"/>
    </row>
    <row r="184" spans="1:25" x14ac:dyDescent="0.15">
      <c r="A184" s="1">
        <v>1982</v>
      </c>
      <c r="B184" s="5">
        <f>(K57*($E57/365))+(K58*($E58/365))</f>
        <v>0</v>
      </c>
      <c r="C184" s="5">
        <f>(L57*($E57/365))+(L58*($E58/365))</f>
        <v>0</v>
      </c>
      <c r="D184" s="5">
        <f>(M57*($E57/365))+(M58*($E58/365))</f>
        <v>100</v>
      </c>
      <c r="E184" s="17">
        <f t="shared" si="45"/>
        <v>100</v>
      </c>
      <c r="G184" s="13">
        <v>1982</v>
      </c>
      <c r="H184" s="362">
        <f>(O57/$R57*100*($E57/365))+(O58/$R58*100*($E58/365))</f>
        <v>0</v>
      </c>
      <c r="I184" s="362"/>
      <c r="J184" s="362">
        <f>(P57/$R57*100*($E57/365))+(P58/$R58*100*($E58/365))</f>
        <v>0</v>
      </c>
      <c r="K184" s="362"/>
      <c r="L184" s="362">
        <f>(Q57/$R57*100*($E57/365))+(Q58/$R58*100*($E58/365))</f>
        <v>100</v>
      </c>
      <c r="M184" s="362"/>
      <c r="N184" s="363">
        <f t="shared" si="46"/>
        <v>100</v>
      </c>
      <c r="O184" s="363"/>
      <c r="P184" s="5"/>
      <c r="Q184" s="5"/>
      <c r="R184" s="13">
        <v>1982</v>
      </c>
      <c r="S184" s="5">
        <f>(O57*($E57/365))+(O58*($E58/365))</f>
        <v>0</v>
      </c>
      <c r="T184" s="5">
        <f>(P57*($E57/365))+(P58*($E58/365))</f>
        <v>0</v>
      </c>
      <c r="U184" s="5">
        <f>(Q57*($E57/365))+(Q58*($E58/365))</f>
        <v>65.7</v>
      </c>
      <c r="W184" s="10">
        <f t="shared" si="44"/>
        <v>65.7</v>
      </c>
      <c r="X184" s="4"/>
    </row>
    <row r="185" spans="1:25" x14ac:dyDescent="0.15">
      <c r="A185" s="1">
        <v>1983</v>
      </c>
      <c r="B185" s="5">
        <f>(K59*($E59/365))+(K60*($E60/365))</f>
        <v>0</v>
      </c>
      <c r="C185" s="5">
        <f>(L59*($E59/365))+(L60*($E60/365))</f>
        <v>0</v>
      </c>
      <c r="D185" s="5">
        <f>(M59*($E59/365))+(M60*($E60/365))</f>
        <v>100</v>
      </c>
      <c r="E185" s="17">
        <f t="shared" si="45"/>
        <v>100</v>
      </c>
      <c r="G185" s="13">
        <v>1983</v>
      </c>
      <c r="H185" s="362">
        <f>(O59/$R59*100*($E59/365))+(O60/$R60*100*($E60/365))</f>
        <v>0</v>
      </c>
      <c r="I185" s="362"/>
      <c r="J185" s="362">
        <f>(P59/$R59*100*($E59/365))+(P60/$R60*100*($E60/365))</f>
        <v>0</v>
      </c>
      <c r="K185" s="362"/>
      <c r="L185" s="362">
        <f>(Q59/$R59*100*($E59/365))+(Q60/$R60*100*($E60/365))</f>
        <v>100</v>
      </c>
      <c r="M185" s="362"/>
      <c r="N185" s="363">
        <f t="shared" si="46"/>
        <v>100</v>
      </c>
      <c r="O185" s="363"/>
      <c r="P185" s="5"/>
      <c r="Q185" s="5"/>
      <c r="R185" s="13">
        <v>1983</v>
      </c>
      <c r="S185" s="5">
        <f>(O59*($E59/365))+(O60*($E60/365))</f>
        <v>0</v>
      </c>
      <c r="T185" s="5">
        <f>(P59*($E59/365))+(P60*($E60/365))</f>
        <v>0</v>
      </c>
      <c r="U185" s="5">
        <f>(Q59*($E59/365))+(Q60*($E60/365))</f>
        <v>65.7</v>
      </c>
      <c r="W185" s="10">
        <f t="shared" si="44"/>
        <v>65.7</v>
      </c>
      <c r="X185" s="4"/>
    </row>
    <row r="186" spans="1:25" x14ac:dyDescent="0.15">
      <c r="A186" s="1">
        <v>1984</v>
      </c>
      <c r="B186" s="5">
        <f>(K61*($E61/366))+(K62*($E62/366))</f>
        <v>0</v>
      </c>
      <c r="C186" s="5">
        <f>(L61*($E61/366))+(L62*($E62/366))</f>
        <v>0</v>
      </c>
      <c r="D186" s="5">
        <f>(M61*($E61/366))+(M62*($E62/366))</f>
        <v>100</v>
      </c>
      <c r="E186" s="17">
        <f t="shared" si="45"/>
        <v>100</v>
      </c>
      <c r="G186" s="13">
        <v>1984</v>
      </c>
      <c r="H186" s="362">
        <f>(O61/$R61*100*($E61/366))+(O62/$R62*100*($E62/366))</f>
        <v>0</v>
      </c>
      <c r="I186" s="362"/>
      <c r="J186" s="362">
        <f>(P61/$R61*100*($E61/366))+(P62/$R62*100*($E62/366))</f>
        <v>0</v>
      </c>
      <c r="K186" s="362"/>
      <c r="L186" s="362">
        <f>(Q61/$R61*100*($E61/366))+(Q62/$R62*100*($E62/366))</f>
        <v>100</v>
      </c>
      <c r="M186" s="362"/>
      <c r="N186" s="363">
        <f t="shared" si="46"/>
        <v>100</v>
      </c>
      <c r="O186" s="363"/>
      <c r="P186" s="5"/>
      <c r="Q186" s="5"/>
      <c r="R186" s="13">
        <v>1984</v>
      </c>
      <c r="S186" s="5">
        <f>(O61*($E61/366))+(O62*($E62/366))</f>
        <v>0</v>
      </c>
      <c r="T186" s="5">
        <f>(P61*($E61/366))+(P62*($E62/366))</f>
        <v>0</v>
      </c>
      <c r="U186" s="5">
        <f>(Q61*($E61/366))+(Q62*($E62/366))</f>
        <v>61.627868852459017</v>
      </c>
      <c r="W186" s="10">
        <f t="shared" si="44"/>
        <v>61.627868852459017</v>
      </c>
      <c r="X186" s="4"/>
    </row>
    <row r="187" spans="1:25" x14ac:dyDescent="0.15">
      <c r="A187" s="1">
        <v>1985</v>
      </c>
      <c r="B187" s="5">
        <f>(K63*($E63/365))+(K64*($E64/365))</f>
        <v>0</v>
      </c>
      <c r="C187" s="5">
        <f>(L63*($E63/365))+(L64*($E64/365))</f>
        <v>0</v>
      </c>
      <c r="D187" s="5">
        <f>(M63*($E63/365))+(M64*($E64/365))</f>
        <v>100</v>
      </c>
      <c r="E187" s="17">
        <f t="shared" si="45"/>
        <v>100</v>
      </c>
      <c r="G187" s="13">
        <v>1985</v>
      </c>
      <c r="H187" s="362">
        <f>(O63/$R63*100*($E63/365))+(O64/$R64*100*($E64/365))</f>
        <v>0</v>
      </c>
      <c r="I187" s="362"/>
      <c r="J187" s="362">
        <f>(P63/$R63*100*($E63/365))+(P64/$R64*100*($E64/365))</f>
        <v>0</v>
      </c>
      <c r="K187" s="362"/>
      <c r="L187" s="362">
        <f>(Q63/$R63*100*($E63/365))+(Q64/$R64*100*($E64/365))</f>
        <v>100</v>
      </c>
      <c r="M187" s="362"/>
      <c r="N187" s="363">
        <f t="shared" si="46"/>
        <v>100</v>
      </c>
      <c r="O187" s="363"/>
      <c r="P187" s="5"/>
      <c r="Q187" s="5"/>
      <c r="R187" s="13">
        <v>1985</v>
      </c>
      <c r="S187" s="5">
        <f>(O63*($E63/365))+(O64*($E64/365))</f>
        <v>0</v>
      </c>
      <c r="T187" s="5">
        <f>(P63*($E63/365))+(P64*($E64/365))</f>
        <v>0</v>
      </c>
      <c r="U187" s="5">
        <f>(Q63*($E63/365))+(Q64*($E64/365))</f>
        <v>56.5</v>
      </c>
      <c r="W187" s="10">
        <f t="shared" si="44"/>
        <v>56.5</v>
      </c>
      <c r="X187" s="4"/>
    </row>
    <row r="188" spans="1:25" x14ac:dyDescent="0.15">
      <c r="A188" s="1">
        <v>1986</v>
      </c>
      <c r="B188" s="5">
        <f>(K65*($E65/365))+(K66*($E66/365))</f>
        <v>44.032876712328772</v>
      </c>
      <c r="C188" s="5">
        <f>(L65*($E65/365))+(L66*($E66/365))</f>
        <v>25.161643835616438</v>
      </c>
      <c r="D188" s="5">
        <f>(M65*($E65/365))+(M66*($E66/365))</f>
        <v>21.36986301369863</v>
      </c>
      <c r="E188" s="17">
        <f t="shared" si="45"/>
        <v>90.564383561643851</v>
      </c>
      <c r="G188" s="13">
        <v>1986</v>
      </c>
      <c r="H188" s="362">
        <f>(O65/$R65*100*($E65/365))+(O66/$R66*100*($E66/365))</f>
        <v>41.946705937925479</v>
      </c>
      <c r="I188" s="362"/>
      <c r="J188" s="362">
        <f>(P65/$R65*100*($E65/365))+(P66/$R66*100*($E66/365))</f>
        <v>36.683431048375894</v>
      </c>
      <c r="K188" s="362"/>
      <c r="L188" s="362">
        <f>(Q65/$R65*100*($E65/365))+(Q66/$R66*100*($E66/365))</f>
        <v>21.36986301369863</v>
      </c>
      <c r="M188" s="362"/>
      <c r="N188" s="363">
        <f t="shared" si="46"/>
        <v>100.00000000000001</v>
      </c>
      <c r="O188" s="363"/>
      <c r="P188" s="5"/>
      <c r="Q188" s="5"/>
      <c r="R188" s="13">
        <v>1986</v>
      </c>
      <c r="S188" s="5">
        <f>(O65*($E65/365))+(O66*($E66/365))</f>
        <v>20.679726027397262</v>
      </c>
      <c r="T188" s="5">
        <f>(P65*($E65/365))+(P66*($E66/365))</f>
        <v>18.084931506849315</v>
      </c>
      <c r="U188" s="5">
        <f>(Q65*($E65/365))+(Q66*($E66/365))</f>
        <v>12.073972602739726</v>
      </c>
      <c r="W188" s="10">
        <f t="shared" si="44"/>
        <v>50.838630136986311</v>
      </c>
      <c r="X188" s="4"/>
    </row>
    <row r="189" spans="1:25" x14ac:dyDescent="0.15">
      <c r="A189" s="1">
        <v>1987</v>
      </c>
      <c r="B189" s="5">
        <f>(K67*($E67/365))+(K68*($E68/365))</f>
        <v>56.000000000000007</v>
      </c>
      <c r="C189" s="5">
        <f>(L67*($E67/365))+(L68*($E68/365))</f>
        <v>32</v>
      </c>
      <c r="D189" s="5">
        <f>(M67*($E67/365))+(M68*($E68/365))</f>
        <v>0</v>
      </c>
      <c r="E189" s="17">
        <f t="shared" si="45"/>
        <v>88</v>
      </c>
      <c r="G189" s="13">
        <v>1987</v>
      </c>
      <c r="H189" s="362">
        <f>(O67/$R67*100*($E67/365))+(O68/$R68*100*($E68/365))</f>
        <v>53.346855983772826</v>
      </c>
      <c r="I189" s="362"/>
      <c r="J189" s="362">
        <f>(P67/$R67*100*($E67/365))+(P68/$R68*100*($E68/365))</f>
        <v>46.653144016227181</v>
      </c>
      <c r="K189" s="362"/>
      <c r="L189" s="362">
        <f>(Q67/$R67*100*($E67/365))+(Q68/$R68*100*($E68/365))</f>
        <v>0</v>
      </c>
      <c r="M189" s="362"/>
      <c r="N189" s="363">
        <f t="shared" si="46"/>
        <v>100</v>
      </c>
      <c r="O189" s="363"/>
      <c r="P189" s="5"/>
      <c r="Q189" s="5"/>
      <c r="R189" s="13">
        <v>1987</v>
      </c>
      <c r="S189" s="5">
        <f>(O67*($E67/365))+(O68*($E68/365))</f>
        <v>26.3</v>
      </c>
      <c r="T189" s="5">
        <f>(P67*($E67/365))+(P68*($E68/365))</f>
        <v>23</v>
      </c>
      <c r="U189" s="5">
        <f>(Q67*($E67/365))+(Q68*($E68/365))</f>
        <v>0</v>
      </c>
      <c r="W189" s="10">
        <f t="shared" si="44"/>
        <v>49.3</v>
      </c>
      <c r="X189" s="4"/>
    </row>
    <row r="190" spans="1:25" x14ac:dyDescent="0.15">
      <c r="A190" s="1">
        <v>1988</v>
      </c>
      <c r="B190" s="5">
        <f>(K69*($E69/366))+(K70*($E70/366))+(K71*($E71/366))</f>
        <v>20.349726775956288</v>
      </c>
      <c r="C190" s="5">
        <f>(L69*($E69/366))+(L70*($E70/366))+(L71*($E71/366))</f>
        <v>12.951394880644234</v>
      </c>
      <c r="D190" s="5">
        <f>(M69*($E69/366))+(M70*($E70/366))+(M71*($E71/366))</f>
        <v>45.025884383088865</v>
      </c>
      <c r="E190" s="17">
        <f t="shared" si="45"/>
        <v>78.327006039689394</v>
      </c>
      <c r="G190" s="13">
        <v>1988</v>
      </c>
      <c r="H190" s="362">
        <f>(O69/$R69*100*($E69/366))+(O70/$R70*100*($E70/366))+(O71/$R71*100*($E71/366))</f>
        <v>19.385606136179742</v>
      </c>
      <c r="I190" s="362"/>
      <c r="J190" s="362">
        <f>(P69/$R69*100*($E69/366))+(P70/$R70*100*($E70/366))+(P71/$R71*100*($E71/366))</f>
        <v>21.886144549211632</v>
      </c>
      <c r="K190" s="362"/>
      <c r="L190" s="362">
        <f>(Q69/$R69*100*($E69/366))+(Q70/$R70*100*($E70/366))+(Q71/$R71*100*($E71/366))</f>
        <v>58.728249314608632</v>
      </c>
      <c r="M190" s="362"/>
      <c r="N190" s="363">
        <f t="shared" si="46"/>
        <v>100</v>
      </c>
      <c r="O190" s="363"/>
      <c r="P190" s="5"/>
      <c r="Q190" s="5"/>
      <c r="R190" s="13">
        <v>1988</v>
      </c>
      <c r="S190" s="5">
        <f>(O69*($E69/366))+(O70*($E70/366))+(O71*($E71/366))</f>
        <v>9.5571038251366129</v>
      </c>
      <c r="T190" s="5">
        <f>(P69*($E69/366))+(P70*($E70/366))+(P71*($E71/366))</f>
        <v>11.248633879781423</v>
      </c>
      <c r="U190" s="5">
        <f>(Q69*($E69/366))+(Q70*($E70/366))+(Q71*($E71/366))</f>
        <v>29.203278688524591</v>
      </c>
      <c r="W190" s="10">
        <f t="shared" si="44"/>
        <v>50.009016393442629</v>
      </c>
      <c r="X190" s="4"/>
    </row>
    <row r="191" spans="1:25" s="3" customFormat="1" x14ac:dyDescent="0.15">
      <c r="A191" s="3">
        <v>1989</v>
      </c>
      <c r="B191" s="8">
        <f>(K72*($E72/365))+(K73*($E73/365))</f>
        <v>0</v>
      </c>
      <c r="C191" s="8">
        <f>(L72*($E72/365))+(L73*($E73/365))</f>
        <v>0</v>
      </c>
      <c r="D191" s="8">
        <f>(M72*($E72/365))+(M73*($E73/365))</f>
        <v>70</v>
      </c>
      <c r="E191" s="18">
        <f t="shared" si="45"/>
        <v>70</v>
      </c>
      <c r="G191" s="14">
        <v>1989</v>
      </c>
      <c r="H191" s="364">
        <f>(O72/$R72*100*($E72/365))+(O73/$R73*100*($E73/365))</f>
        <v>0</v>
      </c>
      <c r="I191" s="364"/>
      <c r="J191" s="364">
        <f>(P72/$R72*100*($E72/365))+(P73/$R73*100*($E73/365))</f>
        <v>0</v>
      </c>
      <c r="K191" s="364"/>
      <c r="L191" s="364">
        <f>(Q72/$R72*100*($E72/365))+(Q73/$R73*100*($E73/365))</f>
        <v>100</v>
      </c>
      <c r="M191" s="364"/>
      <c r="N191" s="391">
        <f t="shared" si="46"/>
        <v>100</v>
      </c>
      <c r="O191" s="391"/>
      <c r="P191" s="8"/>
      <c r="Q191" s="8"/>
      <c r="R191" s="14">
        <v>1989</v>
      </c>
      <c r="S191" s="8">
        <f>(O72*($E72/365))+(O73*($E73/365))</f>
        <v>0</v>
      </c>
      <c r="T191" s="8">
        <f>(P72*($E72/365))+(P73*($E73/365))</f>
        <v>0</v>
      </c>
      <c r="U191" s="8">
        <f>(Q72*($E72/365))+(Q73*($E73/365))</f>
        <v>48.4</v>
      </c>
      <c r="W191" s="21">
        <f t="shared" si="44"/>
        <v>48.4</v>
      </c>
      <c r="X191" s="12"/>
    </row>
    <row r="192" spans="1:25" x14ac:dyDescent="0.15">
      <c r="A192" s="1">
        <v>1990</v>
      </c>
      <c r="B192" s="5">
        <f>(K74*($E74/365))+(K75*($E75/365))</f>
        <v>0</v>
      </c>
      <c r="C192" s="5">
        <f>(L74*($E74/365))+(L75*($E75/365))</f>
        <v>0</v>
      </c>
      <c r="D192" s="5">
        <f>(M74*($E74/365))+(M75*($E75/365))</f>
        <v>70</v>
      </c>
      <c r="E192" s="17">
        <f t="shared" si="45"/>
        <v>70</v>
      </c>
      <c r="G192" s="1">
        <v>1990</v>
      </c>
      <c r="H192" s="362">
        <f>(O74/$R74*100*($E74/365))+(O75/$R75*100*($E75/365))</f>
        <v>0</v>
      </c>
      <c r="I192" s="362"/>
      <c r="J192" s="362">
        <f>(P74/$R74*100*($E74/365))+(P75/$R75*100*($E75/365))</f>
        <v>0</v>
      </c>
      <c r="K192" s="362"/>
      <c r="L192" s="362">
        <f>(Q74/$R74*100*($E74/365))+(Q75/$R75*100*($E75/365))</f>
        <v>100</v>
      </c>
      <c r="M192" s="362"/>
      <c r="N192" s="363">
        <f t="shared" si="46"/>
        <v>100</v>
      </c>
      <c r="O192" s="363"/>
      <c r="R192" s="1">
        <v>1990</v>
      </c>
      <c r="S192" s="5">
        <f>(O74*($E74/365))+(O75*($E75/365))</f>
        <v>0</v>
      </c>
      <c r="T192" s="5">
        <f>(P74*($E74/365))+(P75*($E75/365))</f>
        <v>0</v>
      </c>
      <c r="U192" s="5">
        <f>(Q74*($E74/365))+(Q75*($E75/365))</f>
        <v>48.4</v>
      </c>
      <c r="W192" s="10">
        <f t="shared" si="44"/>
        <v>48.4</v>
      </c>
      <c r="X192" s="4"/>
    </row>
    <row r="193" spans="1:24" x14ac:dyDescent="0.15">
      <c r="A193" s="1">
        <v>1991</v>
      </c>
      <c r="B193" s="5">
        <f>(K76*($E76/365))+(K77*($E77/365))</f>
        <v>0</v>
      </c>
      <c r="C193" s="5">
        <f>(L76*($E76/365))+(L77*($E77/365))</f>
        <v>0</v>
      </c>
      <c r="D193" s="5">
        <f>(M76*($E76/365))+(M77*($E77/365))</f>
        <v>79.493150684931507</v>
      </c>
      <c r="E193" s="17">
        <f t="shared" si="45"/>
        <v>79.493150684931507</v>
      </c>
      <c r="G193" s="1">
        <v>1991</v>
      </c>
      <c r="H193" s="362">
        <f>(O76/$R76*100*($E76/365))+(O77/$R77*100*($E77/365))</f>
        <v>0</v>
      </c>
      <c r="I193" s="362"/>
      <c r="J193" s="362">
        <f>(P76/$R76*100*($E76/365))+(P77/$R77*100*($E77/365))</f>
        <v>0</v>
      </c>
      <c r="K193" s="362"/>
      <c r="L193" s="362">
        <f>(Q76/$R76*100*($E76/365))+(Q77/$R77*100*($E77/365))</f>
        <v>100</v>
      </c>
      <c r="M193" s="362"/>
      <c r="N193" s="363">
        <f t="shared" si="46"/>
        <v>100</v>
      </c>
      <c r="O193" s="363"/>
      <c r="R193" s="1">
        <v>1991</v>
      </c>
      <c r="S193" s="5">
        <f>(O76*($E76/365))+(O77*($E77/365))</f>
        <v>0</v>
      </c>
      <c r="T193" s="5">
        <f>(P76*($E76/365))+(P77*($E77/365))</f>
        <v>0</v>
      </c>
      <c r="U193" s="5">
        <f>(Q76*($E76/365))+(Q77*($E77/365))</f>
        <v>48.399999999999991</v>
      </c>
      <c r="W193" s="10">
        <f t="shared" si="44"/>
        <v>48.399999999999991</v>
      </c>
      <c r="X193" s="4"/>
    </row>
    <row r="194" spans="1:24" x14ac:dyDescent="0.15">
      <c r="A194" s="1">
        <v>1992</v>
      </c>
      <c r="B194" s="5">
        <f>(K78*($E78/366))+(K79*($E79/366))</f>
        <v>0</v>
      </c>
      <c r="C194" s="5">
        <f>(L78*($E78/366))+(L79*($E79/366))</f>
        <v>0</v>
      </c>
      <c r="D194" s="5">
        <f>(M78*($E78/366))+(M79*($E79/366))</f>
        <v>76.820481683869673</v>
      </c>
      <c r="E194" s="17">
        <f t="shared" si="45"/>
        <v>76.820481683869673</v>
      </c>
      <c r="G194" s="1">
        <v>1992</v>
      </c>
      <c r="H194" s="362">
        <f>(O78/$R78*100*($E78/366))+(O79/$R79*100*($E79/366))</f>
        <v>0</v>
      </c>
      <c r="I194" s="362"/>
      <c r="J194" s="362">
        <f>(P78/$R78*100*($E78/366))+(P79/$R79*100*($E79/366))</f>
        <v>0</v>
      </c>
      <c r="K194" s="362"/>
      <c r="L194" s="362">
        <f>(Q78/$R78*100*($E78/366))+(Q79/$R79*100*($E79/366))</f>
        <v>100.00000000000001</v>
      </c>
      <c r="M194" s="362"/>
      <c r="N194" s="363">
        <f t="shared" si="46"/>
        <v>100.00000000000001</v>
      </c>
      <c r="O194" s="363"/>
      <c r="R194" s="1">
        <v>1992</v>
      </c>
      <c r="S194" s="5">
        <f>(O78*($E78/366))+(O79*($E79/366))</f>
        <v>0</v>
      </c>
      <c r="T194" s="5">
        <f>(P78*($E78/366))+(P79*($E79/366))</f>
        <v>0</v>
      </c>
      <c r="U194" s="5">
        <f>(Q78*($E78/366))+(Q79*($E79/366))</f>
        <v>48.400000000000006</v>
      </c>
      <c r="W194" s="10">
        <f t="shared" ref="W194:W214" si="47">SUM(S194:U194)</f>
        <v>48.400000000000006</v>
      </c>
      <c r="X194" s="4"/>
    </row>
    <row r="195" spans="1:24" x14ac:dyDescent="0.15">
      <c r="A195" s="1">
        <v>1993</v>
      </c>
      <c r="B195" s="5">
        <f>(K80*($E80/365))+(K81*($E81/365))</f>
        <v>38.082191780821915</v>
      </c>
      <c r="C195" s="5">
        <f>(L80*($E80/365))+(L81*($E81/365))</f>
        <v>35.543378995433784</v>
      </c>
      <c r="D195" s="5">
        <f>(M80*($E80/365))+(M81*($E81/365))</f>
        <v>17.656012176560122</v>
      </c>
      <c r="E195" s="17">
        <f t="shared" si="45"/>
        <v>91.281582952815825</v>
      </c>
      <c r="G195" s="1">
        <v>1993</v>
      </c>
      <c r="H195" s="362">
        <f>(O80/$R80*100*($E80/365))+(O81/$R81*100*($E81/365))</f>
        <v>41.434169541481062</v>
      </c>
      <c r="I195" s="362"/>
      <c r="J195" s="362">
        <f>(P80/$R80*100*($E80/365))+(P81/$R81*100*($E81/365))</f>
        <v>34.730214020162776</v>
      </c>
      <c r="K195" s="362"/>
      <c r="L195" s="362">
        <f>(Q80/$R80*100*($E80/365))+(Q81/$R81*100*($E81/365))</f>
        <v>23.835616438356162</v>
      </c>
      <c r="M195" s="362"/>
      <c r="N195" s="363">
        <f t="shared" si="46"/>
        <v>100</v>
      </c>
      <c r="O195" s="363"/>
      <c r="R195" s="1">
        <v>1993</v>
      </c>
      <c r="S195" s="5">
        <f>(O80*($E80/365))+(O81*($E81/365))</f>
        <v>33.893150684931506</v>
      </c>
      <c r="T195" s="5">
        <f>(P80*($E80/365))+(P81*($E81/365))</f>
        <v>28.409315068493147</v>
      </c>
      <c r="U195" s="5">
        <f>(Q80*($E80/365))+(Q81*($E81/365))</f>
        <v>11.536438356164384</v>
      </c>
      <c r="W195" s="10">
        <f t="shared" si="47"/>
        <v>73.838904109589038</v>
      </c>
      <c r="X195" s="4"/>
    </row>
    <row r="196" spans="1:24" x14ac:dyDescent="0.15">
      <c r="A196" s="1">
        <v>1994</v>
      </c>
      <c r="B196" s="5">
        <f>(K82*($E82/365))+(K83*($E83/365))</f>
        <v>48.275862068965516</v>
      </c>
      <c r="C196" s="5">
        <f>(L82*($E82/365))+(L83*($E83/365))</f>
        <v>48.275862068965516</v>
      </c>
      <c r="D196" s="5">
        <f>(M82*($E82/365))+(M83*($E83/365))</f>
        <v>0</v>
      </c>
      <c r="E196" s="17">
        <f t="shared" si="45"/>
        <v>96.551724137931032</v>
      </c>
      <c r="G196" s="1">
        <v>1994</v>
      </c>
      <c r="H196" s="362">
        <f>(O82/$R82*100*($E82/365))+(O83/$R83*100*($E83/365))</f>
        <v>54.400977995110026</v>
      </c>
      <c r="I196" s="362"/>
      <c r="J196" s="362">
        <f>(P82/$R82*100*($E82/365))+(P83/$R83*100*($E83/365))</f>
        <v>45.599022004889974</v>
      </c>
      <c r="K196" s="362"/>
      <c r="L196" s="362">
        <f>(Q82/$R82*100*($E82/365))+(Q83/$R83*100*($E83/365))</f>
        <v>0</v>
      </c>
      <c r="M196" s="362"/>
      <c r="N196" s="363">
        <f t="shared" si="46"/>
        <v>100</v>
      </c>
      <c r="O196" s="363"/>
      <c r="R196" s="1">
        <v>1994</v>
      </c>
      <c r="S196" s="5">
        <f>(O82*($E82/365))+(O83*($E83/365))</f>
        <v>44.5</v>
      </c>
      <c r="T196" s="5">
        <f>(P82*($E82/365))+(P83*($E83/365))</f>
        <v>37.299999999999997</v>
      </c>
      <c r="U196" s="5">
        <f>(Q82*($E82/365))+(Q83*($E83/365))</f>
        <v>0</v>
      </c>
      <c r="W196" s="10">
        <f t="shared" si="47"/>
        <v>81.8</v>
      </c>
      <c r="X196" s="4"/>
    </row>
    <row r="197" spans="1:24" x14ac:dyDescent="0.15">
      <c r="A197" s="1">
        <v>1995</v>
      </c>
      <c r="B197" s="5">
        <f>(K84*($E84/365))+(K85*($E85/365))+(K86*($E86/365))</f>
        <v>54.737836561171463</v>
      </c>
      <c r="C197" s="5">
        <f>(L84*($E84/365))+(L85*($E85/365))+(L86*($E86/365))</f>
        <v>41.294284364666979</v>
      </c>
      <c r="D197" s="5">
        <f>(M84*($E84/365))+(M85*($E85/365))+(M86*($E86/365))</f>
        <v>0</v>
      </c>
      <c r="E197" s="17">
        <f t="shared" si="45"/>
        <v>96.032120925838441</v>
      </c>
      <c r="G197" s="1">
        <v>1995</v>
      </c>
      <c r="H197" s="362">
        <f>(O84/$R84*100*($E84/365))+(O85/$R85*100*($E85/365))+(O86/$R86*100*($E86/365))</f>
        <v>54.400977995110026</v>
      </c>
      <c r="I197" s="362"/>
      <c r="J197" s="362">
        <f>(P84/$R84*100*($E84/365))+(P85/$R85*100*($E85/365))+(P86/$R86*100*($E86/365))</f>
        <v>45.599022004889974</v>
      </c>
      <c r="K197" s="362"/>
      <c r="L197" s="362">
        <f>(Q84/$R84*100*($E84/365))+(Q85/$R85*100*($E85/365))+(Q86/$R86*100*($E86/365))</f>
        <v>0</v>
      </c>
      <c r="M197" s="362"/>
      <c r="N197" s="363">
        <f t="shared" si="46"/>
        <v>100</v>
      </c>
      <c r="O197" s="363"/>
      <c r="R197" s="1">
        <v>1995</v>
      </c>
      <c r="S197" s="5">
        <f>(O84*($E84/365))+(O85*($E85/365))+(O86*($E86/365))</f>
        <v>44.500000000000007</v>
      </c>
      <c r="T197" s="5">
        <f>(P84*($E84/365))+(P85*($E85/365))+(P86*($E86/365))</f>
        <v>37.299999999999997</v>
      </c>
      <c r="U197" s="5">
        <f>(Q84*($E84/365))+(Q85*($E85/365))+(Q86*($E86/365))</f>
        <v>0</v>
      </c>
      <c r="W197" s="10">
        <f t="shared" si="47"/>
        <v>81.800000000000011</v>
      </c>
      <c r="X197" s="4"/>
    </row>
    <row r="198" spans="1:24" x14ac:dyDescent="0.15">
      <c r="A198" s="1">
        <v>1996</v>
      </c>
      <c r="B198" s="5">
        <f>(K87*($E87/366))+(K88*($E88/366))</f>
        <v>58.620689655172406</v>
      </c>
      <c r="C198" s="5">
        <f>(L87*($E87/366))+(L88*($E88/366))</f>
        <v>34.482758620689658</v>
      </c>
      <c r="D198" s="5">
        <f>(M87*($E87/366))+(M88*($E88/366))</f>
        <v>0</v>
      </c>
      <c r="E198" s="17">
        <f t="shared" si="45"/>
        <v>93.103448275862064</v>
      </c>
      <c r="G198" s="1">
        <v>1996</v>
      </c>
      <c r="H198" s="362">
        <f>(O87/$R87*100*($E87/366))+(O88/$R88*100*($E88/366))</f>
        <v>54.400977995110026</v>
      </c>
      <c r="I198" s="362"/>
      <c r="J198" s="362">
        <f>(P87/$R87*100*($E87/366))+(P88/$R88*100*($E88/366))</f>
        <v>45.599022004889974</v>
      </c>
      <c r="K198" s="362"/>
      <c r="L198" s="362">
        <f>(Q87/$R87*100*($E87/366))+(Q88/$R88*100*($E88/366))</f>
        <v>0</v>
      </c>
      <c r="M198" s="362"/>
      <c r="N198" s="363">
        <f t="shared" si="46"/>
        <v>100</v>
      </c>
      <c r="O198" s="363"/>
      <c r="R198" s="1">
        <v>1996</v>
      </c>
      <c r="S198" s="5">
        <f>(O87*($E87/366))+(O88*($E88/366))</f>
        <v>44.5</v>
      </c>
      <c r="T198" s="5">
        <f>(P87*($E87/366))+(P88*($E88/366))</f>
        <v>37.299999999999997</v>
      </c>
      <c r="U198" s="5">
        <f>(Q87*($E87/366))+(Q88*($E88/366))</f>
        <v>0</v>
      </c>
      <c r="W198" s="10">
        <f t="shared" si="47"/>
        <v>81.8</v>
      </c>
      <c r="X198" s="4"/>
    </row>
    <row r="199" spans="1:24" x14ac:dyDescent="0.15">
      <c r="A199" s="1">
        <v>1997</v>
      </c>
      <c r="B199" s="5">
        <f>(K89*($E89/365))+(K90*($E90/365))</f>
        <v>24.733112895606986</v>
      </c>
      <c r="C199" s="5">
        <f>(L89*($E89/365))+(L90*($E90/365))</f>
        <v>14.548889938592348</v>
      </c>
      <c r="D199" s="5">
        <f>(M89*($E89/365))+(M90*($E90/365))</f>
        <v>57.80821917808219</v>
      </c>
      <c r="E199" s="17">
        <f t="shared" si="45"/>
        <v>97.090222012281515</v>
      </c>
      <c r="G199" s="1">
        <v>1997</v>
      </c>
      <c r="H199" s="362">
        <f>(O89/$R89*100*($E89/365))+(O90/$R90*100*($E90/365))</f>
        <v>22.952741400676558</v>
      </c>
      <c r="I199" s="362"/>
      <c r="J199" s="362">
        <f>(P89/$R89*100*($E89/365))+(P90/$R90*100*($E90/365))</f>
        <v>19.239039421241248</v>
      </c>
      <c r="K199" s="362"/>
      <c r="L199" s="362">
        <f>(Q89/$R89*100*($E89/365))+(Q90/$R90*100*($E90/365))</f>
        <v>57.80821917808219</v>
      </c>
      <c r="M199" s="362"/>
      <c r="N199" s="363">
        <f t="shared" si="46"/>
        <v>100</v>
      </c>
      <c r="O199" s="363"/>
      <c r="R199" s="1">
        <v>1997</v>
      </c>
      <c r="S199" s="5">
        <f>(O89*($E89/365))+(O90*($E90/365))</f>
        <v>18.775342465753425</v>
      </c>
      <c r="T199" s="5">
        <f>(P89*($E89/365))+(P90*($E90/365))</f>
        <v>15.737534246575342</v>
      </c>
      <c r="U199" s="5">
        <f>(Q89*($E89/365))+(Q90*($E90/365))</f>
        <v>31.100821917808215</v>
      </c>
      <c r="W199" s="10">
        <f t="shared" si="47"/>
        <v>65.61369863013698</v>
      </c>
      <c r="X199" s="4"/>
    </row>
    <row r="200" spans="1:24" x14ac:dyDescent="0.15">
      <c r="A200" s="1">
        <v>1998</v>
      </c>
      <c r="B200" s="5">
        <f>(K91*($E91/365))+(K92*($E92/365))</f>
        <v>0</v>
      </c>
      <c r="C200" s="5">
        <f>(L91*($E91/365))+(L92*($E92/365))</f>
        <v>0</v>
      </c>
      <c r="D200" s="5">
        <f>(M91*($E91/365))+(M92*($E92/365))</f>
        <v>100</v>
      </c>
      <c r="E200" s="17">
        <f t="shared" si="45"/>
        <v>100</v>
      </c>
      <c r="G200" s="1">
        <v>1998</v>
      </c>
      <c r="H200" s="362">
        <f>(O91/$R91*100*($E91/365))+(O92/$R92*100*($E92/365))</f>
        <v>0</v>
      </c>
      <c r="I200" s="362"/>
      <c r="J200" s="362">
        <f>(P91/$R91*100*($E91/365))+(P92/$R92*100*($E92/365))</f>
        <v>0</v>
      </c>
      <c r="K200" s="362"/>
      <c r="L200" s="362">
        <f>(Q91/$R91*100*($E91/365))+(Q92/$R92*100*($E92/365))</f>
        <v>100</v>
      </c>
      <c r="M200" s="362"/>
      <c r="N200" s="363">
        <f t="shared" si="46"/>
        <v>100</v>
      </c>
      <c r="O200" s="363"/>
      <c r="R200" s="1">
        <v>1998</v>
      </c>
      <c r="S200" s="5">
        <f>(O91*($E91/365))+(O92*($E92/365))</f>
        <v>0</v>
      </c>
      <c r="T200" s="5">
        <f>(P91*($E91/365))+(P92*($E92/365))</f>
        <v>0</v>
      </c>
      <c r="U200" s="5">
        <f>(Q91*($E91/365))+(Q92*($E92/365))</f>
        <v>53.8</v>
      </c>
      <c r="W200" s="10">
        <f t="shared" si="47"/>
        <v>53.8</v>
      </c>
      <c r="X200" s="4"/>
    </row>
    <row r="201" spans="1:24" x14ac:dyDescent="0.15">
      <c r="A201" s="1">
        <v>1999</v>
      </c>
      <c r="B201" s="5">
        <f>(K93*($E93/365))+(K94*($E94/365))</f>
        <v>0</v>
      </c>
      <c r="C201" s="5">
        <f>(L93*($E93/365))+(L94*($E94/365))</f>
        <v>0</v>
      </c>
      <c r="D201" s="5">
        <f>(M93*($E93/365))+(M94*($E94/365))</f>
        <v>100</v>
      </c>
      <c r="E201" s="17">
        <f t="shared" si="45"/>
        <v>100</v>
      </c>
      <c r="G201" s="1">
        <v>1999</v>
      </c>
      <c r="H201" s="362">
        <f>(O93/$R93*100*($E93/365))+(O94/$R94*100*($E94/365))</f>
        <v>0</v>
      </c>
      <c r="I201" s="362"/>
      <c r="J201" s="362">
        <f>(P93/$R93*100*($E93/365))+(P94/$R94*100*($E94/365))</f>
        <v>0</v>
      </c>
      <c r="K201" s="362"/>
      <c r="L201" s="362">
        <f>(Q93/$R93*100*($E93/365))+(Q94/$R94*100*($E94/365))</f>
        <v>100</v>
      </c>
      <c r="M201" s="362"/>
      <c r="N201" s="363">
        <f t="shared" si="46"/>
        <v>100</v>
      </c>
      <c r="O201" s="363"/>
      <c r="R201" s="1">
        <v>1999</v>
      </c>
      <c r="S201" s="5">
        <f>(O93*($E93/365))+(O94*($E94/365))</f>
        <v>0</v>
      </c>
      <c r="T201" s="5">
        <f>(P93*($E93/365))+(P94*($E94/365))</f>
        <v>0</v>
      </c>
      <c r="U201" s="5">
        <f>(Q93*($E93/365))+(Q94*($E94/365))</f>
        <v>53.8</v>
      </c>
      <c r="W201" s="10">
        <f t="shared" si="47"/>
        <v>53.8</v>
      </c>
      <c r="X201" s="4"/>
    </row>
    <row r="202" spans="1:24" x14ac:dyDescent="0.15">
      <c r="A202" s="1">
        <v>2000</v>
      </c>
      <c r="B202" s="5">
        <f>(K95*($E95/366))+(K96*($E96/366))</f>
        <v>0</v>
      </c>
      <c r="C202" s="5">
        <f>(L95*($E95/366))+(L96*($E96/366))</f>
        <v>0</v>
      </c>
      <c r="D202" s="5">
        <f>(M95*($E95/366))+(M96*($E96/366))</f>
        <v>100</v>
      </c>
      <c r="E202" s="17">
        <f t="shared" si="45"/>
        <v>100</v>
      </c>
      <c r="G202" s="1">
        <v>2000</v>
      </c>
      <c r="H202" s="362">
        <f>(O95/$R95*100*($E95/366))+(O96/$R96*100*($E96/366))</f>
        <v>0</v>
      </c>
      <c r="I202" s="362"/>
      <c r="J202" s="362">
        <f>(P95/$R95*100*($E95/366))+(P96/$R96*100*($E96/366))</f>
        <v>0</v>
      </c>
      <c r="K202" s="362"/>
      <c r="L202" s="362">
        <f>(Q95/$R95*100*($E95/366))+(Q96/$R96*100*($E96/366))</f>
        <v>100</v>
      </c>
      <c r="M202" s="362"/>
      <c r="N202" s="363">
        <f t="shared" si="46"/>
        <v>100</v>
      </c>
      <c r="O202" s="363"/>
      <c r="R202" s="1">
        <v>2000</v>
      </c>
      <c r="S202" s="5">
        <f>(O95*($E95/366))+(O96*($E96/366))</f>
        <v>0</v>
      </c>
      <c r="T202" s="5">
        <f>(P95*($E95/366))+(P96*($E96/366))</f>
        <v>0</v>
      </c>
      <c r="U202" s="5">
        <f>(Q95*($E95/366))+(Q96*($E96/366))</f>
        <v>53.8</v>
      </c>
      <c r="W202" s="10">
        <f t="shared" si="47"/>
        <v>53.8</v>
      </c>
      <c r="X202" s="4"/>
    </row>
    <row r="203" spans="1:24" x14ac:dyDescent="0.15">
      <c r="A203" s="1">
        <v>2001</v>
      </c>
      <c r="B203" s="5">
        <f>(K97*($E97/365))+(K98*($E98/365))</f>
        <v>0</v>
      </c>
      <c r="C203" s="5">
        <f>(L97*($E97/365))+(L98*($E98/365))</f>
        <v>0</v>
      </c>
      <c r="D203" s="5">
        <f>(M97*($E97/365))+(M98*($E98/365))</f>
        <v>100</v>
      </c>
      <c r="E203" s="17">
        <f t="shared" si="45"/>
        <v>100</v>
      </c>
      <c r="G203" s="1">
        <v>2001</v>
      </c>
      <c r="H203" s="362">
        <f>(O97/$R97*100*($E97/365))+(O98/$R98*100*($E98/365))</f>
        <v>0</v>
      </c>
      <c r="I203" s="362"/>
      <c r="J203" s="362">
        <f>(P97/$R97*100*($E97/365))+(P98/$R98*100*($E98/365))</f>
        <v>0</v>
      </c>
      <c r="K203" s="362"/>
      <c r="L203" s="362">
        <f>(Q97/$R97*100*($E97/365))+(Q98/$R98*100*($E98/365))</f>
        <v>100</v>
      </c>
      <c r="M203" s="362"/>
      <c r="N203" s="363">
        <f t="shared" si="46"/>
        <v>100</v>
      </c>
      <c r="O203" s="363"/>
      <c r="R203" s="1">
        <v>2001</v>
      </c>
      <c r="S203" s="5">
        <f>(O97*($E97/365))+(O98*($E98/365))</f>
        <v>0</v>
      </c>
      <c r="T203" s="5">
        <f>(P97*($E97/365))+(P98*($E98/365))</f>
        <v>0</v>
      </c>
      <c r="U203" s="5">
        <f>(Q97*($E97/365))+(Q98*($E98/365))</f>
        <v>53.8</v>
      </c>
      <c r="W203" s="10">
        <f t="shared" si="47"/>
        <v>53.8</v>
      </c>
      <c r="X203" s="4"/>
    </row>
    <row r="204" spans="1:24" x14ac:dyDescent="0.15">
      <c r="A204" s="1">
        <v>2002</v>
      </c>
      <c r="B204" s="5">
        <f>(K99*($E99/365))+(K100*($E100/365))+(K101*($E101/365))</f>
        <v>43.831465338314651</v>
      </c>
      <c r="C204" s="5">
        <f>(L99*($E99/365))+(L100*($E100/365))+(L101*($E101/365))</f>
        <v>5.0486601171532675</v>
      </c>
      <c r="D204" s="5">
        <f>(M99*($E99/365))+(M100*($E100/365))+(M101*($E101/365))</f>
        <v>34.520547945205479</v>
      </c>
      <c r="E204" s="17">
        <f t="shared" si="45"/>
        <v>83.400673400673398</v>
      </c>
      <c r="G204" s="1">
        <v>2002</v>
      </c>
      <c r="H204" s="362">
        <f>(O99/$R99*100*($E99/365))+(O100/$R100*100*($E100/365))+(O101/$R101*100*($E101/365))</f>
        <v>56.370284201448086</v>
      </c>
      <c r="I204" s="362"/>
      <c r="J204" s="362">
        <f>(P99/$R99*100*($E99/365))+(P100/$R100*100*($E100/365))+(P101/$R101*100*($E101/365))</f>
        <v>9.1091678533464364</v>
      </c>
      <c r="K204" s="362"/>
      <c r="L204" s="362">
        <f>(Q99/$R99*100*($E99/365))+(Q100/$R100*100*($E100/365))+(Q101/$R101*100*($E101/365))</f>
        <v>34.520547945205479</v>
      </c>
      <c r="M204" s="362"/>
      <c r="N204" s="363">
        <f t="shared" si="46"/>
        <v>100</v>
      </c>
      <c r="O204" s="363"/>
      <c r="R204" s="1">
        <v>2002</v>
      </c>
      <c r="S204" s="5">
        <f>(O99*($E99/365))+(O100*($E100/365))+(O101*($E101/365))</f>
        <v>36.83041095890411</v>
      </c>
      <c r="T204" s="5">
        <f>(P99*($E99/365))+(P100*($E100/365))+(P101*($E101/365))</f>
        <v>4.9115068493150691</v>
      </c>
      <c r="U204" s="5">
        <f>(Q99*($E99/365))+(Q100*($E100/365))+(Q101*($E101/365))</f>
        <v>18.572054794520547</v>
      </c>
      <c r="W204" s="10">
        <f t="shared" si="47"/>
        <v>60.313972602739724</v>
      </c>
      <c r="X204" s="4"/>
    </row>
    <row r="205" spans="1:24" x14ac:dyDescent="0.15">
      <c r="A205" s="1">
        <v>2003</v>
      </c>
      <c r="B205" s="5">
        <f>(K102*($E102/365))+(K103*($E103/365))</f>
        <v>66.666666666666657</v>
      </c>
      <c r="C205" s="5">
        <f>(L102*($E102/365))+(L103*($E103/365))</f>
        <v>7.4074074074074066</v>
      </c>
      <c r="D205" s="5">
        <f>(M102*($E102/365))+(M103*($E103/365))</f>
        <v>0</v>
      </c>
      <c r="E205" s="17">
        <f t="shared" si="45"/>
        <v>74.074074074074062</v>
      </c>
      <c r="G205" s="1">
        <v>2003</v>
      </c>
      <c r="H205" s="362">
        <f>(O102/$R102*100*($E102/365))+(O103/$R103*100*($E103/365))</f>
        <v>92.679355783308921</v>
      </c>
      <c r="I205" s="362"/>
      <c r="J205" s="362">
        <f>(P102/$R102*100*($E102/365))+(P103/$R103*100*($E103/365))</f>
        <v>7.3206442166910692</v>
      </c>
      <c r="K205" s="362"/>
      <c r="L205" s="362">
        <f>(Q102/$R102*100*($E102/365))+(Q103/$R103*100*($E103/365))</f>
        <v>0</v>
      </c>
      <c r="M205" s="362"/>
      <c r="N205" s="363">
        <f t="shared" si="46"/>
        <v>99.999999999999986</v>
      </c>
      <c r="O205" s="363"/>
      <c r="R205" s="1">
        <v>2003</v>
      </c>
      <c r="S205" s="5">
        <f>(O102*($E102/365))+(O103*($E103/365))</f>
        <v>63.3</v>
      </c>
      <c r="T205" s="5">
        <f>(P102*($E102/365))+(P103*($E103/365))</f>
        <v>5</v>
      </c>
      <c r="U205" s="5">
        <f>(Q102*($E102/365))+(Q103*($E103/365))</f>
        <v>0</v>
      </c>
      <c r="W205" s="10">
        <f t="shared" si="47"/>
        <v>68.3</v>
      </c>
      <c r="X205" s="4"/>
    </row>
    <row r="206" spans="1:24" x14ac:dyDescent="0.15">
      <c r="A206" s="1">
        <v>2004</v>
      </c>
      <c r="B206" s="5">
        <f>(K104*($E104/366))+(K105*($E105/366))</f>
        <v>86.938127974616592</v>
      </c>
      <c r="C206" s="5">
        <f>(L104*($E104/366))+(L105*($E105/366))</f>
        <v>4.2540689817263049</v>
      </c>
      <c r="D206" s="5">
        <f>(M104*($E104/366))+(M105*($E105/366))</f>
        <v>0</v>
      </c>
      <c r="E206" s="17">
        <f t="shared" si="45"/>
        <v>91.192196956342897</v>
      </c>
      <c r="G206" s="1">
        <v>2004</v>
      </c>
      <c r="H206" s="362">
        <f>(O104/$R104*100*($E104/366))+(O105/$R105*100*($E105/366))</f>
        <v>92.679355783308921</v>
      </c>
      <c r="I206" s="362"/>
      <c r="J206" s="362">
        <f>(P104/$R104*100*($E104/366))+(P105/$R105*100*($E105/366))</f>
        <v>7.3206442166910684</v>
      </c>
      <c r="K206" s="362"/>
      <c r="L206" s="362">
        <f>(Q104/$R104*100*($E104/366))+(Q105/$R105*100*($E105/366))</f>
        <v>0</v>
      </c>
      <c r="M206" s="362"/>
      <c r="N206" s="363">
        <f t="shared" si="46"/>
        <v>99.999999999999986</v>
      </c>
      <c r="O206" s="363"/>
      <c r="R206" s="1">
        <v>2004</v>
      </c>
      <c r="S206" s="5">
        <f>(O104*($E104/366))+(O105*($E105/366))</f>
        <v>63.3</v>
      </c>
      <c r="T206" s="5">
        <f>(P104*($E104/366))+(P105*($E105/366))</f>
        <v>5</v>
      </c>
      <c r="U206" s="5">
        <f>(Q104*($E104/366))+(Q105*($E105/366))</f>
        <v>0</v>
      </c>
      <c r="W206" s="10">
        <f t="shared" si="47"/>
        <v>68.3</v>
      </c>
      <c r="X206" s="4"/>
    </row>
    <row r="207" spans="1:24" x14ac:dyDescent="0.15">
      <c r="A207" s="1">
        <v>2005</v>
      </c>
      <c r="B207" s="5">
        <f>(K106*($E106/365))+(K107*($E107/365))</f>
        <v>89.748121961997342</v>
      </c>
      <c r="C207" s="5">
        <f>(L106*($E106/365))+(L107*($E107/365))</f>
        <v>3.225806451612903</v>
      </c>
      <c r="D207" s="5">
        <f>(M106*($E106/365))+(M107*($E107/365))</f>
        <v>0</v>
      </c>
      <c r="E207" s="17">
        <f t="shared" si="45"/>
        <v>92.973928413610238</v>
      </c>
      <c r="G207" s="1">
        <v>2005</v>
      </c>
      <c r="H207" s="362">
        <f>(O106/$R106*100*($E106/365))+(O107/$R107*100*($E107/365))</f>
        <v>92.679355783308921</v>
      </c>
      <c r="I207" s="362"/>
      <c r="J207" s="362">
        <f>(P106/$R106*100*($E106/365))+(P107/$R107*100*($E107/365))</f>
        <v>7.3206442166910701</v>
      </c>
      <c r="K207" s="362"/>
      <c r="L207" s="362">
        <f>(Q106/$R106*100*($E106/365))+(Q107/$R107*100*($E107/365))</f>
        <v>0</v>
      </c>
      <c r="M207" s="362"/>
      <c r="N207" s="363">
        <f t="shared" si="46"/>
        <v>99.999999999999986</v>
      </c>
      <c r="O207" s="363"/>
      <c r="R207" s="1">
        <v>2005</v>
      </c>
      <c r="S207" s="5">
        <f>(O106*($E106/365))+(O107*($E107/365))</f>
        <v>63.3</v>
      </c>
      <c r="T207" s="5">
        <f>(P106*($E106/365))+(P107*($E107/365))</f>
        <v>5</v>
      </c>
      <c r="U207" s="5">
        <f>(Q106*($E106/365))+(Q107*($E107/365))</f>
        <v>0</v>
      </c>
      <c r="W207" s="10">
        <f t="shared" si="47"/>
        <v>68.3</v>
      </c>
      <c r="X207" s="4"/>
    </row>
    <row r="208" spans="1:24" x14ac:dyDescent="0.15">
      <c r="A208" s="1">
        <v>2006</v>
      </c>
      <c r="B208" s="5">
        <f>(K108*($E108/365))+(K109*($E109/365))</f>
        <v>87.096774193548384</v>
      </c>
      <c r="C208" s="5">
        <f>(L108*($E108/365))+(L109*($E109/365))</f>
        <v>3.225806451612903</v>
      </c>
      <c r="D208" s="5">
        <f>(M108*($E108/365))+(M109*($E109/365))</f>
        <v>0</v>
      </c>
      <c r="E208" s="17">
        <f t="shared" si="45"/>
        <v>90.322580645161281</v>
      </c>
      <c r="G208" s="1">
        <v>2006</v>
      </c>
      <c r="H208" s="362">
        <f>(O108/$R108*100*($E108/365))+(O109/$R109*100*($E109/365))</f>
        <v>92.679355783308921</v>
      </c>
      <c r="I208" s="362"/>
      <c r="J208" s="362">
        <f>(P108/$R108*100*($E108/365))+(P109/$R109*100*($E109/365))</f>
        <v>7.3206442166910692</v>
      </c>
      <c r="K208" s="362"/>
      <c r="L208" s="362">
        <f>(Q108/$R108*100*($E108/365))+(Q109/$R109*100*($E109/365))</f>
        <v>0</v>
      </c>
      <c r="M208" s="362"/>
      <c r="N208" s="363">
        <f t="shared" si="46"/>
        <v>99.999999999999986</v>
      </c>
      <c r="O208" s="363"/>
      <c r="R208" s="1">
        <v>2006</v>
      </c>
      <c r="S208" s="5">
        <f>(O108*($E108/365))+(O109*($E109/365))</f>
        <v>63.3</v>
      </c>
      <c r="T208" s="5">
        <f>(P108*($E108/365))+(P109*($E109/365))</f>
        <v>5</v>
      </c>
      <c r="U208" s="5">
        <f>(Q108*($E108/365))+(Q109*($E109/365))</f>
        <v>0</v>
      </c>
      <c r="W208" s="10">
        <f t="shared" si="47"/>
        <v>68.3</v>
      </c>
      <c r="X208" s="4"/>
    </row>
    <row r="209" spans="1:24" x14ac:dyDescent="0.15">
      <c r="A209" s="1">
        <v>2007</v>
      </c>
      <c r="B209" s="5">
        <f>(K110*($E110/365))+(K111*($E111/365))+(K112*($E112/365))</f>
        <v>79.540433053468846</v>
      </c>
      <c r="C209" s="5">
        <f>(L110*($E110/365))+(L111*($E111/365))+(L112*($E112/365))</f>
        <v>5.1148917366327886</v>
      </c>
      <c r="D209" s="5">
        <f>(M110*($E110/365))+(M111*($E111/365))+(M112*($E112/365))</f>
        <v>0</v>
      </c>
      <c r="E209" s="17">
        <f t="shared" si="45"/>
        <v>84.655324790101631</v>
      </c>
      <c r="G209" s="1">
        <v>2007</v>
      </c>
      <c r="H209" s="362">
        <f>(O110/$R110*100*($E110/365))+(O111/$R111*100*($E111/365))+(O112/$R112*100*($E112/365))</f>
        <v>93.727988921851164</v>
      </c>
      <c r="I209" s="362"/>
      <c r="J209" s="362">
        <f>(P110/$R110*100*($E110/365))+(P111/$R111*100*($E111/365))+(P112/$R112*100*($E112/365))</f>
        <v>6.272011078148843</v>
      </c>
      <c r="K209" s="362"/>
      <c r="L209" s="362">
        <f>(Q110/$R110*100*($E110/365))+(Q111/$R111*100*($E111/365))+(Q112/$R112*100*($E112/365))</f>
        <v>0</v>
      </c>
      <c r="M209" s="362"/>
      <c r="N209" s="363">
        <f t="shared" si="46"/>
        <v>100</v>
      </c>
      <c r="O209" s="363"/>
      <c r="R209" s="1">
        <v>2007</v>
      </c>
      <c r="S209" s="5">
        <f>(O110*($E110/365))+(O111*($E111/365))+(O112*($E112/365))</f>
        <v>58.359726027397265</v>
      </c>
      <c r="T209" s="5">
        <f>(P110*($E110/365))+(P111*($E111/365))+(P112*($E112/365))</f>
        <v>3.9172602739726026</v>
      </c>
      <c r="U209" s="5">
        <f>(Q110*($E110/365))+(Q111*($E111/365))+(Q112*($E112/365))</f>
        <v>0</v>
      </c>
      <c r="W209" s="10">
        <f t="shared" si="47"/>
        <v>62.276986301369867</v>
      </c>
      <c r="X209" s="4"/>
    </row>
    <row r="210" spans="1:24" x14ac:dyDescent="0.15">
      <c r="A210" s="1">
        <v>2008</v>
      </c>
      <c r="B210" s="5">
        <f>(K113*($E113/366))+(K114*($E114/366))</f>
        <v>75</v>
      </c>
      <c r="C210" s="5">
        <f>(L113*($E113/366))+(L114*($E114/366))</f>
        <v>6.25</v>
      </c>
      <c r="D210" s="5">
        <f>(M113*($E113/366))+(M114*($E114/366))</f>
        <v>0</v>
      </c>
      <c r="E210" s="17">
        <f t="shared" si="45"/>
        <v>81.25</v>
      </c>
      <c r="G210" s="1">
        <v>2008</v>
      </c>
      <c r="H210" s="362">
        <f>(O113/$R113*100*($E113/366))+(O114/$R114*100*($E114/366))</f>
        <v>93.436960276338525</v>
      </c>
      <c r="I210" s="362"/>
      <c r="J210" s="362">
        <f>(P113/$R113*100*($E113/366))+(P114/$R114*100*($E114/366))</f>
        <v>6.5630397236614844</v>
      </c>
      <c r="K210" s="362"/>
      <c r="L210" s="362">
        <f>(Q113/$R113*100*($E113/366))+(Q114/$R114*100*($E114/366))</f>
        <v>0</v>
      </c>
      <c r="M210" s="362"/>
      <c r="N210" s="363">
        <f t="shared" si="46"/>
        <v>100.00000000000001</v>
      </c>
      <c r="O210" s="363"/>
      <c r="R210" s="1">
        <v>2008</v>
      </c>
      <c r="S210" s="5">
        <f>(O113*($E113/366))+(O114*($E114/366))</f>
        <v>54.1</v>
      </c>
      <c r="T210" s="5">
        <f>(P113*($E113/366))+(P114*($E114/366))</f>
        <v>3.8</v>
      </c>
      <c r="U210" s="5">
        <f>(Q113*($E113/366))+(Q114*($E114/366))</f>
        <v>0</v>
      </c>
      <c r="W210" s="10">
        <f t="shared" si="47"/>
        <v>57.9</v>
      </c>
      <c r="X210" s="4"/>
    </row>
    <row r="211" spans="1:24" x14ac:dyDescent="0.15">
      <c r="A211" s="1">
        <v>2009</v>
      </c>
      <c r="B211" s="5">
        <f>(K115*($E115/365))+(K116*($E116/365))+(K117*($E117/365))</f>
        <v>82.841935620679408</v>
      </c>
      <c r="C211" s="5">
        <f>(L115*($E115/365))+(L116*($E116/365))+(L117*($E117/365))</f>
        <v>5.5707409135247454</v>
      </c>
      <c r="D211" s="5">
        <f>(M115*($E115/365))+(M116*($E116/365))+(M117*($E117/365))</f>
        <v>0</v>
      </c>
      <c r="E211" s="17">
        <f t="shared" si="45"/>
        <v>88.412676534204152</v>
      </c>
      <c r="G211" s="1">
        <v>2009</v>
      </c>
      <c r="H211" s="362">
        <f>(O115/$R115*100*($E115/365))+(O116/$R116*100*($E116/365))+(O117/$R117*100*($E117/365))</f>
        <v>93.43696027633851</v>
      </c>
      <c r="I211" s="362"/>
      <c r="J211" s="362">
        <f>(P115/$R115*100*($E115/365))+(P116/$R116*100*($E116/365))+(P117/$R117*100*($E117/365))</f>
        <v>6.5630397236614844</v>
      </c>
      <c r="K211" s="362"/>
      <c r="L211" s="362">
        <f>(Q115/$R115*100*($E115/365))+(Q116/$R116*100*($E116/365))+(Q117/$R117*100*($E117/365))</f>
        <v>0</v>
      </c>
      <c r="M211" s="362"/>
      <c r="N211" s="363">
        <f t="shared" si="46"/>
        <v>100</v>
      </c>
      <c r="O211" s="363"/>
      <c r="R211" s="1">
        <v>2009</v>
      </c>
      <c r="S211" s="5">
        <f>(O115*($E115/365))+(O116*($E116/365))+(O117*($E117/365))</f>
        <v>54.099999999999994</v>
      </c>
      <c r="T211" s="5">
        <f>(P115*($E115/365))+(P116*($E116/365))+(P117*($E117/365))</f>
        <v>3.8</v>
      </c>
      <c r="U211" s="5">
        <f>(Q115*($E115/365))+(Q116*($E116/365))+(Q117*($E117/365))</f>
        <v>0</v>
      </c>
      <c r="W211" s="10">
        <f t="shared" si="47"/>
        <v>57.899999999999991</v>
      </c>
      <c r="X211" s="4"/>
    </row>
    <row r="212" spans="1:24" x14ac:dyDescent="0.15">
      <c r="A212" s="1">
        <v>2010</v>
      </c>
      <c r="B212" s="5">
        <f>(K118*($E118/365))+(K119*($E119/365))</f>
        <v>81.144164759725399</v>
      </c>
      <c r="C212" s="5">
        <f>(L118*($E118/365))+(L119*($E119/365))</f>
        <v>4.5710165825522706</v>
      </c>
      <c r="D212" s="5">
        <f>(M118*($E118/365))+(M119*($E119/365))</f>
        <v>0</v>
      </c>
      <c r="E212" s="17">
        <f t="shared" si="45"/>
        <v>85.715181342277674</v>
      </c>
      <c r="G212" s="1">
        <v>2010</v>
      </c>
      <c r="H212" s="362">
        <f>(O118/$R118*100*($E118/365))+(O119/$R119*100*($E119/365))</f>
        <v>94.300044952326871</v>
      </c>
      <c r="I212" s="362"/>
      <c r="J212" s="362">
        <f>(P118/$R118*100*($E118/365))+(P119/$R119*100*($E119/365))</f>
        <v>5.6999550476731251</v>
      </c>
      <c r="K212" s="362"/>
      <c r="L212" s="362">
        <f>(Q118/$R118*100*($E118/365))+(Q119/$R119*100*($E119/365))</f>
        <v>0</v>
      </c>
      <c r="M212" s="362"/>
      <c r="N212" s="363">
        <f t="shared" si="46"/>
        <v>100</v>
      </c>
      <c r="O212" s="363"/>
      <c r="R212" s="1">
        <v>2010</v>
      </c>
      <c r="S212" s="5">
        <f>(O118*($E118/365))+(O119*($E119/365))</f>
        <v>54.1</v>
      </c>
      <c r="T212" s="5">
        <f>(P118*($E118/365))+(P119*($E119/365))</f>
        <v>3.3002739726027395</v>
      </c>
      <c r="U212" s="5">
        <f>(Q118*($E118/365))+(Q119*($E119/365))</f>
        <v>0</v>
      </c>
      <c r="W212" s="10">
        <f t="shared" si="47"/>
        <v>57.40027397260274</v>
      </c>
      <c r="X212" s="4"/>
    </row>
    <row r="213" spans="1:24" x14ac:dyDescent="0.15">
      <c r="A213" s="1">
        <v>2011</v>
      </c>
      <c r="B213" s="5">
        <f>(K120*($E120/365))+(K121*($E121/365))</f>
        <v>95.652173913043484</v>
      </c>
      <c r="C213" s="5">
        <f>(L120*($E120/365))+(L121*($E121/365))</f>
        <v>0</v>
      </c>
      <c r="D213" s="5">
        <f>(M120*($E120/365))+(M121*($E121/365))</f>
        <v>0</v>
      </c>
      <c r="E213" s="17">
        <f t="shared" si="45"/>
        <v>95.652173913043484</v>
      </c>
      <c r="G213" s="1">
        <v>2011</v>
      </c>
      <c r="H213" s="362">
        <f>(O120/$R120*100*($E120/365))+(O121/$R121*100*($E121/365))</f>
        <v>100</v>
      </c>
      <c r="I213" s="362"/>
      <c r="J213" s="362">
        <f>(P120/$R120*100*($E120/365))+(P121/$R121*100*($E121/365))</f>
        <v>0</v>
      </c>
      <c r="K213" s="362"/>
      <c r="L213" s="362">
        <f>(Q120/$R120*100*($E120/365))+(Q121/$R121*100*($E121/365))</f>
        <v>0</v>
      </c>
      <c r="M213" s="362"/>
      <c r="N213" s="363">
        <f t="shared" si="46"/>
        <v>100</v>
      </c>
      <c r="O213" s="363"/>
      <c r="R213" s="1">
        <v>2011</v>
      </c>
      <c r="S213" s="5">
        <f>(O120*($E120/365))+(O121*($E121/365))</f>
        <v>54.1</v>
      </c>
      <c r="T213" s="5">
        <f>(P120*($E120/365))+(P121*($E121/365))</f>
        <v>0</v>
      </c>
      <c r="U213" s="5">
        <f>(Q120*($E120/365))+(Q121*($E121/365))</f>
        <v>0</v>
      </c>
      <c r="W213" s="10">
        <f t="shared" si="47"/>
        <v>54.1</v>
      </c>
      <c r="X213" s="4"/>
    </row>
    <row r="214" spans="1:24" x14ac:dyDescent="0.15">
      <c r="A214" s="1">
        <v>2012</v>
      </c>
      <c r="B214" s="5">
        <f>(K122*($E122/366))+(K123*($E123/366))+(K124*($E124/366))</f>
        <v>35.542884295557144</v>
      </c>
      <c r="C214" s="5">
        <f>(L122*($E122/366))+(L123*($E123/366))+(L124*($E124/366))</f>
        <v>0</v>
      </c>
      <c r="D214" s="5">
        <f>(M122*($E122/366))+(M123*($E123/366))+(M124*($E124/366))</f>
        <v>62.841530054644814</v>
      </c>
      <c r="E214" s="17">
        <f t="shared" si="45"/>
        <v>98.384414350201951</v>
      </c>
      <c r="G214" s="1">
        <v>2012</v>
      </c>
      <c r="H214" s="362">
        <f>(O122/$R122*100*($E122/366))+(O123/$R123*100*($E123/366))+(O124/$R124*100*($E124/366))</f>
        <v>37.158469945355193</v>
      </c>
      <c r="I214" s="362"/>
      <c r="J214" s="362">
        <f>(P122/$R122*100*($E122/366))+(P123/$R123*100*($E123/366))+(P124/$R124*100*($E124/366))</f>
        <v>0</v>
      </c>
      <c r="K214" s="362"/>
      <c r="L214" s="362">
        <f>(Q122/$R122*100*($E122/366))+(Q123/$R123*100*($E123/366))+(Q124/$R124*100*($E124/366))</f>
        <v>62.841530054644814</v>
      </c>
      <c r="M214" s="362"/>
      <c r="N214" s="363">
        <f t="shared" ref="N214:N219" si="48">SUM(H214:M214)</f>
        <v>100</v>
      </c>
      <c r="O214" s="363"/>
      <c r="R214" s="1">
        <v>2012</v>
      </c>
      <c r="S214" s="5">
        <f>(O122*($E122/366))+(O123*($E123/366))+(O124*($E124/366))</f>
        <v>20.10273224043716</v>
      </c>
      <c r="T214" s="5">
        <f>(P122*($E122/366))+(P123*($E123/366))+(P124*($E124/366))</f>
        <v>0</v>
      </c>
      <c r="U214" s="5">
        <f>(Q122*($E122/366))+(Q123*($E123/366))+(Q124*($E124/366))</f>
        <v>32.168579234972682</v>
      </c>
      <c r="W214" s="10">
        <f t="shared" si="47"/>
        <v>52.271311475409846</v>
      </c>
      <c r="X214" s="4"/>
    </row>
    <row r="215" spans="1:24" x14ac:dyDescent="0.15">
      <c r="A215" s="1">
        <v>2013</v>
      </c>
      <c r="B215" s="5">
        <f>(K125*($E125/365))+(K126*($E126/365))</f>
        <v>0</v>
      </c>
      <c r="C215" s="5">
        <f>(L125*($E125/365))+(L126*($E126/365))</f>
        <v>0</v>
      </c>
      <c r="D215" s="5">
        <f>(M125*($E125/365))+(M126*($E126/365))</f>
        <v>100</v>
      </c>
      <c r="E215" s="17">
        <f t="shared" si="45"/>
        <v>100</v>
      </c>
      <c r="G215" s="1">
        <v>2013</v>
      </c>
      <c r="H215" s="362">
        <f>(O125/$R125*100*($E125/365))+(O126/$R126*100*($E126/365))</f>
        <v>0</v>
      </c>
      <c r="I215" s="362"/>
      <c r="J215" s="362">
        <f>(P125/$R125*100*($E125/365))+(P126/$R126*100*($E126/365))</f>
        <v>0</v>
      </c>
      <c r="K215" s="362"/>
      <c r="L215" s="362">
        <f>(Q125/$R125*100*($E125/365))+(Q126/$R126*100*($E126/365))</f>
        <v>100</v>
      </c>
      <c r="M215" s="362"/>
      <c r="N215" s="363">
        <f t="shared" si="48"/>
        <v>100</v>
      </c>
      <c r="O215" s="363"/>
      <c r="R215" s="1">
        <v>2013</v>
      </c>
      <c r="S215" s="5">
        <f>(O125*($E125/365))+(O126*($E126/365))</f>
        <v>0</v>
      </c>
      <c r="T215" s="5">
        <f>(P125*($E125/365))+(P126*($E126/365))</f>
        <v>0</v>
      </c>
      <c r="U215" s="5">
        <f>(Q125*($E125/365))+(Q126*($E126/365))</f>
        <v>53.5</v>
      </c>
      <c r="W215" s="10">
        <f>SUM(S215:U215)</f>
        <v>53.5</v>
      </c>
    </row>
    <row r="216" spans="1:24" x14ac:dyDescent="0.15">
      <c r="A216" s="1">
        <v>2014</v>
      </c>
      <c r="B216" s="5">
        <f>(K127*($E127/365))+(K128*($E128/365))+(K129*($E129/365))</f>
        <v>0</v>
      </c>
      <c r="C216" s="5">
        <f>(L127*($E127/365))+(L128*($E128/365))+(L129*($E129/365))</f>
        <v>0</v>
      </c>
      <c r="D216" s="5">
        <f>(M127*($E127/365))+(M128*($E128/365))+(M129*($E129/365))</f>
        <v>100</v>
      </c>
      <c r="E216" s="17">
        <f>SUM(B216:D216)</f>
        <v>100</v>
      </c>
      <c r="G216" s="1">
        <v>2014</v>
      </c>
      <c r="H216" s="362">
        <f>(O127/$R127*100*($E127/365))+(O128/$R128*100*($E128/365))+(O129/$R129*100*($E129/365))</f>
        <v>0</v>
      </c>
      <c r="I216" s="362"/>
      <c r="J216" s="362">
        <f>(P127/$R127*100*($E127/365))+(P128/$R128*100*($E128/365))+(P129/$R129*100*($E129/365))</f>
        <v>0</v>
      </c>
      <c r="K216" s="362"/>
      <c r="L216" s="362">
        <f>(Q127/$R127*100*($E127/365))+(Q128/$R128*100*($E128/365))+(Q129/$R129*100*($E129/365))</f>
        <v>100</v>
      </c>
      <c r="M216" s="362"/>
      <c r="N216" s="363">
        <f t="shared" si="48"/>
        <v>100</v>
      </c>
      <c r="O216" s="363"/>
      <c r="R216" s="1">
        <v>2014</v>
      </c>
      <c r="S216" s="5">
        <f>(O127*($E127/365))+(O128*($E128/365))+(O129*($E129/365))</f>
        <v>0</v>
      </c>
      <c r="T216" s="5">
        <f>(P127*($E127/365))+(P128*($E128/365))+(P129*($E129/365))</f>
        <v>0</v>
      </c>
      <c r="U216" s="5">
        <f>(Q127*($E127/365))+(Q128*($E128/365))+(Q129*($E129/365))</f>
        <v>51.004657534246576</v>
      </c>
      <c r="W216" s="10">
        <f>SUM(S216:U216)</f>
        <v>51.004657534246576</v>
      </c>
    </row>
    <row r="217" spans="1:24" x14ac:dyDescent="0.15">
      <c r="A217" s="1">
        <v>2015</v>
      </c>
      <c r="B217" s="5">
        <f>(K130*($E130/365))+(K131*($E131/365))</f>
        <v>0</v>
      </c>
      <c r="C217" s="5">
        <f>(L130*($E130/365))+(L131*($E131/365))</f>
        <v>0</v>
      </c>
      <c r="D217" s="5">
        <f>(M130*($E130/365))+(M131*($E131/365))</f>
        <v>100</v>
      </c>
      <c r="E217" s="17">
        <f>SUM(B217:D217)</f>
        <v>100</v>
      </c>
      <c r="G217" s="1">
        <v>2015</v>
      </c>
      <c r="H217" s="362">
        <f>(O130/$R130*100*($E130/365))+(O131/$R131*100*($E131/365))</f>
        <v>0</v>
      </c>
      <c r="I217" s="362"/>
      <c r="J217" s="362">
        <f>(P130/$R130*100*($E130/365))+(P131/$R131*100*($E131/365))</f>
        <v>0</v>
      </c>
      <c r="K217" s="362"/>
      <c r="L217" s="362">
        <f>(Q130/$R130*100*($E130/365))+(Q131/$R131*100*($E131/365))</f>
        <v>100</v>
      </c>
      <c r="M217" s="362"/>
      <c r="N217" s="363">
        <f t="shared" si="48"/>
        <v>100</v>
      </c>
      <c r="O217" s="363"/>
      <c r="R217" s="1">
        <v>2015</v>
      </c>
      <c r="S217" s="5">
        <f>(O130*($E130/365))+(O131*($E131/365))</f>
        <v>0</v>
      </c>
      <c r="T217" s="5">
        <f>(P130*($E130/365))+(P131*($E131/365))</f>
        <v>0</v>
      </c>
      <c r="U217" s="5">
        <f>(Q130*($E130/365))+(Q131*($E131/365))</f>
        <v>50.2</v>
      </c>
      <c r="W217" s="10">
        <f>SUM(S217:U217)</f>
        <v>50.2</v>
      </c>
    </row>
    <row r="218" spans="1:24" x14ac:dyDescent="0.15">
      <c r="A218" s="1">
        <v>2016</v>
      </c>
      <c r="B218" s="5">
        <f>(K132*($E132/366))+(K133*($E133/366))+(K134*($E134/366))+(K135*($E135/366))+(K136*($E136/366))</f>
        <v>0</v>
      </c>
      <c r="C218" s="5">
        <f>(L132*($E132/366))+(L133*($E133/366))+(L134*($E134/366))+(L135*($E135/366))+(L136*($E136/366))</f>
        <v>0</v>
      </c>
      <c r="D218" s="5">
        <f>(M132*($E132/366))+(M133*($E133/366))+(M134*($E134/366))+(M135*($E135/366))+(M136*($E136/366))</f>
        <v>100</v>
      </c>
      <c r="E218" s="17">
        <f>SUM(B218:D218)</f>
        <v>100</v>
      </c>
      <c r="G218" s="1">
        <v>2016</v>
      </c>
      <c r="H218" s="362">
        <f>(O132/$R132*100*($E132/366))+(O133/$R133*100*($E133/366))+(O134/$R134*100*($E134/366))+(O135/$R135*100*($E135/366))+(O136/$R136*100*($E136/366))</f>
        <v>0</v>
      </c>
      <c r="I218" s="362"/>
      <c r="J218" s="362">
        <f>(P132/$R132*100*($E132/366))+(P133/$R133*100*($E133/366))+(P134/$R134*100*($E134/366))+(P135/$R135*100*($E135/366))+(P136/$R136*100*($E136/366))</f>
        <v>0</v>
      </c>
      <c r="K218" s="362"/>
      <c r="L218" s="362">
        <f>(Q132/$R132*100*($E132/366))+(Q133/$R133*100*($E133/366))+(Q134/$R134*100*($E134/366))+(Q135/$R135*100*($E135/366))+(Q136/$R136*100*($E136/366))</f>
        <v>100</v>
      </c>
      <c r="M218" s="362"/>
      <c r="N218" s="363">
        <f t="shared" si="48"/>
        <v>100</v>
      </c>
      <c r="O218" s="363"/>
      <c r="R218" s="1">
        <v>2016</v>
      </c>
      <c r="S218" s="5">
        <f>(O132*($E132/366))+(O133*($E133/366))+(O134*($E134/366))+(O135*($E135/366))+(O136*($E136/366))</f>
        <v>0</v>
      </c>
      <c r="T218" s="5">
        <f>(P132*($E132/366))+(P133*($E133/366))+(P134*($E134/366))+(P135*($E135/366))+(P136*($E136/366))</f>
        <v>0</v>
      </c>
      <c r="U218" s="5">
        <f>(Q132*($E132/366))+(Q133*($E133/366))+(Q134*($E134/366))+(Q135*($E135/366))+(Q136*($E136/366))</f>
        <v>53.130327868852461</v>
      </c>
      <c r="W218" s="10">
        <f>SUM(S218:U218)</f>
        <v>53.130327868852461</v>
      </c>
    </row>
    <row r="219" spans="1:24" x14ac:dyDescent="0.15">
      <c r="A219" s="1">
        <v>2017</v>
      </c>
      <c r="B219" s="5">
        <f>(K137*($E137/365))+(K138*($E138/365))+(K139*($E139/365))</f>
        <v>29.156452775775055</v>
      </c>
      <c r="C219" s="5">
        <f>(L137*($E137/365))+(L138*($E138/365))+(L139*($E139/365))</f>
        <v>4.4152847873107426</v>
      </c>
      <c r="D219" s="5">
        <f>(M137*($E137/365))+(M138*($E138/365))+(M139*($E139/365))</f>
        <v>37.649603460706558</v>
      </c>
      <c r="E219" s="17">
        <f>SUM(B219:D219)</f>
        <v>71.221341023792348</v>
      </c>
      <c r="G219" s="1">
        <v>2017</v>
      </c>
      <c r="H219" s="362">
        <f>(O137/$R137*100*($E137/365))+(O138/$R138*100*($E138/365))+(O139/$R139*100*($E139/365))</f>
        <v>51.526675118389569</v>
      </c>
      <c r="I219" s="362"/>
      <c r="J219" s="362">
        <f>(P137/$R137*100*($E137/365))+(P138/$R138*100*($E138/365))+(P139/$R139*100*($E139/365))</f>
        <v>6.4964874365493168</v>
      </c>
      <c r="K219" s="362"/>
      <c r="L219" s="362">
        <f>(Q137/$R137*100*($E137/365))+(Q138/$R138*100*($E138/365))+(Q139/$R139*100*($E139/365))</f>
        <v>41.976837445061115</v>
      </c>
      <c r="M219" s="362"/>
      <c r="N219" s="363">
        <f t="shared" si="48"/>
        <v>100</v>
      </c>
      <c r="O219" s="363"/>
      <c r="R219" s="1">
        <v>2017</v>
      </c>
      <c r="S219" s="5">
        <f>(O137*($E137/365))+(O138*($E138/365))+(O139*($E139/365))</f>
        <v>32.335342465753428</v>
      </c>
      <c r="T219" s="5">
        <f>(P137*($E137/365))+(P138*($E138/365))+(P139*($E139/365))</f>
        <v>3.9528767123287669</v>
      </c>
      <c r="U219" s="5">
        <f>(Q137*($E137/365))+(Q138*($E138/365))+(Q139*($E139/365))</f>
        <v>24.573972602739726</v>
      </c>
      <c r="W219" s="10">
        <f>SUM(S219:U219)</f>
        <v>60.862191780821917</v>
      </c>
    </row>
    <row r="220" spans="1:24" x14ac:dyDescent="0.15">
      <c r="A220" s="1">
        <v>2018</v>
      </c>
      <c r="B220" s="5">
        <f>(K140*($E140/365))+(K141*($E141/365))</f>
        <v>51.917808219178085</v>
      </c>
      <c r="C220" s="5">
        <f>(L140*($E140/365))+(L141*($E141/365))</f>
        <v>5.8630136986301373</v>
      </c>
      <c r="D220" s="5">
        <f>(M140*($E140/365))+(M141*($E141/365))</f>
        <v>0</v>
      </c>
      <c r="E220" s="17">
        <f t="shared" ref="E220" si="49">SUM(B220:D220)</f>
        <v>57.780821917808225</v>
      </c>
      <c r="G220" s="1">
        <v>2018</v>
      </c>
      <c r="H220" s="362">
        <f>(O140/$R140*100*($E140/365))+(O141/$R141*100*($E141/365))</f>
        <v>88.038798289617375</v>
      </c>
      <c r="I220" s="362"/>
      <c r="J220" s="362">
        <f>(P140/$R140*100*($E140/365))+(P141/$R141*100*($E141/365))</f>
        <v>11.961201710382616</v>
      </c>
      <c r="K220" s="362"/>
      <c r="L220" s="362">
        <f>(Q140/$R140*100*($E140/365))+(Q141/$R141*100*($E141/365))</f>
        <v>0</v>
      </c>
      <c r="M220" s="362"/>
      <c r="N220" s="363">
        <f t="shared" ref="N220" si="50">SUM(H220:M220)</f>
        <v>99.999999999999986</v>
      </c>
      <c r="O220" s="363"/>
      <c r="R220" s="1">
        <v>2018</v>
      </c>
      <c r="S220" s="5">
        <f>(O140*($E140/365))+(O141*($E141/365))</f>
        <v>53.737534246575336</v>
      </c>
      <c r="T220" s="5">
        <f>(P140*($E140/365))+(P141*($E141/365))</f>
        <v>7.3</v>
      </c>
      <c r="U220" s="5">
        <f>(Q140*($E140/365))+(Q141*($E141/365))</f>
        <v>0</v>
      </c>
      <c r="W220" s="10">
        <f t="shared" ref="W220" si="51">SUM(S220:U220)</f>
        <v>61.037534246575333</v>
      </c>
    </row>
    <row r="221" spans="1:24" x14ac:dyDescent="0.15">
      <c r="A221" s="1">
        <v>2019</v>
      </c>
      <c r="B221" s="5">
        <f>(K142*($E142/365))+(K143*($E143/365))</f>
        <v>57.596513075965127</v>
      </c>
      <c r="C221" s="5">
        <f>(L142*($E142/365))+(L143*($E143/365))</f>
        <v>9.4229970942299701</v>
      </c>
      <c r="D221" s="5">
        <f>(M142*($E142/365))+(M143*($E143/365))</f>
        <v>0</v>
      </c>
      <c r="E221" s="17">
        <f t="shared" ref="E221" si="52">SUM(B221:D221)</f>
        <v>67.019510170195105</v>
      </c>
      <c r="G221" s="1">
        <v>2019</v>
      </c>
      <c r="H221" s="362">
        <f>(O142/$R142*100*($E142/365))+(O143/$R143*100*($E143/365))</f>
        <v>88.282504012841102</v>
      </c>
      <c r="I221" s="362"/>
      <c r="J221" s="362">
        <f>(P142/$R142*100*($E142/365))+(P143/$R143*100*($E143/365))</f>
        <v>11.717495987158909</v>
      </c>
      <c r="K221" s="362"/>
      <c r="L221" s="362">
        <f>(Q142/$R142*100*($E142/365))+(Q143/$R143*100*($E143/365))</f>
        <v>0</v>
      </c>
      <c r="M221" s="362"/>
      <c r="N221" s="363">
        <f t="shared" ref="N221" si="53">SUM(H221:M221)</f>
        <v>100.00000000000001</v>
      </c>
      <c r="O221" s="363"/>
      <c r="R221" s="1">
        <v>2019</v>
      </c>
      <c r="S221" s="5">
        <f>(O142*($E142/365))+(O143*($E143/365))</f>
        <v>54.999999999999993</v>
      </c>
      <c r="T221" s="5">
        <f>(P142*($E142/365))+(P143*($E143/365))</f>
        <v>7.3</v>
      </c>
      <c r="U221" s="5">
        <f>(Q142*($E142/365))+(Q143*($E143/365))</f>
        <v>0</v>
      </c>
      <c r="W221" s="10">
        <f t="shared" ref="W221:W222" si="54">SUM(S221:U221)</f>
        <v>62.29999999999999</v>
      </c>
    </row>
    <row r="222" spans="1:24" x14ac:dyDescent="0.15">
      <c r="A222" s="1">
        <v>2020</v>
      </c>
      <c r="B222" s="5">
        <f>(K144*($E144/366))+(K145*($E145/366))+(K146*($E146/366))</f>
        <v>50.391085395906991</v>
      </c>
      <c r="C222" s="5">
        <f>(L144*($E144/366))+(L145*($E145/366))+(L146*($E146/366))</f>
        <v>7.7528279071191308</v>
      </c>
      <c r="D222" s="5">
        <f>(M144*($E144/366))+(M145*($E145/366))+(M146*($E146/366))</f>
        <v>19.846627175460348</v>
      </c>
      <c r="E222" s="17">
        <f>SUM(B222:D222)</f>
        <v>77.99054047848648</v>
      </c>
      <c r="G222" s="1">
        <v>2020</v>
      </c>
      <c r="H222" s="362">
        <f>(O144/$R144*100*($E144/366))+(O145/$R145*100*($E145/366))+(O146/$R146*100*($E146/366))</f>
        <v>88.132291876780798</v>
      </c>
      <c r="I222" s="362"/>
      <c r="J222" s="392">
        <f>(P144/$R144*100*($E144/366))+(P145/$R145*100*($E145/366))+(P146/$R146*100*($E146/366))</f>
        <v>11.867708123219209</v>
      </c>
      <c r="K222" s="392"/>
      <c r="L222" s="392">
        <f>(Q144/$R144*100*($E144/366))+(Q145/$R145*100*($E145/366))+(Q146/$R146*100*($E146/366))</f>
        <v>0</v>
      </c>
      <c r="M222" s="392"/>
      <c r="N222" s="363">
        <f>SUM(H222:M222)</f>
        <v>100</v>
      </c>
      <c r="O222" s="363"/>
      <c r="R222" s="1">
        <v>2020</v>
      </c>
      <c r="S222" s="5">
        <f>(O144*($E144/366))+(O145*($E145/366))+(O146*($E146/366))</f>
        <v>54.221857923497268</v>
      </c>
      <c r="T222" s="5">
        <f>(P144*($E144/366))+(P145*($E145/366))+(P146*($E146/366))</f>
        <v>7.3</v>
      </c>
      <c r="U222" s="5">
        <f>(Q144*($E144/366))+(Q145*($E145/366))+(Q146*($E146/366))</f>
        <v>0</v>
      </c>
      <c r="W222" s="10">
        <f t="shared" si="54"/>
        <v>61.521857923497265</v>
      </c>
    </row>
    <row r="223" spans="1:24" x14ac:dyDescent="0.15">
      <c r="A223" s="1">
        <v>2021</v>
      </c>
      <c r="B223" s="5">
        <f>(K147*($E147/365))+(K148*($E148/365))</f>
        <v>47.058823529411761</v>
      </c>
      <c r="C223" s="5">
        <f>(L147*($E147/365))+(L148*($E148/365))</f>
        <v>5.8823529411764701</v>
      </c>
      <c r="D223" s="5">
        <f>(M147*($E147/365))+(M148*($E148/365))</f>
        <v>29.411764705882355</v>
      </c>
      <c r="E223" s="17">
        <f>SUM(B223:D223)</f>
        <v>82.35294117647058</v>
      </c>
      <c r="G223" s="1">
        <v>2021</v>
      </c>
      <c r="H223" s="362">
        <f>(O147/$R147*100*($E147/365))+(O148/$R148*100*($E148/365))</f>
        <v>87.973640856672162</v>
      </c>
      <c r="I223" s="362"/>
      <c r="J223" s="392">
        <f>(P147/$R147*100*($E147/365))+(P148/$R148*100*($E148/365))</f>
        <v>12.026359143327843</v>
      </c>
      <c r="K223" s="392"/>
      <c r="L223" s="392">
        <f>(Q147/$R147*100*($E147/365))+(Q148/$R148*100*($E148/365))</f>
        <v>0</v>
      </c>
      <c r="M223" s="392"/>
      <c r="N223" s="363">
        <f>SUM(H223:M223)</f>
        <v>100</v>
      </c>
      <c r="O223" s="363"/>
      <c r="R223" s="1">
        <v>2021</v>
      </c>
      <c r="S223" s="5">
        <f>(O147*($E147/365))+(O148*($E148/365))</f>
        <v>53.4</v>
      </c>
      <c r="T223" s="5">
        <f>(P147*($E147/365))+(P148*($E148/365))</f>
        <v>7.3</v>
      </c>
      <c r="U223" s="5">
        <f>(Q147*($E147/365))+(Q148*($E148/365))</f>
        <v>0</v>
      </c>
      <c r="W223" s="10">
        <f>SUM(S223:U223)</f>
        <v>60.699999999999996</v>
      </c>
    </row>
    <row r="224" spans="1:24" x14ac:dyDescent="0.15">
      <c r="A224" s="1">
        <v>2022</v>
      </c>
      <c r="B224" s="5">
        <f>(K149*($E149/365))+(K150*($E150/365))+(K152*($E152/365))+(K153*($E153/365))</f>
        <v>48.298590430811991</v>
      </c>
      <c r="C224" s="5">
        <f>(L149*($E149/365))+(L150*($E150/365))+(L152*($E152/365))+(L153*($E153/365))</f>
        <v>6.2006154457018061</v>
      </c>
      <c r="D224" s="5">
        <f>(M149*($E149/365))+(M150*($E150/365))+(M152*($E152/365))+(M153*($E153/365))</f>
        <v>10.958904109589042</v>
      </c>
      <c r="E224" s="17">
        <f>SUM(B224:D224)</f>
        <v>65.458109986102841</v>
      </c>
      <c r="G224" s="1">
        <v>2022</v>
      </c>
      <c r="H224" s="362">
        <f>(O149/$R149*100*($E149/365))+(O150/$R150*100*($E150/365))+(O152/$R152*100*($E152/365))+(O153/$R153*100*($E153/365))</f>
        <v>74.755694754044328</v>
      </c>
      <c r="I224" s="362"/>
      <c r="J224" s="392">
        <f>(P149/$R149*100*($E149/365))+(P150/$R150*100*($E150/365))+(P152/$R152*100*($E152/365))+(P153/$R153*100*($E153/365))</f>
        <v>14.833346341846093</v>
      </c>
      <c r="K224" s="392"/>
      <c r="L224" s="392">
        <f>(Q149/$R149*100*($E149/365))+(Q150/$R150*100*($E150/365))+(Q152/$R152*100*($E152/365))+(Q153/$R153*100*($E153/365))</f>
        <v>0</v>
      </c>
      <c r="M224" s="392"/>
      <c r="N224" s="363">
        <f>SUM(H224:M224)</f>
        <v>89.589041095890423</v>
      </c>
      <c r="O224" s="363"/>
      <c r="R224" s="1">
        <v>2022</v>
      </c>
      <c r="S224" s="5">
        <f>(O149*($E149/365))+(O150*($E150/365))+(O152*($E152/365))+(O153*($E153/365))</f>
        <v>39.134246575342466</v>
      </c>
      <c r="T224" s="5">
        <f>(P149*($E149/365))+(P150*($E150/365))+(P152*($E152/365))+(P153*($E153/365))</f>
        <v>7.4304109589041101</v>
      </c>
      <c r="U224" s="5">
        <f>(Q149*($E149/365))+(Q150*($E150/365))+(Q152*($E152/365))+(Q153*($E153/365))</f>
        <v>0</v>
      </c>
      <c r="W224" s="10">
        <f>SUM(S224:U224)</f>
        <v>46.564657534246578</v>
      </c>
    </row>
  </sheetData>
  <mergeCells count="431">
    <mergeCell ref="H224:I224"/>
    <mergeCell ref="J224:K224"/>
    <mergeCell ref="L224:M224"/>
    <mergeCell ref="N224:O224"/>
    <mergeCell ref="H223:I223"/>
    <mergeCell ref="J223:K223"/>
    <mergeCell ref="L223:M223"/>
    <mergeCell ref="N223:O223"/>
    <mergeCell ref="H222:I222"/>
    <mergeCell ref="J222:K222"/>
    <mergeCell ref="L222:M222"/>
    <mergeCell ref="N222:O222"/>
    <mergeCell ref="N202:O202"/>
    <mergeCell ref="N203:O203"/>
    <mergeCell ref="N204:O204"/>
    <mergeCell ref="L214:M214"/>
    <mergeCell ref="L203:M203"/>
    <mergeCell ref="L204:M204"/>
    <mergeCell ref="L205:M205"/>
    <mergeCell ref="L206:M206"/>
    <mergeCell ref="L207:M207"/>
    <mergeCell ref="L208:M208"/>
    <mergeCell ref="L209:M209"/>
    <mergeCell ref="L210:M210"/>
    <mergeCell ref="L211:M211"/>
    <mergeCell ref="L212:M212"/>
    <mergeCell ref="L213:M213"/>
    <mergeCell ref="J212:K212"/>
    <mergeCell ref="C142:D142"/>
    <mergeCell ref="C143:D143"/>
    <mergeCell ref="H221:I221"/>
    <mergeCell ref="J221:K221"/>
    <mergeCell ref="L221:M221"/>
    <mergeCell ref="N221:O221"/>
    <mergeCell ref="H218:I218"/>
    <mergeCell ref="J218:K218"/>
    <mergeCell ref="L218:M218"/>
    <mergeCell ref="N218:O218"/>
    <mergeCell ref="H219:I219"/>
    <mergeCell ref="N213:O213"/>
    <mergeCell ref="N214:O214"/>
    <mergeCell ref="N205:O205"/>
    <mergeCell ref="N206:O206"/>
    <mergeCell ref="N207:O207"/>
    <mergeCell ref="N208:O208"/>
    <mergeCell ref="N210:O210"/>
    <mergeCell ref="N209:O209"/>
    <mergeCell ref="N211:O211"/>
    <mergeCell ref="N212:O212"/>
    <mergeCell ref="N199:O199"/>
    <mergeCell ref="N200:O200"/>
    <mergeCell ref="N201:O201"/>
    <mergeCell ref="AT4:AW4"/>
    <mergeCell ref="AX4:BA4"/>
    <mergeCell ref="C7:D7"/>
    <mergeCell ref="C6:D6"/>
    <mergeCell ref="N181:O181"/>
    <mergeCell ref="N182:O182"/>
    <mergeCell ref="N183:O183"/>
    <mergeCell ref="N184:O184"/>
    <mergeCell ref="N185:O185"/>
    <mergeCell ref="N175:O175"/>
    <mergeCell ref="N176:O176"/>
    <mergeCell ref="N177:O177"/>
    <mergeCell ref="N178:O178"/>
    <mergeCell ref="N179:O179"/>
    <mergeCell ref="N180:O180"/>
    <mergeCell ref="N169:O169"/>
    <mergeCell ref="N170:O170"/>
    <mergeCell ref="C146:D146"/>
    <mergeCell ref="L168:M168"/>
    <mergeCell ref="L169:M169"/>
    <mergeCell ref="L170:M170"/>
    <mergeCell ref="L172:M172"/>
    <mergeCell ref="L173:M173"/>
    <mergeCell ref="L199:M199"/>
    <mergeCell ref="L200:M200"/>
    <mergeCell ref="L201:M201"/>
    <mergeCell ref="L202:M202"/>
    <mergeCell ref="L191:M191"/>
    <mergeCell ref="L192:M192"/>
    <mergeCell ref="L193:M193"/>
    <mergeCell ref="L194:M194"/>
    <mergeCell ref="L184:M184"/>
    <mergeCell ref="L185:M185"/>
    <mergeCell ref="N186:O186"/>
    <mergeCell ref="L190:M190"/>
    <mergeCell ref="L195:M195"/>
    <mergeCell ref="L196:M196"/>
    <mergeCell ref="L197:M197"/>
    <mergeCell ref="L198:M198"/>
    <mergeCell ref="N187:O187"/>
    <mergeCell ref="N188:O188"/>
    <mergeCell ref="N189:O189"/>
    <mergeCell ref="N190:O190"/>
    <mergeCell ref="N191:O191"/>
    <mergeCell ref="N192:O192"/>
    <mergeCell ref="N196:O196"/>
    <mergeCell ref="N197:O197"/>
    <mergeCell ref="N198:O198"/>
    <mergeCell ref="N193:O193"/>
    <mergeCell ref="L188:M188"/>
    <mergeCell ref="L189:M189"/>
    <mergeCell ref="L186:M186"/>
    <mergeCell ref="L187:M187"/>
    <mergeCell ref="N195:O195"/>
    <mergeCell ref="N194:O194"/>
    <mergeCell ref="J183:K183"/>
    <mergeCell ref="J180:K180"/>
    <mergeCell ref="J184:K184"/>
    <mergeCell ref="J185:K185"/>
    <mergeCell ref="N171:O171"/>
    <mergeCell ref="N172:O172"/>
    <mergeCell ref="N173:O173"/>
    <mergeCell ref="N174:O174"/>
    <mergeCell ref="L179:M179"/>
    <mergeCell ref="L180:M180"/>
    <mergeCell ref="L181:M181"/>
    <mergeCell ref="L171:M171"/>
    <mergeCell ref="L175:M175"/>
    <mergeCell ref="L176:M176"/>
    <mergeCell ref="L174:M174"/>
    <mergeCell ref="L182:M182"/>
    <mergeCell ref="L183:M183"/>
    <mergeCell ref="J213:K213"/>
    <mergeCell ref="J194:K194"/>
    <mergeCell ref="J195:K195"/>
    <mergeCell ref="J196:K196"/>
    <mergeCell ref="J214:K214"/>
    <mergeCell ref="L162:M162"/>
    <mergeCell ref="L163:M163"/>
    <mergeCell ref="L164:M164"/>
    <mergeCell ref="L165:M165"/>
    <mergeCell ref="L166:M166"/>
    <mergeCell ref="J204:K204"/>
    <mergeCell ref="J205:K205"/>
    <mergeCell ref="J206:K206"/>
    <mergeCell ref="J207:K207"/>
    <mergeCell ref="J208:K208"/>
    <mergeCell ref="J209:K209"/>
    <mergeCell ref="J198:K198"/>
    <mergeCell ref="J199:K199"/>
    <mergeCell ref="J200:K200"/>
    <mergeCell ref="J201:K201"/>
    <mergeCell ref="J202:K202"/>
    <mergeCell ref="J203:K203"/>
    <mergeCell ref="J192:K192"/>
    <mergeCell ref="J182:K182"/>
    <mergeCell ref="R158:W158"/>
    <mergeCell ref="H160:I160"/>
    <mergeCell ref="J160:K160"/>
    <mergeCell ref="L160:M160"/>
    <mergeCell ref="N160:O160"/>
    <mergeCell ref="H162:I162"/>
    <mergeCell ref="N162:O162"/>
    <mergeCell ref="H161:I161"/>
    <mergeCell ref="J161:K161"/>
    <mergeCell ref="L161:M161"/>
    <mergeCell ref="J162:K162"/>
    <mergeCell ref="O3:Q3"/>
    <mergeCell ref="C9:D9"/>
    <mergeCell ref="C10:D10"/>
    <mergeCell ref="A4:A5"/>
    <mergeCell ref="B4:B5"/>
    <mergeCell ref="C4:D5"/>
    <mergeCell ref="E4:E5"/>
    <mergeCell ref="F4:F5"/>
    <mergeCell ref="G4:J4"/>
    <mergeCell ref="G3:M3"/>
    <mergeCell ref="Z4:AC4"/>
    <mergeCell ref="AD4:AG4"/>
    <mergeCell ref="AH4:AK4"/>
    <mergeCell ref="AL4:AO4"/>
    <mergeCell ref="U4:U5"/>
    <mergeCell ref="V4:Y4"/>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C21:D21"/>
    <mergeCell ref="C22:D22"/>
    <mergeCell ref="C23:D23"/>
    <mergeCell ref="C24:D24"/>
    <mergeCell ref="C27:D27"/>
    <mergeCell ref="C28:D28"/>
    <mergeCell ref="C25:D25"/>
    <mergeCell ref="C26:D26"/>
    <mergeCell ref="C29:D29"/>
    <mergeCell ref="C30:D30"/>
    <mergeCell ref="C33:D33"/>
    <mergeCell ref="C34:D34"/>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82:D82"/>
    <mergeCell ref="C79:D79"/>
    <mergeCell ref="C80:D80"/>
    <mergeCell ref="C83:D83"/>
    <mergeCell ref="C84:D84"/>
    <mergeCell ref="C88:D88"/>
    <mergeCell ref="C89:D89"/>
    <mergeCell ref="C86:D86"/>
    <mergeCell ref="C87:D87"/>
    <mergeCell ref="C85:D85"/>
    <mergeCell ref="C90:D90"/>
    <mergeCell ref="C91:D91"/>
    <mergeCell ref="C94:D94"/>
    <mergeCell ref="C95:D95"/>
    <mergeCell ref="C92:D92"/>
    <mergeCell ref="C93:D93"/>
    <mergeCell ref="C96:D96"/>
    <mergeCell ref="C97:D97"/>
    <mergeCell ref="C101:D101"/>
    <mergeCell ref="C102:D102"/>
    <mergeCell ref="C98:D98"/>
    <mergeCell ref="C99:D99"/>
    <mergeCell ref="C100:D100"/>
    <mergeCell ref="C103:D103"/>
    <mergeCell ref="C104:D104"/>
    <mergeCell ref="C107:D107"/>
    <mergeCell ref="C108:D108"/>
    <mergeCell ref="C105:D105"/>
    <mergeCell ref="C106:D106"/>
    <mergeCell ref="C109:D109"/>
    <mergeCell ref="C110:D110"/>
    <mergeCell ref="C120:D120"/>
    <mergeCell ref="C121:D121"/>
    <mergeCell ref="C112:D112"/>
    <mergeCell ref="C113:D113"/>
    <mergeCell ref="C111:D111"/>
    <mergeCell ref="C122:D122"/>
    <mergeCell ref="C124:D124"/>
    <mergeCell ref="C114:D114"/>
    <mergeCell ref="C115:D115"/>
    <mergeCell ref="C116:D116"/>
    <mergeCell ref="C117:D117"/>
    <mergeCell ref="C118:D118"/>
    <mergeCell ref="C119:D119"/>
    <mergeCell ref="C123:D123"/>
    <mergeCell ref="C125:D125"/>
    <mergeCell ref="C126:D126"/>
    <mergeCell ref="L215:M215"/>
    <mergeCell ref="H215:I215"/>
    <mergeCell ref="J215:K215"/>
    <mergeCell ref="N161:O161"/>
    <mergeCell ref="H163:I163"/>
    <mergeCell ref="H164:I164"/>
    <mergeCell ref="C128:D128"/>
    <mergeCell ref="C127:D127"/>
    <mergeCell ref="C129:D129"/>
    <mergeCell ref="H165:I165"/>
    <mergeCell ref="H166:I166"/>
    <mergeCell ref="J168:K168"/>
    <mergeCell ref="J169:K169"/>
    <mergeCell ref="J170:K170"/>
    <mergeCell ref="J171:K171"/>
    <mergeCell ref="H167:I167"/>
    <mergeCell ref="H168:I168"/>
    <mergeCell ref="J163:K163"/>
    <mergeCell ref="J164:K164"/>
    <mergeCell ref="J165:K165"/>
    <mergeCell ref="J166:K166"/>
    <mergeCell ref="J167:K167"/>
    <mergeCell ref="C130:D130"/>
    <mergeCell ref="C131:D131"/>
    <mergeCell ref="H217:I217"/>
    <mergeCell ref="J217:K217"/>
    <mergeCell ref="J172:K172"/>
    <mergeCell ref="J173:K173"/>
    <mergeCell ref="H172:I172"/>
    <mergeCell ref="H173:I173"/>
    <mergeCell ref="H214:I214"/>
    <mergeCell ref="H205:I205"/>
    <mergeCell ref="H206:I206"/>
    <mergeCell ref="H207:I207"/>
    <mergeCell ref="H208:I208"/>
    <mergeCell ref="H209:I209"/>
    <mergeCell ref="H210:I210"/>
    <mergeCell ref="H199:I199"/>
    <mergeCell ref="H200:I200"/>
    <mergeCell ref="H201:I201"/>
    <mergeCell ref="H202:I202"/>
    <mergeCell ref="H213:I213"/>
    <mergeCell ref="H194:I194"/>
    <mergeCell ref="H195:I195"/>
    <mergeCell ref="H196:I196"/>
    <mergeCell ref="H197:I197"/>
    <mergeCell ref="C137:D137"/>
    <mergeCell ref="C138:D138"/>
    <mergeCell ref="C139:D139"/>
    <mergeCell ref="C132:D132"/>
    <mergeCell ref="C135:D135"/>
    <mergeCell ref="C136:D136"/>
    <mergeCell ref="C133:D133"/>
    <mergeCell ref="C134:D134"/>
    <mergeCell ref="H203:I203"/>
    <mergeCell ref="H169:I169"/>
    <mergeCell ref="H170:I170"/>
    <mergeCell ref="H171:I171"/>
    <mergeCell ref="C140:D140"/>
    <mergeCell ref="C141:D141"/>
    <mergeCell ref="H184:I184"/>
    <mergeCell ref="H185:I185"/>
    <mergeCell ref="H186:I186"/>
    <mergeCell ref="H175:I175"/>
    <mergeCell ref="H176:I176"/>
    <mergeCell ref="H180:I180"/>
    <mergeCell ref="H174:I174"/>
    <mergeCell ref="H181:I181"/>
    <mergeCell ref="H182:I182"/>
    <mergeCell ref="H183:I183"/>
    <mergeCell ref="H220:I220"/>
    <mergeCell ref="J220:K220"/>
    <mergeCell ref="L220:M220"/>
    <mergeCell ref="N220:O220"/>
    <mergeCell ref="N219:O219"/>
    <mergeCell ref="L219:M219"/>
    <mergeCell ref="J219:K219"/>
    <mergeCell ref="J174:K174"/>
    <mergeCell ref="L217:M217"/>
    <mergeCell ref="N217:O217"/>
    <mergeCell ref="N216:O216"/>
    <mergeCell ref="N215:O215"/>
    <mergeCell ref="H216:I216"/>
    <mergeCell ref="J216:K216"/>
    <mergeCell ref="L216:M216"/>
    <mergeCell ref="H212:I212"/>
    <mergeCell ref="H198:I198"/>
    <mergeCell ref="H187:I187"/>
    <mergeCell ref="H188:I188"/>
    <mergeCell ref="H189:I189"/>
    <mergeCell ref="H190:I190"/>
    <mergeCell ref="H191:I191"/>
    <mergeCell ref="H192:I192"/>
    <mergeCell ref="H204:I204"/>
    <mergeCell ref="N168:O168"/>
    <mergeCell ref="H211:I211"/>
    <mergeCell ref="H193:I193"/>
    <mergeCell ref="H177:I177"/>
    <mergeCell ref="H178:I178"/>
    <mergeCell ref="H179:I179"/>
    <mergeCell ref="J197:K197"/>
    <mergeCell ref="J186:K186"/>
    <mergeCell ref="J187:K187"/>
    <mergeCell ref="J188:K188"/>
    <mergeCell ref="J189:K189"/>
    <mergeCell ref="J210:K210"/>
    <mergeCell ref="J211:K211"/>
    <mergeCell ref="J193:K193"/>
    <mergeCell ref="L177:M177"/>
    <mergeCell ref="L178:M178"/>
    <mergeCell ref="J190:K190"/>
    <mergeCell ref="J191:K191"/>
    <mergeCell ref="J175:K175"/>
    <mergeCell ref="J176:K176"/>
    <mergeCell ref="J177:K177"/>
    <mergeCell ref="J178:K178"/>
    <mergeCell ref="J179:K179"/>
    <mergeCell ref="J181:K181"/>
    <mergeCell ref="C149:D149"/>
    <mergeCell ref="C150:D150"/>
    <mergeCell ref="C144:D144"/>
    <mergeCell ref="C145:D145"/>
    <mergeCell ref="N163:O163"/>
    <mergeCell ref="N164:O164"/>
    <mergeCell ref="N165:O165"/>
    <mergeCell ref="N166:O166"/>
    <mergeCell ref="N167:O167"/>
    <mergeCell ref="L167:M167"/>
    <mergeCell ref="C147:D147"/>
    <mergeCell ref="C148:D148"/>
    <mergeCell ref="C152:D152"/>
    <mergeCell ref="C153:D153"/>
    <mergeCell ref="C151:D151"/>
    <mergeCell ref="C154:D154"/>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74" formulaRange="1"/>
  </ignoredErrors>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BA207"/>
  <sheetViews>
    <sheetView zoomScale="112" zoomScaleNormal="120" workbookViewId="0">
      <pane xSplit="1" ySplit="5" topLeftCell="AS133"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55</v>
      </c>
    </row>
    <row r="3" spans="1:53" x14ac:dyDescent="0.15">
      <c r="G3" s="397"/>
      <c r="H3" s="397"/>
      <c r="I3" s="397"/>
      <c r="J3" s="397"/>
      <c r="K3" s="397"/>
      <c r="L3" s="397"/>
      <c r="M3" s="397"/>
      <c r="O3" s="397"/>
      <c r="P3" s="397"/>
      <c r="Q3" s="397"/>
      <c r="R3" s="4"/>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139" customFormat="1" x14ac:dyDescent="0.15">
      <c r="A6" s="145">
        <v>1959</v>
      </c>
      <c r="B6" s="294"/>
      <c r="C6" s="382" t="s">
        <v>521</v>
      </c>
      <c r="D6" s="382"/>
      <c r="E6" s="139">
        <v>0</v>
      </c>
      <c r="G6" s="147">
        <v>2</v>
      </c>
      <c r="H6" s="139">
        <v>15</v>
      </c>
      <c r="J6" s="153">
        <v>17</v>
      </c>
      <c r="K6" s="133">
        <f>G6/J6*100</f>
        <v>11.76470588235294</v>
      </c>
      <c r="L6" s="133">
        <f>H6/J6*100</f>
        <v>88.235294117647058</v>
      </c>
      <c r="M6" s="133">
        <f>I6/J6*100</f>
        <v>0</v>
      </c>
      <c r="N6" s="149">
        <f>SUM(K6:M6)</f>
        <v>100</v>
      </c>
      <c r="O6" s="132">
        <v>3.4</v>
      </c>
      <c r="P6" s="133">
        <v>54.4</v>
      </c>
      <c r="Q6" s="133"/>
      <c r="R6" s="134">
        <f>SUM(O6:Q6)</f>
        <v>57.8</v>
      </c>
      <c r="S6" s="139">
        <v>3</v>
      </c>
      <c r="T6" s="306"/>
      <c r="U6" s="294"/>
      <c r="V6" s="138" t="s">
        <v>128</v>
      </c>
      <c r="W6" s="139" t="s">
        <v>17</v>
      </c>
      <c r="X6" s="139" t="s">
        <v>18</v>
      </c>
      <c r="Y6" s="139">
        <v>43.7</v>
      </c>
      <c r="Z6" s="138" t="s">
        <v>129</v>
      </c>
      <c r="AA6" s="139" t="s">
        <v>81</v>
      </c>
      <c r="AB6" s="139" t="s">
        <v>18</v>
      </c>
      <c r="AC6" s="139">
        <v>10.7</v>
      </c>
      <c r="AD6" s="138" t="s">
        <v>130</v>
      </c>
      <c r="AE6" s="139" t="s">
        <v>75</v>
      </c>
      <c r="AF6" s="139" t="s">
        <v>11</v>
      </c>
      <c r="AG6" s="140">
        <v>3.4</v>
      </c>
      <c r="AL6" s="138"/>
      <c r="AO6" s="140"/>
      <c r="AP6" s="138"/>
      <c r="AS6" s="140"/>
      <c r="AW6" s="140"/>
      <c r="BA6" s="141"/>
    </row>
    <row r="7" spans="1:53" s="139" customFormat="1" x14ac:dyDescent="0.15">
      <c r="A7" s="145">
        <v>1959</v>
      </c>
      <c r="B7" s="294"/>
      <c r="C7" s="382" t="s">
        <v>521</v>
      </c>
      <c r="D7" s="382"/>
      <c r="E7" s="139">
        <v>365</v>
      </c>
      <c r="G7" s="147">
        <v>2</v>
      </c>
      <c r="H7" s="139">
        <v>15</v>
      </c>
      <c r="J7" s="153">
        <v>17</v>
      </c>
      <c r="K7" s="133">
        <f>G7/J7*100</f>
        <v>11.76470588235294</v>
      </c>
      <c r="L7" s="133">
        <f>H7/J7*100</f>
        <v>88.235294117647058</v>
      </c>
      <c r="M7" s="133">
        <f>I7/J7*100</f>
        <v>0</v>
      </c>
      <c r="N7" s="149">
        <f>SUM(K7:M7)</f>
        <v>100</v>
      </c>
      <c r="O7" s="132">
        <v>3.4</v>
      </c>
      <c r="P7" s="133">
        <v>54.4</v>
      </c>
      <c r="Q7" s="133"/>
      <c r="R7" s="134">
        <f>SUM(O7:Q7)</f>
        <v>57.8</v>
      </c>
      <c r="S7" s="139">
        <v>3</v>
      </c>
      <c r="T7" s="306"/>
      <c r="U7" s="294"/>
      <c r="V7" s="138" t="s">
        <v>128</v>
      </c>
      <c r="W7" s="139" t="s">
        <v>17</v>
      </c>
      <c r="X7" s="139" t="s">
        <v>18</v>
      </c>
      <c r="Y7" s="139">
        <v>43.7</v>
      </c>
      <c r="Z7" s="138" t="s">
        <v>129</v>
      </c>
      <c r="AA7" s="139" t="s">
        <v>81</v>
      </c>
      <c r="AB7" s="139" t="s">
        <v>18</v>
      </c>
      <c r="AC7" s="139">
        <v>10.7</v>
      </c>
      <c r="AD7" s="138" t="s">
        <v>130</v>
      </c>
      <c r="AE7" s="139" t="s">
        <v>75</v>
      </c>
      <c r="AF7" s="139" t="s">
        <v>11</v>
      </c>
      <c r="AG7" s="140">
        <v>3.4</v>
      </c>
      <c r="AL7" s="138"/>
      <c r="AO7" s="140"/>
      <c r="AP7" s="138"/>
      <c r="AS7" s="140"/>
      <c r="AW7" s="140"/>
      <c r="BA7" s="141"/>
    </row>
    <row r="8" spans="1:53" s="28" customFormat="1" x14ac:dyDescent="0.15">
      <c r="A8" s="51">
        <v>1960</v>
      </c>
      <c r="B8" s="293"/>
      <c r="C8" s="370" t="s">
        <v>521</v>
      </c>
      <c r="D8" s="370"/>
      <c r="E8" s="28">
        <v>182</v>
      </c>
      <c r="G8" s="65">
        <v>2</v>
      </c>
      <c r="H8" s="28">
        <v>15</v>
      </c>
      <c r="J8" s="72">
        <v>17</v>
      </c>
      <c r="K8" s="46">
        <f>G8/J8*100</f>
        <v>11.76470588235294</v>
      </c>
      <c r="L8" s="46">
        <f t="shared" ref="L8:L69" si="0">H8/J8*100</f>
        <v>88.235294117647058</v>
      </c>
      <c r="M8" s="46">
        <f t="shared" ref="M8:M69" si="1">I8/J8*100</f>
        <v>0</v>
      </c>
      <c r="N8" s="67">
        <f>SUM(K8:M8)</f>
        <v>100</v>
      </c>
      <c r="O8" s="45">
        <v>3.4</v>
      </c>
      <c r="P8" s="46">
        <v>54.4</v>
      </c>
      <c r="Q8" s="46"/>
      <c r="R8" s="47">
        <f>SUM(O8:Q8)</f>
        <v>57.8</v>
      </c>
      <c r="S8" s="28">
        <v>3</v>
      </c>
      <c r="T8" s="284"/>
      <c r="U8" s="293"/>
      <c r="V8" s="37" t="s">
        <v>128</v>
      </c>
      <c r="W8" s="28" t="s">
        <v>17</v>
      </c>
      <c r="X8" s="28" t="s">
        <v>18</v>
      </c>
      <c r="Y8" s="28">
        <v>43.7</v>
      </c>
      <c r="Z8" s="37" t="s">
        <v>129</v>
      </c>
      <c r="AA8" s="28" t="s">
        <v>81</v>
      </c>
      <c r="AB8" s="28" t="s">
        <v>18</v>
      </c>
      <c r="AC8" s="28">
        <v>10.7</v>
      </c>
      <c r="AD8" s="37" t="s">
        <v>130</v>
      </c>
      <c r="AE8" s="28" t="s">
        <v>75</v>
      </c>
      <c r="AF8" s="28" t="s">
        <v>11</v>
      </c>
      <c r="AG8" s="38">
        <v>3.4</v>
      </c>
      <c r="AL8" s="37"/>
      <c r="AO8" s="38"/>
      <c r="AP8" s="37"/>
      <c r="AS8" s="38"/>
      <c r="AW8" s="38"/>
      <c r="BA8" s="39"/>
    </row>
    <row r="9" spans="1:53" s="170" customFormat="1" x14ac:dyDescent="0.15">
      <c r="A9" s="215">
        <v>1960</v>
      </c>
      <c r="B9" s="281">
        <v>22098</v>
      </c>
      <c r="C9" s="369" t="s">
        <v>522</v>
      </c>
      <c r="D9" s="369"/>
      <c r="E9" s="170">
        <v>184</v>
      </c>
      <c r="F9" s="170">
        <v>4</v>
      </c>
      <c r="G9" s="232"/>
      <c r="H9" s="170">
        <v>18</v>
      </c>
      <c r="J9" s="240">
        <v>18</v>
      </c>
      <c r="K9" s="213">
        <f t="shared" ref="K9:K69" si="2">G9/J9*100</f>
        <v>0</v>
      </c>
      <c r="L9" s="213">
        <f t="shared" si="0"/>
        <v>100</v>
      </c>
      <c r="M9" s="213">
        <f t="shared" si="1"/>
        <v>0</v>
      </c>
      <c r="N9" s="234">
        <f t="shared" ref="N9:N72" si="3">SUM(K9:M9)</f>
        <v>100</v>
      </c>
      <c r="O9" s="212"/>
      <c r="P9" s="213">
        <v>54.4</v>
      </c>
      <c r="Q9" s="213"/>
      <c r="R9" s="214">
        <f t="shared" ref="R9:R72" si="4">SUM(O9:Q9)</f>
        <v>54.4</v>
      </c>
      <c r="S9" s="170">
        <v>1</v>
      </c>
      <c r="T9" s="283"/>
      <c r="U9" s="281">
        <v>22098</v>
      </c>
      <c r="V9" s="177" t="s">
        <v>128</v>
      </c>
      <c r="W9" s="170" t="s">
        <v>17</v>
      </c>
      <c r="X9" s="170" t="s">
        <v>18</v>
      </c>
      <c r="Y9" s="170">
        <v>43.7</v>
      </c>
      <c r="Z9" s="177" t="s">
        <v>129</v>
      </c>
      <c r="AA9" s="170" t="s">
        <v>81</v>
      </c>
      <c r="AB9" s="170" t="s">
        <v>18</v>
      </c>
      <c r="AC9" s="170">
        <v>10.7</v>
      </c>
      <c r="AD9" s="177"/>
      <c r="AG9" s="178"/>
      <c r="AL9" s="177"/>
      <c r="AO9" s="178"/>
      <c r="AP9" s="177"/>
      <c r="AS9" s="178"/>
      <c r="AW9" s="178"/>
      <c r="BA9" s="179"/>
    </row>
    <row r="10" spans="1:53" s="170" customFormat="1" x14ac:dyDescent="0.15">
      <c r="A10" s="215">
        <v>1961</v>
      </c>
      <c r="B10" s="281"/>
      <c r="C10" s="369" t="s">
        <v>522</v>
      </c>
      <c r="D10" s="369"/>
      <c r="E10" s="170">
        <v>317</v>
      </c>
      <c r="G10" s="232"/>
      <c r="H10" s="170">
        <v>18</v>
      </c>
      <c r="J10" s="240">
        <v>18</v>
      </c>
      <c r="K10" s="213">
        <f t="shared" si="2"/>
        <v>0</v>
      </c>
      <c r="L10" s="213">
        <f t="shared" si="0"/>
        <v>100</v>
      </c>
      <c r="M10" s="213">
        <f t="shared" si="1"/>
        <v>0</v>
      </c>
      <c r="N10" s="234">
        <f t="shared" si="3"/>
        <v>100</v>
      </c>
      <c r="O10" s="212"/>
      <c r="P10" s="213">
        <v>54.4</v>
      </c>
      <c r="Q10" s="213"/>
      <c r="R10" s="214">
        <f t="shared" si="4"/>
        <v>54.4</v>
      </c>
      <c r="S10" s="170">
        <v>1</v>
      </c>
      <c r="T10" s="283"/>
      <c r="U10" s="281"/>
      <c r="V10" s="177" t="s">
        <v>128</v>
      </c>
      <c r="W10" s="170" t="s">
        <v>17</v>
      </c>
      <c r="X10" s="170" t="s">
        <v>18</v>
      </c>
      <c r="Y10" s="170">
        <v>43.7</v>
      </c>
      <c r="Z10" s="177" t="s">
        <v>129</v>
      </c>
      <c r="AA10" s="170" t="s">
        <v>81</v>
      </c>
      <c r="AB10" s="170" t="s">
        <v>18</v>
      </c>
      <c r="AC10" s="170">
        <v>10.7</v>
      </c>
      <c r="AD10" s="177"/>
      <c r="AG10" s="178"/>
      <c r="AL10" s="177"/>
      <c r="AO10" s="178"/>
      <c r="AP10" s="177"/>
      <c r="AS10" s="178"/>
      <c r="AW10" s="178"/>
      <c r="BA10" s="179"/>
    </row>
    <row r="11" spans="1:53" s="28" customFormat="1" x14ac:dyDescent="0.15">
      <c r="A11" s="51">
        <v>1961</v>
      </c>
      <c r="B11" s="293">
        <v>22599</v>
      </c>
      <c r="C11" s="370" t="s">
        <v>523</v>
      </c>
      <c r="D11" s="370"/>
      <c r="E11" s="28">
        <v>48</v>
      </c>
      <c r="F11" s="28">
        <v>1</v>
      </c>
      <c r="G11" s="65">
        <v>5</v>
      </c>
      <c r="H11" s="28">
        <v>16</v>
      </c>
      <c r="J11" s="72">
        <v>21</v>
      </c>
      <c r="K11" s="46">
        <f t="shared" si="2"/>
        <v>23.809523809523807</v>
      </c>
      <c r="L11" s="46">
        <f t="shared" si="0"/>
        <v>76.19047619047619</v>
      </c>
      <c r="M11" s="46">
        <f t="shared" si="1"/>
        <v>0</v>
      </c>
      <c r="N11" s="67">
        <f t="shared" si="3"/>
        <v>100</v>
      </c>
      <c r="O11" s="45">
        <v>13.4</v>
      </c>
      <c r="P11" s="46">
        <v>48.5</v>
      </c>
      <c r="Q11" s="46"/>
      <c r="R11" s="47">
        <f t="shared" si="4"/>
        <v>61.9</v>
      </c>
      <c r="S11" s="28">
        <v>2</v>
      </c>
      <c r="T11" s="284">
        <v>22541</v>
      </c>
      <c r="U11" s="293">
        <v>22599</v>
      </c>
      <c r="V11" s="37" t="s">
        <v>128</v>
      </c>
      <c r="W11" s="28" t="s">
        <v>17</v>
      </c>
      <c r="X11" s="28" t="s">
        <v>18</v>
      </c>
      <c r="Y11" s="28">
        <v>38.5</v>
      </c>
      <c r="Z11" s="37" t="s">
        <v>129</v>
      </c>
      <c r="AA11" s="28" t="s">
        <v>81</v>
      </c>
      <c r="AB11" s="28" t="s">
        <v>18</v>
      </c>
      <c r="AC11" s="28">
        <v>10</v>
      </c>
      <c r="AD11" s="37" t="s">
        <v>131</v>
      </c>
      <c r="AE11" s="28" t="s">
        <v>22</v>
      </c>
      <c r="AF11" s="28" t="s">
        <v>11</v>
      </c>
      <c r="AG11" s="38">
        <v>13.4</v>
      </c>
      <c r="AL11" s="37"/>
      <c r="AO11" s="38"/>
      <c r="AP11" s="37"/>
      <c r="AS11" s="38"/>
      <c r="AW11" s="38"/>
      <c r="BA11" s="39"/>
    </row>
    <row r="12" spans="1:53" s="28" customFormat="1" x14ac:dyDescent="0.15">
      <c r="A12" s="51">
        <v>1962</v>
      </c>
      <c r="B12" s="293"/>
      <c r="C12" s="370" t="s">
        <v>523</v>
      </c>
      <c r="D12" s="370"/>
      <c r="E12" s="28">
        <v>322</v>
      </c>
      <c r="G12" s="65">
        <v>5</v>
      </c>
      <c r="H12" s="28">
        <v>16</v>
      </c>
      <c r="J12" s="72">
        <v>21</v>
      </c>
      <c r="K12" s="46">
        <f t="shared" si="2"/>
        <v>23.809523809523807</v>
      </c>
      <c r="L12" s="46">
        <f t="shared" si="0"/>
        <v>76.19047619047619</v>
      </c>
      <c r="M12" s="46">
        <f t="shared" si="1"/>
        <v>0</v>
      </c>
      <c r="N12" s="67">
        <f t="shared" si="3"/>
        <v>100</v>
      </c>
      <c r="O12" s="45">
        <v>13.4</v>
      </c>
      <c r="P12" s="46">
        <v>48.5</v>
      </c>
      <c r="Q12" s="46"/>
      <c r="R12" s="47">
        <f t="shared" si="4"/>
        <v>61.9</v>
      </c>
      <c r="S12" s="28">
        <v>2</v>
      </c>
      <c r="T12" s="284"/>
      <c r="U12" s="293"/>
      <c r="V12" s="37" t="s">
        <v>128</v>
      </c>
      <c r="W12" s="28" t="s">
        <v>17</v>
      </c>
      <c r="X12" s="28" t="s">
        <v>18</v>
      </c>
      <c r="Y12" s="28">
        <v>38.5</v>
      </c>
      <c r="Z12" s="37" t="s">
        <v>129</v>
      </c>
      <c r="AA12" s="28" t="s">
        <v>81</v>
      </c>
      <c r="AB12" s="28" t="s">
        <v>18</v>
      </c>
      <c r="AC12" s="28">
        <v>10</v>
      </c>
      <c r="AD12" s="37" t="s">
        <v>131</v>
      </c>
      <c r="AE12" s="28" t="s">
        <v>22</v>
      </c>
      <c r="AF12" s="28" t="s">
        <v>11</v>
      </c>
      <c r="AG12" s="38">
        <v>13.4</v>
      </c>
      <c r="AL12" s="37"/>
      <c r="AO12" s="38"/>
      <c r="AP12" s="37"/>
      <c r="AS12" s="38"/>
      <c r="AW12" s="38"/>
      <c r="BA12" s="39"/>
    </row>
    <row r="13" spans="1:53" s="170" customFormat="1" x14ac:dyDescent="0.15">
      <c r="A13" s="215">
        <v>1962</v>
      </c>
      <c r="B13" s="281">
        <v>22969</v>
      </c>
      <c r="C13" s="369" t="s">
        <v>524</v>
      </c>
      <c r="D13" s="369"/>
      <c r="E13" s="170">
        <v>25</v>
      </c>
      <c r="F13" s="170">
        <v>4</v>
      </c>
      <c r="G13" s="232"/>
      <c r="H13" s="170">
        <v>16</v>
      </c>
      <c r="J13" s="240">
        <v>16</v>
      </c>
      <c r="K13" s="213">
        <f t="shared" si="2"/>
        <v>0</v>
      </c>
      <c r="L13" s="213">
        <f t="shared" si="0"/>
        <v>100</v>
      </c>
      <c r="M13" s="213">
        <f t="shared" si="1"/>
        <v>0</v>
      </c>
      <c r="N13" s="234">
        <f t="shared" si="3"/>
        <v>100</v>
      </c>
      <c r="O13" s="212"/>
      <c r="P13" s="213">
        <v>48.5</v>
      </c>
      <c r="Q13" s="213"/>
      <c r="R13" s="214">
        <f t="shared" si="4"/>
        <v>48.5</v>
      </c>
      <c r="S13" s="170">
        <v>6</v>
      </c>
      <c r="T13" s="283"/>
      <c r="U13" s="281">
        <v>22969</v>
      </c>
      <c r="V13" s="177" t="s">
        <v>128</v>
      </c>
      <c r="W13" s="170" t="s">
        <v>17</v>
      </c>
      <c r="X13" s="170" t="s">
        <v>18</v>
      </c>
      <c r="Y13" s="170">
        <v>38.5</v>
      </c>
      <c r="Z13" s="177" t="s">
        <v>129</v>
      </c>
      <c r="AA13" s="170" t="s">
        <v>81</v>
      </c>
      <c r="AB13" s="170" t="s">
        <v>18</v>
      </c>
      <c r="AC13" s="170">
        <v>10</v>
      </c>
      <c r="AD13" s="177"/>
      <c r="AG13" s="178"/>
      <c r="AL13" s="177"/>
      <c r="AO13" s="178"/>
      <c r="AP13" s="177"/>
      <c r="AS13" s="178"/>
      <c r="AW13" s="178"/>
      <c r="BA13" s="179"/>
    </row>
    <row r="14" spans="1:53" s="28" customFormat="1" x14ac:dyDescent="0.15">
      <c r="A14" s="51">
        <v>1962</v>
      </c>
      <c r="B14" s="293">
        <v>22994</v>
      </c>
      <c r="C14" s="370" t="s">
        <v>525</v>
      </c>
      <c r="D14" s="370"/>
      <c r="E14" s="28">
        <v>18</v>
      </c>
      <c r="F14" s="28">
        <v>7</v>
      </c>
      <c r="G14" s="65">
        <v>5</v>
      </c>
      <c r="H14" s="28">
        <v>16</v>
      </c>
      <c r="J14" s="72">
        <v>21</v>
      </c>
      <c r="K14" s="46">
        <f t="shared" si="2"/>
        <v>23.809523809523807</v>
      </c>
      <c r="L14" s="46">
        <f t="shared" si="0"/>
        <v>76.19047619047619</v>
      </c>
      <c r="M14" s="46">
        <f t="shared" si="1"/>
        <v>0</v>
      </c>
      <c r="N14" s="67">
        <f t="shared" si="3"/>
        <v>100</v>
      </c>
      <c r="O14" s="45">
        <v>13.4</v>
      </c>
      <c r="P14" s="46">
        <v>48.5</v>
      </c>
      <c r="Q14" s="46"/>
      <c r="R14" s="47">
        <f t="shared" si="4"/>
        <v>61.9</v>
      </c>
      <c r="S14" s="28">
        <v>2</v>
      </c>
      <c r="T14" s="284"/>
      <c r="U14" s="293">
        <v>22994</v>
      </c>
      <c r="V14" s="37" t="s">
        <v>128</v>
      </c>
      <c r="W14" s="28" t="s">
        <v>17</v>
      </c>
      <c r="X14" s="28" t="s">
        <v>18</v>
      </c>
      <c r="Y14" s="28">
        <v>38.5</v>
      </c>
      <c r="Z14" s="37" t="s">
        <v>129</v>
      </c>
      <c r="AA14" s="28" t="s">
        <v>81</v>
      </c>
      <c r="AB14" s="28" t="s">
        <v>18</v>
      </c>
      <c r="AC14" s="28">
        <v>10</v>
      </c>
      <c r="AD14" s="37" t="s">
        <v>131</v>
      </c>
      <c r="AE14" s="28" t="s">
        <v>22</v>
      </c>
      <c r="AF14" s="28" t="s">
        <v>11</v>
      </c>
      <c r="AG14" s="38">
        <v>13.4</v>
      </c>
      <c r="AL14" s="37"/>
      <c r="AO14" s="38"/>
      <c r="AP14" s="37"/>
      <c r="AS14" s="38"/>
      <c r="AW14" s="38"/>
      <c r="BA14" s="39"/>
    </row>
    <row r="15" spans="1:53" s="28" customFormat="1" x14ac:dyDescent="0.15">
      <c r="A15" s="51">
        <v>1963</v>
      </c>
      <c r="B15" s="293"/>
      <c r="C15" s="370" t="s">
        <v>525</v>
      </c>
      <c r="D15" s="370"/>
      <c r="E15" s="28">
        <v>288</v>
      </c>
      <c r="G15" s="65">
        <v>5</v>
      </c>
      <c r="H15" s="28">
        <v>16</v>
      </c>
      <c r="J15" s="72">
        <v>21</v>
      </c>
      <c r="K15" s="46">
        <f t="shared" si="2"/>
        <v>23.809523809523807</v>
      </c>
      <c r="L15" s="46">
        <f t="shared" si="0"/>
        <v>76.19047619047619</v>
      </c>
      <c r="M15" s="46">
        <f t="shared" si="1"/>
        <v>0</v>
      </c>
      <c r="N15" s="67">
        <f t="shared" si="3"/>
        <v>100</v>
      </c>
      <c r="O15" s="45">
        <v>13.4</v>
      </c>
      <c r="P15" s="46">
        <v>48.5</v>
      </c>
      <c r="Q15" s="46"/>
      <c r="R15" s="47">
        <f t="shared" si="4"/>
        <v>61.9</v>
      </c>
      <c r="S15" s="28">
        <v>2</v>
      </c>
      <c r="T15" s="284"/>
      <c r="U15" s="293"/>
      <c r="V15" s="37" t="s">
        <v>128</v>
      </c>
      <c r="W15" s="28" t="s">
        <v>17</v>
      </c>
      <c r="X15" s="28" t="s">
        <v>18</v>
      </c>
      <c r="Y15" s="28">
        <v>38.5</v>
      </c>
      <c r="Z15" s="37" t="s">
        <v>129</v>
      </c>
      <c r="AA15" s="28" t="s">
        <v>81</v>
      </c>
      <c r="AB15" s="28" t="s">
        <v>18</v>
      </c>
      <c r="AC15" s="28">
        <v>10</v>
      </c>
      <c r="AD15" s="37" t="s">
        <v>131</v>
      </c>
      <c r="AE15" s="28" t="s">
        <v>22</v>
      </c>
      <c r="AF15" s="28" t="s">
        <v>11</v>
      </c>
      <c r="AG15" s="38">
        <v>13.4</v>
      </c>
      <c r="AL15" s="37"/>
      <c r="AO15" s="38"/>
      <c r="AP15" s="37"/>
      <c r="AS15" s="38"/>
      <c r="AW15" s="38"/>
      <c r="BA15" s="39"/>
    </row>
    <row r="16" spans="1:53" s="170" customFormat="1" x14ac:dyDescent="0.15">
      <c r="A16" s="215">
        <v>1963</v>
      </c>
      <c r="B16" s="281">
        <v>23300</v>
      </c>
      <c r="C16" s="369" t="s">
        <v>526</v>
      </c>
      <c r="D16" s="369"/>
      <c r="E16" s="170">
        <v>77</v>
      </c>
      <c r="F16" s="170">
        <v>2</v>
      </c>
      <c r="G16" s="232">
        <v>5</v>
      </c>
      <c r="H16" s="170">
        <v>15</v>
      </c>
      <c r="J16" s="240">
        <v>20</v>
      </c>
      <c r="K16" s="213">
        <f t="shared" si="2"/>
        <v>25</v>
      </c>
      <c r="L16" s="213">
        <f t="shared" si="0"/>
        <v>75</v>
      </c>
      <c r="M16" s="213">
        <f t="shared" si="1"/>
        <v>0</v>
      </c>
      <c r="N16" s="234">
        <f t="shared" si="3"/>
        <v>100</v>
      </c>
      <c r="O16" s="212">
        <v>13.4</v>
      </c>
      <c r="P16" s="213">
        <v>48.5</v>
      </c>
      <c r="Q16" s="213"/>
      <c r="R16" s="214">
        <f t="shared" si="4"/>
        <v>61.9</v>
      </c>
      <c r="S16" s="170">
        <v>2</v>
      </c>
      <c r="T16" s="283"/>
      <c r="U16" s="281">
        <v>23300</v>
      </c>
      <c r="V16" s="177" t="s">
        <v>128</v>
      </c>
      <c r="W16" s="170" t="s">
        <v>17</v>
      </c>
      <c r="X16" s="170" t="s">
        <v>18</v>
      </c>
      <c r="Y16" s="170">
        <v>38.5</v>
      </c>
      <c r="Z16" s="177" t="s">
        <v>129</v>
      </c>
      <c r="AA16" s="170" t="s">
        <v>81</v>
      </c>
      <c r="AB16" s="170" t="s">
        <v>18</v>
      </c>
      <c r="AC16" s="170">
        <v>10</v>
      </c>
      <c r="AD16" s="177" t="s">
        <v>131</v>
      </c>
      <c r="AE16" s="170" t="s">
        <v>22</v>
      </c>
      <c r="AF16" s="170" t="s">
        <v>11</v>
      </c>
      <c r="AG16" s="178">
        <v>13.4</v>
      </c>
      <c r="AL16" s="177"/>
      <c r="AO16" s="178"/>
      <c r="AP16" s="177"/>
      <c r="AS16" s="178"/>
      <c r="AW16" s="178"/>
      <c r="BA16" s="179"/>
    </row>
    <row r="17" spans="1:53" s="170" customFormat="1" x14ac:dyDescent="0.15">
      <c r="A17" s="215">
        <v>1964</v>
      </c>
      <c r="B17" s="281"/>
      <c r="C17" s="369" t="s">
        <v>526</v>
      </c>
      <c r="D17" s="369"/>
      <c r="E17" s="170">
        <v>0</v>
      </c>
      <c r="G17" s="232">
        <v>5</v>
      </c>
      <c r="H17" s="170">
        <v>15</v>
      </c>
      <c r="J17" s="240">
        <v>20</v>
      </c>
      <c r="K17" s="213">
        <f t="shared" si="2"/>
        <v>25</v>
      </c>
      <c r="L17" s="213">
        <f t="shared" si="0"/>
        <v>75</v>
      </c>
      <c r="M17" s="213">
        <f t="shared" si="1"/>
        <v>0</v>
      </c>
      <c r="N17" s="234">
        <f t="shared" si="3"/>
        <v>100</v>
      </c>
      <c r="O17" s="212">
        <v>13.4</v>
      </c>
      <c r="P17" s="213">
        <v>48.5</v>
      </c>
      <c r="Q17" s="213"/>
      <c r="R17" s="214">
        <f t="shared" si="4"/>
        <v>61.9</v>
      </c>
      <c r="S17" s="170">
        <v>2</v>
      </c>
      <c r="T17" s="283"/>
      <c r="U17" s="281"/>
      <c r="V17" s="177" t="s">
        <v>128</v>
      </c>
      <c r="W17" s="170" t="s">
        <v>17</v>
      </c>
      <c r="X17" s="170" t="s">
        <v>18</v>
      </c>
      <c r="Y17" s="170">
        <v>38.5</v>
      </c>
      <c r="Z17" s="177" t="s">
        <v>129</v>
      </c>
      <c r="AA17" s="170" t="s">
        <v>81</v>
      </c>
      <c r="AB17" s="170" t="s">
        <v>18</v>
      </c>
      <c r="AC17" s="170">
        <v>10</v>
      </c>
      <c r="AD17" s="177" t="s">
        <v>131</v>
      </c>
      <c r="AE17" s="170" t="s">
        <v>22</v>
      </c>
      <c r="AF17" s="170" t="s">
        <v>11</v>
      </c>
      <c r="AG17" s="178">
        <v>13.4</v>
      </c>
      <c r="AL17" s="177"/>
      <c r="AO17" s="178"/>
      <c r="AP17" s="177"/>
      <c r="AS17" s="178"/>
      <c r="AW17" s="178"/>
      <c r="BA17" s="179"/>
    </row>
    <row r="18" spans="1:53" s="170" customFormat="1" x14ac:dyDescent="0.15">
      <c r="A18" s="215">
        <v>1964</v>
      </c>
      <c r="B18" s="281"/>
      <c r="C18" s="369" t="s">
        <v>526</v>
      </c>
      <c r="D18" s="369"/>
      <c r="E18" s="170">
        <v>366</v>
      </c>
      <c r="G18" s="232">
        <v>5</v>
      </c>
      <c r="H18" s="170">
        <v>15</v>
      </c>
      <c r="J18" s="240">
        <v>20</v>
      </c>
      <c r="K18" s="213">
        <f t="shared" si="2"/>
        <v>25</v>
      </c>
      <c r="L18" s="213">
        <f t="shared" si="0"/>
        <v>75</v>
      </c>
      <c r="M18" s="213">
        <f t="shared" si="1"/>
        <v>0</v>
      </c>
      <c r="N18" s="234">
        <f t="shared" si="3"/>
        <v>100</v>
      </c>
      <c r="O18" s="212">
        <v>13.4</v>
      </c>
      <c r="P18" s="213">
        <v>48.5</v>
      </c>
      <c r="Q18" s="213"/>
      <c r="R18" s="214">
        <f t="shared" si="4"/>
        <v>61.9</v>
      </c>
      <c r="S18" s="170">
        <v>2</v>
      </c>
      <c r="T18" s="283"/>
      <c r="U18" s="281"/>
      <c r="V18" s="177" t="s">
        <v>128</v>
      </c>
      <c r="W18" s="170" t="s">
        <v>17</v>
      </c>
      <c r="X18" s="170" t="s">
        <v>18</v>
      </c>
      <c r="Y18" s="170">
        <v>38.5</v>
      </c>
      <c r="Z18" s="177" t="s">
        <v>129</v>
      </c>
      <c r="AA18" s="170" t="s">
        <v>81</v>
      </c>
      <c r="AB18" s="170" t="s">
        <v>18</v>
      </c>
      <c r="AC18" s="170">
        <v>10</v>
      </c>
      <c r="AD18" s="177" t="s">
        <v>131</v>
      </c>
      <c r="AE18" s="170" t="s">
        <v>22</v>
      </c>
      <c r="AF18" s="170" t="s">
        <v>11</v>
      </c>
      <c r="AG18" s="178">
        <v>13.4</v>
      </c>
      <c r="AL18" s="177"/>
      <c r="AO18" s="178"/>
      <c r="AP18" s="177"/>
      <c r="AS18" s="178"/>
      <c r="AW18" s="178"/>
      <c r="BA18" s="179"/>
    </row>
    <row r="19" spans="1:53" s="170" customFormat="1" x14ac:dyDescent="0.15">
      <c r="A19" s="215">
        <v>1965</v>
      </c>
      <c r="B19" s="281"/>
      <c r="C19" s="369" t="s">
        <v>526</v>
      </c>
      <c r="D19" s="369"/>
      <c r="E19" s="170">
        <v>298</v>
      </c>
      <c r="G19" s="232">
        <v>5</v>
      </c>
      <c r="H19" s="170">
        <v>15</v>
      </c>
      <c r="J19" s="240">
        <v>20</v>
      </c>
      <c r="K19" s="213">
        <f t="shared" si="2"/>
        <v>25</v>
      </c>
      <c r="L19" s="213">
        <f t="shared" si="0"/>
        <v>75</v>
      </c>
      <c r="M19" s="213">
        <f t="shared" si="1"/>
        <v>0</v>
      </c>
      <c r="N19" s="234">
        <f t="shared" si="3"/>
        <v>100</v>
      </c>
      <c r="O19" s="212">
        <v>13.4</v>
      </c>
      <c r="P19" s="213">
        <v>48.5</v>
      </c>
      <c r="Q19" s="213"/>
      <c r="R19" s="214">
        <f t="shared" si="4"/>
        <v>61.9</v>
      </c>
      <c r="S19" s="170">
        <v>2</v>
      </c>
      <c r="T19" s="283"/>
      <c r="U19" s="281"/>
      <c r="V19" s="177" t="s">
        <v>128</v>
      </c>
      <c r="W19" s="170" t="s">
        <v>17</v>
      </c>
      <c r="X19" s="170" t="s">
        <v>18</v>
      </c>
      <c r="Y19" s="170">
        <v>38.5</v>
      </c>
      <c r="Z19" s="177" t="s">
        <v>129</v>
      </c>
      <c r="AA19" s="170" t="s">
        <v>81</v>
      </c>
      <c r="AB19" s="170" t="s">
        <v>18</v>
      </c>
      <c r="AC19" s="170">
        <v>10</v>
      </c>
      <c r="AD19" s="177" t="s">
        <v>131</v>
      </c>
      <c r="AE19" s="170" t="s">
        <v>22</v>
      </c>
      <c r="AF19" s="170" t="s">
        <v>11</v>
      </c>
      <c r="AG19" s="178">
        <v>13.4</v>
      </c>
      <c r="AL19" s="177"/>
      <c r="AO19" s="178"/>
      <c r="AP19" s="177"/>
      <c r="AS19" s="178"/>
      <c r="AW19" s="178"/>
      <c r="BA19" s="179"/>
    </row>
    <row r="20" spans="1:53" s="28" customFormat="1" x14ac:dyDescent="0.15">
      <c r="A20" s="51">
        <v>1965</v>
      </c>
      <c r="B20" s="293">
        <v>24041</v>
      </c>
      <c r="C20" s="370" t="s">
        <v>527</v>
      </c>
      <c r="D20" s="370"/>
      <c r="E20" s="28">
        <v>67</v>
      </c>
      <c r="F20" s="28">
        <v>1</v>
      </c>
      <c r="G20" s="65">
        <v>4</v>
      </c>
      <c r="H20" s="28">
        <v>17</v>
      </c>
      <c r="J20" s="72">
        <v>21</v>
      </c>
      <c r="K20" s="46">
        <f t="shared" si="2"/>
        <v>19.047619047619047</v>
      </c>
      <c r="L20" s="46">
        <f t="shared" si="0"/>
        <v>80.952380952380949</v>
      </c>
      <c r="M20" s="46">
        <f t="shared" si="1"/>
        <v>0</v>
      </c>
      <c r="N20" s="67">
        <f t="shared" si="3"/>
        <v>100</v>
      </c>
      <c r="O20" s="45">
        <v>9.9</v>
      </c>
      <c r="P20" s="46">
        <v>49.4</v>
      </c>
      <c r="Q20" s="46"/>
      <c r="R20" s="47">
        <f t="shared" si="4"/>
        <v>59.3</v>
      </c>
      <c r="S20" s="28">
        <v>2</v>
      </c>
      <c r="T20" s="284">
        <v>24004</v>
      </c>
      <c r="U20" s="293">
        <v>24041</v>
      </c>
      <c r="V20" s="37" t="s">
        <v>128</v>
      </c>
      <c r="W20" s="28" t="s">
        <v>17</v>
      </c>
      <c r="X20" s="28" t="s">
        <v>18</v>
      </c>
      <c r="Y20" s="28">
        <v>39.5</v>
      </c>
      <c r="Z20" s="37" t="s">
        <v>129</v>
      </c>
      <c r="AA20" s="28" t="s">
        <v>81</v>
      </c>
      <c r="AB20" s="28" t="s">
        <v>18</v>
      </c>
      <c r="AC20" s="28">
        <v>9.9</v>
      </c>
      <c r="AD20" s="37" t="s">
        <v>131</v>
      </c>
      <c r="AE20" s="28" t="s">
        <v>22</v>
      </c>
      <c r="AF20" s="28" t="s">
        <v>11</v>
      </c>
      <c r="AG20" s="38">
        <v>9.9</v>
      </c>
      <c r="AL20" s="37"/>
      <c r="AO20" s="38"/>
      <c r="AP20" s="37"/>
      <c r="AS20" s="38"/>
      <c r="AW20" s="38"/>
      <c r="BA20" s="39"/>
    </row>
    <row r="21" spans="1:53" s="28" customFormat="1" x14ac:dyDescent="0.15">
      <c r="A21" s="51">
        <v>1966</v>
      </c>
      <c r="B21" s="293"/>
      <c r="C21" s="370" t="s">
        <v>527</v>
      </c>
      <c r="D21" s="370"/>
      <c r="E21" s="28">
        <v>300</v>
      </c>
      <c r="G21" s="65">
        <v>4</v>
      </c>
      <c r="H21" s="28">
        <v>17</v>
      </c>
      <c r="J21" s="72">
        <v>21</v>
      </c>
      <c r="K21" s="46">
        <f t="shared" si="2"/>
        <v>19.047619047619047</v>
      </c>
      <c r="L21" s="46">
        <f t="shared" si="0"/>
        <v>80.952380952380949</v>
      </c>
      <c r="M21" s="46">
        <f t="shared" si="1"/>
        <v>0</v>
      </c>
      <c r="N21" s="67">
        <f t="shared" si="3"/>
        <v>100</v>
      </c>
      <c r="O21" s="45">
        <v>9.9</v>
      </c>
      <c r="P21" s="46">
        <v>49.4</v>
      </c>
      <c r="Q21" s="46"/>
      <c r="R21" s="47">
        <f t="shared" si="4"/>
        <v>59.3</v>
      </c>
      <c r="S21" s="28">
        <v>2</v>
      </c>
      <c r="T21" s="284"/>
      <c r="U21" s="293"/>
      <c r="V21" s="37" t="s">
        <v>128</v>
      </c>
      <c r="W21" s="28" t="s">
        <v>17</v>
      </c>
      <c r="X21" s="28" t="s">
        <v>18</v>
      </c>
      <c r="Y21" s="28">
        <v>39.5</v>
      </c>
      <c r="Z21" s="37" t="s">
        <v>129</v>
      </c>
      <c r="AA21" s="28" t="s">
        <v>81</v>
      </c>
      <c r="AB21" s="28" t="s">
        <v>18</v>
      </c>
      <c r="AC21" s="28">
        <v>9.9</v>
      </c>
      <c r="AD21" s="37" t="s">
        <v>131</v>
      </c>
      <c r="AE21" s="28" t="s">
        <v>22</v>
      </c>
      <c r="AF21" s="28" t="s">
        <v>11</v>
      </c>
      <c r="AG21" s="38">
        <v>9.9</v>
      </c>
      <c r="AL21" s="37"/>
      <c r="AO21" s="38"/>
      <c r="AP21" s="37"/>
      <c r="AS21" s="38"/>
      <c r="AW21" s="38"/>
      <c r="BA21" s="39"/>
    </row>
    <row r="22" spans="1:53" s="170" customFormat="1" x14ac:dyDescent="0.15">
      <c r="A22" s="215">
        <v>1966</v>
      </c>
      <c r="B22" s="281">
        <v>24408</v>
      </c>
      <c r="C22" s="369" t="s">
        <v>528</v>
      </c>
      <c r="D22" s="369"/>
      <c r="E22" s="170">
        <v>34</v>
      </c>
      <c r="F22" s="170">
        <v>4</v>
      </c>
      <c r="G22" s="232"/>
      <c r="H22" s="170">
        <v>18</v>
      </c>
      <c r="J22" s="240">
        <v>18</v>
      </c>
      <c r="K22" s="213">
        <f t="shared" si="2"/>
        <v>0</v>
      </c>
      <c r="L22" s="213">
        <f t="shared" si="0"/>
        <v>100</v>
      </c>
      <c r="M22" s="213">
        <f t="shared" si="1"/>
        <v>0</v>
      </c>
      <c r="N22" s="234">
        <f t="shared" si="3"/>
        <v>100</v>
      </c>
      <c r="O22" s="212"/>
      <c r="P22" s="213">
        <v>49.4</v>
      </c>
      <c r="Q22" s="213"/>
      <c r="R22" s="214">
        <f t="shared" si="4"/>
        <v>49.4</v>
      </c>
      <c r="S22" s="170">
        <v>6</v>
      </c>
      <c r="T22" s="283"/>
      <c r="U22" s="281">
        <v>24408</v>
      </c>
      <c r="V22" s="177" t="s">
        <v>128</v>
      </c>
      <c r="W22" s="170" t="s">
        <v>17</v>
      </c>
      <c r="X22" s="170" t="s">
        <v>18</v>
      </c>
      <c r="Y22" s="170">
        <v>39.5</v>
      </c>
      <c r="Z22" s="177" t="s">
        <v>129</v>
      </c>
      <c r="AA22" s="170" t="s">
        <v>81</v>
      </c>
      <c r="AB22" s="170" t="s">
        <v>18</v>
      </c>
      <c r="AC22" s="170">
        <v>9.9</v>
      </c>
      <c r="AD22" s="177"/>
      <c r="AG22" s="178"/>
      <c r="AL22" s="177"/>
      <c r="AO22" s="178"/>
      <c r="AP22" s="177"/>
      <c r="AS22" s="178"/>
      <c r="AW22" s="178"/>
      <c r="BA22" s="179"/>
    </row>
    <row r="23" spans="1:53" s="28" customFormat="1" x14ac:dyDescent="0.15">
      <c r="A23" s="51">
        <v>1966</v>
      </c>
      <c r="B23" s="293">
        <v>24442</v>
      </c>
      <c r="C23" s="370" t="s">
        <v>529</v>
      </c>
      <c r="D23" s="370"/>
      <c r="E23" s="28">
        <v>31</v>
      </c>
      <c r="F23" s="28">
        <v>2</v>
      </c>
      <c r="G23" s="65"/>
      <c r="H23" s="28">
        <v>11</v>
      </c>
      <c r="I23" s="28">
        <v>9</v>
      </c>
      <c r="J23" s="72">
        <v>20</v>
      </c>
      <c r="K23" s="46">
        <f t="shared" si="2"/>
        <v>0</v>
      </c>
      <c r="L23" s="46">
        <f t="shared" si="0"/>
        <v>55.000000000000007</v>
      </c>
      <c r="M23" s="46">
        <f t="shared" si="1"/>
        <v>45</v>
      </c>
      <c r="N23" s="67">
        <f t="shared" si="3"/>
        <v>100</v>
      </c>
      <c r="O23" s="45"/>
      <c r="P23" s="46">
        <v>49.4</v>
      </c>
      <c r="Q23" s="46">
        <v>40.700000000000003</v>
      </c>
      <c r="R23" s="47">
        <f t="shared" si="4"/>
        <v>90.1</v>
      </c>
      <c r="S23" s="28">
        <v>2</v>
      </c>
      <c r="T23" s="284"/>
      <c r="U23" s="293">
        <v>24442</v>
      </c>
      <c r="V23" s="37" t="s">
        <v>128</v>
      </c>
      <c r="W23" s="28" t="s">
        <v>17</v>
      </c>
      <c r="X23" s="28" t="s">
        <v>18</v>
      </c>
      <c r="Y23" s="28">
        <v>39.5</v>
      </c>
      <c r="Z23" s="37" t="s">
        <v>129</v>
      </c>
      <c r="AA23" s="28" t="s">
        <v>81</v>
      </c>
      <c r="AB23" s="28" t="s">
        <v>18</v>
      </c>
      <c r="AC23" s="28">
        <v>9.9</v>
      </c>
      <c r="AD23" s="37" t="s">
        <v>132</v>
      </c>
      <c r="AE23" s="28" t="s">
        <v>20</v>
      </c>
      <c r="AF23" s="28" t="s">
        <v>12</v>
      </c>
      <c r="AG23" s="38">
        <v>40.700000000000003</v>
      </c>
      <c r="AL23" s="37"/>
      <c r="AO23" s="38"/>
      <c r="AP23" s="37"/>
      <c r="AS23" s="38"/>
      <c r="AW23" s="38"/>
      <c r="BA23" s="39"/>
    </row>
    <row r="24" spans="1:53" s="28" customFormat="1" x14ac:dyDescent="0.15">
      <c r="A24" s="51">
        <v>1967</v>
      </c>
      <c r="B24" s="293"/>
      <c r="C24" s="370" t="s">
        <v>529</v>
      </c>
      <c r="D24" s="370"/>
      <c r="E24" s="28">
        <v>0</v>
      </c>
      <c r="G24" s="65"/>
      <c r="H24" s="28">
        <v>11</v>
      </c>
      <c r="I24" s="28">
        <v>9</v>
      </c>
      <c r="J24" s="72">
        <v>20</v>
      </c>
      <c r="K24" s="46">
        <f t="shared" si="2"/>
        <v>0</v>
      </c>
      <c r="L24" s="46">
        <f t="shared" si="0"/>
        <v>55.000000000000007</v>
      </c>
      <c r="M24" s="46">
        <f t="shared" si="1"/>
        <v>45</v>
      </c>
      <c r="N24" s="67">
        <f t="shared" si="3"/>
        <v>100</v>
      </c>
      <c r="O24" s="45"/>
      <c r="P24" s="46">
        <v>49.4</v>
      </c>
      <c r="Q24" s="46">
        <v>40.700000000000003</v>
      </c>
      <c r="R24" s="47">
        <f t="shared" si="4"/>
        <v>90.1</v>
      </c>
      <c r="S24" s="28">
        <v>2</v>
      </c>
      <c r="T24" s="284"/>
      <c r="U24" s="293"/>
      <c r="V24" s="37" t="s">
        <v>128</v>
      </c>
      <c r="W24" s="28" t="s">
        <v>17</v>
      </c>
      <c r="X24" s="28" t="s">
        <v>18</v>
      </c>
      <c r="Y24" s="28">
        <v>39.5</v>
      </c>
      <c r="Z24" s="37" t="s">
        <v>129</v>
      </c>
      <c r="AA24" s="28" t="s">
        <v>81</v>
      </c>
      <c r="AB24" s="28" t="s">
        <v>18</v>
      </c>
      <c r="AC24" s="28">
        <v>9.9</v>
      </c>
      <c r="AD24" s="37" t="s">
        <v>132</v>
      </c>
      <c r="AE24" s="28" t="s">
        <v>20</v>
      </c>
      <c r="AF24" s="28" t="s">
        <v>12</v>
      </c>
      <c r="AG24" s="38">
        <v>40.700000000000003</v>
      </c>
      <c r="AL24" s="37"/>
      <c r="AO24" s="38"/>
      <c r="AP24" s="37"/>
      <c r="AS24" s="38"/>
      <c r="AW24" s="38"/>
      <c r="BA24" s="39"/>
    </row>
    <row r="25" spans="1:53" s="28" customFormat="1" x14ac:dyDescent="0.15">
      <c r="A25" s="51">
        <v>1967</v>
      </c>
      <c r="B25" s="293"/>
      <c r="C25" s="370" t="s">
        <v>529</v>
      </c>
      <c r="D25" s="370"/>
      <c r="E25" s="28">
        <v>365</v>
      </c>
      <c r="G25" s="65"/>
      <c r="H25" s="28">
        <v>11</v>
      </c>
      <c r="I25" s="28">
        <v>9</v>
      </c>
      <c r="J25" s="72">
        <v>20</v>
      </c>
      <c r="K25" s="46">
        <f t="shared" si="2"/>
        <v>0</v>
      </c>
      <c r="L25" s="46">
        <f t="shared" si="0"/>
        <v>55.000000000000007</v>
      </c>
      <c r="M25" s="46">
        <f t="shared" si="1"/>
        <v>45</v>
      </c>
      <c r="N25" s="67">
        <f t="shared" si="3"/>
        <v>100</v>
      </c>
      <c r="O25" s="45"/>
      <c r="P25" s="46">
        <v>49.4</v>
      </c>
      <c r="Q25" s="46">
        <v>40.700000000000003</v>
      </c>
      <c r="R25" s="47">
        <f t="shared" si="4"/>
        <v>90.1</v>
      </c>
      <c r="S25" s="28">
        <v>2</v>
      </c>
      <c r="T25" s="284"/>
      <c r="U25" s="293"/>
      <c r="V25" s="37" t="s">
        <v>128</v>
      </c>
      <c r="W25" s="28" t="s">
        <v>17</v>
      </c>
      <c r="X25" s="28" t="s">
        <v>18</v>
      </c>
      <c r="Y25" s="28">
        <v>39.5</v>
      </c>
      <c r="Z25" s="37" t="s">
        <v>129</v>
      </c>
      <c r="AA25" s="28" t="s">
        <v>81</v>
      </c>
      <c r="AB25" s="28" t="s">
        <v>18</v>
      </c>
      <c r="AC25" s="28">
        <v>9.9</v>
      </c>
      <c r="AD25" s="37" t="s">
        <v>132</v>
      </c>
      <c r="AE25" s="28" t="s">
        <v>20</v>
      </c>
      <c r="AF25" s="28" t="s">
        <v>12</v>
      </c>
      <c r="AG25" s="38">
        <v>40.700000000000003</v>
      </c>
      <c r="AL25" s="37"/>
      <c r="AO25" s="38"/>
      <c r="AP25" s="37"/>
      <c r="AS25" s="38"/>
      <c r="AW25" s="38"/>
      <c r="BA25" s="39"/>
    </row>
    <row r="26" spans="1:53" s="28" customFormat="1" x14ac:dyDescent="0.15">
      <c r="A26" s="51">
        <v>1968</v>
      </c>
      <c r="B26" s="293"/>
      <c r="C26" s="370" t="s">
        <v>529</v>
      </c>
      <c r="D26" s="370"/>
      <c r="E26" s="28">
        <v>0</v>
      </c>
      <c r="G26" s="65"/>
      <c r="H26" s="28">
        <v>11</v>
      </c>
      <c r="I26" s="28">
        <v>9</v>
      </c>
      <c r="J26" s="72">
        <v>20</v>
      </c>
      <c r="K26" s="46">
        <f t="shared" si="2"/>
        <v>0</v>
      </c>
      <c r="L26" s="46">
        <f t="shared" si="0"/>
        <v>55.000000000000007</v>
      </c>
      <c r="M26" s="46">
        <f t="shared" si="1"/>
        <v>45</v>
      </c>
      <c r="N26" s="67">
        <f t="shared" si="3"/>
        <v>100</v>
      </c>
      <c r="O26" s="45"/>
      <c r="P26" s="46">
        <v>49.4</v>
      </c>
      <c r="Q26" s="46">
        <v>40.700000000000003</v>
      </c>
      <c r="R26" s="47">
        <f t="shared" si="4"/>
        <v>90.1</v>
      </c>
      <c r="S26" s="28">
        <v>2</v>
      </c>
      <c r="T26" s="284"/>
      <c r="U26" s="293"/>
      <c r="V26" s="37" t="s">
        <v>128</v>
      </c>
      <c r="W26" s="28" t="s">
        <v>17</v>
      </c>
      <c r="X26" s="28" t="s">
        <v>18</v>
      </c>
      <c r="Y26" s="28">
        <v>39.5</v>
      </c>
      <c r="Z26" s="37" t="s">
        <v>129</v>
      </c>
      <c r="AA26" s="28" t="s">
        <v>81</v>
      </c>
      <c r="AB26" s="28" t="s">
        <v>18</v>
      </c>
      <c r="AC26" s="28">
        <v>9.9</v>
      </c>
      <c r="AD26" s="37" t="s">
        <v>132</v>
      </c>
      <c r="AE26" s="28" t="s">
        <v>20</v>
      </c>
      <c r="AF26" s="28" t="s">
        <v>12</v>
      </c>
      <c r="AG26" s="38">
        <v>40.700000000000003</v>
      </c>
      <c r="AL26" s="37"/>
      <c r="AO26" s="38"/>
      <c r="AP26" s="37"/>
      <c r="AS26" s="38"/>
      <c r="AW26" s="38"/>
      <c r="BA26" s="39"/>
    </row>
    <row r="27" spans="1:53" s="28" customFormat="1" x14ac:dyDescent="0.15">
      <c r="A27" s="51">
        <v>1968</v>
      </c>
      <c r="B27" s="293"/>
      <c r="C27" s="370" t="s">
        <v>529</v>
      </c>
      <c r="D27" s="370"/>
      <c r="E27" s="28">
        <v>366</v>
      </c>
      <c r="G27" s="65"/>
      <c r="H27" s="28">
        <v>11</v>
      </c>
      <c r="I27" s="28">
        <v>9</v>
      </c>
      <c r="J27" s="72">
        <v>20</v>
      </c>
      <c r="K27" s="46">
        <f t="shared" si="2"/>
        <v>0</v>
      </c>
      <c r="L27" s="46">
        <f t="shared" si="0"/>
        <v>55.000000000000007</v>
      </c>
      <c r="M27" s="46">
        <f t="shared" si="1"/>
        <v>45</v>
      </c>
      <c r="N27" s="67">
        <f t="shared" si="3"/>
        <v>100</v>
      </c>
      <c r="O27" s="45"/>
      <c r="P27" s="46">
        <v>49.4</v>
      </c>
      <c r="Q27" s="46">
        <v>40.700000000000003</v>
      </c>
      <c r="R27" s="47">
        <f t="shared" si="4"/>
        <v>90.1</v>
      </c>
      <c r="S27" s="28">
        <v>2</v>
      </c>
      <c r="T27" s="284"/>
      <c r="U27" s="293"/>
      <c r="V27" s="37" t="s">
        <v>128</v>
      </c>
      <c r="W27" s="28" t="s">
        <v>17</v>
      </c>
      <c r="X27" s="28" t="s">
        <v>18</v>
      </c>
      <c r="Y27" s="28">
        <v>39.5</v>
      </c>
      <c r="Z27" s="37" t="s">
        <v>129</v>
      </c>
      <c r="AA27" s="28" t="s">
        <v>81</v>
      </c>
      <c r="AB27" s="28" t="s">
        <v>18</v>
      </c>
      <c r="AC27" s="28">
        <v>9.9</v>
      </c>
      <c r="AD27" s="37" t="s">
        <v>132</v>
      </c>
      <c r="AE27" s="28" t="s">
        <v>20</v>
      </c>
      <c r="AF27" s="28" t="s">
        <v>12</v>
      </c>
      <c r="AG27" s="38">
        <v>40.700000000000003</v>
      </c>
      <c r="AL27" s="37"/>
      <c r="AO27" s="38"/>
      <c r="AP27" s="37"/>
      <c r="AS27" s="38"/>
      <c r="AW27" s="38"/>
      <c r="BA27" s="39"/>
    </row>
    <row r="28" spans="1:53" s="28" customFormat="1" x14ac:dyDescent="0.15">
      <c r="A28" s="51">
        <v>1969</v>
      </c>
      <c r="B28" s="293"/>
      <c r="C28" s="370" t="s">
        <v>529</v>
      </c>
      <c r="D28" s="370"/>
      <c r="E28" s="28">
        <v>294</v>
      </c>
      <c r="G28" s="65"/>
      <c r="H28" s="28">
        <v>11</v>
      </c>
      <c r="I28" s="28">
        <v>9</v>
      </c>
      <c r="J28" s="72">
        <v>20</v>
      </c>
      <c r="K28" s="46">
        <f t="shared" si="2"/>
        <v>0</v>
      </c>
      <c r="L28" s="46">
        <f t="shared" si="0"/>
        <v>55.000000000000007</v>
      </c>
      <c r="M28" s="46">
        <f t="shared" si="1"/>
        <v>45</v>
      </c>
      <c r="N28" s="67">
        <f t="shared" si="3"/>
        <v>100</v>
      </c>
      <c r="O28" s="45"/>
      <c r="P28" s="46">
        <v>49.4</v>
      </c>
      <c r="Q28" s="46">
        <v>40.700000000000003</v>
      </c>
      <c r="R28" s="47">
        <f t="shared" si="4"/>
        <v>90.1</v>
      </c>
      <c r="S28" s="28">
        <v>2</v>
      </c>
      <c r="T28" s="284"/>
      <c r="U28" s="293"/>
      <c r="V28" s="37" t="s">
        <v>128</v>
      </c>
      <c r="W28" s="28" t="s">
        <v>17</v>
      </c>
      <c r="X28" s="28" t="s">
        <v>18</v>
      </c>
      <c r="Y28" s="28">
        <v>39.5</v>
      </c>
      <c r="Z28" s="37" t="s">
        <v>129</v>
      </c>
      <c r="AA28" s="28" t="s">
        <v>81</v>
      </c>
      <c r="AB28" s="28" t="s">
        <v>18</v>
      </c>
      <c r="AC28" s="28">
        <v>9.9</v>
      </c>
      <c r="AD28" s="37" t="s">
        <v>132</v>
      </c>
      <c r="AE28" s="28" t="s">
        <v>20</v>
      </c>
      <c r="AF28" s="28" t="s">
        <v>12</v>
      </c>
      <c r="AG28" s="38">
        <v>40.700000000000003</v>
      </c>
      <c r="AL28" s="37"/>
      <c r="AO28" s="38"/>
      <c r="AP28" s="37"/>
      <c r="AS28" s="38"/>
      <c r="AW28" s="38"/>
      <c r="BA28" s="39"/>
    </row>
    <row r="29" spans="1:53" s="170" customFormat="1" x14ac:dyDescent="0.15">
      <c r="A29" s="215">
        <v>1968.5428571428599</v>
      </c>
      <c r="B29" s="281">
        <v>25498</v>
      </c>
      <c r="C29" s="369" t="s">
        <v>530</v>
      </c>
      <c r="D29" s="369"/>
      <c r="E29" s="170">
        <v>71</v>
      </c>
      <c r="F29" s="170">
        <v>1</v>
      </c>
      <c r="G29" s="232">
        <v>3</v>
      </c>
      <c r="I29" s="170">
        <v>12</v>
      </c>
      <c r="J29" s="240">
        <v>16</v>
      </c>
      <c r="K29" s="213">
        <f t="shared" si="2"/>
        <v>18.75</v>
      </c>
      <c r="L29" s="213">
        <f t="shared" si="0"/>
        <v>0</v>
      </c>
      <c r="M29" s="213">
        <f t="shared" si="1"/>
        <v>75</v>
      </c>
      <c r="N29" s="234">
        <f t="shared" si="3"/>
        <v>93.75</v>
      </c>
      <c r="O29" s="212">
        <v>6</v>
      </c>
      <c r="P29" s="213"/>
      <c r="Q29" s="213">
        <v>45.2</v>
      </c>
      <c r="R29" s="214">
        <f t="shared" si="4"/>
        <v>51.2</v>
      </c>
      <c r="S29" s="170">
        <v>2</v>
      </c>
      <c r="T29" s="283">
        <v>25474</v>
      </c>
      <c r="U29" s="281">
        <v>25498</v>
      </c>
      <c r="V29" s="177" t="s">
        <v>132</v>
      </c>
      <c r="W29" s="170" t="s">
        <v>20</v>
      </c>
      <c r="X29" s="170" t="s">
        <v>12</v>
      </c>
      <c r="Y29" s="178">
        <v>45.2</v>
      </c>
      <c r="Z29" s="177" t="s">
        <v>131</v>
      </c>
      <c r="AA29" s="170" t="s">
        <v>22</v>
      </c>
      <c r="AB29" s="170" t="s">
        <v>11</v>
      </c>
      <c r="AC29" s="178">
        <v>6</v>
      </c>
      <c r="AD29" s="177"/>
      <c r="AG29" s="178"/>
      <c r="AL29" s="177"/>
      <c r="AO29" s="178"/>
      <c r="AP29" s="177"/>
      <c r="AS29" s="178"/>
      <c r="AW29" s="178"/>
      <c r="BA29" s="179"/>
    </row>
    <row r="30" spans="1:53" s="170" customFormat="1" x14ac:dyDescent="0.15">
      <c r="A30" s="215">
        <v>1970</v>
      </c>
      <c r="B30" s="281"/>
      <c r="C30" s="369" t="s">
        <v>530</v>
      </c>
      <c r="D30" s="369"/>
      <c r="E30" s="170">
        <v>0</v>
      </c>
      <c r="G30" s="232">
        <v>3</v>
      </c>
      <c r="I30" s="170">
        <v>12</v>
      </c>
      <c r="J30" s="240">
        <v>16</v>
      </c>
      <c r="K30" s="213">
        <f t="shared" si="2"/>
        <v>18.75</v>
      </c>
      <c r="L30" s="213">
        <f t="shared" si="0"/>
        <v>0</v>
      </c>
      <c r="M30" s="213">
        <f t="shared" si="1"/>
        <v>75</v>
      </c>
      <c r="N30" s="234">
        <f t="shared" si="3"/>
        <v>93.75</v>
      </c>
      <c r="O30" s="212">
        <v>6</v>
      </c>
      <c r="P30" s="213"/>
      <c r="Q30" s="213">
        <v>45.2</v>
      </c>
      <c r="R30" s="214">
        <f t="shared" si="4"/>
        <v>51.2</v>
      </c>
      <c r="S30" s="170">
        <v>2</v>
      </c>
      <c r="T30" s="283"/>
      <c r="U30" s="281"/>
      <c r="V30" s="177" t="s">
        <v>132</v>
      </c>
      <c r="W30" s="170" t="s">
        <v>20</v>
      </c>
      <c r="X30" s="170" t="s">
        <v>12</v>
      </c>
      <c r="Y30" s="178">
        <v>45.2</v>
      </c>
      <c r="Z30" s="177" t="s">
        <v>131</v>
      </c>
      <c r="AA30" s="170" t="s">
        <v>22</v>
      </c>
      <c r="AB30" s="170" t="s">
        <v>11</v>
      </c>
      <c r="AC30" s="178">
        <v>6</v>
      </c>
      <c r="AD30" s="177"/>
      <c r="AG30" s="178"/>
      <c r="AL30" s="177"/>
      <c r="AO30" s="178"/>
      <c r="AP30" s="177"/>
      <c r="AS30" s="178"/>
      <c r="AW30" s="178"/>
      <c r="BA30" s="179"/>
    </row>
    <row r="31" spans="1:53" s="170" customFormat="1" x14ac:dyDescent="0.15">
      <c r="A31" s="215">
        <v>1970</v>
      </c>
      <c r="B31" s="281"/>
      <c r="C31" s="369" t="s">
        <v>530</v>
      </c>
      <c r="D31" s="369"/>
      <c r="E31" s="170">
        <v>365</v>
      </c>
      <c r="G31" s="232">
        <v>3</v>
      </c>
      <c r="I31" s="170">
        <v>12</v>
      </c>
      <c r="J31" s="240">
        <v>16</v>
      </c>
      <c r="K31" s="213">
        <f t="shared" si="2"/>
        <v>18.75</v>
      </c>
      <c r="L31" s="213">
        <f t="shared" si="0"/>
        <v>0</v>
      </c>
      <c r="M31" s="213">
        <f t="shared" si="1"/>
        <v>75</v>
      </c>
      <c r="N31" s="234">
        <f t="shared" si="3"/>
        <v>93.75</v>
      </c>
      <c r="O31" s="212">
        <v>6</v>
      </c>
      <c r="P31" s="213"/>
      <c r="Q31" s="213">
        <v>45.2</v>
      </c>
      <c r="R31" s="214">
        <f t="shared" si="4"/>
        <v>51.2</v>
      </c>
      <c r="S31" s="170">
        <v>2</v>
      </c>
      <c r="T31" s="283"/>
      <c r="U31" s="281"/>
      <c r="V31" s="177" t="s">
        <v>132</v>
      </c>
      <c r="W31" s="170" t="s">
        <v>20</v>
      </c>
      <c r="X31" s="170" t="s">
        <v>12</v>
      </c>
      <c r="Y31" s="178">
        <v>45.2</v>
      </c>
      <c r="Z31" s="177" t="s">
        <v>131</v>
      </c>
      <c r="AA31" s="170" t="s">
        <v>22</v>
      </c>
      <c r="AB31" s="170" t="s">
        <v>11</v>
      </c>
      <c r="AC31" s="178">
        <v>6</v>
      </c>
      <c r="AD31" s="177"/>
      <c r="AG31" s="178"/>
      <c r="AL31" s="177"/>
      <c r="AO31" s="178"/>
      <c r="AP31" s="177"/>
      <c r="AS31" s="178"/>
      <c r="AW31" s="178"/>
      <c r="BA31" s="179"/>
    </row>
    <row r="32" spans="1:53" s="170" customFormat="1" x14ac:dyDescent="0.15">
      <c r="A32" s="215">
        <v>1971</v>
      </c>
      <c r="B32" s="281"/>
      <c r="C32" s="369" t="s">
        <v>530</v>
      </c>
      <c r="D32" s="369"/>
      <c r="E32" s="170">
        <v>0</v>
      </c>
      <c r="G32" s="232">
        <v>3</v>
      </c>
      <c r="I32" s="170">
        <v>12</v>
      </c>
      <c r="J32" s="240">
        <v>16</v>
      </c>
      <c r="K32" s="213">
        <f t="shared" si="2"/>
        <v>18.75</v>
      </c>
      <c r="L32" s="213">
        <f t="shared" si="0"/>
        <v>0</v>
      </c>
      <c r="M32" s="213">
        <f t="shared" si="1"/>
        <v>75</v>
      </c>
      <c r="N32" s="234">
        <f t="shared" si="3"/>
        <v>93.75</v>
      </c>
      <c r="O32" s="212">
        <v>6</v>
      </c>
      <c r="P32" s="213"/>
      <c r="Q32" s="213">
        <v>45.2</v>
      </c>
      <c r="R32" s="214">
        <f t="shared" si="4"/>
        <v>51.2</v>
      </c>
      <c r="S32" s="170">
        <v>2</v>
      </c>
      <c r="T32" s="283"/>
      <c r="U32" s="281"/>
      <c r="V32" s="177" t="s">
        <v>132</v>
      </c>
      <c r="W32" s="170" t="s">
        <v>20</v>
      </c>
      <c r="X32" s="170" t="s">
        <v>12</v>
      </c>
      <c r="Y32" s="178">
        <v>45.2</v>
      </c>
      <c r="Z32" s="177" t="s">
        <v>131</v>
      </c>
      <c r="AA32" s="170" t="s">
        <v>22</v>
      </c>
      <c r="AB32" s="170" t="s">
        <v>11</v>
      </c>
      <c r="AC32" s="178">
        <v>6</v>
      </c>
      <c r="AD32" s="177"/>
      <c r="AG32" s="178"/>
      <c r="AL32" s="177"/>
      <c r="AO32" s="178"/>
      <c r="AP32" s="177"/>
      <c r="AS32" s="178"/>
      <c r="AW32" s="178"/>
      <c r="BA32" s="179"/>
    </row>
    <row r="33" spans="1:53" s="170" customFormat="1" x14ac:dyDescent="0.15">
      <c r="A33" s="215">
        <v>1971</v>
      </c>
      <c r="B33" s="281"/>
      <c r="C33" s="369" t="s">
        <v>530</v>
      </c>
      <c r="D33" s="369"/>
      <c r="E33" s="170">
        <v>365</v>
      </c>
      <c r="G33" s="232">
        <v>3</v>
      </c>
      <c r="I33" s="170">
        <v>12</v>
      </c>
      <c r="J33" s="240">
        <v>16</v>
      </c>
      <c r="K33" s="213">
        <f t="shared" si="2"/>
        <v>18.75</v>
      </c>
      <c r="L33" s="213">
        <f t="shared" si="0"/>
        <v>0</v>
      </c>
      <c r="M33" s="213">
        <f t="shared" si="1"/>
        <v>75</v>
      </c>
      <c r="N33" s="234">
        <f t="shared" si="3"/>
        <v>93.75</v>
      </c>
      <c r="O33" s="212">
        <v>6</v>
      </c>
      <c r="P33" s="213"/>
      <c r="Q33" s="213">
        <v>45.2</v>
      </c>
      <c r="R33" s="214">
        <f t="shared" si="4"/>
        <v>51.2</v>
      </c>
      <c r="S33" s="170">
        <v>2</v>
      </c>
      <c r="T33" s="283"/>
      <c r="U33" s="281"/>
      <c r="V33" s="177" t="s">
        <v>132</v>
      </c>
      <c r="W33" s="170" t="s">
        <v>20</v>
      </c>
      <c r="X33" s="170" t="s">
        <v>12</v>
      </c>
      <c r="Y33" s="178">
        <v>45.2</v>
      </c>
      <c r="Z33" s="177" t="s">
        <v>131</v>
      </c>
      <c r="AA33" s="170" t="s">
        <v>22</v>
      </c>
      <c r="AB33" s="170" t="s">
        <v>11</v>
      </c>
      <c r="AC33" s="178">
        <v>6</v>
      </c>
      <c r="AD33" s="177"/>
      <c r="AG33" s="178"/>
      <c r="AL33" s="177"/>
      <c r="AO33" s="178"/>
      <c r="AP33" s="177"/>
      <c r="AS33" s="178"/>
      <c r="AW33" s="178"/>
      <c r="BA33" s="179"/>
    </row>
    <row r="34" spans="1:53" s="170" customFormat="1" x14ac:dyDescent="0.15">
      <c r="A34" s="215">
        <v>1972</v>
      </c>
      <c r="B34" s="281"/>
      <c r="C34" s="369" t="s">
        <v>530</v>
      </c>
      <c r="D34" s="369"/>
      <c r="E34" s="170">
        <v>137</v>
      </c>
      <c r="G34" s="232">
        <v>3</v>
      </c>
      <c r="I34" s="170">
        <v>12</v>
      </c>
      <c r="J34" s="240">
        <v>16</v>
      </c>
      <c r="K34" s="213">
        <f t="shared" si="2"/>
        <v>18.75</v>
      </c>
      <c r="L34" s="213">
        <f t="shared" si="0"/>
        <v>0</v>
      </c>
      <c r="M34" s="213">
        <f t="shared" si="1"/>
        <v>75</v>
      </c>
      <c r="N34" s="234">
        <f t="shared" si="3"/>
        <v>93.75</v>
      </c>
      <c r="O34" s="212">
        <v>6</v>
      </c>
      <c r="P34" s="213"/>
      <c r="Q34" s="213">
        <v>45.2</v>
      </c>
      <c r="R34" s="214">
        <f t="shared" si="4"/>
        <v>51.2</v>
      </c>
      <c r="S34" s="170">
        <v>2</v>
      </c>
      <c r="T34" s="283"/>
      <c r="U34" s="281"/>
      <c r="V34" s="177" t="s">
        <v>132</v>
      </c>
      <c r="W34" s="170" t="s">
        <v>20</v>
      </c>
      <c r="X34" s="170" t="s">
        <v>12</v>
      </c>
      <c r="Y34" s="178">
        <v>45.2</v>
      </c>
      <c r="Z34" s="177" t="s">
        <v>131</v>
      </c>
      <c r="AA34" s="170" t="s">
        <v>22</v>
      </c>
      <c r="AB34" s="170" t="s">
        <v>11</v>
      </c>
      <c r="AC34" s="178">
        <v>6</v>
      </c>
      <c r="AD34" s="177"/>
      <c r="AG34" s="178"/>
      <c r="AL34" s="177"/>
      <c r="AO34" s="178"/>
      <c r="AP34" s="177"/>
      <c r="AS34" s="178"/>
      <c r="AW34" s="178"/>
      <c r="BA34" s="179"/>
    </row>
    <row r="35" spans="1:53" s="28" customFormat="1" x14ac:dyDescent="0.15">
      <c r="A35" s="51">
        <v>1972</v>
      </c>
      <c r="B35" s="293">
        <v>26436</v>
      </c>
      <c r="C35" s="370" t="s">
        <v>531</v>
      </c>
      <c r="D35" s="370"/>
      <c r="E35" s="28">
        <v>212</v>
      </c>
      <c r="F35" s="28">
        <v>5</v>
      </c>
      <c r="G35" s="65">
        <v>3</v>
      </c>
      <c r="I35" s="28">
        <v>13</v>
      </c>
      <c r="J35" s="72">
        <v>16</v>
      </c>
      <c r="K35" s="46">
        <f>G35/J35*100</f>
        <v>18.75</v>
      </c>
      <c r="L35" s="46">
        <f>H35/J35*100</f>
        <v>0</v>
      </c>
      <c r="M35" s="46">
        <f>I35/J35*100</f>
        <v>81.25</v>
      </c>
      <c r="N35" s="67">
        <f t="shared" si="3"/>
        <v>100</v>
      </c>
      <c r="O35" s="45">
        <v>6</v>
      </c>
      <c r="P35" s="46"/>
      <c r="Q35" s="46">
        <v>45.2</v>
      </c>
      <c r="R35" s="47">
        <f t="shared" si="4"/>
        <v>51.2</v>
      </c>
      <c r="S35" s="28">
        <v>2</v>
      </c>
      <c r="T35" s="284"/>
      <c r="U35" s="293">
        <v>26436</v>
      </c>
      <c r="V35" s="37" t="s">
        <v>132</v>
      </c>
      <c r="W35" s="28" t="s">
        <v>20</v>
      </c>
      <c r="X35" s="28" t="s">
        <v>12</v>
      </c>
      <c r="Y35" s="38">
        <v>45.2</v>
      </c>
      <c r="Z35" s="37" t="s">
        <v>131</v>
      </c>
      <c r="AA35" s="28" t="s">
        <v>22</v>
      </c>
      <c r="AB35" s="28" t="s">
        <v>11</v>
      </c>
      <c r="AC35" s="38">
        <v>6</v>
      </c>
      <c r="AD35" s="37"/>
      <c r="AG35" s="38"/>
      <c r="AL35" s="37"/>
      <c r="AO35" s="38"/>
      <c r="AP35" s="37"/>
      <c r="AS35" s="38"/>
      <c r="AW35" s="38"/>
      <c r="BA35" s="39"/>
    </row>
    <row r="36" spans="1:53" s="170" customFormat="1" x14ac:dyDescent="0.15">
      <c r="A36" s="215">
        <v>1972</v>
      </c>
      <c r="B36" s="281">
        <v>26648</v>
      </c>
      <c r="C36" s="369" t="s">
        <v>532</v>
      </c>
      <c r="D36" s="369"/>
      <c r="E36" s="170">
        <v>17</v>
      </c>
      <c r="F36" s="170">
        <v>1</v>
      </c>
      <c r="G36" s="232">
        <v>5</v>
      </c>
      <c r="I36" s="170">
        <v>13</v>
      </c>
      <c r="J36" s="240">
        <v>18</v>
      </c>
      <c r="K36" s="213">
        <f t="shared" si="2"/>
        <v>27.777777777777779</v>
      </c>
      <c r="L36" s="213">
        <f t="shared" si="0"/>
        <v>0</v>
      </c>
      <c r="M36" s="213">
        <f t="shared" si="1"/>
        <v>72.222222222222214</v>
      </c>
      <c r="N36" s="234">
        <f t="shared" si="3"/>
        <v>100</v>
      </c>
      <c r="O36" s="212">
        <v>8.3000000000000007</v>
      </c>
      <c r="P36" s="213"/>
      <c r="Q36" s="213">
        <v>46.4</v>
      </c>
      <c r="R36" s="214">
        <f t="shared" si="4"/>
        <v>54.7</v>
      </c>
      <c r="S36" s="170">
        <v>2</v>
      </c>
      <c r="T36" s="283">
        <v>26622</v>
      </c>
      <c r="U36" s="281">
        <v>26648</v>
      </c>
      <c r="V36" s="177" t="s">
        <v>132</v>
      </c>
      <c r="W36" s="170" t="s">
        <v>20</v>
      </c>
      <c r="X36" s="170" t="s">
        <v>12</v>
      </c>
      <c r="Y36" s="170">
        <v>46.4</v>
      </c>
      <c r="Z36" s="177" t="s">
        <v>131</v>
      </c>
      <c r="AA36" s="170" t="s">
        <v>22</v>
      </c>
      <c r="AB36" s="170" t="s">
        <v>11</v>
      </c>
      <c r="AC36" s="170">
        <v>8.3000000000000007</v>
      </c>
      <c r="AD36" s="177"/>
      <c r="AG36" s="178"/>
      <c r="AL36" s="177"/>
      <c r="AO36" s="178"/>
      <c r="AP36" s="177"/>
      <c r="AS36" s="178"/>
      <c r="AW36" s="178"/>
      <c r="BA36" s="179"/>
    </row>
    <row r="37" spans="1:53" s="170" customFormat="1" x14ac:dyDescent="0.15">
      <c r="A37" s="215">
        <v>1973</v>
      </c>
      <c r="B37" s="281"/>
      <c r="C37" s="369" t="s">
        <v>532</v>
      </c>
      <c r="D37" s="369"/>
      <c r="E37" s="170">
        <v>0</v>
      </c>
      <c r="G37" s="232">
        <v>5</v>
      </c>
      <c r="I37" s="170">
        <v>13</v>
      </c>
      <c r="J37" s="240">
        <v>18</v>
      </c>
      <c r="K37" s="213">
        <f t="shared" si="2"/>
        <v>27.777777777777779</v>
      </c>
      <c r="L37" s="213">
        <f t="shared" si="0"/>
        <v>0</v>
      </c>
      <c r="M37" s="213">
        <f t="shared" si="1"/>
        <v>72.222222222222214</v>
      </c>
      <c r="N37" s="234">
        <f t="shared" si="3"/>
        <v>100</v>
      </c>
      <c r="O37" s="212">
        <v>8.3000000000000007</v>
      </c>
      <c r="P37" s="213"/>
      <c r="Q37" s="213">
        <v>46.4</v>
      </c>
      <c r="R37" s="214">
        <f t="shared" si="4"/>
        <v>54.7</v>
      </c>
      <c r="S37" s="170">
        <v>2</v>
      </c>
      <c r="T37" s="283"/>
      <c r="U37" s="281"/>
      <c r="V37" s="177" t="s">
        <v>132</v>
      </c>
      <c r="W37" s="170" t="s">
        <v>20</v>
      </c>
      <c r="X37" s="170" t="s">
        <v>12</v>
      </c>
      <c r="Y37" s="170">
        <v>46.4</v>
      </c>
      <c r="Z37" s="177" t="s">
        <v>131</v>
      </c>
      <c r="AA37" s="170" t="s">
        <v>22</v>
      </c>
      <c r="AB37" s="170" t="s">
        <v>11</v>
      </c>
      <c r="AC37" s="170">
        <v>8.3000000000000007</v>
      </c>
      <c r="AD37" s="177"/>
      <c r="AG37" s="178"/>
      <c r="AL37" s="177"/>
      <c r="AO37" s="178"/>
      <c r="AP37" s="177"/>
      <c r="AS37" s="178"/>
      <c r="AW37" s="178"/>
      <c r="BA37" s="179"/>
    </row>
    <row r="38" spans="1:53" s="170" customFormat="1" x14ac:dyDescent="0.15">
      <c r="A38" s="215">
        <v>1973</v>
      </c>
      <c r="B38" s="281"/>
      <c r="C38" s="369" t="s">
        <v>532</v>
      </c>
      <c r="D38" s="369"/>
      <c r="E38" s="170">
        <v>365</v>
      </c>
      <c r="G38" s="232">
        <v>5</v>
      </c>
      <c r="I38" s="170">
        <v>13</v>
      </c>
      <c r="J38" s="240">
        <v>18</v>
      </c>
      <c r="K38" s="213">
        <f t="shared" si="2"/>
        <v>27.777777777777779</v>
      </c>
      <c r="L38" s="213">
        <f t="shared" si="0"/>
        <v>0</v>
      </c>
      <c r="M38" s="213">
        <f t="shared" si="1"/>
        <v>72.222222222222214</v>
      </c>
      <c r="N38" s="234">
        <f t="shared" si="3"/>
        <v>100</v>
      </c>
      <c r="O38" s="212">
        <v>8.3000000000000007</v>
      </c>
      <c r="P38" s="213"/>
      <c r="Q38" s="213">
        <v>46.4</v>
      </c>
      <c r="R38" s="214">
        <f t="shared" si="4"/>
        <v>54.7</v>
      </c>
      <c r="S38" s="170">
        <v>2</v>
      </c>
      <c r="T38" s="283"/>
      <c r="U38" s="281"/>
      <c r="V38" s="177" t="s">
        <v>132</v>
      </c>
      <c r="W38" s="170" t="s">
        <v>20</v>
      </c>
      <c r="X38" s="170" t="s">
        <v>12</v>
      </c>
      <c r="Y38" s="170">
        <v>46.4</v>
      </c>
      <c r="Z38" s="177" t="s">
        <v>131</v>
      </c>
      <c r="AA38" s="170" t="s">
        <v>22</v>
      </c>
      <c r="AB38" s="170" t="s">
        <v>11</v>
      </c>
      <c r="AC38" s="170">
        <v>8.3000000000000007</v>
      </c>
      <c r="AD38" s="177"/>
      <c r="AG38" s="178"/>
      <c r="AL38" s="177"/>
      <c r="AO38" s="178"/>
      <c r="AP38" s="177"/>
      <c r="AS38" s="178"/>
      <c r="AW38" s="178"/>
      <c r="BA38" s="179"/>
    </row>
    <row r="39" spans="1:53" s="170" customFormat="1" x14ac:dyDescent="0.15">
      <c r="A39" s="215">
        <v>1974</v>
      </c>
      <c r="B39" s="281"/>
      <c r="C39" s="369" t="s">
        <v>532</v>
      </c>
      <c r="D39" s="369"/>
      <c r="E39" s="170">
        <v>135</v>
      </c>
      <c r="G39" s="232">
        <v>5</v>
      </c>
      <c r="I39" s="170">
        <v>13</v>
      </c>
      <c r="J39" s="240">
        <v>18</v>
      </c>
      <c r="K39" s="213">
        <f t="shared" si="2"/>
        <v>27.777777777777779</v>
      </c>
      <c r="L39" s="213">
        <f t="shared" si="0"/>
        <v>0</v>
      </c>
      <c r="M39" s="213">
        <f t="shared" si="1"/>
        <v>72.222222222222214</v>
      </c>
      <c r="N39" s="234">
        <f t="shared" si="3"/>
        <v>100</v>
      </c>
      <c r="O39" s="212">
        <v>8.3000000000000007</v>
      </c>
      <c r="P39" s="213"/>
      <c r="Q39" s="213">
        <v>46.4</v>
      </c>
      <c r="R39" s="214">
        <f t="shared" si="4"/>
        <v>54.7</v>
      </c>
      <c r="S39" s="170">
        <v>2</v>
      </c>
      <c r="T39" s="283"/>
      <c r="U39" s="281"/>
      <c r="V39" s="177" t="s">
        <v>132</v>
      </c>
      <c r="W39" s="170" t="s">
        <v>20</v>
      </c>
      <c r="X39" s="170" t="s">
        <v>12</v>
      </c>
      <c r="Y39" s="170">
        <v>46.4</v>
      </c>
      <c r="Z39" s="177" t="s">
        <v>131</v>
      </c>
      <c r="AA39" s="170" t="s">
        <v>22</v>
      </c>
      <c r="AB39" s="170" t="s">
        <v>11</v>
      </c>
      <c r="AC39" s="170">
        <v>8.3000000000000007</v>
      </c>
      <c r="AD39" s="177"/>
      <c r="AG39" s="178"/>
      <c r="AL39" s="177"/>
      <c r="AO39" s="178"/>
      <c r="AP39" s="177"/>
      <c r="AS39" s="178"/>
      <c r="AW39" s="178"/>
      <c r="BA39" s="179"/>
    </row>
    <row r="40" spans="1:53" s="28" customFormat="1" x14ac:dyDescent="0.15">
      <c r="A40" s="51">
        <v>1974</v>
      </c>
      <c r="B40" s="293">
        <v>27165</v>
      </c>
      <c r="C40" s="370" t="s">
        <v>533</v>
      </c>
      <c r="D40" s="370"/>
      <c r="E40" s="28">
        <v>230</v>
      </c>
      <c r="F40" s="28">
        <v>2</v>
      </c>
      <c r="G40" s="65">
        <v>4</v>
      </c>
      <c r="I40" s="28">
        <v>12</v>
      </c>
      <c r="J40" s="72">
        <v>16</v>
      </c>
      <c r="K40" s="46">
        <f t="shared" si="2"/>
        <v>25</v>
      </c>
      <c r="L40" s="46">
        <f t="shared" si="0"/>
        <v>0</v>
      </c>
      <c r="M40" s="46">
        <f t="shared" si="1"/>
        <v>75</v>
      </c>
      <c r="N40" s="67">
        <f t="shared" si="3"/>
        <v>100</v>
      </c>
      <c r="O40" s="45">
        <v>8.3000000000000007</v>
      </c>
      <c r="P40" s="46"/>
      <c r="Q40" s="46">
        <v>46.4</v>
      </c>
      <c r="R40" s="47">
        <f t="shared" si="4"/>
        <v>54.7</v>
      </c>
      <c r="S40" s="28">
        <v>2</v>
      </c>
      <c r="T40" s="284"/>
      <c r="U40" s="293">
        <v>27165</v>
      </c>
      <c r="V40" s="37" t="s">
        <v>132</v>
      </c>
      <c r="W40" s="28" t="s">
        <v>20</v>
      </c>
      <c r="X40" s="28" t="s">
        <v>12</v>
      </c>
      <c r="Y40" s="28">
        <v>46.4</v>
      </c>
      <c r="Z40" s="37" t="s">
        <v>131</v>
      </c>
      <c r="AA40" s="28" t="s">
        <v>22</v>
      </c>
      <c r="AB40" s="28" t="s">
        <v>11</v>
      </c>
      <c r="AC40" s="28">
        <v>8.3000000000000007</v>
      </c>
      <c r="AD40" s="37"/>
      <c r="AG40" s="38"/>
      <c r="AL40" s="37"/>
      <c r="AO40" s="38"/>
      <c r="AP40" s="37"/>
      <c r="AS40" s="38"/>
      <c r="AW40" s="38"/>
      <c r="BA40" s="39"/>
    </row>
    <row r="41" spans="1:53" s="28" customFormat="1" x14ac:dyDescent="0.15">
      <c r="A41" s="51">
        <v>1975</v>
      </c>
      <c r="B41" s="293"/>
      <c r="C41" s="370" t="s">
        <v>533</v>
      </c>
      <c r="D41" s="370"/>
      <c r="E41" s="28">
        <v>0</v>
      </c>
      <c r="G41" s="65">
        <v>4</v>
      </c>
      <c r="I41" s="28">
        <v>12</v>
      </c>
      <c r="J41" s="72">
        <v>16</v>
      </c>
      <c r="K41" s="46">
        <f t="shared" si="2"/>
        <v>25</v>
      </c>
      <c r="L41" s="46">
        <f t="shared" si="0"/>
        <v>0</v>
      </c>
      <c r="M41" s="46">
        <f t="shared" si="1"/>
        <v>75</v>
      </c>
      <c r="N41" s="67">
        <f t="shared" si="3"/>
        <v>100</v>
      </c>
      <c r="O41" s="45">
        <v>8.3000000000000007</v>
      </c>
      <c r="P41" s="46"/>
      <c r="Q41" s="46">
        <v>46.4</v>
      </c>
      <c r="R41" s="47">
        <f t="shared" si="4"/>
        <v>54.7</v>
      </c>
      <c r="S41" s="28">
        <v>2</v>
      </c>
      <c r="T41" s="284"/>
      <c r="U41" s="293"/>
      <c r="V41" s="37" t="s">
        <v>132</v>
      </c>
      <c r="W41" s="28" t="s">
        <v>20</v>
      </c>
      <c r="X41" s="28" t="s">
        <v>12</v>
      </c>
      <c r="Y41" s="28">
        <v>46.4</v>
      </c>
      <c r="Z41" s="37" t="s">
        <v>131</v>
      </c>
      <c r="AA41" s="28" t="s">
        <v>22</v>
      </c>
      <c r="AB41" s="28" t="s">
        <v>11</v>
      </c>
      <c r="AC41" s="28">
        <v>8.3000000000000007</v>
      </c>
      <c r="AD41" s="37"/>
      <c r="AG41" s="38"/>
      <c r="AL41" s="37"/>
      <c r="AO41" s="38"/>
      <c r="AP41" s="37"/>
      <c r="AS41" s="38"/>
      <c r="AW41" s="38"/>
      <c r="BA41" s="39"/>
    </row>
    <row r="42" spans="1:53" s="28" customFormat="1" x14ac:dyDescent="0.15">
      <c r="A42" s="51">
        <v>1975</v>
      </c>
      <c r="B42" s="293"/>
      <c r="C42" s="370" t="s">
        <v>533</v>
      </c>
      <c r="D42" s="370"/>
      <c r="E42" s="28">
        <v>365</v>
      </c>
      <c r="G42" s="65">
        <v>4</v>
      </c>
      <c r="I42" s="28">
        <v>12</v>
      </c>
      <c r="J42" s="72">
        <v>16</v>
      </c>
      <c r="K42" s="46">
        <f t="shared" si="2"/>
        <v>25</v>
      </c>
      <c r="L42" s="46">
        <f t="shared" si="0"/>
        <v>0</v>
      </c>
      <c r="M42" s="46">
        <f t="shared" si="1"/>
        <v>75</v>
      </c>
      <c r="N42" s="67">
        <f t="shared" si="3"/>
        <v>100</v>
      </c>
      <c r="O42" s="45">
        <v>8.3000000000000007</v>
      </c>
      <c r="P42" s="46"/>
      <c r="Q42" s="46">
        <v>46.4</v>
      </c>
      <c r="R42" s="47">
        <f t="shared" si="4"/>
        <v>54.7</v>
      </c>
      <c r="S42" s="28">
        <v>2</v>
      </c>
      <c r="T42" s="284"/>
      <c r="U42" s="293"/>
      <c r="V42" s="37" t="s">
        <v>132</v>
      </c>
      <c r="W42" s="28" t="s">
        <v>20</v>
      </c>
      <c r="X42" s="28" t="s">
        <v>12</v>
      </c>
      <c r="Y42" s="28">
        <v>46.4</v>
      </c>
      <c r="Z42" s="37" t="s">
        <v>131</v>
      </c>
      <c r="AA42" s="28" t="s">
        <v>22</v>
      </c>
      <c r="AB42" s="28" t="s">
        <v>11</v>
      </c>
      <c r="AC42" s="28">
        <v>8.3000000000000007</v>
      </c>
      <c r="AD42" s="37"/>
      <c r="AG42" s="38"/>
      <c r="AL42" s="37"/>
      <c r="AO42" s="38"/>
      <c r="AP42" s="37"/>
      <c r="AS42" s="38"/>
      <c r="AW42" s="38"/>
      <c r="BA42" s="39"/>
    </row>
    <row r="43" spans="1:53" s="28" customFormat="1" x14ac:dyDescent="0.15">
      <c r="A43" s="51">
        <v>1976</v>
      </c>
      <c r="B43" s="293"/>
      <c r="C43" s="370" t="s">
        <v>533</v>
      </c>
      <c r="D43" s="370"/>
      <c r="E43" s="28">
        <v>349</v>
      </c>
      <c r="G43" s="65">
        <v>4</v>
      </c>
      <c r="I43" s="28">
        <v>12</v>
      </c>
      <c r="J43" s="72">
        <v>16</v>
      </c>
      <c r="K43" s="46">
        <f t="shared" si="2"/>
        <v>25</v>
      </c>
      <c r="L43" s="46">
        <f t="shared" si="0"/>
        <v>0</v>
      </c>
      <c r="M43" s="46">
        <f t="shared" si="1"/>
        <v>75</v>
      </c>
      <c r="N43" s="67">
        <f t="shared" si="3"/>
        <v>100</v>
      </c>
      <c r="O43" s="45">
        <v>8.3000000000000007</v>
      </c>
      <c r="P43" s="46"/>
      <c r="Q43" s="46">
        <v>46.4</v>
      </c>
      <c r="R43" s="47">
        <f t="shared" si="4"/>
        <v>54.7</v>
      </c>
      <c r="S43" s="28">
        <v>2</v>
      </c>
      <c r="T43" s="284"/>
      <c r="U43" s="293"/>
      <c r="V43" s="37" t="s">
        <v>132</v>
      </c>
      <c r="W43" s="28" t="s">
        <v>20</v>
      </c>
      <c r="X43" s="28" t="s">
        <v>12</v>
      </c>
      <c r="Y43" s="28">
        <v>46.4</v>
      </c>
      <c r="Z43" s="37" t="s">
        <v>131</v>
      </c>
      <c r="AA43" s="28" t="s">
        <v>22</v>
      </c>
      <c r="AB43" s="28" t="s">
        <v>11</v>
      </c>
      <c r="AC43" s="28">
        <v>8.3000000000000007</v>
      </c>
      <c r="AD43" s="37"/>
      <c r="AG43" s="38"/>
      <c r="AL43" s="37"/>
      <c r="AO43" s="38"/>
      <c r="AP43" s="37"/>
      <c r="AS43" s="38"/>
      <c r="AW43" s="38"/>
      <c r="BA43" s="39"/>
    </row>
    <row r="44" spans="1:53" s="170" customFormat="1" x14ac:dyDescent="0.15">
      <c r="A44" s="215">
        <v>1976</v>
      </c>
      <c r="B44" s="281">
        <v>28109</v>
      </c>
      <c r="C44" s="369" t="s">
        <v>534</v>
      </c>
      <c r="D44" s="369"/>
      <c r="E44" s="170">
        <v>17</v>
      </c>
      <c r="F44" s="170">
        <v>1</v>
      </c>
      <c r="G44" s="232">
        <v>4</v>
      </c>
      <c r="I44" s="170">
        <v>12</v>
      </c>
      <c r="J44" s="240">
        <v>16</v>
      </c>
      <c r="K44" s="213">
        <f t="shared" si="2"/>
        <v>25</v>
      </c>
      <c r="L44" s="213">
        <f t="shared" si="0"/>
        <v>0</v>
      </c>
      <c r="M44" s="213">
        <f t="shared" si="1"/>
        <v>75</v>
      </c>
      <c r="N44" s="234">
        <f t="shared" si="3"/>
        <v>100</v>
      </c>
      <c r="O44" s="212">
        <v>7.9</v>
      </c>
      <c r="P44" s="213"/>
      <c r="Q44" s="213">
        <v>43.1</v>
      </c>
      <c r="R44" s="214">
        <f t="shared" si="4"/>
        <v>51</v>
      </c>
      <c r="S44" s="170">
        <v>2</v>
      </c>
      <c r="T44" s="283">
        <v>28036</v>
      </c>
      <c r="U44" s="281">
        <v>28109</v>
      </c>
      <c r="V44" s="177" t="s">
        <v>132</v>
      </c>
      <c r="W44" s="170" t="s">
        <v>20</v>
      </c>
      <c r="X44" s="170" t="s">
        <v>12</v>
      </c>
      <c r="Y44" s="170">
        <v>43.1</v>
      </c>
      <c r="Z44" s="177" t="s">
        <v>131</v>
      </c>
      <c r="AA44" s="170" t="s">
        <v>22</v>
      </c>
      <c r="AB44" s="170" t="s">
        <v>11</v>
      </c>
      <c r="AC44" s="170">
        <v>7.9</v>
      </c>
      <c r="AD44" s="177"/>
      <c r="AG44" s="178"/>
      <c r="AL44" s="177"/>
      <c r="AO44" s="178"/>
      <c r="AP44" s="177"/>
      <c r="AS44" s="178"/>
      <c r="AW44" s="178"/>
      <c r="BA44" s="179"/>
    </row>
    <row r="45" spans="1:53" s="170" customFormat="1" x14ac:dyDescent="0.15">
      <c r="A45" s="215">
        <v>1977</v>
      </c>
      <c r="B45" s="281"/>
      <c r="C45" s="369" t="s">
        <v>534</v>
      </c>
      <c r="D45" s="369"/>
      <c r="E45" s="170">
        <v>0</v>
      </c>
      <c r="G45" s="232">
        <v>4</v>
      </c>
      <c r="I45" s="170">
        <v>12</v>
      </c>
      <c r="J45" s="240">
        <v>16</v>
      </c>
      <c r="K45" s="213">
        <f t="shared" si="2"/>
        <v>25</v>
      </c>
      <c r="L45" s="213">
        <f t="shared" si="0"/>
        <v>0</v>
      </c>
      <c r="M45" s="213">
        <f t="shared" si="1"/>
        <v>75</v>
      </c>
      <c r="N45" s="234">
        <f t="shared" si="3"/>
        <v>100</v>
      </c>
      <c r="O45" s="212">
        <v>7.9</v>
      </c>
      <c r="P45" s="213"/>
      <c r="Q45" s="213">
        <v>43.1</v>
      </c>
      <c r="R45" s="214">
        <f t="shared" si="4"/>
        <v>51</v>
      </c>
      <c r="S45" s="170">
        <v>2</v>
      </c>
      <c r="T45" s="283"/>
      <c r="U45" s="281"/>
      <c r="V45" s="177" t="s">
        <v>132</v>
      </c>
      <c r="W45" s="170" t="s">
        <v>20</v>
      </c>
      <c r="X45" s="170" t="s">
        <v>12</v>
      </c>
      <c r="Y45" s="170">
        <v>43.1</v>
      </c>
      <c r="Z45" s="177" t="s">
        <v>131</v>
      </c>
      <c r="AA45" s="170" t="s">
        <v>22</v>
      </c>
      <c r="AB45" s="170" t="s">
        <v>11</v>
      </c>
      <c r="AC45" s="170">
        <v>7.9</v>
      </c>
      <c r="AD45" s="177"/>
      <c r="AG45" s="178"/>
      <c r="AL45" s="177"/>
      <c r="AO45" s="178"/>
      <c r="AP45" s="177"/>
      <c r="AS45" s="178"/>
      <c r="AW45" s="178"/>
      <c r="BA45" s="179"/>
    </row>
    <row r="46" spans="1:53" s="170" customFormat="1" x14ac:dyDescent="0.15">
      <c r="A46" s="215">
        <v>1977</v>
      </c>
      <c r="B46" s="281"/>
      <c r="C46" s="369" t="s">
        <v>534</v>
      </c>
      <c r="D46" s="369"/>
      <c r="E46" s="170">
        <v>365</v>
      </c>
      <c r="G46" s="232">
        <v>4</v>
      </c>
      <c r="I46" s="170">
        <v>12</v>
      </c>
      <c r="J46" s="240">
        <v>16</v>
      </c>
      <c r="K46" s="213">
        <f t="shared" si="2"/>
        <v>25</v>
      </c>
      <c r="L46" s="213">
        <f t="shared" si="0"/>
        <v>0</v>
      </c>
      <c r="M46" s="213">
        <f t="shared" si="1"/>
        <v>75</v>
      </c>
      <c r="N46" s="234">
        <f t="shared" si="3"/>
        <v>100</v>
      </c>
      <c r="O46" s="212">
        <v>7.9</v>
      </c>
      <c r="P46" s="213"/>
      <c r="Q46" s="213">
        <v>43.1</v>
      </c>
      <c r="R46" s="214">
        <f t="shared" si="4"/>
        <v>51</v>
      </c>
      <c r="S46" s="170">
        <v>2</v>
      </c>
      <c r="T46" s="283"/>
      <c r="U46" s="281"/>
      <c r="V46" s="177" t="s">
        <v>132</v>
      </c>
      <c r="W46" s="170" t="s">
        <v>20</v>
      </c>
      <c r="X46" s="170" t="s">
        <v>12</v>
      </c>
      <c r="Y46" s="170">
        <v>43.1</v>
      </c>
      <c r="Z46" s="177" t="s">
        <v>131</v>
      </c>
      <c r="AA46" s="170" t="s">
        <v>22</v>
      </c>
      <c r="AB46" s="170" t="s">
        <v>11</v>
      </c>
      <c r="AC46" s="170">
        <v>7.9</v>
      </c>
      <c r="AD46" s="177"/>
      <c r="AG46" s="178"/>
      <c r="AL46" s="177"/>
      <c r="AO46" s="178"/>
      <c r="AP46" s="177"/>
      <c r="AS46" s="178"/>
      <c r="AW46" s="178"/>
      <c r="BA46" s="179"/>
    </row>
    <row r="47" spans="1:53" s="170" customFormat="1" x14ac:dyDescent="0.15">
      <c r="A47" s="215">
        <v>1978</v>
      </c>
      <c r="B47" s="281"/>
      <c r="C47" s="369" t="s">
        <v>534</v>
      </c>
      <c r="D47" s="369"/>
      <c r="E47" s="170">
        <v>0</v>
      </c>
      <c r="G47" s="232">
        <v>4</v>
      </c>
      <c r="I47" s="170">
        <v>12</v>
      </c>
      <c r="J47" s="240">
        <v>16</v>
      </c>
      <c r="K47" s="213">
        <f t="shared" si="2"/>
        <v>25</v>
      </c>
      <c r="L47" s="213">
        <f t="shared" si="0"/>
        <v>0</v>
      </c>
      <c r="M47" s="213">
        <f t="shared" si="1"/>
        <v>75</v>
      </c>
      <c r="N47" s="234">
        <f t="shared" si="3"/>
        <v>100</v>
      </c>
      <c r="O47" s="212">
        <v>7.9</v>
      </c>
      <c r="P47" s="213"/>
      <c r="Q47" s="213">
        <v>43.1</v>
      </c>
      <c r="R47" s="214">
        <f t="shared" si="4"/>
        <v>51</v>
      </c>
      <c r="S47" s="170">
        <v>2</v>
      </c>
      <c r="T47" s="283"/>
      <c r="U47" s="281"/>
      <c r="V47" s="177" t="s">
        <v>132</v>
      </c>
      <c r="W47" s="170" t="s">
        <v>20</v>
      </c>
      <c r="X47" s="170" t="s">
        <v>12</v>
      </c>
      <c r="Y47" s="170">
        <v>43.1</v>
      </c>
      <c r="Z47" s="177" t="s">
        <v>131</v>
      </c>
      <c r="AA47" s="170" t="s">
        <v>22</v>
      </c>
      <c r="AB47" s="170" t="s">
        <v>11</v>
      </c>
      <c r="AC47" s="170">
        <v>7.9</v>
      </c>
      <c r="AD47" s="177"/>
      <c r="AG47" s="178"/>
      <c r="AL47" s="177"/>
      <c r="AO47" s="178"/>
      <c r="AP47" s="177"/>
      <c r="AS47" s="178"/>
      <c r="AW47" s="178"/>
      <c r="BA47" s="179"/>
    </row>
    <row r="48" spans="1:53" s="170" customFormat="1" x14ac:dyDescent="0.15">
      <c r="A48" s="215">
        <v>1978</v>
      </c>
      <c r="B48" s="281"/>
      <c r="C48" s="369" t="s">
        <v>534</v>
      </c>
      <c r="D48" s="369"/>
      <c r="E48" s="170">
        <v>365</v>
      </c>
      <c r="G48" s="232">
        <v>4</v>
      </c>
      <c r="I48" s="170">
        <v>12</v>
      </c>
      <c r="J48" s="240">
        <v>16</v>
      </c>
      <c r="K48" s="213">
        <f t="shared" si="2"/>
        <v>25</v>
      </c>
      <c r="L48" s="213">
        <f t="shared" si="0"/>
        <v>0</v>
      </c>
      <c r="M48" s="213">
        <f t="shared" si="1"/>
        <v>75</v>
      </c>
      <c r="N48" s="234">
        <f t="shared" si="3"/>
        <v>100</v>
      </c>
      <c r="O48" s="212">
        <v>7.9</v>
      </c>
      <c r="P48" s="213"/>
      <c r="Q48" s="213">
        <v>43.1</v>
      </c>
      <c r="R48" s="214">
        <f t="shared" si="4"/>
        <v>51</v>
      </c>
      <c r="S48" s="170">
        <v>2</v>
      </c>
      <c r="T48" s="283"/>
      <c r="U48" s="281"/>
      <c r="V48" s="177" t="s">
        <v>132</v>
      </c>
      <c r="W48" s="170" t="s">
        <v>20</v>
      </c>
      <c r="X48" s="170" t="s">
        <v>12</v>
      </c>
      <c r="Y48" s="170">
        <v>43.1</v>
      </c>
      <c r="Z48" s="177" t="s">
        <v>131</v>
      </c>
      <c r="AA48" s="170" t="s">
        <v>22</v>
      </c>
      <c r="AB48" s="170" t="s">
        <v>11</v>
      </c>
      <c r="AC48" s="170">
        <v>7.9</v>
      </c>
      <c r="AD48" s="177"/>
      <c r="AG48" s="178"/>
      <c r="AL48" s="177"/>
      <c r="AO48" s="178"/>
      <c r="AP48" s="177"/>
      <c r="AS48" s="178"/>
      <c r="AW48" s="178"/>
      <c r="BA48" s="179"/>
    </row>
    <row r="49" spans="1:53" s="170" customFormat="1" x14ac:dyDescent="0.15">
      <c r="A49" s="215">
        <v>1979</v>
      </c>
      <c r="B49" s="281"/>
      <c r="C49" s="369" t="s">
        <v>534</v>
      </c>
      <c r="D49" s="369"/>
      <c r="E49" s="170">
        <v>0</v>
      </c>
      <c r="G49" s="232">
        <v>4</v>
      </c>
      <c r="I49" s="170">
        <v>12</v>
      </c>
      <c r="J49" s="240">
        <v>16</v>
      </c>
      <c r="K49" s="213">
        <f t="shared" si="2"/>
        <v>25</v>
      </c>
      <c r="L49" s="213">
        <f t="shared" si="0"/>
        <v>0</v>
      </c>
      <c r="M49" s="213">
        <f t="shared" si="1"/>
        <v>75</v>
      </c>
      <c r="N49" s="234">
        <f t="shared" si="3"/>
        <v>100</v>
      </c>
      <c r="O49" s="212">
        <v>7.9</v>
      </c>
      <c r="P49" s="213"/>
      <c r="Q49" s="213">
        <v>43.1</v>
      </c>
      <c r="R49" s="214">
        <f t="shared" si="4"/>
        <v>51</v>
      </c>
      <c r="S49" s="170">
        <v>2</v>
      </c>
      <c r="T49" s="283"/>
      <c r="U49" s="281"/>
      <c r="V49" s="177" t="s">
        <v>132</v>
      </c>
      <c r="W49" s="170" t="s">
        <v>20</v>
      </c>
      <c r="X49" s="170" t="s">
        <v>12</v>
      </c>
      <c r="Y49" s="170">
        <v>43.1</v>
      </c>
      <c r="Z49" s="177" t="s">
        <v>131</v>
      </c>
      <c r="AA49" s="170" t="s">
        <v>22</v>
      </c>
      <c r="AB49" s="170" t="s">
        <v>11</v>
      </c>
      <c r="AC49" s="170">
        <v>7.9</v>
      </c>
      <c r="AD49" s="177"/>
      <c r="AG49" s="178"/>
      <c r="AL49" s="177"/>
      <c r="AO49" s="178"/>
      <c r="AP49" s="177"/>
      <c r="AS49" s="178"/>
      <c r="AW49" s="178"/>
      <c r="BA49" s="179"/>
    </row>
    <row r="50" spans="1:53" s="170" customFormat="1" x14ac:dyDescent="0.15">
      <c r="A50" s="215">
        <v>1979</v>
      </c>
      <c r="B50" s="281"/>
      <c r="C50" s="369" t="s">
        <v>534</v>
      </c>
      <c r="D50" s="369"/>
      <c r="E50" s="170">
        <v>365</v>
      </c>
      <c r="G50" s="232">
        <v>4</v>
      </c>
      <c r="I50" s="170">
        <v>12</v>
      </c>
      <c r="J50" s="240">
        <v>16</v>
      </c>
      <c r="K50" s="213">
        <f t="shared" si="2"/>
        <v>25</v>
      </c>
      <c r="L50" s="213">
        <f t="shared" si="0"/>
        <v>0</v>
      </c>
      <c r="M50" s="213">
        <f t="shared" si="1"/>
        <v>75</v>
      </c>
      <c r="N50" s="234">
        <f t="shared" si="3"/>
        <v>100</v>
      </c>
      <c r="O50" s="212">
        <v>7.9</v>
      </c>
      <c r="P50" s="213"/>
      <c r="Q50" s="213">
        <v>43.1</v>
      </c>
      <c r="R50" s="214">
        <f t="shared" si="4"/>
        <v>51</v>
      </c>
      <c r="S50" s="170">
        <v>2</v>
      </c>
      <c r="T50" s="283"/>
      <c r="U50" s="281"/>
      <c r="V50" s="177" t="s">
        <v>132</v>
      </c>
      <c r="W50" s="170" t="s">
        <v>20</v>
      </c>
      <c r="X50" s="170" t="s">
        <v>12</v>
      </c>
      <c r="Y50" s="170">
        <v>43.1</v>
      </c>
      <c r="Z50" s="177" t="s">
        <v>131</v>
      </c>
      <c r="AA50" s="170" t="s">
        <v>22</v>
      </c>
      <c r="AB50" s="170" t="s">
        <v>11</v>
      </c>
      <c r="AC50" s="170">
        <v>7.9</v>
      </c>
      <c r="AD50" s="177"/>
      <c r="AG50" s="178"/>
      <c r="AL50" s="177"/>
      <c r="AO50" s="178"/>
      <c r="AP50" s="177"/>
      <c r="AS50" s="178"/>
      <c r="AW50" s="178"/>
      <c r="BA50" s="179"/>
    </row>
    <row r="51" spans="1:53" s="170" customFormat="1" x14ac:dyDescent="0.15">
      <c r="A51" s="215">
        <v>1980</v>
      </c>
      <c r="B51" s="281"/>
      <c r="C51" s="369" t="s">
        <v>534</v>
      </c>
      <c r="D51" s="369"/>
      <c r="E51" s="170">
        <v>308</v>
      </c>
      <c r="G51" s="232">
        <v>4</v>
      </c>
      <c r="I51" s="170">
        <v>12</v>
      </c>
      <c r="J51" s="240">
        <v>16</v>
      </c>
      <c r="K51" s="213">
        <f t="shared" si="2"/>
        <v>25</v>
      </c>
      <c r="L51" s="213">
        <f t="shared" si="0"/>
        <v>0</v>
      </c>
      <c r="M51" s="213">
        <f t="shared" si="1"/>
        <v>75</v>
      </c>
      <c r="N51" s="234">
        <f t="shared" si="3"/>
        <v>100</v>
      </c>
      <c r="O51" s="212">
        <v>7.9</v>
      </c>
      <c r="P51" s="213"/>
      <c r="Q51" s="213">
        <v>43.1</v>
      </c>
      <c r="R51" s="214">
        <f t="shared" si="4"/>
        <v>51</v>
      </c>
      <c r="S51" s="170">
        <v>2</v>
      </c>
      <c r="T51" s="283"/>
      <c r="U51" s="281"/>
      <c r="V51" s="177" t="s">
        <v>132</v>
      </c>
      <c r="W51" s="170" t="s">
        <v>20</v>
      </c>
      <c r="X51" s="170" t="s">
        <v>12</v>
      </c>
      <c r="Y51" s="170">
        <v>43.1</v>
      </c>
      <c r="Z51" s="177" t="s">
        <v>131</v>
      </c>
      <c r="AA51" s="170" t="s">
        <v>22</v>
      </c>
      <c r="AB51" s="170" t="s">
        <v>11</v>
      </c>
      <c r="AC51" s="170">
        <v>7.9</v>
      </c>
      <c r="AD51" s="177"/>
      <c r="AG51" s="178"/>
      <c r="AL51" s="177"/>
      <c r="AO51" s="178"/>
      <c r="AP51" s="177"/>
      <c r="AS51" s="178"/>
      <c r="AW51" s="178"/>
      <c r="BA51" s="179"/>
    </row>
    <row r="52" spans="1:53" s="28" customFormat="1" x14ac:dyDescent="0.15">
      <c r="A52" s="51">
        <v>1980</v>
      </c>
      <c r="B52" s="293">
        <v>29529</v>
      </c>
      <c r="C52" s="370" t="s">
        <v>535</v>
      </c>
      <c r="D52" s="370"/>
      <c r="E52" s="28">
        <v>58</v>
      </c>
      <c r="F52" s="28">
        <v>1</v>
      </c>
      <c r="G52" s="65">
        <v>4</v>
      </c>
      <c r="I52" s="28">
        <v>13</v>
      </c>
      <c r="J52" s="72">
        <v>17</v>
      </c>
      <c r="K52" s="46">
        <f t="shared" si="2"/>
        <v>23.52941176470588</v>
      </c>
      <c r="L52" s="46">
        <f t="shared" si="0"/>
        <v>0</v>
      </c>
      <c r="M52" s="46">
        <f t="shared" si="1"/>
        <v>76.470588235294116</v>
      </c>
      <c r="N52" s="67">
        <f t="shared" si="3"/>
        <v>100</v>
      </c>
      <c r="O52" s="45">
        <v>10.7</v>
      </c>
      <c r="P52" s="46"/>
      <c r="Q52" s="46">
        <v>43.9</v>
      </c>
      <c r="R52" s="47">
        <f t="shared" si="4"/>
        <v>54.599999999999994</v>
      </c>
      <c r="S52" s="28">
        <v>2</v>
      </c>
      <c r="T52" s="284">
        <v>29499</v>
      </c>
      <c r="U52" s="293">
        <v>29529</v>
      </c>
      <c r="V52" s="37" t="s">
        <v>132</v>
      </c>
      <c r="W52" s="28" t="s">
        <v>20</v>
      </c>
      <c r="X52" s="28" t="s">
        <v>12</v>
      </c>
      <c r="Y52" s="28">
        <v>43.9</v>
      </c>
      <c r="Z52" s="37" t="s">
        <v>131</v>
      </c>
      <c r="AA52" s="28" t="s">
        <v>22</v>
      </c>
      <c r="AB52" s="28" t="s">
        <v>11</v>
      </c>
      <c r="AC52" s="28">
        <v>10.7</v>
      </c>
      <c r="AD52" s="37"/>
      <c r="AG52" s="38"/>
      <c r="AL52" s="37"/>
      <c r="AO52" s="38"/>
      <c r="AP52" s="37"/>
      <c r="AS52" s="38"/>
      <c r="AW52" s="38"/>
      <c r="BA52" s="39"/>
    </row>
    <row r="53" spans="1:53" s="28" customFormat="1" x14ac:dyDescent="0.15">
      <c r="A53" s="51">
        <v>1981</v>
      </c>
      <c r="B53" s="293"/>
      <c r="C53" s="370" t="s">
        <v>535</v>
      </c>
      <c r="D53" s="370"/>
      <c r="E53" s="28">
        <v>0</v>
      </c>
      <c r="G53" s="65">
        <v>4</v>
      </c>
      <c r="I53" s="28">
        <v>13</v>
      </c>
      <c r="J53" s="72">
        <v>17</v>
      </c>
      <c r="K53" s="46">
        <f t="shared" si="2"/>
        <v>23.52941176470588</v>
      </c>
      <c r="L53" s="46">
        <f t="shared" si="0"/>
        <v>0</v>
      </c>
      <c r="M53" s="46">
        <f t="shared" si="1"/>
        <v>76.470588235294116</v>
      </c>
      <c r="N53" s="67">
        <f t="shared" si="3"/>
        <v>100</v>
      </c>
      <c r="O53" s="45">
        <v>10.7</v>
      </c>
      <c r="P53" s="46"/>
      <c r="Q53" s="46">
        <v>43.9</v>
      </c>
      <c r="R53" s="47">
        <f t="shared" si="4"/>
        <v>54.599999999999994</v>
      </c>
      <c r="S53" s="28">
        <v>2</v>
      </c>
      <c r="T53" s="284"/>
      <c r="U53" s="293"/>
      <c r="V53" s="37" t="s">
        <v>132</v>
      </c>
      <c r="W53" s="28" t="s">
        <v>20</v>
      </c>
      <c r="X53" s="28" t="s">
        <v>12</v>
      </c>
      <c r="Y53" s="28">
        <v>43.9</v>
      </c>
      <c r="Z53" s="37" t="s">
        <v>131</v>
      </c>
      <c r="AA53" s="28" t="s">
        <v>22</v>
      </c>
      <c r="AB53" s="28" t="s">
        <v>11</v>
      </c>
      <c r="AC53" s="28">
        <v>10.7</v>
      </c>
      <c r="AD53" s="37"/>
      <c r="AG53" s="38"/>
      <c r="AL53" s="37"/>
      <c r="AO53" s="38"/>
      <c r="AP53" s="37"/>
      <c r="AS53" s="38"/>
      <c r="AW53" s="38"/>
      <c r="BA53" s="39"/>
    </row>
    <row r="54" spans="1:53" s="28" customFormat="1" x14ac:dyDescent="0.15">
      <c r="A54" s="51">
        <v>1981</v>
      </c>
      <c r="B54" s="293"/>
      <c r="C54" s="370" t="s">
        <v>535</v>
      </c>
      <c r="D54" s="370"/>
      <c r="E54" s="28">
        <v>365</v>
      </c>
      <c r="G54" s="65">
        <v>4</v>
      </c>
      <c r="I54" s="28">
        <v>13</v>
      </c>
      <c r="J54" s="72">
        <v>17</v>
      </c>
      <c r="K54" s="46">
        <f t="shared" si="2"/>
        <v>23.52941176470588</v>
      </c>
      <c r="L54" s="46">
        <f t="shared" si="0"/>
        <v>0</v>
      </c>
      <c r="M54" s="46">
        <f t="shared" si="1"/>
        <v>76.470588235294116</v>
      </c>
      <c r="N54" s="67">
        <f t="shared" si="3"/>
        <v>100</v>
      </c>
      <c r="O54" s="45">
        <v>10.7</v>
      </c>
      <c r="P54" s="46"/>
      <c r="Q54" s="46">
        <v>43.9</v>
      </c>
      <c r="R54" s="47">
        <f t="shared" si="4"/>
        <v>54.599999999999994</v>
      </c>
      <c r="S54" s="28">
        <v>2</v>
      </c>
      <c r="T54" s="284"/>
      <c r="U54" s="293"/>
      <c r="V54" s="37" t="s">
        <v>132</v>
      </c>
      <c r="W54" s="28" t="s">
        <v>20</v>
      </c>
      <c r="X54" s="28" t="s">
        <v>12</v>
      </c>
      <c r="Y54" s="28">
        <v>43.9</v>
      </c>
      <c r="Z54" s="37" t="s">
        <v>131</v>
      </c>
      <c r="AA54" s="28" t="s">
        <v>22</v>
      </c>
      <c r="AB54" s="28" t="s">
        <v>11</v>
      </c>
      <c r="AC54" s="28">
        <v>10.7</v>
      </c>
      <c r="AD54" s="37"/>
      <c r="AG54" s="38"/>
      <c r="AL54" s="37"/>
      <c r="AO54" s="38"/>
      <c r="AP54" s="37"/>
      <c r="AS54" s="38"/>
      <c r="AW54" s="38"/>
      <c r="BA54" s="39"/>
    </row>
    <row r="55" spans="1:53" s="28" customFormat="1" x14ac:dyDescent="0.15">
      <c r="A55" s="51">
        <v>1982</v>
      </c>
      <c r="B55" s="293"/>
      <c r="C55" s="370" t="s">
        <v>535</v>
      </c>
      <c r="D55" s="370"/>
      <c r="E55" s="28">
        <v>259</v>
      </c>
      <c r="G55" s="65">
        <v>4</v>
      </c>
      <c r="I55" s="28">
        <v>13</v>
      </c>
      <c r="J55" s="72">
        <v>17</v>
      </c>
      <c r="K55" s="46">
        <f t="shared" si="2"/>
        <v>23.52941176470588</v>
      </c>
      <c r="L55" s="46">
        <f t="shared" si="0"/>
        <v>0</v>
      </c>
      <c r="M55" s="46">
        <f t="shared" si="1"/>
        <v>76.470588235294116</v>
      </c>
      <c r="N55" s="67">
        <f t="shared" si="3"/>
        <v>100</v>
      </c>
      <c r="O55" s="45">
        <v>10.7</v>
      </c>
      <c r="P55" s="46"/>
      <c r="Q55" s="46">
        <v>43.9</v>
      </c>
      <c r="R55" s="47">
        <f t="shared" si="4"/>
        <v>54.599999999999994</v>
      </c>
      <c r="S55" s="28">
        <v>2</v>
      </c>
      <c r="T55" s="284"/>
      <c r="U55" s="293"/>
      <c r="V55" s="37" t="s">
        <v>132</v>
      </c>
      <c r="W55" s="28" t="s">
        <v>20</v>
      </c>
      <c r="X55" s="28" t="s">
        <v>12</v>
      </c>
      <c r="Y55" s="28">
        <v>43.9</v>
      </c>
      <c r="Z55" s="37" t="s">
        <v>131</v>
      </c>
      <c r="AA55" s="28" t="s">
        <v>22</v>
      </c>
      <c r="AB55" s="28" t="s">
        <v>11</v>
      </c>
      <c r="AC55" s="28">
        <v>10.7</v>
      </c>
      <c r="AD55" s="37"/>
      <c r="AG55" s="38"/>
      <c r="AL55" s="37"/>
      <c r="AO55" s="38"/>
      <c r="AP55" s="37"/>
      <c r="AS55" s="38"/>
      <c r="AW55" s="38"/>
      <c r="BA55" s="39"/>
    </row>
    <row r="56" spans="1:53" s="170" customFormat="1" x14ac:dyDescent="0.15">
      <c r="A56" s="215">
        <v>1982</v>
      </c>
      <c r="B56" s="281">
        <v>30211</v>
      </c>
      <c r="C56" s="369" t="s">
        <v>536</v>
      </c>
      <c r="D56" s="369"/>
      <c r="E56" s="170">
        <v>17</v>
      </c>
      <c r="F56" s="170">
        <v>4</v>
      </c>
      <c r="G56" s="232"/>
      <c r="I56" s="170">
        <v>13</v>
      </c>
      <c r="J56" s="240">
        <v>13</v>
      </c>
      <c r="K56" s="213">
        <f t="shared" si="2"/>
        <v>0</v>
      </c>
      <c r="L56" s="213">
        <f t="shared" si="0"/>
        <v>0</v>
      </c>
      <c r="M56" s="213">
        <f t="shared" si="1"/>
        <v>100</v>
      </c>
      <c r="N56" s="234">
        <f t="shared" si="3"/>
        <v>100</v>
      </c>
      <c r="O56" s="212"/>
      <c r="P56" s="213"/>
      <c r="Q56" s="213">
        <v>43.9</v>
      </c>
      <c r="R56" s="214">
        <f t="shared" si="4"/>
        <v>43.9</v>
      </c>
      <c r="S56" s="170">
        <v>6</v>
      </c>
      <c r="T56" s="283"/>
      <c r="U56" s="281">
        <v>30211</v>
      </c>
      <c r="V56" s="177" t="s">
        <v>132</v>
      </c>
      <c r="W56" s="170" t="s">
        <v>20</v>
      </c>
      <c r="X56" s="170" t="s">
        <v>12</v>
      </c>
      <c r="Y56" s="170">
        <v>43.9</v>
      </c>
      <c r="Z56" s="177"/>
      <c r="AD56" s="177"/>
      <c r="AG56" s="178"/>
      <c r="AL56" s="177"/>
      <c r="AO56" s="178"/>
      <c r="AP56" s="177"/>
      <c r="AS56" s="178"/>
      <c r="AW56" s="178"/>
      <c r="BA56" s="179"/>
    </row>
    <row r="57" spans="1:53" s="28" customFormat="1" x14ac:dyDescent="0.15">
      <c r="A57" s="51">
        <v>1982</v>
      </c>
      <c r="B57" s="293">
        <v>30228</v>
      </c>
      <c r="C57" s="370" t="s">
        <v>537</v>
      </c>
      <c r="D57" s="370"/>
      <c r="E57" s="28">
        <v>89</v>
      </c>
      <c r="F57" s="28">
        <v>5</v>
      </c>
      <c r="G57" s="65">
        <v>4</v>
      </c>
      <c r="H57" s="28">
        <v>13</v>
      </c>
      <c r="J57" s="72">
        <v>17</v>
      </c>
      <c r="K57" s="46">
        <f t="shared" si="2"/>
        <v>23.52941176470588</v>
      </c>
      <c r="L57" s="46">
        <f t="shared" si="0"/>
        <v>76.470588235294116</v>
      </c>
      <c r="M57" s="46">
        <f t="shared" si="1"/>
        <v>0</v>
      </c>
      <c r="N57" s="67">
        <f t="shared" si="3"/>
        <v>100</v>
      </c>
      <c r="O57" s="45">
        <v>10.7</v>
      </c>
      <c r="P57" s="46">
        <v>45.5</v>
      </c>
      <c r="Q57" s="46"/>
      <c r="R57" s="47">
        <f t="shared" si="4"/>
        <v>56.2</v>
      </c>
      <c r="S57" s="28">
        <v>6</v>
      </c>
      <c r="T57" s="284"/>
      <c r="U57" s="293">
        <v>30228</v>
      </c>
      <c r="V57" s="37" t="s">
        <v>128</v>
      </c>
      <c r="W57" s="28" t="s">
        <v>17</v>
      </c>
      <c r="X57" s="28" t="s">
        <v>18</v>
      </c>
      <c r="Y57" s="28">
        <v>35</v>
      </c>
      <c r="Z57" s="37" t="s">
        <v>129</v>
      </c>
      <c r="AA57" s="28" t="s">
        <v>81</v>
      </c>
      <c r="AB57" s="28" t="s">
        <v>18</v>
      </c>
      <c r="AC57" s="28">
        <v>10.5</v>
      </c>
      <c r="AD57" s="37" t="s">
        <v>131</v>
      </c>
      <c r="AE57" s="28" t="s">
        <v>22</v>
      </c>
      <c r="AF57" s="28" t="s">
        <v>11</v>
      </c>
      <c r="AG57" s="38">
        <v>10.7</v>
      </c>
      <c r="AL57" s="37"/>
      <c r="AO57" s="38"/>
      <c r="AP57" s="37"/>
      <c r="AS57" s="38"/>
      <c r="AW57" s="38"/>
      <c r="BA57" s="39"/>
    </row>
    <row r="58" spans="1:53" s="28" customFormat="1" x14ac:dyDescent="0.15">
      <c r="A58" s="51">
        <v>1983</v>
      </c>
      <c r="B58" s="293"/>
      <c r="C58" s="370" t="s">
        <v>537</v>
      </c>
      <c r="D58" s="370"/>
      <c r="E58" s="28">
        <v>88</v>
      </c>
      <c r="G58" s="65">
        <v>4</v>
      </c>
      <c r="H58" s="28">
        <v>13</v>
      </c>
      <c r="J58" s="72">
        <v>17</v>
      </c>
      <c r="K58" s="46">
        <f t="shared" si="2"/>
        <v>23.52941176470588</v>
      </c>
      <c r="L58" s="46">
        <f t="shared" si="0"/>
        <v>76.470588235294116</v>
      </c>
      <c r="M58" s="46">
        <f t="shared" si="1"/>
        <v>0</v>
      </c>
      <c r="N58" s="67">
        <f t="shared" si="3"/>
        <v>100</v>
      </c>
      <c r="O58" s="45">
        <v>10.7</v>
      </c>
      <c r="P58" s="46">
        <v>45.5</v>
      </c>
      <c r="Q58" s="46"/>
      <c r="R58" s="47">
        <f t="shared" si="4"/>
        <v>56.2</v>
      </c>
      <c r="S58" s="28">
        <v>6</v>
      </c>
      <c r="T58" s="284"/>
      <c r="U58" s="293"/>
      <c r="V58" s="37" t="s">
        <v>128</v>
      </c>
      <c r="W58" s="28" t="s">
        <v>17</v>
      </c>
      <c r="X58" s="28" t="s">
        <v>18</v>
      </c>
      <c r="Y58" s="28">
        <v>35</v>
      </c>
      <c r="Z58" s="37" t="s">
        <v>129</v>
      </c>
      <c r="AA58" s="28" t="s">
        <v>81</v>
      </c>
      <c r="AB58" s="28" t="s">
        <v>18</v>
      </c>
      <c r="AC58" s="28">
        <v>10.5</v>
      </c>
      <c r="AD58" s="37" t="s">
        <v>131</v>
      </c>
      <c r="AE58" s="28" t="s">
        <v>22</v>
      </c>
      <c r="AF58" s="28" t="s">
        <v>11</v>
      </c>
      <c r="AG58" s="38">
        <v>10.7</v>
      </c>
      <c r="AL58" s="37"/>
      <c r="AO58" s="38"/>
      <c r="AP58" s="37"/>
      <c r="AS58" s="38"/>
      <c r="AW58" s="38"/>
      <c r="BA58" s="39"/>
    </row>
    <row r="59" spans="1:53" s="170" customFormat="1" x14ac:dyDescent="0.15">
      <c r="A59" s="215">
        <v>1983</v>
      </c>
      <c r="B59" s="281">
        <v>30405</v>
      </c>
      <c r="C59" s="369" t="s">
        <v>538</v>
      </c>
      <c r="D59" s="369"/>
      <c r="E59" s="170">
        <v>277</v>
      </c>
      <c r="F59" s="170">
        <v>1</v>
      </c>
      <c r="G59" s="232">
        <v>3</v>
      </c>
      <c r="H59" s="170">
        <v>14</v>
      </c>
      <c r="J59" s="240">
        <v>17</v>
      </c>
      <c r="K59" s="213">
        <f t="shared" si="2"/>
        <v>17.647058823529413</v>
      </c>
      <c r="L59" s="213">
        <f t="shared" si="0"/>
        <v>82.35294117647058</v>
      </c>
      <c r="M59" s="213">
        <f t="shared" si="1"/>
        <v>0</v>
      </c>
      <c r="N59" s="234">
        <f t="shared" si="3"/>
        <v>100</v>
      </c>
      <c r="O59" s="212">
        <v>6.8</v>
      </c>
      <c r="P59" s="213">
        <v>49</v>
      </c>
      <c r="Q59" s="213"/>
      <c r="R59" s="214">
        <f t="shared" si="4"/>
        <v>55.8</v>
      </c>
      <c r="S59" s="170">
        <v>2</v>
      </c>
      <c r="T59" s="283">
        <v>30381</v>
      </c>
      <c r="U59" s="281">
        <v>30405</v>
      </c>
      <c r="V59" s="177" t="s">
        <v>128</v>
      </c>
      <c r="W59" s="170" t="s">
        <v>17</v>
      </c>
      <c r="X59" s="170" t="s">
        <v>18</v>
      </c>
      <c r="Y59" s="170">
        <v>38.4</v>
      </c>
      <c r="Z59" s="177" t="s">
        <v>129</v>
      </c>
      <c r="AA59" s="170" t="s">
        <v>81</v>
      </c>
      <c r="AB59" s="170" t="s">
        <v>18</v>
      </c>
      <c r="AC59" s="170">
        <v>10.6</v>
      </c>
      <c r="AD59" s="177" t="s">
        <v>131</v>
      </c>
      <c r="AE59" s="170" t="s">
        <v>22</v>
      </c>
      <c r="AF59" s="170" t="s">
        <v>11</v>
      </c>
      <c r="AG59" s="178">
        <v>6.8</v>
      </c>
      <c r="AL59" s="177"/>
      <c r="AO59" s="178"/>
      <c r="AP59" s="177"/>
      <c r="AS59" s="178"/>
      <c r="AW59" s="178"/>
      <c r="BA59" s="179"/>
    </row>
    <row r="60" spans="1:53" s="170" customFormat="1" x14ac:dyDescent="0.15">
      <c r="A60" s="215">
        <v>1984</v>
      </c>
      <c r="B60" s="281"/>
      <c r="C60" s="369" t="s">
        <v>538</v>
      </c>
      <c r="D60" s="369"/>
      <c r="E60" s="170">
        <v>0</v>
      </c>
      <c r="G60" s="232">
        <v>3</v>
      </c>
      <c r="H60" s="170">
        <v>14</v>
      </c>
      <c r="J60" s="240">
        <v>17</v>
      </c>
      <c r="K60" s="213">
        <f t="shared" si="2"/>
        <v>17.647058823529413</v>
      </c>
      <c r="L60" s="213">
        <f t="shared" si="0"/>
        <v>82.35294117647058</v>
      </c>
      <c r="M60" s="213">
        <f t="shared" si="1"/>
        <v>0</v>
      </c>
      <c r="N60" s="234">
        <f t="shared" si="3"/>
        <v>100</v>
      </c>
      <c r="O60" s="212">
        <v>6.8</v>
      </c>
      <c r="P60" s="213">
        <v>49</v>
      </c>
      <c r="Q60" s="213"/>
      <c r="R60" s="214">
        <f t="shared" si="4"/>
        <v>55.8</v>
      </c>
      <c r="S60" s="170">
        <v>2</v>
      </c>
      <c r="T60" s="283"/>
      <c r="U60" s="281"/>
      <c r="V60" s="177" t="s">
        <v>128</v>
      </c>
      <c r="W60" s="170" t="s">
        <v>17</v>
      </c>
      <c r="X60" s="170" t="s">
        <v>18</v>
      </c>
      <c r="Y60" s="170">
        <v>38.4</v>
      </c>
      <c r="Z60" s="177" t="s">
        <v>129</v>
      </c>
      <c r="AA60" s="170" t="s">
        <v>81</v>
      </c>
      <c r="AB60" s="170" t="s">
        <v>18</v>
      </c>
      <c r="AC60" s="170">
        <v>10.6</v>
      </c>
      <c r="AD60" s="177" t="s">
        <v>131</v>
      </c>
      <c r="AE60" s="170" t="s">
        <v>22</v>
      </c>
      <c r="AF60" s="170" t="s">
        <v>11</v>
      </c>
      <c r="AG60" s="178">
        <v>6.8</v>
      </c>
      <c r="AL60" s="177"/>
      <c r="AO60" s="178"/>
      <c r="AP60" s="177"/>
      <c r="AS60" s="178"/>
      <c r="AW60" s="178"/>
      <c r="BA60" s="179"/>
    </row>
    <row r="61" spans="1:53" s="170" customFormat="1" x14ac:dyDescent="0.15">
      <c r="A61" s="215">
        <v>1984</v>
      </c>
      <c r="B61" s="281"/>
      <c r="C61" s="369" t="s">
        <v>538</v>
      </c>
      <c r="D61" s="369"/>
      <c r="E61" s="170">
        <v>366</v>
      </c>
      <c r="G61" s="232">
        <v>3</v>
      </c>
      <c r="H61" s="170">
        <v>14</v>
      </c>
      <c r="J61" s="240">
        <v>17</v>
      </c>
      <c r="K61" s="213">
        <f t="shared" si="2"/>
        <v>17.647058823529413</v>
      </c>
      <c r="L61" s="213">
        <f t="shared" si="0"/>
        <v>82.35294117647058</v>
      </c>
      <c r="M61" s="213">
        <f t="shared" si="1"/>
        <v>0</v>
      </c>
      <c r="N61" s="234">
        <f t="shared" si="3"/>
        <v>100</v>
      </c>
      <c r="O61" s="212">
        <v>6.8</v>
      </c>
      <c r="P61" s="213">
        <v>49</v>
      </c>
      <c r="Q61" s="213"/>
      <c r="R61" s="214">
        <f t="shared" si="4"/>
        <v>55.8</v>
      </c>
      <c r="S61" s="170">
        <v>2</v>
      </c>
      <c r="T61" s="283"/>
      <c r="U61" s="281"/>
      <c r="V61" s="177" t="s">
        <v>128</v>
      </c>
      <c r="W61" s="170" t="s">
        <v>17</v>
      </c>
      <c r="X61" s="170" t="s">
        <v>18</v>
      </c>
      <c r="Y61" s="170">
        <v>38.4</v>
      </c>
      <c r="Z61" s="177" t="s">
        <v>129</v>
      </c>
      <c r="AA61" s="170" t="s">
        <v>81</v>
      </c>
      <c r="AB61" s="170" t="s">
        <v>18</v>
      </c>
      <c r="AC61" s="170">
        <v>10.6</v>
      </c>
      <c r="AD61" s="177" t="s">
        <v>131</v>
      </c>
      <c r="AE61" s="170" t="s">
        <v>22</v>
      </c>
      <c r="AF61" s="170" t="s">
        <v>11</v>
      </c>
      <c r="AG61" s="178">
        <v>6.8</v>
      </c>
      <c r="AL61" s="177"/>
      <c r="AO61" s="178"/>
      <c r="AP61" s="177"/>
      <c r="AS61" s="178"/>
      <c r="AW61" s="178"/>
      <c r="BA61" s="179"/>
    </row>
    <row r="62" spans="1:53" s="170" customFormat="1" x14ac:dyDescent="0.15">
      <c r="A62" s="215">
        <v>1985</v>
      </c>
      <c r="B62" s="281"/>
      <c r="C62" s="369" t="s">
        <v>538</v>
      </c>
      <c r="D62" s="369"/>
      <c r="E62" s="170">
        <v>0</v>
      </c>
      <c r="G62" s="232">
        <v>3</v>
      </c>
      <c r="H62" s="170">
        <v>14</v>
      </c>
      <c r="J62" s="240">
        <v>17</v>
      </c>
      <c r="K62" s="213">
        <f t="shared" si="2"/>
        <v>17.647058823529413</v>
      </c>
      <c r="L62" s="213">
        <f t="shared" si="0"/>
        <v>82.35294117647058</v>
      </c>
      <c r="M62" s="213">
        <f t="shared" si="1"/>
        <v>0</v>
      </c>
      <c r="N62" s="234">
        <f t="shared" si="3"/>
        <v>100</v>
      </c>
      <c r="O62" s="212">
        <v>6.8</v>
      </c>
      <c r="P62" s="213">
        <v>49</v>
      </c>
      <c r="Q62" s="213"/>
      <c r="R62" s="214">
        <f t="shared" si="4"/>
        <v>55.8</v>
      </c>
      <c r="S62" s="170">
        <v>2</v>
      </c>
      <c r="T62" s="283"/>
      <c r="U62" s="281"/>
      <c r="V62" s="177" t="s">
        <v>128</v>
      </c>
      <c r="W62" s="170" t="s">
        <v>17</v>
      </c>
      <c r="X62" s="170" t="s">
        <v>18</v>
      </c>
      <c r="Y62" s="170">
        <v>38.4</v>
      </c>
      <c r="Z62" s="177" t="s">
        <v>129</v>
      </c>
      <c r="AA62" s="170" t="s">
        <v>81</v>
      </c>
      <c r="AB62" s="170" t="s">
        <v>18</v>
      </c>
      <c r="AC62" s="170">
        <v>10.6</v>
      </c>
      <c r="AD62" s="177" t="s">
        <v>131</v>
      </c>
      <c r="AE62" s="170" t="s">
        <v>22</v>
      </c>
      <c r="AF62" s="170" t="s">
        <v>11</v>
      </c>
      <c r="AG62" s="178">
        <v>6.8</v>
      </c>
      <c r="AL62" s="177"/>
      <c r="AO62" s="178"/>
      <c r="AP62" s="177"/>
      <c r="AS62" s="178"/>
      <c r="AW62" s="178"/>
      <c r="BA62" s="179"/>
    </row>
    <row r="63" spans="1:53" s="170" customFormat="1" x14ac:dyDescent="0.15">
      <c r="A63" s="215">
        <v>1985</v>
      </c>
      <c r="B63" s="281"/>
      <c r="C63" s="369" t="s">
        <v>538</v>
      </c>
      <c r="D63" s="369"/>
      <c r="E63" s="170">
        <v>365</v>
      </c>
      <c r="G63" s="232">
        <v>3</v>
      </c>
      <c r="H63" s="170">
        <v>14</v>
      </c>
      <c r="J63" s="240">
        <v>17</v>
      </c>
      <c r="K63" s="213">
        <f t="shared" si="2"/>
        <v>17.647058823529413</v>
      </c>
      <c r="L63" s="213">
        <f t="shared" si="0"/>
        <v>82.35294117647058</v>
      </c>
      <c r="M63" s="213">
        <f t="shared" si="1"/>
        <v>0</v>
      </c>
      <c r="N63" s="234">
        <f t="shared" si="3"/>
        <v>100</v>
      </c>
      <c r="O63" s="212">
        <v>6.8</v>
      </c>
      <c r="P63" s="213">
        <v>49</v>
      </c>
      <c r="Q63" s="213"/>
      <c r="R63" s="214">
        <f t="shared" si="4"/>
        <v>55.8</v>
      </c>
      <c r="S63" s="170">
        <v>2</v>
      </c>
      <c r="T63" s="283"/>
      <c r="U63" s="281"/>
      <c r="V63" s="177" t="s">
        <v>128</v>
      </c>
      <c r="W63" s="170" t="s">
        <v>17</v>
      </c>
      <c r="X63" s="170" t="s">
        <v>18</v>
      </c>
      <c r="Y63" s="170">
        <v>38.4</v>
      </c>
      <c r="Z63" s="177" t="s">
        <v>129</v>
      </c>
      <c r="AA63" s="170" t="s">
        <v>81</v>
      </c>
      <c r="AB63" s="170" t="s">
        <v>18</v>
      </c>
      <c r="AC63" s="170">
        <v>10.6</v>
      </c>
      <c r="AD63" s="177" t="s">
        <v>131</v>
      </c>
      <c r="AE63" s="170" t="s">
        <v>22</v>
      </c>
      <c r="AF63" s="170" t="s">
        <v>11</v>
      </c>
      <c r="AG63" s="178">
        <v>6.8</v>
      </c>
      <c r="AL63" s="177"/>
      <c r="AO63" s="178"/>
      <c r="AP63" s="177"/>
      <c r="AS63" s="178"/>
      <c r="AW63" s="178"/>
      <c r="BA63" s="179"/>
    </row>
    <row r="64" spans="1:53" s="170" customFormat="1" x14ac:dyDescent="0.15">
      <c r="A64" s="215">
        <v>1986</v>
      </c>
      <c r="B64" s="281"/>
      <c r="C64" s="369" t="s">
        <v>538</v>
      </c>
      <c r="D64" s="369"/>
      <c r="E64" s="170">
        <v>0</v>
      </c>
      <c r="G64" s="232">
        <v>3</v>
      </c>
      <c r="H64" s="170">
        <v>14</v>
      </c>
      <c r="J64" s="240">
        <v>17</v>
      </c>
      <c r="K64" s="213">
        <f t="shared" si="2"/>
        <v>17.647058823529413</v>
      </c>
      <c r="L64" s="213">
        <f t="shared" si="0"/>
        <v>82.35294117647058</v>
      </c>
      <c r="M64" s="213">
        <f t="shared" si="1"/>
        <v>0</v>
      </c>
      <c r="N64" s="234">
        <f t="shared" si="3"/>
        <v>100</v>
      </c>
      <c r="O64" s="212">
        <v>6.8</v>
      </c>
      <c r="P64" s="213">
        <v>49</v>
      </c>
      <c r="Q64" s="213"/>
      <c r="R64" s="214">
        <f t="shared" si="4"/>
        <v>55.8</v>
      </c>
      <c r="S64" s="170">
        <v>2</v>
      </c>
      <c r="T64" s="283"/>
      <c r="U64" s="281"/>
      <c r="V64" s="177" t="s">
        <v>128</v>
      </c>
      <c r="W64" s="170" t="s">
        <v>17</v>
      </c>
      <c r="X64" s="170" t="s">
        <v>18</v>
      </c>
      <c r="Y64" s="170">
        <v>38.4</v>
      </c>
      <c r="Z64" s="177" t="s">
        <v>129</v>
      </c>
      <c r="AA64" s="170" t="s">
        <v>81</v>
      </c>
      <c r="AB64" s="170" t="s">
        <v>18</v>
      </c>
      <c r="AC64" s="170">
        <v>10.6</v>
      </c>
      <c r="AD64" s="177" t="s">
        <v>131</v>
      </c>
      <c r="AE64" s="170" t="s">
        <v>22</v>
      </c>
      <c r="AF64" s="170" t="s">
        <v>11</v>
      </c>
      <c r="AG64" s="178">
        <v>6.8</v>
      </c>
      <c r="AL64" s="177"/>
      <c r="AO64" s="178"/>
      <c r="AP64" s="177"/>
      <c r="AS64" s="178"/>
      <c r="AW64" s="178"/>
      <c r="BA64" s="179"/>
    </row>
    <row r="65" spans="1:53" s="170" customFormat="1" x14ac:dyDescent="0.15">
      <c r="A65" s="215">
        <v>1986</v>
      </c>
      <c r="B65" s="281"/>
      <c r="C65" s="369" t="s">
        <v>538</v>
      </c>
      <c r="D65" s="369"/>
      <c r="E65" s="170">
        <v>365</v>
      </c>
      <c r="G65" s="232">
        <v>3</v>
      </c>
      <c r="H65" s="170">
        <v>14</v>
      </c>
      <c r="J65" s="240">
        <v>17</v>
      </c>
      <c r="K65" s="213">
        <f t="shared" si="2"/>
        <v>17.647058823529413</v>
      </c>
      <c r="L65" s="213">
        <f t="shared" si="0"/>
        <v>82.35294117647058</v>
      </c>
      <c r="M65" s="213">
        <f t="shared" si="1"/>
        <v>0</v>
      </c>
      <c r="N65" s="234">
        <f t="shared" si="3"/>
        <v>100</v>
      </c>
      <c r="O65" s="212">
        <v>6.8</v>
      </c>
      <c r="P65" s="213">
        <v>49</v>
      </c>
      <c r="Q65" s="213"/>
      <c r="R65" s="214">
        <f t="shared" si="4"/>
        <v>55.8</v>
      </c>
      <c r="S65" s="170">
        <v>2</v>
      </c>
      <c r="T65" s="283"/>
      <c r="U65" s="281"/>
      <c r="V65" s="177" t="s">
        <v>128</v>
      </c>
      <c r="W65" s="170" t="s">
        <v>17</v>
      </c>
      <c r="X65" s="170" t="s">
        <v>18</v>
      </c>
      <c r="Y65" s="170">
        <v>38.4</v>
      </c>
      <c r="Z65" s="177" t="s">
        <v>129</v>
      </c>
      <c r="AA65" s="170" t="s">
        <v>81</v>
      </c>
      <c r="AB65" s="170" t="s">
        <v>18</v>
      </c>
      <c r="AC65" s="170">
        <v>10.6</v>
      </c>
      <c r="AD65" s="177" t="s">
        <v>131</v>
      </c>
      <c r="AE65" s="170" t="s">
        <v>22</v>
      </c>
      <c r="AF65" s="170" t="s">
        <v>11</v>
      </c>
      <c r="AG65" s="178">
        <v>6.8</v>
      </c>
      <c r="AL65" s="177"/>
      <c r="AO65" s="178"/>
      <c r="AP65" s="177"/>
      <c r="AS65" s="178"/>
      <c r="AW65" s="178"/>
      <c r="BA65" s="179"/>
    </row>
    <row r="66" spans="1:53" s="170" customFormat="1" x14ac:dyDescent="0.15">
      <c r="A66" s="215">
        <v>1987</v>
      </c>
      <c r="B66" s="281"/>
      <c r="C66" s="369" t="s">
        <v>538</v>
      </c>
      <c r="D66" s="369"/>
      <c r="E66" s="170">
        <v>69</v>
      </c>
      <c r="G66" s="232">
        <v>3</v>
      </c>
      <c r="H66" s="170">
        <v>14</v>
      </c>
      <c r="J66" s="240">
        <v>17</v>
      </c>
      <c r="K66" s="213">
        <f t="shared" si="2"/>
        <v>17.647058823529413</v>
      </c>
      <c r="L66" s="213">
        <f t="shared" si="0"/>
        <v>82.35294117647058</v>
      </c>
      <c r="M66" s="213">
        <f t="shared" si="1"/>
        <v>0</v>
      </c>
      <c r="N66" s="234">
        <f t="shared" si="3"/>
        <v>100</v>
      </c>
      <c r="O66" s="212">
        <v>6.8</v>
      </c>
      <c r="P66" s="213">
        <v>49</v>
      </c>
      <c r="Q66" s="213"/>
      <c r="R66" s="214">
        <f t="shared" si="4"/>
        <v>55.8</v>
      </c>
      <c r="S66" s="170">
        <v>2</v>
      </c>
      <c r="T66" s="283"/>
      <c r="U66" s="281"/>
      <c r="V66" s="177" t="s">
        <v>128</v>
      </c>
      <c r="W66" s="170" t="s">
        <v>17</v>
      </c>
      <c r="X66" s="170" t="s">
        <v>18</v>
      </c>
      <c r="Y66" s="170">
        <v>38.4</v>
      </c>
      <c r="Z66" s="177" t="s">
        <v>129</v>
      </c>
      <c r="AA66" s="170" t="s">
        <v>81</v>
      </c>
      <c r="AB66" s="170" t="s">
        <v>18</v>
      </c>
      <c r="AC66" s="170">
        <v>10.6</v>
      </c>
      <c r="AD66" s="177" t="s">
        <v>131</v>
      </c>
      <c r="AE66" s="170" t="s">
        <v>22</v>
      </c>
      <c r="AF66" s="170" t="s">
        <v>11</v>
      </c>
      <c r="AG66" s="178">
        <v>6.8</v>
      </c>
      <c r="AL66" s="177"/>
      <c r="AO66" s="178"/>
      <c r="AP66" s="177"/>
      <c r="AS66" s="178"/>
      <c r="AW66" s="178"/>
      <c r="BA66" s="179"/>
    </row>
    <row r="67" spans="1:53" s="28" customFormat="1" x14ac:dyDescent="0.15">
      <c r="A67" s="51">
        <v>1987</v>
      </c>
      <c r="B67" s="293">
        <v>31847</v>
      </c>
      <c r="C67" s="370" t="s">
        <v>539</v>
      </c>
      <c r="D67" s="370"/>
      <c r="E67" s="28">
        <v>296</v>
      </c>
      <c r="F67" s="28">
        <v>1</v>
      </c>
      <c r="G67" s="65">
        <v>4</v>
      </c>
      <c r="H67" s="28">
        <v>15</v>
      </c>
      <c r="J67" s="72">
        <v>19</v>
      </c>
      <c r="K67" s="46">
        <f t="shared" si="2"/>
        <v>21.052631578947366</v>
      </c>
      <c r="L67" s="46">
        <f t="shared" si="0"/>
        <v>78.94736842105263</v>
      </c>
      <c r="M67" s="46">
        <f t="shared" si="1"/>
        <v>0</v>
      </c>
      <c r="N67" s="67">
        <f t="shared" si="3"/>
        <v>100</v>
      </c>
      <c r="O67" s="45">
        <v>9.3000000000000007</v>
      </c>
      <c r="P67" s="46">
        <v>44.9</v>
      </c>
      <c r="Q67" s="46"/>
      <c r="R67" s="47">
        <f t="shared" si="4"/>
        <v>54.2</v>
      </c>
      <c r="S67" s="28">
        <v>2</v>
      </c>
      <c r="T67" s="284">
        <v>31802</v>
      </c>
      <c r="U67" s="293">
        <v>31847</v>
      </c>
      <c r="V67" s="37" t="s">
        <v>128</v>
      </c>
      <c r="W67" s="28" t="s">
        <v>17</v>
      </c>
      <c r="X67" s="28" t="s">
        <v>18</v>
      </c>
      <c r="Y67" s="28">
        <v>35</v>
      </c>
      <c r="Z67" s="37" t="s">
        <v>129</v>
      </c>
      <c r="AA67" s="28" t="s">
        <v>81</v>
      </c>
      <c r="AB67" s="28" t="s">
        <v>18</v>
      </c>
      <c r="AC67" s="28">
        <v>9.9</v>
      </c>
      <c r="AD67" s="37" t="s">
        <v>131</v>
      </c>
      <c r="AE67" s="28" t="s">
        <v>22</v>
      </c>
      <c r="AF67" s="28" t="s">
        <v>11</v>
      </c>
      <c r="AG67" s="38">
        <v>9.3000000000000007</v>
      </c>
      <c r="AL67" s="37"/>
      <c r="AO67" s="38"/>
      <c r="AP67" s="37"/>
      <c r="AS67" s="38"/>
      <c r="AW67" s="38"/>
      <c r="BA67" s="39"/>
    </row>
    <row r="68" spans="1:53" s="28" customFormat="1" x14ac:dyDescent="0.15">
      <c r="A68" s="51">
        <v>1988</v>
      </c>
      <c r="B68" s="293"/>
      <c r="C68" s="370" t="s">
        <v>539</v>
      </c>
      <c r="D68" s="370"/>
      <c r="E68" s="28">
        <v>0</v>
      </c>
      <c r="G68" s="65">
        <v>4</v>
      </c>
      <c r="H68" s="28">
        <v>15</v>
      </c>
      <c r="J68" s="72">
        <v>19</v>
      </c>
      <c r="K68" s="46">
        <f t="shared" si="2"/>
        <v>21.052631578947366</v>
      </c>
      <c r="L68" s="46">
        <f t="shared" si="0"/>
        <v>78.94736842105263</v>
      </c>
      <c r="M68" s="46">
        <f t="shared" si="1"/>
        <v>0</v>
      </c>
      <c r="N68" s="67">
        <f t="shared" si="3"/>
        <v>100</v>
      </c>
      <c r="O68" s="45">
        <v>9.3000000000000007</v>
      </c>
      <c r="P68" s="46">
        <v>44.9</v>
      </c>
      <c r="Q68" s="46"/>
      <c r="R68" s="47">
        <f t="shared" si="4"/>
        <v>54.2</v>
      </c>
      <c r="S68" s="28">
        <v>2</v>
      </c>
      <c r="T68" s="284"/>
      <c r="U68" s="293"/>
      <c r="V68" s="37" t="s">
        <v>128</v>
      </c>
      <c r="W68" s="28" t="s">
        <v>17</v>
      </c>
      <c r="X68" s="28" t="s">
        <v>18</v>
      </c>
      <c r="Y68" s="28">
        <v>35</v>
      </c>
      <c r="Z68" s="37" t="s">
        <v>129</v>
      </c>
      <c r="AA68" s="28" t="s">
        <v>81</v>
      </c>
      <c r="AB68" s="28" t="s">
        <v>18</v>
      </c>
      <c r="AC68" s="28">
        <v>9.9</v>
      </c>
      <c r="AD68" s="37" t="s">
        <v>131</v>
      </c>
      <c r="AE68" s="28" t="s">
        <v>22</v>
      </c>
      <c r="AF68" s="28" t="s">
        <v>11</v>
      </c>
      <c r="AG68" s="38">
        <v>9.3000000000000007</v>
      </c>
      <c r="AL68" s="37"/>
      <c r="AO68" s="38"/>
      <c r="AP68" s="37"/>
      <c r="AS68" s="38"/>
      <c r="AW68" s="38"/>
      <c r="BA68" s="39"/>
    </row>
    <row r="69" spans="1:53" s="28" customFormat="1" x14ac:dyDescent="0.15">
      <c r="A69" s="51">
        <v>1988</v>
      </c>
      <c r="B69" s="293"/>
      <c r="C69" s="370" t="s">
        <v>539</v>
      </c>
      <c r="D69" s="370"/>
      <c r="E69" s="28">
        <v>366</v>
      </c>
      <c r="G69" s="65">
        <v>4</v>
      </c>
      <c r="H69" s="28">
        <v>15</v>
      </c>
      <c r="J69" s="72">
        <v>19</v>
      </c>
      <c r="K69" s="46">
        <f t="shared" si="2"/>
        <v>21.052631578947366</v>
      </c>
      <c r="L69" s="46">
        <f t="shared" si="0"/>
        <v>78.94736842105263</v>
      </c>
      <c r="M69" s="46">
        <f t="shared" si="1"/>
        <v>0</v>
      </c>
      <c r="N69" s="67">
        <f t="shared" si="3"/>
        <v>100</v>
      </c>
      <c r="O69" s="45">
        <v>9.3000000000000007</v>
      </c>
      <c r="P69" s="46">
        <v>44.9</v>
      </c>
      <c r="Q69" s="46"/>
      <c r="R69" s="47">
        <f t="shared" si="4"/>
        <v>54.2</v>
      </c>
      <c r="S69" s="28">
        <v>2</v>
      </c>
      <c r="T69" s="284"/>
      <c r="U69" s="293"/>
      <c r="V69" s="37" t="s">
        <v>128</v>
      </c>
      <c r="W69" s="28" t="s">
        <v>17</v>
      </c>
      <c r="X69" s="28" t="s">
        <v>18</v>
      </c>
      <c r="Y69" s="28">
        <v>35</v>
      </c>
      <c r="Z69" s="37" t="s">
        <v>129</v>
      </c>
      <c r="AA69" s="28" t="s">
        <v>81</v>
      </c>
      <c r="AB69" s="28" t="s">
        <v>18</v>
      </c>
      <c r="AC69" s="28">
        <v>9.9</v>
      </c>
      <c r="AD69" s="37" t="s">
        <v>131</v>
      </c>
      <c r="AE69" s="28" t="s">
        <v>22</v>
      </c>
      <c r="AF69" s="28" t="s">
        <v>11</v>
      </c>
      <c r="AG69" s="38">
        <v>9.3000000000000007</v>
      </c>
      <c r="AL69" s="37"/>
      <c r="AO69" s="38"/>
      <c r="AP69" s="37"/>
      <c r="AS69" s="38"/>
      <c r="AW69" s="38"/>
      <c r="BA69" s="39"/>
    </row>
    <row r="70" spans="1:53" s="28" customFormat="1" x14ac:dyDescent="0.15">
      <c r="A70" s="28">
        <v>1989</v>
      </c>
      <c r="B70" s="293"/>
      <c r="C70" s="370" t="s">
        <v>539</v>
      </c>
      <c r="D70" s="370"/>
      <c r="E70" s="28">
        <v>181</v>
      </c>
      <c r="G70" s="65">
        <v>4</v>
      </c>
      <c r="H70" s="28">
        <v>15</v>
      </c>
      <c r="J70" s="72">
        <v>19</v>
      </c>
      <c r="K70" s="46">
        <f t="shared" ref="K70:K77" si="5">G70/J70*100</f>
        <v>21.052631578947366</v>
      </c>
      <c r="L70" s="46">
        <f t="shared" ref="L70:L77" si="6">H70/J70*100</f>
        <v>78.94736842105263</v>
      </c>
      <c r="M70" s="46">
        <f t="shared" ref="M70:M77" si="7">I70/J70*100</f>
        <v>0</v>
      </c>
      <c r="N70" s="67">
        <f t="shared" si="3"/>
        <v>100</v>
      </c>
      <c r="O70" s="45">
        <v>9.3000000000000007</v>
      </c>
      <c r="P70" s="46">
        <v>44.9</v>
      </c>
      <c r="Q70" s="46"/>
      <c r="R70" s="47">
        <f t="shared" si="4"/>
        <v>54.2</v>
      </c>
      <c r="S70" s="28">
        <v>2</v>
      </c>
      <c r="T70" s="284"/>
      <c r="U70" s="293"/>
      <c r="V70" s="37" t="s">
        <v>128</v>
      </c>
      <c r="W70" s="28" t="s">
        <v>17</v>
      </c>
      <c r="X70" s="28" t="s">
        <v>18</v>
      </c>
      <c r="Y70" s="28">
        <v>35</v>
      </c>
      <c r="Z70" s="37" t="s">
        <v>129</v>
      </c>
      <c r="AA70" s="28" t="s">
        <v>81</v>
      </c>
      <c r="AB70" s="28" t="s">
        <v>18</v>
      </c>
      <c r="AC70" s="28">
        <v>9.9</v>
      </c>
      <c r="AD70" s="37" t="s">
        <v>131</v>
      </c>
      <c r="AE70" s="28" t="s">
        <v>22</v>
      </c>
      <c r="AF70" s="28" t="s">
        <v>11</v>
      </c>
      <c r="AG70" s="38">
        <v>9.3000000000000007</v>
      </c>
      <c r="AL70" s="37"/>
      <c r="AO70" s="38"/>
      <c r="AP70" s="37"/>
      <c r="AS70" s="38"/>
      <c r="AW70" s="38"/>
      <c r="BA70" s="39"/>
    </row>
    <row r="71" spans="1:53" s="73" customFormat="1" x14ac:dyDescent="0.15">
      <c r="A71" s="73">
        <v>1989</v>
      </c>
      <c r="B71" s="307">
        <v>32690</v>
      </c>
      <c r="C71" s="401" t="s">
        <v>539</v>
      </c>
      <c r="D71" s="401"/>
      <c r="E71" s="73">
        <v>184</v>
      </c>
      <c r="F71" s="89">
        <v>0</v>
      </c>
      <c r="G71" s="74">
        <v>4</v>
      </c>
      <c r="H71" s="73">
        <v>16</v>
      </c>
      <c r="J71" s="75">
        <v>20</v>
      </c>
      <c r="K71" s="76">
        <f t="shared" si="5"/>
        <v>20</v>
      </c>
      <c r="L71" s="76">
        <f t="shared" si="6"/>
        <v>80</v>
      </c>
      <c r="M71" s="76">
        <f t="shared" si="7"/>
        <v>0</v>
      </c>
      <c r="N71" s="77">
        <f t="shared" si="3"/>
        <v>100</v>
      </c>
      <c r="O71" s="78">
        <v>9.3000000000000007</v>
      </c>
      <c r="P71" s="76">
        <v>44.9</v>
      </c>
      <c r="Q71" s="76"/>
      <c r="R71" s="79">
        <f t="shared" si="4"/>
        <v>54.2</v>
      </c>
      <c r="S71" s="73">
        <v>2</v>
      </c>
      <c r="T71" s="302"/>
      <c r="U71" s="300"/>
      <c r="V71" s="80" t="s">
        <v>128</v>
      </c>
      <c r="W71" s="73" t="s">
        <v>17</v>
      </c>
      <c r="X71" s="73" t="s">
        <v>18</v>
      </c>
      <c r="Y71" s="73">
        <v>35</v>
      </c>
      <c r="Z71" s="80" t="s">
        <v>129</v>
      </c>
      <c r="AA71" s="73" t="s">
        <v>81</v>
      </c>
      <c r="AB71" s="73" t="s">
        <v>18</v>
      </c>
      <c r="AC71" s="73">
        <v>9.9</v>
      </c>
      <c r="AD71" s="80" t="s">
        <v>131</v>
      </c>
      <c r="AE71" s="73" t="s">
        <v>22</v>
      </c>
      <c r="AF71" s="73" t="s">
        <v>11</v>
      </c>
      <c r="AG71" s="81">
        <v>9.3000000000000007</v>
      </c>
      <c r="AL71" s="80"/>
      <c r="AO71" s="81"/>
      <c r="AP71" s="80"/>
      <c r="AS71" s="81"/>
      <c r="AW71" s="81"/>
      <c r="BA71" s="82"/>
    </row>
    <row r="72" spans="1:53" s="28" customFormat="1" x14ac:dyDescent="0.15">
      <c r="A72" s="28">
        <v>1990</v>
      </c>
      <c r="B72" s="293"/>
      <c r="C72" s="370" t="s">
        <v>539</v>
      </c>
      <c r="D72" s="370"/>
      <c r="E72" s="28">
        <v>275</v>
      </c>
      <c r="G72" s="65">
        <v>4</v>
      </c>
      <c r="H72" s="28">
        <v>16</v>
      </c>
      <c r="J72" s="72">
        <v>20</v>
      </c>
      <c r="K72" s="46">
        <f t="shared" si="5"/>
        <v>20</v>
      </c>
      <c r="L72" s="46">
        <f t="shared" si="6"/>
        <v>80</v>
      </c>
      <c r="M72" s="46">
        <f t="shared" si="7"/>
        <v>0</v>
      </c>
      <c r="N72" s="67">
        <f t="shared" si="3"/>
        <v>100</v>
      </c>
      <c r="O72" s="45">
        <v>9.3000000000000007</v>
      </c>
      <c r="P72" s="46">
        <v>44.9</v>
      </c>
      <c r="Q72" s="46"/>
      <c r="R72" s="47">
        <f t="shared" si="4"/>
        <v>54.2</v>
      </c>
      <c r="S72" s="28">
        <v>2</v>
      </c>
      <c r="T72" s="284"/>
      <c r="U72" s="293"/>
      <c r="V72" s="37" t="s">
        <v>128</v>
      </c>
      <c r="W72" s="28" t="s">
        <v>17</v>
      </c>
      <c r="X72" s="28" t="s">
        <v>18</v>
      </c>
      <c r="Y72" s="38">
        <v>35</v>
      </c>
      <c r="Z72" s="28" t="s">
        <v>129</v>
      </c>
      <c r="AA72" s="28" t="s">
        <v>81</v>
      </c>
      <c r="AB72" s="28" t="s">
        <v>18</v>
      </c>
      <c r="AC72" s="28">
        <v>9.9</v>
      </c>
      <c r="AD72" s="37" t="s">
        <v>131</v>
      </c>
      <c r="AE72" s="28" t="s">
        <v>22</v>
      </c>
      <c r="AF72" s="28" t="s">
        <v>11</v>
      </c>
      <c r="AG72" s="38">
        <v>9.3000000000000007</v>
      </c>
      <c r="AL72" s="37"/>
      <c r="AO72" s="38"/>
      <c r="AP72" s="37"/>
      <c r="AS72" s="38"/>
      <c r="AW72" s="38"/>
      <c r="BA72" s="39"/>
    </row>
    <row r="73" spans="1:53" s="170" customFormat="1" x14ac:dyDescent="0.15">
      <c r="A73" s="170">
        <v>1990</v>
      </c>
      <c r="B73" s="281">
        <v>33149</v>
      </c>
      <c r="C73" s="395" t="s">
        <v>540</v>
      </c>
      <c r="D73" s="395"/>
      <c r="E73" s="170">
        <f>365-E72</f>
        <v>90</v>
      </c>
      <c r="F73" s="170" t="s">
        <v>335</v>
      </c>
      <c r="G73" s="232">
        <v>5</v>
      </c>
      <c r="H73" s="170">
        <v>20</v>
      </c>
      <c r="J73" s="240">
        <v>25</v>
      </c>
      <c r="K73" s="213">
        <f t="shared" si="5"/>
        <v>20</v>
      </c>
      <c r="L73" s="213">
        <f t="shared" si="6"/>
        <v>80</v>
      </c>
      <c r="M73" s="213">
        <f t="shared" si="7"/>
        <v>0</v>
      </c>
      <c r="N73" s="234">
        <f t="shared" ref="N73:N118" si="8">SUM(K73:M73)</f>
        <v>100</v>
      </c>
      <c r="O73" s="212">
        <v>9.3000000000000007</v>
      </c>
      <c r="P73" s="213">
        <v>44.9</v>
      </c>
      <c r="Q73" s="213"/>
      <c r="R73" s="214">
        <f t="shared" ref="R73:R119" si="9">SUM(O73:Q73)</f>
        <v>54.2</v>
      </c>
      <c r="S73" s="170">
        <v>2</v>
      </c>
      <c r="T73" s="283"/>
      <c r="U73" s="281">
        <v>33149</v>
      </c>
      <c r="V73" s="177" t="s">
        <v>128</v>
      </c>
      <c r="W73" s="170" t="s">
        <v>17</v>
      </c>
      <c r="X73" s="170" t="s">
        <v>18</v>
      </c>
      <c r="Y73" s="178">
        <v>35</v>
      </c>
      <c r="Z73" s="170" t="s">
        <v>129</v>
      </c>
      <c r="AA73" s="170" t="s">
        <v>81</v>
      </c>
      <c r="AB73" s="170" t="s">
        <v>18</v>
      </c>
      <c r="AC73" s="170">
        <v>9.9</v>
      </c>
      <c r="AD73" s="177" t="s">
        <v>131</v>
      </c>
      <c r="AE73" s="170" t="s">
        <v>22</v>
      </c>
      <c r="AF73" s="170" t="s">
        <v>11</v>
      </c>
      <c r="AG73" s="178">
        <v>9.3000000000000007</v>
      </c>
      <c r="AL73" s="177"/>
      <c r="AO73" s="178"/>
      <c r="AP73" s="177"/>
      <c r="AS73" s="178"/>
      <c r="AW73" s="178"/>
      <c r="BA73" s="179"/>
    </row>
    <row r="74" spans="1:53" s="170" customFormat="1" x14ac:dyDescent="0.15">
      <c r="A74" s="170">
        <v>1991</v>
      </c>
      <c r="B74" s="281"/>
      <c r="C74" s="395" t="s">
        <v>540</v>
      </c>
      <c r="D74" s="395"/>
      <c r="E74" s="170">
        <v>17</v>
      </c>
      <c r="G74" s="232">
        <v>5</v>
      </c>
      <c r="H74" s="170">
        <v>20</v>
      </c>
      <c r="J74" s="240">
        <v>25</v>
      </c>
      <c r="K74" s="213">
        <f t="shared" si="5"/>
        <v>20</v>
      </c>
      <c r="L74" s="213">
        <f t="shared" si="6"/>
        <v>80</v>
      </c>
      <c r="M74" s="213">
        <f t="shared" si="7"/>
        <v>0</v>
      </c>
      <c r="N74" s="234">
        <f t="shared" si="8"/>
        <v>100</v>
      </c>
      <c r="O74" s="212">
        <v>9.3000000000000007</v>
      </c>
      <c r="P74" s="213">
        <v>44.9</v>
      </c>
      <c r="Q74" s="213"/>
      <c r="R74" s="214">
        <f t="shared" si="9"/>
        <v>54.2</v>
      </c>
      <c r="S74" s="170">
        <v>2</v>
      </c>
      <c r="T74" s="283">
        <v>33209</v>
      </c>
      <c r="U74" s="281"/>
      <c r="V74" s="177" t="s">
        <v>128</v>
      </c>
      <c r="W74" s="170" t="s">
        <v>17</v>
      </c>
      <c r="X74" s="170" t="s">
        <v>18</v>
      </c>
      <c r="Y74" s="178">
        <v>35</v>
      </c>
      <c r="Z74" s="170" t="s">
        <v>129</v>
      </c>
      <c r="AA74" s="170" t="s">
        <v>81</v>
      </c>
      <c r="AB74" s="170" t="s">
        <v>18</v>
      </c>
      <c r="AC74" s="170">
        <v>9.9</v>
      </c>
      <c r="AD74" s="177" t="s">
        <v>131</v>
      </c>
      <c r="AE74" s="170" t="s">
        <v>22</v>
      </c>
      <c r="AF74" s="170" t="s">
        <v>11</v>
      </c>
      <c r="AG74" s="178">
        <v>9.3000000000000007</v>
      </c>
      <c r="AL74" s="177"/>
      <c r="AO74" s="178"/>
      <c r="AP74" s="177"/>
      <c r="AS74" s="178"/>
      <c r="AW74" s="178"/>
      <c r="BA74" s="179"/>
    </row>
    <row r="75" spans="1:53" s="28" customFormat="1" x14ac:dyDescent="0.15">
      <c r="A75" s="28">
        <v>1991</v>
      </c>
      <c r="B75" s="293">
        <v>33256</v>
      </c>
      <c r="C75" s="394" t="s">
        <v>541</v>
      </c>
      <c r="D75" s="394"/>
      <c r="E75" s="28">
        <f>365-E74</f>
        <v>348</v>
      </c>
      <c r="F75" s="28">
        <v>1</v>
      </c>
      <c r="G75" s="65">
        <v>5</v>
      </c>
      <c r="H75" s="28">
        <v>15</v>
      </c>
      <c r="J75" s="72">
        <v>20</v>
      </c>
      <c r="K75" s="46">
        <f t="shared" si="5"/>
        <v>25</v>
      </c>
      <c r="L75" s="46">
        <f t="shared" si="6"/>
        <v>75</v>
      </c>
      <c r="M75" s="46">
        <f t="shared" si="7"/>
        <v>0</v>
      </c>
      <c r="N75" s="67">
        <f t="shared" si="8"/>
        <v>100</v>
      </c>
      <c r="O75" s="45">
        <v>11.9</v>
      </c>
      <c r="P75" s="46">
        <v>48.2</v>
      </c>
      <c r="Q75" s="46"/>
      <c r="R75" s="47">
        <f t="shared" si="9"/>
        <v>60.1</v>
      </c>
      <c r="S75" s="28">
        <v>2</v>
      </c>
      <c r="T75" s="284"/>
      <c r="U75" s="293">
        <v>33256</v>
      </c>
      <c r="V75" s="37" t="s">
        <v>128</v>
      </c>
      <c r="W75" s="28" t="s">
        <v>17</v>
      </c>
      <c r="X75" s="28" t="s">
        <v>18</v>
      </c>
      <c r="Y75" s="38">
        <v>40.5</v>
      </c>
      <c r="Z75" s="28" t="s">
        <v>129</v>
      </c>
      <c r="AA75" s="28" t="s">
        <v>81</v>
      </c>
      <c r="AB75" s="28" t="s">
        <v>18</v>
      </c>
      <c r="AC75" s="28">
        <v>7.7</v>
      </c>
      <c r="AD75" s="37" t="s">
        <v>131</v>
      </c>
      <c r="AE75" s="28" t="s">
        <v>22</v>
      </c>
      <c r="AF75" s="28" t="s">
        <v>11</v>
      </c>
      <c r="AG75" s="38">
        <v>11.9</v>
      </c>
      <c r="AL75" s="37"/>
      <c r="AO75" s="38"/>
      <c r="AP75" s="37"/>
      <c r="AS75" s="38"/>
      <c r="AW75" s="38"/>
      <c r="BA75" s="39"/>
    </row>
    <row r="76" spans="1:53" s="28" customFormat="1" x14ac:dyDescent="0.15">
      <c r="A76" s="28">
        <v>1992</v>
      </c>
      <c r="B76" s="293"/>
      <c r="C76" s="394" t="s">
        <v>541</v>
      </c>
      <c r="D76" s="394"/>
      <c r="E76" s="28">
        <v>0</v>
      </c>
      <c r="G76" s="65">
        <v>5</v>
      </c>
      <c r="H76" s="28">
        <v>15</v>
      </c>
      <c r="J76" s="72">
        <v>20</v>
      </c>
      <c r="K76" s="46">
        <f t="shared" si="5"/>
        <v>25</v>
      </c>
      <c r="L76" s="46">
        <f t="shared" si="6"/>
        <v>75</v>
      </c>
      <c r="M76" s="46">
        <f t="shared" si="7"/>
        <v>0</v>
      </c>
      <c r="N76" s="67">
        <f t="shared" si="8"/>
        <v>100</v>
      </c>
      <c r="O76" s="45">
        <v>11.9</v>
      </c>
      <c r="P76" s="46">
        <v>48.2</v>
      </c>
      <c r="Q76" s="46"/>
      <c r="R76" s="47">
        <f t="shared" si="9"/>
        <v>60.1</v>
      </c>
      <c r="S76" s="28">
        <v>2</v>
      </c>
      <c r="T76" s="284"/>
      <c r="U76" s="293"/>
      <c r="V76" s="37" t="s">
        <v>128</v>
      </c>
      <c r="W76" s="28" t="s">
        <v>17</v>
      </c>
      <c r="X76" s="28" t="s">
        <v>18</v>
      </c>
      <c r="Y76" s="38">
        <v>40.5</v>
      </c>
      <c r="Z76" s="28" t="s">
        <v>129</v>
      </c>
      <c r="AA76" s="28" t="s">
        <v>81</v>
      </c>
      <c r="AB76" s="28" t="s">
        <v>18</v>
      </c>
      <c r="AC76" s="28">
        <v>7.7</v>
      </c>
      <c r="AD76" s="37" t="s">
        <v>131</v>
      </c>
      <c r="AE76" s="28" t="s">
        <v>22</v>
      </c>
      <c r="AF76" s="28" t="s">
        <v>11</v>
      </c>
      <c r="AG76" s="38">
        <v>11.9</v>
      </c>
      <c r="AL76" s="37"/>
      <c r="AO76" s="38"/>
      <c r="AP76" s="37"/>
      <c r="AS76" s="38"/>
      <c r="AW76" s="38"/>
      <c r="BA76" s="39"/>
    </row>
    <row r="77" spans="1:53" s="28" customFormat="1" x14ac:dyDescent="0.15">
      <c r="A77" s="28">
        <v>1992</v>
      </c>
      <c r="B77" s="293"/>
      <c r="C77" s="394" t="s">
        <v>541</v>
      </c>
      <c r="D77" s="394"/>
      <c r="E77" s="28">
        <v>366</v>
      </c>
      <c r="G77" s="65">
        <v>5</v>
      </c>
      <c r="H77" s="28">
        <v>15</v>
      </c>
      <c r="J77" s="72">
        <v>20</v>
      </c>
      <c r="K77" s="46">
        <f t="shared" si="5"/>
        <v>25</v>
      </c>
      <c r="L77" s="46">
        <f t="shared" si="6"/>
        <v>75</v>
      </c>
      <c r="M77" s="46">
        <f t="shared" si="7"/>
        <v>0</v>
      </c>
      <c r="N77" s="67">
        <f t="shared" si="8"/>
        <v>100</v>
      </c>
      <c r="O77" s="45">
        <v>11.9</v>
      </c>
      <c r="P77" s="46">
        <v>48.2</v>
      </c>
      <c r="Q77" s="46"/>
      <c r="R77" s="47">
        <f t="shared" si="9"/>
        <v>60.1</v>
      </c>
      <c r="S77" s="28">
        <v>2</v>
      </c>
      <c r="T77" s="284"/>
      <c r="U77" s="293"/>
      <c r="V77" s="37" t="s">
        <v>128</v>
      </c>
      <c r="W77" s="28" t="s">
        <v>17</v>
      </c>
      <c r="X77" s="28" t="s">
        <v>18</v>
      </c>
      <c r="Y77" s="38">
        <v>40.5</v>
      </c>
      <c r="Z77" s="28" t="s">
        <v>129</v>
      </c>
      <c r="AA77" s="28" t="s">
        <v>81</v>
      </c>
      <c r="AB77" s="28" t="s">
        <v>18</v>
      </c>
      <c r="AC77" s="28">
        <v>7.7</v>
      </c>
      <c r="AD77" s="37" t="s">
        <v>131</v>
      </c>
      <c r="AE77" s="28" t="s">
        <v>22</v>
      </c>
      <c r="AF77" s="28" t="s">
        <v>11</v>
      </c>
      <c r="AG77" s="38">
        <v>11.9</v>
      </c>
      <c r="AL77" s="37"/>
      <c r="AO77" s="38"/>
      <c r="AP77" s="37"/>
      <c r="AS77" s="38"/>
      <c r="AW77" s="38"/>
      <c r="BA77" s="39"/>
    </row>
    <row r="78" spans="1:53" s="28" customFormat="1" x14ac:dyDescent="0.15">
      <c r="A78" s="28">
        <v>1993</v>
      </c>
      <c r="B78" s="293"/>
      <c r="C78" s="394" t="s">
        <v>541</v>
      </c>
      <c r="D78" s="394"/>
      <c r="E78" s="28">
        <v>0</v>
      </c>
      <c r="G78" s="65">
        <v>5</v>
      </c>
      <c r="H78" s="28">
        <v>15</v>
      </c>
      <c r="J78" s="72">
        <v>20</v>
      </c>
      <c r="K78" s="46">
        <f t="shared" ref="K78:K101" si="10">G78/J78*100</f>
        <v>25</v>
      </c>
      <c r="L78" s="46">
        <f t="shared" ref="L78:L101" si="11">H78/J78*100</f>
        <v>75</v>
      </c>
      <c r="M78" s="46">
        <f t="shared" ref="M78:M101" si="12">I78/J78*100</f>
        <v>0</v>
      </c>
      <c r="N78" s="67">
        <f t="shared" si="8"/>
        <v>100</v>
      </c>
      <c r="O78" s="45">
        <v>11.9</v>
      </c>
      <c r="P78" s="46">
        <v>48.2</v>
      </c>
      <c r="Q78" s="46"/>
      <c r="R78" s="47">
        <f t="shared" si="9"/>
        <v>60.1</v>
      </c>
      <c r="S78" s="28">
        <v>2</v>
      </c>
      <c r="T78" s="284"/>
      <c r="U78" s="293"/>
      <c r="V78" s="37" t="s">
        <v>128</v>
      </c>
      <c r="W78" s="28" t="s">
        <v>17</v>
      </c>
      <c r="X78" s="28" t="s">
        <v>18</v>
      </c>
      <c r="Y78" s="38">
        <v>40.5</v>
      </c>
      <c r="Z78" s="28" t="s">
        <v>129</v>
      </c>
      <c r="AA78" s="28" t="s">
        <v>81</v>
      </c>
      <c r="AB78" s="28" t="s">
        <v>18</v>
      </c>
      <c r="AC78" s="28">
        <v>7.7</v>
      </c>
      <c r="AD78" s="37" t="s">
        <v>131</v>
      </c>
      <c r="AE78" s="28" t="s">
        <v>22</v>
      </c>
      <c r="AF78" s="28" t="s">
        <v>11</v>
      </c>
      <c r="AG78" s="38">
        <v>11.9</v>
      </c>
      <c r="AL78" s="37"/>
      <c r="AO78" s="38"/>
      <c r="AP78" s="37"/>
      <c r="AS78" s="38"/>
      <c r="AW78" s="38"/>
      <c r="BA78" s="39"/>
    </row>
    <row r="79" spans="1:53" s="28" customFormat="1" x14ac:dyDescent="0.15">
      <c r="A79" s="28">
        <v>1993</v>
      </c>
      <c r="B79" s="293"/>
      <c r="C79" s="394" t="s">
        <v>541</v>
      </c>
      <c r="D79" s="394"/>
      <c r="E79" s="28">
        <f>365-E78</f>
        <v>365</v>
      </c>
      <c r="G79" s="65">
        <v>5</v>
      </c>
      <c r="H79" s="28">
        <v>15</v>
      </c>
      <c r="J79" s="72">
        <v>20</v>
      </c>
      <c r="K79" s="46">
        <f t="shared" si="10"/>
        <v>25</v>
      </c>
      <c r="L79" s="46">
        <f t="shared" si="11"/>
        <v>75</v>
      </c>
      <c r="M79" s="46">
        <f t="shared" si="12"/>
        <v>0</v>
      </c>
      <c r="N79" s="67">
        <f t="shared" si="8"/>
        <v>100</v>
      </c>
      <c r="O79" s="45">
        <v>11.9</v>
      </c>
      <c r="P79" s="46">
        <v>48.2</v>
      </c>
      <c r="Q79" s="46"/>
      <c r="R79" s="47">
        <f t="shared" si="9"/>
        <v>60.1</v>
      </c>
      <c r="S79" s="28">
        <v>2</v>
      </c>
      <c r="T79" s="284"/>
      <c r="U79" s="293"/>
      <c r="V79" s="37" t="s">
        <v>128</v>
      </c>
      <c r="W79" s="28" t="s">
        <v>17</v>
      </c>
      <c r="X79" s="28" t="s">
        <v>18</v>
      </c>
      <c r="Y79" s="38">
        <v>40.5</v>
      </c>
      <c r="Z79" s="28" t="s">
        <v>129</v>
      </c>
      <c r="AA79" s="28" t="s">
        <v>81</v>
      </c>
      <c r="AB79" s="28" t="s">
        <v>18</v>
      </c>
      <c r="AC79" s="28">
        <v>7.7</v>
      </c>
      <c r="AD79" s="37" t="s">
        <v>131</v>
      </c>
      <c r="AE79" s="28" t="s">
        <v>22</v>
      </c>
      <c r="AF79" s="28" t="s">
        <v>11</v>
      </c>
      <c r="AG79" s="38">
        <v>11.9</v>
      </c>
      <c r="AL79" s="37"/>
      <c r="AO79" s="38"/>
      <c r="AP79" s="37"/>
      <c r="AS79" s="38"/>
      <c r="AW79" s="38"/>
      <c r="BA79" s="39"/>
    </row>
    <row r="80" spans="1:53" s="28" customFormat="1" x14ac:dyDescent="0.15">
      <c r="A80" s="28">
        <v>1994</v>
      </c>
      <c r="B80" s="293"/>
      <c r="C80" s="394" t="s">
        <v>541</v>
      </c>
      <c r="D80" s="394"/>
      <c r="E80" s="28">
        <v>320</v>
      </c>
      <c r="G80" s="65">
        <v>5</v>
      </c>
      <c r="H80" s="28">
        <v>15</v>
      </c>
      <c r="J80" s="72">
        <v>20</v>
      </c>
      <c r="K80" s="46">
        <f t="shared" si="10"/>
        <v>25</v>
      </c>
      <c r="L80" s="46">
        <f t="shared" si="11"/>
        <v>75</v>
      </c>
      <c r="M80" s="46">
        <f t="shared" si="12"/>
        <v>0</v>
      </c>
      <c r="N80" s="67">
        <f t="shared" si="8"/>
        <v>100</v>
      </c>
      <c r="O80" s="45">
        <v>11.9</v>
      </c>
      <c r="P80" s="46">
        <v>48.2</v>
      </c>
      <c r="Q80" s="46"/>
      <c r="R80" s="47">
        <f t="shared" si="9"/>
        <v>60.1</v>
      </c>
      <c r="S80" s="28">
        <v>2</v>
      </c>
      <c r="T80" s="284"/>
      <c r="U80" s="293"/>
      <c r="V80" s="37" t="s">
        <v>128</v>
      </c>
      <c r="W80" s="28" t="s">
        <v>17</v>
      </c>
      <c r="X80" s="28" t="s">
        <v>18</v>
      </c>
      <c r="Y80" s="38">
        <v>40.5</v>
      </c>
      <c r="Z80" s="28" t="s">
        <v>129</v>
      </c>
      <c r="AA80" s="28" t="s">
        <v>81</v>
      </c>
      <c r="AB80" s="28" t="s">
        <v>18</v>
      </c>
      <c r="AC80" s="28">
        <v>7.7</v>
      </c>
      <c r="AD80" s="37" t="s">
        <v>131</v>
      </c>
      <c r="AE80" s="28" t="s">
        <v>22</v>
      </c>
      <c r="AF80" s="28" t="s">
        <v>11</v>
      </c>
      <c r="AG80" s="38">
        <v>11.9</v>
      </c>
      <c r="AL80" s="37"/>
      <c r="AO80" s="38"/>
      <c r="AP80" s="37"/>
      <c r="AS80" s="38"/>
      <c r="AW80" s="38"/>
      <c r="BA80" s="39"/>
    </row>
    <row r="81" spans="1:53" s="170" customFormat="1" x14ac:dyDescent="0.15">
      <c r="A81" s="170">
        <v>1994</v>
      </c>
      <c r="B81" s="281">
        <v>34655</v>
      </c>
      <c r="C81" s="395" t="s">
        <v>542</v>
      </c>
      <c r="D81" s="395"/>
      <c r="E81" s="170">
        <f>365-E80</f>
        <v>45</v>
      </c>
      <c r="F81" s="170">
        <v>1</v>
      </c>
      <c r="G81" s="232">
        <v>3</v>
      </c>
      <c r="H81" s="170">
        <v>15</v>
      </c>
      <c r="J81" s="240">
        <v>18</v>
      </c>
      <c r="K81" s="213">
        <f t="shared" si="10"/>
        <v>16.666666666666664</v>
      </c>
      <c r="L81" s="213">
        <f t="shared" si="11"/>
        <v>83.333333333333343</v>
      </c>
      <c r="M81" s="213">
        <f t="shared" si="12"/>
        <v>0</v>
      </c>
      <c r="N81" s="234">
        <f t="shared" si="8"/>
        <v>100</v>
      </c>
      <c r="O81" s="212">
        <v>7</v>
      </c>
      <c r="P81" s="213">
        <v>43.7</v>
      </c>
      <c r="Q81" s="213"/>
      <c r="R81" s="214">
        <f t="shared" si="9"/>
        <v>50.7</v>
      </c>
      <c r="S81" s="170">
        <v>2</v>
      </c>
      <c r="T81" s="283">
        <v>34623</v>
      </c>
      <c r="U81" s="281">
        <v>34655</v>
      </c>
      <c r="V81" s="177" t="s">
        <v>128</v>
      </c>
      <c r="W81" s="170" t="s">
        <v>17</v>
      </c>
      <c r="X81" s="170" t="s">
        <v>18</v>
      </c>
      <c r="Y81" s="178">
        <v>36.299999999999997</v>
      </c>
      <c r="Z81" s="170" t="s">
        <v>129</v>
      </c>
      <c r="AA81" s="170" t="s">
        <v>81</v>
      </c>
      <c r="AB81" s="170" t="s">
        <v>18</v>
      </c>
      <c r="AC81" s="170">
        <v>7.4</v>
      </c>
      <c r="AD81" s="177" t="s">
        <v>131</v>
      </c>
      <c r="AE81" s="170" t="s">
        <v>22</v>
      </c>
      <c r="AF81" s="170" t="s">
        <v>11</v>
      </c>
      <c r="AG81" s="178">
        <v>7</v>
      </c>
      <c r="AL81" s="177"/>
      <c r="AO81" s="178"/>
      <c r="AP81" s="177"/>
      <c r="AS81" s="178"/>
      <c r="AW81" s="178"/>
      <c r="BA81" s="179"/>
    </row>
    <row r="82" spans="1:53" s="170" customFormat="1" x14ac:dyDescent="0.15">
      <c r="A82" s="170">
        <v>1995</v>
      </c>
      <c r="B82" s="281"/>
      <c r="C82" s="395" t="s">
        <v>542</v>
      </c>
      <c r="D82" s="395"/>
      <c r="E82" s="170">
        <v>0</v>
      </c>
      <c r="G82" s="232">
        <v>3</v>
      </c>
      <c r="H82" s="170">
        <v>15</v>
      </c>
      <c r="J82" s="240">
        <v>18</v>
      </c>
      <c r="K82" s="213">
        <f t="shared" si="10"/>
        <v>16.666666666666664</v>
      </c>
      <c r="L82" s="213">
        <f t="shared" si="11"/>
        <v>83.333333333333343</v>
      </c>
      <c r="M82" s="213">
        <f t="shared" si="12"/>
        <v>0</v>
      </c>
      <c r="N82" s="234">
        <f t="shared" si="8"/>
        <v>100</v>
      </c>
      <c r="O82" s="212">
        <v>7</v>
      </c>
      <c r="P82" s="213">
        <v>43.7</v>
      </c>
      <c r="Q82" s="213"/>
      <c r="R82" s="214">
        <f t="shared" si="9"/>
        <v>50.7</v>
      </c>
      <c r="S82" s="170">
        <v>2</v>
      </c>
      <c r="T82" s="283"/>
      <c r="U82" s="281"/>
      <c r="V82" s="177" t="s">
        <v>128</v>
      </c>
      <c r="W82" s="170" t="s">
        <v>17</v>
      </c>
      <c r="X82" s="170" t="s">
        <v>18</v>
      </c>
      <c r="Y82" s="178">
        <v>36.299999999999997</v>
      </c>
      <c r="Z82" s="170" t="s">
        <v>129</v>
      </c>
      <c r="AA82" s="170" t="s">
        <v>81</v>
      </c>
      <c r="AB82" s="170" t="s">
        <v>18</v>
      </c>
      <c r="AC82" s="170">
        <v>7.4</v>
      </c>
      <c r="AD82" s="177" t="s">
        <v>131</v>
      </c>
      <c r="AE82" s="170" t="s">
        <v>22</v>
      </c>
      <c r="AF82" s="170" t="s">
        <v>11</v>
      </c>
      <c r="AG82" s="178">
        <v>7</v>
      </c>
      <c r="AL82" s="177"/>
      <c r="AO82" s="178"/>
      <c r="AP82" s="177"/>
      <c r="AS82" s="178"/>
      <c r="AW82" s="178"/>
      <c r="BA82" s="179"/>
    </row>
    <row r="83" spans="1:53" s="170" customFormat="1" x14ac:dyDescent="0.15">
      <c r="A83" s="170">
        <v>1995</v>
      </c>
      <c r="B83" s="281"/>
      <c r="C83" s="395" t="s">
        <v>542</v>
      </c>
      <c r="D83" s="395"/>
      <c r="E83" s="170">
        <f>365-E82</f>
        <v>365</v>
      </c>
      <c r="G83" s="232">
        <v>3</v>
      </c>
      <c r="H83" s="170">
        <v>15</v>
      </c>
      <c r="J83" s="240">
        <v>18</v>
      </c>
      <c r="K83" s="213">
        <f t="shared" si="10"/>
        <v>16.666666666666664</v>
      </c>
      <c r="L83" s="213">
        <f t="shared" si="11"/>
        <v>83.333333333333343</v>
      </c>
      <c r="M83" s="213">
        <f t="shared" si="12"/>
        <v>0</v>
      </c>
      <c r="N83" s="234">
        <f t="shared" si="8"/>
        <v>100</v>
      </c>
      <c r="O83" s="212">
        <v>7</v>
      </c>
      <c r="P83" s="213">
        <v>43.7</v>
      </c>
      <c r="Q83" s="213"/>
      <c r="R83" s="214">
        <f t="shared" si="9"/>
        <v>50.7</v>
      </c>
      <c r="S83" s="170">
        <v>2</v>
      </c>
      <c r="T83" s="283"/>
      <c r="U83" s="281"/>
      <c r="V83" s="177" t="s">
        <v>128</v>
      </c>
      <c r="W83" s="170" t="s">
        <v>17</v>
      </c>
      <c r="X83" s="170" t="s">
        <v>18</v>
      </c>
      <c r="Y83" s="178">
        <v>36.299999999999997</v>
      </c>
      <c r="Z83" s="170" t="s">
        <v>129</v>
      </c>
      <c r="AA83" s="170" t="s">
        <v>81</v>
      </c>
      <c r="AB83" s="170" t="s">
        <v>18</v>
      </c>
      <c r="AC83" s="170">
        <v>7.4</v>
      </c>
      <c r="AD83" s="177" t="s">
        <v>131</v>
      </c>
      <c r="AE83" s="170" t="s">
        <v>22</v>
      </c>
      <c r="AF83" s="170" t="s">
        <v>11</v>
      </c>
      <c r="AG83" s="178">
        <v>7</v>
      </c>
      <c r="AL83" s="177"/>
      <c r="AO83" s="178"/>
      <c r="AP83" s="177"/>
      <c r="AS83" s="178"/>
      <c r="AW83" s="178"/>
      <c r="BA83" s="179"/>
    </row>
    <row r="84" spans="1:53" s="170" customFormat="1" x14ac:dyDescent="0.15">
      <c r="A84" s="170">
        <v>1996</v>
      </c>
      <c r="B84" s="281"/>
      <c r="C84" s="395" t="s">
        <v>542</v>
      </c>
      <c r="D84" s="395"/>
      <c r="E84" s="170">
        <v>0</v>
      </c>
      <c r="G84" s="232">
        <v>3</v>
      </c>
      <c r="H84" s="170">
        <v>15</v>
      </c>
      <c r="J84" s="240">
        <v>18</v>
      </c>
      <c r="K84" s="213">
        <f t="shared" si="10"/>
        <v>16.666666666666664</v>
      </c>
      <c r="L84" s="213">
        <f t="shared" si="11"/>
        <v>83.333333333333343</v>
      </c>
      <c r="M84" s="213">
        <f t="shared" si="12"/>
        <v>0</v>
      </c>
      <c r="N84" s="234">
        <f t="shared" si="8"/>
        <v>100</v>
      </c>
      <c r="O84" s="212">
        <v>7</v>
      </c>
      <c r="P84" s="213">
        <v>43.7</v>
      </c>
      <c r="Q84" s="213"/>
      <c r="R84" s="214">
        <f t="shared" si="9"/>
        <v>50.7</v>
      </c>
      <c r="S84" s="170">
        <v>2</v>
      </c>
      <c r="T84" s="283"/>
      <c r="U84" s="281"/>
      <c r="V84" s="177" t="s">
        <v>128</v>
      </c>
      <c r="W84" s="170" t="s">
        <v>17</v>
      </c>
      <c r="X84" s="170" t="s">
        <v>18</v>
      </c>
      <c r="Y84" s="178">
        <v>36.299999999999997</v>
      </c>
      <c r="Z84" s="170" t="s">
        <v>129</v>
      </c>
      <c r="AA84" s="170" t="s">
        <v>81</v>
      </c>
      <c r="AB84" s="170" t="s">
        <v>18</v>
      </c>
      <c r="AC84" s="170">
        <v>7.4</v>
      </c>
      <c r="AD84" s="177" t="s">
        <v>131</v>
      </c>
      <c r="AE84" s="170" t="s">
        <v>22</v>
      </c>
      <c r="AF84" s="170" t="s">
        <v>11</v>
      </c>
      <c r="AG84" s="178">
        <v>7</v>
      </c>
      <c r="AL84" s="177"/>
      <c r="AO84" s="178"/>
      <c r="AP84" s="177"/>
      <c r="AS84" s="178"/>
      <c r="AW84" s="178"/>
      <c r="BA84" s="179"/>
    </row>
    <row r="85" spans="1:53" s="170" customFormat="1" x14ac:dyDescent="0.15">
      <c r="A85" s="170">
        <v>1996</v>
      </c>
      <c r="B85" s="281"/>
      <c r="C85" s="395" t="s">
        <v>542</v>
      </c>
      <c r="D85" s="395"/>
      <c r="E85" s="170">
        <v>366</v>
      </c>
      <c r="G85" s="232">
        <v>3</v>
      </c>
      <c r="H85" s="170">
        <v>15</v>
      </c>
      <c r="J85" s="240">
        <v>18</v>
      </c>
      <c r="K85" s="213">
        <f t="shared" si="10"/>
        <v>16.666666666666664</v>
      </c>
      <c r="L85" s="213">
        <f t="shared" si="11"/>
        <v>83.333333333333343</v>
      </c>
      <c r="M85" s="213">
        <f t="shared" si="12"/>
        <v>0</v>
      </c>
      <c r="N85" s="234">
        <f t="shared" si="8"/>
        <v>100</v>
      </c>
      <c r="O85" s="212">
        <v>7</v>
      </c>
      <c r="P85" s="213">
        <v>43.7</v>
      </c>
      <c r="Q85" s="213"/>
      <c r="R85" s="214">
        <f t="shared" si="9"/>
        <v>50.7</v>
      </c>
      <c r="S85" s="170">
        <v>2</v>
      </c>
      <c r="T85" s="283"/>
      <c r="U85" s="281"/>
      <c r="V85" s="177" t="s">
        <v>128</v>
      </c>
      <c r="W85" s="170" t="s">
        <v>17</v>
      </c>
      <c r="X85" s="170" t="s">
        <v>18</v>
      </c>
      <c r="Y85" s="178">
        <v>36.299999999999997</v>
      </c>
      <c r="Z85" s="170" t="s">
        <v>129</v>
      </c>
      <c r="AA85" s="170" t="s">
        <v>81</v>
      </c>
      <c r="AB85" s="170" t="s">
        <v>18</v>
      </c>
      <c r="AC85" s="170">
        <v>7.4</v>
      </c>
      <c r="AD85" s="177" t="s">
        <v>131</v>
      </c>
      <c r="AE85" s="170" t="s">
        <v>22</v>
      </c>
      <c r="AF85" s="170" t="s">
        <v>11</v>
      </c>
      <c r="AG85" s="178">
        <v>7</v>
      </c>
      <c r="AL85" s="177"/>
      <c r="AO85" s="178"/>
      <c r="AP85" s="177"/>
      <c r="AS85" s="178"/>
      <c r="AW85" s="178"/>
      <c r="BA85" s="179"/>
    </row>
    <row r="86" spans="1:53" s="170" customFormat="1" x14ac:dyDescent="0.15">
      <c r="A86" s="170">
        <v>1997</v>
      </c>
      <c r="B86" s="281"/>
      <c r="C86" s="395" t="s">
        <v>542</v>
      </c>
      <c r="D86" s="395"/>
      <c r="E86" s="170">
        <v>364</v>
      </c>
      <c r="G86" s="232">
        <v>3</v>
      </c>
      <c r="H86" s="170">
        <v>15</v>
      </c>
      <c r="J86" s="240">
        <v>18</v>
      </c>
      <c r="K86" s="213">
        <f t="shared" si="10"/>
        <v>16.666666666666664</v>
      </c>
      <c r="L86" s="213">
        <f t="shared" si="11"/>
        <v>83.333333333333343</v>
      </c>
      <c r="M86" s="213">
        <f t="shared" si="12"/>
        <v>0</v>
      </c>
      <c r="N86" s="234">
        <f t="shared" si="8"/>
        <v>100</v>
      </c>
      <c r="O86" s="212">
        <v>7</v>
      </c>
      <c r="P86" s="213">
        <v>43.7</v>
      </c>
      <c r="Q86" s="213"/>
      <c r="R86" s="214">
        <f t="shared" si="9"/>
        <v>50.7</v>
      </c>
      <c r="S86" s="170">
        <v>2</v>
      </c>
      <c r="T86" s="283"/>
      <c r="U86" s="281"/>
      <c r="V86" s="177" t="s">
        <v>128</v>
      </c>
      <c r="W86" s="170" t="s">
        <v>17</v>
      </c>
      <c r="X86" s="170" t="s">
        <v>18</v>
      </c>
      <c r="Y86" s="178">
        <v>36.299999999999997</v>
      </c>
      <c r="Z86" s="170" t="s">
        <v>129</v>
      </c>
      <c r="AA86" s="170" t="s">
        <v>81</v>
      </c>
      <c r="AB86" s="170" t="s">
        <v>18</v>
      </c>
      <c r="AC86" s="170">
        <v>7.4</v>
      </c>
      <c r="AD86" s="177" t="s">
        <v>131</v>
      </c>
      <c r="AE86" s="170" t="s">
        <v>22</v>
      </c>
      <c r="AF86" s="170" t="s">
        <v>11</v>
      </c>
      <c r="AG86" s="178">
        <v>7</v>
      </c>
      <c r="AL86" s="177"/>
      <c r="AO86" s="178"/>
      <c r="AP86" s="177"/>
      <c r="AS86" s="178"/>
      <c r="AW86" s="178"/>
      <c r="BA86" s="179"/>
    </row>
    <row r="87" spans="1:53" s="170" customFormat="1" x14ac:dyDescent="0.15">
      <c r="A87" s="170">
        <v>1997</v>
      </c>
      <c r="B87" s="303">
        <v>35795</v>
      </c>
      <c r="C87" s="395" t="s">
        <v>542</v>
      </c>
      <c r="D87" s="395"/>
      <c r="E87" s="170">
        <f>365-E86</f>
        <v>1</v>
      </c>
      <c r="F87" s="243">
        <v>0</v>
      </c>
      <c r="G87" s="232">
        <v>3</v>
      </c>
      <c r="H87" s="170">
        <v>14</v>
      </c>
      <c r="J87" s="240">
        <v>17</v>
      </c>
      <c r="K87" s="213">
        <f t="shared" si="10"/>
        <v>17.647058823529413</v>
      </c>
      <c r="L87" s="213">
        <f t="shared" si="11"/>
        <v>82.35294117647058</v>
      </c>
      <c r="M87" s="213">
        <f t="shared" si="12"/>
        <v>0</v>
      </c>
      <c r="N87" s="234">
        <f t="shared" si="8"/>
        <v>100</v>
      </c>
      <c r="O87" s="212">
        <v>7</v>
      </c>
      <c r="P87" s="213">
        <v>43.7</v>
      </c>
      <c r="Q87" s="213"/>
      <c r="R87" s="214">
        <f t="shared" si="9"/>
        <v>50.7</v>
      </c>
      <c r="S87" s="170">
        <v>2</v>
      </c>
      <c r="T87" s="283"/>
      <c r="U87" s="281"/>
      <c r="V87" s="177" t="s">
        <v>128</v>
      </c>
      <c r="W87" s="170" t="s">
        <v>17</v>
      </c>
      <c r="X87" s="170" t="s">
        <v>18</v>
      </c>
      <c r="Y87" s="178">
        <v>36.299999999999997</v>
      </c>
      <c r="Z87" s="170" t="s">
        <v>129</v>
      </c>
      <c r="AA87" s="170" t="s">
        <v>81</v>
      </c>
      <c r="AB87" s="170" t="s">
        <v>18</v>
      </c>
      <c r="AC87" s="170">
        <v>7.4</v>
      </c>
      <c r="AD87" s="177" t="s">
        <v>131</v>
      </c>
      <c r="AE87" s="170" t="s">
        <v>22</v>
      </c>
      <c r="AF87" s="170" t="s">
        <v>11</v>
      </c>
      <c r="AG87" s="178">
        <v>7</v>
      </c>
      <c r="AL87" s="177"/>
      <c r="AO87" s="178"/>
      <c r="AP87" s="177"/>
      <c r="AS87" s="178"/>
      <c r="AW87" s="178"/>
      <c r="BA87" s="179"/>
    </row>
    <row r="88" spans="1:53" s="170" customFormat="1" x14ac:dyDescent="0.15">
      <c r="A88" s="170">
        <v>1998</v>
      </c>
      <c r="B88" s="281"/>
      <c r="C88" s="395" t="s">
        <v>542</v>
      </c>
      <c r="D88" s="395"/>
      <c r="E88" s="170">
        <v>299</v>
      </c>
      <c r="G88" s="232">
        <v>3</v>
      </c>
      <c r="H88" s="170">
        <v>14</v>
      </c>
      <c r="J88" s="240">
        <v>17</v>
      </c>
      <c r="K88" s="213">
        <f t="shared" si="10"/>
        <v>17.647058823529413</v>
      </c>
      <c r="L88" s="213">
        <f t="shared" si="11"/>
        <v>82.35294117647058</v>
      </c>
      <c r="M88" s="213">
        <f t="shared" si="12"/>
        <v>0</v>
      </c>
      <c r="N88" s="234">
        <f t="shared" si="8"/>
        <v>100</v>
      </c>
      <c r="O88" s="212">
        <v>7</v>
      </c>
      <c r="P88" s="213">
        <v>43.7</v>
      </c>
      <c r="Q88" s="213"/>
      <c r="R88" s="214">
        <f t="shared" si="9"/>
        <v>50.7</v>
      </c>
      <c r="S88" s="170">
        <v>2</v>
      </c>
      <c r="T88" s="283"/>
      <c r="U88" s="281"/>
      <c r="V88" s="177" t="s">
        <v>128</v>
      </c>
      <c r="W88" s="170" t="s">
        <v>17</v>
      </c>
      <c r="X88" s="170" t="s">
        <v>18</v>
      </c>
      <c r="Y88" s="178">
        <v>36.299999999999997</v>
      </c>
      <c r="Z88" s="170" t="s">
        <v>129</v>
      </c>
      <c r="AA88" s="170" t="s">
        <v>81</v>
      </c>
      <c r="AB88" s="170" t="s">
        <v>18</v>
      </c>
      <c r="AC88" s="170">
        <v>7.4</v>
      </c>
      <c r="AD88" s="177" t="s">
        <v>131</v>
      </c>
      <c r="AE88" s="170" t="s">
        <v>22</v>
      </c>
      <c r="AF88" s="170" t="s">
        <v>11</v>
      </c>
      <c r="AG88" s="178">
        <v>7</v>
      </c>
      <c r="AL88" s="177"/>
      <c r="AO88" s="178"/>
      <c r="AP88" s="177"/>
      <c r="AS88" s="178"/>
      <c r="AW88" s="178"/>
      <c r="BA88" s="179"/>
    </row>
    <row r="89" spans="1:53" s="28" customFormat="1" x14ac:dyDescent="0.15">
      <c r="A89" s="28">
        <v>1998</v>
      </c>
      <c r="B89" s="293">
        <v>36095</v>
      </c>
      <c r="C89" s="394" t="s">
        <v>543</v>
      </c>
      <c r="D89" s="394"/>
      <c r="E89" s="28">
        <f>365-E88</f>
        <v>66</v>
      </c>
      <c r="F89" s="28">
        <v>1</v>
      </c>
      <c r="G89" s="65"/>
      <c r="I89" s="28">
        <v>16</v>
      </c>
      <c r="J89" s="72">
        <v>16</v>
      </c>
      <c r="K89" s="46">
        <f t="shared" si="10"/>
        <v>0</v>
      </c>
      <c r="L89" s="46">
        <f t="shared" si="11"/>
        <v>0</v>
      </c>
      <c r="M89" s="46">
        <f t="shared" si="12"/>
        <v>100</v>
      </c>
      <c r="N89" s="67">
        <f t="shared" si="8"/>
        <v>100</v>
      </c>
      <c r="O89" s="45"/>
      <c r="P89" s="46"/>
      <c r="Q89" s="46">
        <v>51.5</v>
      </c>
      <c r="R89" s="47">
        <f t="shared" si="9"/>
        <v>51.5</v>
      </c>
      <c r="S89" s="28">
        <v>2</v>
      </c>
      <c r="T89" s="284">
        <v>36065</v>
      </c>
      <c r="U89" s="293">
        <v>36095</v>
      </c>
      <c r="V89" s="37" t="s">
        <v>132</v>
      </c>
      <c r="W89" s="28" t="s">
        <v>20</v>
      </c>
      <c r="X89" s="28" t="s">
        <v>12</v>
      </c>
      <c r="Y89" s="38">
        <v>44.5</v>
      </c>
      <c r="Z89" s="28" t="s">
        <v>544</v>
      </c>
      <c r="AA89" s="28" t="s">
        <v>216</v>
      </c>
      <c r="AB89" s="28" t="s">
        <v>12</v>
      </c>
      <c r="AC89" s="28">
        <v>7</v>
      </c>
      <c r="AD89" s="37"/>
      <c r="AG89" s="38"/>
      <c r="AL89" s="37"/>
      <c r="AO89" s="38"/>
      <c r="AP89" s="37"/>
      <c r="AS89" s="38"/>
      <c r="AW89" s="38"/>
      <c r="BA89" s="39"/>
    </row>
    <row r="90" spans="1:53" s="28" customFormat="1" x14ac:dyDescent="0.15">
      <c r="A90" s="28">
        <v>1999</v>
      </c>
      <c r="B90" s="293"/>
      <c r="C90" s="394" t="s">
        <v>543</v>
      </c>
      <c r="D90" s="394"/>
      <c r="E90" s="28">
        <v>211</v>
      </c>
      <c r="G90" s="65"/>
      <c r="I90" s="28">
        <v>16</v>
      </c>
      <c r="J90" s="72">
        <v>16</v>
      </c>
      <c r="K90" s="46">
        <f t="shared" si="10"/>
        <v>0</v>
      </c>
      <c r="L90" s="46">
        <f t="shared" si="11"/>
        <v>0</v>
      </c>
      <c r="M90" s="46">
        <f t="shared" si="12"/>
        <v>100</v>
      </c>
      <c r="N90" s="67">
        <f t="shared" si="8"/>
        <v>100</v>
      </c>
      <c r="O90" s="45"/>
      <c r="P90" s="46"/>
      <c r="Q90" s="46">
        <v>51.5</v>
      </c>
      <c r="R90" s="47">
        <f t="shared" si="9"/>
        <v>51.5</v>
      </c>
      <c r="S90" s="28">
        <v>2</v>
      </c>
      <c r="T90" s="284"/>
      <c r="U90" s="293"/>
      <c r="V90" s="37" t="s">
        <v>132</v>
      </c>
      <c r="W90" s="28" t="s">
        <v>20</v>
      </c>
      <c r="X90" s="28" t="s">
        <v>12</v>
      </c>
      <c r="Y90" s="38">
        <v>44.5</v>
      </c>
      <c r="Z90" s="28" t="s">
        <v>544</v>
      </c>
      <c r="AA90" s="28" t="s">
        <v>216</v>
      </c>
      <c r="AB90" s="28" t="s">
        <v>12</v>
      </c>
      <c r="AC90" s="28">
        <v>7</v>
      </c>
      <c r="AD90" s="37"/>
      <c r="AG90" s="38"/>
      <c r="AL90" s="37"/>
      <c r="AO90" s="38"/>
      <c r="AP90" s="37"/>
      <c r="AS90" s="38"/>
      <c r="AW90" s="38"/>
      <c r="BA90" s="39"/>
    </row>
    <row r="91" spans="1:53" s="28" customFormat="1" x14ac:dyDescent="0.15">
      <c r="A91" s="28">
        <v>1999</v>
      </c>
      <c r="B91" s="301">
        <v>36372</v>
      </c>
      <c r="C91" s="394" t="s">
        <v>543</v>
      </c>
      <c r="D91" s="394"/>
      <c r="E91" s="28">
        <f>365-E90</f>
        <v>154</v>
      </c>
      <c r="F91" s="83">
        <v>0</v>
      </c>
      <c r="G91" s="65"/>
      <c r="I91" s="28">
        <v>15</v>
      </c>
      <c r="J91" s="72">
        <v>15</v>
      </c>
      <c r="K91" s="46">
        <f t="shared" si="10"/>
        <v>0</v>
      </c>
      <c r="L91" s="46">
        <f t="shared" si="11"/>
        <v>0</v>
      </c>
      <c r="M91" s="46">
        <f t="shared" si="12"/>
        <v>100</v>
      </c>
      <c r="N91" s="67">
        <f t="shared" si="8"/>
        <v>100</v>
      </c>
      <c r="O91" s="45"/>
      <c r="P91" s="46"/>
      <c r="Q91" s="46">
        <v>51.5</v>
      </c>
      <c r="R91" s="47">
        <f t="shared" si="9"/>
        <v>51.5</v>
      </c>
      <c r="S91" s="28">
        <v>2</v>
      </c>
      <c r="T91" s="284"/>
      <c r="U91" s="293"/>
      <c r="V91" s="37" t="s">
        <v>132</v>
      </c>
      <c r="W91" s="28" t="s">
        <v>20</v>
      </c>
      <c r="X91" s="28" t="s">
        <v>12</v>
      </c>
      <c r="Y91" s="38">
        <v>44.5</v>
      </c>
      <c r="Z91" s="28" t="s">
        <v>544</v>
      </c>
      <c r="AA91" s="28" t="s">
        <v>216</v>
      </c>
      <c r="AB91" s="28" t="s">
        <v>12</v>
      </c>
      <c r="AC91" s="28">
        <v>7</v>
      </c>
      <c r="AD91" s="37"/>
      <c r="AG91" s="38"/>
      <c r="AL91" s="37"/>
      <c r="AO91" s="38"/>
      <c r="AP91" s="37"/>
      <c r="AS91" s="38"/>
      <c r="AW91" s="38"/>
      <c r="BA91" s="39"/>
    </row>
    <row r="92" spans="1:53" s="28" customFormat="1" x14ac:dyDescent="0.15">
      <c r="A92" s="28">
        <v>2000</v>
      </c>
      <c r="B92" s="293"/>
      <c r="C92" s="394" t="s">
        <v>543</v>
      </c>
      <c r="D92" s="394"/>
      <c r="E92" s="28">
        <v>0</v>
      </c>
      <c r="G92" s="65"/>
      <c r="I92" s="28">
        <v>15</v>
      </c>
      <c r="J92" s="72">
        <v>15</v>
      </c>
      <c r="K92" s="46">
        <f t="shared" si="10"/>
        <v>0</v>
      </c>
      <c r="L92" s="46">
        <f t="shared" si="11"/>
        <v>0</v>
      </c>
      <c r="M92" s="46">
        <f t="shared" si="12"/>
        <v>100</v>
      </c>
      <c r="N92" s="67">
        <f t="shared" si="8"/>
        <v>100</v>
      </c>
      <c r="O92" s="45"/>
      <c r="P92" s="46"/>
      <c r="Q92" s="46">
        <v>51.5</v>
      </c>
      <c r="R92" s="47">
        <f t="shared" si="9"/>
        <v>51.5</v>
      </c>
      <c r="S92" s="28">
        <v>2</v>
      </c>
      <c r="T92" s="284"/>
      <c r="U92" s="293"/>
      <c r="V92" s="37" t="s">
        <v>132</v>
      </c>
      <c r="W92" s="28" t="s">
        <v>20</v>
      </c>
      <c r="X92" s="28" t="s">
        <v>12</v>
      </c>
      <c r="Y92" s="38">
        <v>44.5</v>
      </c>
      <c r="Z92" s="28" t="s">
        <v>544</v>
      </c>
      <c r="AA92" s="28" t="s">
        <v>216</v>
      </c>
      <c r="AB92" s="28" t="s">
        <v>12</v>
      </c>
      <c r="AC92" s="28">
        <v>7</v>
      </c>
      <c r="AD92" s="37"/>
      <c r="AG92" s="38"/>
      <c r="AL92" s="37"/>
      <c r="AO92" s="38"/>
      <c r="AP92" s="37"/>
      <c r="AS92" s="38"/>
      <c r="AW92" s="38"/>
      <c r="BA92" s="39"/>
    </row>
    <row r="93" spans="1:53" s="28" customFormat="1" x14ac:dyDescent="0.15">
      <c r="A93" s="28">
        <v>2000</v>
      </c>
      <c r="B93" s="293"/>
      <c r="C93" s="394" t="s">
        <v>543</v>
      </c>
      <c r="D93" s="394"/>
      <c r="E93" s="28">
        <v>366</v>
      </c>
      <c r="G93" s="65"/>
      <c r="I93" s="28">
        <v>15</v>
      </c>
      <c r="J93" s="72">
        <v>15</v>
      </c>
      <c r="K93" s="46">
        <f t="shared" si="10"/>
        <v>0</v>
      </c>
      <c r="L93" s="46">
        <f t="shared" si="11"/>
        <v>0</v>
      </c>
      <c r="M93" s="46">
        <f t="shared" si="12"/>
        <v>100</v>
      </c>
      <c r="N93" s="67">
        <f t="shared" si="8"/>
        <v>100</v>
      </c>
      <c r="O93" s="45"/>
      <c r="P93" s="46"/>
      <c r="Q93" s="46">
        <v>51.5</v>
      </c>
      <c r="R93" s="47">
        <f t="shared" si="9"/>
        <v>51.5</v>
      </c>
      <c r="S93" s="28">
        <v>2</v>
      </c>
      <c r="T93" s="284"/>
      <c r="U93" s="293"/>
      <c r="V93" s="37" t="s">
        <v>132</v>
      </c>
      <c r="W93" s="28" t="s">
        <v>20</v>
      </c>
      <c r="X93" s="28" t="s">
        <v>12</v>
      </c>
      <c r="Y93" s="38">
        <v>44.5</v>
      </c>
      <c r="Z93" s="28" t="s">
        <v>544</v>
      </c>
      <c r="AA93" s="28" t="s">
        <v>216</v>
      </c>
      <c r="AB93" s="28" t="s">
        <v>12</v>
      </c>
      <c r="AC93" s="28">
        <v>7</v>
      </c>
      <c r="AD93" s="37"/>
      <c r="AG93" s="38"/>
      <c r="AL93" s="37"/>
      <c r="AO93" s="38"/>
      <c r="AP93" s="37"/>
      <c r="AS93" s="38"/>
      <c r="AW93" s="38"/>
      <c r="BA93" s="39"/>
    </row>
    <row r="94" spans="1:53" s="28" customFormat="1" x14ac:dyDescent="0.15">
      <c r="A94" s="28">
        <v>2001</v>
      </c>
      <c r="B94" s="293"/>
      <c r="C94" s="394" t="s">
        <v>543</v>
      </c>
      <c r="D94" s="394"/>
      <c r="E94" s="28">
        <v>0</v>
      </c>
      <c r="G94" s="65"/>
      <c r="I94" s="28">
        <v>15</v>
      </c>
      <c r="J94" s="72">
        <v>15</v>
      </c>
      <c r="K94" s="46">
        <f t="shared" si="10"/>
        <v>0</v>
      </c>
      <c r="L94" s="46">
        <f t="shared" si="11"/>
        <v>0</v>
      </c>
      <c r="M94" s="46">
        <f t="shared" si="12"/>
        <v>100</v>
      </c>
      <c r="N94" s="67">
        <f t="shared" si="8"/>
        <v>100</v>
      </c>
      <c r="O94" s="45"/>
      <c r="P94" s="46"/>
      <c r="Q94" s="46">
        <v>51.5</v>
      </c>
      <c r="R94" s="47">
        <f t="shared" si="9"/>
        <v>51.5</v>
      </c>
      <c r="S94" s="28">
        <v>2</v>
      </c>
      <c r="T94" s="284"/>
      <c r="U94" s="293"/>
      <c r="V94" s="37" t="s">
        <v>132</v>
      </c>
      <c r="W94" s="28" t="s">
        <v>20</v>
      </c>
      <c r="X94" s="28" t="s">
        <v>12</v>
      </c>
      <c r="Y94" s="38">
        <v>44.5</v>
      </c>
      <c r="Z94" s="28" t="s">
        <v>544</v>
      </c>
      <c r="AA94" s="28" t="s">
        <v>216</v>
      </c>
      <c r="AB94" s="28" t="s">
        <v>12</v>
      </c>
      <c r="AC94" s="28">
        <v>7</v>
      </c>
      <c r="AD94" s="37"/>
      <c r="AG94" s="38"/>
      <c r="AL94" s="37"/>
      <c r="AO94" s="38"/>
      <c r="AP94" s="37"/>
      <c r="AS94" s="38"/>
      <c r="AW94" s="38"/>
      <c r="BA94" s="39"/>
    </row>
    <row r="95" spans="1:53" s="28" customFormat="1" x14ac:dyDescent="0.15">
      <c r="A95" s="28">
        <v>2001</v>
      </c>
      <c r="B95" s="293"/>
      <c r="C95" s="394" t="s">
        <v>543</v>
      </c>
      <c r="D95" s="394"/>
      <c r="E95" s="28">
        <f>365-E94</f>
        <v>365</v>
      </c>
      <c r="G95" s="65"/>
      <c r="I95" s="28">
        <v>15</v>
      </c>
      <c r="J95" s="72">
        <v>15</v>
      </c>
      <c r="K95" s="46">
        <f t="shared" si="10"/>
        <v>0</v>
      </c>
      <c r="L95" s="46">
        <f t="shared" si="11"/>
        <v>0</v>
      </c>
      <c r="M95" s="46">
        <f t="shared" si="12"/>
        <v>100</v>
      </c>
      <c r="N95" s="67">
        <f t="shared" si="8"/>
        <v>100</v>
      </c>
      <c r="O95" s="45"/>
      <c r="P95" s="46"/>
      <c r="Q95" s="46">
        <v>51.5</v>
      </c>
      <c r="R95" s="47">
        <f t="shared" si="9"/>
        <v>51.5</v>
      </c>
      <c r="S95" s="28">
        <v>2</v>
      </c>
      <c r="T95" s="284"/>
      <c r="U95" s="293"/>
      <c r="V95" s="37" t="s">
        <v>132</v>
      </c>
      <c r="W95" s="28" t="s">
        <v>20</v>
      </c>
      <c r="X95" s="28" t="s">
        <v>12</v>
      </c>
      <c r="Y95" s="38">
        <v>44.5</v>
      </c>
      <c r="Z95" s="28" t="s">
        <v>544</v>
      </c>
      <c r="AA95" s="28" t="s">
        <v>216</v>
      </c>
      <c r="AB95" s="28" t="s">
        <v>12</v>
      </c>
      <c r="AC95" s="28">
        <v>7</v>
      </c>
      <c r="AD95" s="37"/>
      <c r="AG95" s="38"/>
      <c r="AL95" s="37"/>
      <c r="AO95" s="38"/>
      <c r="AP95" s="37"/>
      <c r="AS95" s="38"/>
      <c r="AW95" s="38"/>
      <c r="BA95" s="39"/>
    </row>
    <row r="96" spans="1:53" s="28" customFormat="1" x14ac:dyDescent="0.15">
      <c r="A96" s="28">
        <v>2002</v>
      </c>
      <c r="B96" s="293"/>
      <c r="C96" s="394" t="s">
        <v>543</v>
      </c>
      <c r="D96" s="394"/>
      <c r="E96" s="28">
        <v>294</v>
      </c>
      <c r="G96" s="65"/>
      <c r="I96" s="28">
        <v>15</v>
      </c>
      <c r="J96" s="72">
        <v>15</v>
      </c>
      <c r="K96" s="46">
        <f t="shared" si="10"/>
        <v>0</v>
      </c>
      <c r="L96" s="46">
        <f t="shared" si="11"/>
        <v>0</v>
      </c>
      <c r="M96" s="46">
        <f t="shared" si="12"/>
        <v>100</v>
      </c>
      <c r="N96" s="67">
        <f t="shared" si="8"/>
        <v>100</v>
      </c>
      <c r="O96" s="45"/>
      <c r="P96" s="46"/>
      <c r="Q96" s="46">
        <v>51.5</v>
      </c>
      <c r="R96" s="47">
        <f t="shared" si="9"/>
        <v>51.5</v>
      </c>
      <c r="S96" s="28">
        <v>2</v>
      </c>
      <c r="T96" s="284"/>
      <c r="U96" s="293"/>
      <c r="V96" s="37" t="s">
        <v>132</v>
      </c>
      <c r="W96" s="28" t="s">
        <v>20</v>
      </c>
      <c r="X96" s="28" t="s">
        <v>12</v>
      </c>
      <c r="Y96" s="38">
        <v>44.5</v>
      </c>
      <c r="Z96" s="28" t="s">
        <v>544</v>
      </c>
      <c r="AA96" s="28" t="s">
        <v>216</v>
      </c>
      <c r="AB96" s="28" t="s">
        <v>12</v>
      </c>
      <c r="AC96" s="28">
        <v>7</v>
      </c>
      <c r="AD96" s="37"/>
      <c r="AG96" s="38"/>
      <c r="AL96" s="37"/>
      <c r="AO96" s="38"/>
      <c r="AP96" s="37"/>
      <c r="AS96" s="38"/>
      <c r="AW96" s="38"/>
      <c r="BA96" s="39"/>
    </row>
    <row r="97" spans="1:53" s="170" customFormat="1" x14ac:dyDescent="0.15">
      <c r="A97" s="170">
        <v>2002</v>
      </c>
      <c r="B97" s="281">
        <v>37551</v>
      </c>
      <c r="C97" s="395" t="s">
        <v>545</v>
      </c>
      <c r="D97" s="395"/>
      <c r="E97" s="170">
        <f>365-E96</f>
        <v>71</v>
      </c>
      <c r="F97" s="170">
        <v>1</v>
      </c>
      <c r="G97" s="232"/>
      <c r="I97" s="170">
        <v>14</v>
      </c>
      <c r="J97" s="240">
        <v>14</v>
      </c>
      <c r="K97" s="213">
        <f t="shared" si="10"/>
        <v>0</v>
      </c>
      <c r="L97" s="213">
        <f t="shared" si="11"/>
        <v>0</v>
      </c>
      <c r="M97" s="213">
        <f t="shared" si="12"/>
        <v>100</v>
      </c>
      <c r="N97" s="234">
        <f t="shared" si="8"/>
        <v>100</v>
      </c>
      <c r="O97" s="212"/>
      <c r="P97" s="213"/>
      <c r="Q97" s="213">
        <v>50.7</v>
      </c>
      <c r="R97" s="214">
        <f t="shared" si="9"/>
        <v>50.7</v>
      </c>
      <c r="S97" s="170">
        <v>2</v>
      </c>
      <c r="T97" s="283">
        <v>37521</v>
      </c>
      <c r="U97" s="281">
        <v>37551</v>
      </c>
      <c r="V97" s="177" t="s">
        <v>132</v>
      </c>
      <c r="W97" s="170" t="s">
        <v>20</v>
      </c>
      <c r="X97" s="170" t="s">
        <v>12</v>
      </c>
      <c r="Y97" s="178">
        <v>41.6</v>
      </c>
      <c r="Z97" s="170" t="s">
        <v>544</v>
      </c>
      <c r="AA97" s="170" t="s">
        <v>216</v>
      </c>
      <c r="AB97" s="170" t="s">
        <v>12</v>
      </c>
      <c r="AC97" s="170">
        <v>9.1</v>
      </c>
      <c r="AD97" s="177"/>
      <c r="AG97" s="178"/>
      <c r="AL97" s="177"/>
      <c r="AO97" s="178"/>
      <c r="AP97" s="177"/>
      <c r="AS97" s="178"/>
      <c r="AW97" s="178"/>
      <c r="BA97" s="179"/>
    </row>
    <row r="98" spans="1:53" s="170" customFormat="1" x14ac:dyDescent="0.15">
      <c r="A98" s="170">
        <v>2003</v>
      </c>
      <c r="B98" s="281"/>
      <c r="C98" s="395" t="s">
        <v>545</v>
      </c>
      <c r="D98" s="395"/>
      <c r="E98" s="170">
        <v>0</v>
      </c>
      <c r="G98" s="232"/>
      <c r="I98" s="170">
        <v>14</v>
      </c>
      <c r="J98" s="240">
        <v>14</v>
      </c>
      <c r="K98" s="213">
        <f t="shared" si="10"/>
        <v>0</v>
      </c>
      <c r="L98" s="213">
        <f t="shared" si="11"/>
        <v>0</v>
      </c>
      <c r="M98" s="213">
        <f t="shared" si="12"/>
        <v>100</v>
      </c>
      <c r="N98" s="234">
        <f t="shared" si="8"/>
        <v>100</v>
      </c>
      <c r="O98" s="212"/>
      <c r="P98" s="213"/>
      <c r="Q98" s="213">
        <v>50.7</v>
      </c>
      <c r="R98" s="214">
        <f t="shared" si="9"/>
        <v>50.7</v>
      </c>
      <c r="S98" s="170">
        <v>2</v>
      </c>
      <c r="T98" s="283"/>
      <c r="U98" s="281"/>
      <c r="V98" s="177" t="s">
        <v>132</v>
      </c>
      <c r="W98" s="170" t="s">
        <v>20</v>
      </c>
      <c r="X98" s="170" t="s">
        <v>12</v>
      </c>
      <c r="Y98" s="178">
        <v>41.6</v>
      </c>
      <c r="Z98" s="170" t="s">
        <v>544</v>
      </c>
      <c r="AA98" s="170" t="s">
        <v>216</v>
      </c>
      <c r="AB98" s="170" t="s">
        <v>12</v>
      </c>
      <c r="AC98" s="170">
        <v>9.1</v>
      </c>
      <c r="AD98" s="177"/>
      <c r="AG98" s="178"/>
      <c r="AL98" s="177"/>
      <c r="AO98" s="178"/>
      <c r="AP98" s="177"/>
      <c r="AS98" s="178"/>
      <c r="AW98" s="178"/>
      <c r="BA98" s="179"/>
    </row>
    <row r="99" spans="1:53" s="170" customFormat="1" x14ac:dyDescent="0.15">
      <c r="A99" s="170">
        <v>2003</v>
      </c>
      <c r="B99" s="281"/>
      <c r="C99" s="395" t="s">
        <v>545</v>
      </c>
      <c r="D99" s="395"/>
      <c r="E99" s="170">
        <f>365-E98</f>
        <v>365</v>
      </c>
      <c r="G99" s="232"/>
      <c r="I99" s="170">
        <v>14</v>
      </c>
      <c r="J99" s="240">
        <v>14</v>
      </c>
      <c r="K99" s="213">
        <f t="shared" si="10"/>
        <v>0</v>
      </c>
      <c r="L99" s="213">
        <f t="shared" si="11"/>
        <v>0</v>
      </c>
      <c r="M99" s="213">
        <f t="shared" si="12"/>
        <v>100</v>
      </c>
      <c r="N99" s="234">
        <f t="shared" si="8"/>
        <v>100</v>
      </c>
      <c r="O99" s="212"/>
      <c r="P99" s="213"/>
      <c r="Q99" s="213">
        <v>50.7</v>
      </c>
      <c r="R99" s="214">
        <f t="shared" si="9"/>
        <v>50.7</v>
      </c>
      <c r="S99" s="170">
        <v>2</v>
      </c>
      <c r="T99" s="283"/>
      <c r="U99" s="281"/>
      <c r="V99" s="177" t="s">
        <v>132</v>
      </c>
      <c r="W99" s="170" t="s">
        <v>20</v>
      </c>
      <c r="X99" s="170" t="s">
        <v>12</v>
      </c>
      <c r="Y99" s="178">
        <v>41.6</v>
      </c>
      <c r="Z99" s="170" t="s">
        <v>544</v>
      </c>
      <c r="AA99" s="170" t="s">
        <v>216</v>
      </c>
      <c r="AB99" s="170" t="s">
        <v>12</v>
      </c>
      <c r="AC99" s="170">
        <v>9.1</v>
      </c>
      <c r="AD99" s="177"/>
      <c r="AG99" s="178"/>
      <c r="AL99" s="177"/>
      <c r="AO99" s="178"/>
      <c r="AP99" s="177"/>
      <c r="AS99" s="178"/>
      <c r="AW99" s="178"/>
      <c r="BA99" s="179"/>
    </row>
    <row r="100" spans="1:53" s="170" customFormat="1" x14ac:dyDescent="0.15">
      <c r="A100" s="170">
        <v>2004</v>
      </c>
      <c r="B100" s="281"/>
      <c r="C100" s="395" t="s">
        <v>545</v>
      </c>
      <c r="D100" s="395"/>
      <c r="E100" s="170">
        <v>0</v>
      </c>
      <c r="G100" s="232"/>
      <c r="I100" s="170">
        <v>14</v>
      </c>
      <c r="J100" s="240">
        <v>14</v>
      </c>
      <c r="K100" s="213">
        <f t="shared" si="10"/>
        <v>0</v>
      </c>
      <c r="L100" s="213">
        <f t="shared" si="11"/>
        <v>0</v>
      </c>
      <c r="M100" s="213">
        <f t="shared" si="12"/>
        <v>100</v>
      </c>
      <c r="N100" s="234">
        <f t="shared" si="8"/>
        <v>100</v>
      </c>
      <c r="O100" s="212"/>
      <c r="P100" s="213"/>
      <c r="Q100" s="213">
        <v>50.7</v>
      </c>
      <c r="R100" s="214">
        <f t="shared" si="9"/>
        <v>50.7</v>
      </c>
      <c r="S100" s="170">
        <v>2</v>
      </c>
      <c r="T100" s="283"/>
      <c r="U100" s="281"/>
      <c r="V100" s="177" t="s">
        <v>132</v>
      </c>
      <c r="W100" s="170" t="s">
        <v>20</v>
      </c>
      <c r="X100" s="170" t="s">
        <v>12</v>
      </c>
      <c r="Y100" s="178">
        <v>41.6</v>
      </c>
      <c r="Z100" s="170" t="s">
        <v>544</v>
      </c>
      <c r="AA100" s="170" t="s">
        <v>216</v>
      </c>
      <c r="AB100" s="170" t="s">
        <v>12</v>
      </c>
      <c r="AC100" s="170">
        <v>9.1</v>
      </c>
      <c r="AD100" s="177"/>
      <c r="AG100" s="178"/>
      <c r="AL100" s="177"/>
      <c r="AO100" s="178"/>
      <c r="AP100" s="177"/>
      <c r="AS100" s="178"/>
      <c r="AW100" s="178"/>
      <c r="BA100" s="179"/>
    </row>
    <row r="101" spans="1:53" s="170" customFormat="1" x14ac:dyDescent="0.15">
      <c r="A101" s="170">
        <v>2004</v>
      </c>
      <c r="B101" s="281"/>
      <c r="C101" s="395" t="s">
        <v>545</v>
      </c>
      <c r="D101" s="395"/>
      <c r="E101" s="170">
        <v>366</v>
      </c>
      <c r="G101" s="232"/>
      <c r="I101" s="170">
        <v>14</v>
      </c>
      <c r="J101" s="240">
        <v>14</v>
      </c>
      <c r="K101" s="213">
        <f t="shared" si="10"/>
        <v>0</v>
      </c>
      <c r="L101" s="213">
        <f t="shared" si="11"/>
        <v>0</v>
      </c>
      <c r="M101" s="213">
        <f t="shared" si="12"/>
        <v>100</v>
      </c>
      <c r="N101" s="234">
        <f t="shared" si="8"/>
        <v>100</v>
      </c>
      <c r="O101" s="212"/>
      <c r="P101" s="213"/>
      <c r="Q101" s="213">
        <v>50.7</v>
      </c>
      <c r="R101" s="214">
        <f t="shared" si="9"/>
        <v>50.7</v>
      </c>
      <c r="S101" s="170">
        <v>2</v>
      </c>
      <c r="T101" s="283"/>
      <c r="U101" s="281"/>
      <c r="V101" s="177" t="s">
        <v>132</v>
      </c>
      <c r="W101" s="170" t="s">
        <v>20</v>
      </c>
      <c r="X101" s="170" t="s">
        <v>12</v>
      </c>
      <c r="Y101" s="178">
        <v>41.6</v>
      </c>
      <c r="Z101" s="170" t="s">
        <v>544</v>
      </c>
      <c r="AA101" s="170" t="s">
        <v>216</v>
      </c>
      <c r="AB101" s="170" t="s">
        <v>12</v>
      </c>
      <c r="AC101" s="170">
        <v>9.1</v>
      </c>
      <c r="AD101" s="177"/>
      <c r="AG101" s="178"/>
      <c r="AL101" s="177"/>
      <c r="AO101" s="178"/>
      <c r="AP101" s="177"/>
      <c r="AS101" s="178"/>
      <c r="AW101" s="178"/>
      <c r="BA101" s="179"/>
    </row>
    <row r="102" spans="1:53" s="170" customFormat="1" x14ac:dyDescent="0.15">
      <c r="A102" s="170">
        <v>2005</v>
      </c>
      <c r="B102" s="281"/>
      <c r="C102" s="395" t="s">
        <v>545</v>
      </c>
      <c r="D102" s="395"/>
      <c r="E102" s="170">
        <v>325</v>
      </c>
      <c r="G102" s="232"/>
      <c r="I102" s="170">
        <v>14</v>
      </c>
      <c r="J102" s="240">
        <v>14</v>
      </c>
      <c r="K102" s="213">
        <f t="shared" ref="K102:K110" si="13">G102/J102*100</f>
        <v>0</v>
      </c>
      <c r="L102" s="213">
        <f t="shared" ref="L102:L110" si="14">H102/J102*100</f>
        <v>0</v>
      </c>
      <c r="M102" s="213">
        <f t="shared" ref="M102:M110" si="15">I102/J102*100</f>
        <v>100</v>
      </c>
      <c r="N102" s="234">
        <f t="shared" si="8"/>
        <v>100</v>
      </c>
      <c r="O102" s="212"/>
      <c r="P102" s="213"/>
      <c r="Q102" s="213">
        <v>50.7</v>
      </c>
      <c r="R102" s="214">
        <f t="shared" si="9"/>
        <v>50.7</v>
      </c>
      <c r="S102" s="170">
        <v>2</v>
      </c>
      <c r="T102" s="283"/>
      <c r="U102" s="281"/>
      <c r="V102" s="177" t="s">
        <v>132</v>
      </c>
      <c r="W102" s="170" t="s">
        <v>20</v>
      </c>
      <c r="X102" s="170" t="s">
        <v>12</v>
      </c>
      <c r="Y102" s="178">
        <v>41.6</v>
      </c>
      <c r="Z102" s="170" t="s">
        <v>544</v>
      </c>
      <c r="AA102" s="170" t="s">
        <v>216</v>
      </c>
      <c r="AB102" s="170" t="s">
        <v>12</v>
      </c>
      <c r="AC102" s="170">
        <v>9.1</v>
      </c>
      <c r="AD102" s="177"/>
      <c r="AG102" s="178"/>
      <c r="AL102" s="177"/>
      <c r="AO102" s="178"/>
      <c r="AP102" s="177"/>
      <c r="AS102" s="178"/>
      <c r="AW102" s="178"/>
      <c r="BA102" s="179"/>
    </row>
    <row r="103" spans="1:53" s="28" customFormat="1" x14ac:dyDescent="0.15">
      <c r="A103" s="28">
        <v>2005</v>
      </c>
      <c r="B103" s="293">
        <v>38678</v>
      </c>
      <c r="C103" s="394" t="s">
        <v>546</v>
      </c>
      <c r="D103" s="394"/>
      <c r="E103" s="28">
        <v>40</v>
      </c>
      <c r="F103" s="28">
        <v>1</v>
      </c>
      <c r="G103" s="65"/>
      <c r="H103" s="28">
        <v>8</v>
      </c>
      <c r="I103" s="28">
        <v>8</v>
      </c>
      <c r="J103" s="72">
        <v>16</v>
      </c>
      <c r="K103" s="46">
        <f t="shared" si="13"/>
        <v>0</v>
      </c>
      <c r="L103" s="46">
        <f t="shared" si="14"/>
        <v>50</v>
      </c>
      <c r="M103" s="46">
        <f t="shared" si="15"/>
        <v>50</v>
      </c>
      <c r="N103" s="67">
        <f t="shared" si="8"/>
        <v>100</v>
      </c>
      <c r="O103" s="45"/>
      <c r="P103" s="46">
        <v>36.799999999999997</v>
      </c>
      <c r="Q103" s="46">
        <v>36.200000000000003</v>
      </c>
      <c r="R103" s="47">
        <f t="shared" si="9"/>
        <v>73</v>
      </c>
      <c r="S103" s="28">
        <v>2</v>
      </c>
      <c r="T103" s="284">
        <v>38613</v>
      </c>
      <c r="U103" s="293">
        <v>38678</v>
      </c>
      <c r="V103" s="37" t="s">
        <v>128</v>
      </c>
      <c r="W103" s="28" t="s">
        <v>17</v>
      </c>
      <c r="X103" s="28" t="s">
        <v>18</v>
      </c>
      <c r="Y103" s="38">
        <v>29.3</v>
      </c>
      <c r="Z103" s="28" t="s">
        <v>129</v>
      </c>
      <c r="AA103" s="28" t="s">
        <v>81</v>
      </c>
      <c r="AB103" s="28" t="s">
        <v>18</v>
      </c>
      <c r="AC103" s="28">
        <v>7.5</v>
      </c>
      <c r="AD103" s="37" t="s">
        <v>132</v>
      </c>
      <c r="AE103" s="28" t="s">
        <v>20</v>
      </c>
      <c r="AF103" s="28" t="s">
        <v>12</v>
      </c>
      <c r="AG103" s="38">
        <v>36.200000000000003</v>
      </c>
      <c r="AL103" s="37"/>
      <c r="AO103" s="38"/>
      <c r="AP103" s="37"/>
      <c r="AS103" s="38"/>
      <c r="AW103" s="38"/>
      <c r="BA103" s="39"/>
    </row>
    <row r="104" spans="1:53" s="28" customFormat="1" x14ac:dyDescent="0.15">
      <c r="A104" s="28">
        <v>2006</v>
      </c>
      <c r="B104" s="293"/>
      <c r="C104" s="394" t="s">
        <v>546</v>
      </c>
      <c r="D104" s="394"/>
      <c r="E104" s="28">
        <v>0</v>
      </c>
      <c r="G104" s="65"/>
      <c r="H104" s="28">
        <v>8</v>
      </c>
      <c r="I104" s="28">
        <v>8</v>
      </c>
      <c r="J104" s="72">
        <v>16</v>
      </c>
      <c r="K104" s="46">
        <f t="shared" si="13"/>
        <v>0</v>
      </c>
      <c r="L104" s="46">
        <f t="shared" si="14"/>
        <v>50</v>
      </c>
      <c r="M104" s="46">
        <f t="shared" si="15"/>
        <v>50</v>
      </c>
      <c r="N104" s="67">
        <f t="shared" si="8"/>
        <v>100</v>
      </c>
      <c r="O104" s="45"/>
      <c r="P104" s="46">
        <v>36.799999999999997</v>
      </c>
      <c r="Q104" s="46">
        <v>36.200000000000003</v>
      </c>
      <c r="R104" s="47">
        <f t="shared" si="9"/>
        <v>73</v>
      </c>
      <c r="S104" s="28">
        <v>2</v>
      </c>
      <c r="T104" s="284"/>
      <c r="U104" s="293"/>
      <c r="V104" s="37" t="s">
        <v>128</v>
      </c>
      <c r="W104" s="28" t="s">
        <v>17</v>
      </c>
      <c r="X104" s="28" t="s">
        <v>18</v>
      </c>
      <c r="Y104" s="38">
        <v>29.3</v>
      </c>
      <c r="Z104" s="28" t="s">
        <v>129</v>
      </c>
      <c r="AA104" s="28" t="s">
        <v>81</v>
      </c>
      <c r="AB104" s="28" t="s">
        <v>18</v>
      </c>
      <c r="AC104" s="28">
        <v>7.5</v>
      </c>
      <c r="AD104" s="37" t="s">
        <v>132</v>
      </c>
      <c r="AE104" s="28" t="s">
        <v>20</v>
      </c>
      <c r="AF104" s="28" t="s">
        <v>12</v>
      </c>
      <c r="AG104" s="38">
        <v>36.200000000000003</v>
      </c>
      <c r="AL104" s="37"/>
      <c r="AO104" s="38"/>
      <c r="AP104" s="37"/>
      <c r="AS104" s="38"/>
      <c r="AW104" s="38"/>
      <c r="BA104" s="39"/>
    </row>
    <row r="105" spans="1:53" s="28" customFormat="1" x14ac:dyDescent="0.15">
      <c r="A105" s="28">
        <v>2006</v>
      </c>
      <c r="B105" s="293"/>
      <c r="C105" s="394" t="s">
        <v>546</v>
      </c>
      <c r="D105" s="394"/>
      <c r="E105" s="28">
        <v>365</v>
      </c>
      <c r="G105" s="65"/>
      <c r="H105" s="28">
        <v>8</v>
      </c>
      <c r="I105" s="28">
        <v>8</v>
      </c>
      <c r="J105" s="72">
        <v>16</v>
      </c>
      <c r="K105" s="46">
        <f t="shared" si="13"/>
        <v>0</v>
      </c>
      <c r="L105" s="46">
        <f t="shared" si="14"/>
        <v>50</v>
      </c>
      <c r="M105" s="46">
        <f t="shared" si="15"/>
        <v>50</v>
      </c>
      <c r="N105" s="67">
        <f t="shared" si="8"/>
        <v>100</v>
      </c>
      <c r="O105" s="45"/>
      <c r="P105" s="46">
        <v>36.799999999999997</v>
      </c>
      <c r="Q105" s="46">
        <v>36.200000000000003</v>
      </c>
      <c r="R105" s="47">
        <f t="shared" si="9"/>
        <v>73</v>
      </c>
      <c r="S105" s="28">
        <v>2</v>
      </c>
      <c r="T105" s="284"/>
      <c r="U105" s="293"/>
      <c r="V105" s="37" t="s">
        <v>128</v>
      </c>
      <c r="W105" s="28" t="s">
        <v>17</v>
      </c>
      <c r="X105" s="28" t="s">
        <v>18</v>
      </c>
      <c r="Y105" s="38">
        <v>29.3</v>
      </c>
      <c r="Z105" s="28" t="s">
        <v>129</v>
      </c>
      <c r="AA105" s="28" t="s">
        <v>81</v>
      </c>
      <c r="AB105" s="28" t="s">
        <v>18</v>
      </c>
      <c r="AC105" s="28">
        <v>7.5</v>
      </c>
      <c r="AD105" s="37" t="s">
        <v>132</v>
      </c>
      <c r="AE105" s="28" t="s">
        <v>20</v>
      </c>
      <c r="AF105" s="28" t="s">
        <v>12</v>
      </c>
      <c r="AG105" s="38">
        <v>36.200000000000003</v>
      </c>
      <c r="AL105" s="37"/>
      <c r="AO105" s="38"/>
      <c r="AP105" s="37"/>
      <c r="AS105" s="38"/>
      <c r="AW105" s="38"/>
      <c r="BA105" s="39"/>
    </row>
    <row r="106" spans="1:53" s="28" customFormat="1" x14ac:dyDescent="0.15">
      <c r="A106" s="28">
        <v>2007</v>
      </c>
      <c r="B106" s="293"/>
      <c r="C106" s="394" t="s">
        <v>546</v>
      </c>
      <c r="D106" s="394"/>
      <c r="E106" s="28">
        <v>0</v>
      </c>
      <c r="G106" s="65"/>
      <c r="H106" s="28">
        <v>8</v>
      </c>
      <c r="I106" s="28">
        <v>8</v>
      </c>
      <c r="J106" s="72">
        <v>16</v>
      </c>
      <c r="K106" s="46">
        <f t="shared" si="13"/>
        <v>0</v>
      </c>
      <c r="L106" s="46">
        <f t="shared" si="14"/>
        <v>50</v>
      </c>
      <c r="M106" s="46">
        <f t="shared" si="15"/>
        <v>50</v>
      </c>
      <c r="N106" s="67">
        <f t="shared" si="8"/>
        <v>100</v>
      </c>
      <c r="O106" s="45"/>
      <c r="P106" s="46">
        <v>36.799999999999997</v>
      </c>
      <c r="Q106" s="46">
        <v>36.200000000000003</v>
      </c>
      <c r="R106" s="47">
        <f t="shared" si="9"/>
        <v>73</v>
      </c>
      <c r="S106" s="28">
        <v>2</v>
      </c>
      <c r="T106" s="284"/>
      <c r="U106" s="293"/>
      <c r="V106" s="37" t="s">
        <v>128</v>
      </c>
      <c r="W106" s="28" t="s">
        <v>17</v>
      </c>
      <c r="X106" s="28" t="s">
        <v>18</v>
      </c>
      <c r="Y106" s="38">
        <v>29.3</v>
      </c>
      <c r="Z106" s="28" t="s">
        <v>129</v>
      </c>
      <c r="AA106" s="28" t="s">
        <v>81</v>
      </c>
      <c r="AB106" s="28" t="s">
        <v>18</v>
      </c>
      <c r="AC106" s="28">
        <v>7.5</v>
      </c>
      <c r="AD106" s="37" t="s">
        <v>132</v>
      </c>
      <c r="AE106" s="28" t="s">
        <v>20</v>
      </c>
      <c r="AF106" s="28" t="s">
        <v>12</v>
      </c>
      <c r="AG106" s="38">
        <v>36.200000000000003</v>
      </c>
      <c r="AL106" s="37"/>
      <c r="AO106" s="38"/>
      <c r="AP106" s="37"/>
      <c r="AS106" s="38"/>
      <c r="AW106" s="38"/>
      <c r="BA106" s="39"/>
    </row>
    <row r="107" spans="1:53" s="28" customFormat="1" x14ac:dyDescent="0.15">
      <c r="A107" s="28">
        <v>2007</v>
      </c>
      <c r="B107" s="293"/>
      <c r="C107" s="394" t="s">
        <v>546</v>
      </c>
      <c r="D107" s="394"/>
      <c r="E107" s="28">
        <v>365</v>
      </c>
      <c r="G107" s="65"/>
      <c r="H107" s="28">
        <v>8</v>
      </c>
      <c r="I107" s="28">
        <v>8</v>
      </c>
      <c r="J107" s="72">
        <v>16</v>
      </c>
      <c r="K107" s="46">
        <f t="shared" si="13"/>
        <v>0</v>
      </c>
      <c r="L107" s="46">
        <f t="shared" si="14"/>
        <v>50</v>
      </c>
      <c r="M107" s="46">
        <f t="shared" si="15"/>
        <v>50</v>
      </c>
      <c r="N107" s="67">
        <f t="shared" si="8"/>
        <v>100</v>
      </c>
      <c r="O107" s="45"/>
      <c r="P107" s="46">
        <v>36.799999999999997</v>
      </c>
      <c r="Q107" s="46">
        <v>36.200000000000003</v>
      </c>
      <c r="R107" s="47">
        <f t="shared" si="9"/>
        <v>73</v>
      </c>
      <c r="S107" s="28">
        <v>2</v>
      </c>
      <c r="T107" s="284"/>
      <c r="U107" s="293"/>
      <c r="V107" s="37" t="s">
        <v>128</v>
      </c>
      <c r="W107" s="28" t="s">
        <v>17</v>
      </c>
      <c r="X107" s="28" t="s">
        <v>18</v>
      </c>
      <c r="Y107" s="38">
        <v>29.3</v>
      </c>
      <c r="Z107" s="28" t="s">
        <v>129</v>
      </c>
      <c r="AA107" s="28" t="s">
        <v>81</v>
      </c>
      <c r="AB107" s="28" t="s">
        <v>18</v>
      </c>
      <c r="AC107" s="28">
        <v>7.5</v>
      </c>
      <c r="AD107" s="37" t="s">
        <v>132</v>
      </c>
      <c r="AE107" s="28" t="s">
        <v>20</v>
      </c>
      <c r="AF107" s="28" t="s">
        <v>12</v>
      </c>
      <c r="AG107" s="38">
        <v>36.200000000000003</v>
      </c>
      <c r="AL107" s="37"/>
      <c r="AO107" s="38"/>
      <c r="AP107" s="37"/>
      <c r="AS107" s="38"/>
      <c r="AW107" s="38"/>
      <c r="BA107" s="39"/>
    </row>
    <row r="108" spans="1:53" s="28" customFormat="1" x14ac:dyDescent="0.15">
      <c r="A108" s="28">
        <v>2008</v>
      </c>
      <c r="B108" s="293"/>
      <c r="C108" s="394" t="s">
        <v>546</v>
      </c>
      <c r="D108" s="394"/>
      <c r="E108" s="28">
        <v>0</v>
      </c>
      <c r="G108" s="65"/>
      <c r="H108" s="28">
        <v>8</v>
      </c>
      <c r="I108" s="28">
        <v>8</v>
      </c>
      <c r="J108" s="72">
        <v>16</v>
      </c>
      <c r="K108" s="46">
        <f t="shared" si="13"/>
        <v>0</v>
      </c>
      <c r="L108" s="46">
        <f t="shared" si="14"/>
        <v>50</v>
      </c>
      <c r="M108" s="46">
        <f t="shared" si="15"/>
        <v>50</v>
      </c>
      <c r="N108" s="67">
        <f t="shared" si="8"/>
        <v>100</v>
      </c>
      <c r="O108" s="45"/>
      <c r="P108" s="46">
        <v>36.799999999999997</v>
      </c>
      <c r="Q108" s="46">
        <v>36.200000000000003</v>
      </c>
      <c r="R108" s="47">
        <f t="shared" si="9"/>
        <v>73</v>
      </c>
      <c r="S108" s="28">
        <v>2</v>
      </c>
      <c r="T108" s="284"/>
      <c r="U108" s="293"/>
      <c r="V108" s="37" t="s">
        <v>128</v>
      </c>
      <c r="W108" s="28" t="s">
        <v>17</v>
      </c>
      <c r="X108" s="28" t="s">
        <v>18</v>
      </c>
      <c r="Y108" s="38">
        <v>29.3</v>
      </c>
      <c r="Z108" s="28" t="s">
        <v>129</v>
      </c>
      <c r="AA108" s="28" t="s">
        <v>81</v>
      </c>
      <c r="AB108" s="28" t="s">
        <v>18</v>
      </c>
      <c r="AC108" s="28">
        <v>7.5</v>
      </c>
      <c r="AD108" s="37" t="s">
        <v>132</v>
      </c>
      <c r="AE108" s="28" t="s">
        <v>20</v>
      </c>
      <c r="AF108" s="28" t="s">
        <v>12</v>
      </c>
      <c r="AG108" s="38">
        <v>36.200000000000003</v>
      </c>
      <c r="AL108" s="37"/>
      <c r="AO108" s="38"/>
      <c r="AP108" s="37"/>
      <c r="AS108" s="38"/>
      <c r="AW108" s="38"/>
      <c r="BA108" s="39"/>
    </row>
    <row r="109" spans="1:53" s="28" customFormat="1" x14ac:dyDescent="0.15">
      <c r="A109" s="28">
        <v>2008</v>
      </c>
      <c r="B109" s="293"/>
      <c r="C109" s="394" t="s">
        <v>546</v>
      </c>
      <c r="D109" s="394"/>
      <c r="E109" s="28">
        <v>366</v>
      </c>
      <c r="G109" s="65"/>
      <c r="H109" s="28">
        <v>8</v>
      </c>
      <c r="I109" s="28">
        <v>8</v>
      </c>
      <c r="J109" s="72">
        <v>16</v>
      </c>
      <c r="K109" s="46">
        <f t="shared" si="13"/>
        <v>0</v>
      </c>
      <c r="L109" s="46">
        <f t="shared" si="14"/>
        <v>50</v>
      </c>
      <c r="M109" s="46">
        <f t="shared" si="15"/>
        <v>50</v>
      </c>
      <c r="N109" s="67">
        <f t="shared" si="8"/>
        <v>100</v>
      </c>
      <c r="O109" s="45"/>
      <c r="P109" s="46">
        <v>36.799999999999997</v>
      </c>
      <c r="Q109" s="46">
        <v>36.200000000000003</v>
      </c>
      <c r="R109" s="47">
        <f t="shared" si="9"/>
        <v>73</v>
      </c>
      <c r="S109" s="28">
        <v>2</v>
      </c>
      <c r="T109" s="284"/>
      <c r="U109" s="293"/>
      <c r="V109" s="37" t="s">
        <v>128</v>
      </c>
      <c r="W109" s="28" t="s">
        <v>17</v>
      </c>
      <c r="X109" s="28" t="s">
        <v>18</v>
      </c>
      <c r="Y109" s="38">
        <v>29.3</v>
      </c>
      <c r="Z109" s="28" t="s">
        <v>129</v>
      </c>
      <c r="AA109" s="28" t="s">
        <v>81</v>
      </c>
      <c r="AB109" s="28" t="s">
        <v>18</v>
      </c>
      <c r="AC109" s="28">
        <v>7.5</v>
      </c>
      <c r="AD109" s="37" t="s">
        <v>132</v>
      </c>
      <c r="AE109" s="28" t="s">
        <v>20</v>
      </c>
      <c r="AF109" s="28" t="s">
        <v>12</v>
      </c>
      <c r="AG109" s="38">
        <v>36.200000000000003</v>
      </c>
      <c r="AL109" s="37"/>
      <c r="AO109" s="38"/>
      <c r="AP109" s="37"/>
      <c r="AS109" s="38"/>
      <c r="AW109" s="38"/>
      <c r="BA109" s="39"/>
    </row>
    <row r="110" spans="1:53" s="28" customFormat="1" x14ac:dyDescent="0.15">
      <c r="A110" s="28">
        <v>2009</v>
      </c>
      <c r="B110" s="293"/>
      <c r="C110" s="394" t="s">
        <v>546</v>
      </c>
      <c r="D110" s="394"/>
      <c r="E110" s="28">
        <v>300</v>
      </c>
      <c r="G110" s="65"/>
      <c r="H110" s="28">
        <v>8</v>
      </c>
      <c r="I110" s="28">
        <v>8</v>
      </c>
      <c r="J110" s="72">
        <v>16</v>
      </c>
      <c r="K110" s="46">
        <f t="shared" si="13"/>
        <v>0</v>
      </c>
      <c r="L110" s="46">
        <f t="shared" si="14"/>
        <v>50</v>
      </c>
      <c r="M110" s="46">
        <f t="shared" si="15"/>
        <v>50</v>
      </c>
      <c r="N110" s="67">
        <f t="shared" si="8"/>
        <v>100</v>
      </c>
      <c r="O110" s="45"/>
      <c r="P110" s="46">
        <v>36.799999999999997</v>
      </c>
      <c r="Q110" s="46">
        <v>36.200000000000003</v>
      </c>
      <c r="R110" s="47">
        <f t="shared" si="9"/>
        <v>73</v>
      </c>
      <c r="S110" s="28">
        <v>2</v>
      </c>
      <c r="T110" s="284"/>
      <c r="U110" s="293"/>
      <c r="V110" s="37" t="s">
        <v>128</v>
      </c>
      <c r="W110" s="28" t="s">
        <v>17</v>
      </c>
      <c r="X110" s="28" t="s">
        <v>18</v>
      </c>
      <c r="Y110" s="38">
        <v>29.3</v>
      </c>
      <c r="Z110" s="28" t="s">
        <v>129</v>
      </c>
      <c r="AA110" s="28" t="s">
        <v>81</v>
      </c>
      <c r="AB110" s="28" t="s">
        <v>18</v>
      </c>
      <c r="AC110" s="28">
        <v>7.5</v>
      </c>
      <c r="AD110" s="37" t="s">
        <v>132</v>
      </c>
      <c r="AE110" s="28" t="s">
        <v>20</v>
      </c>
      <c r="AF110" s="28" t="s">
        <v>12</v>
      </c>
      <c r="AG110" s="38">
        <v>36.200000000000003</v>
      </c>
      <c r="AL110" s="37"/>
      <c r="AO110" s="38"/>
      <c r="AP110" s="37"/>
      <c r="AS110" s="38"/>
      <c r="AW110" s="38"/>
      <c r="BA110" s="39"/>
    </row>
    <row r="111" spans="1:53" s="170" customFormat="1" x14ac:dyDescent="0.15">
      <c r="A111" s="170">
        <v>2009</v>
      </c>
      <c r="B111" s="281">
        <v>40114</v>
      </c>
      <c r="C111" s="395" t="s">
        <v>547</v>
      </c>
      <c r="D111" s="395"/>
      <c r="E111" s="170">
        <v>65</v>
      </c>
      <c r="F111" s="170">
        <v>1</v>
      </c>
      <c r="G111" s="232">
        <v>5</v>
      </c>
      <c r="H111" s="170">
        <v>11</v>
      </c>
      <c r="J111" s="240">
        <v>16</v>
      </c>
      <c r="K111" s="213">
        <f t="shared" ref="K111:K118" si="16">G111/J111*100</f>
        <v>31.25</v>
      </c>
      <c r="L111" s="213">
        <f t="shared" ref="L111:L119" si="17">H111/J111*100</f>
        <v>68.75</v>
      </c>
      <c r="M111" s="213">
        <f t="shared" ref="M111:M119" si="18">I111/J111*100</f>
        <v>0</v>
      </c>
      <c r="N111" s="234">
        <f t="shared" si="8"/>
        <v>100</v>
      </c>
      <c r="O111" s="212">
        <v>15</v>
      </c>
      <c r="P111" s="213">
        <v>38.4</v>
      </c>
      <c r="Q111" s="213"/>
      <c r="R111" s="214">
        <f t="shared" si="9"/>
        <v>53.4</v>
      </c>
      <c r="S111" s="170">
        <v>2</v>
      </c>
      <c r="T111" s="283">
        <v>40083</v>
      </c>
      <c r="U111" s="281">
        <v>40114</v>
      </c>
      <c r="V111" s="177" t="s">
        <v>128</v>
      </c>
      <c r="W111" s="170" t="s">
        <v>17</v>
      </c>
      <c r="X111" s="170" t="s">
        <v>18</v>
      </c>
      <c r="Y111" s="178">
        <v>31.2</v>
      </c>
      <c r="Z111" s="170" t="s">
        <v>129</v>
      </c>
      <c r="AA111" s="170" t="s">
        <v>81</v>
      </c>
      <c r="AB111" s="170" t="s">
        <v>18</v>
      </c>
      <c r="AC111" s="170">
        <v>7.2</v>
      </c>
      <c r="AD111" s="177" t="s">
        <v>131</v>
      </c>
      <c r="AE111" s="170" t="s">
        <v>22</v>
      </c>
      <c r="AF111" s="170" t="s">
        <v>11</v>
      </c>
      <c r="AG111" s="178">
        <v>15</v>
      </c>
      <c r="AL111" s="177"/>
      <c r="AO111" s="178"/>
      <c r="AP111" s="177"/>
      <c r="AS111" s="178"/>
      <c r="AW111" s="178"/>
      <c r="BA111" s="179"/>
    </row>
    <row r="112" spans="1:53" s="170" customFormat="1" x14ac:dyDescent="0.15">
      <c r="A112" s="170">
        <v>2010</v>
      </c>
      <c r="B112" s="281"/>
      <c r="C112" s="395" t="s">
        <v>547</v>
      </c>
      <c r="D112" s="395"/>
      <c r="E112" s="170">
        <v>0</v>
      </c>
      <c r="G112" s="232">
        <v>5</v>
      </c>
      <c r="H112" s="170">
        <v>11</v>
      </c>
      <c r="J112" s="240">
        <v>16</v>
      </c>
      <c r="K112" s="213">
        <f t="shared" si="16"/>
        <v>31.25</v>
      </c>
      <c r="L112" s="213">
        <f t="shared" si="17"/>
        <v>68.75</v>
      </c>
      <c r="M112" s="213">
        <f t="shared" si="18"/>
        <v>0</v>
      </c>
      <c r="N112" s="234">
        <f t="shared" si="8"/>
        <v>100</v>
      </c>
      <c r="O112" s="212">
        <v>15</v>
      </c>
      <c r="P112" s="213">
        <v>38.4</v>
      </c>
      <c r="Q112" s="213"/>
      <c r="R112" s="214">
        <f t="shared" si="9"/>
        <v>53.4</v>
      </c>
      <c r="S112" s="170">
        <v>2</v>
      </c>
      <c r="T112" s="283"/>
      <c r="U112" s="281"/>
      <c r="V112" s="177" t="s">
        <v>128</v>
      </c>
      <c r="W112" s="170" t="s">
        <v>17</v>
      </c>
      <c r="X112" s="170" t="s">
        <v>18</v>
      </c>
      <c r="Y112" s="178">
        <v>31.2</v>
      </c>
      <c r="Z112" s="170" t="s">
        <v>129</v>
      </c>
      <c r="AA112" s="170" t="s">
        <v>81</v>
      </c>
      <c r="AB112" s="170" t="s">
        <v>18</v>
      </c>
      <c r="AC112" s="170">
        <v>7.2</v>
      </c>
      <c r="AD112" s="177" t="s">
        <v>131</v>
      </c>
      <c r="AE112" s="170" t="s">
        <v>22</v>
      </c>
      <c r="AF112" s="170" t="s">
        <v>11</v>
      </c>
      <c r="AG112" s="178">
        <v>15</v>
      </c>
      <c r="AL112" s="177"/>
      <c r="AO112" s="178"/>
      <c r="AP112" s="177"/>
      <c r="AS112" s="178"/>
      <c r="AW112" s="178"/>
      <c r="BA112" s="179"/>
    </row>
    <row r="113" spans="1:53" s="170" customFormat="1" x14ac:dyDescent="0.15">
      <c r="A113" s="170">
        <v>2010</v>
      </c>
      <c r="B113" s="281"/>
      <c r="C113" s="395" t="s">
        <v>547</v>
      </c>
      <c r="D113" s="395"/>
      <c r="E113" s="170">
        <v>365</v>
      </c>
      <c r="G113" s="232">
        <v>5</v>
      </c>
      <c r="H113" s="170">
        <v>11</v>
      </c>
      <c r="J113" s="240">
        <v>16</v>
      </c>
      <c r="K113" s="213">
        <f t="shared" si="16"/>
        <v>31.25</v>
      </c>
      <c r="L113" s="213">
        <f t="shared" si="17"/>
        <v>68.75</v>
      </c>
      <c r="M113" s="213">
        <f t="shared" si="18"/>
        <v>0</v>
      </c>
      <c r="N113" s="234">
        <f t="shared" si="8"/>
        <v>100</v>
      </c>
      <c r="O113" s="212">
        <v>15</v>
      </c>
      <c r="P113" s="213">
        <v>38.4</v>
      </c>
      <c r="Q113" s="213"/>
      <c r="R113" s="214">
        <f t="shared" si="9"/>
        <v>53.4</v>
      </c>
      <c r="S113" s="170">
        <v>2</v>
      </c>
      <c r="T113" s="283"/>
      <c r="U113" s="281"/>
      <c r="V113" s="177" t="s">
        <v>128</v>
      </c>
      <c r="W113" s="170" t="s">
        <v>17</v>
      </c>
      <c r="X113" s="170" t="s">
        <v>18</v>
      </c>
      <c r="Y113" s="178">
        <v>31.2</v>
      </c>
      <c r="Z113" s="170" t="s">
        <v>129</v>
      </c>
      <c r="AA113" s="170" t="s">
        <v>81</v>
      </c>
      <c r="AB113" s="170" t="s">
        <v>18</v>
      </c>
      <c r="AC113" s="170">
        <v>7.2</v>
      </c>
      <c r="AD113" s="177" t="s">
        <v>131</v>
      </c>
      <c r="AE113" s="170" t="s">
        <v>22</v>
      </c>
      <c r="AF113" s="170" t="s">
        <v>11</v>
      </c>
      <c r="AG113" s="178">
        <v>15</v>
      </c>
      <c r="AL113" s="177"/>
      <c r="AO113" s="178"/>
      <c r="AP113" s="177"/>
      <c r="AS113" s="178"/>
      <c r="AW113" s="178"/>
      <c r="BA113" s="179"/>
    </row>
    <row r="114" spans="1:53" s="170" customFormat="1" x14ac:dyDescent="0.15">
      <c r="A114" s="170">
        <v>2011</v>
      </c>
      <c r="B114" s="281"/>
      <c r="C114" s="395" t="s">
        <v>547</v>
      </c>
      <c r="D114" s="395"/>
      <c r="E114" s="170">
        <v>0</v>
      </c>
      <c r="G114" s="232">
        <v>5</v>
      </c>
      <c r="H114" s="170">
        <v>11</v>
      </c>
      <c r="J114" s="240">
        <v>16</v>
      </c>
      <c r="K114" s="213">
        <f t="shared" si="16"/>
        <v>31.25</v>
      </c>
      <c r="L114" s="213">
        <f t="shared" si="17"/>
        <v>68.75</v>
      </c>
      <c r="M114" s="213">
        <f t="shared" si="18"/>
        <v>0</v>
      </c>
      <c r="N114" s="234">
        <f t="shared" si="8"/>
        <v>100</v>
      </c>
      <c r="O114" s="212">
        <v>15</v>
      </c>
      <c r="P114" s="213">
        <v>38.4</v>
      </c>
      <c r="Q114" s="213"/>
      <c r="R114" s="214">
        <f t="shared" si="9"/>
        <v>53.4</v>
      </c>
      <c r="S114" s="170">
        <v>2</v>
      </c>
      <c r="T114" s="283"/>
      <c r="U114" s="281"/>
      <c r="V114" s="177" t="s">
        <v>128</v>
      </c>
      <c r="W114" s="170" t="s">
        <v>17</v>
      </c>
      <c r="X114" s="170" t="s">
        <v>18</v>
      </c>
      <c r="Y114" s="178">
        <v>31.2</v>
      </c>
      <c r="Z114" s="170" t="s">
        <v>129</v>
      </c>
      <c r="AA114" s="170" t="s">
        <v>81</v>
      </c>
      <c r="AB114" s="170" t="s">
        <v>18</v>
      </c>
      <c r="AC114" s="170">
        <v>7.2</v>
      </c>
      <c r="AD114" s="177" t="s">
        <v>131</v>
      </c>
      <c r="AE114" s="170" t="s">
        <v>22</v>
      </c>
      <c r="AF114" s="170" t="s">
        <v>11</v>
      </c>
      <c r="AG114" s="178">
        <v>15</v>
      </c>
      <c r="AL114" s="177"/>
      <c r="AO114" s="178"/>
      <c r="AP114" s="177"/>
      <c r="AS114" s="178"/>
      <c r="AW114" s="178"/>
      <c r="BA114" s="179"/>
    </row>
    <row r="115" spans="1:53" s="170" customFormat="1" x14ac:dyDescent="0.15">
      <c r="A115" s="170">
        <v>2011</v>
      </c>
      <c r="B115" s="281"/>
      <c r="C115" s="395" t="s">
        <v>547</v>
      </c>
      <c r="D115" s="395"/>
      <c r="E115" s="170">
        <v>365</v>
      </c>
      <c r="G115" s="232">
        <v>5</v>
      </c>
      <c r="H115" s="170">
        <v>11</v>
      </c>
      <c r="J115" s="240">
        <v>16</v>
      </c>
      <c r="K115" s="213">
        <f t="shared" si="16"/>
        <v>31.25</v>
      </c>
      <c r="L115" s="213">
        <f t="shared" si="17"/>
        <v>68.75</v>
      </c>
      <c r="M115" s="213">
        <f t="shared" si="18"/>
        <v>0</v>
      </c>
      <c r="N115" s="234">
        <f t="shared" si="8"/>
        <v>100</v>
      </c>
      <c r="O115" s="212">
        <v>15</v>
      </c>
      <c r="P115" s="213">
        <v>38.4</v>
      </c>
      <c r="Q115" s="213"/>
      <c r="R115" s="214">
        <f t="shared" si="9"/>
        <v>53.4</v>
      </c>
      <c r="S115" s="170">
        <v>2</v>
      </c>
      <c r="T115" s="283"/>
      <c r="U115" s="281"/>
      <c r="V115" s="177" t="s">
        <v>128</v>
      </c>
      <c r="W115" s="170" t="s">
        <v>17</v>
      </c>
      <c r="X115" s="170" t="s">
        <v>18</v>
      </c>
      <c r="Y115" s="178">
        <v>31.2</v>
      </c>
      <c r="Z115" s="170" t="s">
        <v>129</v>
      </c>
      <c r="AA115" s="170" t="s">
        <v>81</v>
      </c>
      <c r="AB115" s="170" t="s">
        <v>18</v>
      </c>
      <c r="AC115" s="170">
        <v>7.2</v>
      </c>
      <c r="AD115" s="177" t="s">
        <v>131</v>
      </c>
      <c r="AE115" s="170" t="s">
        <v>22</v>
      </c>
      <c r="AF115" s="170" t="s">
        <v>11</v>
      </c>
      <c r="AG115" s="178">
        <v>15</v>
      </c>
      <c r="AL115" s="177"/>
      <c r="AO115" s="178"/>
      <c r="AP115" s="177"/>
      <c r="AS115" s="178"/>
      <c r="AW115" s="178"/>
      <c r="BA115" s="179"/>
    </row>
    <row r="116" spans="1:53" s="170" customFormat="1" x14ac:dyDescent="0.15">
      <c r="A116" s="170">
        <v>2012</v>
      </c>
      <c r="B116" s="281"/>
      <c r="C116" s="395" t="s">
        <v>547</v>
      </c>
      <c r="D116" s="395"/>
      <c r="E116" s="170">
        <v>0</v>
      </c>
      <c r="G116" s="232">
        <v>5</v>
      </c>
      <c r="H116" s="170">
        <v>11</v>
      </c>
      <c r="J116" s="240">
        <v>16</v>
      </c>
      <c r="K116" s="213">
        <f t="shared" si="16"/>
        <v>31.25</v>
      </c>
      <c r="L116" s="213">
        <f t="shared" si="17"/>
        <v>68.75</v>
      </c>
      <c r="M116" s="213">
        <f t="shared" si="18"/>
        <v>0</v>
      </c>
      <c r="N116" s="234">
        <f t="shared" si="8"/>
        <v>100</v>
      </c>
      <c r="O116" s="212">
        <v>15</v>
      </c>
      <c r="P116" s="213">
        <v>38.4</v>
      </c>
      <c r="Q116" s="213"/>
      <c r="R116" s="214">
        <f t="shared" si="9"/>
        <v>53.4</v>
      </c>
      <c r="S116" s="170">
        <v>2</v>
      </c>
      <c r="T116" s="283"/>
      <c r="U116" s="281"/>
      <c r="V116" s="177" t="s">
        <v>128</v>
      </c>
      <c r="W116" s="170" t="s">
        <v>17</v>
      </c>
      <c r="X116" s="170" t="s">
        <v>18</v>
      </c>
      <c r="Y116" s="178">
        <v>31.2</v>
      </c>
      <c r="Z116" s="170" t="s">
        <v>129</v>
      </c>
      <c r="AA116" s="170" t="s">
        <v>81</v>
      </c>
      <c r="AB116" s="170" t="s">
        <v>18</v>
      </c>
      <c r="AC116" s="170">
        <v>7.2</v>
      </c>
      <c r="AD116" s="177" t="s">
        <v>131</v>
      </c>
      <c r="AE116" s="170" t="s">
        <v>22</v>
      </c>
      <c r="AF116" s="170" t="s">
        <v>11</v>
      </c>
      <c r="AG116" s="178">
        <v>15</v>
      </c>
      <c r="AL116" s="177"/>
      <c r="AO116" s="178"/>
      <c r="AP116" s="177"/>
      <c r="AS116" s="178"/>
      <c r="AW116" s="178"/>
      <c r="BA116" s="179"/>
    </row>
    <row r="117" spans="1:53" s="170" customFormat="1" x14ac:dyDescent="0.15">
      <c r="A117" s="170">
        <v>2012</v>
      </c>
      <c r="B117" s="281"/>
      <c r="C117" s="395" t="s">
        <v>547</v>
      </c>
      <c r="D117" s="395"/>
      <c r="E117" s="170">
        <v>366</v>
      </c>
      <c r="G117" s="232">
        <v>5</v>
      </c>
      <c r="H117" s="170">
        <v>11</v>
      </c>
      <c r="J117" s="240">
        <v>16</v>
      </c>
      <c r="K117" s="213">
        <f t="shared" si="16"/>
        <v>31.25</v>
      </c>
      <c r="L117" s="213">
        <f t="shared" si="17"/>
        <v>68.75</v>
      </c>
      <c r="M117" s="213">
        <f t="shared" si="18"/>
        <v>0</v>
      </c>
      <c r="N117" s="234">
        <f t="shared" si="8"/>
        <v>100</v>
      </c>
      <c r="O117" s="212">
        <v>15</v>
      </c>
      <c r="P117" s="213">
        <v>38.4</v>
      </c>
      <c r="Q117" s="213"/>
      <c r="R117" s="214">
        <f t="shared" si="9"/>
        <v>53.4</v>
      </c>
      <c r="S117" s="170">
        <v>2</v>
      </c>
      <c r="T117" s="283"/>
      <c r="U117" s="281"/>
      <c r="V117" s="177" t="s">
        <v>128</v>
      </c>
      <c r="W117" s="170" t="s">
        <v>17</v>
      </c>
      <c r="X117" s="170" t="s">
        <v>18</v>
      </c>
      <c r="Y117" s="178">
        <v>31.2</v>
      </c>
      <c r="Z117" s="170" t="s">
        <v>129</v>
      </c>
      <c r="AA117" s="170" t="s">
        <v>81</v>
      </c>
      <c r="AB117" s="170" t="s">
        <v>18</v>
      </c>
      <c r="AC117" s="170">
        <v>7.2</v>
      </c>
      <c r="AD117" s="177" t="s">
        <v>131</v>
      </c>
      <c r="AE117" s="170" t="s">
        <v>22</v>
      </c>
      <c r="AF117" s="170" t="s">
        <v>11</v>
      </c>
      <c r="AG117" s="178">
        <v>15</v>
      </c>
      <c r="AL117" s="177"/>
      <c r="AO117" s="178"/>
      <c r="AP117" s="177"/>
      <c r="AS117" s="178"/>
      <c r="AW117" s="178"/>
      <c r="BA117" s="179"/>
    </row>
    <row r="118" spans="1:53" s="170" customFormat="1" x14ac:dyDescent="0.15">
      <c r="A118" s="170">
        <v>2013</v>
      </c>
      <c r="B118" s="281"/>
      <c r="C118" s="395" t="s">
        <v>547</v>
      </c>
      <c r="D118" s="395"/>
      <c r="E118" s="170">
        <v>350</v>
      </c>
      <c r="G118" s="232">
        <v>5</v>
      </c>
      <c r="H118" s="170">
        <v>11</v>
      </c>
      <c r="J118" s="240">
        <v>16</v>
      </c>
      <c r="K118" s="213">
        <f t="shared" si="16"/>
        <v>31.25</v>
      </c>
      <c r="L118" s="213">
        <f t="shared" si="17"/>
        <v>68.75</v>
      </c>
      <c r="M118" s="213">
        <f t="shared" si="18"/>
        <v>0</v>
      </c>
      <c r="N118" s="234">
        <f t="shared" si="8"/>
        <v>100</v>
      </c>
      <c r="O118" s="212">
        <v>15</v>
      </c>
      <c r="P118" s="213">
        <v>38.4</v>
      </c>
      <c r="Q118" s="213"/>
      <c r="R118" s="214">
        <f t="shared" si="9"/>
        <v>53.4</v>
      </c>
      <c r="S118" s="170">
        <v>2</v>
      </c>
      <c r="T118" s="283"/>
      <c r="U118" s="281"/>
      <c r="V118" s="177" t="s">
        <v>128</v>
      </c>
      <c r="W118" s="170" t="s">
        <v>17</v>
      </c>
      <c r="X118" s="170" t="s">
        <v>18</v>
      </c>
      <c r="Y118" s="178">
        <v>31.2</v>
      </c>
      <c r="Z118" s="170" t="s">
        <v>129</v>
      </c>
      <c r="AA118" s="170" t="s">
        <v>81</v>
      </c>
      <c r="AB118" s="170" t="s">
        <v>18</v>
      </c>
      <c r="AC118" s="170">
        <v>7.2</v>
      </c>
      <c r="AD118" s="177" t="s">
        <v>131</v>
      </c>
      <c r="AE118" s="170" t="s">
        <v>22</v>
      </c>
      <c r="AF118" s="170" t="s">
        <v>11</v>
      </c>
      <c r="AG118" s="178">
        <v>15</v>
      </c>
      <c r="AL118" s="177"/>
      <c r="AO118" s="178"/>
      <c r="AP118" s="177"/>
      <c r="AS118" s="178"/>
      <c r="AW118" s="178"/>
      <c r="BA118" s="179"/>
    </row>
    <row r="119" spans="1:53" s="28" customFormat="1" x14ac:dyDescent="0.15">
      <c r="A119" s="28">
        <v>2013</v>
      </c>
      <c r="B119" s="293">
        <v>41625</v>
      </c>
      <c r="C119" s="394" t="s">
        <v>1239</v>
      </c>
      <c r="D119" s="394"/>
      <c r="E119" s="28">
        <f>365-E118</f>
        <v>15</v>
      </c>
      <c r="F119" s="28">
        <v>1</v>
      </c>
      <c r="G119" s="65"/>
      <c r="H119" s="28">
        <v>10</v>
      </c>
      <c r="I119" s="28">
        <v>6</v>
      </c>
      <c r="J119" s="72">
        <v>16</v>
      </c>
      <c r="K119" s="46">
        <f>G119/J119*100</f>
        <v>0</v>
      </c>
      <c r="L119" s="46">
        <f t="shared" si="17"/>
        <v>62.5</v>
      </c>
      <c r="M119" s="46">
        <f t="shared" si="18"/>
        <v>37.5</v>
      </c>
      <c r="N119" s="67">
        <f>SUM(K119:M119)</f>
        <v>100</v>
      </c>
      <c r="O119" s="45">
        <v>0</v>
      </c>
      <c r="P119" s="46">
        <v>49.3</v>
      </c>
      <c r="Q119" s="46">
        <v>30.6</v>
      </c>
      <c r="R119" s="47">
        <f t="shared" si="9"/>
        <v>79.900000000000006</v>
      </c>
      <c r="S119" s="28">
        <v>2</v>
      </c>
      <c r="T119" s="284">
        <v>41539</v>
      </c>
      <c r="U119" s="293">
        <v>41625</v>
      </c>
      <c r="V119" s="37" t="s">
        <v>128</v>
      </c>
      <c r="W119" s="28" t="s">
        <v>17</v>
      </c>
      <c r="X119" s="28" t="s">
        <v>18</v>
      </c>
      <c r="Y119" s="38">
        <v>40.4</v>
      </c>
      <c r="Z119" s="28" t="s">
        <v>129</v>
      </c>
      <c r="AA119" s="28" t="s">
        <v>81</v>
      </c>
      <c r="AB119" s="28" t="s">
        <v>18</v>
      </c>
      <c r="AC119" s="28">
        <v>8.9</v>
      </c>
      <c r="AD119" s="37" t="s">
        <v>132</v>
      </c>
      <c r="AE119" s="28" t="s">
        <v>20</v>
      </c>
      <c r="AF119" s="28" t="s">
        <v>12</v>
      </c>
      <c r="AG119" s="38">
        <v>30.6</v>
      </c>
      <c r="AL119" s="37"/>
      <c r="AO119" s="38"/>
      <c r="AP119" s="37"/>
      <c r="AS119" s="38"/>
      <c r="AW119" s="38"/>
      <c r="BA119" s="39"/>
    </row>
    <row r="120" spans="1:53" s="28" customFormat="1" x14ac:dyDescent="0.15">
      <c r="A120" s="28">
        <v>2014</v>
      </c>
      <c r="B120" s="293"/>
      <c r="C120" s="394" t="s">
        <v>1239</v>
      </c>
      <c r="D120" s="394"/>
      <c r="E120" s="28">
        <v>0</v>
      </c>
      <c r="G120" s="65"/>
      <c r="H120" s="28">
        <v>10</v>
      </c>
      <c r="I120" s="28">
        <v>6</v>
      </c>
      <c r="J120" s="72">
        <v>16</v>
      </c>
      <c r="K120" s="46">
        <f>G120/J120*100</f>
        <v>0</v>
      </c>
      <c r="L120" s="46">
        <f>H120/J120*100</f>
        <v>62.5</v>
      </c>
      <c r="M120" s="46">
        <f>I120/J120*100</f>
        <v>37.5</v>
      </c>
      <c r="N120" s="67">
        <f>SUM(K120:M120)</f>
        <v>100</v>
      </c>
      <c r="O120" s="45">
        <v>0</v>
      </c>
      <c r="P120" s="46">
        <v>49.3</v>
      </c>
      <c r="Q120" s="46">
        <v>30.6</v>
      </c>
      <c r="R120" s="47">
        <f>SUM(O120:Q120)</f>
        <v>79.900000000000006</v>
      </c>
      <c r="S120" s="28">
        <v>2</v>
      </c>
      <c r="T120" s="284"/>
      <c r="U120" s="293"/>
      <c r="V120" s="37" t="s">
        <v>128</v>
      </c>
      <c r="W120" s="28" t="s">
        <v>17</v>
      </c>
      <c r="X120" s="28" t="s">
        <v>18</v>
      </c>
      <c r="Y120" s="38">
        <v>40.4</v>
      </c>
      <c r="Z120" s="28" t="s">
        <v>129</v>
      </c>
      <c r="AA120" s="28" t="s">
        <v>81</v>
      </c>
      <c r="AB120" s="28" t="s">
        <v>18</v>
      </c>
      <c r="AC120" s="28">
        <v>8.9</v>
      </c>
      <c r="AD120" s="37" t="s">
        <v>132</v>
      </c>
      <c r="AE120" s="28" t="s">
        <v>20</v>
      </c>
      <c r="AF120" s="28" t="s">
        <v>12</v>
      </c>
      <c r="AG120" s="38">
        <v>30.6</v>
      </c>
      <c r="AL120" s="37"/>
      <c r="AO120" s="38"/>
      <c r="AP120" s="37"/>
      <c r="AS120" s="38"/>
      <c r="AW120" s="38"/>
      <c r="BA120" s="39"/>
    </row>
    <row r="121" spans="1:53" s="28" customFormat="1" x14ac:dyDescent="0.15">
      <c r="A121" s="28">
        <v>2014</v>
      </c>
      <c r="B121" s="293"/>
      <c r="C121" s="394" t="s">
        <v>1239</v>
      </c>
      <c r="D121" s="394"/>
      <c r="E121" s="28">
        <v>365</v>
      </c>
      <c r="G121" s="65"/>
      <c r="H121" s="28">
        <v>10</v>
      </c>
      <c r="I121" s="28">
        <v>6</v>
      </c>
      <c r="J121" s="72">
        <v>16</v>
      </c>
      <c r="K121" s="46">
        <f>G121/J121*100</f>
        <v>0</v>
      </c>
      <c r="L121" s="46">
        <f>H121/J121*100</f>
        <v>62.5</v>
      </c>
      <c r="M121" s="46">
        <f>I121/J121*100</f>
        <v>37.5</v>
      </c>
      <c r="N121" s="67">
        <f>SUM(K121:M121)</f>
        <v>100</v>
      </c>
      <c r="O121" s="45">
        <v>0</v>
      </c>
      <c r="P121" s="46">
        <v>49.3</v>
      </c>
      <c r="Q121" s="46">
        <v>30.6</v>
      </c>
      <c r="R121" s="47">
        <f>SUM(O121:Q121)</f>
        <v>79.900000000000006</v>
      </c>
      <c r="S121" s="28">
        <v>2</v>
      </c>
      <c r="T121" s="284"/>
      <c r="U121" s="293"/>
      <c r="V121" s="37" t="s">
        <v>128</v>
      </c>
      <c r="W121" s="28" t="s">
        <v>17</v>
      </c>
      <c r="X121" s="28" t="s">
        <v>18</v>
      </c>
      <c r="Y121" s="38">
        <v>40.4</v>
      </c>
      <c r="Z121" s="28" t="s">
        <v>129</v>
      </c>
      <c r="AA121" s="28" t="s">
        <v>81</v>
      </c>
      <c r="AB121" s="28" t="s">
        <v>18</v>
      </c>
      <c r="AC121" s="28">
        <v>8.9</v>
      </c>
      <c r="AD121" s="37" t="s">
        <v>132</v>
      </c>
      <c r="AE121" s="28" t="s">
        <v>20</v>
      </c>
      <c r="AF121" s="28" t="s">
        <v>12</v>
      </c>
      <c r="AG121" s="38">
        <v>30.6</v>
      </c>
      <c r="AL121" s="37"/>
      <c r="AO121" s="38"/>
      <c r="AP121" s="37"/>
      <c r="AS121" s="38"/>
      <c r="AW121" s="38"/>
      <c r="BA121" s="39"/>
    </row>
    <row r="122" spans="1:53" s="28" customFormat="1" x14ac:dyDescent="0.15">
      <c r="A122" s="28">
        <v>2015</v>
      </c>
      <c r="B122" s="293"/>
      <c r="C122" s="394" t="s">
        <v>1239</v>
      </c>
      <c r="D122" s="394"/>
      <c r="E122" s="28">
        <v>0</v>
      </c>
      <c r="G122" s="65"/>
      <c r="H122" s="28">
        <v>10</v>
      </c>
      <c r="I122" s="28">
        <v>6</v>
      </c>
      <c r="J122" s="72">
        <v>16</v>
      </c>
      <c r="K122" s="46">
        <f t="shared" ref="K122:K124" si="19">G122/J122*100</f>
        <v>0</v>
      </c>
      <c r="L122" s="46">
        <f t="shared" ref="L122:L124" si="20">H122/J122*100</f>
        <v>62.5</v>
      </c>
      <c r="M122" s="46">
        <f t="shared" ref="M122:M124" si="21">I122/J122*100</f>
        <v>37.5</v>
      </c>
      <c r="N122" s="67">
        <f t="shared" ref="N122:N124" si="22">SUM(K122:M122)</f>
        <v>100</v>
      </c>
      <c r="O122" s="45">
        <v>0</v>
      </c>
      <c r="P122" s="46">
        <v>49.3</v>
      </c>
      <c r="Q122" s="46">
        <v>30.6</v>
      </c>
      <c r="R122" s="47">
        <f t="shared" ref="R122:R124" si="23">SUM(O122:Q122)</f>
        <v>79.900000000000006</v>
      </c>
      <c r="S122" s="28">
        <v>2</v>
      </c>
      <c r="T122" s="284"/>
      <c r="U122" s="293"/>
      <c r="V122" s="37" t="s">
        <v>128</v>
      </c>
      <c r="W122" s="28" t="s">
        <v>17</v>
      </c>
      <c r="X122" s="28" t="s">
        <v>18</v>
      </c>
      <c r="Y122" s="38">
        <v>40.4</v>
      </c>
      <c r="Z122" s="28" t="s">
        <v>129</v>
      </c>
      <c r="AA122" s="28" t="s">
        <v>81</v>
      </c>
      <c r="AB122" s="28" t="s">
        <v>18</v>
      </c>
      <c r="AC122" s="28">
        <v>8.9</v>
      </c>
      <c r="AD122" s="37" t="s">
        <v>132</v>
      </c>
      <c r="AE122" s="28" t="s">
        <v>20</v>
      </c>
      <c r="AF122" s="28" t="s">
        <v>12</v>
      </c>
      <c r="AG122" s="38">
        <v>30.6</v>
      </c>
      <c r="AL122" s="37"/>
      <c r="AO122" s="38"/>
      <c r="AP122" s="37"/>
      <c r="AS122" s="38"/>
      <c r="AW122" s="38"/>
      <c r="BA122" s="39"/>
    </row>
    <row r="123" spans="1:53" s="28" customFormat="1" x14ac:dyDescent="0.15">
      <c r="A123" s="28">
        <v>2015</v>
      </c>
      <c r="B123" s="293"/>
      <c r="C123" s="394" t="s">
        <v>1239</v>
      </c>
      <c r="D123" s="394"/>
      <c r="E123" s="28">
        <v>365</v>
      </c>
      <c r="G123" s="65"/>
      <c r="H123" s="28">
        <v>10</v>
      </c>
      <c r="I123" s="28">
        <v>6</v>
      </c>
      <c r="J123" s="72">
        <v>16</v>
      </c>
      <c r="K123" s="46">
        <f t="shared" si="19"/>
        <v>0</v>
      </c>
      <c r="L123" s="46">
        <f t="shared" si="20"/>
        <v>62.5</v>
      </c>
      <c r="M123" s="46">
        <f t="shared" si="21"/>
        <v>37.5</v>
      </c>
      <c r="N123" s="67">
        <f t="shared" si="22"/>
        <v>100</v>
      </c>
      <c r="O123" s="45">
        <v>0</v>
      </c>
      <c r="P123" s="46">
        <v>49.3</v>
      </c>
      <c r="Q123" s="46">
        <v>30.6</v>
      </c>
      <c r="R123" s="47">
        <f t="shared" si="23"/>
        <v>79.900000000000006</v>
      </c>
      <c r="S123" s="28">
        <v>2</v>
      </c>
      <c r="T123" s="284"/>
      <c r="U123" s="293"/>
      <c r="V123" s="37" t="s">
        <v>128</v>
      </c>
      <c r="W123" s="28" t="s">
        <v>17</v>
      </c>
      <c r="X123" s="28" t="s">
        <v>18</v>
      </c>
      <c r="Y123" s="38">
        <v>40.4</v>
      </c>
      <c r="Z123" s="28" t="s">
        <v>129</v>
      </c>
      <c r="AA123" s="28" t="s">
        <v>81</v>
      </c>
      <c r="AB123" s="28" t="s">
        <v>18</v>
      </c>
      <c r="AC123" s="28">
        <v>8.9</v>
      </c>
      <c r="AD123" s="37" t="s">
        <v>132</v>
      </c>
      <c r="AE123" s="28" t="s">
        <v>20</v>
      </c>
      <c r="AF123" s="28" t="s">
        <v>12</v>
      </c>
      <c r="AG123" s="38">
        <v>30.6</v>
      </c>
      <c r="AL123" s="37"/>
      <c r="AO123" s="38"/>
      <c r="AP123" s="37"/>
      <c r="AS123" s="38"/>
      <c r="AW123" s="38"/>
      <c r="BA123" s="39"/>
    </row>
    <row r="124" spans="1:53" s="28" customFormat="1" x14ac:dyDescent="0.15">
      <c r="A124" s="28">
        <v>2016</v>
      </c>
      <c r="B124" s="293"/>
      <c r="C124" s="394" t="s">
        <v>1239</v>
      </c>
      <c r="D124" s="394"/>
      <c r="E124" s="28">
        <v>0</v>
      </c>
      <c r="G124" s="65"/>
      <c r="H124" s="28">
        <v>10</v>
      </c>
      <c r="I124" s="28">
        <v>6</v>
      </c>
      <c r="J124" s="72">
        <v>16</v>
      </c>
      <c r="K124" s="46">
        <f t="shared" si="19"/>
        <v>0</v>
      </c>
      <c r="L124" s="46">
        <f t="shared" si="20"/>
        <v>62.5</v>
      </c>
      <c r="M124" s="46">
        <f t="shared" si="21"/>
        <v>37.5</v>
      </c>
      <c r="N124" s="67">
        <f t="shared" si="22"/>
        <v>100</v>
      </c>
      <c r="O124" s="45">
        <v>0</v>
      </c>
      <c r="P124" s="46">
        <v>49.3</v>
      </c>
      <c r="Q124" s="46">
        <v>30.6</v>
      </c>
      <c r="R124" s="47">
        <f t="shared" si="23"/>
        <v>79.900000000000006</v>
      </c>
      <c r="S124" s="28">
        <v>2</v>
      </c>
      <c r="T124" s="284"/>
      <c r="U124" s="293"/>
      <c r="V124" s="37" t="s">
        <v>128</v>
      </c>
      <c r="W124" s="28" t="s">
        <v>17</v>
      </c>
      <c r="X124" s="28" t="s">
        <v>18</v>
      </c>
      <c r="Y124" s="38">
        <v>40.4</v>
      </c>
      <c r="Z124" s="28" t="s">
        <v>129</v>
      </c>
      <c r="AA124" s="28" t="s">
        <v>81</v>
      </c>
      <c r="AB124" s="28" t="s">
        <v>18</v>
      </c>
      <c r="AC124" s="28">
        <v>8.9</v>
      </c>
      <c r="AD124" s="37" t="s">
        <v>132</v>
      </c>
      <c r="AE124" s="28" t="s">
        <v>20</v>
      </c>
      <c r="AF124" s="28" t="s">
        <v>12</v>
      </c>
      <c r="AG124" s="38">
        <v>30.6</v>
      </c>
      <c r="AL124" s="37"/>
      <c r="AO124" s="38"/>
      <c r="AP124" s="37"/>
      <c r="AS124" s="38"/>
      <c r="AW124" s="38"/>
      <c r="BA124" s="39"/>
    </row>
    <row r="125" spans="1:53" s="28" customFormat="1" x14ac:dyDescent="0.15">
      <c r="A125" s="28">
        <v>2016</v>
      </c>
      <c r="B125" s="293"/>
      <c r="C125" s="394" t="s">
        <v>1239</v>
      </c>
      <c r="D125" s="394"/>
      <c r="E125" s="28">
        <v>366</v>
      </c>
      <c r="G125" s="65"/>
      <c r="H125" s="28">
        <v>10</v>
      </c>
      <c r="I125" s="28">
        <v>6</v>
      </c>
      <c r="J125" s="72">
        <v>16</v>
      </c>
      <c r="K125" s="46">
        <f t="shared" ref="K125" si="24">G125/J125*100</f>
        <v>0</v>
      </c>
      <c r="L125" s="46">
        <f t="shared" ref="L125" si="25">H125/J125*100</f>
        <v>62.5</v>
      </c>
      <c r="M125" s="46">
        <f t="shared" ref="M125" si="26">I125/J125*100</f>
        <v>37.5</v>
      </c>
      <c r="N125" s="67">
        <f t="shared" ref="N125" si="27">SUM(K125:M125)</f>
        <v>100</v>
      </c>
      <c r="O125" s="45">
        <v>0</v>
      </c>
      <c r="P125" s="46">
        <v>49.3</v>
      </c>
      <c r="Q125" s="46">
        <v>30.6</v>
      </c>
      <c r="R125" s="47">
        <f t="shared" ref="R125" si="28">SUM(O125:Q125)</f>
        <v>79.900000000000006</v>
      </c>
      <c r="S125" s="28">
        <v>2</v>
      </c>
      <c r="T125" s="284"/>
      <c r="U125" s="293"/>
      <c r="V125" s="37" t="s">
        <v>128</v>
      </c>
      <c r="W125" s="28" t="s">
        <v>17</v>
      </c>
      <c r="X125" s="28" t="s">
        <v>18</v>
      </c>
      <c r="Y125" s="38">
        <v>40.4</v>
      </c>
      <c r="Z125" s="28" t="s">
        <v>129</v>
      </c>
      <c r="AA125" s="28" t="s">
        <v>81</v>
      </c>
      <c r="AB125" s="28" t="s">
        <v>18</v>
      </c>
      <c r="AC125" s="28">
        <v>8.9</v>
      </c>
      <c r="AD125" s="37" t="s">
        <v>132</v>
      </c>
      <c r="AE125" s="28" t="s">
        <v>20</v>
      </c>
      <c r="AF125" s="28" t="s">
        <v>12</v>
      </c>
      <c r="AG125" s="38">
        <v>30.6</v>
      </c>
      <c r="AL125" s="37"/>
      <c r="AO125" s="38"/>
      <c r="AP125" s="37"/>
      <c r="AS125" s="38"/>
      <c r="AW125" s="38"/>
      <c r="BA125" s="39"/>
    </row>
    <row r="126" spans="1:53" s="28" customFormat="1" x14ac:dyDescent="0.15">
      <c r="A126" s="28">
        <v>2017</v>
      </c>
      <c r="B126" s="305"/>
      <c r="C126" s="394" t="s">
        <v>1239</v>
      </c>
      <c r="D126" s="394"/>
      <c r="E126" s="28">
        <v>147</v>
      </c>
      <c r="F126" s="120"/>
      <c r="G126" s="65"/>
      <c r="H126" s="28">
        <v>10</v>
      </c>
      <c r="I126" s="28">
        <v>6</v>
      </c>
      <c r="J126" s="72">
        <v>16</v>
      </c>
      <c r="K126" s="46">
        <f t="shared" ref="K126:K127" si="29">G126/J126*100</f>
        <v>0</v>
      </c>
      <c r="L126" s="46">
        <f t="shared" ref="L126:L127" si="30">H126/J126*100</f>
        <v>62.5</v>
      </c>
      <c r="M126" s="46">
        <f t="shared" ref="M126:M127" si="31">I126/J126*100</f>
        <v>37.5</v>
      </c>
      <c r="N126" s="67">
        <f t="shared" ref="N126:N127" si="32">SUM(K126:M126)</f>
        <v>100</v>
      </c>
      <c r="O126" s="45">
        <v>0</v>
      </c>
      <c r="P126" s="46">
        <v>49.3</v>
      </c>
      <c r="Q126" s="46">
        <v>30.6</v>
      </c>
      <c r="R126" s="47">
        <f t="shared" ref="R126:R127" si="33">SUM(O126:Q126)</f>
        <v>79.900000000000006</v>
      </c>
      <c r="S126" s="28">
        <v>2</v>
      </c>
      <c r="T126" s="284"/>
      <c r="U126" s="293"/>
      <c r="V126" s="37" t="s">
        <v>128</v>
      </c>
      <c r="W126" s="28" t="s">
        <v>17</v>
      </c>
      <c r="X126" s="28" t="s">
        <v>18</v>
      </c>
      <c r="Y126" s="38">
        <v>40.4</v>
      </c>
      <c r="Z126" s="28" t="s">
        <v>129</v>
      </c>
      <c r="AA126" s="28" t="s">
        <v>81</v>
      </c>
      <c r="AB126" s="28" t="s">
        <v>18</v>
      </c>
      <c r="AC126" s="28">
        <v>8.9</v>
      </c>
      <c r="AD126" s="37" t="s">
        <v>132</v>
      </c>
      <c r="AE126" s="28" t="s">
        <v>20</v>
      </c>
      <c r="AF126" s="28" t="s">
        <v>12</v>
      </c>
      <c r="AG126" s="38">
        <v>30.6</v>
      </c>
      <c r="AL126" s="37"/>
      <c r="AO126" s="38"/>
      <c r="AP126" s="37"/>
      <c r="AS126" s="38"/>
      <c r="AW126" s="38"/>
      <c r="BA126" s="39"/>
    </row>
    <row r="127" spans="1:53" s="28" customFormat="1" x14ac:dyDescent="0.15">
      <c r="A127" s="28">
        <v>2017</v>
      </c>
      <c r="B127" s="305">
        <v>42883</v>
      </c>
      <c r="C127" s="394" t="s">
        <v>1239</v>
      </c>
      <c r="D127" s="394"/>
      <c r="E127" s="28">
        <v>149</v>
      </c>
      <c r="F127" s="120">
        <v>0</v>
      </c>
      <c r="G127" s="65"/>
      <c r="H127" s="28">
        <v>10</v>
      </c>
      <c r="I127" s="28">
        <v>5</v>
      </c>
      <c r="J127" s="72">
        <v>15</v>
      </c>
      <c r="K127" s="46">
        <f t="shared" si="29"/>
        <v>0</v>
      </c>
      <c r="L127" s="46">
        <f t="shared" si="30"/>
        <v>66.666666666666657</v>
      </c>
      <c r="M127" s="46">
        <f t="shared" si="31"/>
        <v>33.333333333333329</v>
      </c>
      <c r="N127" s="67">
        <f t="shared" si="32"/>
        <v>99.999999999999986</v>
      </c>
      <c r="O127" s="45">
        <v>0</v>
      </c>
      <c r="P127" s="46">
        <v>49.3</v>
      </c>
      <c r="Q127" s="46">
        <v>30.6</v>
      </c>
      <c r="R127" s="47">
        <f t="shared" si="33"/>
        <v>79.900000000000006</v>
      </c>
      <c r="S127" s="28">
        <v>2</v>
      </c>
      <c r="T127" s="284"/>
      <c r="U127" s="293"/>
      <c r="V127" s="37" t="s">
        <v>128</v>
      </c>
      <c r="W127" s="28" t="s">
        <v>17</v>
      </c>
      <c r="X127" s="28" t="s">
        <v>18</v>
      </c>
      <c r="Y127" s="38">
        <v>40.4</v>
      </c>
      <c r="Z127" s="28" t="s">
        <v>129</v>
      </c>
      <c r="AA127" s="28" t="s">
        <v>81</v>
      </c>
      <c r="AB127" s="28" t="s">
        <v>18</v>
      </c>
      <c r="AC127" s="28">
        <v>8.9</v>
      </c>
      <c r="AD127" s="37" t="s">
        <v>132</v>
      </c>
      <c r="AE127" s="28" t="s">
        <v>20</v>
      </c>
      <c r="AF127" s="28" t="s">
        <v>12</v>
      </c>
      <c r="AG127" s="38">
        <v>30.6</v>
      </c>
      <c r="AL127" s="37"/>
      <c r="AO127" s="38"/>
      <c r="AP127" s="37"/>
      <c r="AS127" s="38"/>
      <c r="AW127" s="38"/>
      <c r="BA127" s="39"/>
    </row>
    <row r="128" spans="1:53" s="28" customFormat="1" x14ac:dyDescent="0.15">
      <c r="A128" s="28">
        <v>2017</v>
      </c>
      <c r="B128" s="305">
        <v>43032</v>
      </c>
      <c r="C128" s="394" t="s">
        <v>1239</v>
      </c>
      <c r="D128" s="394"/>
      <c r="E128" s="28">
        <v>69</v>
      </c>
      <c r="F128" s="120">
        <v>0</v>
      </c>
      <c r="G128" s="65"/>
      <c r="H128" s="28">
        <v>8</v>
      </c>
      <c r="I128" s="28">
        <v>5</v>
      </c>
      <c r="J128" s="72">
        <v>13</v>
      </c>
      <c r="K128" s="46">
        <f t="shared" ref="K128" si="34">G128/J128*100</f>
        <v>0</v>
      </c>
      <c r="L128" s="46">
        <f t="shared" ref="L128" si="35">H128/J128*100</f>
        <v>61.53846153846154</v>
      </c>
      <c r="M128" s="46">
        <f t="shared" ref="M128" si="36">I128/J128*100</f>
        <v>38.461538461538467</v>
      </c>
      <c r="N128" s="67">
        <f t="shared" ref="N128" si="37">SUM(K128:M128)</f>
        <v>100</v>
      </c>
      <c r="O128" s="45">
        <v>0</v>
      </c>
      <c r="P128" s="46">
        <v>49.3</v>
      </c>
      <c r="Q128" s="46">
        <v>30.6</v>
      </c>
      <c r="R128" s="47">
        <f t="shared" ref="R128" si="38">SUM(O128:Q128)</f>
        <v>79.900000000000006</v>
      </c>
      <c r="S128" s="28">
        <v>2</v>
      </c>
      <c r="T128" s="284"/>
      <c r="U128" s="293"/>
      <c r="V128" s="37" t="s">
        <v>128</v>
      </c>
      <c r="W128" s="28" t="s">
        <v>17</v>
      </c>
      <c r="X128" s="28" t="s">
        <v>18</v>
      </c>
      <c r="Y128" s="38">
        <v>40.4</v>
      </c>
      <c r="Z128" s="28" t="s">
        <v>129</v>
      </c>
      <c r="AA128" s="28" t="s">
        <v>81</v>
      </c>
      <c r="AB128" s="28" t="s">
        <v>18</v>
      </c>
      <c r="AC128" s="28">
        <v>8.9</v>
      </c>
      <c r="AD128" s="37" t="s">
        <v>132</v>
      </c>
      <c r="AE128" s="28" t="s">
        <v>20</v>
      </c>
      <c r="AF128" s="28" t="s">
        <v>12</v>
      </c>
      <c r="AG128" s="38">
        <v>30.6</v>
      </c>
      <c r="AL128" s="37"/>
      <c r="AO128" s="38"/>
      <c r="AP128" s="37"/>
      <c r="AS128" s="38"/>
      <c r="AW128" s="38"/>
      <c r="BA128" s="39"/>
    </row>
    <row r="129" spans="1:53" s="28" customFormat="1" x14ac:dyDescent="0.15">
      <c r="A129" s="28">
        <v>2018</v>
      </c>
      <c r="B129" s="305"/>
      <c r="C129" s="394" t="s">
        <v>1239</v>
      </c>
      <c r="D129" s="394"/>
      <c r="E129" s="28">
        <v>72</v>
      </c>
      <c r="F129" s="120"/>
      <c r="G129" s="65"/>
      <c r="H129" s="28">
        <v>8</v>
      </c>
      <c r="I129" s="28">
        <v>5</v>
      </c>
      <c r="J129" s="72">
        <v>13</v>
      </c>
      <c r="K129" s="46">
        <f>G129/J129*100</f>
        <v>0</v>
      </c>
      <c r="L129" s="46">
        <f t="shared" ref="L129:L130" si="39">H129/J129*100</f>
        <v>61.53846153846154</v>
      </c>
      <c r="M129" s="46">
        <f t="shared" ref="M129:M130" si="40">I129/J129*100</f>
        <v>38.461538461538467</v>
      </c>
      <c r="N129" s="67">
        <f t="shared" ref="N129:N130" si="41">SUM(K129:M129)</f>
        <v>100</v>
      </c>
      <c r="O129" s="45">
        <v>0</v>
      </c>
      <c r="P129" s="46">
        <v>49.3</v>
      </c>
      <c r="Q129" s="46">
        <v>30.6</v>
      </c>
      <c r="R129" s="47">
        <f t="shared" ref="R129:R130" si="42">SUM(O129:Q129)</f>
        <v>79.900000000000006</v>
      </c>
      <c r="S129" s="28">
        <v>2</v>
      </c>
      <c r="T129" s="284"/>
      <c r="U129" s="293"/>
      <c r="V129" s="37" t="s">
        <v>128</v>
      </c>
      <c r="W129" s="28" t="s">
        <v>17</v>
      </c>
      <c r="X129" s="28" t="s">
        <v>18</v>
      </c>
      <c r="Y129" s="38">
        <v>40.4</v>
      </c>
      <c r="Z129" s="28" t="s">
        <v>129</v>
      </c>
      <c r="AA129" s="28" t="s">
        <v>81</v>
      </c>
      <c r="AB129" s="28" t="s">
        <v>18</v>
      </c>
      <c r="AC129" s="28">
        <v>8.9</v>
      </c>
      <c r="AD129" s="37" t="s">
        <v>132</v>
      </c>
      <c r="AE129" s="28" t="s">
        <v>20</v>
      </c>
      <c r="AF129" s="28" t="s">
        <v>12</v>
      </c>
      <c r="AG129" s="38">
        <v>30.6</v>
      </c>
      <c r="AL129" s="37"/>
      <c r="AO129" s="38"/>
      <c r="AP129" s="37"/>
      <c r="AS129" s="38"/>
      <c r="AW129" s="38"/>
      <c r="BA129" s="39"/>
    </row>
    <row r="130" spans="1:53" s="170" customFormat="1" x14ac:dyDescent="0.15">
      <c r="A130" s="170">
        <v>2018</v>
      </c>
      <c r="B130" s="281">
        <v>43173</v>
      </c>
      <c r="C130" s="395" t="s">
        <v>1391</v>
      </c>
      <c r="D130" s="395"/>
      <c r="E130" s="170">
        <v>293</v>
      </c>
      <c r="F130" s="170">
        <v>1</v>
      </c>
      <c r="G130" s="232"/>
      <c r="H130" s="170">
        <v>10</v>
      </c>
      <c r="I130" s="170">
        <v>6</v>
      </c>
      <c r="J130" s="240">
        <v>16</v>
      </c>
      <c r="K130" s="213"/>
      <c r="L130" s="213">
        <f t="shared" si="39"/>
        <v>62.5</v>
      </c>
      <c r="M130" s="213">
        <f t="shared" si="40"/>
        <v>37.5</v>
      </c>
      <c r="N130" s="234">
        <f t="shared" si="41"/>
        <v>100</v>
      </c>
      <c r="O130" s="212"/>
      <c r="P130" s="213">
        <v>34.700000000000003</v>
      </c>
      <c r="Q130" s="213">
        <v>21.4</v>
      </c>
      <c r="R130" s="214">
        <f t="shared" si="42"/>
        <v>56.1</v>
      </c>
      <c r="S130" s="170">
        <v>2</v>
      </c>
      <c r="T130" s="283">
        <v>43002</v>
      </c>
      <c r="U130" s="281">
        <v>43173</v>
      </c>
      <c r="V130" s="177" t="s">
        <v>128</v>
      </c>
      <c r="W130" s="170" t="s">
        <v>17</v>
      </c>
      <c r="X130" s="170" t="s">
        <v>18</v>
      </c>
      <c r="Y130" s="178">
        <v>28.2</v>
      </c>
      <c r="Z130" s="170" t="s">
        <v>129</v>
      </c>
      <c r="AA130" s="170" t="s">
        <v>81</v>
      </c>
      <c r="AB130" s="170" t="s">
        <v>18</v>
      </c>
      <c r="AC130" s="170">
        <v>6.5</v>
      </c>
      <c r="AD130" s="177" t="s">
        <v>132</v>
      </c>
      <c r="AE130" s="170" t="s">
        <v>20</v>
      </c>
      <c r="AF130" s="170" t="s">
        <v>12</v>
      </c>
      <c r="AG130" s="178">
        <v>21.4</v>
      </c>
      <c r="AL130" s="177"/>
      <c r="AO130" s="178"/>
      <c r="AP130" s="177"/>
      <c r="AS130" s="178"/>
      <c r="AW130" s="178"/>
      <c r="BA130" s="179"/>
    </row>
    <row r="131" spans="1:53" s="170" customFormat="1" x14ac:dyDescent="0.15">
      <c r="A131" s="170">
        <v>2019</v>
      </c>
      <c r="B131" s="281"/>
      <c r="C131" s="395" t="s">
        <v>1391</v>
      </c>
      <c r="D131" s="395"/>
      <c r="E131" s="170">
        <v>0</v>
      </c>
      <c r="G131" s="232"/>
      <c r="H131" s="170">
        <v>10</v>
      </c>
      <c r="I131" s="170">
        <v>6</v>
      </c>
      <c r="J131" s="240">
        <v>16</v>
      </c>
      <c r="K131" s="213"/>
      <c r="L131" s="213">
        <f t="shared" ref="L131:L133" si="43">H131/J131*100</f>
        <v>62.5</v>
      </c>
      <c r="M131" s="213">
        <f t="shared" ref="M131:M137" si="44">I131/J131*100</f>
        <v>37.5</v>
      </c>
      <c r="N131" s="234">
        <f t="shared" ref="N131:N134" si="45">SUM(K131:M131)</f>
        <v>100</v>
      </c>
      <c r="O131" s="212"/>
      <c r="P131" s="213">
        <v>34.700000000000003</v>
      </c>
      <c r="Q131" s="213">
        <v>21.4</v>
      </c>
      <c r="R131" s="214">
        <f t="shared" ref="R131:R133" si="46">SUM(O131:Q131)</f>
        <v>56.1</v>
      </c>
      <c r="S131" s="170">
        <v>2</v>
      </c>
      <c r="T131" s="283"/>
      <c r="U131" s="281"/>
      <c r="V131" s="177" t="s">
        <v>128</v>
      </c>
      <c r="W131" s="170" t="s">
        <v>17</v>
      </c>
      <c r="X131" s="170" t="s">
        <v>18</v>
      </c>
      <c r="Y131" s="178">
        <v>28.2</v>
      </c>
      <c r="Z131" s="170" t="s">
        <v>129</v>
      </c>
      <c r="AA131" s="170" t="s">
        <v>81</v>
      </c>
      <c r="AB131" s="170" t="s">
        <v>18</v>
      </c>
      <c r="AC131" s="170">
        <v>6.5</v>
      </c>
      <c r="AD131" s="177" t="s">
        <v>132</v>
      </c>
      <c r="AE131" s="170" t="s">
        <v>20</v>
      </c>
      <c r="AF131" s="170" t="s">
        <v>12</v>
      </c>
      <c r="AG131" s="178">
        <v>21.4</v>
      </c>
      <c r="AL131" s="177"/>
      <c r="AO131" s="178"/>
      <c r="AP131" s="177"/>
      <c r="AS131" s="178"/>
      <c r="AW131" s="178"/>
      <c r="BA131" s="179"/>
    </row>
    <row r="132" spans="1:53" s="170" customFormat="1" x14ac:dyDescent="0.15">
      <c r="A132" s="170">
        <v>2019</v>
      </c>
      <c r="B132" s="281"/>
      <c r="C132" s="395" t="s">
        <v>1391</v>
      </c>
      <c r="D132" s="395"/>
      <c r="E132" s="170">
        <v>365</v>
      </c>
      <c r="G132" s="232"/>
      <c r="H132" s="170">
        <v>10</v>
      </c>
      <c r="I132" s="170">
        <v>6</v>
      </c>
      <c r="J132" s="240">
        <v>16</v>
      </c>
      <c r="K132" s="213"/>
      <c r="L132" s="213">
        <f t="shared" si="43"/>
        <v>62.5</v>
      </c>
      <c r="M132" s="213">
        <f t="shared" si="44"/>
        <v>37.5</v>
      </c>
      <c r="N132" s="234">
        <f t="shared" si="45"/>
        <v>100</v>
      </c>
      <c r="O132" s="212"/>
      <c r="P132" s="213">
        <v>34.700000000000003</v>
      </c>
      <c r="Q132" s="213">
        <v>21.4</v>
      </c>
      <c r="R132" s="214">
        <f t="shared" si="46"/>
        <v>56.1</v>
      </c>
      <c r="S132" s="189">
        <v>2</v>
      </c>
      <c r="T132" s="283"/>
      <c r="U132" s="281"/>
      <c r="V132" s="177" t="s">
        <v>128</v>
      </c>
      <c r="W132" s="170" t="s">
        <v>17</v>
      </c>
      <c r="X132" s="170" t="s">
        <v>18</v>
      </c>
      <c r="Y132" s="178">
        <v>28.2</v>
      </c>
      <c r="Z132" s="170" t="s">
        <v>129</v>
      </c>
      <c r="AA132" s="170" t="s">
        <v>81</v>
      </c>
      <c r="AB132" s="170" t="s">
        <v>18</v>
      </c>
      <c r="AC132" s="170">
        <v>6.5</v>
      </c>
      <c r="AD132" s="177" t="s">
        <v>132</v>
      </c>
      <c r="AE132" s="170" t="s">
        <v>20</v>
      </c>
      <c r="AF132" s="170" t="s">
        <v>12</v>
      </c>
      <c r="AG132" s="178">
        <v>21.4</v>
      </c>
      <c r="AK132" s="178"/>
      <c r="AO132" s="178"/>
      <c r="AS132" s="178"/>
      <c r="AW132" s="178"/>
      <c r="BA132" s="179"/>
    </row>
    <row r="133" spans="1:53" s="170" customFormat="1" x14ac:dyDescent="0.15">
      <c r="A133" s="170">
        <v>2020</v>
      </c>
      <c r="B133" s="281"/>
      <c r="C133" s="395" t="s">
        <v>1391</v>
      </c>
      <c r="D133" s="395"/>
      <c r="E133" s="170">
        <v>0</v>
      </c>
      <c r="F133" s="179"/>
      <c r="H133" s="170">
        <v>10</v>
      </c>
      <c r="I133" s="170">
        <v>6</v>
      </c>
      <c r="J133" s="240">
        <v>16</v>
      </c>
      <c r="K133" s="213"/>
      <c r="L133" s="213">
        <f t="shared" si="43"/>
        <v>62.5</v>
      </c>
      <c r="M133" s="213">
        <f t="shared" si="44"/>
        <v>37.5</v>
      </c>
      <c r="N133" s="234">
        <f t="shared" si="45"/>
        <v>100</v>
      </c>
      <c r="O133" s="212"/>
      <c r="P133" s="213">
        <v>34.700000000000003</v>
      </c>
      <c r="Q133" s="213">
        <v>21.4</v>
      </c>
      <c r="R133" s="214">
        <f t="shared" si="46"/>
        <v>56.1</v>
      </c>
      <c r="S133" s="189">
        <v>2</v>
      </c>
      <c r="T133" s="283"/>
      <c r="U133" s="281"/>
      <c r="V133" s="177" t="s">
        <v>128</v>
      </c>
      <c r="W133" s="170" t="s">
        <v>17</v>
      </c>
      <c r="X133" s="170" t="s">
        <v>18</v>
      </c>
      <c r="Y133" s="178">
        <v>28.2</v>
      </c>
      <c r="Z133" s="170" t="s">
        <v>129</v>
      </c>
      <c r="AA133" s="170" t="s">
        <v>81</v>
      </c>
      <c r="AB133" s="170" t="s">
        <v>18</v>
      </c>
      <c r="AC133" s="170">
        <v>6.5</v>
      </c>
      <c r="AD133" s="177" t="s">
        <v>132</v>
      </c>
      <c r="AE133" s="170" t="s">
        <v>20</v>
      </c>
      <c r="AF133" s="170" t="s">
        <v>12</v>
      </c>
      <c r="AG133" s="178">
        <v>21.4</v>
      </c>
      <c r="AK133" s="178"/>
      <c r="AO133" s="178"/>
      <c r="AS133" s="178"/>
      <c r="AW133" s="178"/>
      <c r="BA133" s="179"/>
    </row>
    <row r="134" spans="1:53" s="170" customFormat="1" x14ac:dyDescent="0.15">
      <c r="A134" s="170">
        <v>2020</v>
      </c>
      <c r="B134" s="281"/>
      <c r="C134" s="395" t="s">
        <v>1391</v>
      </c>
      <c r="D134" s="395"/>
      <c r="E134" s="170">
        <v>366</v>
      </c>
      <c r="F134" s="179"/>
      <c r="H134" s="170">
        <v>10</v>
      </c>
      <c r="I134" s="170">
        <v>6</v>
      </c>
      <c r="J134" s="240">
        <v>16</v>
      </c>
      <c r="K134" s="213"/>
      <c r="L134" s="213">
        <f>H134/J134*100</f>
        <v>62.5</v>
      </c>
      <c r="M134" s="213">
        <f t="shared" si="44"/>
        <v>37.5</v>
      </c>
      <c r="N134" s="234">
        <f t="shared" si="45"/>
        <v>100</v>
      </c>
      <c r="O134" s="212"/>
      <c r="P134" s="213">
        <v>34.700000000000003</v>
      </c>
      <c r="Q134" s="213">
        <v>21.4</v>
      </c>
      <c r="R134" s="214">
        <f>SUM(O134:Q134)</f>
        <v>56.1</v>
      </c>
      <c r="S134" s="189">
        <v>2</v>
      </c>
      <c r="T134" s="283"/>
      <c r="U134" s="281"/>
      <c r="V134" s="177" t="s">
        <v>128</v>
      </c>
      <c r="W134" s="170" t="s">
        <v>17</v>
      </c>
      <c r="X134" s="170" t="s">
        <v>18</v>
      </c>
      <c r="Y134" s="178">
        <v>28.2</v>
      </c>
      <c r="Z134" s="170" t="s">
        <v>129</v>
      </c>
      <c r="AA134" s="170" t="s">
        <v>81</v>
      </c>
      <c r="AB134" s="170" t="s">
        <v>18</v>
      </c>
      <c r="AC134" s="170">
        <v>6.5</v>
      </c>
      <c r="AD134" s="177" t="s">
        <v>132</v>
      </c>
      <c r="AE134" s="170" t="s">
        <v>20</v>
      </c>
      <c r="AF134" s="170" t="s">
        <v>12</v>
      </c>
      <c r="AG134" s="178">
        <v>21.4</v>
      </c>
      <c r="AK134" s="178"/>
      <c r="AO134" s="178"/>
      <c r="AS134" s="178"/>
      <c r="AW134" s="178"/>
      <c r="BA134" s="179"/>
    </row>
    <row r="135" spans="1:53" s="170" customFormat="1" x14ac:dyDescent="0.15">
      <c r="A135" s="170">
        <v>2021</v>
      </c>
      <c r="B135" s="281"/>
      <c r="C135" s="395" t="s">
        <v>1391</v>
      </c>
      <c r="D135" s="395"/>
      <c r="E135" s="170">
        <v>341</v>
      </c>
      <c r="F135" s="179"/>
      <c r="H135" s="170">
        <v>10</v>
      </c>
      <c r="I135" s="170">
        <v>6</v>
      </c>
      <c r="J135" s="240">
        <v>16</v>
      </c>
      <c r="K135" s="213"/>
      <c r="L135" s="213">
        <f>H135/J135*100</f>
        <v>62.5</v>
      </c>
      <c r="M135" s="213">
        <f t="shared" si="44"/>
        <v>37.5</v>
      </c>
      <c r="N135" s="234">
        <f>SUM(K135:M135)</f>
        <v>100</v>
      </c>
      <c r="O135" s="212"/>
      <c r="P135" s="213">
        <v>34.700000000000003</v>
      </c>
      <c r="Q135" s="213">
        <v>21.4</v>
      </c>
      <c r="R135" s="214">
        <f>SUM(O135:Q135)</f>
        <v>56.1</v>
      </c>
      <c r="S135" s="189">
        <v>2</v>
      </c>
      <c r="T135" s="283"/>
      <c r="U135" s="281"/>
      <c r="V135" s="177" t="s">
        <v>128</v>
      </c>
      <c r="W135" s="170" t="s">
        <v>17</v>
      </c>
      <c r="X135" s="170" t="s">
        <v>18</v>
      </c>
      <c r="Y135" s="178">
        <v>28.2</v>
      </c>
      <c r="Z135" s="170" t="s">
        <v>129</v>
      </c>
      <c r="AA135" s="170" t="s">
        <v>81</v>
      </c>
      <c r="AB135" s="170" t="s">
        <v>18</v>
      </c>
      <c r="AC135" s="170">
        <v>6.5</v>
      </c>
      <c r="AD135" s="177" t="s">
        <v>132</v>
      </c>
      <c r="AE135" s="170" t="s">
        <v>20</v>
      </c>
      <c r="AF135" s="170" t="s">
        <v>12</v>
      </c>
      <c r="AG135" s="178">
        <v>21.4</v>
      </c>
      <c r="AK135" s="178"/>
      <c r="AO135" s="178"/>
      <c r="AS135" s="178"/>
      <c r="AW135" s="178"/>
      <c r="BA135" s="179"/>
    </row>
    <row r="136" spans="1:53" s="28" customFormat="1" x14ac:dyDescent="0.15">
      <c r="A136" s="28">
        <v>2021</v>
      </c>
      <c r="B136" s="293">
        <v>44538</v>
      </c>
      <c r="C136" s="394" t="s">
        <v>1500</v>
      </c>
      <c r="D136" s="394"/>
      <c r="E136" s="28">
        <v>24</v>
      </c>
      <c r="F136" s="28">
        <v>1</v>
      </c>
      <c r="G136" s="65">
        <v>4</v>
      </c>
      <c r="I136" s="28">
        <v>13</v>
      </c>
      <c r="J136" s="72">
        <v>17</v>
      </c>
      <c r="K136" s="46">
        <f>G136/J136*100</f>
        <v>23.52941176470588</v>
      </c>
      <c r="L136" s="46">
        <f>H136/J136*100</f>
        <v>0</v>
      </c>
      <c r="M136" s="46">
        <f t="shared" si="44"/>
        <v>76.470588235294116</v>
      </c>
      <c r="N136" s="67">
        <f>SUM(K136:M136)</f>
        <v>100</v>
      </c>
      <c r="O136" s="45">
        <v>12.5</v>
      </c>
      <c r="P136" s="46"/>
      <c r="Q136" s="46">
        <v>44</v>
      </c>
      <c r="R136" s="47">
        <f>SUM(O136:Q136)</f>
        <v>56.5</v>
      </c>
      <c r="S136" s="28">
        <v>2</v>
      </c>
      <c r="T136" s="284">
        <v>44465</v>
      </c>
      <c r="U136" s="293">
        <v>44538</v>
      </c>
      <c r="V136" s="37" t="s">
        <v>132</v>
      </c>
      <c r="W136" s="28" t="s">
        <v>20</v>
      </c>
      <c r="X136" s="28" t="s">
        <v>12</v>
      </c>
      <c r="Y136" s="38">
        <v>28</v>
      </c>
      <c r="Z136" s="28" t="s">
        <v>544</v>
      </c>
      <c r="AA136" s="28" t="s">
        <v>216</v>
      </c>
      <c r="AB136" s="28" t="s">
        <v>12</v>
      </c>
      <c r="AC136" s="28">
        <v>16</v>
      </c>
      <c r="AD136" s="37" t="s">
        <v>131</v>
      </c>
      <c r="AE136" s="28" t="s">
        <v>22</v>
      </c>
      <c r="AF136" s="28" t="s">
        <v>11</v>
      </c>
      <c r="AG136" s="38">
        <v>12.5</v>
      </c>
      <c r="AL136" s="37"/>
      <c r="AO136" s="38"/>
      <c r="AP136" s="37"/>
      <c r="AS136" s="38"/>
      <c r="AW136" s="38"/>
      <c r="BA136" s="39"/>
    </row>
    <row r="137" spans="1:53" s="28" customFormat="1" x14ac:dyDescent="0.15">
      <c r="A137" s="28">
        <v>2022</v>
      </c>
      <c r="B137" s="293"/>
      <c r="C137" s="394" t="s">
        <v>1500</v>
      </c>
      <c r="D137" s="394"/>
      <c r="E137" s="28">
        <v>0</v>
      </c>
      <c r="G137" s="65">
        <v>4</v>
      </c>
      <c r="I137" s="28">
        <v>13</v>
      </c>
      <c r="J137" s="72">
        <v>17</v>
      </c>
      <c r="K137" s="46">
        <f t="shared" ref="K137" si="47">G137/J137*100</f>
        <v>23.52941176470588</v>
      </c>
      <c r="L137" s="46">
        <f>H137/J137*100</f>
        <v>0</v>
      </c>
      <c r="M137" s="46">
        <f t="shared" si="44"/>
        <v>76.470588235294116</v>
      </c>
      <c r="N137" s="67">
        <f t="shared" ref="N137" si="48">SUM(K137:M137)</f>
        <v>100</v>
      </c>
      <c r="O137" s="45">
        <v>12.5</v>
      </c>
      <c r="P137" s="46"/>
      <c r="Q137" s="46">
        <v>44</v>
      </c>
      <c r="R137" s="47">
        <f>SUM(O137:Q137)</f>
        <v>56.5</v>
      </c>
      <c r="S137" s="28">
        <v>2</v>
      </c>
      <c r="T137" s="284"/>
      <c r="U137" s="293"/>
      <c r="V137" s="37" t="s">
        <v>132</v>
      </c>
      <c r="W137" s="28" t="s">
        <v>20</v>
      </c>
      <c r="X137" s="28" t="s">
        <v>12</v>
      </c>
      <c r="Y137" s="38">
        <v>28</v>
      </c>
      <c r="Z137" s="28" t="s">
        <v>544</v>
      </c>
      <c r="AA137" s="28" t="s">
        <v>216</v>
      </c>
      <c r="AB137" s="28" t="s">
        <v>12</v>
      </c>
      <c r="AC137" s="28">
        <v>16</v>
      </c>
      <c r="AD137" s="37" t="s">
        <v>131</v>
      </c>
      <c r="AE137" s="28" t="s">
        <v>22</v>
      </c>
      <c r="AF137" s="28" t="s">
        <v>11</v>
      </c>
      <c r="AG137" s="38">
        <v>12.5</v>
      </c>
      <c r="AL137" s="37"/>
      <c r="AO137" s="38"/>
      <c r="AP137" s="37"/>
      <c r="AS137" s="38"/>
      <c r="AW137" s="38"/>
      <c r="BA137" s="39"/>
    </row>
    <row r="138" spans="1:53" s="28" customFormat="1" x14ac:dyDescent="0.15">
      <c r="A138" s="28">
        <v>2022</v>
      </c>
      <c r="B138" s="293"/>
      <c r="C138" s="394" t="s">
        <v>1500</v>
      </c>
      <c r="D138" s="394"/>
      <c r="E138" s="28">
        <v>365</v>
      </c>
      <c r="G138" s="65">
        <v>4</v>
      </c>
      <c r="I138" s="28">
        <v>13</v>
      </c>
      <c r="J138" s="72">
        <v>17</v>
      </c>
      <c r="K138" s="46">
        <f>G138/J138*100</f>
        <v>23.52941176470588</v>
      </c>
      <c r="L138" s="46">
        <f>H138/J138*100</f>
        <v>0</v>
      </c>
      <c r="M138" s="46">
        <f>I138/J138*100</f>
        <v>76.470588235294116</v>
      </c>
      <c r="N138" s="67">
        <f>SUM(K138:M138)</f>
        <v>100</v>
      </c>
      <c r="O138" s="45">
        <v>12.5</v>
      </c>
      <c r="P138" s="46"/>
      <c r="Q138" s="46">
        <v>44</v>
      </c>
      <c r="R138" s="47">
        <f>SUM(O138:Q138)</f>
        <v>56.5</v>
      </c>
      <c r="S138" s="28">
        <v>2</v>
      </c>
      <c r="T138" s="284"/>
      <c r="U138" s="293"/>
      <c r="V138" s="37" t="s">
        <v>132</v>
      </c>
      <c r="W138" s="28" t="s">
        <v>20</v>
      </c>
      <c r="X138" s="28" t="s">
        <v>12</v>
      </c>
      <c r="Y138" s="38">
        <v>28</v>
      </c>
      <c r="Z138" s="28" t="s">
        <v>544</v>
      </c>
      <c r="AA138" s="28" t="s">
        <v>216</v>
      </c>
      <c r="AB138" s="28" t="s">
        <v>12</v>
      </c>
      <c r="AC138" s="28">
        <v>16</v>
      </c>
      <c r="AD138" s="37" t="s">
        <v>131</v>
      </c>
      <c r="AE138" s="28" t="s">
        <v>22</v>
      </c>
      <c r="AF138" s="28" t="s">
        <v>11</v>
      </c>
      <c r="AG138" s="38">
        <v>12.5</v>
      </c>
      <c r="AL138" s="37"/>
      <c r="AO138" s="38"/>
      <c r="AP138" s="37"/>
      <c r="AS138" s="38"/>
      <c r="AW138" s="38"/>
      <c r="BA138" s="39"/>
    </row>
    <row r="139" spans="1:53" ht="18" customHeight="1" x14ac:dyDescent="0.15">
      <c r="B139" s="15" t="s">
        <v>1262</v>
      </c>
      <c r="AG139" s="16"/>
    </row>
    <row r="140" spans="1:53" ht="9" customHeight="1" x14ac:dyDescent="0.15"/>
    <row r="141" spans="1:53" s="194" customFormat="1" ht="9" customHeight="1" x14ac:dyDescent="0.15">
      <c r="A141" s="192"/>
      <c r="B141" s="193" t="s">
        <v>1213</v>
      </c>
      <c r="C141" s="193"/>
      <c r="D141" s="193"/>
      <c r="E141" s="193"/>
      <c r="F141" s="193"/>
      <c r="G141" s="193" t="s">
        <v>1214</v>
      </c>
      <c r="H141" s="193"/>
      <c r="I141" s="193"/>
      <c r="J141" s="193"/>
      <c r="K141" s="193"/>
      <c r="L141" s="193"/>
      <c r="M141" s="193"/>
      <c r="N141" s="193"/>
      <c r="R141" s="386" t="s">
        <v>1215</v>
      </c>
      <c r="S141" s="386"/>
      <c r="T141" s="386"/>
      <c r="U141" s="386"/>
      <c r="V141" s="386"/>
      <c r="W141" s="386"/>
      <c r="X141" s="195"/>
      <c r="Y141" s="195"/>
      <c r="AA141" s="195"/>
      <c r="AB141" s="195"/>
      <c r="AC141" s="195"/>
      <c r="AD141" s="195"/>
    </row>
    <row r="142" spans="1:53" s="199" customFormat="1" ht="9" customHeight="1" x14ac:dyDescent="0.15">
      <c r="A142" s="196"/>
      <c r="B142" s="197" t="s">
        <v>1217</v>
      </c>
      <c r="C142" s="198"/>
      <c r="D142" s="198"/>
      <c r="E142" s="198"/>
      <c r="F142" s="198"/>
      <c r="G142" s="197" t="s">
        <v>1216</v>
      </c>
      <c r="H142" s="198"/>
      <c r="I142" s="198"/>
      <c r="J142" s="198"/>
      <c r="K142" s="198"/>
      <c r="L142" s="198"/>
      <c r="M142" s="198"/>
      <c r="N142" s="198"/>
      <c r="R142" s="200" t="s">
        <v>1218</v>
      </c>
      <c r="S142" s="201"/>
      <c r="T142" s="202"/>
      <c r="U142" s="202"/>
      <c r="V142" s="202"/>
      <c r="W142" s="200" t="s">
        <v>1219</v>
      </c>
      <c r="X142" s="202"/>
      <c r="Y142" s="202"/>
      <c r="AA142" s="202"/>
      <c r="AB142" s="202"/>
      <c r="AC142" s="202"/>
      <c r="AD142" s="202"/>
    </row>
    <row r="143" spans="1:53" s="185" customFormat="1" ht="12" customHeight="1" x14ac:dyDescent="0.15">
      <c r="A143" s="203" t="s">
        <v>3</v>
      </c>
      <c r="B143" s="204" t="s">
        <v>8</v>
      </c>
      <c r="C143" s="204" t="s">
        <v>9</v>
      </c>
      <c r="D143" s="204" t="s">
        <v>10</v>
      </c>
      <c r="E143" s="205" t="s">
        <v>1193</v>
      </c>
      <c r="F143" s="204"/>
      <c r="G143" s="185" t="s">
        <v>3</v>
      </c>
      <c r="H143" s="387" t="s">
        <v>0</v>
      </c>
      <c r="I143" s="387"/>
      <c r="J143" s="387" t="s">
        <v>1</v>
      </c>
      <c r="K143" s="387"/>
      <c r="L143" s="387" t="s">
        <v>2</v>
      </c>
      <c r="M143" s="387"/>
      <c r="N143" s="388" t="s">
        <v>1193</v>
      </c>
      <c r="O143" s="388"/>
      <c r="P143" s="206"/>
      <c r="Q143" s="206"/>
      <c r="R143" s="207" t="s">
        <v>3</v>
      </c>
      <c r="S143" s="208" t="s">
        <v>135</v>
      </c>
      <c r="T143" s="206" t="s">
        <v>133</v>
      </c>
      <c r="U143" s="204" t="s">
        <v>134</v>
      </c>
      <c r="V143" s="206"/>
      <c r="W143" s="209" t="s">
        <v>26</v>
      </c>
    </row>
    <row r="144" spans="1:53" s="139" customFormat="1" x14ac:dyDescent="0.15">
      <c r="A144" s="139">
        <v>1959</v>
      </c>
      <c r="B144" s="142">
        <f xml:space="preserve"> (K6*($E6/365))+(K7*($E7/365))</f>
        <v>11.76470588235294</v>
      </c>
      <c r="C144" s="142">
        <f xml:space="preserve"> (L6*($E6/365))+(L7*($E7/365))</f>
        <v>88.235294117647058</v>
      </c>
      <c r="D144" s="142">
        <f xml:space="preserve"> (M6*($E6/365))+(M7*($E7/365))</f>
        <v>0</v>
      </c>
      <c r="E144" s="143">
        <f>B144+C144+D144</f>
        <v>100</v>
      </c>
      <c r="G144" s="139">
        <v>1959</v>
      </c>
      <c r="H144" s="389">
        <f>(O6/$R6*100*($E6/365))+(O7/$R7*100*($E7/365))</f>
        <v>5.8823529411764701</v>
      </c>
      <c r="I144" s="389"/>
      <c r="J144" s="389">
        <f>(P6/$R6*100*($E6/365))+(P7/$R7*100*($E7/365))</f>
        <v>94.117647058823522</v>
      </c>
      <c r="K144" s="389"/>
      <c r="L144" s="389">
        <f>(Q6/$R6*100*($E6/365))+(Q7/$R7*100*($E7/365))</f>
        <v>0</v>
      </c>
      <c r="M144" s="389"/>
      <c r="N144" s="400">
        <f>H144+J144+K144</f>
        <v>99.999999999999986</v>
      </c>
      <c r="O144" s="421"/>
      <c r="R144" s="139">
        <v>1959</v>
      </c>
      <c r="S144" s="142">
        <f>(O6*($E6/365))+(O7*($E7/365))</f>
        <v>3.4</v>
      </c>
      <c r="T144" s="142">
        <f>(P6*($E6/365))+(P7*($E7/365))</f>
        <v>54.4</v>
      </c>
      <c r="U144" s="142">
        <f>(Q6*($E6/365))+(Q7*($E7/365))</f>
        <v>0</v>
      </c>
      <c r="V144" s="152"/>
      <c r="W144" s="154">
        <f>S144+T144+U144</f>
        <v>57.8</v>
      </c>
      <c r="Y144" s="142"/>
    </row>
    <row r="145" spans="1:25" x14ac:dyDescent="0.15">
      <c r="A145" s="1">
        <v>1960</v>
      </c>
      <c r="B145" s="5">
        <f>(K8*($E8/366))+(K9*($E9/366))</f>
        <v>5.8502089360334288</v>
      </c>
      <c r="C145" s="5">
        <f>(L8*($E8/366))+(L9*($E9/366))</f>
        <v>94.149791063966575</v>
      </c>
      <c r="D145" s="5">
        <f>(M8*($E8/366))+(M9*($E9/366))</f>
        <v>0</v>
      </c>
      <c r="E145" s="17">
        <f>SUM(B145:D145)</f>
        <v>100</v>
      </c>
      <c r="G145" s="1">
        <v>1960</v>
      </c>
      <c r="H145" s="362">
        <f>(O8/$R8*100*($E8/366))+(O9/$R9*100*($E9/366))</f>
        <v>2.9251044680167144</v>
      </c>
      <c r="I145" s="362"/>
      <c r="J145" s="362">
        <f>(P8/$R8*100*($E8/366))+(P9/$R9*100*($E9/366))</f>
        <v>97.074895531983287</v>
      </c>
      <c r="K145" s="362"/>
      <c r="L145" s="362">
        <f>(Q8/$R8*100*($E8/366))+(Q9/$R9*100*($E9/366))</f>
        <v>0</v>
      </c>
      <c r="M145" s="362"/>
      <c r="N145" s="363">
        <f>SUM(H145:M145)</f>
        <v>100</v>
      </c>
      <c r="O145" s="420"/>
      <c r="R145" s="1">
        <v>1960</v>
      </c>
      <c r="S145" s="5">
        <f>(O8*($E8/366))+(O9*($E9/366))</f>
        <v>1.6907103825136611</v>
      </c>
      <c r="T145" s="5">
        <f>(P8*($E8/366))+(P9*($E9/366))</f>
        <v>54.4</v>
      </c>
      <c r="U145" s="5">
        <f>(Q8*($E8/366))+(Q9*($E9/366))</f>
        <v>0</v>
      </c>
      <c r="V145" s="9"/>
      <c r="W145" s="10">
        <f>SUM(S145:U145)</f>
        <v>56.090710382513663</v>
      </c>
      <c r="Y145" s="5"/>
    </row>
    <row r="146" spans="1:25" x14ac:dyDescent="0.15">
      <c r="A146" s="1">
        <v>1961</v>
      </c>
      <c r="B146" s="5">
        <f>(K10*($E10/365))+(K11*($E11/365))</f>
        <v>3.1311154598825826</v>
      </c>
      <c r="C146" s="5">
        <f>(L10*($E10/365))+(L11*($E11/365))</f>
        <v>96.868884540117421</v>
      </c>
      <c r="D146" s="5">
        <f>(M10*($E10/365))+(M11*($E11/365))</f>
        <v>0</v>
      </c>
      <c r="E146" s="17">
        <f t="shared" ref="E146:E198" si="49">SUM(B146:D146)</f>
        <v>100</v>
      </c>
      <c r="G146" s="1">
        <v>1961</v>
      </c>
      <c r="H146" s="362">
        <f>(O10/$R10*100*($E10/365))+(O11/$R11*100*($E11/365))</f>
        <v>2.8468364795184451</v>
      </c>
      <c r="I146" s="362"/>
      <c r="J146" s="362">
        <f>(P10/$R10*100*($E10/365))+(P11/$R11*100*($E11/365))</f>
        <v>97.153163520481556</v>
      </c>
      <c r="K146" s="362"/>
      <c r="L146" s="362">
        <f>(Q10/$R10*100*($E10/365))+(Q11/$R11*100*($E11/365))</f>
        <v>0</v>
      </c>
      <c r="M146" s="362"/>
      <c r="N146" s="363">
        <f>SUM(H146:M146)</f>
        <v>100</v>
      </c>
      <c r="O146" s="420"/>
      <c r="R146" s="1">
        <v>1961</v>
      </c>
      <c r="S146" s="5">
        <f>(O10*($E10/365))+(O11*($E11/365))</f>
        <v>1.7621917808219176</v>
      </c>
      <c r="T146" s="5">
        <f>(P10*($E10/365))+(P11*($E11/365))</f>
        <v>53.62410958904109</v>
      </c>
      <c r="U146" s="5">
        <f>(Q10*($E10/365))+(Q11*($E11/365))</f>
        <v>0</v>
      </c>
      <c r="V146" s="9"/>
      <c r="W146" s="10">
        <f t="shared" ref="W146:W198" si="50">SUM(S146:U146)</f>
        <v>55.386301369863006</v>
      </c>
      <c r="Y146" s="5"/>
    </row>
    <row r="147" spans="1:25" x14ac:dyDescent="0.15">
      <c r="A147" s="1">
        <v>1962</v>
      </c>
      <c r="B147" s="5">
        <f>(K12*($E12/365))+(K13*($E13/365))+(K14*($E14/365))</f>
        <v>22.178734507501627</v>
      </c>
      <c r="C147" s="5">
        <f>(L12*($E12/365))+(L13*($E13/365))+(L14*($E14/365))</f>
        <v>77.821265492498384</v>
      </c>
      <c r="D147" s="5">
        <f>(M12*($E12/365))+(M13*($E13/365))+(M14*($E14/365))</f>
        <v>0</v>
      </c>
      <c r="E147" s="17">
        <f t="shared" si="49"/>
        <v>100.00000000000001</v>
      </c>
      <c r="G147" s="1">
        <v>1962</v>
      </c>
      <c r="H147" s="362">
        <f>(O12/$R12*100*($E12/365))+(O13/$R13*100*($E13/365))+(O14/$R14*100*($E14/365))</f>
        <v>20.165091729922324</v>
      </c>
      <c r="I147" s="362"/>
      <c r="J147" s="362">
        <f>(P12/$R12*100*($E12/365))+(P13/$R13*100*($E13/365))+(P14/$R14*100*($E14/365))</f>
        <v>79.83490827007769</v>
      </c>
      <c r="K147" s="362"/>
      <c r="L147" s="362">
        <f>(Q12/$R12*100*($E12/365))+(Q13/$R13*100*($E13/365))+(Q14/$R14*100*($E14/365))</f>
        <v>0</v>
      </c>
      <c r="M147" s="362"/>
      <c r="N147" s="363">
        <f t="shared" ref="N147:N197" si="51">SUM(H147:M147)</f>
        <v>100.00000000000001</v>
      </c>
      <c r="O147" s="420"/>
      <c r="R147" s="1">
        <v>1962</v>
      </c>
      <c r="S147" s="5">
        <f>(O12*($E12/365))+(O13*($E13/365))+(O14*($E14/365))</f>
        <v>12.482191780821919</v>
      </c>
      <c r="T147" s="5">
        <f>(P12*($E12/365))+(P13*($E13/365))+(P14*($E14/365))</f>
        <v>48.5</v>
      </c>
      <c r="U147" s="5">
        <f>(Q12*($E12/365))+(Q13*($E13/365))+(Q14*($E14/365))</f>
        <v>0</v>
      </c>
      <c r="V147" s="9"/>
      <c r="W147" s="10">
        <f t="shared" si="50"/>
        <v>60.982191780821921</v>
      </c>
      <c r="Y147" s="5"/>
    </row>
    <row r="148" spans="1:25" x14ac:dyDescent="0.15">
      <c r="A148" s="1">
        <v>1963</v>
      </c>
      <c r="B148" s="5">
        <f>(K15*($E15/365))+(K16*($E16/365))</f>
        <v>24.060665362035223</v>
      </c>
      <c r="C148" s="5">
        <f>(L15*($E15/365))+(L16*($E16/365))</f>
        <v>75.939334637964777</v>
      </c>
      <c r="D148" s="5">
        <f>(M15*($E15/365))+(M16*($E16/365))</f>
        <v>0</v>
      </c>
      <c r="E148" s="17">
        <f t="shared" si="49"/>
        <v>100</v>
      </c>
      <c r="G148" s="1">
        <v>1963</v>
      </c>
      <c r="H148" s="362">
        <f>(O15/$R15*100*($E15/365))+(O16/$R16*100*($E16/365))</f>
        <v>21.647819063004846</v>
      </c>
      <c r="I148" s="362"/>
      <c r="J148" s="362">
        <f>(P15/$R15*100*($E15/365))+(P16/$R16*100*($E16/365))</f>
        <v>78.352180936995154</v>
      </c>
      <c r="K148" s="362"/>
      <c r="L148" s="362">
        <f>(Q15/$R15*100*($E15/365))+(Q16/$R16*100*($E16/365))</f>
        <v>0</v>
      </c>
      <c r="M148" s="362"/>
      <c r="N148" s="363">
        <f t="shared" si="51"/>
        <v>100</v>
      </c>
      <c r="O148" s="420"/>
      <c r="R148" s="1">
        <v>1963</v>
      </c>
      <c r="S148" s="5">
        <f>(O15*($E15/365))+(O16*($E16/365))</f>
        <v>13.4</v>
      </c>
      <c r="T148" s="5">
        <f>(P15*($E15/365))+(P16*($E16/365))</f>
        <v>48.5</v>
      </c>
      <c r="U148" s="5">
        <f>(Q15*($E15/365))+(Q16*($E16/365))</f>
        <v>0</v>
      </c>
      <c r="V148" s="9"/>
      <c r="W148" s="10">
        <f t="shared" si="50"/>
        <v>61.9</v>
      </c>
      <c r="Y148" s="5"/>
    </row>
    <row r="149" spans="1:25" x14ac:dyDescent="0.15">
      <c r="A149" s="1">
        <v>1964</v>
      </c>
      <c r="B149" s="5">
        <f>(K17*($E17/366))+(K18*($E18/366))</f>
        <v>25</v>
      </c>
      <c r="C149" s="5">
        <f>(L17*($E17/366))+(L18*($E18/366))</f>
        <v>75</v>
      </c>
      <c r="D149" s="5">
        <f>(M17*($E17/366))+(M18*($E18/366))</f>
        <v>0</v>
      </c>
      <c r="E149" s="17">
        <f t="shared" si="49"/>
        <v>100</v>
      </c>
      <c r="G149" s="1">
        <v>1964</v>
      </c>
      <c r="H149" s="362">
        <f>(O17/$R17*100*($E17/366))+(O18/$R18*100*($E18/366))</f>
        <v>21.647819063004846</v>
      </c>
      <c r="I149" s="362"/>
      <c r="J149" s="362">
        <f>(P17/$R17*100*($E17/366))+(P18/$R18*100*($E18/366))</f>
        <v>78.352180936995154</v>
      </c>
      <c r="K149" s="362"/>
      <c r="L149" s="362">
        <f>(Q17/$R17*100*($E17/366))+(Q18/$R18*100*($E18/366))</f>
        <v>0</v>
      </c>
      <c r="M149" s="362"/>
      <c r="N149" s="363">
        <f t="shared" si="51"/>
        <v>100</v>
      </c>
      <c r="O149" s="420"/>
      <c r="R149" s="1">
        <v>1964</v>
      </c>
      <c r="S149" s="5">
        <f>(O17*($E17/366))+(O18*($E18/366))</f>
        <v>13.4</v>
      </c>
      <c r="T149" s="5">
        <f>(P17*($E17/366))+(P18*($E18/366))</f>
        <v>48.5</v>
      </c>
      <c r="U149" s="5">
        <f>(Q17*($E17/366))+(Q18*($E18/366))</f>
        <v>0</v>
      </c>
      <c r="V149" s="9"/>
      <c r="W149" s="10">
        <f t="shared" si="50"/>
        <v>61.9</v>
      </c>
      <c r="Y149" s="5"/>
    </row>
    <row r="150" spans="1:25" x14ac:dyDescent="0.15">
      <c r="A150" s="1">
        <v>1965</v>
      </c>
      <c r="B150" s="5">
        <f>(K19*($E19/365))+(K20*($E20/365))</f>
        <v>23.907371167645138</v>
      </c>
      <c r="C150" s="5">
        <f>(L19*($E19/365))+(L20*($E20/365))</f>
        <v>76.092628832354862</v>
      </c>
      <c r="D150" s="5">
        <f>(M19*($E19/365))+(M20*($E20/365))</f>
        <v>0</v>
      </c>
      <c r="E150" s="17">
        <f t="shared" si="49"/>
        <v>100</v>
      </c>
      <c r="G150" s="1">
        <v>1965</v>
      </c>
      <c r="H150" s="362">
        <f>(O19/$R19*100*($E19/365))+(O20/$R20*100*($E20/365))</f>
        <v>20.738629665272189</v>
      </c>
      <c r="I150" s="362"/>
      <c r="J150" s="362">
        <f>(P19/$R19*100*($E19/365))+(P20/$R20*100*($E20/365))</f>
        <v>79.261370334727815</v>
      </c>
      <c r="K150" s="362"/>
      <c r="L150" s="362">
        <f>(Q19/$R19*100*($E19/365))+(Q20/$R20*100*($E20/365))</f>
        <v>0</v>
      </c>
      <c r="M150" s="362"/>
      <c r="N150" s="363">
        <f t="shared" si="51"/>
        <v>100</v>
      </c>
      <c r="O150" s="420"/>
      <c r="R150" s="1">
        <v>1965</v>
      </c>
      <c r="S150" s="5">
        <f>(O19*($E19/365))+(O20*($E20/365))</f>
        <v>12.757534246575341</v>
      </c>
      <c r="T150" s="5">
        <f>(P19*($E19/365))+(P20*($E20/365))</f>
        <v>48.665205479452055</v>
      </c>
      <c r="U150" s="5">
        <f>(Q19*($E19/365))+(Q20*($E20/365))</f>
        <v>0</v>
      </c>
      <c r="V150" s="9"/>
      <c r="W150" s="10">
        <f t="shared" si="50"/>
        <v>61.422739726027395</v>
      </c>
      <c r="Y150" s="5"/>
    </row>
    <row r="151" spans="1:25" x14ac:dyDescent="0.15">
      <c r="A151" s="1">
        <v>1966</v>
      </c>
      <c r="B151" s="5">
        <f>(K21*($E21/365))+(K22*($E22/365))+(K23*($E23/365))</f>
        <v>15.655577299412915</v>
      </c>
      <c r="C151" s="5">
        <f>(L21*($E21/365))+(L22*($E22/365))+(L23*($E23/365))</f>
        <v>80.522504892367905</v>
      </c>
      <c r="D151" s="5">
        <f>(M21*($E21/365))+(M22*($E22/365))+(M23*($E23/365))</f>
        <v>3.8219178082191778</v>
      </c>
      <c r="E151" s="17">
        <f t="shared" si="49"/>
        <v>100</v>
      </c>
      <c r="G151" s="1">
        <v>1966</v>
      </c>
      <c r="H151" s="362">
        <f>(O21/$R21*100*($E21/365))+(O22/$R22*100*($E22/365))+(O23/$R23*100*($E23/365))</f>
        <v>13.72173069370972</v>
      </c>
      <c r="I151" s="362"/>
      <c r="J151" s="362">
        <f>(P21/$R21*100*($E21/365))+(P22/$R22*100*($E22/365))+(P23/$R23*100*($E23/365))</f>
        <v>82.441740639512119</v>
      </c>
      <c r="K151" s="362"/>
      <c r="L151" s="362">
        <f>(Q21/$R21*100*($E21/365))+(Q22/$R22*100*($E22/365))+(Q23/$R23*100*($E23/365))</f>
        <v>3.8365286667781615</v>
      </c>
      <c r="M151" s="362"/>
      <c r="N151" s="363">
        <f t="shared" si="51"/>
        <v>100</v>
      </c>
      <c r="O151" s="420"/>
      <c r="R151" s="1">
        <v>1966</v>
      </c>
      <c r="S151" s="5">
        <f>(O21*($E21/365))+(O22*($E22/365))+(O23*($E23/365))</f>
        <v>8.1369863013698627</v>
      </c>
      <c r="T151" s="5">
        <f>(P21*($E21/365))+(P22*($E22/365))+(P23*($E23/365))</f>
        <v>49.399999999999991</v>
      </c>
      <c r="U151" s="5">
        <f>(Q21*($E21/365))+(Q22*($E22/365))+(Q23*($E23/365))</f>
        <v>3.4567123287671233</v>
      </c>
      <c r="V151" s="9"/>
      <c r="W151" s="10">
        <f t="shared" si="50"/>
        <v>60.993698630136976</v>
      </c>
      <c r="Y151" s="5"/>
    </row>
    <row r="152" spans="1:25" x14ac:dyDescent="0.15">
      <c r="A152" s="1">
        <v>1967</v>
      </c>
      <c r="B152" s="5">
        <f>(K24*($E24/365))+(K25*($E25/365))</f>
        <v>0</v>
      </c>
      <c r="C152" s="5">
        <f>(L24*($E24/365))+(L25*($E25/365))</f>
        <v>55.000000000000007</v>
      </c>
      <c r="D152" s="5">
        <f>(M24*($E24/365))+(M25*($E25/365))</f>
        <v>45</v>
      </c>
      <c r="E152" s="17">
        <f t="shared" si="49"/>
        <v>100</v>
      </c>
      <c r="G152" s="1">
        <v>1967</v>
      </c>
      <c r="H152" s="362">
        <f>(O24/$R24*100*($E24/365))+(O25/$R25*100*($E25/365))</f>
        <v>0</v>
      </c>
      <c r="I152" s="362"/>
      <c r="J152" s="362">
        <f>(P24/$R24*100*($E24/365))+(P25/$R25*100*($E25/365))</f>
        <v>54.827968923418425</v>
      </c>
      <c r="K152" s="362"/>
      <c r="L152" s="362">
        <f>(Q24/$R24*100*($E24/365))+(Q25/$R25*100*($E25/365))</f>
        <v>45.172031076581582</v>
      </c>
      <c r="M152" s="362"/>
      <c r="N152" s="363">
        <f t="shared" si="51"/>
        <v>100</v>
      </c>
      <c r="O152" s="420"/>
      <c r="R152" s="1">
        <v>1967</v>
      </c>
      <c r="S152" s="5">
        <f>(O24*($E24/365))+(O25*($E25/365))</f>
        <v>0</v>
      </c>
      <c r="T152" s="5">
        <f>(P24*($E24/365))+(P25*($E25/365))</f>
        <v>49.4</v>
      </c>
      <c r="U152" s="5">
        <f>(Q24*($E24/365))+(Q25*($E25/365))</f>
        <v>40.700000000000003</v>
      </c>
      <c r="V152" s="9"/>
      <c r="W152" s="10">
        <f t="shared" si="50"/>
        <v>90.1</v>
      </c>
      <c r="Y152" s="5"/>
    </row>
    <row r="153" spans="1:25" x14ac:dyDescent="0.15">
      <c r="A153" s="1">
        <v>1968</v>
      </c>
      <c r="B153" s="5">
        <f>(K26*($E26/366))+(K27*($E27/366))</f>
        <v>0</v>
      </c>
      <c r="C153" s="5">
        <f>(L26*($E26/366))+(L27*($E27/366))</f>
        <v>55.000000000000007</v>
      </c>
      <c r="D153" s="5">
        <f>(M26*($E26/366))+(M27*($E27/366))</f>
        <v>45</v>
      </c>
      <c r="E153" s="17">
        <f t="shared" si="49"/>
        <v>100</v>
      </c>
      <c r="G153" s="1">
        <v>1968</v>
      </c>
      <c r="H153" s="362">
        <f>(O26/$R26*100*($E26/366))+(O27/$R27*100*($E27/366))</f>
        <v>0</v>
      </c>
      <c r="I153" s="362"/>
      <c r="J153" s="362">
        <f>(P26/$R26*100*($E26/366))+(P27/$R27*100*($E27/366))</f>
        <v>54.827968923418425</v>
      </c>
      <c r="K153" s="362"/>
      <c r="L153" s="362">
        <f>(Q26/$R26*100*($E26/366))+(Q27/$R27*100*($E27/366))</f>
        <v>45.172031076581582</v>
      </c>
      <c r="M153" s="362"/>
      <c r="N153" s="363">
        <f t="shared" si="51"/>
        <v>100</v>
      </c>
      <c r="O153" s="420"/>
      <c r="R153" s="1">
        <v>1968</v>
      </c>
      <c r="S153" s="5">
        <f>(O26*($E26/366))+(O27*($E27/366))</f>
        <v>0</v>
      </c>
      <c r="T153" s="5">
        <f>(P26*($E26/366))+(P27*($E27/366))</f>
        <v>49.4</v>
      </c>
      <c r="U153" s="5">
        <f>(Q26*($E26/366))+(Q27*($E27/366))</f>
        <v>40.700000000000003</v>
      </c>
      <c r="V153" s="9"/>
      <c r="W153" s="10">
        <f t="shared" si="50"/>
        <v>90.1</v>
      </c>
      <c r="Y153" s="5"/>
    </row>
    <row r="154" spans="1:25" x14ac:dyDescent="0.15">
      <c r="A154" s="1">
        <v>1969</v>
      </c>
      <c r="B154" s="5">
        <f>(K28*($E28/365))+(K29*($E29/365))</f>
        <v>3.647260273972603</v>
      </c>
      <c r="C154" s="5">
        <f>(L28*($E28/365))+(L29*($E29/365))</f>
        <v>44.301369863013704</v>
      </c>
      <c r="D154" s="5">
        <f>(M28*($E28/365))+(M29*($E29/365))</f>
        <v>50.835616438356169</v>
      </c>
      <c r="E154" s="17">
        <f t="shared" si="49"/>
        <v>98.784246575342479</v>
      </c>
      <c r="G154" s="1">
        <v>1969</v>
      </c>
      <c r="H154" s="362">
        <f>(O28/$R28*100*($E28/365))+(O29/$R29*100*($E29/365))</f>
        <v>2.2795376712328768</v>
      </c>
      <c r="I154" s="362"/>
      <c r="J154" s="362">
        <f>(P28/$R28*100*($E28/365))+(P29/$R29*100*($E29/365))</f>
        <v>44.162802365712373</v>
      </c>
      <c r="K154" s="362"/>
      <c r="L154" s="362">
        <f>(Q28/$R28*100*($E28/365))+(Q29/$R29*100*($E29/365))</f>
        <v>53.557659963054761</v>
      </c>
      <c r="M154" s="362"/>
      <c r="N154" s="363">
        <f t="shared" si="51"/>
        <v>100.00000000000001</v>
      </c>
      <c r="O154" s="420"/>
      <c r="R154" s="1">
        <v>1969</v>
      </c>
      <c r="S154" s="5">
        <f>(O28*($E28/365))+(O29*($E29/365))</f>
        <v>1.167123287671233</v>
      </c>
      <c r="T154" s="5">
        <f>(P28*($E28/365))+(P29*($E29/365))</f>
        <v>39.790684931506853</v>
      </c>
      <c r="U154" s="5">
        <f>(Q28*($E28/365))+(Q29*($E29/365))</f>
        <v>41.57534246575343</v>
      </c>
      <c r="V154" s="9"/>
      <c r="W154" s="10">
        <f t="shared" si="50"/>
        <v>82.533150684931513</v>
      </c>
      <c r="Y154" s="5"/>
    </row>
    <row r="155" spans="1:25" x14ac:dyDescent="0.15">
      <c r="A155" s="1">
        <v>1970</v>
      </c>
      <c r="B155" s="5">
        <f>(K30*($E30/365))+(K31*($E31/365))</f>
        <v>18.75</v>
      </c>
      <c r="C155" s="5">
        <f>(L30*($E30/365))+(L31*($E31/365))</f>
        <v>0</v>
      </c>
      <c r="D155" s="5">
        <f>(M30*($E30/365))+(M31*($E31/365))</f>
        <v>75</v>
      </c>
      <c r="E155" s="17">
        <f t="shared" si="49"/>
        <v>93.75</v>
      </c>
      <c r="G155" s="1">
        <v>1970</v>
      </c>
      <c r="H155" s="362">
        <f>(O30/$R30*100*($E30/365))+(O31/$R31*100*($E31/365))</f>
        <v>11.71875</v>
      </c>
      <c r="I155" s="362"/>
      <c r="J155" s="362">
        <f>(P30/$R30*100*($E30/365))+(P31/$R31*100*($E31/365))</f>
        <v>0</v>
      </c>
      <c r="K155" s="362"/>
      <c r="L155" s="362">
        <f>(Q30/$R30*100*($E30/365))+(Q31/$R31*100*($E31/365))</f>
        <v>88.28125</v>
      </c>
      <c r="M155" s="362"/>
      <c r="N155" s="363">
        <f t="shared" si="51"/>
        <v>100</v>
      </c>
      <c r="O155" s="420"/>
      <c r="R155" s="1">
        <v>1970</v>
      </c>
      <c r="S155" s="5">
        <f>(O30*($E30/365))+(O31*($E31/365))</f>
        <v>6</v>
      </c>
      <c r="T155" s="5">
        <f>(P30*($E30/365))+(P31*($E31/365))</f>
        <v>0</v>
      </c>
      <c r="U155" s="5">
        <f>(Q30*($E30/365))+(Q31*($E31/365))</f>
        <v>45.2</v>
      </c>
      <c r="V155" s="9"/>
      <c r="W155" s="10">
        <f t="shared" si="50"/>
        <v>51.2</v>
      </c>
      <c r="Y155" s="5"/>
    </row>
    <row r="156" spans="1:25" x14ac:dyDescent="0.15">
      <c r="A156" s="1">
        <v>1971</v>
      </c>
      <c r="B156" s="5">
        <f>(K32*($E32/365))+(K33*($E33/365))</f>
        <v>18.75</v>
      </c>
      <c r="C156" s="5">
        <f>(L32*($E32/365))+(L33*($E33/365))</f>
        <v>0</v>
      </c>
      <c r="D156" s="5">
        <f>(M32*($E32/365))+(M33*($E33/365))</f>
        <v>75</v>
      </c>
      <c r="E156" s="17">
        <f t="shared" si="49"/>
        <v>93.75</v>
      </c>
      <c r="G156" s="1">
        <v>1971</v>
      </c>
      <c r="H156" s="362">
        <f>(O32/$R32*100*($E32/365))+(O33/$R33*100*($E33/365))</f>
        <v>11.71875</v>
      </c>
      <c r="I156" s="362"/>
      <c r="J156" s="362">
        <f>(P32/$R32*100*($E32/365))+(P33/$R33*100*($E33/365))</f>
        <v>0</v>
      </c>
      <c r="K156" s="362"/>
      <c r="L156" s="362">
        <f>(Q32/$R32*100*($E32/365))+(Q33/$R33*100*($E33/365))</f>
        <v>88.28125</v>
      </c>
      <c r="M156" s="362"/>
      <c r="N156" s="363">
        <f t="shared" si="51"/>
        <v>100</v>
      </c>
      <c r="O156" s="420"/>
      <c r="R156" s="1">
        <v>1971</v>
      </c>
      <c r="S156" s="5">
        <f>(O32*($E32/365))+(O33*($E33/365))</f>
        <v>6</v>
      </c>
      <c r="T156" s="5">
        <f>(P32*($E32/365))+(P33*($E33/365))</f>
        <v>0</v>
      </c>
      <c r="U156" s="5">
        <f>(Q32*($E32/365))+(Q33*($E33/365))</f>
        <v>45.2</v>
      </c>
      <c r="V156" s="9"/>
      <c r="W156" s="10">
        <f t="shared" si="50"/>
        <v>51.2</v>
      </c>
      <c r="Y156" s="5"/>
    </row>
    <row r="157" spans="1:25" x14ac:dyDescent="0.15">
      <c r="A157" s="1">
        <v>1972</v>
      </c>
      <c r="B157" s="5">
        <f>(K34*($E34/366))+(K35*($E35/366))+(K36*($E36/366))</f>
        <v>19.169323011536129</v>
      </c>
      <c r="C157" s="5">
        <f>(L34*($E34/366))+(L35*($E35/366))+(L36*($E36/366))</f>
        <v>0</v>
      </c>
      <c r="D157" s="5">
        <f>(M34*($E34/366))+(M35*($E35/366))+(M36*($E36/366))</f>
        <v>78.491196114146945</v>
      </c>
      <c r="E157" s="17">
        <f t="shared" si="49"/>
        <v>97.660519125683066</v>
      </c>
      <c r="G157" s="1">
        <v>1972</v>
      </c>
      <c r="H157" s="362">
        <f>(O34/$R34*100*($E34/366))+(O35/$R35*100*($E35/366))+(O36/$R36*100*($E36/366))</f>
        <v>11.879224639364242</v>
      </c>
      <c r="I157" s="362"/>
      <c r="J157" s="362">
        <f>(P34/$R34*100*($E34/366))+(P35/$R35*100*($E35/366))+(P36/$R36*100*($E36/366))</f>
        <v>0</v>
      </c>
      <c r="K157" s="362"/>
      <c r="L157" s="362">
        <f>(Q34/$R34*100*($E34/366))+(Q35/$R35*100*($E35/366))+(Q36/$R36*100*($E36/366))</f>
        <v>88.120775360635747</v>
      </c>
      <c r="M157" s="362"/>
      <c r="N157" s="363">
        <f t="shared" si="51"/>
        <v>99.999999999999986</v>
      </c>
      <c r="O157" s="420"/>
      <c r="R157" s="1">
        <v>1972</v>
      </c>
      <c r="S157" s="5">
        <f>(O34*($E34/366))+(O35*($E35/366))+(O36*($E36/366))</f>
        <v>6.1068306010928959</v>
      </c>
      <c r="T157" s="5">
        <f>(P34*($E34/366))+(P35*($E35/366))+(P36*($E36/366))</f>
        <v>0</v>
      </c>
      <c r="U157" s="5">
        <f>(Q34*($E34/366))+(Q35*($E35/366))+(Q36*($E36/366))</f>
        <v>45.255737704918033</v>
      </c>
      <c r="V157" s="9"/>
      <c r="W157" s="10">
        <f t="shared" si="50"/>
        <v>51.362568306010928</v>
      </c>
      <c r="Y157" s="5"/>
    </row>
    <row r="158" spans="1:25" x14ac:dyDescent="0.15">
      <c r="A158" s="1">
        <v>1973</v>
      </c>
      <c r="B158" s="5">
        <f>(K37*($E37/365))+(K38*($E38/365))</f>
        <v>27.777777777777779</v>
      </c>
      <c r="C158" s="5">
        <f>(L37*($E37/365))+(L38*($E38/365))</f>
        <v>0</v>
      </c>
      <c r="D158" s="5">
        <f>(M37*($E37/365))+(M38*($E38/365))</f>
        <v>72.222222222222214</v>
      </c>
      <c r="E158" s="17">
        <f t="shared" si="49"/>
        <v>100</v>
      </c>
      <c r="G158" s="1">
        <v>1973</v>
      </c>
      <c r="H158" s="362">
        <f>(O37/$R37*100*($E37/365))+(O38/$R38*100*($E38/365))</f>
        <v>15.173674588665447</v>
      </c>
      <c r="I158" s="362"/>
      <c r="J158" s="362">
        <f>(P37/$R37*100*($E37/365))+(P38/$R38*100*($E38/365))</f>
        <v>0</v>
      </c>
      <c r="K158" s="362"/>
      <c r="L158" s="362">
        <f>(Q37/$R37*100*($E37/365))+(Q38/$R38*100*($E38/365))</f>
        <v>84.826325411334551</v>
      </c>
      <c r="M158" s="362"/>
      <c r="N158" s="363">
        <f t="shared" si="51"/>
        <v>100</v>
      </c>
      <c r="O158" s="420"/>
      <c r="R158" s="1">
        <v>1973</v>
      </c>
      <c r="S158" s="5">
        <f>(O37*($E37/365))+(O38*($E38/365))</f>
        <v>8.3000000000000007</v>
      </c>
      <c r="T158" s="5">
        <f>(P37*($E37/365))+(P38*($E38/365))</f>
        <v>0</v>
      </c>
      <c r="U158" s="5">
        <f>(Q37*($E37/365))+(Q38*($E38/365))</f>
        <v>46.4</v>
      </c>
      <c r="V158" s="9"/>
      <c r="W158" s="10">
        <f t="shared" si="50"/>
        <v>54.7</v>
      </c>
      <c r="Y158" s="5"/>
    </row>
    <row r="159" spans="1:25" x14ac:dyDescent="0.15">
      <c r="A159" s="1">
        <v>1974</v>
      </c>
      <c r="B159" s="5">
        <f>(K39*($E39/365))+(K40*($E40/365))</f>
        <v>26.027397260273972</v>
      </c>
      <c r="C159" s="5">
        <f>(L39*($E39/365))+(L40*($E40/365))</f>
        <v>0</v>
      </c>
      <c r="D159" s="5">
        <f>(M39*($E39/365))+(M40*($E40/365))</f>
        <v>73.972602739726028</v>
      </c>
      <c r="E159" s="17">
        <f t="shared" si="49"/>
        <v>100</v>
      </c>
      <c r="G159" s="1">
        <v>1974</v>
      </c>
      <c r="H159" s="362">
        <f>(O39/$R39*100*($E39/365))+(O40/$R40*100*($E40/365))</f>
        <v>15.173674588665445</v>
      </c>
      <c r="I159" s="362"/>
      <c r="J159" s="362">
        <f>(P39/$R39*100*($E39/365))+(P40/$R40*100*($E40/365))</f>
        <v>0</v>
      </c>
      <c r="K159" s="362"/>
      <c r="L159" s="362">
        <f>(Q39/$R39*100*($E39/365))+(Q40/$R40*100*($E40/365))</f>
        <v>84.826325411334551</v>
      </c>
      <c r="M159" s="362"/>
      <c r="N159" s="363">
        <f t="shared" si="51"/>
        <v>100</v>
      </c>
      <c r="O159" s="420"/>
      <c r="R159" s="1">
        <v>1974</v>
      </c>
      <c r="S159" s="5">
        <f>(O39*($E39/365))+(O40*($E40/365))</f>
        <v>8.3000000000000007</v>
      </c>
      <c r="T159" s="5">
        <f>(P39*($E39/365))+(P40*($E40/365))</f>
        <v>0</v>
      </c>
      <c r="U159" s="5">
        <f>(Q39*($E39/365))+(Q40*($E40/365))</f>
        <v>46.4</v>
      </c>
      <c r="V159" s="9"/>
      <c r="W159" s="10">
        <f t="shared" si="50"/>
        <v>54.7</v>
      </c>
      <c r="Y159" s="5"/>
    </row>
    <row r="160" spans="1:25" x14ac:dyDescent="0.15">
      <c r="A160" s="1">
        <v>1975</v>
      </c>
      <c r="B160" s="5">
        <f>(K41*($E41/365))+(K42*($E42/365))</f>
        <v>25</v>
      </c>
      <c r="C160" s="5">
        <f>(L41*($E41/365))+(L42*($E42/365))</f>
        <v>0</v>
      </c>
      <c r="D160" s="5">
        <f>(M41*($E41/365))+(M42*($E42/365))</f>
        <v>75</v>
      </c>
      <c r="E160" s="17">
        <f t="shared" si="49"/>
        <v>100</v>
      </c>
      <c r="G160" s="1">
        <v>1975</v>
      </c>
      <c r="H160" s="362">
        <f>(O41/$R41*100*($E41/365))+(O42/$R42*100*($E42/365))</f>
        <v>15.173674588665447</v>
      </c>
      <c r="I160" s="362"/>
      <c r="J160" s="362">
        <f>(P41/$R41*100*($E41/365))+(P42/$R42*100*($E42/365))</f>
        <v>0</v>
      </c>
      <c r="K160" s="362"/>
      <c r="L160" s="362">
        <f>(Q41/$R41*100*($E41/365))+(Q42/$R42*100*($E42/365))</f>
        <v>84.826325411334551</v>
      </c>
      <c r="M160" s="362"/>
      <c r="N160" s="363">
        <f t="shared" si="51"/>
        <v>100</v>
      </c>
      <c r="O160" s="420"/>
      <c r="R160" s="1">
        <v>1975</v>
      </c>
      <c r="S160" s="5">
        <f>(O41*($E41/365))+(O42*($E42/365))</f>
        <v>8.3000000000000007</v>
      </c>
      <c r="T160" s="5">
        <f>(P41*($E41/365))+(P42*($E42/365))</f>
        <v>0</v>
      </c>
      <c r="U160" s="5">
        <f>(Q41*($E41/365))+(Q42*($E42/365))</f>
        <v>46.4</v>
      </c>
      <c r="V160" s="9"/>
      <c r="W160" s="10">
        <f t="shared" si="50"/>
        <v>54.7</v>
      </c>
      <c r="Y160" s="5"/>
    </row>
    <row r="161" spans="1:25" x14ac:dyDescent="0.15">
      <c r="A161" s="1">
        <v>1976</v>
      </c>
      <c r="B161" s="5">
        <f>(K43*($E43/366))+(K44*($E44/366))</f>
        <v>25</v>
      </c>
      <c r="C161" s="5">
        <f>(L43*($E43/366))+(L44*($E44/366))</f>
        <v>0</v>
      </c>
      <c r="D161" s="5">
        <f>(M43*($E43/366))+(M44*($E44/366))</f>
        <v>74.999999999999986</v>
      </c>
      <c r="E161" s="17">
        <f t="shared" si="49"/>
        <v>99.999999999999986</v>
      </c>
      <c r="G161" s="1">
        <v>1976</v>
      </c>
      <c r="H161" s="362">
        <f>(O43/$R43*100*($E43/366))+(O44/$R44*100*($E44/366))</f>
        <v>15.188376406496104</v>
      </c>
      <c r="I161" s="362"/>
      <c r="J161" s="362">
        <f>(P43/$R43*100*($E43/366))+(P44/$R44*100*($E44/366))</f>
        <v>0</v>
      </c>
      <c r="K161" s="362"/>
      <c r="L161" s="362">
        <f>(Q43/$R43*100*($E43/366))+(Q44/$R44*100*($E44/366))</f>
        <v>84.811623593503882</v>
      </c>
      <c r="M161" s="362"/>
      <c r="N161" s="363">
        <f t="shared" si="51"/>
        <v>99.999999999999986</v>
      </c>
      <c r="O161" s="420"/>
      <c r="R161" s="1">
        <v>1976</v>
      </c>
      <c r="S161" s="5">
        <f>(O43*($E43/366))+(O44*($E44/366))</f>
        <v>8.2814207650273222</v>
      </c>
      <c r="T161" s="5">
        <f>(P43*($E43/366))+(P44*($E44/366))</f>
        <v>0</v>
      </c>
      <c r="U161" s="5">
        <f>(Q43*($E43/366))+(Q44*($E44/366))</f>
        <v>46.246721311475405</v>
      </c>
      <c r="V161" s="9"/>
      <c r="W161" s="10">
        <f t="shared" si="50"/>
        <v>54.528142076502725</v>
      </c>
      <c r="Y161" s="5"/>
    </row>
    <row r="162" spans="1:25" x14ac:dyDescent="0.15">
      <c r="A162" s="1">
        <v>1977</v>
      </c>
      <c r="B162" s="5">
        <f>(K45*($E45/365))+(K46*($E46/365))</f>
        <v>25</v>
      </c>
      <c r="C162" s="5">
        <f>(L45*($E45/365))+(L46*($E46/365))</f>
        <v>0</v>
      </c>
      <c r="D162" s="5">
        <f>(M45*($E45/365))+(M46*($E46/365))</f>
        <v>75</v>
      </c>
      <c r="E162" s="17">
        <f t="shared" si="49"/>
        <v>100</v>
      </c>
      <c r="G162" s="1">
        <v>1977</v>
      </c>
      <c r="H162" s="362">
        <f>(O45/$R45*100*($E45/365))+(O46/$R46*100*($E46/365))</f>
        <v>15.490196078431373</v>
      </c>
      <c r="I162" s="362"/>
      <c r="J162" s="362">
        <f>(P45/$R45*100*($E45/365))+(P46/$R46*100*($E46/365))</f>
        <v>0</v>
      </c>
      <c r="K162" s="362"/>
      <c r="L162" s="362">
        <f>(Q45/$R45*100*($E45/365))+(Q46/$R46*100*($E46/365))</f>
        <v>84.509803921568633</v>
      </c>
      <c r="M162" s="362"/>
      <c r="N162" s="363">
        <f t="shared" si="51"/>
        <v>100</v>
      </c>
      <c r="O162" s="420"/>
      <c r="R162" s="1">
        <v>1977</v>
      </c>
      <c r="S162" s="5">
        <f>(O45*($E45/365))+(O46*($E46/365))</f>
        <v>7.9</v>
      </c>
      <c r="T162" s="5">
        <f>(P45*($E45/365))+(P46*($E46/365))</f>
        <v>0</v>
      </c>
      <c r="U162" s="5">
        <f>(Q45*($E45/365))+(Q46*($E46/365))</f>
        <v>43.1</v>
      </c>
      <c r="V162" s="9"/>
      <c r="W162" s="10">
        <f t="shared" si="50"/>
        <v>51</v>
      </c>
      <c r="Y162" s="5"/>
    </row>
    <row r="163" spans="1:25" x14ac:dyDescent="0.15">
      <c r="A163" s="1">
        <v>1978</v>
      </c>
      <c r="B163" s="5">
        <f>(K47*($E47/365))+(K48*($E48/365))</f>
        <v>25</v>
      </c>
      <c r="C163" s="5">
        <f>(L47*($E47/365))+(L48*($E48/365))</f>
        <v>0</v>
      </c>
      <c r="D163" s="5">
        <f>(M47*($E47/365))+(M48*($E48/365))</f>
        <v>75</v>
      </c>
      <c r="E163" s="17">
        <f t="shared" si="49"/>
        <v>100</v>
      </c>
      <c r="G163" s="1">
        <v>1978</v>
      </c>
      <c r="H163" s="362">
        <f>(O47/$R47*100*($E47/365))+(O48/$R48*100*($E48/365))</f>
        <v>15.490196078431373</v>
      </c>
      <c r="I163" s="362"/>
      <c r="J163" s="362">
        <f>(P47/$R47*100*($E47/365))+(P48/$R48*100*($E48/365))</f>
        <v>0</v>
      </c>
      <c r="K163" s="362"/>
      <c r="L163" s="362">
        <f>(Q47/$R47*100*($E47/365))+(Q48/$R48*100*($E48/365))</f>
        <v>84.509803921568633</v>
      </c>
      <c r="M163" s="362"/>
      <c r="N163" s="363">
        <f t="shared" si="51"/>
        <v>100</v>
      </c>
      <c r="O163" s="420"/>
      <c r="R163" s="1">
        <v>1978</v>
      </c>
      <c r="S163" s="5">
        <f>(O47*($E47/365))+(O48*($E48/365))</f>
        <v>7.9</v>
      </c>
      <c r="T163" s="5">
        <f>(P47*($E47/365))+(P48*($E48/365))</f>
        <v>0</v>
      </c>
      <c r="U163" s="5">
        <f>(Q47*($E47/365))+(Q48*($E48/365))</f>
        <v>43.1</v>
      </c>
      <c r="V163" s="9"/>
      <c r="W163" s="10">
        <f t="shared" si="50"/>
        <v>51</v>
      </c>
      <c r="Y163" s="5"/>
    </row>
    <row r="164" spans="1:25" x14ac:dyDescent="0.15">
      <c r="A164" s="1">
        <v>1979</v>
      </c>
      <c r="B164" s="5">
        <f>(K49*($E49/365))+(K50*($E50/365))</f>
        <v>25</v>
      </c>
      <c r="C164" s="5">
        <f>(L49*($E49/365))+(L50*($E50/365))</f>
        <v>0</v>
      </c>
      <c r="D164" s="5">
        <f>(M49*($E49/365))+(M50*($E50/365))</f>
        <v>75</v>
      </c>
      <c r="E164" s="17">
        <f t="shared" si="49"/>
        <v>100</v>
      </c>
      <c r="G164" s="1">
        <v>1979</v>
      </c>
      <c r="H164" s="362">
        <f>(O49/$R49*100*($E49/365))+(O50/$R50*100*($E50/365))</f>
        <v>15.490196078431373</v>
      </c>
      <c r="I164" s="362"/>
      <c r="J164" s="362">
        <f>(P49/$R49*100*($E49/365))+(P50/$R50*100*($E50/365))</f>
        <v>0</v>
      </c>
      <c r="K164" s="362"/>
      <c r="L164" s="362">
        <f>(Q49/$R49*100*($E49/365))+(Q50/$R50*100*($E50/365))</f>
        <v>84.509803921568633</v>
      </c>
      <c r="M164" s="362"/>
      <c r="N164" s="363">
        <f t="shared" si="51"/>
        <v>100</v>
      </c>
      <c r="O164" s="420"/>
      <c r="R164" s="1">
        <v>1979</v>
      </c>
      <c r="S164" s="5">
        <f>(O49*($E49/365))+(O50*($E50/365))</f>
        <v>7.9</v>
      </c>
      <c r="T164" s="5">
        <f>(P49*($E49/365))+(P50*($E50/365))</f>
        <v>0</v>
      </c>
      <c r="U164" s="5">
        <f>(Q49*($E49/365))+(Q50*($E50/365))</f>
        <v>43.1</v>
      </c>
      <c r="V164" s="9"/>
      <c r="W164" s="10">
        <f t="shared" si="50"/>
        <v>51</v>
      </c>
      <c r="Y164" s="5"/>
    </row>
    <row r="165" spans="1:25" x14ac:dyDescent="0.15">
      <c r="A165" s="1">
        <v>1980</v>
      </c>
      <c r="B165" s="5">
        <f>(K51*($E51/366))+(K52*($E52/366))</f>
        <v>24.766955962712956</v>
      </c>
      <c r="C165" s="5">
        <f>(L51*($E51/366))+(L52*($E52/366))</f>
        <v>0</v>
      </c>
      <c r="D165" s="5">
        <f>(M51*($E51/366))+(M52*($E52/366))</f>
        <v>75.233044037287044</v>
      </c>
      <c r="E165" s="17">
        <f t="shared" si="49"/>
        <v>100</v>
      </c>
      <c r="G165" s="1">
        <v>1980</v>
      </c>
      <c r="H165" s="362">
        <f>(O51/$R51*100*($E51/366))+(O52/$R52*100*($E52/366))</f>
        <v>16.141012100510657</v>
      </c>
      <c r="I165" s="362"/>
      <c r="J165" s="362">
        <f>(P51/$R51*100*($E51/366))+(P52/$R52*100*($E52/366))</f>
        <v>0</v>
      </c>
      <c r="K165" s="362"/>
      <c r="L165" s="362">
        <f>(Q51/$R51*100*($E51/366))+(Q52/$R52*100*($E52/366))</f>
        <v>83.858987899489364</v>
      </c>
      <c r="M165" s="362"/>
      <c r="N165" s="363">
        <f t="shared" si="51"/>
        <v>100.00000000000003</v>
      </c>
      <c r="O165" s="420"/>
      <c r="R165" s="1">
        <v>1980</v>
      </c>
      <c r="S165" s="5">
        <f>(O51*($E51/366))+(O52*($E52/366))</f>
        <v>8.3437158469945363</v>
      </c>
      <c r="T165" s="5">
        <f>(P51*($E51/366))+(P52*($E52/366))</f>
        <v>0</v>
      </c>
      <c r="U165" s="5">
        <f>(Q51*($E51/366))+(Q52*($E52/366))</f>
        <v>43.226775956284158</v>
      </c>
      <c r="V165" s="9"/>
      <c r="W165" s="10">
        <f t="shared" si="50"/>
        <v>51.570491803278692</v>
      </c>
      <c r="Y165" s="5"/>
    </row>
    <row r="166" spans="1:25" x14ac:dyDescent="0.15">
      <c r="A166" s="1">
        <v>1981</v>
      </c>
      <c r="B166" s="5">
        <f>(K53*($E53/365))+(K54*($E54/365))</f>
        <v>23.52941176470588</v>
      </c>
      <c r="C166" s="5">
        <f>(L53*($E53/365))+(L54*($E54/365))</f>
        <v>0</v>
      </c>
      <c r="D166" s="5">
        <f>(M53*($E53/365))+(M54*($E54/365))</f>
        <v>76.470588235294116</v>
      </c>
      <c r="E166" s="17">
        <f t="shared" si="49"/>
        <v>100</v>
      </c>
      <c r="G166" s="1">
        <v>1981</v>
      </c>
      <c r="H166" s="362">
        <f>(O53/$R53*100*($E53/365))+(O54/$R54*100*($E54/365))</f>
        <v>19.597069597069599</v>
      </c>
      <c r="I166" s="362"/>
      <c r="J166" s="362">
        <f>(P53/$R53*100*($E53/365))+(P54/$R54*100*($E54/365))</f>
        <v>0</v>
      </c>
      <c r="K166" s="362"/>
      <c r="L166" s="362">
        <f>(Q53/$R53*100*($E53/365))+(Q54/$R54*100*($E54/365))</f>
        <v>80.402930402930409</v>
      </c>
      <c r="M166" s="362"/>
      <c r="N166" s="363">
        <f t="shared" si="51"/>
        <v>100</v>
      </c>
      <c r="O166" s="420"/>
      <c r="R166" s="1">
        <v>1981</v>
      </c>
      <c r="S166" s="5">
        <f>(O53*($E53/365))+(O54*($E54/365))</f>
        <v>10.7</v>
      </c>
      <c r="T166" s="5">
        <f>(P53*($E53/365))+(P54*($E54/365))</f>
        <v>0</v>
      </c>
      <c r="U166" s="5">
        <f>(Q53*($E53/365))+(Q54*($E54/365))</f>
        <v>43.9</v>
      </c>
      <c r="V166" s="9"/>
      <c r="W166" s="10">
        <f t="shared" si="50"/>
        <v>54.599999999999994</v>
      </c>
      <c r="Y166" s="5"/>
    </row>
    <row r="167" spans="1:25" x14ac:dyDescent="0.15">
      <c r="A167" s="1">
        <v>1982</v>
      </c>
      <c r="B167" s="5">
        <f>(K55*($E55/365))+(K56*($E56/365))+(K57*($E57/365))</f>
        <v>22.433521353746976</v>
      </c>
      <c r="C167" s="5">
        <f>(L55*($E55/365))+(L56*($E56/365))+(L57*($E57/365))</f>
        <v>18.646253021756646</v>
      </c>
      <c r="D167" s="5">
        <f>(M55*($E55/365))+(M56*($E56/365))+(M57*($E57/365))</f>
        <v>58.920225624496375</v>
      </c>
      <c r="E167" s="17">
        <f t="shared" si="49"/>
        <v>100</v>
      </c>
      <c r="G167" s="1">
        <v>1982</v>
      </c>
      <c r="H167" s="362">
        <f>(O55/$R55*100*($E55/365))+(O56/$R56*100*($E56/365))+(O57/$R57*100*($E57/365))</f>
        <v>18.548287702482604</v>
      </c>
      <c r="I167" s="362"/>
      <c r="J167" s="362">
        <f>(P55/$R55*100*($E55/365))+(P56/$R56*100*($E56/365))+(P57/$R57*100*($E57/365))</f>
        <v>19.741139765027054</v>
      </c>
      <c r="K167" s="362"/>
      <c r="L167" s="362">
        <f>(Q55/$R55*100*($E55/365))+(Q56/$R56*100*($E56/365))+(Q57/$R57*100*($E57/365))</f>
        <v>61.710572532490346</v>
      </c>
      <c r="M167" s="362"/>
      <c r="N167" s="363">
        <f t="shared" si="51"/>
        <v>100</v>
      </c>
      <c r="O167" s="420"/>
      <c r="R167" s="1">
        <v>1982</v>
      </c>
      <c r="S167" s="5">
        <f>(O55*($E55/365))+(O56*($E56/365))+(O57*($E57/365))</f>
        <v>10.201643835616437</v>
      </c>
      <c r="T167" s="5">
        <f>(P55*($E55/365))+(P56*($E56/365))+(P57*($E57/365))</f>
        <v>11.094520547945205</v>
      </c>
      <c r="U167" s="5">
        <f>(Q55*($E55/365))+(Q56*($E56/365))+(Q57*($E57/365))</f>
        <v>33.195616438356161</v>
      </c>
      <c r="V167" s="9"/>
      <c r="W167" s="10">
        <f t="shared" si="50"/>
        <v>54.4917808219178</v>
      </c>
      <c r="Y167" s="5"/>
    </row>
    <row r="168" spans="1:25" x14ac:dyDescent="0.15">
      <c r="A168" s="1">
        <v>1983</v>
      </c>
      <c r="B168" s="5">
        <f>(K58*($E58/365))+(K59*($E59/365))</f>
        <v>19.065269943593876</v>
      </c>
      <c r="C168" s="5">
        <f>(L58*($E58/365))+(L59*($E59/365))</f>
        <v>80.93473005640611</v>
      </c>
      <c r="D168" s="5">
        <f>(M58*($E58/365))+(M59*($E59/365))</f>
        <v>0</v>
      </c>
      <c r="E168" s="17">
        <f t="shared" si="49"/>
        <v>99.999999999999986</v>
      </c>
      <c r="G168" s="1">
        <v>1983</v>
      </c>
      <c r="H168" s="362">
        <f>(O58/$R58*100*($E58/365))+(O59/$R59*100*($E59/365))</f>
        <v>13.838553643838411</v>
      </c>
      <c r="I168" s="362"/>
      <c r="J168" s="362">
        <f>(P58/$R58*100*($E58/365))+(P59/$R59*100*($E59/365))</f>
        <v>86.161446356161605</v>
      </c>
      <c r="K168" s="362"/>
      <c r="L168" s="362">
        <f>(Q58/$R58*100*($E58/365))+(Q59/$R59*100*($E59/365))</f>
        <v>0</v>
      </c>
      <c r="M168" s="362"/>
      <c r="N168" s="363">
        <f t="shared" si="51"/>
        <v>100.00000000000001</v>
      </c>
      <c r="O168" s="420"/>
      <c r="R168" s="1">
        <v>1983</v>
      </c>
      <c r="S168" s="5">
        <f>(O58*($E58/365))+(O59*($E59/365))</f>
        <v>7.7402739726027399</v>
      </c>
      <c r="T168" s="5">
        <f>(P58*($E58/365))+(P59*($E59/365))</f>
        <v>48.156164383561638</v>
      </c>
      <c r="U168" s="5">
        <f>(Q58*($E58/365))+(Q59*($E59/365))</f>
        <v>0</v>
      </c>
      <c r="V168" s="9"/>
      <c r="W168" s="10">
        <f t="shared" si="50"/>
        <v>55.896438356164381</v>
      </c>
      <c r="Y168" s="5"/>
    </row>
    <row r="169" spans="1:25" x14ac:dyDescent="0.15">
      <c r="A169" s="1">
        <v>1984</v>
      </c>
      <c r="B169" s="5">
        <f>(K60*($E60/366))+(K61*($E61/366))</f>
        <v>17.647058823529413</v>
      </c>
      <c r="C169" s="5">
        <f>(L60*($E60/366))+(L61*($E61/366))</f>
        <v>82.35294117647058</v>
      </c>
      <c r="D169" s="5">
        <f>(M60*($E60/366))+(M61*($E61/366))</f>
        <v>0</v>
      </c>
      <c r="E169" s="17">
        <f t="shared" si="49"/>
        <v>100</v>
      </c>
      <c r="G169" s="1">
        <v>1984</v>
      </c>
      <c r="H169" s="362">
        <f>(O60/$R60*100*($E60/366))+(O61/$R61*100*($E61/366))</f>
        <v>12.186379928315413</v>
      </c>
      <c r="I169" s="362"/>
      <c r="J169" s="362">
        <f>(P60/$R60*100*($E60/366))+(P61/$R61*100*($E61/366))</f>
        <v>87.813620071684596</v>
      </c>
      <c r="K169" s="362"/>
      <c r="L169" s="362">
        <f>(Q60/$R60*100*($E60/366))+(Q61/$R61*100*($E61/366))</f>
        <v>0</v>
      </c>
      <c r="M169" s="362"/>
      <c r="N169" s="363">
        <f t="shared" si="51"/>
        <v>100.00000000000001</v>
      </c>
      <c r="O169" s="420"/>
      <c r="R169" s="1">
        <v>1984</v>
      </c>
      <c r="S169" s="5">
        <f>(O60*($E60/366))+(O61*($E61/366))</f>
        <v>6.8</v>
      </c>
      <c r="T169" s="5">
        <f>(P60*($E60/366))+(P61*($E61/366))</f>
        <v>49</v>
      </c>
      <c r="U169" s="5">
        <f>(Q60*($E60/366))+(Q61*($E61/366))</f>
        <v>0</v>
      </c>
      <c r="V169" s="9"/>
      <c r="W169" s="10">
        <f t="shared" si="50"/>
        <v>55.8</v>
      </c>
      <c r="Y169" s="5"/>
    </row>
    <row r="170" spans="1:25" x14ac:dyDescent="0.15">
      <c r="A170" s="1">
        <v>1985</v>
      </c>
      <c r="B170" s="5">
        <f>(K62*($E62/365))+(K63*($E63/365))</f>
        <v>17.647058823529413</v>
      </c>
      <c r="C170" s="5">
        <f>(L62*($E62/365))+(L63*($E63/365))</f>
        <v>82.35294117647058</v>
      </c>
      <c r="D170" s="5">
        <f>(M62*($E62/365))+(M63*($E63/365))</f>
        <v>0</v>
      </c>
      <c r="E170" s="17">
        <f t="shared" si="49"/>
        <v>100</v>
      </c>
      <c r="G170" s="1">
        <v>1985</v>
      </c>
      <c r="H170" s="362">
        <f>(O62/$R62*100*($E62/365))+(O63/$R63*100*($E63/365))</f>
        <v>12.186379928315413</v>
      </c>
      <c r="I170" s="362"/>
      <c r="J170" s="362">
        <f>(P62/$R62*100*($E62/365))+(P63/$R63*100*($E63/365))</f>
        <v>87.813620071684596</v>
      </c>
      <c r="K170" s="362"/>
      <c r="L170" s="362">
        <f>(Q62/$R62*100*($E62/365))+(Q63/$R63*100*($E63/365))</f>
        <v>0</v>
      </c>
      <c r="M170" s="362"/>
      <c r="N170" s="363">
        <f t="shared" si="51"/>
        <v>100.00000000000001</v>
      </c>
      <c r="O170" s="420"/>
      <c r="R170" s="1">
        <v>1985</v>
      </c>
      <c r="S170" s="5">
        <f>(O62*($E62/365))+(O63*($E63/365))</f>
        <v>6.8</v>
      </c>
      <c r="T170" s="5">
        <f>(P62*($E62/365))+(P63*($E63/365))</f>
        <v>49</v>
      </c>
      <c r="U170" s="5">
        <f>(Q62*($E62/365))+(Q63*($E63/365))</f>
        <v>0</v>
      </c>
      <c r="V170" s="9"/>
      <c r="W170" s="10">
        <f t="shared" si="50"/>
        <v>55.8</v>
      </c>
      <c r="Y170" s="5"/>
    </row>
    <row r="171" spans="1:25" x14ac:dyDescent="0.15">
      <c r="A171" s="1">
        <v>1986</v>
      </c>
      <c r="B171" s="5">
        <f>(K64*($E64/365))+(K65*($E65/365))</f>
        <v>17.647058823529413</v>
      </c>
      <c r="C171" s="5">
        <f>(L64*($E64/365))+(L65*($E65/365))</f>
        <v>82.35294117647058</v>
      </c>
      <c r="D171" s="5">
        <f>(M64*($E64/365))+(M65*($E65/365))</f>
        <v>0</v>
      </c>
      <c r="E171" s="17">
        <f t="shared" si="49"/>
        <v>100</v>
      </c>
      <c r="G171" s="1">
        <v>1986</v>
      </c>
      <c r="H171" s="362">
        <f>(O64/$R64*100*($E64/365))+(O65/$R65*100*($E65/365))</f>
        <v>12.186379928315413</v>
      </c>
      <c r="I171" s="362"/>
      <c r="J171" s="362">
        <f>(P64/$R64*100*($E64/365))+(P65/$R65*100*($E65/365))</f>
        <v>87.813620071684596</v>
      </c>
      <c r="K171" s="362"/>
      <c r="L171" s="362">
        <f>(Q64/$R64*100*($E64/365))+(Q65/$R65*100*($E65/365))</f>
        <v>0</v>
      </c>
      <c r="M171" s="362"/>
      <c r="N171" s="363">
        <f t="shared" si="51"/>
        <v>100.00000000000001</v>
      </c>
      <c r="O171" s="420"/>
      <c r="R171" s="1">
        <v>1986</v>
      </c>
      <c r="S171" s="5">
        <f>(O64*($E64/365))+(O65*($E65/365))</f>
        <v>6.8</v>
      </c>
      <c r="T171" s="5">
        <f>(P64*($E64/365))+(P65*($E65/365))</f>
        <v>49</v>
      </c>
      <c r="U171" s="5">
        <f>(Q64*($E64/365))+(Q65*($E65/365))</f>
        <v>0</v>
      </c>
      <c r="V171" s="9"/>
      <c r="W171" s="10">
        <f t="shared" si="50"/>
        <v>55.8</v>
      </c>
      <c r="Y171" s="5"/>
    </row>
    <row r="172" spans="1:25" x14ac:dyDescent="0.15">
      <c r="A172" s="1">
        <v>1987</v>
      </c>
      <c r="B172" s="5">
        <f>(K66*($E66/365))+(K67*($E67/365))</f>
        <v>20.408838373128631</v>
      </c>
      <c r="C172" s="5">
        <f>(L66*($E66/365))+(L67*($E67/365))</f>
        <v>79.591161626871369</v>
      </c>
      <c r="D172" s="5">
        <f>(M66*($E66/365))+(M67*($E67/365))</f>
        <v>0</v>
      </c>
      <c r="E172" s="17">
        <f t="shared" si="49"/>
        <v>100</v>
      </c>
      <c r="G172" s="1">
        <v>1987</v>
      </c>
      <c r="H172" s="362">
        <f>(O66/$R66*100*($E66/365))+(O67/$R67*100*($E67/365))</f>
        <v>16.218704122525097</v>
      </c>
      <c r="I172" s="362"/>
      <c r="J172" s="362">
        <f>(P66/$R66*100*($E66/365))+(P67/$R67*100*($E67/365))</f>
        <v>83.781295877474903</v>
      </c>
      <c r="K172" s="362"/>
      <c r="L172" s="362">
        <f>(Q66/$R66*100*($E66/365))+(Q67/$R67*100*($E67/365))</f>
        <v>0</v>
      </c>
      <c r="M172" s="362"/>
      <c r="N172" s="363">
        <f t="shared" si="51"/>
        <v>100</v>
      </c>
      <c r="O172" s="420"/>
      <c r="R172" s="1">
        <v>1987</v>
      </c>
      <c r="S172" s="5">
        <f>(O66*($E66/365))+(O67*($E67/365))</f>
        <v>8.8273972602739725</v>
      </c>
      <c r="T172" s="5">
        <f>(P66*($E66/365))+(P67*($E67/365))</f>
        <v>45.67506849315069</v>
      </c>
      <c r="U172" s="5">
        <f>(Q66*($E66/365))+(Q67*($E67/365))</f>
        <v>0</v>
      </c>
      <c r="V172" s="9"/>
      <c r="W172" s="10">
        <f t="shared" si="50"/>
        <v>54.502465753424659</v>
      </c>
      <c r="Y172" s="5"/>
    </row>
    <row r="173" spans="1:25" x14ac:dyDescent="0.15">
      <c r="A173" s="1">
        <v>1988</v>
      </c>
      <c r="B173" s="5">
        <f>(K68*($E68/366))+(K69*($E69/366))</f>
        <v>21.052631578947366</v>
      </c>
      <c r="C173" s="5">
        <f>(L68*($E68/366))+(L69*($E69/366))</f>
        <v>78.94736842105263</v>
      </c>
      <c r="D173" s="5">
        <f>(M68*($E68/366))+(M69*($E69/366))</f>
        <v>0</v>
      </c>
      <c r="E173" s="17">
        <f t="shared" si="49"/>
        <v>100</v>
      </c>
      <c r="G173" s="1">
        <v>1988</v>
      </c>
      <c r="H173" s="362">
        <f>(O68/$R68*100*($E68/366))+(O69/$R69*100*($E69/366))</f>
        <v>17.158671586715869</v>
      </c>
      <c r="I173" s="362"/>
      <c r="J173" s="362">
        <f>(P68/$R68*100*($E68/366))+(P69/$R69*100*($E69/366))</f>
        <v>82.841328413284117</v>
      </c>
      <c r="K173" s="362"/>
      <c r="L173" s="362">
        <f>(Q68/$R68*100*($E68/366))+(Q69/$R69*100*($E69/366))</f>
        <v>0</v>
      </c>
      <c r="M173" s="362"/>
      <c r="N173" s="363">
        <f t="shared" si="51"/>
        <v>99.999999999999986</v>
      </c>
      <c r="O173" s="420"/>
      <c r="R173" s="1">
        <v>1988</v>
      </c>
      <c r="S173" s="5">
        <f>(O68*($E68/366))+(O69*($E69/366))</f>
        <v>9.3000000000000007</v>
      </c>
      <c r="T173" s="5">
        <f>(P68*($E68/366))+(P69*($E69/366))</f>
        <v>44.9</v>
      </c>
      <c r="U173" s="5">
        <f>(Q68*($E68/366))+(Q69*($E69/366))</f>
        <v>0</v>
      </c>
      <c r="V173" s="9"/>
      <c r="W173" s="10">
        <f t="shared" si="50"/>
        <v>54.2</v>
      </c>
      <c r="Y173" s="5"/>
    </row>
    <row r="174" spans="1:25" s="3" customFormat="1" x14ac:dyDescent="0.15">
      <c r="A174" s="3">
        <v>1989</v>
      </c>
      <c r="B174" s="8">
        <f>(K70*($E70/365))+(K71*($E71/365))</f>
        <v>20.52198990627253</v>
      </c>
      <c r="C174" s="8">
        <f>(L70*($E70/365))+(L71*($E71/365))</f>
        <v>79.478010093727477</v>
      </c>
      <c r="D174" s="8">
        <f>(M70*($E70/365))+(M71*($E71/365))</f>
        <v>0</v>
      </c>
      <c r="E174" s="18">
        <f t="shared" si="49"/>
        <v>100</v>
      </c>
      <c r="G174" s="3">
        <v>1989</v>
      </c>
      <c r="H174" s="364">
        <f>(O70/$R70*100*($E70/365))+(O71/$R71*100*($E71/365))</f>
        <v>17.158671586715869</v>
      </c>
      <c r="I174" s="364"/>
      <c r="J174" s="364">
        <f>(P70/$R70*100*($E70/365))+(P71/$R71*100*($E71/365))</f>
        <v>82.841328413284117</v>
      </c>
      <c r="K174" s="364"/>
      <c r="L174" s="364">
        <f>(Q70/$R70*100*($E70/365))+(Q71/$R71*100*($E71/365))</f>
        <v>0</v>
      </c>
      <c r="M174" s="364"/>
      <c r="N174" s="391">
        <f t="shared" si="51"/>
        <v>99.999999999999986</v>
      </c>
      <c r="O174" s="422"/>
      <c r="R174" s="3">
        <v>1989</v>
      </c>
      <c r="S174" s="8">
        <f>(O70*($E70/365))+(O71*($E71/365))</f>
        <v>9.3000000000000007</v>
      </c>
      <c r="T174" s="8">
        <f>(P70*($E70/365))+(P71*($E71/365))</f>
        <v>44.900000000000006</v>
      </c>
      <c r="U174" s="8">
        <f>(Q70*($E70/365))+(Q71*($E71/365))</f>
        <v>0</v>
      </c>
      <c r="V174" s="20"/>
      <c r="W174" s="21">
        <f t="shared" si="50"/>
        <v>54.2</v>
      </c>
      <c r="Y174" s="8"/>
    </row>
    <row r="175" spans="1:25" x14ac:dyDescent="0.15">
      <c r="A175" s="1">
        <v>1990</v>
      </c>
      <c r="B175" s="5">
        <f>(K72*($E72/365))+(K73*($E73/365))</f>
        <v>20</v>
      </c>
      <c r="C175" s="5">
        <f>(L72*($E72/365))+(L73*($E73/365))</f>
        <v>80</v>
      </c>
      <c r="D175" s="5">
        <f>(M72*($E72/365))+(M73*($E73/365))</f>
        <v>0</v>
      </c>
      <c r="E175" s="17">
        <f t="shared" si="49"/>
        <v>100</v>
      </c>
      <c r="G175" s="1">
        <v>1990</v>
      </c>
      <c r="H175" s="362">
        <f>(O72/$R72*100*($E72/365))+(O73/$R73*100*($E73/365))</f>
        <v>17.158671586715869</v>
      </c>
      <c r="I175" s="362"/>
      <c r="J175" s="362">
        <f>(P72/$R72*100*($E72/365))+(P73/$R73*100*($E73/365))</f>
        <v>82.841328413284117</v>
      </c>
      <c r="K175" s="362"/>
      <c r="L175" s="362">
        <f>(Q72/$R72*100*($E72/365))+(Q73/$R73*100*($E73/365))</f>
        <v>0</v>
      </c>
      <c r="M175" s="362"/>
      <c r="N175" s="363">
        <f t="shared" si="51"/>
        <v>99.999999999999986</v>
      </c>
      <c r="O175" s="420"/>
      <c r="R175" s="1">
        <v>1990</v>
      </c>
      <c r="S175" s="5">
        <f>(O72*($E72/365))+(O73*($E73/365))</f>
        <v>9.3000000000000007</v>
      </c>
      <c r="T175" s="5">
        <f>(P72*($E72/365))+(P73*($E73/365))</f>
        <v>44.9</v>
      </c>
      <c r="U175" s="5">
        <f>(Q72*($E72/365))+(Q73*($E73/365))</f>
        <v>0</v>
      </c>
      <c r="V175" s="9"/>
      <c r="W175" s="10">
        <f t="shared" si="50"/>
        <v>54.2</v>
      </c>
      <c r="Y175" s="5"/>
    </row>
    <row r="176" spans="1:25" x14ac:dyDescent="0.15">
      <c r="A176" s="1">
        <v>1991</v>
      </c>
      <c r="B176" s="5">
        <f>(K74*($E74/365))+(K75*($E75/365))</f>
        <v>24.767123287671229</v>
      </c>
      <c r="C176" s="5">
        <f>(L74*($E74/365))+(L75*($E75/365))</f>
        <v>75.232876712328761</v>
      </c>
      <c r="D176" s="5">
        <f>(M74*($E74/365))+(M75*($E75/365))</f>
        <v>0</v>
      </c>
      <c r="E176" s="17">
        <f t="shared" si="49"/>
        <v>99.999999999999986</v>
      </c>
      <c r="G176" s="1">
        <v>1991</v>
      </c>
      <c r="H176" s="362">
        <f>(O74/$R74*100*($E74/365))+(O75/$R75*100*($E75/365))</f>
        <v>19.677296504006911</v>
      </c>
      <c r="I176" s="362"/>
      <c r="J176" s="362">
        <f>(P74/$R74*100*($E74/365))+(P75/$R75*100*($E75/365))</f>
        <v>80.322703495993096</v>
      </c>
      <c r="K176" s="362"/>
      <c r="L176" s="362">
        <f>(Q74/$R74*100*($E74/365))+(Q75/$R75*100*($E75/365))</f>
        <v>0</v>
      </c>
      <c r="M176" s="362"/>
      <c r="N176" s="363">
        <f t="shared" si="51"/>
        <v>100</v>
      </c>
      <c r="O176" s="420"/>
      <c r="R176" s="1">
        <v>1991</v>
      </c>
      <c r="S176" s="5">
        <f>(O74*($E74/365))+(O75*($E75/365))</f>
        <v>11.778904109589041</v>
      </c>
      <c r="T176" s="5">
        <f>(P74*($E74/365))+(P75*($E75/365))</f>
        <v>48.046301369863009</v>
      </c>
      <c r="U176" s="5">
        <f>(Q74*($E74/365))+(Q75*($E75/365))</f>
        <v>0</v>
      </c>
      <c r="V176" s="9"/>
      <c r="W176" s="10">
        <f t="shared" si="50"/>
        <v>59.825205479452052</v>
      </c>
      <c r="Y176" s="5"/>
    </row>
    <row r="177" spans="1:25" x14ac:dyDescent="0.15">
      <c r="A177" s="1">
        <v>1992</v>
      </c>
      <c r="B177" s="5">
        <f>(K76*($E76/366))+(K77*($E77/366))</f>
        <v>25</v>
      </c>
      <c r="C177" s="5">
        <f>(L76*($E76/366))+(L77*($E77/366))</f>
        <v>75</v>
      </c>
      <c r="D177" s="5">
        <f>(M76*($E76/366))+(M77*($E77/366))</f>
        <v>0</v>
      </c>
      <c r="E177" s="17">
        <f t="shared" si="49"/>
        <v>100</v>
      </c>
      <c r="G177" s="1">
        <v>1992</v>
      </c>
      <c r="H177" s="362">
        <f>(O76/$R76*100*($E76/366))+(O77/$R77*100*($E77/366))</f>
        <v>19.800332778702163</v>
      </c>
      <c r="I177" s="362"/>
      <c r="J177" s="362">
        <f>(P76/$R76*100*($E76/366))+(P77/$R77*100*($E77/366))</f>
        <v>80.199667221297844</v>
      </c>
      <c r="K177" s="362"/>
      <c r="L177" s="362">
        <f>(Q76/$R76*100*($E76/366))+(Q77/$R77*100*($E77/366))</f>
        <v>0</v>
      </c>
      <c r="M177" s="362"/>
      <c r="N177" s="363">
        <f t="shared" si="51"/>
        <v>100</v>
      </c>
      <c r="O177" s="420"/>
      <c r="R177" s="1">
        <v>1992</v>
      </c>
      <c r="S177" s="5">
        <f>(O76*($E76/366))+(O77*($E77/366))</f>
        <v>11.9</v>
      </c>
      <c r="T177" s="5">
        <f>(P76*($E76/366))+(P77*($E77/366))</f>
        <v>48.2</v>
      </c>
      <c r="U177" s="5">
        <f>(Q76*($E76/366))+(Q77*($E77/366))</f>
        <v>0</v>
      </c>
      <c r="V177" s="9"/>
      <c r="W177" s="10">
        <f t="shared" si="50"/>
        <v>60.1</v>
      </c>
      <c r="Y177" s="5"/>
    </row>
    <row r="178" spans="1:25" x14ac:dyDescent="0.15">
      <c r="A178" s="1">
        <v>1993</v>
      </c>
      <c r="B178" s="5">
        <f>(K78*($E78/365))+(K79*($E79/365))</f>
        <v>25</v>
      </c>
      <c r="C178" s="5">
        <f>(L78*($E78/365))+(L79*($E79/365))</f>
        <v>75</v>
      </c>
      <c r="D178" s="5">
        <f>(M78*($E78/365))+(M79*($E79/365))</f>
        <v>0</v>
      </c>
      <c r="E178" s="17">
        <f t="shared" si="49"/>
        <v>100</v>
      </c>
      <c r="G178" s="1">
        <v>1993</v>
      </c>
      <c r="H178" s="362">
        <f>(O78/$R78*100*($E78/365))+(O79/$R79*100*($E79/365))</f>
        <v>19.800332778702163</v>
      </c>
      <c r="I178" s="362"/>
      <c r="J178" s="362">
        <f>(P78/$R78*100*($E78/365))+(P79/$R79*100*($E79/365))</f>
        <v>80.199667221297844</v>
      </c>
      <c r="K178" s="362"/>
      <c r="L178" s="362">
        <f>(Q78/$R78*100*($E78/365))+(Q79/$R79*100*($E79/365))</f>
        <v>0</v>
      </c>
      <c r="M178" s="362"/>
      <c r="N178" s="363">
        <f t="shared" si="51"/>
        <v>100</v>
      </c>
      <c r="O178" s="420"/>
      <c r="R178" s="1">
        <v>1993</v>
      </c>
      <c r="S178" s="5">
        <f>(O78*($E78/365))+(O79*($E79/365))</f>
        <v>11.9</v>
      </c>
      <c r="T178" s="5">
        <f>(P78*($E78/365))+(P79*($E79/365))</f>
        <v>48.2</v>
      </c>
      <c r="U178" s="5">
        <f>(Q78*($E78/365))+(Q79*($E79/365))</f>
        <v>0</v>
      </c>
      <c r="V178" s="9"/>
      <c r="W178" s="10">
        <f t="shared" si="50"/>
        <v>60.1</v>
      </c>
      <c r="Y178" s="5"/>
    </row>
    <row r="179" spans="1:25" x14ac:dyDescent="0.15">
      <c r="A179" s="1">
        <v>1994</v>
      </c>
      <c r="B179" s="5">
        <f>(K80*($E80/365))+(K81*($E81/365))</f>
        <v>23.972602739726025</v>
      </c>
      <c r="C179" s="5">
        <f>(L80*($E80/365))+(L81*($E81/365))</f>
        <v>76.027397260273972</v>
      </c>
      <c r="D179" s="5">
        <f>(M80*($E80/365))+(M81*($E81/365))</f>
        <v>0</v>
      </c>
      <c r="E179" s="17">
        <f t="shared" si="49"/>
        <v>100</v>
      </c>
      <c r="G179" s="1">
        <v>1994</v>
      </c>
      <c r="H179" s="362">
        <f>(O80/$R80*100*($E80/365))+(O81/$R81*100*($E81/365))</f>
        <v>19.061392505020876</v>
      </c>
      <c r="I179" s="362"/>
      <c r="J179" s="362">
        <f>(P80/$R80*100*($E80/365))+(P81/$R81*100*($E81/365))</f>
        <v>80.938607494979124</v>
      </c>
      <c r="K179" s="362"/>
      <c r="L179" s="362">
        <f>(Q80/$R80*100*($E80/365))+(Q81/$R81*100*($E81/365))</f>
        <v>0</v>
      </c>
      <c r="M179" s="362"/>
      <c r="N179" s="363">
        <f t="shared" si="51"/>
        <v>100</v>
      </c>
      <c r="O179" s="420"/>
      <c r="R179" s="1">
        <v>1994</v>
      </c>
      <c r="S179" s="5">
        <f>(O80*($E80/365))+(O81*($E81/365))</f>
        <v>11.295890410958904</v>
      </c>
      <c r="T179" s="5">
        <f>(P80*($E80/365))+(P81*($E81/365))</f>
        <v>47.645205479452052</v>
      </c>
      <c r="U179" s="5">
        <f>(Q80*($E80/365))+(Q81*($E81/365))</f>
        <v>0</v>
      </c>
      <c r="V179" s="9"/>
      <c r="W179" s="10">
        <f t="shared" si="50"/>
        <v>58.941095890410956</v>
      </c>
      <c r="Y179" s="5"/>
    </row>
    <row r="180" spans="1:25" x14ac:dyDescent="0.15">
      <c r="A180" s="1">
        <v>1995</v>
      </c>
      <c r="B180" s="5">
        <f>(K82*($E82/365))+(K83*($E83/365))</f>
        <v>16.666666666666664</v>
      </c>
      <c r="C180" s="5">
        <f>(L82*($E82/365))+(L83*($E83/365))</f>
        <v>83.333333333333343</v>
      </c>
      <c r="D180" s="5">
        <f>(M82*($E82/365))+(M83*($E83/365))</f>
        <v>0</v>
      </c>
      <c r="E180" s="17">
        <f t="shared" si="49"/>
        <v>100</v>
      </c>
      <c r="G180" s="1">
        <v>1995</v>
      </c>
      <c r="H180" s="362">
        <f>(O82/$R82*100*($E82/365))+(O83/$R83*100*($E83/365))</f>
        <v>13.80670611439842</v>
      </c>
      <c r="I180" s="362"/>
      <c r="J180" s="362">
        <f>(P82/$R82*100*($E82/365))+(P83/$R83*100*($E83/365))</f>
        <v>86.193293885601577</v>
      </c>
      <c r="K180" s="362"/>
      <c r="L180" s="362">
        <f>(Q82/$R82*100*($E82/365))+(Q83/$R83*100*($E83/365))</f>
        <v>0</v>
      </c>
      <c r="M180" s="362"/>
      <c r="N180" s="363">
        <f t="shared" si="51"/>
        <v>100</v>
      </c>
      <c r="O180" s="420"/>
      <c r="R180" s="1">
        <v>1995</v>
      </c>
      <c r="S180" s="5">
        <f>(O82*($E82/365))+(O83*($E83/365))</f>
        <v>7</v>
      </c>
      <c r="T180" s="5">
        <f>(P82*($E82/365))+(P83*($E83/365))</f>
        <v>43.7</v>
      </c>
      <c r="U180" s="5">
        <f>(Q82*($E82/365))+(Q83*($E83/365))</f>
        <v>0</v>
      </c>
      <c r="V180" s="9"/>
      <c r="W180" s="10">
        <f t="shared" si="50"/>
        <v>50.7</v>
      </c>
      <c r="Y180" s="5"/>
    </row>
    <row r="181" spans="1:25" x14ac:dyDescent="0.15">
      <c r="A181" s="1">
        <v>1996</v>
      </c>
      <c r="B181" s="5">
        <f>(K84*($E84/366))+(K85*($E85/366))</f>
        <v>16.666666666666664</v>
      </c>
      <c r="C181" s="5">
        <f>(L84*($E84/366))+(L85*($E85/366))</f>
        <v>83.333333333333343</v>
      </c>
      <c r="D181" s="5">
        <f>(M84*($E84/366))+(M85*($E85/366))</f>
        <v>0</v>
      </c>
      <c r="E181" s="17">
        <f t="shared" si="49"/>
        <v>100</v>
      </c>
      <c r="G181" s="1">
        <v>1996</v>
      </c>
      <c r="H181" s="362">
        <f>(O84/$R84*100*($E84/366))+(O85/$R85*100*($E85/366))</f>
        <v>13.80670611439842</v>
      </c>
      <c r="I181" s="362"/>
      <c r="J181" s="362">
        <f>(P84/$R84*100*($E84/366))+(P85/$R85*100*($E85/366))</f>
        <v>86.193293885601577</v>
      </c>
      <c r="K181" s="362"/>
      <c r="L181" s="362">
        <f>(Q84/$R84*100*($E84/366))+(Q85/$R85*100*($E85/366))</f>
        <v>0</v>
      </c>
      <c r="M181" s="362"/>
      <c r="N181" s="363">
        <f t="shared" si="51"/>
        <v>100</v>
      </c>
      <c r="O181" s="420"/>
      <c r="R181" s="1">
        <v>1996</v>
      </c>
      <c r="S181" s="5">
        <f>(O84*($E84/366))+(O85*($E85/366))</f>
        <v>7</v>
      </c>
      <c r="T181" s="5">
        <f>(P84*($E84/366))+(P85*($E85/366))</f>
        <v>43.7</v>
      </c>
      <c r="U181" s="5">
        <f>(Q84*($E84/366))+(Q85*($E85/366))</f>
        <v>0</v>
      </c>
      <c r="V181" s="9"/>
      <c r="W181" s="10">
        <f t="shared" si="50"/>
        <v>50.7</v>
      </c>
      <c r="Y181" s="5"/>
    </row>
    <row r="182" spans="1:25" x14ac:dyDescent="0.15">
      <c r="A182" s="1">
        <v>1997</v>
      </c>
      <c r="B182" s="5">
        <f>(K86*($E86/365))+(K87*($E87/365))</f>
        <v>16.669352672575876</v>
      </c>
      <c r="C182" s="5">
        <f>(L86*($E86/365))+(L87*($E87/365))</f>
        <v>83.330647327424131</v>
      </c>
      <c r="D182" s="5">
        <f>(M86*($E86/365))+(M87*($E87/365))</f>
        <v>0</v>
      </c>
      <c r="E182" s="17">
        <f t="shared" si="49"/>
        <v>100</v>
      </c>
      <c r="G182" s="1">
        <v>1997</v>
      </c>
      <c r="H182" s="362">
        <f>(O86/$R86*100*($E86/365))+(O87/$R87*100*($E87/365))</f>
        <v>13.80670611439842</v>
      </c>
      <c r="I182" s="362"/>
      <c r="J182" s="362">
        <f>(P86/$R86*100*($E86/365))+(P87/$R87*100*($E87/365))</f>
        <v>86.193293885601577</v>
      </c>
      <c r="K182" s="362"/>
      <c r="L182" s="362">
        <f>(Q86/$R86*100*($E86/365))+(Q87/$R87*100*($E87/365))</f>
        <v>0</v>
      </c>
      <c r="M182" s="362"/>
      <c r="N182" s="363">
        <f t="shared" si="51"/>
        <v>100</v>
      </c>
      <c r="O182" s="420"/>
      <c r="R182" s="1">
        <v>1997</v>
      </c>
      <c r="S182" s="5">
        <f>(O86*($E86/365))+(O87*($E87/365))</f>
        <v>7</v>
      </c>
      <c r="T182" s="5">
        <f>(P86*($E86/365))+(P87*($E87/365))</f>
        <v>43.7</v>
      </c>
      <c r="U182" s="5">
        <f>(Q86*($E86/365))+(Q87*($E87/365))</f>
        <v>0</v>
      </c>
      <c r="V182" s="9"/>
      <c r="W182" s="10">
        <f t="shared" si="50"/>
        <v>50.7</v>
      </c>
      <c r="Y182" s="5"/>
    </row>
    <row r="183" spans="1:25" x14ac:dyDescent="0.15">
      <c r="A183" s="1">
        <v>1998</v>
      </c>
      <c r="B183" s="5">
        <f>(K88*($E88/365))+(K89*($E89/365))</f>
        <v>14.456083803384368</v>
      </c>
      <c r="C183" s="5">
        <f>(L88*($E88/365))+(L89*($E89/365))</f>
        <v>67.461724415793711</v>
      </c>
      <c r="D183" s="5">
        <f>(M88*($E88/365))+(M89*($E89/365))</f>
        <v>18.082191780821919</v>
      </c>
      <c r="E183" s="17">
        <f t="shared" si="49"/>
        <v>100</v>
      </c>
      <c r="G183" s="1">
        <v>1998</v>
      </c>
      <c r="H183" s="362">
        <f>(O88/$R88*100*($E88/365))+(O89/$R89*100*($E89/365))</f>
        <v>11.31015103617843</v>
      </c>
      <c r="I183" s="362"/>
      <c r="J183" s="362">
        <f>(P88/$R88*100*($E88/365))+(P89/$R89*100*($E89/365))</f>
        <v>70.607657182999645</v>
      </c>
      <c r="K183" s="362"/>
      <c r="L183" s="362">
        <f>(Q88/$R88*100*($E88/365))+(Q89/$R89*100*($E89/365))</f>
        <v>18.082191780821919</v>
      </c>
      <c r="M183" s="362"/>
      <c r="N183" s="363">
        <f t="shared" si="51"/>
        <v>99.999999999999986</v>
      </c>
      <c r="O183" s="420"/>
      <c r="R183" s="1">
        <v>1998</v>
      </c>
      <c r="S183" s="5">
        <f>(O88*($E88/365))+(O89*($E89/365))</f>
        <v>5.7342465753424658</v>
      </c>
      <c r="T183" s="5">
        <f>(P88*($E88/365))+(P89*($E89/365))</f>
        <v>35.798082191780821</v>
      </c>
      <c r="U183" s="5">
        <f>(Q88*($E88/365))+(Q89*($E89/365))</f>
        <v>9.3123287671232884</v>
      </c>
      <c r="V183" s="9"/>
      <c r="W183" s="10">
        <f t="shared" si="50"/>
        <v>50.844657534246579</v>
      </c>
      <c r="Y183" s="5"/>
    </row>
    <row r="184" spans="1:25" x14ac:dyDescent="0.15">
      <c r="A184" s="1">
        <v>1999</v>
      </c>
      <c r="B184" s="5">
        <f>(K90*($E90/365))+(K91*($E91/365))</f>
        <v>0</v>
      </c>
      <c r="C184" s="5">
        <f>(L90*($E90/365))+(L91*($E91/365))</f>
        <v>0</v>
      </c>
      <c r="D184" s="5">
        <f>(M90*($E90/365))+(M91*($E91/365))</f>
        <v>100</v>
      </c>
      <c r="E184" s="17">
        <f t="shared" si="49"/>
        <v>100</v>
      </c>
      <c r="G184" s="1">
        <v>1999</v>
      </c>
      <c r="H184" s="362">
        <f>(O90/$R90*100*($E90/365))+(O91/$R91*100*($E91/365))</f>
        <v>0</v>
      </c>
      <c r="I184" s="362"/>
      <c r="J184" s="362">
        <f>(P90/$R90*100*($E90/365))+(P91/$R91*100*($E91/365))</f>
        <v>0</v>
      </c>
      <c r="K184" s="362"/>
      <c r="L184" s="362">
        <f>(Q90/$R90*100*($E90/365))+(Q91/$R91*100*($E91/365))</f>
        <v>100</v>
      </c>
      <c r="M184" s="362"/>
      <c r="N184" s="363">
        <f t="shared" si="51"/>
        <v>100</v>
      </c>
      <c r="O184" s="420"/>
      <c r="R184" s="1">
        <v>1999</v>
      </c>
      <c r="S184" s="5">
        <f>(O90*($E90/365))+(O91*($E91/365))</f>
        <v>0</v>
      </c>
      <c r="T184" s="5">
        <f>(P90*($E90/365))+(P91*($E91/365))</f>
        <v>0</v>
      </c>
      <c r="U184" s="5">
        <f>(Q90*($E90/365))+(Q91*($E91/365))</f>
        <v>51.5</v>
      </c>
      <c r="V184" s="9"/>
      <c r="W184" s="10">
        <f t="shared" si="50"/>
        <v>51.5</v>
      </c>
      <c r="Y184" s="5"/>
    </row>
    <row r="185" spans="1:25" x14ac:dyDescent="0.15">
      <c r="A185" s="1">
        <v>2000</v>
      </c>
      <c r="B185" s="5">
        <f>(K92*($E92/366))+(K93*($E93/366))</f>
        <v>0</v>
      </c>
      <c r="C185" s="5">
        <f>(L92*($E92/366))+(L93*($E93/366))</f>
        <v>0</v>
      </c>
      <c r="D185" s="5">
        <f>(M92*($E92/366))+(M93*($E93/366))</f>
        <v>100</v>
      </c>
      <c r="E185" s="17">
        <f t="shared" si="49"/>
        <v>100</v>
      </c>
      <c r="G185" s="1">
        <v>2000</v>
      </c>
      <c r="H185" s="362">
        <f>(O92/$R92*100*($E92/366))+(O93/$R93*100*($E93/366))</f>
        <v>0</v>
      </c>
      <c r="I185" s="362"/>
      <c r="J185" s="362">
        <f>(P92/$R92*100*($E92/366))+(P93/$R93*100*($E93/366))</f>
        <v>0</v>
      </c>
      <c r="K185" s="362"/>
      <c r="L185" s="362">
        <f>(Q92/$R92*100*($E92/366))+(Q93/$R93*100*($E93/366))</f>
        <v>100</v>
      </c>
      <c r="M185" s="362"/>
      <c r="N185" s="363">
        <f t="shared" si="51"/>
        <v>100</v>
      </c>
      <c r="O185" s="420"/>
      <c r="R185" s="1">
        <v>2000</v>
      </c>
      <c r="S185" s="5">
        <f>(O92*($E92/366))+(O93*($E93/366))</f>
        <v>0</v>
      </c>
      <c r="T185" s="5">
        <f>(P92*($E92/366))+(P93*($E93/366))</f>
        <v>0</v>
      </c>
      <c r="U185" s="5">
        <f>(Q92*($E92/366))+(Q93*($E93/366))</f>
        <v>51.5</v>
      </c>
      <c r="V185" s="9"/>
      <c r="W185" s="10">
        <f t="shared" si="50"/>
        <v>51.5</v>
      </c>
      <c r="Y185" s="5"/>
    </row>
    <row r="186" spans="1:25" x14ac:dyDescent="0.15">
      <c r="A186" s="1">
        <v>2001</v>
      </c>
      <c r="B186" s="5">
        <f>(K94*($E94/365))+(K95*($E95/365))</f>
        <v>0</v>
      </c>
      <c r="C186" s="5">
        <f>(L94*($E94/365))+(L95*($E95/365))</f>
        <v>0</v>
      </c>
      <c r="D186" s="5">
        <f>(M94*($E94/365))+(M95*($E95/365))</f>
        <v>100</v>
      </c>
      <c r="E186" s="17">
        <f t="shared" si="49"/>
        <v>100</v>
      </c>
      <c r="G186" s="1">
        <v>2001</v>
      </c>
      <c r="H186" s="362">
        <f>(O94/$R94*100*($E94/365))+(O95/$R95*100*($E95/365))</f>
        <v>0</v>
      </c>
      <c r="I186" s="362"/>
      <c r="J186" s="362">
        <f>(P94/$R94*100*($E94/365))+(P95/$R95*100*($E95/365))</f>
        <v>0</v>
      </c>
      <c r="K186" s="362"/>
      <c r="L186" s="362">
        <f>(Q94/$R94*100*($E94/365))+(Q95/$R95*100*($E95/365))</f>
        <v>100</v>
      </c>
      <c r="M186" s="362"/>
      <c r="N186" s="363">
        <f t="shared" si="51"/>
        <v>100</v>
      </c>
      <c r="O186" s="420"/>
      <c r="R186" s="1">
        <v>2001</v>
      </c>
      <c r="S186" s="5">
        <f>(O94*($E94/365))+(O95*($E95/365))</f>
        <v>0</v>
      </c>
      <c r="T186" s="5">
        <f>(P94*($E94/365))+(P95*($E95/365))</f>
        <v>0</v>
      </c>
      <c r="U186" s="5">
        <f>(Q94*($E94/365))+(Q95*($E95/365))</f>
        <v>51.5</v>
      </c>
      <c r="V186" s="9"/>
      <c r="W186" s="10">
        <f t="shared" si="50"/>
        <v>51.5</v>
      </c>
      <c r="Y186" s="5"/>
    </row>
    <row r="187" spans="1:25" x14ac:dyDescent="0.15">
      <c r="A187" s="1">
        <v>2002</v>
      </c>
      <c r="B187" s="5">
        <f>(K96*($E96/365))+(K97*($E97/365))</f>
        <v>0</v>
      </c>
      <c r="C187" s="5">
        <f>(L96*($E96/365))+(L97*($E97/365))</f>
        <v>0</v>
      </c>
      <c r="D187" s="5">
        <f>(M96*($E96/365))+(M97*($E97/365))</f>
        <v>100</v>
      </c>
      <c r="E187" s="17">
        <f t="shared" si="49"/>
        <v>100</v>
      </c>
      <c r="G187" s="1">
        <v>2002</v>
      </c>
      <c r="H187" s="362">
        <f>(O96/$R96*100*($E96/365))+(O97/$R97*100*($E97/365))</f>
        <v>0</v>
      </c>
      <c r="I187" s="362"/>
      <c r="J187" s="362">
        <f>(P96/$R96*100*($E96/365))+(P97/$R97*100*($E97/365))</f>
        <v>0</v>
      </c>
      <c r="K187" s="362"/>
      <c r="L187" s="362">
        <f>(Q96/$R96*100*($E96/365))+(Q97/$R97*100*($E97/365))</f>
        <v>100</v>
      </c>
      <c r="M187" s="362"/>
      <c r="N187" s="363">
        <f t="shared" si="51"/>
        <v>100</v>
      </c>
      <c r="O187" s="420"/>
      <c r="R187" s="1">
        <v>2002</v>
      </c>
      <c r="S187" s="5">
        <f>(O96*($E96/365))+(O97*($E97/365))</f>
        <v>0</v>
      </c>
      <c r="T187" s="5">
        <f>(P96*($E96/365))+(P97*($E97/365))</f>
        <v>0</v>
      </c>
      <c r="U187" s="5">
        <f>(Q96*($E96/365))+(Q97*($E97/365))</f>
        <v>51.344383561643838</v>
      </c>
      <c r="V187" s="9"/>
      <c r="W187" s="10">
        <f t="shared" si="50"/>
        <v>51.344383561643838</v>
      </c>
      <c r="Y187" s="5"/>
    </row>
    <row r="188" spans="1:25" x14ac:dyDescent="0.15">
      <c r="A188" s="1">
        <v>2003</v>
      </c>
      <c r="B188" s="5">
        <f>(K98*($E98/365))+(K99*($E99/365))</f>
        <v>0</v>
      </c>
      <c r="C188" s="5">
        <f>(L98*($E98/365))+(L99*($E99/365))</f>
        <v>0</v>
      </c>
      <c r="D188" s="5">
        <f>(M98*($E98/365))+(M99*($E99/365))</f>
        <v>100</v>
      </c>
      <c r="E188" s="17">
        <f t="shared" si="49"/>
        <v>100</v>
      </c>
      <c r="G188" s="1">
        <v>2003</v>
      </c>
      <c r="H188" s="362">
        <f>(O98/$R98*100*($E98/365))+(O99/$R99*100*($E99/365))</f>
        <v>0</v>
      </c>
      <c r="I188" s="362"/>
      <c r="J188" s="362">
        <f>(P98/$R98*100*($E98/365))+(P99/$R99*100*($E99/365))</f>
        <v>0</v>
      </c>
      <c r="K188" s="362"/>
      <c r="L188" s="362">
        <f>(Q98/$R98*100*($E98/365))+(Q99/$R99*100*($E99/365))</f>
        <v>100</v>
      </c>
      <c r="M188" s="362"/>
      <c r="N188" s="363">
        <f t="shared" si="51"/>
        <v>100</v>
      </c>
      <c r="O188" s="420"/>
      <c r="R188" s="1">
        <v>2003</v>
      </c>
      <c r="S188" s="5">
        <f>(O98*($E98/365))+(O99*($E99/365))</f>
        <v>0</v>
      </c>
      <c r="T188" s="5">
        <f>(P98*($E98/365))+(P99*($E99/365))</f>
        <v>0</v>
      </c>
      <c r="U188" s="5">
        <f>(Q98*($E98/365))+(Q99*($E99/365))</f>
        <v>50.7</v>
      </c>
      <c r="V188" s="9"/>
      <c r="W188" s="10">
        <f t="shared" si="50"/>
        <v>50.7</v>
      </c>
      <c r="Y188" s="5"/>
    </row>
    <row r="189" spans="1:25" x14ac:dyDescent="0.15">
      <c r="A189" s="1">
        <v>2004</v>
      </c>
      <c r="B189" s="5">
        <f>(K100*($E100/366))+(K101*($E101/366))</f>
        <v>0</v>
      </c>
      <c r="C189" s="5">
        <f>(L100*($E100/366))+(L101*($E101/366))</f>
        <v>0</v>
      </c>
      <c r="D189" s="5">
        <f>(M100*($E100/366))+(M101*($E101/366))</f>
        <v>100</v>
      </c>
      <c r="E189" s="17">
        <f t="shared" si="49"/>
        <v>100</v>
      </c>
      <c r="G189" s="1">
        <v>2004</v>
      </c>
      <c r="H189" s="362">
        <f>(O100/$R100*100*($E100/366))+(O101/$R101*100*($E101/366))</f>
        <v>0</v>
      </c>
      <c r="I189" s="362"/>
      <c r="J189" s="362">
        <f>(P100/$R100*100*($E100/366))+(P101/$R101*100*($E101/366))</f>
        <v>0</v>
      </c>
      <c r="K189" s="362"/>
      <c r="L189" s="362">
        <f>(Q100/$R100*100*($E100/366))+(Q101/$R101*100*($E101/366))</f>
        <v>100</v>
      </c>
      <c r="M189" s="362"/>
      <c r="N189" s="363">
        <f t="shared" si="51"/>
        <v>100</v>
      </c>
      <c r="O189" s="420"/>
      <c r="R189" s="1">
        <v>2004</v>
      </c>
      <c r="S189" s="5">
        <f>(O100*($E100/366))+(O101*($E101/366))</f>
        <v>0</v>
      </c>
      <c r="T189" s="5">
        <f>(P100*($E100/366))+(P101*($E101/366))</f>
        <v>0</v>
      </c>
      <c r="U189" s="5">
        <f>(Q100*($E100/366))+(Q101*($E101/366))</f>
        <v>50.7</v>
      </c>
      <c r="V189" s="9"/>
      <c r="W189" s="10">
        <f t="shared" si="50"/>
        <v>50.7</v>
      </c>
      <c r="Y189" s="5"/>
    </row>
    <row r="190" spans="1:25" x14ac:dyDescent="0.15">
      <c r="A190" s="1">
        <v>2005</v>
      </c>
      <c r="B190" s="5">
        <f>(K102*($E102/365))+(K103*($E103/365))</f>
        <v>0</v>
      </c>
      <c r="C190" s="5">
        <f>(L102*($E102/365))+(L103*($E103/365))</f>
        <v>5.4794520547945202</v>
      </c>
      <c r="D190" s="5">
        <f>(M102*($E102/365))+(M103*($E103/365))</f>
        <v>94.520547945205479</v>
      </c>
      <c r="E190" s="17">
        <f t="shared" si="49"/>
        <v>100</v>
      </c>
      <c r="G190" s="1">
        <v>2005</v>
      </c>
      <c r="H190" s="362">
        <f>(O102/$R102*100*($E102/365))+(O103/$R103*100*($E103/365))</f>
        <v>0</v>
      </c>
      <c r="I190" s="362"/>
      <c r="J190" s="362">
        <f>(P102/$R102*100*($E102/365))+(P103/$R103*100*($E103/365))</f>
        <v>5.5244886470257075</v>
      </c>
      <c r="K190" s="362"/>
      <c r="L190" s="362">
        <f>(Q102/$R102*100*($E102/365))+(Q103/$R103*100*($E103/365))</f>
        <v>94.475511352974294</v>
      </c>
      <c r="M190" s="362"/>
      <c r="N190" s="363">
        <f t="shared" si="51"/>
        <v>100</v>
      </c>
      <c r="O190" s="420"/>
      <c r="R190" s="1">
        <v>2005</v>
      </c>
      <c r="S190" s="5">
        <f>(O102*($E102/365))+(O103*($E103/365))</f>
        <v>0</v>
      </c>
      <c r="T190" s="5">
        <f>(P102*($E102/365))+(P103*($E103/365))</f>
        <v>4.0328767123287665</v>
      </c>
      <c r="U190" s="5">
        <f>(Q102*($E102/365))+(Q103*($E103/365))</f>
        <v>49.110958904109594</v>
      </c>
      <c r="V190" s="9"/>
      <c r="W190" s="10">
        <f t="shared" si="50"/>
        <v>53.143835616438359</v>
      </c>
      <c r="Y190" s="5"/>
    </row>
    <row r="191" spans="1:25" x14ac:dyDescent="0.15">
      <c r="A191" s="1">
        <v>2006</v>
      </c>
      <c r="B191" s="5">
        <f>(K104*($E104/365))+(K105*($E105/365))</f>
        <v>0</v>
      </c>
      <c r="C191" s="5">
        <f>(L104*($E104/365))+(L105*($E105/365))</f>
        <v>50</v>
      </c>
      <c r="D191" s="5">
        <f>(M104*($E104/365))+(M105*($E105/365))</f>
        <v>50</v>
      </c>
      <c r="E191" s="17">
        <f t="shared" si="49"/>
        <v>100</v>
      </c>
      <c r="G191" s="1">
        <v>2006</v>
      </c>
      <c r="H191" s="362">
        <f>(O104/$R104*100*($E104/365))+(O105/$R105*100*($E105/365))</f>
        <v>0</v>
      </c>
      <c r="I191" s="362"/>
      <c r="J191" s="362">
        <f>(P104/$R104*100*($E104/365))+(P105/$R105*100*($E105/365))</f>
        <v>50.410958904109584</v>
      </c>
      <c r="K191" s="362"/>
      <c r="L191" s="362">
        <f>(Q104/$R104*100*($E104/365))+(Q105/$R105*100*($E105/365))</f>
        <v>49.589041095890416</v>
      </c>
      <c r="M191" s="362"/>
      <c r="N191" s="363">
        <f t="shared" si="51"/>
        <v>100</v>
      </c>
      <c r="O191" s="420"/>
      <c r="R191" s="1">
        <v>2006</v>
      </c>
      <c r="S191" s="5">
        <f>(O104*($E104/365))+(O105*($E105/365))</f>
        <v>0</v>
      </c>
      <c r="T191" s="5">
        <f>(P104*($E104/365))+(P105*($E105/365))</f>
        <v>36.799999999999997</v>
      </c>
      <c r="U191" s="5">
        <f>(Q104*($E104/365))+(Q105*($E105/365))</f>
        <v>36.200000000000003</v>
      </c>
      <c r="V191" s="9"/>
      <c r="W191" s="10">
        <f t="shared" si="50"/>
        <v>73</v>
      </c>
      <c r="Y191" s="5"/>
    </row>
    <row r="192" spans="1:25" x14ac:dyDescent="0.15">
      <c r="A192" s="1">
        <v>2007</v>
      </c>
      <c r="B192" s="5">
        <f>(K106*($E106/365))+(K107*($E107/365))</f>
        <v>0</v>
      </c>
      <c r="C192" s="5">
        <f>(L106*($E106/365))+(L107*($E107/365))</f>
        <v>50</v>
      </c>
      <c r="D192" s="5">
        <f>(M106*($E106/365))+(M107*($E107/365))</f>
        <v>50</v>
      </c>
      <c r="E192" s="17">
        <f t="shared" si="49"/>
        <v>100</v>
      </c>
      <c r="G192" s="1">
        <v>2007</v>
      </c>
      <c r="H192" s="362">
        <f>(O106/$R106*100*($E106/365))+(O107/$R107*100*($E107/365))</f>
        <v>0</v>
      </c>
      <c r="I192" s="362"/>
      <c r="J192" s="362">
        <f>(P106/$R106*100*($E106/365))+(P107/$R107*100*($E107/365))</f>
        <v>50.410958904109584</v>
      </c>
      <c r="K192" s="362"/>
      <c r="L192" s="362">
        <f>(Q106/$R106*100*($E106/365))+(Q107/$R107*100*($E107/365))</f>
        <v>49.589041095890416</v>
      </c>
      <c r="M192" s="362"/>
      <c r="N192" s="363">
        <f t="shared" si="51"/>
        <v>100</v>
      </c>
      <c r="O192" s="420"/>
      <c r="R192" s="1">
        <v>2007</v>
      </c>
      <c r="S192" s="5">
        <f>(O106*($E106/365))+(O107*($E107/365))</f>
        <v>0</v>
      </c>
      <c r="T192" s="5">
        <f>(P106*($E106/365))+(P107*($E107/365))</f>
        <v>36.799999999999997</v>
      </c>
      <c r="U192" s="5">
        <f>(Q106*($E106/365))+(Q107*($E107/365))</f>
        <v>36.200000000000003</v>
      </c>
      <c r="V192" s="9"/>
      <c r="W192" s="10">
        <f t="shared" si="50"/>
        <v>73</v>
      </c>
      <c r="Y192" s="5"/>
    </row>
    <row r="193" spans="1:25" x14ac:dyDescent="0.15">
      <c r="A193" s="1">
        <v>2008</v>
      </c>
      <c r="B193" s="5">
        <f>(K108*($E108/366))+(K109*($E109/366))</f>
        <v>0</v>
      </c>
      <c r="C193" s="5">
        <f>(L108*($E108/366))+(L109*($E109/366))</f>
        <v>50</v>
      </c>
      <c r="D193" s="5">
        <f>(M108*($E108/366))+(M109*($E109/366))</f>
        <v>50</v>
      </c>
      <c r="E193" s="17">
        <f t="shared" si="49"/>
        <v>100</v>
      </c>
      <c r="G193" s="1">
        <v>2008</v>
      </c>
      <c r="H193" s="362">
        <f>(O108/$R108*100*($E108/366))+(O109/$R109*100*($E109/366))</f>
        <v>0</v>
      </c>
      <c r="I193" s="362"/>
      <c r="J193" s="362">
        <f>(P108/$R108*100*($E108/366))+(P109/$R109*100*($E109/366))</f>
        <v>50.410958904109584</v>
      </c>
      <c r="K193" s="362"/>
      <c r="L193" s="362">
        <f>(Q108/$R108*100*($E108/366))+(Q109/$R109*100*($E109/366))</f>
        <v>49.589041095890416</v>
      </c>
      <c r="M193" s="362"/>
      <c r="N193" s="363">
        <f t="shared" si="51"/>
        <v>100</v>
      </c>
      <c r="O193" s="420"/>
      <c r="R193" s="1">
        <v>2008</v>
      </c>
      <c r="S193" s="5">
        <f>(O108*($E108/366))+(O109*($E109/366))</f>
        <v>0</v>
      </c>
      <c r="T193" s="5">
        <f>(P108*($E108/366))+(P109*($E109/366))</f>
        <v>36.799999999999997</v>
      </c>
      <c r="U193" s="5">
        <f>(Q108*($E108/366))+(Q109*($E109/366))</f>
        <v>36.200000000000003</v>
      </c>
      <c r="V193" s="9"/>
      <c r="W193" s="10">
        <f t="shared" si="50"/>
        <v>73</v>
      </c>
      <c r="Y193" s="5"/>
    </row>
    <row r="194" spans="1:25" x14ac:dyDescent="0.15">
      <c r="A194" s="1">
        <v>2009</v>
      </c>
      <c r="B194" s="5">
        <f>(K110*($E110/365))+(K111*($E111/365))</f>
        <v>5.5650684931506849</v>
      </c>
      <c r="C194" s="5">
        <f>(L110*($E110/365))+(L111*($E111/365))</f>
        <v>53.339041095890408</v>
      </c>
      <c r="D194" s="5">
        <f>(M110*($E110/365))+(M111*($E111/365))</f>
        <v>41.095890410958901</v>
      </c>
      <c r="E194" s="17">
        <f t="shared" si="49"/>
        <v>100</v>
      </c>
      <c r="G194" s="1">
        <v>2009</v>
      </c>
      <c r="H194" s="362">
        <f>(O110/$R110*100*($E110/365))+(O111/$R111*100*($E111/365))</f>
        <v>5.0023087578882564</v>
      </c>
      <c r="I194" s="362"/>
      <c r="J194" s="362">
        <f>(P110/$R110*100*($E110/365))+(P111/$R111*100*($E111/365))</f>
        <v>54.239575272886739</v>
      </c>
      <c r="K194" s="362"/>
      <c r="L194" s="362">
        <f>(Q110/$R110*100*($E110/365))+(Q111/$R111*100*($E111/365))</f>
        <v>40.758115969224995</v>
      </c>
      <c r="M194" s="362"/>
      <c r="N194" s="363">
        <f t="shared" si="51"/>
        <v>100</v>
      </c>
      <c r="O194" s="420"/>
      <c r="R194" s="1">
        <v>2009</v>
      </c>
      <c r="S194" s="5">
        <f>(O110*($E110/365))+(O111*($E111/365))</f>
        <v>2.6712328767123288</v>
      </c>
      <c r="T194" s="5">
        <f>(P110*($E110/365))+(P111*($E111/365))</f>
        <v>37.084931506849308</v>
      </c>
      <c r="U194" s="5">
        <f>(Q110*($E110/365))+(Q111*($E111/365))</f>
        <v>29.753424657534246</v>
      </c>
      <c r="V194" s="9"/>
      <c r="W194" s="10">
        <f t="shared" si="50"/>
        <v>69.509589041095893</v>
      </c>
      <c r="Y194" s="5"/>
    </row>
    <row r="195" spans="1:25" x14ac:dyDescent="0.15">
      <c r="A195" s="1">
        <v>2010</v>
      </c>
      <c r="B195" s="5">
        <f>(K112*($E112/365))+(K113*($E113/365))</f>
        <v>31.25</v>
      </c>
      <c r="C195" s="5">
        <f>(L112*($E112/365))+(L113*($E113/365))</f>
        <v>68.75</v>
      </c>
      <c r="D195" s="5">
        <f>(M112*($E112/365))+(M113*($E113/365))</f>
        <v>0</v>
      </c>
      <c r="E195" s="17">
        <f t="shared" si="49"/>
        <v>100</v>
      </c>
      <c r="G195" s="1">
        <v>2010</v>
      </c>
      <c r="H195" s="362">
        <f>(O112/$R112*100*($E112/365))+(O113/$R113*100*($E113/365))</f>
        <v>28.08988764044944</v>
      </c>
      <c r="I195" s="362"/>
      <c r="J195" s="362">
        <f>(P112/$R112*100*($E112/365))+(P113/$R113*100*($E113/365))</f>
        <v>71.910112359550567</v>
      </c>
      <c r="K195" s="362"/>
      <c r="L195" s="362">
        <f>(Q112/$R112*100*($E112/365))+(Q113/$R113*100*($E113/365))</f>
        <v>0</v>
      </c>
      <c r="M195" s="362"/>
      <c r="N195" s="363">
        <f t="shared" si="51"/>
        <v>100</v>
      </c>
      <c r="O195" s="420"/>
      <c r="R195" s="1">
        <v>2010</v>
      </c>
      <c r="S195" s="5">
        <f>(O112*($E112/365))+(O113*($E113/365))</f>
        <v>15</v>
      </c>
      <c r="T195" s="5">
        <f>(P112*($E112/365))+(P113*($E113/365))</f>
        <v>38.4</v>
      </c>
      <c r="U195" s="5">
        <f>(Q112*($E112/365))+(Q113*($E113/365))</f>
        <v>0</v>
      </c>
      <c r="V195" s="9"/>
      <c r="W195" s="10">
        <f t="shared" si="50"/>
        <v>53.4</v>
      </c>
      <c r="Y195" s="5"/>
    </row>
    <row r="196" spans="1:25" x14ac:dyDescent="0.15">
      <c r="A196" s="1">
        <v>2011</v>
      </c>
      <c r="B196" s="5">
        <f>(K114*($E114/365))+(K115*($E115/365))</f>
        <v>31.25</v>
      </c>
      <c r="C196" s="5">
        <f>(L114*($E114/365))+(L115*($E115/365))</f>
        <v>68.75</v>
      </c>
      <c r="D196" s="5">
        <f>(M114*($E114/365))+(M115*($E115/365))</f>
        <v>0</v>
      </c>
      <c r="E196" s="17">
        <f t="shared" si="49"/>
        <v>100</v>
      </c>
      <c r="G196" s="1">
        <v>2011</v>
      </c>
      <c r="H196" s="362">
        <f>(O114/$R114*100*($E114/365))+(O115/$R115*100*($E115/365))</f>
        <v>28.08988764044944</v>
      </c>
      <c r="I196" s="362"/>
      <c r="J196" s="362">
        <f>(P114/$R114*100*($E114/365))+(P115/$R115*100*($E115/365))</f>
        <v>71.910112359550567</v>
      </c>
      <c r="K196" s="362"/>
      <c r="L196" s="362">
        <f>(Q114/$R114*100*($E114/365))+(Q115/$R115*100*($E115/365))</f>
        <v>0</v>
      </c>
      <c r="M196" s="362"/>
      <c r="N196" s="363">
        <f t="shared" si="51"/>
        <v>100</v>
      </c>
      <c r="O196" s="420"/>
      <c r="R196" s="1">
        <v>2011</v>
      </c>
      <c r="S196" s="5">
        <f>(O114*($E114/365))+(O115*($E115/365))</f>
        <v>15</v>
      </c>
      <c r="T196" s="5">
        <f>(P114*($E114/365))+(P115*($E115/365))</f>
        <v>38.4</v>
      </c>
      <c r="U196" s="5">
        <f>(Q114*($E114/365))+(Q115*($E115/365))</f>
        <v>0</v>
      </c>
      <c r="V196" s="9"/>
      <c r="W196" s="10">
        <f t="shared" si="50"/>
        <v>53.4</v>
      </c>
      <c r="Y196" s="5"/>
    </row>
    <row r="197" spans="1:25" x14ac:dyDescent="0.15">
      <c r="A197" s="1">
        <v>2012</v>
      </c>
      <c r="B197" s="5">
        <f>(K116*($E116/366))+(K117*($E117/366))</f>
        <v>31.25</v>
      </c>
      <c r="C197" s="5">
        <f>(L116*($E116/366))+(L117*($E117/366))</f>
        <v>68.75</v>
      </c>
      <c r="D197" s="5">
        <f>(M116*($E116/366))+(M117*($E117/366))</f>
        <v>0</v>
      </c>
      <c r="E197" s="17">
        <f t="shared" si="49"/>
        <v>100</v>
      </c>
      <c r="G197" s="1">
        <v>2012</v>
      </c>
      <c r="H197" s="362">
        <f>(O116/$R116*100*($E116/366))+(O117/$R117*100*($E117/366))</f>
        <v>28.08988764044944</v>
      </c>
      <c r="I197" s="362"/>
      <c r="J197" s="362">
        <f>(P116/$R116*100*($E116/366))+(P117/$R117*100*($E117/366))</f>
        <v>71.910112359550567</v>
      </c>
      <c r="K197" s="362"/>
      <c r="L197" s="362">
        <f>(Q116/$R116*100*($E116/366))+(Q117/$R117*100*($E117/366))</f>
        <v>0</v>
      </c>
      <c r="M197" s="362"/>
      <c r="N197" s="363">
        <f t="shared" si="51"/>
        <v>100</v>
      </c>
      <c r="O197" s="420"/>
      <c r="R197" s="1">
        <v>2012</v>
      </c>
      <c r="S197" s="5">
        <f>(O116*($E116/366))+(O117*($E117/366))</f>
        <v>15</v>
      </c>
      <c r="T197" s="5">
        <f>(P116*($E116/366))+(P117*($E117/366))</f>
        <v>38.4</v>
      </c>
      <c r="U197" s="5">
        <f>(Q116*($E116/366))+(Q117*($E117/366))</f>
        <v>0</v>
      </c>
      <c r="V197" s="9"/>
      <c r="W197" s="10">
        <f t="shared" si="50"/>
        <v>53.4</v>
      </c>
      <c r="Y197" s="5"/>
    </row>
    <row r="198" spans="1:25" x14ac:dyDescent="0.15">
      <c r="A198" s="1">
        <v>2013</v>
      </c>
      <c r="B198" s="5">
        <f>(K118*($E118/365))+(K119*($E119/365))</f>
        <v>29.965753424657532</v>
      </c>
      <c r="C198" s="5">
        <f>(L118*($E118/365))+(L119*($E119/365))</f>
        <v>68.493150684931507</v>
      </c>
      <c r="D198" s="5">
        <f>(M118*($E118/365))+(M119*($E119/365))</f>
        <v>1.5410958904109588</v>
      </c>
      <c r="E198" s="17">
        <f t="shared" si="49"/>
        <v>100</v>
      </c>
      <c r="G198" s="1">
        <v>2013</v>
      </c>
      <c r="H198" s="362">
        <f>(O118/$R118*100*($E118/365))+(O119/$R119*100*($E119/365))</f>
        <v>26.935508696321378</v>
      </c>
      <c r="I198" s="362"/>
      <c r="J198" s="362">
        <f>(P118/$R118*100*($E118/365))+(P119/$R119*100*($E119/365))</f>
        <v>71.490606139003603</v>
      </c>
      <c r="K198" s="362"/>
      <c r="L198" s="362">
        <f>(Q118/$R118*100*($E118/365))+(Q119/$R119*100*($E119/365))</f>
        <v>1.5738851646750218</v>
      </c>
      <c r="M198" s="362"/>
      <c r="N198" s="363">
        <f>SUM(H198:M198)</f>
        <v>100</v>
      </c>
      <c r="O198" s="420"/>
      <c r="R198" s="1">
        <v>2013</v>
      </c>
      <c r="S198" s="5">
        <f>(O118*($E118/365))+(O119*($E119/365))</f>
        <v>14.383561643835616</v>
      </c>
      <c r="T198" s="5">
        <f>(P118*($E118/365))+(P119*($E119/365))</f>
        <v>38.847945205479448</v>
      </c>
      <c r="U198" s="5">
        <f>(Q118*($E118/365))+(Q119*($E119/365))</f>
        <v>1.2575342465753425</v>
      </c>
      <c r="W198" s="10">
        <f t="shared" si="50"/>
        <v>54.489041095890407</v>
      </c>
    </row>
    <row r="199" spans="1:25" x14ac:dyDescent="0.15">
      <c r="A199" s="1">
        <v>2014</v>
      </c>
      <c r="B199" s="5">
        <f>(K120*($E120/365))+(K121*($E121/365))</f>
        <v>0</v>
      </c>
      <c r="C199" s="5">
        <f>(L120*($E120/365))+(L121*($E121/365))</f>
        <v>62.5</v>
      </c>
      <c r="D199" s="5">
        <f>(M120*($E120/365))+(M121*($E121/365))</f>
        <v>37.5</v>
      </c>
      <c r="E199" s="17">
        <f>SUM(B199:D199)</f>
        <v>100</v>
      </c>
      <c r="G199" s="1">
        <v>2014</v>
      </c>
      <c r="H199" s="362">
        <f>(O120/$R120*100*($E120/365))+(O121/$R121*100*($E121/365))</f>
        <v>0</v>
      </c>
      <c r="I199" s="362"/>
      <c r="J199" s="362">
        <f>(P120/$R120*100*($E120/365))+(P121/$R121*100*($E121/365))</f>
        <v>61.702127659574458</v>
      </c>
      <c r="K199" s="362"/>
      <c r="L199" s="362">
        <f>(Q120/$R120*100*($E120/365))+(Q121/$R121*100*($E121/365))</f>
        <v>38.297872340425535</v>
      </c>
      <c r="M199" s="362"/>
      <c r="N199" s="363">
        <f>SUM(H199:M199)</f>
        <v>100</v>
      </c>
      <c r="O199" s="420"/>
      <c r="R199" s="1">
        <v>2014</v>
      </c>
      <c r="S199" s="5">
        <f>(O120*($E120/365))+(O121*($E121/365))</f>
        <v>0</v>
      </c>
      <c r="T199" s="5">
        <f>(P120*($E120/365))+(P121*($E121/365))</f>
        <v>49.3</v>
      </c>
      <c r="U199" s="5">
        <f>(Q120*($E120/365))+(Q121*($E121/365))</f>
        <v>30.6</v>
      </c>
      <c r="W199" s="10">
        <f>SUM(S199:U199)</f>
        <v>79.900000000000006</v>
      </c>
    </row>
    <row r="200" spans="1:25" x14ac:dyDescent="0.15">
      <c r="A200" s="1">
        <v>2015</v>
      </c>
      <c r="B200" s="5">
        <f>(K122*($E122/365))+(K123*($E123/365))</f>
        <v>0</v>
      </c>
      <c r="C200" s="5">
        <f>(L122*($E122/365))+(L123*($E123/365))</f>
        <v>62.5</v>
      </c>
      <c r="D200" s="5">
        <f>(M122*($E122/365))+(M123*($E123/365))</f>
        <v>37.5</v>
      </c>
      <c r="E200" s="17">
        <f>SUM(B200:D200)</f>
        <v>100</v>
      </c>
      <c r="G200" s="1">
        <v>2015</v>
      </c>
      <c r="H200" s="362">
        <f>(O122/$R122*100*($E122/365))+(O123/$R123*100*($E123/365))</f>
        <v>0</v>
      </c>
      <c r="I200" s="362"/>
      <c r="J200" s="362">
        <f>(P122/$R122*100*($E122/365))+(P123/$R123*100*($E123/365))</f>
        <v>61.702127659574458</v>
      </c>
      <c r="K200" s="362"/>
      <c r="L200" s="362">
        <f>(Q122/$R122*100*($E122/365))+(Q123/$R123*100*($E123/365))</f>
        <v>38.297872340425535</v>
      </c>
      <c r="M200" s="362"/>
      <c r="N200" s="363">
        <f>SUM(H200:M200)</f>
        <v>100</v>
      </c>
      <c r="O200" s="420"/>
      <c r="R200" s="1">
        <v>2015</v>
      </c>
      <c r="S200" s="5">
        <f>(O122*($E122/365))+(O123*($E123/365))</f>
        <v>0</v>
      </c>
      <c r="T200" s="5">
        <f>(P122*($E122/365))+(P123*($E123/365))</f>
        <v>49.3</v>
      </c>
      <c r="U200" s="5">
        <f>(Q122*($E122/365))+(Q123*($E123/365))</f>
        <v>30.6</v>
      </c>
      <c r="W200" s="10">
        <f>SUM(S200:U200)</f>
        <v>79.900000000000006</v>
      </c>
    </row>
    <row r="201" spans="1:25" x14ac:dyDescent="0.15">
      <c r="A201" s="1">
        <v>2016</v>
      </c>
      <c r="B201" s="5">
        <f>(K124*($E124/366))+(K125*($E125/366))</f>
        <v>0</v>
      </c>
      <c r="C201" s="5">
        <f>(L124*($E124/366))+(L125*($E125/366))</f>
        <v>62.5</v>
      </c>
      <c r="D201" s="5">
        <f>(M124*($E124/366))+(M125*($E125/366))</f>
        <v>37.5</v>
      </c>
      <c r="E201" s="17">
        <f>SUM(B201:D201)</f>
        <v>100</v>
      </c>
      <c r="G201" s="1">
        <v>2016</v>
      </c>
      <c r="H201" s="362">
        <f>(O124/$R124*100*($E124/366))+(O125/$R125*100*($E125/366))</f>
        <v>0</v>
      </c>
      <c r="I201" s="362"/>
      <c r="J201" s="362">
        <f>(P124/$R124*100*($E124/366))+(P125/$R125*100*($E125/366))</f>
        <v>61.702127659574458</v>
      </c>
      <c r="K201" s="362"/>
      <c r="L201" s="362">
        <f>(Q124/$R124*100*($E124/366))+(Q125/$R125*100*($E125/366))</f>
        <v>38.297872340425535</v>
      </c>
      <c r="M201" s="362"/>
      <c r="N201" s="363">
        <f>SUM(H201:M201)</f>
        <v>100</v>
      </c>
      <c r="O201" s="420"/>
      <c r="R201" s="1">
        <v>2016</v>
      </c>
      <c r="S201" s="5">
        <f>(O124*($E124/366))+(O125*($E125/366))</f>
        <v>0</v>
      </c>
      <c r="T201" s="5">
        <f>(P124*($E124/366))+(P125*($E125/366))</f>
        <v>49.3</v>
      </c>
      <c r="U201" s="5">
        <f>(Q124*($E124/366))+(Q125*($E125/366))</f>
        <v>30.6</v>
      </c>
      <c r="W201" s="10">
        <f>SUM(S201:U201)</f>
        <v>79.900000000000006</v>
      </c>
    </row>
    <row r="202" spans="1:25" x14ac:dyDescent="0.15">
      <c r="A202" s="1">
        <v>2017</v>
      </c>
      <c r="B202" s="5">
        <f>(K126*($E126/365))+(K127*($E127/365))+(K128*($E128/365))</f>
        <v>0</v>
      </c>
      <c r="C202" s="5">
        <f>(L126*($E126/365))+(L127*($E127/365))+(L128*($E128/365))</f>
        <v>64.019142957499128</v>
      </c>
      <c r="D202" s="5">
        <f>(M126*($E126/365))+(M127*($E127/365))+(M128*($E128/365))</f>
        <v>35.98085704250088</v>
      </c>
      <c r="E202" s="17">
        <f>SUM(B202:D202)</f>
        <v>100</v>
      </c>
      <c r="G202" s="1">
        <v>2017</v>
      </c>
      <c r="H202" s="362">
        <f>(O126/$R126*100*($E126/365))+(O127/$R127*100*($E127/365))+(O128/$R128*100*($E128/365))</f>
        <v>0</v>
      </c>
      <c r="I202" s="362"/>
      <c r="J202" s="362">
        <f>(P126/$R126*100*($E126/365))+(P127/$R127*100*($E127/365))+(P128/$R128*100*($E128/365))</f>
        <v>61.702127659574451</v>
      </c>
      <c r="K202" s="362"/>
      <c r="L202" s="362">
        <f>(Q126/$R126*100*($E126/365))+(Q127/$R127*100*($E127/365))+(Q128/$R128*100*($E128/365))</f>
        <v>38.297872340425535</v>
      </c>
      <c r="M202" s="362"/>
      <c r="N202" s="363">
        <f>SUM(H202:M202)</f>
        <v>99.999999999999986</v>
      </c>
      <c r="O202" s="420"/>
      <c r="R202" s="1">
        <v>2017</v>
      </c>
      <c r="S202" s="5">
        <f>(O126*($E126/365))+(O127*($E127/365))+(O128*($E128/365))</f>
        <v>0</v>
      </c>
      <c r="T202" s="5">
        <f>(P126*($E126/365))+(P127*($E127/365))+(P128*($E128/365))</f>
        <v>49.3</v>
      </c>
      <c r="U202" s="5">
        <f>(Q126*($E126/365))+(Q127*($E127/365))+(Q128*($E128/365))</f>
        <v>30.6</v>
      </c>
      <c r="W202" s="10">
        <f>SUM(S202:U202)</f>
        <v>79.900000000000006</v>
      </c>
    </row>
    <row r="203" spans="1:25" x14ac:dyDescent="0.15">
      <c r="A203" s="1">
        <v>2018</v>
      </c>
      <c r="B203" s="5">
        <f>(K129*($E129/365))+(K130*($E130/365))</f>
        <v>0</v>
      </c>
      <c r="C203" s="5">
        <f>(L129*($E129/365))+(L130*($E130/365))</f>
        <v>62.310326659641731</v>
      </c>
      <c r="D203" s="5">
        <f>(M129*($E129/365))+(M130*($E130/365))</f>
        <v>37.689673340358276</v>
      </c>
      <c r="E203" s="17">
        <f t="shared" ref="E203" si="52">SUM(B203:D203)</f>
        <v>100</v>
      </c>
      <c r="G203" s="1">
        <v>2018</v>
      </c>
      <c r="H203" s="362">
        <f>(O129/$R129*100*($E129/365))+(O130/$R130*100*($E130/365))</f>
        <v>0</v>
      </c>
      <c r="I203" s="362"/>
      <c r="J203" s="362">
        <f>(P129/$R129*100*($E129/365))+(P130/$R130*100*($E130/365))</f>
        <v>61.82390711511016</v>
      </c>
      <c r="K203" s="362"/>
      <c r="L203" s="362">
        <f>(Q129/$R129*100*($E129/365))+(Q130/$R130*100*($E130/365))</f>
        <v>38.17609288488984</v>
      </c>
      <c r="M203" s="362"/>
      <c r="N203" s="363">
        <f t="shared" ref="N203" si="53">SUM(H203:M203)</f>
        <v>100</v>
      </c>
      <c r="O203" s="420"/>
      <c r="R203" s="1">
        <v>2018</v>
      </c>
      <c r="S203" s="5">
        <f>(O129*($E129/365))+(O130*($E130/365))</f>
        <v>0</v>
      </c>
      <c r="T203" s="5">
        <f>(P129*($E129/365))+(P130*($E130/365))</f>
        <v>37.580000000000005</v>
      </c>
      <c r="U203" s="5">
        <f>(Q129*($E129/365))+(Q130*($E130/365))</f>
        <v>23.214794520547944</v>
      </c>
      <c r="W203" s="10">
        <f t="shared" ref="W203" si="54">SUM(S203:U203)</f>
        <v>60.794794520547953</v>
      </c>
    </row>
    <row r="204" spans="1:25" x14ac:dyDescent="0.15">
      <c r="A204" s="1">
        <v>2019</v>
      </c>
      <c r="B204" s="5">
        <f>(K131*($E131/365))+(K132*($E132/365))</f>
        <v>0</v>
      </c>
      <c r="C204" s="5">
        <f>(L131*($E131/365))+(L132*($E132/365))</f>
        <v>62.5</v>
      </c>
      <c r="D204" s="5">
        <f>(M131*($E131/365))+(M132*($E132/365))</f>
        <v>37.5</v>
      </c>
      <c r="E204" s="17">
        <f t="shared" ref="E204:E205" si="55">SUM(B204:D204)</f>
        <v>100</v>
      </c>
      <c r="G204" s="1">
        <v>2019</v>
      </c>
      <c r="H204" s="362">
        <f>(O131/$R131*100*($E131/365))+(O132/$R132*100*($E132/365))</f>
        <v>0</v>
      </c>
      <c r="I204" s="362"/>
      <c r="J204" s="362">
        <f>(P131/$R131*100*($E131/365))+(P132/$R132*100*($E132/365))</f>
        <v>61.853832442067734</v>
      </c>
      <c r="K204" s="362"/>
      <c r="L204" s="362">
        <f>(Q131/$R131*100*($E131/365))+(Q132/$R132*100*($E132/365))</f>
        <v>38.146167557932259</v>
      </c>
      <c r="M204" s="362"/>
      <c r="N204" s="363">
        <f t="shared" ref="N204" si="56">SUM(H204:M204)</f>
        <v>100</v>
      </c>
      <c r="O204" s="420"/>
      <c r="R204" s="1">
        <v>2019</v>
      </c>
      <c r="S204" s="5">
        <f>(O131*($E131/365))+(O132*($E132/365))</f>
        <v>0</v>
      </c>
      <c r="T204" s="5">
        <f>(P131*($E131/365))+(P132*($E132/365))</f>
        <v>34.700000000000003</v>
      </c>
      <c r="U204" s="5">
        <f>(Q131*($E131/365))+(Q132*($E132/365))</f>
        <v>21.4</v>
      </c>
      <c r="W204" s="10">
        <f t="shared" ref="W204:W205" si="57">SUM(S204:U204)</f>
        <v>56.1</v>
      </c>
    </row>
    <row r="205" spans="1:25" x14ac:dyDescent="0.15">
      <c r="A205" s="1">
        <v>2020</v>
      </c>
      <c r="B205" s="5">
        <f>(K133*($E133/366))+(K134*($E134/366))</f>
        <v>0</v>
      </c>
      <c r="C205" s="5">
        <f>(L133*($E133/366))+(L134*($E134/366))</f>
        <v>62.5</v>
      </c>
      <c r="D205" s="5">
        <f>(M133*($E133/366))+(M134*($E134/366))</f>
        <v>37.5</v>
      </c>
      <c r="E205" s="17">
        <f t="shared" si="55"/>
        <v>100</v>
      </c>
      <c r="G205" s="1">
        <v>2020</v>
      </c>
      <c r="H205" s="362">
        <f>(O133/$R133*100*($E133/366))+(O134/$R134*100*($E134/366))</f>
        <v>0</v>
      </c>
      <c r="I205" s="362"/>
      <c r="J205" s="362">
        <f>(P133/$R133*100*($E133/366))+(P134/$R134*100*($E134/366))</f>
        <v>61.853832442067734</v>
      </c>
      <c r="K205" s="362"/>
      <c r="L205" s="362">
        <f>(Q133/$R133*100*($E133/366))+(Q134/$R134*100*($E134/366))</f>
        <v>38.146167557932259</v>
      </c>
      <c r="M205" s="362"/>
      <c r="N205" s="363">
        <f t="shared" ref="N205" si="58">SUM(H205:M205)</f>
        <v>100</v>
      </c>
      <c r="O205" s="420"/>
      <c r="R205" s="1">
        <v>2020</v>
      </c>
      <c r="S205" s="5">
        <f>(O133*($E133/366))+(O134*($E134/366))</f>
        <v>0</v>
      </c>
      <c r="T205" s="5">
        <f>(P133*($E133/366))+(P134*($E134/366))</f>
        <v>34.700000000000003</v>
      </c>
      <c r="U205" s="5">
        <f>(Q133*($E133/366))+(Q134*($E134/366))</f>
        <v>21.4</v>
      </c>
      <c r="W205" s="10">
        <f t="shared" si="57"/>
        <v>56.1</v>
      </c>
    </row>
    <row r="206" spans="1:25" x14ac:dyDescent="0.15">
      <c r="A206" s="1">
        <v>2021</v>
      </c>
      <c r="B206" s="5">
        <f>(K135*($E135/365))+(K136*($E136/365))</f>
        <v>1.5471394037066879</v>
      </c>
      <c r="C206" s="5">
        <f>(L135*($E135/365))+(L136*($E136/365))</f>
        <v>58.390410958904113</v>
      </c>
      <c r="D206" s="5">
        <f>(M135*($E135/365))+(M136*($E136/365))</f>
        <v>40.0624496373892</v>
      </c>
      <c r="E206" s="17">
        <f>SUM(B206:D206)</f>
        <v>100</v>
      </c>
      <c r="G206" s="1">
        <v>2021</v>
      </c>
      <c r="H206" s="362">
        <f>(O135/$R135*100*($E135/365))+(O136/$R136*100*($E136/365))</f>
        <v>1.4547217844587221</v>
      </c>
      <c r="I206" s="362"/>
      <c r="J206" s="362">
        <f>(P135/$R135*100*($E135/365))+(P136/$R136*100*($E136/365))</f>
        <v>57.786731130808491</v>
      </c>
      <c r="K206" s="362"/>
      <c r="L206" s="362">
        <f>(Q135/$R135*100*($E135/365))+(Q136/$R136*100*($E136/365))</f>
        <v>40.75854708473279</v>
      </c>
      <c r="M206" s="362"/>
      <c r="N206" s="363">
        <f>SUM(H206:M206)</f>
        <v>100</v>
      </c>
      <c r="O206" s="363"/>
      <c r="R206" s="1">
        <v>2021</v>
      </c>
      <c r="S206" s="5">
        <f>(O135*($E135/365))+(O136*($E136/365))</f>
        <v>0.82191780821917804</v>
      </c>
      <c r="T206" s="5">
        <f>(P135*($E135/365))+(P136*($E136/365))</f>
        <v>32.418356164383567</v>
      </c>
      <c r="U206" s="5">
        <f>(Q135*($E135/365))+(Q136*($E136/365))</f>
        <v>22.886027397260271</v>
      </c>
      <c r="W206" s="10">
        <f>SUM(S206:U206)</f>
        <v>56.126301369863015</v>
      </c>
    </row>
    <row r="207" spans="1:25" x14ac:dyDescent="0.15">
      <c r="A207" s="1">
        <v>2022</v>
      </c>
      <c r="B207" s="5">
        <f>(K137*($E137/365))+(K138*($E138/365))</f>
        <v>23.52941176470588</v>
      </c>
      <c r="C207" s="5">
        <f>(L137*($E137/365))+(L138*($E138/365))</f>
        <v>0</v>
      </c>
      <c r="D207" s="5">
        <f>(M137*($E137/365))+(M138*($E138/365))</f>
        <v>76.470588235294116</v>
      </c>
      <c r="E207" s="17">
        <f>SUM(B207:D207)</f>
        <v>100</v>
      </c>
      <c r="G207" s="1">
        <v>2022</v>
      </c>
      <c r="H207" s="362">
        <f>(O138/$R138*100*($E138/365))+(O137/$R137*100*($E137/365))</f>
        <v>22.123893805309734</v>
      </c>
      <c r="I207" s="362"/>
      <c r="J207" s="362">
        <f>(P138/$R138*100*($E138/365))+(P137/$R137*100*($E137/365))</f>
        <v>0</v>
      </c>
      <c r="K207" s="362"/>
      <c r="L207" s="362">
        <f>(Q138/$R138*100*($E138/365))+(Q137/$R137*100*($E137/365))</f>
        <v>77.876106194690266</v>
      </c>
      <c r="M207" s="362"/>
      <c r="N207" s="363">
        <f>SUM(H207:M207)</f>
        <v>100</v>
      </c>
      <c r="O207" s="363"/>
      <c r="R207" s="1">
        <v>2022</v>
      </c>
      <c r="S207" s="5">
        <f>(O138*($E138/365))+(O137*($E137/365))</f>
        <v>12.5</v>
      </c>
      <c r="T207" s="5">
        <f>(P138*($E138/365))+(P137*($E137/365))</f>
        <v>0</v>
      </c>
      <c r="U207" s="5">
        <f>(Q138*($E138/365))+(Q137*($E137/365))</f>
        <v>44</v>
      </c>
      <c r="W207" s="10">
        <f>SUM(S207:U207)</f>
        <v>56.5</v>
      </c>
    </row>
  </sheetData>
  <mergeCells count="415">
    <mergeCell ref="C135:D135"/>
    <mergeCell ref="C136:D136"/>
    <mergeCell ref="H206:I206"/>
    <mergeCell ref="J206:K206"/>
    <mergeCell ref="L206:M206"/>
    <mergeCell ref="N206:O206"/>
    <mergeCell ref="C133:D133"/>
    <mergeCell ref="C134:D134"/>
    <mergeCell ref="H205:I205"/>
    <mergeCell ref="J205:K205"/>
    <mergeCell ref="L205:M205"/>
    <mergeCell ref="N205:O205"/>
    <mergeCell ref="N152:O152"/>
    <mergeCell ref="N153:O153"/>
    <mergeCell ref="N154:O154"/>
    <mergeCell ref="L153:M153"/>
    <mergeCell ref="L154:M154"/>
    <mergeCell ref="L155:M155"/>
    <mergeCell ref="L156:M156"/>
    <mergeCell ref="L157:M157"/>
    <mergeCell ref="L158:M158"/>
    <mergeCell ref="L159:M159"/>
    <mergeCell ref="L160:M160"/>
    <mergeCell ref="L161:M161"/>
    <mergeCell ref="C131:D131"/>
    <mergeCell ref="C132:D132"/>
    <mergeCell ref="H204:I204"/>
    <mergeCell ref="J204:K204"/>
    <mergeCell ref="L204:M204"/>
    <mergeCell ref="N204:O204"/>
    <mergeCell ref="N160:O160"/>
    <mergeCell ref="N161:O161"/>
    <mergeCell ref="N162:O162"/>
    <mergeCell ref="N163:O163"/>
    <mergeCell ref="N164:O164"/>
    <mergeCell ref="N176:O176"/>
    <mergeCell ref="L162:M162"/>
    <mergeCell ref="L163:M163"/>
    <mergeCell ref="L164:M164"/>
    <mergeCell ref="L171:M171"/>
    <mergeCell ref="L172:M172"/>
    <mergeCell ref="L173:M173"/>
    <mergeCell ref="L165:M165"/>
    <mergeCell ref="L166:M166"/>
    <mergeCell ref="L167:M167"/>
    <mergeCell ref="L168:M168"/>
    <mergeCell ref="L169:M169"/>
    <mergeCell ref="L170:M170"/>
    <mergeCell ref="C118:D118"/>
    <mergeCell ref="C119:D119"/>
    <mergeCell ref="N198:O198"/>
    <mergeCell ref="N194:O194"/>
    <mergeCell ref="N195:O195"/>
    <mergeCell ref="N197:O197"/>
    <mergeCell ref="N188:O188"/>
    <mergeCell ref="N189:O189"/>
    <mergeCell ref="N190:O190"/>
    <mergeCell ref="N191:O191"/>
    <mergeCell ref="N192:O192"/>
    <mergeCell ref="N193:O193"/>
    <mergeCell ref="N183:O183"/>
    <mergeCell ref="N171:O171"/>
    <mergeCell ref="N172:O172"/>
    <mergeCell ref="N173:O173"/>
    <mergeCell ref="N174:O174"/>
    <mergeCell ref="N175:O175"/>
    <mergeCell ref="N165:O165"/>
    <mergeCell ref="N166:O166"/>
    <mergeCell ref="N167:O167"/>
    <mergeCell ref="N168:O168"/>
    <mergeCell ref="N169:O169"/>
    <mergeCell ref="N170:O170"/>
    <mergeCell ref="AT4:AW4"/>
    <mergeCell ref="AX4:BA4"/>
    <mergeCell ref="H198:I198"/>
    <mergeCell ref="J198:K198"/>
    <mergeCell ref="L198:M198"/>
    <mergeCell ref="N184:O184"/>
    <mergeCell ref="N185:O185"/>
    <mergeCell ref="N186:O186"/>
    <mergeCell ref="N187:O187"/>
    <mergeCell ref="N196:O196"/>
    <mergeCell ref="N177:O177"/>
    <mergeCell ref="N178:O178"/>
    <mergeCell ref="N179:O179"/>
    <mergeCell ref="N180:O180"/>
    <mergeCell ref="N181:O181"/>
    <mergeCell ref="N182:O182"/>
    <mergeCell ref="N155:O155"/>
    <mergeCell ref="N156:O156"/>
    <mergeCell ref="N157:O157"/>
    <mergeCell ref="N158:O158"/>
    <mergeCell ref="L180:M180"/>
    <mergeCell ref="L181:M181"/>
    <mergeCell ref="L182:M182"/>
    <mergeCell ref="N159:O159"/>
    <mergeCell ref="L195:M195"/>
    <mergeCell ref="L196:M196"/>
    <mergeCell ref="L197:M197"/>
    <mergeCell ref="L191:M191"/>
    <mergeCell ref="L192:M192"/>
    <mergeCell ref="L193:M193"/>
    <mergeCell ref="L194:M194"/>
    <mergeCell ref="L174:M174"/>
    <mergeCell ref="L175:M175"/>
    <mergeCell ref="L176:M176"/>
    <mergeCell ref="L190:M190"/>
    <mergeCell ref="L183:M183"/>
    <mergeCell ref="L184:M184"/>
    <mergeCell ref="L185:M185"/>
    <mergeCell ref="L186:M186"/>
    <mergeCell ref="L187:M187"/>
    <mergeCell ref="L188:M188"/>
    <mergeCell ref="L177:M177"/>
    <mergeCell ref="L178:M178"/>
    <mergeCell ref="L179:M179"/>
    <mergeCell ref="L189:M189"/>
    <mergeCell ref="J196:K196"/>
    <mergeCell ref="J197:K197"/>
    <mergeCell ref="L145:M145"/>
    <mergeCell ref="L146:M146"/>
    <mergeCell ref="L147:M147"/>
    <mergeCell ref="L148:M148"/>
    <mergeCell ref="L149:M149"/>
    <mergeCell ref="L150:M150"/>
    <mergeCell ref="L151:M151"/>
    <mergeCell ref="L152:M152"/>
    <mergeCell ref="J190:K190"/>
    <mergeCell ref="J191:K191"/>
    <mergeCell ref="J192:K192"/>
    <mergeCell ref="J193:K193"/>
    <mergeCell ref="J194:K194"/>
    <mergeCell ref="J195:K195"/>
    <mergeCell ref="J184:K184"/>
    <mergeCell ref="J185:K185"/>
    <mergeCell ref="J186:K186"/>
    <mergeCell ref="J187:K187"/>
    <mergeCell ref="J188:K188"/>
    <mergeCell ref="J189:K189"/>
    <mergeCell ref="J178:K178"/>
    <mergeCell ref="J179:K179"/>
    <mergeCell ref="H197:I197"/>
    <mergeCell ref="J145:K145"/>
    <mergeCell ref="J146:K146"/>
    <mergeCell ref="J147:K147"/>
    <mergeCell ref="J148:K148"/>
    <mergeCell ref="J149:K149"/>
    <mergeCell ref="J150:K150"/>
    <mergeCell ref="J151:K151"/>
    <mergeCell ref="J152:K152"/>
    <mergeCell ref="J153:K153"/>
    <mergeCell ref="H191:I191"/>
    <mergeCell ref="H192:I192"/>
    <mergeCell ref="H193:I193"/>
    <mergeCell ref="H194:I194"/>
    <mergeCell ref="H195:I195"/>
    <mergeCell ref="H196:I196"/>
    <mergeCell ref="H185:I185"/>
    <mergeCell ref="H186:I186"/>
    <mergeCell ref="H189:I189"/>
    <mergeCell ref="H190:I190"/>
    <mergeCell ref="H179:I179"/>
    <mergeCell ref="H180:I180"/>
    <mergeCell ref="H181:I181"/>
    <mergeCell ref="H182:I182"/>
    <mergeCell ref="J154:K154"/>
    <mergeCell ref="J155:K155"/>
    <mergeCell ref="J156:K156"/>
    <mergeCell ref="J157:K157"/>
    <mergeCell ref="J158:K158"/>
    <mergeCell ref="J159:K159"/>
    <mergeCell ref="J160:K160"/>
    <mergeCell ref="J161:K161"/>
    <mergeCell ref="J162:K162"/>
    <mergeCell ref="H188:I188"/>
    <mergeCell ref="H160:I160"/>
    <mergeCell ref="H173:I173"/>
    <mergeCell ref="H174:I174"/>
    <mergeCell ref="H175:I175"/>
    <mergeCell ref="H170:I170"/>
    <mergeCell ref="H171:I171"/>
    <mergeCell ref="H172:I172"/>
    <mergeCell ref="H184:I184"/>
    <mergeCell ref="H178:I178"/>
    <mergeCell ref="H167:I167"/>
    <mergeCell ref="H168:I168"/>
    <mergeCell ref="H169:I169"/>
    <mergeCell ref="H183:I183"/>
    <mergeCell ref="H176:I176"/>
    <mergeCell ref="H177:I177"/>
    <mergeCell ref="J164:K164"/>
    <mergeCell ref="J165:K165"/>
    <mergeCell ref="H187:I187"/>
    <mergeCell ref="J181:K181"/>
    <mergeCell ref="J182:K182"/>
    <mergeCell ref="J183:K183"/>
    <mergeCell ref="J176:K176"/>
    <mergeCell ref="J177:K177"/>
    <mergeCell ref="J174:K174"/>
    <mergeCell ref="J175:K175"/>
    <mergeCell ref="J180:K180"/>
    <mergeCell ref="J173:K173"/>
    <mergeCell ref="R141:W141"/>
    <mergeCell ref="H143:I143"/>
    <mergeCell ref="J143:K143"/>
    <mergeCell ref="L143:M143"/>
    <mergeCell ref="N143:O143"/>
    <mergeCell ref="H145:I145"/>
    <mergeCell ref="N145:O145"/>
    <mergeCell ref="H144:I144"/>
    <mergeCell ref="J144:K144"/>
    <mergeCell ref="L144:M144"/>
    <mergeCell ref="G3:M3"/>
    <mergeCell ref="O3:Q3"/>
    <mergeCell ref="C9:D9"/>
    <mergeCell ref="C10:D10"/>
    <mergeCell ref="A4:A5"/>
    <mergeCell ref="B4:B5"/>
    <mergeCell ref="C4:D5"/>
    <mergeCell ref="E4:E5"/>
    <mergeCell ref="F4:F5"/>
    <mergeCell ref="G4:J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09:D109"/>
    <mergeCell ref="C110:D110"/>
    <mergeCell ref="C117:D117"/>
    <mergeCell ref="C111:D111"/>
    <mergeCell ref="C112:D112"/>
    <mergeCell ref="C113:D113"/>
    <mergeCell ref="C114:D114"/>
    <mergeCell ref="C115:D115"/>
    <mergeCell ref="C116:D116"/>
    <mergeCell ref="C120:D120"/>
    <mergeCell ref="C121:D121"/>
    <mergeCell ref="N144:O144"/>
    <mergeCell ref="H146:I146"/>
    <mergeCell ref="H147:I147"/>
    <mergeCell ref="H148:I148"/>
    <mergeCell ref="H149:I149"/>
    <mergeCell ref="H150:I150"/>
    <mergeCell ref="H151:I151"/>
    <mergeCell ref="N146:O146"/>
    <mergeCell ref="N147:O147"/>
    <mergeCell ref="N148:O148"/>
    <mergeCell ref="N149:O149"/>
    <mergeCell ref="N150:O150"/>
    <mergeCell ref="N151:O151"/>
    <mergeCell ref="C122:D122"/>
    <mergeCell ref="C123:D123"/>
    <mergeCell ref="C125:D125"/>
    <mergeCell ref="C124:D124"/>
    <mergeCell ref="C126:D126"/>
    <mergeCell ref="C127:D127"/>
    <mergeCell ref="C128:D128"/>
    <mergeCell ref="C129:D129"/>
    <mergeCell ref="C130:D130"/>
    <mergeCell ref="L200:M200"/>
    <mergeCell ref="N200:O200"/>
    <mergeCell ref="H152:I152"/>
    <mergeCell ref="H153:I153"/>
    <mergeCell ref="H154:I154"/>
    <mergeCell ref="H161:I161"/>
    <mergeCell ref="H162:I162"/>
    <mergeCell ref="H163:I163"/>
    <mergeCell ref="H164:I164"/>
    <mergeCell ref="H165:I165"/>
    <mergeCell ref="H166:I166"/>
    <mergeCell ref="H155:I155"/>
    <mergeCell ref="H156:I156"/>
    <mergeCell ref="H157:I157"/>
    <mergeCell ref="H158:I158"/>
    <mergeCell ref="H159:I159"/>
    <mergeCell ref="J166:K166"/>
    <mergeCell ref="J167:K167"/>
    <mergeCell ref="J168:K168"/>
    <mergeCell ref="J169:K169"/>
    <mergeCell ref="J170:K170"/>
    <mergeCell ref="J171:K171"/>
    <mergeCell ref="J172:K172"/>
    <mergeCell ref="J163:K163"/>
    <mergeCell ref="C137:D137"/>
    <mergeCell ref="C138:D138"/>
    <mergeCell ref="H207:I207"/>
    <mergeCell ref="J207:K207"/>
    <mergeCell ref="L207:M207"/>
    <mergeCell ref="N207:O207"/>
    <mergeCell ref="J203:K203"/>
    <mergeCell ref="L203:M203"/>
    <mergeCell ref="H203:I203"/>
    <mergeCell ref="N203:O203"/>
    <mergeCell ref="J202:K202"/>
    <mergeCell ref="L202:M202"/>
    <mergeCell ref="H202:I202"/>
    <mergeCell ref="N202:O202"/>
    <mergeCell ref="H201:I201"/>
    <mergeCell ref="J201:K201"/>
    <mergeCell ref="L201:M201"/>
    <mergeCell ref="N201:O201"/>
    <mergeCell ref="H199:I199"/>
    <mergeCell ref="J199:K199"/>
    <mergeCell ref="L199:M199"/>
    <mergeCell ref="N199:O199"/>
    <mergeCell ref="H200:I200"/>
    <mergeCell ref="J200:K200"/>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R137:R138" formulaRange="1"/>
  </ignoredErrors>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A220"/>
  <sheetViews>
    <sheetView zoomScale="112" zoomScaleNormal="100" workbookViewId="0">
      <pane xSplit="1" ySplit="5" topLeftCell="AX144"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45" width="5.5" style="1" customWidth="1"/>
    <col min="46" max="53" width="5.6640625" style="1" customWidth="1"/>
    <col min="54" max="16384" width="10.6640625" style="1"/>
  </cols>
  <sheetData>
    <row r="1" spans="1:53" ht="15" customHeight="1" x14ac:dyDescent="0.15">
      <c r="B1" s="15" t="s">
        <v>14</v>
      </c>
    </row>
    <row r="2" spans="1:53" ht="15" customHeight="1" x14ac:dyDescent="0.15">
      <c r="B2" s="15" t="s">
        <v>56</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139" customFormat="1" x14ac:dyDescent="0.15">
      <c r="A6" s="145">
        <v>1959</v>
      </c>
      <c r="B6" s="294"/>
      <c r="C6" s="398" t="s">
        <v>761</v>
      </c>
      <c r="D6" s="398"/>
      <c r="E6" s="139">
        <v>0</v>
      </c>
      <c r="G6" s="147">
        <v>16</v>
      </c>
      <c r="J6" s="153">
        <v>16</v>
      </c>
      <c r="K6" s="133">
        <f>G6/J6*100</f>
        <v>100</v>
      </c>
      <c r="L6" s="133">
        <f>H6/J6*100</f>
        <v>0</v>
      </c>
      <c r="M6" s="133">
        <f>I6/J6*100</f>
        <v>0</v>
      </c>
      <c r="N6" s="149">
        <f>SUM(K6:M6)</f>
        <v>100</v>
      </c>
      <c r="O6" s="132">
        <v>57</v>
      </c>
      <c r="P6" s="133"/>
      <c r="Q6" s="133"/>
      <c r="R6" s="134">
        <f>SUM(O6:Q6)</f>
        <v>57</v>
      </c>
      <c r="S6" s="139">
        <v>1</v>
      </c>
      <c r="T6" s="306"/>
      <c r="U6" s="294"/>
      <c r="V6" s="138" t="s">
        <v>773</v>
      </c>
      <c r="W6" s="139" t="s">
        <v>74</v>
      </c>
      <c r="X6" s="139" t="s">
        <v>11</v>
      </c>
      <c r="Y6" s="140">
        <v>57</v>
      </c>
      <c r="AD6" s="156"/>
      <c r="AG6" s="140"/>
      <c r="AL6" s="138"/>
      <c r="AO6" s="140"/>
      <c r="AP6" s="138"/>
      <c r="AS6" s="140"/>
      <c r="AW6" s="140"/>
      <c r="BA6" s="141"/>
    </row>
    <row r="7" spans="1:53" s="139" customFormat="1" x14ac:dyDescent="0.15">
      <c r="A7" s="145">
        <v>1959</v>
      </c>
      <c r="B7" s="294"/>
      <c r="C7" s="398" t="s">
        <v>761</v>
      </c>
      <c r="D7" s="398"/>
      <c r="E7" s="139">
        <v>365</v>
      </c>
      <c r="G7" s="147">
        <v>16</v>
      </c>
      <c r="J7" s="153">
        <v>16</v>
      </c>
      <c r="K7" s="133">
        <f>G7/J7*100</f>
        <v>100</v>
      </c>
      <c r="L7" s="133">
        <f>H7/J7*100</f>
        <v>0</v>
      </c>
      <c r="M7" s="133">
        <f>I7/J7*100</f>
        <v>0</v>
      </c>
      <c r="N7" s="149">
        <f>SUM(K7:M7)</f>
        <v>100</v>
      </c>
      <c r="O7" s="132">
        <v>57</v>
      </c>
      <c r="P7" s="133"/>
      <c r="Q7" s="133"/>
      <c r="R7" s="134">
        <f>SUM(O7:Q7)</f>
        <v>57</v>
      </c>
      <c r="S7" s="139">
        <v>1</v>
      </c>
      <c r="T7" s="306"/>
      <c r="U7" s="294"/>
      <c r="V7" s="138" t="s">
        <v>773</v>
      </c>
      <c r="W7" s="139" t="s">
        <v>74</v>
      </c>
      <c r="X7" s="139" t="s">
        <v>11</v>
      </c>
      <c r="Y7" s="140">
        <v>57</v>
      </c>
      <c r="AD7" s="156"/>
      <c r="AG7" s="140"/>
      <c r="AL7" s="138"/>
      <c r="AO7" s="140"/>
      <c r="AP7" s="138"/>
      <c r="AS7" s="140"/>
      <c r="AW7" s="140"/>
      <c r="BA7" s="141"/>
    </row>
    <row r="8" spans="1:53" s="28" customFormat="1" x14ac:dyDescent="0.15">
      <c r="A8" s="51">
        <v>1960</v>
      </c>
      <c r="B8" s="293"/>
      <c r="C8" s="394" t="s">
        <v>761</v>
      </c>
      <c r="D8" s="394"/>
      <c r="E8" s="28">
        <v>0</v>
      </c>
      <c r="G8" s="65">
        <v>16</v>
      </c>
      <c r="J8" s="72">
        <v>16</v>
      </c>
      <c r="K8" s="46">
        <f>G8/J8*100</f>
        <v>100</v>
      </c>
      <c r="L8" s="46">
        <f>H8/J8*100</f>
        <v>0</v>
      </c>
      <c r="M8" s="46">
        <f>I8/J8*100</f>
        <v>0</v>
      </c>
      <c r="N8" s="67">
        <f>SUM(K8:M8)</f>
        <v>100</v>
      </c>
      <c r="O8" s="45">
        <v>57</v>
      </c>
      <c r="P8" s="46"/>
      <c r="Q8" s="46"/>
      <c r="R8" s="47">
        <f>SUM(O8:Q8)</f>
        <v>57</v>
      </c>
      <c r="S8" s="28">
        <v>1</v>
      </c>
      <c r="T8" s="284"/>
      <c r="U8" s="293"/>
      <c r="V8" s="37" t="s">
        <v>773</v>
      </c>
      <c r="W8" s="28" t="s">
        <v>74</v>
      </c>
      <c r="X8" s="28" t="s">
        <v>11</v>
      </c>
      <c r="Y8" s="38">
        <v>57</v>
      </c>
      <c r="AD8" s="90"/>
      <c r="AG8" s="38"/>
      <c r="AL8" s="37"/>
      <c r="AO8" s="38"/>
      <c r="AP8" s="37"/>
      <c r="AS8" s="38"/>
      <c r="AW8" s="38"/>
      <c r="BA8" s="39"/>
    </row>
    <row r="9" spans="1:53" s="28" customFormat="1" x14ac:dyDescent="0.15">
      <c r="A9" s="51">
        <v>1960</v>
      </c>
      <c r="B9" s="293"/>
      <c r="C9" s="394" t="s">
        <v>761</v>
      </c>
      <c r="D9" s="394"/>
      <c r="E9" s="28">
        <v>366</v>
      </c>
      <c r="G9" s="65">
        <v>16</v>
      </c>
      <c r="J9" s="72">
        <v>16</v>
      </c>
      <c r="K9" s="46">
        <f>G9/J9*100</f>
        <v>100</v>
      </c>
      <c r="L9" s="46">
        <f>H9/J9*100</f>
        <v>0</v>
      </c>
      <c r="M9" s="46">
        <f>I9/J9*100</f>
        <v>0</v>
      </c>
      <c r="N9" s="67">
        <f>SUM(K9:M9)</f>
        <v>100</v>
      </c>
      <c r="O9" s="45">
        <v>57</v>
      </c>
      <c r="P9" s="46"/>
      <c r="Q9" s="46"/>
      <c r="R9" s="47">
        <f t="shared" ref="R9:R28" si="0">SUM(O9:Q9)</f>
        <v>57</v>
      </c>
      <c r="S9" s="28">
        <v>1</v>
      </c>
      <c r="T9" s="284"/>
      <c r="U9" s="293"/>
      <c r="V9" s="37" t="s">
        <v>773</v>
      </c>
      <c r="W9" s="28" t="s">
        <v>74</v>
      </c>
      <c r="X9" s="28" t="s">
        <v>11</v>
      </c>
      <c r="Y9" s="38">
        <v>57</v>
      </c>
      <c r="AD9" s="90"/>
      <c r="AG9" s="38"/>
      <c r="AL9" s="37"/>
      <c r="AO9" s="38"/>
      <c r="AP9" s="37"/>
      <c r="AS9" s="38"/>
      <c r="AW9" s="38"/>
      <c r="BA9" s="39"/>
    </row>
    <row r="10" spans="1:53" s="28" customFormat="1" x14ac:dyDescent="0.15">
      <c r="A10" s="51">
        <v>1961</v>
      </c>
      <c r="B10" s="293"/>
      <c r="C10" s="394" t="s">
        <v>761</v>
      </c>
      <c r="D10" s="394"/>
      <c r="E10" s="28">
        <v>263</v>
      </c>
      <c r="G10" s="65">
        <v>16</v>
      </c>
      <c r="J10" s="72">
        <v>16</v>
      </c>
      <c r="K10" s="46">
        <f>G10/J10*100</f>
        <v>100</v>
      </c>
      <c r="L10" s="46">
        <f>H10/J10*100</f>
        <v>0</v>
      </c>
      <c r="M10" s="46">
        <f>I10/J10*100</f>
        <v>0</v>
      </c>
      <c r="N10" s="67">
        <f>SUM(K10:M10)</f>
        <v>100</v>
      </c>
      <c r="O10" s="45">
        <v>57</v>
      </c>
      <c r="P10" s="46"/>
      <c r="Q10" s="46"/>
      <c r="R10" s="47">
        <f t="shared" si="0"/>
        <v>57</v>
      </c>
      <c r="S10" s="28">
        <v>1</v>
      </c>
      <c r="T10" s="284"/>
      <c r="U10" s="293"/>
      <c r="V10" s="37" t="s">
        <v>773</v>
      </c>
      <c r="W10" s="28" t="s">
        <v>74</v>
      </c>
      <c r="X10" s="28" t="s">
        <v>11</v>
      </c>
      <c r="Y10" s="38">
        <v>57</v>
      </c>
      <c r="AD10" s="90"/>
      <c r="AG10" s="38"/>
      <c r="AL10" s="37"/>
      <c r="AO10" s="38"/>
      <c r="AP10" s="37"/>
      <c r="AS10" s="38"/>
      <c r="AW10" s="38"/>
      <c r="BA10" s="39"/>
    </row>
    <row r="11" spans="1:53" s="170" customFormat="1" x14ac:dyDescent="0.15">
      <c r="A11" s="215">
        <v>1961</v>
      </c>
      <c r="B11" s="281">
        <v>22545</v>
      </c>
      <c r="C11" s="395" t="s">
        <v>762</v>
      </c>
      <c r="D11" s="395"/>
      <c r="E11" s="170">
        <v>44</v>
      </c>
      <c r="F11" s="170">
        <v>1</v>
      </c>
      <c r="G11" s="232">
        <v>0</v>
      </c>
      <c r="H11" s="170">
        <v>0</v>
      </c>
      <c r="I11" s="170">
        <v>0</v>
      </c>
      <c r="J11" s="240">
        <v>18</v>
      </c>
      <c r="K11" s="213">
        <f t="shared" ref="K11:K27" si="1">G11/J11*100</f>
        <v>0</v>
      </c>
      <c r="L11" s="213">
        <f t="shared" ref="L11:L27" si="2">H11/J11*100</f>
        <v>0</v>
      </c>
      <c r="M11" s="213">
        <f t="shared" ref="M11:M27" si="3">I11/J11*100</f>
        <v>0</v>
      </c>
      <c r="N11" s="234">
        <f t="shared" ref="N11:N27" si="4">SUM(K11:M11)</f>
        <v>0</v>
      </c>
      <c r="O11" s="212">
        <v>0</v>
      </c>
      <c r="P11" s="213">
        <v>0</v>
      </c>
      <c r="Q11" s="213">
        <v>0</v>
      </c>
      <c r="R11" s="214">
        <f t="shared" si="0"/>
        <v>0</v>
      </c>
      <c r="S11" s="170">
        <v>6</v>
      </c>
      <c r="T11" s="283"/>
      <c r="U11" s="281">
        <v>22545</v>
      </c>
      <c r="V11" s="241" t="s">
        <v>797</v>
      </c>
      <c r="Y11" s="178"/>
      <c r="AD11" s="250"/>
      <c r="AG11" s="178"/>
      <c r="AL11" s="177"/>
      <c r="AO11" s="178"/>
      <c r="AP11" s="177"/>
      <c r="AS11" s="178"/>
      <c r="AW11" s="178"/>
      <c r="BA11" s="179"/>
    </row>
    <row r="12" spans="1:53" s="28" customFormat="1" x14ac:dyDescent="0.15">
      <c r="A12" s="51">
        <v>1961</v>
      </c>
      <c r="B12" s="293">
        <v>22589</v>
      </c>
      <c r="C12" s="394" t="s">
        <v>764</v>
      </c>
      <c r="D12" s="394"/>
      <c r="E12" s="28">
        <v>58</v>
      </c>
      <c r="F12" s="28">
        <v>1</v>
      </c>
      <c r="G12" s="65">
        <v>18</v>
      </c>
      <c r="J12" s="72">
        <v>18</v>
      </c>
      <c r="K12" s="46">
        <f t="shared" si="1"/>
        <v>100</v>
      </c>
      <c r="L12" s="46">
        <f t="shared" si="2"/>
        <v>0</v>
      </c>
      <c r="M12" s="46">
        <f t="shared" si="3"/>
        <v>0</v>
      </c>
      <c r="N12" s="67">
        <f t="shared" si="4"/>
        <v>100</v>
      </c>
      <c r="O12" s="45">
        <v>58.7</v>
      </c>
      <c r="P12" s="46"/>
      <c r="Q12" s="46"/>
      <c r="R12" s="47">
        <f t="shared" si="0"/>
        <v>58.7</v>
      </c>
      <c r="S12" s="28">
        <v>1</v>
      </c>
      <c r="T12" s="284">
        <v>22583</v>
      </c>
      <c r="U12" s="293">
        <v>22589</v>
      </c>
      <c r="V12" s="37" t="s">
        <v>773</v>
      </c>
      <c r="W12" s="28" t="s">
        <v>74</v>
      </c>
      <c r="X12" s="28" t="s">
        <v>11</v>
      </c>
      <c r="Y12" s="38">
        <v>58.7</v>
      </c>
      <c r="AD12" s="90"/>
      <c r="AG12" s="38"/>
      <c r="AL12" s="37"/>
      <c r="AO12" s="38"/>
      <c r="AP12" s="37"/>
      <c r="AS12" s="38"/>
      <c r="AW12" s="38"/>
      <c r="BA12" s="39"/>
    </row>
    <row r="13" spans="1:53" s="28" customFormat="1" x14ac:dyDescent="0.15">
      <c r="A13" s="51">
        <v>1962</v>
      </c>
      <c r="B13" s="293"/>
      <c r="C13" s="394" t="s">
        <v>764</v>
      </c>
      <c r="D13" s="394"/>
      <c r="E13" s="28">
        <v>0</v>
      </c>
      <c r="G13" s="65">
        <v>18</v>
      </c>
      <c r="J13" s="72">
        <v>18</v>
      </c>
      <c r="K13" s="46">
        <f t="shared" si="1"/>
        <v>100</v>
      </c>
      <c r="L13" s="46">
        <f t="shared" si="2"/>
        <v>0</v>
      </c>
      <c r="M13" s="46">
        <f t="shared" si="3"/>
        <v>0</v>
      </c>
      <c r="N13" s="67">
        <f t="shared" si="4"/>
        <v>100</v>
      </c>
      <c r="O13" s="45">
        <v>58.7</v>
      </c>
      <c r="P13" s="46"/>
      <c r="Q13" s="46"/>
      <c r="R13" s="47">
        <f t="shared" si="0"/>
        <v>58.7</v>
      </c>
      <c r="S13" s="28">
        <v>1</v>
      </c>
      <c r="T13" s="284"/>
      <c r="U13" s="293"/>
      <c r="V13" s="37" t="s">
        <v>773</v>
      </c>
      <c r="W13" s="28" t="s">
        <v>74</v>
      </c>
      <c r="X13" s="28" t="s">
        <v>11</v>
      </c>
      <c r="Y13" s="38">
        <v>58.7</v>
      </c>
      <c r="AD13" s="90"/>
      <c r="AG13" s="38"/>
      <c r="AL13" s="37"/>
      <c r="AO13" s="38"/>
      <c r="AP13" s="37"/>
      <c r="AS13" s="38"/>
      <c r="AW13" s="38"/>
      <c r="BA13" s="39"/>
    </row>
    <row r="14" spans="1:53" s="28" customFormat="1" x14ac:dyDescent="0.15">
      <c r="A14" s="51">
        <v>1962</v>
      </c>
      <c r="B14" s="293"/>
      <c r="C14" s="394" t="s">
        <v>764</v>
      </c>
      <c r="D14" s="394"/>
      <c r="E14" s="28">
        <v>365</v>
      </c>
      <c r="G14" s="65">
        <v>18</v>
      </c>
      <c r="J14" s="72">
        <v>18</v>
      </c>
      <c r="K14" s="46">
        <f t="shared" si="1"/>
        <v>100</v>
      </c>
      <c r="L14" s="46">
        <f t="shared" si="2"/>
        <v>0</v>
      </c>
      <c r="M14" s="46">
        <f t="shared" si="3"/>
        <v>0</v>
      </c>
      <c r="N14" s="67">
        <f t="shared" si="4"/>
        <v>100</v>
      </c>
      <c r="O14" s="45">
        <v>58.7</v>
      </c>
      <c r="P14" s="46"/>
      <c r="Q14" s="46"/>
      <c r="R14" s="47">
        <f t="shared" si="0"/>
        <v>58.7</v>
      </c>
      <c r="S14" s="28">
        <v>1</v>
      </c>
      <c r="T14" s="284"/>
      <c r="U14" s="293"/>
      <c r="V14" s="37" t="s">
        <v>773</v>
      </c>
      <c r="W14" s="28" t="s">
        <v>74</v>
      </c>
      <c r="X14" s="28" t="s">
        <v>11</v>
      </c>
      <c r="Y14" s="38">
        <v>58.7</v>
      </c>
      <c r="AD14" s="90"/>
      <c r="AG14" s="38"/>
      <c r="AL14" s="37"/>
      <c r="AO14" s="38"/>
      <c r="AP14" s="37"/>
      <c r="AS14" s="38"/>
      <c r="AW14" s="38"/>
      <c r="BA14" s="39"/>
    </row>
    <row r="15" spans="1:53" s="28" customFormat="1" x14ac:dyDescent="0.15">
      <c r="A15" s="51">
        <v>1963</v>
      </c>
      <c r="B15" s="293"/>
      <c r="C15" s="394" t="s">
        <v>764</v>
      </c>
      <c r="D15" s="394"/>
      <c r="E15" s="28">
        <v>169</v>
      </c>
      <c r="G15" s="65">
        <v>18</v>
      </c>
      <c r="J15" s="72">
        <v>18</v>
      </c>
      <c r="K15" s="46">
        <f t="shared" si="1"/>
        <v>100</v>
      </c>
      <c r="L15" s="46">
        <f t="shared" si="2"/>
        <v>0</v>
      </c>
      <c r="M15" s="46">
        <f t="shared" si="3"/>
        <v>0</v>
      </c>
      <c r="N15" s="67">
        <f t="shared" si="4"/>
        <v>100</v>
      </c>
      <c r="O15" s="45">
        <v>58.7</v>
      </c>
      <c r="P15" s="46"/>
      <c r="Q15" s="46"/>
      <c r="R15" s="47">
        <f t="shared" si="0"/>
        <v>58.7</v>
      </c>
      <c r="S15" s="28">
        <v>1</v>
      </c>
      <c r="T15" s="284"/>
      <c r="U15" s="293"/>
      <c r="V15" s="37" t="s">
        <v>773</v>
      </c>
      <c r="W15" s="28" t="s">
        <v>74</v>
      </c>
      <c r="X15" s="28" t="s">
        <v>11</v>
      </c>
      <c r="Y15" s="38">
        <v>58.7</v>
      </c>
      <c r="AD15" s="90"/>
      <c r="AG15" s="38"/>
      <c r="AL15" s="37"/>
      <c r="AO15" s="38"/>
      <c r="AP15" s="37"/>
      <c r="AS15" s="38"/>
      <c r="AW15" s="38"/>
      <c r="BA15" s="39"/>
    </row>
    <row r="16" spans="1:53" s="170" customFormat="1" x14ac:dyDescent="0.15">
      <c r="A16" s="215">
        <v>1963</v>
      </c>
      <c r="B16" s="281">
        <v>23181</v>
      </c>
      <c r="C16" s="395" t="s">
        <v>765</v>
      </c>
      <c r="D16" s="395"/>
      <c r="E16" s="170">
        <v>101</v>
      </c>
      <c r="F16" s="170">
        <v>2</v>
      </c>
      <c r="G16" s="232">
        <v>0</v>
      </c>
      <c r="H16" s="170">
        <v>0</v>
      </c>
      <c r="I16" s="170">
        <v>0</v>
      </c>
      <c r="J16" s="240">
        <v>17</v>
      </c>
      <c r="K16" s="213">
        <f t="shared" si="1"/>
        <v>0</v>
      </c>
      <c r="L16" s="213">
        <f t="shared" si="2"/>
        <v>0</v>
      </c>
      <c r="M16" s="213">
        <f t="shared" si="3"/>
        <v>0</v>
      </c>
      <c r="N16" s="234">
        <f t="shared" si="4"/>
        <v>0</v>
      </c>
      <c r="O16" s="212">
        <v>0</v>
      </c>
      <c r="P16" s="213">
        <v>0</v>
      </c>
      <c r="Q16" s="213">
        <v>0</v>
      </c>
      <c r="R16" s="214">
        <f t="shared" si="0"/>
        <v>0</v>
      </c>
      <c r="S16" s="170">
        <v>6</v>
      </c>
      <c r="T16" s="283"/>
      <c r="U16" s="281">
        <v>23181</v>
      </c>
      <c r="V16" s="241" t="s">
        <v>797</v>
      </c>
      <c r="Y16" s="178"/>
      <c r="AD16" s="250"/>
      <c r="AG16" s="178"/>
      <c r="AL16" s="177"/>
      <c r="AO16" s="178"/>
      <c r="AP16" s="177"/>
      <c r="AS16" s="178"/>
      <c r="AW16" s="178"/>
      <c r="BA16" s="179"/>
    </row>
    <row r="17" spans="1:53" s="28" customFormat="1" x14ac:dyDescent="0.15">
      <c r="A17" s="51">
        <v>1963</v>
      </c>
      <c r="B17" s="293">
        <v>23282</v>
      </c>
      <c r="C17" s="394" t="s">
        <v>766</v>
      </c>
      <c r="D17" s="394"/>
      <c r="E17" s="28">
        <v>41</v>
      </c>
      <c r="F17" s="28">
        <v>2</v>
      </c>
      <c r="G17" s="65">
        <v>0</v>
      </c>
      <c r="H17" s="28">
        <v>0</v>
      </c>
      <c r="I17" s="28">
        <v>0</v>
      </c>
      <c r="J17" s="72">
        <v>16</v>
      </c>
      <c r="K17" s="46">
        <f t="shared" si="1"/>
        <v>0</v>
      </c>
      <c r="L17" s="46">
        <f t="shared" si="2"/>
        <v>0</v>
      </c>
      <c r="M17" s="46">
        <f t="shared" si="3"/>
        <v>0</v>
      </c>
      <c r="N17" s="67">
        <f t="shared" si="4"/>
        <v>0</v>
      </c>
      <c r="O17" s="45">
        <v>0</v>
      </c>
      <c r="P17" s="46">
        <v>0</v>
      </c>
      <c r="Q17" s="46">
        <v>0</v>
      </c>
      <c r="R17" s="47">
        <f t="shared" si="0"/>
        <v>0</v>
      </c>
      <c r="S17" s="28">
        <v>6</v>
      </c>
      <c r="T17" s="284"/>
      <c r="U17" s="293">
        <v>23282</v>
      </c>
      <c r="V17" s="88" t="s">
        <v>797</v>
      </c>
      <c r="Y17" s="38"/>
      <c r="AD17" s="90"/>
      <c r="AG17" s="38"/>
      <c r="AL17" s="37"/>
      <c r="AO17" s="38"/>
      <c r="AP17" s="37"/>
      <c r="AS17" s="38"/>
      <c r="AW17" s="38"/>
      <c r="BA17" s="39"/>
    </row>
    <row r="18" spans="1:53" s="170" customFormat="1" x14ac:dyDescent="0.15">
      <c r="A18" s="215">
        <v>1963</v>
      </c>
      <c r="B18" s="281">
        <v>23323</v>
      </c>
      <c r="C18" s="395" t="s">
        <v>1354</v>
      </c>
      <c r="D18" s="395"/>
      <c r="E18" s="170">
        <v>53</v>
      </c>
      <c r="F18" s="170">
        <v>1</v>
      </c>
      <c r="G18" s="232">
        <v>21</v>
      </c>
      <c r="J18" s="240">
        <v>21</v>
      </c>
      <c r="K18" s="213">
        <f t="shared" si="1"/>
        <v>100</v>
      </c>
      <c r="L18" s="213">
        <f t="shared" si="2"/>
        <v>0</v>
      </c>
      <c r="M18" s="213">
        <f t="shared" si="3"/>
        <v>0</v>
      </c>
      <c r="N18" s="234">
        <f t="shared" si="4"/>
        <v>100</v>
      </c>
      <c r="O18" s="212">
        <v>46</v>
      </c>
      <c r="P18" s="213"/>
      <c r="Q18" s="213"/>
      <c r="R18" s="214">
        <f t="shared" si="0"/>
        <v>46</v>
      </c>
      <c r="S18" s="170">
        <v>4</v>
      </c>
      <c r="T18" s="283">
        <v>23318</v>
      </c>
      <c r="U18" s="281">
        <v>23323</v>
      </c>
      <c r="V18" s="177" t="s">
        <v>565</v>
      </c>
      <c r="W18" s="170" t="s">
        <v>22</v>
      </c>
      <c r="X18" s="170" t="s">
        <v>11</v>
      </c>
      <c r="Y18" s="178">
        <v>46</v>
      </c>
      <c r="AD18" s="250"/>
      <c r="AG18" s="178"/>
      <c r="AL18" s="177"/>
      <c r="AO18" s="178"/>
      <c r="AP18" s="177"/>
      <c r="AS18" s="178"/>
      <c r="AW18" s="178"/>
      <c r="BA18" s="179"/>
    </row>
    <row r="19" spans="1:53" s="28" customFormat="1" x14ac:dyDescent="0.15">
      <c r="A19" s="51">
        <v>1963</v>
      </c>
      <c r="B19" s="293">
        <v>23376</v>
      </c>
      <c r="C19" s="394" t="s">
        <v>767</v>
      </c>
      <c r="D19" s="394"/>
      <c r="E19" s="28">
        <v>1</v>
      </c>
      <c r="F19" s="28">
        <v>5</v>
      </c>
      <c r="G19" s="65">
        <v>0</v>
      </c>
      <c r="H19" s="28">
        <v>0</v>
      </c>
      <c r="I19" s="28">
        <v>0</v>
      </c>
      <c r="J19" s="72">
        <v>17</v>
      </c>
      <c r="K19" s="46">
        <f t="shared" si="1"/>
        <v>0</v>
      </c>
      <c r="L19" s="46">
        <f t="shared" si="2"/>
        <v>0</v>
      </c>
      <c r="M19" s="46">
        <f t="shared" si="3"/>
        <v>0</v>
      </c>
      <c r="N19" s="67">
        <f t="shared" si="4"/>
        <v>0</v>
      </c>
      <c r="O19" s="45">
        <v>0</v>
      </c>
      <c r="P19" s="46">
        <v>0</v>
      </c>
      <c r="Q19" s="46">
        <v>0</v>
      </c>
      <c r="R19" s="47">
        <f t="shared" si="0"/>
        <v>0</v>
      </c>
      <c r="S19" s="28">
        <v>6</v>
      </c>
      <c r="T19" s="284"/>
      <c r="U19" s="293">
        <v>23376</v>
      </c>
      <c r="V19" s="88" t="s">
        <v>797</v>
      </c>
      <c r="Y19" s="38"/>
      <c r="AD19" s="90"/>
      <c r="AG19" s="38"/>
      <c r="AL19" s="37"/>
      <c r="AO19" s="38"/>
      <c r="AP19" s="37"/>
      <c r="AS19" s="38"/>
      <c r="AW19" s="38"/>
      <c r="BA19" s="39"/>
    </row>
    <row r="20" spans="1:53" s="28" customFormat="1" x14ac:dyDescent="0.15">
      <c r="A20" s="51">
        <v>1964</v>
      </c>
      <c r="B20" s="293"/>
      <c r="C20" s="394" t="s">
        <v>767</v>
      </c>
      <c r="D20" s="394"/>
      <c r="E20" s="28">
        <v>49</v>
      </c>
      <c r="G20" s="65">
        <v>0</v>
      </c>
      <c r="H20" s="28">
        <v>0</v>
      </c>
      <c r="I20" s="28">
        <v>0</v>
      </c>
      <c r="J20" s="72">
        <v>17</v>
      </c>
      <c r="K20" s="46">
        <f t="shared" si="1"/>
        <v>0</v>
      </c>
      <c r="L20" s="46">
        <f t="shared" si="2"/>
        <v>0</v>
      </c>
      <c r="M20" s="46">
        <f t="shared" si="3"/>
        <v>0</v>
      </c>
      <c r="N20" s="67">
        <f t="shared" si="4"/>
        <v>0</v>
      </c>
      <c r="O20" s="45">
        <v>0</v>
      </c>
      <c r="P20" s="46">
        <v>0</v>
      </c>
      <c r="Q20" s="46">
        <v>0</v>
      </c>
      <c r="R20" s="47">
        <f t="shared" si="0"/>
        <v>0</v>
      </c>
      <c r="S20" s="28">
        <v>6</v>
      </c>
      <c r="T20" s="284"/>
      <c r="U20" s="293"/>
      <c r="V20" s="88" t="s">
        <v>797</v>
      </c>
      <c r="Y20" s="38"/>
      <c r="AD20" s="90"/>
      <c r="AG20" s="38"/>
      <c r="AL20" s="37"/>
      <c r="AO20" s="38"/>
      <c r="AP20" s="37"/>
      <c r="AS20" s="38"/>
      <c r="AW20" s="38"/>
      <c r="BA20" s="39"/>
    </row>
    <row r="21" spans="1:53" s="170" customFormat="1" x14ac:dyDescent="0.15">
      <c r="A21" s="215">
        <v>1964</v>
      </c>
      <c r="B21" s="281">
        <v>23426</v>
      </c>
      <c r="C21" s="395" t="s">
        <v>1355</v>
      </c>
      <c r="D21" s="395"/>
      <c r="E21" s="170">
        <v>317</v>
      </c>
      <c r="F21" s="170">
        <v>1</v>
      </c>
      <c r="G21" s="232">
        <v>21</v>
      </c>
      <c r="J21" s="240">
        <v>21</v>
      </c>
      <c r="K21" s="213">
        <f t="shared" si="1"/>
        <v>100</v>
      </c>
      <c r="L21" s="213">
        <f t="shared" si="2"/>
        <v>0</v>
      </c>
      <c r="M21" s="213">
        <f t="shared" si="3"/>
        <v>0</v>
      </c>
      <c r="N21" s="234">
        <f t="shared" si="4"/>
        <v>100</v>
      </c>
      <c r="O21" s="212">
        <v>57</v>
      </c>
      <c r="P21" s="213"/>
      <c r="Q21" s="213"/>
      <c r="R21" s="214">
        <f t="shared" si="0"/>
        <v>57</v>
      </c>
      <c r="S21" s="170">
        <v>1</v>
      </c>
      <c r="T21" s="283">
        <v>23423</v>
      </c>
      <c r="U21" s="281">
        <v>23426</v>
      </c>
      <c r="V21" s="177" t="s">
        <v>565</v>
      </c>
      <c r="W21" s="170" t="s">
        <v>22</v>
      </c>
      <c r="X21" s="170" t="s">
        <v>11</v>
      </c>
      <c r="Y21" s="178">
        <v>57</v>
      </c>
      <c r="AD21" s="250"/>
      <c r="AG21" s="178"/>
      <c r="AL21" s="177"/>
      <c r="AO21" s="178"/>
      <c r="AP21" s="177"/>
      <c r="AS21" s="178"/>
      <c r="AW21" s="178"/>
      <c r="BA21" s="179"/>
    </row>
    <row r="22" spans="1:53" s="170" customFormat="1" x14ac:dyDescent="0.15">
      <c r="A22" s="215">
        <v>1965</v>
      </c>
      <c r="B22" s="281"/>
      <c r="C22" s="395" t="s">
        <v>1355</v>
      </c>
      <c r="D22" s="395"/>
      <c r="E22" s="170">
        <v>196</v>
      </c>
      <c r="G22" s="232">
        <v>21</v>
      </c>
      <c r="J22" s="240">
        <v>21</v>
      </c>
      <c r="K22" s="213">
        <f t="shared" si="1"/>
        <v>100</v>
      </c>
      <c r="L22" s="213">
        <f t="shared" si="2"/>
        <v>0</v>
      </c>
      <c r="M22" s="213">
        <f t="shared" si="3"/>
        <v>0</v>
      </c>
      <c r="N22" s="234">
        <f t="shared" si="4"/>
        <v>100</v>
      </c>
      <c r="O22" s="212">
        <v>57</v>
      </c>
      <c r="P22" s="213"/>
      <c r="Q22" s="213"/>
      <c r="R22" s="214">
        <f t="shared" si="0"/>
        <v>57</v>
      </c>
      <c r="S22" s="170">
        <v>1</v>
      </c>
      <c r="T22" s="283"/>
      <c r="U22" s="281"/>
      <c r="V22" s="177" t="s">
        <v>565</v>
      </c>
      <c r="W22" s="170" t="s">
        <v>22</v>
      </c>
      <c r="X22" s="170" t="s">
        <v>11</v>
      </c>
      <c r="Y22" s="178">
        <v>57</v>
      </c>
      <c r="AD22" s="250"/>
      <c r="AG22" s="178"/>
      <c r="AL22" s="177"/>
      <c r="AO22" s="178"/>
      <c r="AP22" s="177"/>
      <c r="AS22" s="178"/>
      <c r="AW22" s="178"/>
      <c r="BA22" s="179"/>
    </row>
    <row r="23" spans="1:53" s="28" customFormat="1" x14ac:dyDescent="0.15">
      <c r="A23" s="51">
        <v>1965</v>
      </c>
      <c r="B23" s="293">
        <v>23939</v>
      </c>
      <c r="C23" s="394" t="s">
        <v>768</v>
      </c>
      <c r="D23" s="394"/>
      <c r="E23" s="28">
        <v>35</v>
      </c>
      <c r="F23" s="28">
        <v>6</v>
      </c>
      <c r="G23" s="65">
        <v>16</v>
      </c>
      <c r="J23" s="72">
        <v>16</v>
      </c>
      <c r="K23" s="46">
        <f t="shared" si="1"/>
        <v>100</v>
      </c>
      <c r="L23" s="46">
        <f t="shared" si="2"/>
        <v>0</v>
      </c>
      <c r="M23" s="46">
        <f t="shared" si="3"/>
        <v>0</v>
      </c>
      <c r="N23" s="67">
        <f t="shared" si="4"/>
        <v>100</v>
      </c>
      <c r="O23" s="45">
        <v>57</v>
      </c>
      <c r="P23" s="46"/>
      <c r="Q23" s="46"/>
      <c r="R23" s="47">
        <f t="shared" si="0"/>
        <v>57</v>
      </c>
      <c r="S23" s="28">
        <v>1</v>
      </c>
      <c r="T23" s="284"/>
      <c r="U23" s="293">
        <v>23939</v>
      </c>
      <c r="V23" s="37" t="s">
        <v>565</v>
      </c>
      <c r="W23" s="28" t="s">
        <v>22</v>
      </c>
      <c r="X23" s="28" t="s">
        <v>11</v>
      </c>
      <c r="Y23" s="38">
        <v>57</v>
      </c>
      <c r="AD23" s="90"/>
      <c r="AG23" s="38"/>
      <c r="AL23" s="37"/>
      <c r="AO23" s="38"/>
      <c r="AP23" s="37"/>
      <c r="AS23" s="38"/>
      <c r="AW23" s="38"/>
      <c r="BA23" s="39"/>
    </row>
    <row r="24" spans="1:53" s="170" customFormat="1" x14ac:dyDescent="0.15">
      <c r="A24" s="215">
        <v>1965</v>
      </c>
      <c r="B24" s="281">
        <v>23974</v>
      </c>
      <c r="C24" s="395" t="s">
        <v>769</v>
      </c>
      <c r="D24" s="395"/>
      <c r="E24" s="170">
        <v>28</v>
      </c>
      <c r="F24" s="170">
        <v>5</v>
      </c>
      <c r="G24" s="232">
        <v>12</v>
      </c>
      <c r="J24" s="240">
        <v>12</v>
      </c>
      <c r="K24" s="213">
        <f t="shared" si="1"/>
        <v>100</v>
      </c>
      <c r="L24" s="213">
        <f t="shared" si="2"/>
        <v>0</v>
      </c>
      <c r="M24" s="213">
        <f t="shared" si="3"/>
        <v>0</v>
      </c>
      <c r="N24" s="234">
        <f t="shared" si="4"/>
        <v>100</v>
      </c>
      <c r="O24" s="212">
        <v>12</v>
      </c>
      <c r="P24" s="213"/>
      <c r="Q24" s="213"/>
      <c r="R24" s="214">
        <f t="shared" si="0"/>
        <v>12</v>
      </c>
      <c r="S24" s="170">
        <v>4</v>
      </c>
      <c r="T24" s="283"/>
      <c r="U24" s="281">
        <v>23974</v>
      </c>
      <c r="V24" s="177" t="s">
        <v>774</v>
      </c>
      <c r="W24" s="170" t="s">
        <v>22</v>
      </c>
      <c r="X24" s="170" t="s">
        <v>11</v>
      </c>
      <c r="Y24" s="178">
        <v>12</v>
      </c>
      <c r="AD24" s="177"/>
      <c r="AG24" s="178"/>
      <c r="AL24" s="177"/>
      <c r="AO24" s="178"/>
      <c r="AP24" s="177"/>
      <c r="AS24" s="178"/>
      <c r="AW24" s="178"/>
      <c r="BA24" s="179"/>
    </row>
    <row r="25" spans="1:53" s="28" customFormat="1" x14ac:dyDescent="0.15">
      <c r="A25" s="51">
        <v>1965</v>
      </c>
      <c r="B25" s="293">
        <v>24002</v>
      </c>
      <c r="C25" s="394" t="s">
        <v>770</v>
      </c>
      <c r="D25" s="394"/>
      <c r="E25" s="28">
        <v>106</v>
      </c>
      <c r="F25" s="28">
        <v>5</v>
      </c>
      <c r="G25" s="65">
        <v>25</v>
      </c>
      <c r="J25" s="72">
        <v>25</v>
      </c>
      <c r="K25" s="46">
        <f t="shared" si="1"/>
        <v>100</v>
      </c>
      <c r="L25" s="46">
        <f t="shared" si="2"/>
        <v>0</v>
      </c>
      <c r="M25" s="46">
        <f t="shared" si="3"/>
        <v>0</v>
      </c>
      <c r="N25" s="67">
        <f t="shared" si="4"/>
        <v>100</v>
      </c>
      <c r="O25" s="45">
        <v>50.7</v>
      </c>
      <c r="P25" s="46"/>
      <c r="Q25" s="46"/>
      <c r="R25" s="47">
        <f t="shared" si="0"/>
        <v>50.7</v>
      </c>
      <c r="S25" s="28">
        <v>2</v>
      </c>
      <c r="T25" s="284"/>
      <c r="U25" s="293">
        <v>24002</v>
      </c>
      <c r="V25" s="37" t="s">
        <v>774</v>
      </c>
      <c r="W25" s="28" t="s">
        <v>22</v>
      </c>
      <c r="X25" s="28" t="s">
        <v>11</v>
      </c>
      <c r="Y25" s="38">
        <v>15</v>
      </c>
      <c r="Z25" s="28" t="s">
        <v>773</v>
      </c>
      <c r="AA25" s="28" t="s">
        <v>74</v>
      </c>
      <c r="AB25" s="28" t="s">
        <v>11</v>
      </c>
      <c r="AC25" s="28">
        <v>33</v>
      </c>
      <c r="AD25" s="37" t="s">
        <v>1275</v>
      </c>
      <c r="AE25" s="28" t="s">
        <v>75</v>
      </c>
      <c r="AF25" s="28" t="s">
        <v>11</v>
      </c>
      <c r="AG25" s="38">
        <v>2.7</v>
      </c>
      <c r="AL25" s="37"/>
      <c r="AO25" s="38"/>
      <c r="AP25" s="37"/>
      <c r="AS25" s="38"/>
      <c r="AW25" s="38"/>
      <c r="BA25" s="39"/>
    </row>
    <row r="26" spans="1:53" s="28" customFormat="1" x14ac:dyDescent="0.15">
      <c r="A26" s="51">
        <v>1966</v>
      </c>
      <c r="B26" s="293"/>
      <c r="C26" s="394" t="s">
        <v>770</v>
      </c>
      <c r="D26" s="394"/>
      <c r="E26" s="28">
        <v>355</v>
      </c>
      <c r="G26" s="65">
        <v>25</v>
      </c>
      <c r="J26" s="72">
        <v>25</v>
      </c>
      <c r="K26" s="46">
        <f t="shared" si="1"/>
        <v>100</v>
      </c>
      <c r="L26" s="46">
        <f t="shared" si="2"/>
        <v>0</v>
      </c>
      <c r="M26" s="46">
        <f t="shared" si="3"/>
        <v>0</v>
      </c>
      <c r="N26" s="67">
        <f t="shared" si="4"/>
        <v>100</v>
      </c>
      <c r="O26" s="45">
        <v>50.7</v>
      </c>
      <c r="P26" s="46"/>
      <c r="Q26" s="46"/>
      <c r="R26" s="47">
        <f t="shared" si="0"/>
        <v>50.7</v>
      </c>
      <c r="S26" s="28">
        <v>2</v>
      </c>
      <c r="T26" s="284"/>
      <c r="U26" s="293"/>
      <c r="V26" s="37" t="s">
        <v>774</v>
      </c>
      <c r="W26" s="28" t="s">
        <v>22</v>
      </c>
      <c r="X26" s="28" t="s">
        <v>11</v>
      </c>
      <c r="Y26" s="38">
        <v>15</v>
      </c>
      <c r="Z26" s="28" t="s">
        <v>773</v>
      </c>
      <c r="AA26" s="28" t="s">
        <v>74</v>
      </c>
      <c r="AB26" s="28" t="s">
        <v>11</v>
      </c>
      <c r="AC26" s="28">
        <v>33</v>
      </c>
      <c r="AD26" s="37" t="s">
        <v>1275</v>
      </c>
      <c r="AE26" s="28" t="s">
        <v>75</v>
      </c>
      <c r="AF26" s="28" t="s">
        <v>11</v>
      </c>
      <c r="AG26" s="38">
        <v>2.7</v>
      </c>
      <c r="AL26" s="37"/>
      <c r="AO26" s="38"/>
      <c r="AP26" s="37"/>
      <c r="AS26" s="38"/>
      <c r="AW26" s="38"/>
      <c r="BA26" s="39"/>
    </row>
    <row r="27" spans="1:53" s="170" customFormat="1" x14ac:dyDescent="0.15">
      <c r="A27" s="215">
        <v>1966</v>
      </c>
      <c r="B27" s="281">
        <v>24463</v>
      </c>
      <c r="C27" s="395" t="s">
        <v>771</v>
      </c>
      <c r="D27" s="395"/>
      <c r="E27" s="170">
        <v>10</v>
      </c>
      <c r="F27" s="170">
        <v>4</v>
      </c>
      <c r="G27" s="232">
        <v>0</v>
      </c>
      <c r="H27" s="170">
        <v>0</v>
      </c>
      <c r="I27" s="170">
        <v>0</v>
      </c>
      <c r="J27" s="240">
        <v>17</v>
      </c>
      <c r="K27" s="213">
        <f t="shared" si="1"/>
        <v>0</v>
      </c>
      <c r="L27" s="213">
        <f t="shared" si="2"/>
        <v>0</v>
      </c>
      <c r="M27" s="213">
        <f t="shared" si="3"/>
        <v>0</v>
      </c>
      <c r="N27" s="234">
        <f t="shared" si="4"/>
        <v>0</v>
      </c>
      <c r="O27" s="212">
        <v>0</v>
      </c>
      <c r="P27" s="213">
        <v>0</v>
      </c>
      <c r="Q27" s="213">
        <v>0</v>
      </c>
      <c r="R27" s="214">
        <f t="shared" si="0"/>
        <v>0</v>
      </c>
      <c r="S27" s="170">
        <v>6</v>
      </c>
      <c r="T27" s="283"/>
      <c r="U27" s="281">
        <v>24463</v>
      </c>
      <c r="V27" s="241" t="s">
        <v>797</v>
      </c>
      <c r="Y27" s="178"/>
      <c r="AD27" s="177"/>
      <c r="AG27" s="178"/>
      <c r="AL27" s="177"/>
      <c r="AO27" s="178"/>
      <c r="AP27" s="177"/>
      <c r="AS27" s="178"/>
      <c r="AW27" s="178"/>
      <c r="BA27" s="179"/>
    </row>
    <row r="28" spans="1:53" s="170" customFormat="1" x14ac:dyDescent="0.15">
      <c r="A28" s="215">
        <v>1967</v>
      </c>
      <c r="B28" s="281"/>
      <c r="C28" s="395" t="s">
        <v>771</v>
      </c>
      <c r="D28" s="395"/>
      <c r="E28" s="170">
        <v>92</v>
      </c>
      <c r="G28" s="232">
        <v>0</v>
      </c>
      <c r="H28" s="170">
        <v>0</v>
      </c>
      <c r="I28" s="170">
        <v>0</v>
      </c>
      <c r="J28" s="240">
        <v>17</v>
      </c>
      <c r="K28" s="213">
        <f>G28/J28*100</f>
        <v>0</v>
      </c>
      <c r="L28" s="213">
        <f>H28/J28*100</f>
        <v>0</v>
      </c>
      <c r="M28" s="213">
        <f>I28/J28*100</f>
        <v>0</v>
      </c>
      <c r="N28" s="234">
        <f>SUM(K28:M28)</f>
        <v>0</v>
      </c>
      <c r="O28" s="212">
        <v>0</v>
      </c>
      <c r="P28" s="213">
        <v>0</v>
      </c>
      <c r="Q28" s="213">
        <v>0</v>
      </c>
      <c r="R28" s="214">
        <f t="shared" si="0"/>
        <v>0</v>
      </c>
      <c r="S28" s="170">
        <v>6</v>
      </c>
      <c r="T28" s="283"/>
      <c r="U28" s="281"/>
      <c r="V28" s="241" t="s">
        <v>797</v>
      </c>
      <c r="Y28" s="178"/>
      <c r="AD28" s="177"/>
      <c r="AG28" s="178"/>
      <c r="AL28" s="177"/>
      <c r="AO28" s="178"/>
      <c r="AP28" s="177"/>
      <c r="AS28" s="178"/>
      <c r="AW28" s="178"/>
      <c r="BA28" s="179"/>
    </row>
    <row r="29" spans="1:53" s="28" customFormat="1" x14ac:dyDescent="0.15">
      <c r="A29" s="51">
        <v>1967</v>
      </c>
      <c r="B29" s="293">
        <v>24565</v>
      </c>
      <c r="C29" s="394" t="s">
        <v>775</v>
      </c>
      <c r="D29" s="394"/>
      <c r="E29" s="28">
        <v>18</v>
      </c>
      <c r="F29" s="28">
        <v>2</v>
      </c>
      <c r="G29" s="65">
        <v>16</v>
      </c>
      <c r="J29" s="72">
        <v>16</v>
      </c>
      <c r="K29" s="46">
        <f>G29/J29*100</f>
        <v>100</v>
      </c>
      <c r="L29" s="46">
        <f>H29/J29*100</f>
        <v>0</v>
      </c>
      <c r="M29" s="46">
        <f>I29/J29*100</f>
        <v>0</v>
      </c>
      <c r="N29" s="67">
        <f>SUM(K29:M29)</f>
        <v>100</v>
      </c>
      <c r="O29" s="45">
        <v>33.299999999999997</v>
      </c>
      <c r="P29" s="46"/>
      <c r="Q29" s="46"/>
      <c r="R29" s="47">
        <f>SUM(O29:Q29)</f>
        <v>33.299999999999997</v>
      </c>
      <c r="S29" s="28">
        <v>6</v>
      </c>
      <c r="T29" s="284"/>
      <c r="U29" s="293">
        <v>24565</v>
      </c>
      <c r="V29" s="37" t="s">
        <v>773</v>
      </c>
      <c r="W29" s="28" t="s">
        <v>74</v>
      </c>
      <c r="X29" s="28" t="s">
        <v>11</v>
      </c>
      <c r="Y29" s="38">
        <v>33.299999999999997</v>
      </c>
      <c r="AD29" s="37"/>
      <c r="AG29" s="38"/>
      <c r="AL29" s="37"/>
      <c r="AO29" s="38"/>
      <c r="AP29" s="37"/>
      <c r="AS29" s="38"/>
      <c r="AW29" s="38"/>
      <c r="BA29" s="39"/>
    </row>
    <row r="30" spans="1:53" s="170" customFormat="1" x14ac:dyDescent="0.15">
      <c r="A30" s="215">
        <v>1967</v>
      </c>
      <c r="B30" s="281">
        <v>24583</v>
      </c>
      <c r="C30" s="403" t="s">
        <v>776</v>
      </c>
      <c r="D30" s="403"/>
      <c r="E30" s="170">
        <v>255</v>
      </c>
      <c r="F30" s="170" t="s">
        <v>335</v>
      </c>
      <c r="G30" s="232"/>
      <c r="J30" s="240"/>
      <c r="K30" s="213"/>
      <c r="L30" s="213"/>
      <c r="M30" s="213"/>
      <c r="N30" s="234"/>
      <c r="O30" s="212"/>
      <c r="P30" s="213"/>
      <c r="Q30" s="213"/>
      <c r="R30" s="214"/>
      <c r="T30" s="283"/>
      <c r="U30" s="281"/>
      <c r="V30" s="177"/>
      <c r="Y30" s="178"/>
      <c r="AD30" s="177"/>
      <c r="AG30" s="178"/>
      <c r="AL30" s="177"/>
      <c r="AO30" s="178"/>
      <c r="AP30" s="177"/>
      <c r="AS30" s="178"/>
      <c r="AW30" s="178"/>
      <c r="BA30" s="179"/>
    </row>
    <row r="31" spans="1:53" s="170" customFormat="1" x14ac:dyDescent="0.15">
      <c r="A31" s="215">
        <v>1968</v>
      </c>
      <c r="B31" s="281"/>
      <c r="C31" s="403" t="s">
        <v>776</v>
      </c>
      <c r="D31" s="403"/>
      <c r="E31" s="170">
        <v>0</v>
      </c>
      <c r="G31" s="232"/>
      <c r="J31" s="240"/>
      <c r="K31" s="213"/>
      <c r="L31" s="213"/>
      <c r="M31" s="213"/>
      <c r="N31" s="234"/>
      <c r="O31" s="212"/>
      <c r="P31" s="213"/>
      <c r="Q31" s="213"/>
      <c r="R31" s="214"/>
      <c r="T31" s="283"/>
      <c r="U31" s="281"/>
      <c r="V31" s="177"/>
      <c r="Y31" s="178"/>
      <c r="AD31" s="177"/>
      <c r="AG31" s="178"/>
      <c r="AL31" s="177"/>
      <c r="AO31" s="178"/>
      <c r="AP31" s="177"/>
      <c r="AS31" s="178"/>
      <c r="AW31" s="178"/>
      <c r="BA31" s="179"/>
    </row>
    <row r="32" spans="1:53" s="170" customFormat="1" x14ac:dyDescent="0.15">
      <c r="A32" s="215">
        <v>1968</v>
      </c>
      <c r="B32" s="281"/>
      <c r="C32" s="403" t="s">
        <v>776</v>
      </c>
      <c r="D32" s="403"/>
      <c r="E32" s="170">
        <v>366</v>
      </c>
      <c r="G32" s="232"/>
      <c r="J32" s="240"/>
      <c r="K32" s="213"/>
      <c r="L32" s="213"/>
      <c r="M32" s="213"/>
      <c r="N32" s="234"/>
      <c r="O32" s="212"/>
      <c r="P32" s="213"/>
      <c r="Q32" s="213"/>
      <c r="R32" s="214"/>
      <c r="T32" s="283"/>
      <c r="U32" s="281"/>
      <c r="V32" s="177"/>
      <c r="Y32" s="178"/>
      <c r="AD32" s="250"/>
      <c r="AG32" s="178"/>
      <c r="AL32" s="177"/>
      <c r="AO32" s="178"/>
      <c r="AP32" s="177"/>
      <c r="AS32" s="178"/>
      <c r="AW32" s="178"/>
      <c r="BA32" s="179"/>
    </row>
    <row r="33" spans="1:53" s="170" customFormat="1" x14ac:dyDescent="0.15">
      <c r="A33" s="215">
        <v>1969</v>
      </c>
      <c r="B33" s="281"/>
      <c r="C33" s="403" t="s">
        <v>776</v>
      </c>
      <c r="D33" s="403"/>
      <c r="E33" s="170">
        <v>0</v>
      </c>
      <c r="G33" s="232"/>
      <c r="J33" s="240"/>
      <c r="K33" s="213"/>
      <c r="L33" s="213"/>
      <c r="M33" s="213"/>
      <c r="N33" s="234"/>
      <c r="O33" s="212"/>
      <c r="P33" s="213"/>
      <c r="Q33" s="213"/>
      <c r="R33" s="214"/>
      <c r="T33" s="283"/>
      <c r="U33" s="281"/>
      <c r="V33" s="177"/>
      <c r="Y33" s="178"/>
      <c r="AD33" s="250"/>
      <c r="AG33" s="178"/>
      <c r="AL33" s="177"/>
      <c r="AO33" s="178"/>
      <c r="AP33" s="177"/>
      <c r="AS33" s="178"/>
      <c r="AW33" s="178"/>
      <c r="BA33" s="179"/>
    </row>
    <row r="34" spans="1:53" s="170" customFormat="1" x14ac:dyDescent="0.15">
      <c r="A34" s="215">
        <v>1969</v>
      </c>
      <c r="B34" s="281"/>
      <c r="C34" s="403" t="s">
        <v>776</v>
      </c>
      <c r="D34" s="403"/>
      <c r="E34" s="170">
        <v>365</v>
      </c>
      <c r="G34" s="232"/>
      <c r="J34" s="240"/>
      <c r="K34" s="213"/>
      <c r="L34" s="213"/>
      <c r="M34" s="213"/>
      <c r="N34" s="234"/>
      <c r="O34" s="212"/>
      <c r="P34" s="213"/>
      <c r="Q34" s="213"/>
      <c r="R34" s="214"/>
      <c r="T34" s="283"/>
      <c r="U34" s="281"/>
      <c r="V34" s="177"/>
      <c r="Y34" s="178"/>
      <c r="AD34" s="250"/>
      <c r="AG34" s="178"/>
      <c r="AL34" s="177"/>
      <c r="AO34" s="178"/>
      <c r="AP34" s="177"/>
      <c r="AS34" s="178"/>
      <c r="AW34" s="178"/>
      <c r="BA34" s="179"/>
    </row>
    <row r="35" spans="1:53" s="170" customFormat="1" x14ac:dyDescent="0.15">
      <c r="A35" s="215">
        <v>1970</v>
      </c>
      <c r="B35" s="281"/>
      <c r="C35" s="403" t="s">
        <v>776</v>
      </c>
      <c r="D35" s="403"/>
      <c r="E35" s="170">
        <v>0</v>
      </c>
      <c r="G35" s="232"/>
      <c r="J35" s="240"/>
      <c r="K35" s="213"/>
      <c r="L35" s="213"/>
      <c r="M35" s="213"/>
      <c r="N35" s="234"/>
      <c r="O35" s="212"/>
      <c r="P35" s="213"/>
      <c r="Q35" s="213"/>
      <c r="R35" s="214"/>
      <c r="T35" s="283"/>
      <c r="U35" s="281"/>
      <c r="V35" s="177"/>
      <c r="Y35" s="178"/>
      <c r="AD35" s="250"/>
      <c r="AG35" s="178"/>
      <c r="AL35" s="177"/>
      <c r="AO35" s="178"/>
      <c r="AP35" s="177"/>
      <c r="AS35" s="178"/>
      <c r="AW35" s="178"/>
      <c r="BA35" s="179"/>
    </row>
    <row r="36" spans="1:53" s="170" customFormat="1" x14ac:dyDescent="0.15">
      <c r="A36" s="215">
        <v>1970</v>
      </c>
      <c r="B36" s="281"/>
      <c r="C36" s="403" t="s">
        <v>776</v>
      </c>
      <c r="D36" s="403"/>
      <c r="E36" s="170">
        <v>365</v>
      </c>
      <c r="G36" s="232"/>
      <c r="J36" s="240"/>
      <c r="K36" s="213"/>
      <c r="L36" s="213"/>
      <c r="M36" s="213"/>
      <c r="N36" s="234"/>
      <c r="O36" s="212"/>
      <c r="P36" s="213"/>
      <c r="Q36" s="213"/>
      <c r="R36" s="214"/>
      <c r="T36" s="283"/>
      <c r="U36" s="281"/>
      <c r="V36" s="177"/>
      <c r="Y36" s="178"/>
      <c r="AD36" s="250"/>
      <c r="AG36" s="178"/>
      <c r="AL36" s="177"/>
      <c r="AO36" s="178"/>
      <c r="AP36" s="177"/>
      <c r="AS36" s="178"/>
      <c r="AW36" s="178"/>
      <c r="BA36" s="179"/>
    </row>
    <row r="37" spans="1:53" s="170" customFormat="1" x14ac:dyDescent="0.15">
      <c r="A37" s="215">
        <v>1971</v>
      </c>
      <c r="B37" s="281"/>
      <c r="C37" s="403" t="s">
        <v>776</v>
      </c>
      <c r="D37" s="403"/>
      <c r="E37" s="170">
        <v>0</v>
      </c>
      <c r="G37" s="232"/>
      <c r="J37" s="240"/>
      <c r="K37" s="213"/>
      <c r="L37" s="213"/>
      <c r="M37" s="213"/>
      <c r="N37" s="234"/>
      <c r="O37" s="212"/>
      <c r="P37" s="213"/>
      <c r="Q37" s="213"/>
      <c r="R37" s="214"/>
      <c r="T37" s="283"/>
      <c r="U37" s="281"/>
      <c r="V37" s="177"/>
      <c r="Y37" s="178"/>
      <c r="AD37" s="250"/>
      <c r="AG37" s="178"/>
      <c r="AL37" s="177"/>
      <c r="AO37" s="178"/>
      <c r="AP37" s="177"/>
      <c r="AS37" s="178"/>
      <c r="AW37" s="178"/>
      <c r="BA37" s="179"/>
    </row>
    <row r="38" spans="1:53" s="170" customFormat="1" x14ac:dyDescent="0.15">
      <c r="A38" s="215">
        <v>1971</v>
      </c>
      <c r="B38" s="281"/>
      <c r="C38" s="403" t="s">
        <v>776</v>
      </c>
      <c r="D38" s="403"/>
      <c r="E38" s="170">
        <v>365</v>
      </c>
      <c r="G38" s="232"/>
      <c r="J38" s="240"/>
      <c r="K38" s="213"/>
      <c r="L38" s="213"/>
      <c r="M38" s="213"/>
      <c r="N38" s="234"/>
      <c r="O38" s="212"/>
      <c r="P38" s="213"/>
      <c r="Q38" s="213"/>
      <c r="R38" s="214"/>
      <c r="T38" s="283"/>
      <c r="U38" s="281"/>
      <c r="V38" s="177"/>
      <c r="Y38" s="178"/>
      <c r="AD38" s="250"/>
      <c r="AG38" s="178"/>
      <c r="AL38" s="177"/>
      <c r="AO38" s="178"/>
      <c r="AP38" s="177"/>
      <c r="AS38" s="178"/>
      <c r="AW38" s="178"/>
      <c r="BA38" s="179"/>
    </row>
    <row r="39" spans="1:53" s="170" customFormat="1" x14ac:dyDescent="0.15">
      <c r="A39" s="215">
        <v>1972</v>
      </c>
      <c r="B39" s="281"/>
      <c r="C39" s="403" t="s">
        <v>776</v>
      </c>
      <c r="D39" s="403"/>
      <c r="E39" s="170">
        <v>0</v>
      </c>
      <c r="G39" s="232"/>
      <c r="J39" s="240"/>
      <c r="K39" s="213"/>
      <c r="L39" s="213"/>
      <c r="M39" s="213"/>
      <c r="N39" s="234"/>
      <c r="O39" s="212"/>
      <c r="P39" s="213"/>
      <c r="Q39" s="213"/>
      <c r="R39" s="214"/>
      <c r="T39" s="283"/>
      <c r="U39" s="281"/>
      <c r="V39" s="177"/>
      <c r="Y39" s="178"/>
      <c r="AD39" s="250"/>
      <c r="AG39" s="178"/>
      <c r="AL39" s="177"/>
      <c r="AO39" s="178"/>
      <c r="AP39" s="177"/>
      <c r="AS39" s="178"/>
      <c r="AW39" s="178"/>
      <c r="BA39" s="179"/>
    </row>
    <row r="40" spans="1:53" s="170" customFormat="1" x14ac:dyDescent="0.15">
      <c r="A40" s="215">
        <v>1972</v>
      </c>
      <c r="B40" s="281"/>
      <c r="C40" s="403" t="s">
        <v>776</v>
      </c>
      <c r="D40" s="403"/>
      <c r="E40" s="170">
        <v>366</v>
      </c>
      <c r="G40" s="232"/>
      <c r="J40" s="240"/>
      <c r="K40" s="213"/>
      <c r="L40" s="213"/>
      <c r="M40" s="213"/>
      <c r="N40" s="234"/>
      <c r="O40" s="212"/>
      <c r="P40" s="213"/>
      <c r="Q40" s="213"/>
      <c r="R40" s="214"/>
      <c r="T40" s="283"/>
      <c r="U40" s="281"/>
      <c r="V40" s="177"/>
      <c r="Y40" s="178"/>
      <c r="AD40" s="250"/>
      <c r="AG40" s="178"/>
      <c r="AL40" s="177"/>
      <c r="AO40" s="178"/>
      <c r="AP40" s="177"/>
      <c r="AS40" s="178"/>
      <c r="AW40" s="178"/>
      <c r="BA40" s="179"/>
    </row>
    <row r="41" spans="1:53" s="170" customFormat="1" x14ac:dyDescent="0.15">
      <c r="A41" s="215">
        <v>1973</v>
      </c>
      <c r="B41" s="281"/>
      <c r="C41" s="403" t="s">
        <v>776</v>
      </c>
      <c r="D41" s="403"/>
      <c r="E41" s="170">
        <v>0</v>
      </c>
      <c r="G41" s="232"/>
      <c r="J41" s="240"/>
      <c r="K41" s="213"/>
      <c r="L41" s="213"/>
      <c r="M41" s="213"/>
      <c r="N41" s="234"/>
      <c r="O41" s="212"/>
      <c r="P41" s="213"/>
      <c r="Q41" s="213"/>
      <c r="R41" s="214"/>
      <c r="T41" s="283"/>
      <c r="U41" s="281"/>
      <c r="V41" s="177"/>
      <c r="Y41" s="178"/>
      <c r="AD41" s="250"/>
      <c r="AG41" s="178"/>
      <c r="AL41" s="177"/>
      <c r="AO41" s="178"/>
      <c r="AP41" s="177"/>
      <c r="AS41" s="178"/>
      <c r="AW41" s="178"/>
      <c r="BA41" s="179"/>
    </row>
    <row r="42" spans="1:53" s="170" customFormat="1" x14ac:dyDescent="0.15">
      <c r="A42" s="215">
        <v>1973</v>
      </c>
      <c r="B42" s="281"/>
      <c r="C42" s="403" t="s">
        <v>776</v>
      </c>
      <c r="D42" s="403"/>
      <c r="E42" s="170">
        <v>365</v>
      </c>
      <c r="G42" s="232"/>
      <c r="J42" s="240"/>
      <c r="K42" s="213"/>
      <c r="L42" s="213"/>
      <c r="M42" s="213"/>
      <c r="N42" s="234"/>
      <c r="O42" s="212"/>
      <c r="P42" s="213"/>
      <c r="Q42" s="213"/>
      <c r="R42" s="214"/>
      <c r="T42" s="283"/>
      <c r="U42" s="281"/>
      <c r="V42" s="177"/>
      <c r="Y42" s="178"/>
      <c r="AD42" s="250"/>
      <c r="AG42" s="178"/>
      <c r="AL42" s="177"/>
      <c r="AO42" s="178"/>
      <c r="AP42" s="177"/>
      <c r="AS42" s="178"/>
      <c r="AW42" s="178"/>
      <c r="BA42" s="179"/>
    </row>
    <row r="43" spans="1:53" s="170" customFormat="1" x14ac:dyDescent="0.15">
      <c r="A43" s="215">
        <v>1974</v>
      </c>
      <c r="B43" s="281"/>
      <c r="C43" s="403" t="s">
        <v>776</v>
      </c>
      <c r="D43" s="403"/>
      <c r="E43" s="170">
        <v>206</v>
      </c>
      <c r="G43" s="232"/>
      <c r="J43" s="240"/>
      <c r="K43" s="213"/>
      <c r="L43" s="213"/>
      <c r="M43" s="213"/>
      <c r="N43" s="234"/>
      <c r="O43" s="212"/>
      <c r="P43" s="213"/>
      <c r="Q43" s="213"/>
      <c r="R43" s="214"/>
      <c r="T43" s="283"/>
      <c r="U43" s="281"/>
      <c r="V43" s="177"/>
      <c r="Y43" s="178"/>
      <c r="AD43" s="177"/>
      <c r="AG43" s="178"/>
      <c r="AL43" s="177"/>
      <c r="AO43" s="178"/>
      <c r="AP43" s="177"/>
      <c r="AS43" s="178"/>
      <c r="AW43" s="178"/>
      <c r="BA43" s="179"/>
    </row>
    <row r="44" spans="1:53" s="28" customFormat="1" x14ac:dyDescent="0.15">
      <c r="A44" s="51">
        <v>1974</v>
      </c>
      <c r="B44" s="293">
        <v>27236</v>
      </c>
      <c r="C44" s="394" t="s">
        <v>772</v>
      </c>
      <c r="D44" s="394"/>
      <c r="E44" s="28">
        <v>119</v>
      </c>
      <c r="F44" s="28" t="s">
        <v>335</v>
      </c>
      <c r="G44" s="65">
        <v>12</v>
      </c>
      <c r="J44" s="72">
        <v>19</v>
      </c>
      <c r="K44" s="46">
        <f>G44/J44*100</f>
        <v>63.157894736842103</v>
      </c>
      <c r="L44" s="46">
        <f>H44/J44*100</f>
        <v>0</v>
      </c>
      <c r="M44" s="46">
        <f>I44/J44*100</f>
        <v>0</v>
      </c>
      <c r="N44" s="67">
        <f>SUM(K44:M44)</f>
        <v>63.157894736842103</v>
      </c>
      <c r="O44" s="45">
        <v>0</v>
      </c>
      <c r="P44" s="46">
        <v>0</v>
      </c>
      <c r="Q44" s="46">
        <v>0</v>
      </c>
      <c r="R44" s="47">
        <f>SUM(O44:Q44)</f>
        <v>0</v>
      </c>
      <c r="S44" s="28">
        <v>6</v>
      </c>
      <c r="T44" s="284"/>
      <c r="U44" s="293">
        <v>27236</v>
      </c>
      <c r="V44" s="88" t="s">
        <v>797</v>
      </c>
      <c r="Y44" s="38"/>
      <c r="AD44" s="37"/>
      <c r="AG44" s="38"/>
      <c r="AL44" s="37"/>
      <c r="AO44" s="38"/>
      <c r="AP44" s="37"/>
      <c r="AS44" s="38"/>
      <c r="AW44" s="38"/>
      <c r="BA44" s="39"/>
    </row>
    <row r="45" spans="1:53" s="170" customFormat="1" x14ac:dyDescent="0.15">
      <c r="A45" s="215">
        <v>1974</v>
      </c>
      <c r="B45" s="281">
        <v>27355</v>
      </c>
      <c r="C45" s="395" t="s">
        <v>549</v>
      </c>
      <c r="D45" s="395"/>
      <c r="E45" s="170">
        <v>40</v>
      </c>
      <c r="F45" s="170">
        <v>1</v>
      </c>
      <c r="G45" s="232">
        <v>20</v>
      </c>
      <c r="J45" s="240">
        <v>20</v>
      </c>
      <c r="K45" s="213">
        <f t="shared" ref="K45:K62" si="5">G45/J45*100</f>
        <v>100</v>
      </c>
      <c r="L45" s="213">
        <f t="shared" ref="L45:L62" si="6">H45/J45*100</f>
        <v>0</v>
      </c>
      <c r="M45" s="213">
        <f t="shared" ref="M45:M62" si="7">I45/J45*100</f>
        <v>0</v>
      </c>
      <c r="N45" s="234">
        <f t="shared" ref="N45:N62" si="8">SUM(K45:M45)</f>
        <v>100</v>
      </c>
      <c r="O45" s="212">
        <v>73.3</v>
      </c>
      <c r="P45" s="213"/>
      <c r="Q45" s="213"/>
      <c r="R45" s="214">
        <f>SUM(O45:Q45)</f>
        <v>73.3</v>
      </c>
      <c r="S45" s="170">
        <v>1</v>
      </c>
      <c r="T45" s="283">
        <v>27350</v>
      </c>
      <c r="U45" s="281">
        <v>27355</v>
      </c>
      <c r="V45" s="177" t="s">
        <v>188</v>
      </c>
      <c r="W45" s="170" t="s">
        <v>76</v>
      </c>
      <c r="X45" s="170" t="s">
        <v>11</v>
      </c>
      <c r="Y45" s="178">
        <v>73.3</v>
      </c>
      <c r="AD45" s="177"/>
      <c r="AG45" s="178"/>
      <c r="AL45" s="177"/>
      <c r="AO45" s="178"/>
      <c r="AP45" s="177"/>
      <c r="AS45" s="178"/>
      <c r="AW45" s="178"/>
      <c r="BA45" s="179"/>
    </row>
    <row r="46" spans="1:53" s="170" customFormat="1" x14ac:dyDescent="0.15">
      <c r="A46" s="215">
        <v>1975</v>
      </c>
      <c r="B46" s="281"/>
      <c r="C46" s="395" t="s">
        <v>549</v>
      </c>
      <c r="D46" s="395"/>
      <c r="E46" s="170">
        <v>0</v>
      </c>
      <c r="G46" s="232">
        <v>20</v>
      </c>
      <c r="J46" s="240">
        <v>20</v>
      </c>
      <c r="K46" s="213">
        <f t="shared" si="5"/>
        <v>100</v>
      </c>
      <c r="L46" s="213">
        <f t="shared" si="6"/>
        <v>0</v>
      </c>
      <c r="M46" s="213">
        <f t="shared" si="7"/>
        <v>0</v>
      </c>
      <c r="N46" s="234">
        <f t="shared" si="8"/>
        <v>100</v>
      </c>
      <c r="O46" s="212">
        <v>73.3</v>
      </c>
      <c r="P46" s="213"/>
      <c r="Q46" s="213"/>
      <c r="R46" s="214">
        <f t="shared" ref="R46:R109" si="9">SUM(O46:Q46)</f>
        <v>73.3</v>
      </c>
      <c r="S46" s="170">
        <v>1</v>
      </c>
      <c r="T46" s="283"/>
      <c r="U46" s="281"/>
      <c r="V46" s="177" t="s">
        <v>188</v>
      </c>
      <c r="W46" s="170" t="s">
        <v>76</v>
      </c>
      <c r="X46" s="170" t="s">
        <v>11</v>
      </c>
      <c r="Y46" s="178">
        <v>73.3</v>
      </c>
      <c r="AD46" s="177"/>
      <c r="AG46" s="178"/>
      <c r="AL46" s="177"/>
      <c r="AO46" s="178"/>
      <c r="AP46" s="177"/>
      <c r="AS46" s="178"/>
      <c r="AW46" s="178"/>
      <c r="BA46" s="179"/>
    </row>
    <row r="47" spans="1:53" s="170" customFormat="1" x14ac:dyDescent="0.15">
      <c r="A47" s="215">
        <v>1975</v>
      </c>
      <c r="B47" s="281"/>
      <c r="C47" s="395" t="s">
        <v>549</v>
      </c>
      <c r="D47" s="395"/>
      <c r="E47" s="170">
        <v>365</v>
      </c>
      <c r="G47" s="232">
        <v>20</v>
      </c>
      <c r="J47" s="240">
        <v>20</v>
      </c>
      <c r="K47" s="213">
        <f t="shared" si="5"/>
        <v>100</v>
      </c>
      <c r="L47" s="213">
        <f t="shared" si="6"/>
        <v>0</v>
      </c>
      <c r="M47" s="213">
        <f t="shared" si="7"/>
        <v>0</v>
      </c>
      <c r="N47" s="234">
        <f t="shared" si="8"/>
        <v>100</v>
      </c>
      <c r="O47" s="212">
        <v>73.3</v>
      </c>
      <c r="P47" s="213"/>
      <c r="Q47" s="213"/>
      <c r="R47" s="214">
        <f t="shared" si="9"/>
        <v>73.3</v>
      </c>
      <c r="S47" s="170">
        <v>1</v>
      </c>
      <c r="T47" s="283"/>
      <c r="U47" s="281"/>
      <c r="V47" s="177" t="s">
        <v>188</v>
      </c>
      <c r="W47" s="170" t="s">
        <v>76</v>
      </c>
      <c r="X47" s="170" t="s">
        <v>11</v>
      </c>
      <c r="Y47" s="178">
        <v>73.3</v>
      </c>
      <c r="AD47" s="177"/>
      <c r="AG47" s="178"/>
      <c r="AL47" s="177"/>
      <c r="AO47" s="178"/>
      <c r="AP47" s="177"/>
      <c r="AS47" s="178"/>
      <c r="AW47" s="178"/>
      <c r="BA47" s="179"/>
    </row>
    <row r="48" spans="1:53" s="170" customFormat="1" x14ac:dyDescent="0.15">
      <c r="A48" s="215">
        <v>1976</v>
      </c>
      <c r="B48" s="281"/>
      <c r="C48" s="395" t="s">
        <v>549</v>
      </c>
      <c r="D48" s="395"/>
      <c r="E48" s="170">
        <v>0</v>
      </c>
      <c r="G48" s="232">
        <v>20</v>
      </c>
      <c r="J48" s="240">
        <v>20</v>
      </c>
      <c r="K48" s="213">
        <f t="shared" si="5"/>
        <v>100</v>
      </c>
      <c r="L48" s="213">
        <f t="shared" si="6"/>
        <v>0</v>
      </c>
      <c r="M48" s="213">
        <f t="shared" si="7"/>
        <v>0</v>
      </c>
      <c r="N48" s="234">
        <f t="shared" si="8"/>
        <v>100</v>
      </c>
      <c r="O48" s="212">
        <v>73.3</v>
      </c>
      <c r="P48" s="213"/>
      <c r="Q48" s="213"/>
      <c r="R48" s="214">
        <f t="shared" si="9"/>
        <v>73.3</v>
      </c>
      <c r="S48" s="170">
        <v>1</v>
      </c>
      <c r="T48" s="283"/>
      <c r="U48" s="281"/>
      <c r="V48" s="177" t="s">
        <v>188</v>
      </c>
      <c r="W48" s="170" t="s">
        <v>76</v>
      </c>
      <c r="X48" s="170" t="s">
        <v>11</v>
      </c>
      <c r="Y48" s="178">
        <v>73.3</v>
      </c>
      <c r="AD48" s="177"/>
      <c r="AG48" s="178"/>
      <c r="AL48" s="177"/>
      <c r="AO48" s="178"/>
      <c r="AP48" s="177"/>
      <c r="AS48" s="178"/>
      <c r="AW48" s="178"/>
      <c r="BA48" s="179"/>
    </row>
    <row r="49" spans="1:53" s="170" customFormat="1" x14ac:dyDescent="0.15">
      <c r="A49" s="215">
        <v>1976</v>
      </c>
      <c r="B49" s="281"/>
      <c r="C49" s="395" t="s">
        <v>549</v>
      </c>
      <c r="D49" s="395"/>
      <c r="E49" s="170">
        <v>366</v>
      </c>
      <c r="G49" s="232">
        <v>20</v>
      </c>
      <c r="J49" s="240">
        <v>20</v>
      </c>
      <c r="K49" s="213">
        <f t="shared" si="5"/>
        <v>100</v>
      </c>
      <c r="L49" s="213">
        <f t="shared" si="6"/>
        <v>0</v>
      </c>
      <c r="M49" s="213">
        <f t="shared" si="7"/>
        <v>0</v>
      </c>
      <c r="N49" s="234">
        <f t="shared" si="8"/>
        <v>100</v>
      </c>
      <c r="O49" s="212">
        <v>73.3</v>
      </c>
      <c r="P49" s="213"/>
      <c r="Q49" s="213"/>
      <c r="R49" s="214">
        <f t="shared" si="9"/>
        <v>73.3</v>
      </c>
      <c r="S49" s="170">
        <v>1</v>
      </c>
      <c r="T49" s="283"/>
      <c r="U49" s="281"/>
      <c r="V49" s="177" t="s">
        <v>188</v>
      </c>
      <c r="W49" s="170" t="s">
        <v>76</v>
      </c>
      <c r="X49" s="170" t="s">
        <v>11</v>
      </c>
      <c r="Y49" s="178">
        <v>73.3</v>
      </c>
      <c r="AD49" s="177"/>
      <c r="AG49" s="178"/>
      <c r="AL49" s="177"/>
      <c r="AO49" s="178"/>
      <c r="AP49" s="177"/>
      <c r="AS49" s="178"/>
      <c r="AW49" s="178"/>
      <c r="BA49" s="179"/>
    </row>
    <row r="50" spans="1:53" s="170" customFormat="1" x14ac:dyDescent="0.15">
      <c r="A50" s="215">
        <v>1977</v>
      </c>
      <c r="B50" s="281"/>
      <c r="C50" s="395" t="s">
        <v>549</v>
      </c>
      <c r="D50" s="395"/>
      <c r="E50" s="170">
        <v>331</v>
      </c>
      <c r="G50" s="232">
        <v>20</v>
      </c>
      <c r="J50" s="240">
        <v>20</v>
      </c>
      <c r="K50" s="213">
        <f t="shared" si="5"/>
        <v>100</v>
      </c>
      <c r="L50" s="213">
        <f t="shared" si="6"/>
        <v>0</v>
      </c>
      <c r="M50" s="213">
        <f t="shared" si="7"/>
        <v>0</v>
      </c>
      <c r="N50" s="234">
        <f t="shared" si="8"/>
        <v>100</v>
      </c>
      <c r="O50" s="212">
        <v>73.3</v>
      </c>
      <c r="P50" s="213"/>
      <c r="Q50" s="213"/>
      <c r="R50" s="214">
        <f t="shared" si="9"/>
        <v>73.3</v>
      </c>
      <c r="S50" s="170">
        <v>1</v>
      </c>
      <c r="T50" s="283"/>
      <c r="U50" s="281"/>
      <c r="V50" s="177" t="s">
        <v>188</v>
      </c>
      <c r="W50" s="170" t="s">
        <v>76</v>
      </c>
      <c r="X50" s="170" t="s">
        <v>11</v>
      </c>
      <c r="Y50" s="178">
        <v>73.3</v>
      </c>
      <c r="AD50" s="177"/>
      <c r="AG50" s="178"/>
      <c r="AL50" s="177"/>
      <c r="AO50" s="178"/>
      <c r="AP50" s="177"/>
      <c r="AS50" s="178"/>
      <c r="AW50" s="178"/>
      <c r="BA50" s="179"/>
    </row>
    <row r="51" spans="1:53" s="28" customFormat="1" x14ac:dyDescent="0.15">
      <c r="A51" s="51">
        <v>1977</v>
      </c>
      <c r="B51" s="293">
        <v>28457</v>
      </c>
      <c r="C51" s="394" t="s">
        <v>763</v>
      </c>
      <c r="D51" s="394"/>
      <c r="E51" s="28">
        <v>34</v>
      </c>
      <c r="F51" s="28">
        <v>1</v>
      </c>
      <c r="G51" s="65">
        <v>21</v>
      </c>
      <c r="J51" s="72">
        <v>22</v>
      </c>
      <c r="K51" s="46">
        <f t="shared" si="5"/>
        <v>95.454545454545453</v>
      </c>
      <c r="L51" s="46">
        <f t="shared" si="6"/>
        <v>0</v>
      </c>
      <c r="M51" s="46">
        <f t="shared" si="7"/>
        <v>0</v>
      </c>
      <c r="N51" s="67">
        <f t="shared" si="8"/>
        <v>95.454545454545453</v>
      </c>
      <c r="O51" s="45">
        <v>57</v>
      </c>
      <c r="P51" s="46"/>
      <c r="Q51" s="46"/>
      <c r="R51" s="47">
        <f t="shared" si="9"/>
        <v>57</v>
      </c>
      <c r="S51" s="28">
        <v>1</v>
      </c>
      <c r="T51" s="284">
        <v>28449</v>
      </c>
      <c r="U51" s="293">
        <v>28457</v>
      </c>
      <c r="V51" s="37" t="s">
        <v>188</v>
      </c>
      <c r="W51" s="28" t="s">
        <v>76</v>
      </c>
      <c r="X51" s="28" t="s">
        <v>11</v>
      </c>
      <c r="Y51" s="38">
        <v>57</v>
      </c>
      <c r="AD51" s="37"/>
      <c r="AG51" s="38"/>
      <c r="AL51" s="37"/>
      <c r="AO51" s="38"/>
      <c r="AP51" s="37"/>
      <c r="AS51" s="38"/>
      <c r="AW51" s="38"/>
      <c r="BA51" s="39"/>
    </row>
    <row r="52" spans="1:53" s="28" customFormat="1" x14ac:dyDescent="0.15">
      <c r="A52" s="51">
        <v>1978</v>
      </c>
      <c r="B52" s="293"/>
      <c r="C52" s="394" t="s">
        <v>763</v>
      </c>
      <c r="D52" s="394"/>
      <c r="E52" s="28">
        <v>0</v>
      </c>
      <c r="G52" s="65">
        <v>21</v>
      </c>
      <c r="J52" s="72">
        <v>22</v>
      </c>
      <c r="K52" s="46">
        <f t="shared" si="5"/>
        <v>95.454545454545453</v>
      </c>
      <c r="L52" s="46">
        <f t="shared" si="6"/>
        <v>0</v>
      </c>
      <c r="M52" s="46">
        <f t="shared" si="7"/>
        <v>0</v>
      </c>
      <c r="N52" s="67">
        <f t="shared" si="8"/>
        <v>95.454545454545453</v>
      </c>
      <c r="O52" s="45">
        <v>57</v>
      </c>
      <c r="P52" s="46"/>
      <c r="Q52" s="46"/>
      <c r="R52" s="47">
        <f t="shared" si="9"/>
        <v>57</v>
      </c>
      <c r="S52" s="28">
        <v>1</v>
      </c>
      <c r="T52" s="284"/>
      <c r="U52" s="293"/>
      <c r="V52" s="37" t="s">
        <v>188</v>
      </c>
      <c r="W52" s="28" t="s">
        <v>76</v>
      </c>
      <c r="X52" s="28" t="s">
        <v>11</v>
      </c>
      <c r="Y52" s="38">
        <v>57</v>
      </c>
      <c r="AD52" s="37"/>
      <c r="AG52" s="38"/>
      <c r="AL52" s="37"/>
      <c r="AO52" s="38"/>
      <c r="AP52" s="37"/>
      <c r="AS52" s="38"/>
      <c r="AW52" s="38"/>
      <c r="BA52" s="39"/>
    </row>
    <row r="53" spans="1:53" s="28" customFormat="1" x14ac:dyDescent="0.15">
      <c r="A53" s="51">
        <v>1978</v>
      </c>
      <c r="B53" s="293"/>
      <c r="C53" s="394" t="s">
        <v>763</v>
      </c>
      <c r="D53" s="394"/>
      <c r="E53" s="28">
        <v>365</v>
      </c>
      <c r="G53" s="65">
        <v>21</v>
      </c>
      <c r="J53" s="72">
        <v>22</v>
      </c>
      <c r="K53" s="46">
        <f t="shared" si="5"/>
        <v>95.454545454545453</v>
      </c>
      <c r="L53" s="46">
        <f t="shared" si="6"/>
        <v>0</v>
      </c>
      <c r="M53" s="46">
        <f t="shared" si="7"/>
        <v>0</v>
      </c>
      <c r="N53" s="67">
        <f t="shared" si="8"/>
        <v>95.454545454545453</v>
      </c>
      <c r="O53" s="45">
        <v>57</v>
      </c>
      <c r="P53" s="46"/>
      <c r="Q53" s="46"/>
      <c r="R53" s="47">
        <f t="shared" si="9"/>
        <v>57</v>
      </c>
      <c r="S53" s="28">
        <v>1</v>
      </c>
      <c r="T53" s="284"/>
      <c r="U53" s="293"/>
      <c r="V53" s="37" t="s">
        <v>188</v>
      </c>
      <c r="W53" s="28" t="s">
        <v>76</v>
      </c>
      <c r="X53" s="28" t="s">
        <v>11</v>
      </c>
      <c r="Y53" s="38">
        <v>57</v>
      </c>
      <c r="AD53" s="37"/>
      <c r="AG53" s="38"/>
      <c r="AL53" s="37"/>
      <c r="AO53" s="38"/>
      <c r="AP53" s="37"/>
      <c r="AS53" s="38"/>
      <c r="AW53" s="38"/>
      <c r="BA53" s="39"/>
    </row>
    <row r="54" spans="1:53" s="28" customFormat="1" x14ac:dyDescent="0.15">
      <c r="A54" s="51">
        <v>1979</v>
      </c>
      <c r="B54" s="293"/>
      <c r="C54" s="394" t="s">
        <v>763</v>
      </c>
      <c r="D54" s="394"/>
      <c r="E54" s="28">
        <v>0</v>
      </c>
      <c r="G54" s="65">
        <v>21</v>
      </c>
      <c r="J54" s="72">
        <v>22</v>
      </c>
      <c r="K54" s="46">
        <f t="shared" si="5"/>
        <v>95.454545454545453</v>
      </c>
      <c r="L54" s="46">
        <f t="shared" si="6"/>
        <v>0</v>
      </c>
      <c r="M54" s="46">
        <f t="shared" si="7"/>
        <v>0</v>
      </c>
      <c r="N54" s="67">
        <f t="shared" si="8"/>
        <v>95.454545454545453</v>
      </c>
      <c r="O54" s="45">
        <v>57</v>
      </c>
      <c r="P54" s="46"/>
      <c r="Q54" s="46"/>
      <c r="R54" s="47">
        <f t="shared" si="9"/>
        <v>57</v>
      </c>
      <c r="S54" s="28">
        <v>1</v>
      </c>
      <c r="T54" s="284"/>
      <c r="U54" s="293"/>
      <c r="V54" s="37" t="s">
        <v>188</v>
      </c>
      <c r="W54" s="28" t="s">
        <v>76</v>
      </c>
      <c r="X54" s="28" t="s">
        <v>11</v>
      </c>
      <c r="Y54" s="38">
        <v>57</v>
      </c>
      <c r="AD54" s="37"/>
      <c r="AG54" s="38"/>
      <c r="AL54" s="37"/>
      <c r="AO54" s="38"/>
      <c r="AP54" s="37"/>
      <c r="AS54" s="38"/>
      <c r="AW54" s="38"/>
      <c r="BA54" s="39"/>
    </row>
    <row r="55" spans="1:53" s="28" customFormat="1" x14ac:dyDescent="0.15">
      <c r="A55" s="51">
        <v>1979</v>
      </c>
      <c r="B55" s="293"/>
      <c r="C55" s="394" t="s">
        <v>763</v>
      </c>
      <c r="D55" s="394"/>
      <c r="E55" s="28">
        <v>365</v>
      </c>
      <c r="G55" s="65">
        <v>21</v>
      </c>
      <c r="J55" s="72">
        <v>22</v>
      </c>
      <c r="K55" s="46">
        <f t="shared" si="5"/>
        <v>95.454545454545453</v>
      </c>
      <c r="L55" s="46">
        <f t="shared" si="6"/>
        <v>0</v>
      </c>
      <c r="M55" s="46">
        <f t="shared" si="7"/>
        <v>0</v>
      </c>
      <c r="N55" s="67">
        <f t="shared" si="8"/>
        <v>95.454545454545453</v>
      </c>
      <c r="O55" s="45">
        <v>57</v>
      </c>
      <c r="P55" s="46"/>
      <c r="Q55" s="46"/>
      <c r="R55" s="47">
        <f t="shared" si="9"/>
        <v>57</v>
      </c>
      <c r="S55" s="28">
        <v>1</v>
      </c>
      <c r="T55" s="284"/>
      <c r="U55" s="293"/>
      <c r="V55" s="37" t="s">
        <v>188</v>
      </c>
      <c r="W55" s="28" t="s">
        <v>76</v>
      </c>
      <c r="X55" s="28" t="s">
        <v>11</v>
      </c>
      <c r="Y55" s="38">
        <v>57</v>
      </c>
      <c r="AD55" s="37"/>
      <c r="AG55" s="38"/>
      <c r="AL55" s="37"/>
      <c r="AO55" s="38"/>
      <c r="AP55" s="37"/>
      <c r="AS55" s="38"/>
      <c r="AW55" s="38"/>
      <c r="BA55" s="39"/>
    </row>
    <row r="56" spans="1:53" s="28" customFormat="1" x14ac:dyDescent="0.15">
      <c r="A56" s="51">
        <v>1980</v>
      </c>
      <c r="B56" s="293"/>
      <c r="C56" s="394" t="s">
        <v>763</v>
      </c>
      <c r="D56" s="394"/>
      <c r="E56" s="28">
        <v>129</v>
      </c>
      <c r="G56" s="65">
        <v>21</v>
      </c>
      <c r="J56" s="72">
        <v>22</v>
      </c>
      <c r="K56" s="46">
        <f t="shared" si="5"/>
        <v>95.454545454545453</v>
      </c>
      <c r="L56" s="46">
        <f t="shared" si="6"/>
        <v>0</v>
      </c>
      <c r="M56" s="46">
        <f t="shared" si="7"/>
        <v>0</v>
      </c>
      <c r="N56" s="67">
        <f t="shared" si="8"/>
        <v>95.454545454545453</v>
      </c>
      <c r="O56" s="45">
        <v>57</v>
      </c>
      <c r="P56" s="46"/>
      <c r="Q56" s="46"/>
      <c r="R56" s="47">
        <f t="shared" si="9"/>
        <v>57</v>
      </c>
      <c r="S56" s="28">
        <v>1</v>
      </c>
      <c r="T56" s="284"/>
      <c r="U56" s="293"/>
      <c r="V56" s="37" t="s">
        <v>188</v>
      </c>
      <c r="W56" s="28" t="s">
        <v>76</v>
      </c>
      <c r="X56" s="28" t="s">
        <v>11</v>
      </c>
      <c r="Y56" s="38">
        <v>57</v>
      </c>
      <c r="AD56" s="37"/>
      <c r="AG56" s="38"/>
      <c r="AL56" s="37"/>
      <c r="AO56" s="38"/>
      <c r="AP56" s="37"/>
      <c r="AS56" s="38"/>
      <c r="AW56" s="38"/>
      <c r="BA56" s="39"/>
    </row>
    <row r="57" spans="1:53" s="170" customFormat="1" x14ac:dyDescent="0.15">
      <c r="A57" s="215">
        <v>1980</v>
      </c>
      <c r="B57" s="281">
        <v>29350</v>
      </c>
      <c r="C57" s="395" t="s">
        <v>177</v>
      </c>
      <c r="D57" s="395"/>
      <c r="E57" s="170">
        <v>237</v>
      </c>
      <c r="F57" s="170">
        <v>2</v>
      </c>
      <c r="G57" s="232">
        <v>22</v>
      </c>
      <c r="J57" s="240">
        <v>24</v>
      </c>
      <c r="K57" s="213">
        <f t="shared" si="5"/>
        <v>91.666666666666657</v>
      </c>
      <c r="L57" s="213">
        <f t="shared" si="6"/>
        <v>0</v>
      </c>
      <c r="M57" s="213">
        <f t="shared" si="7"/>
        <v>0</v>
      </c>
      <c r="N57" s="234">
        <f t="shared" si="8"/>
        <v>91.666666666666657</v>
      </c>
      <c r="O57" s="212">
        <v>57</v>
      </c>
      <c r="P57" s="213"/>
      <c r="Q57" s="213"/>
      <c r="R57" s="214">
        <f t="shared" si="9"/>
        <v>57</v>
      </c>
      <c r="S57" s="170">
        <v>1</v>
      </c>
      <c r="T57" s="283"/>
      <c r="U57" s="281">
        <v>29350</v>
      </c>
      <c r="V57" s="177" t="s">
        <v>188</v>
      </c>
      <c r="W57" s="170" t="s">
        <v>76</v>
      </c>
      <c r="X57" s="170" t="s">
        <v>11</v>
      </c>
      <c r="Y57" s="178">
        <v>57</v>
      </c>
      <c r="AD57" s="177"/>
      <c r="AG57" s="178"/>
      <c r="AL57" s="177"/>
      <c r="AO57" s="178"/>
      <c r="AP57" s="177"/>
      <c r="AS57" s="178"/>
      <c r="AW57" s="178"/>
      <c r="BA57" s="179"/>
    </row>
    <row r="58" spans="1:53" s="170" customFormat="1" x14ac:dyDescent="0.15">
      <c r="A58" s="215">
        <v>1981</v>
      </c>
      <c r="B58" s="281"/>
      <c r="C58" s="395" t="s">
        <v>177</v>
      </c>
      <c r="D58" s="395"/>
      <c r="E58" s="170">
        <v>293</v>
      </c>
      <c r="G58" s="232">
        <v>22</v>
      </c>
      <c r="J58" s="240">
        <v>24</v>
      </c>
      <c r="K58" s="213">
        <f t="shared" si="5"/>
        <v>91.666666666666657</v>
      </c>
      <c r="L58" s="213">
        <f t="shared" si="6"/>
        <v>0</v>
      </c>
      <c r="M58" s="213">
        <f t="shared" si="7"/>
        <v>0</v>
      </c>
      <c r="N58" s="234">
        <f t="shared" si="8"/>
        <v>91.666666666666657</v>
      </c>
      <c r="O58" s="212">
        <v>57</v>
      </c>
      <c r="P58" s="213"/>
      <c r="Q58" s="213"/>
      <c r="R58" s="214">
        <f t="shared" si="9"/>
        <v>57</v>
      </c>
      <c r="S58" s="170">
        <v>1</v>
      </c>
      <c r="T58" s="283"/>
      <c r="U58" s="281"/>
      <c r="V58" s="177" t="s">
        <v>188</v>
      </c>
      <c r="W58" s="170" t="s">
        <v>76</v>
      </c>
      <c r="X58" s="170" t="s">
        <v>11</v>
      </c>
      <c r="Y58" s="178">
        <v>57</v>
      </c>
      <c r="AD58" s="177"/>
      <c r="AG58" s="178"/>
      <c r="AL58" s="177"/>
      <c r="AO58" s="178"/>
      <c r="AP58" s="177"/>
      <c r="AS58" s="178"/>
      <c r="AW58" s="178"/>
      <c r="BA58" s="179"/>
    </row>
    <row r="59" spans="1:53" s="28" customFormat="1" x14ac:dyDescent="0.15">
      <c r="A59" s="51">
        <v>1981</v>
      </c>
      <c r="B59" s="293">
        <v>29880</v>
      </c>
      <c r="C59" s="394" t="s">
        <v>1356</v>
      </c>
      <c r="D59" s="394"/>
      <c r="E59" s="28">
        <v>72</v>
      </c>
      <c r="F59" s="28">
        <v>1</v>
      </c>
      <c r="G59" s="65"/>
      <c r="I59" s="28">
        <v>21</v>
      </c>
      <c r="J59" s="72">
        <v>21</v>
      </c>
      <c r="K59" s="46">
        <f t="shared" si="5"/>
        <v>0</v>
      </c>
      <c r="L59" s="46">
        <f t="shared" si="6"/>
        <v>0</v>
      </c>
      <c r="M59" s="46">
        <f t="shared" si="7"/>
        <v>100</v>
      </c>
      <c r="N59" s="67">
        <f t="shared" si="8"/>
        <v>100</v>
      </c>
      <c r="O59" s="45"/>
      <c r="P59" s="46"/>
      <c r="Q59" s="46">
        <v>57.3</v>
      </c>
      <c r="R59" s="47">
        <f t="shared" si="9"/>
        <v>57.3</v>
      </c>
      <c r="S59" s="28">
        <v>1</v>
      </c>
      <c r="T59" s="284">
        <v>29877</v>
      </c>
      <c r="U59" s="293">
        <v>29880</v>
      </c>
      <c r="V59" s="37" t="s">
        <v>189</v>
      </c>
      <c r="W59" s="28" t="s">
        <v>20</v>
      </c>
      <c r="X59" s="28" t="s">
        <v>12</v>
      </c>
      <c r="Y59" s="38">
        <v>57.3</v>
      </c>
      <c r="AD59" s="37"/>
      <c r="AG59" s="38"/>
      <c r="AL59" s="37"/>
      <c r="AO59" s="38"/>
      <c r="AP59" s="37"/>
      <c r="AS59" s="38"/>
      <c r="AW59" s="38"/>
      <c r="BA59" s="39"/>
    </row>
    <row r="60" spans="1:53" s="28" customFormat="1" x14ac:dyDescent="0.15">
      <c r="A60" s="51">
        <v>1982</v>
      </c>
      <c r="B60" s="293"/>
      <c r="C60" s="394" t="s">
        <v>1356</v>
      </c>
      <c r="D60" s="394"/>
      <c r="E60" s="28">
        <v>0</v>
      </c>
      <c r="G60" s="65"/>
      <c r="I60" s="28">
        <v>21</v>
      </c>
      <c r="J60" s="72">
        <v>21</v>
      </c>
      <c r="K60" s="46">
        <f t="shared" si="5"/>
        <v>0</v>
      </c>
      <c r="L60" s="46">
        <f t="shared" si="6"/>
        <v>0</v>
      </c>
      <c r="M60" s="46">
        <f t="shared" si="7"/>
        <v>100</v>
      </c>
      <c r="N60" s="67">
        <f t="shared" si="8"/>
        <v>100</v>
      </c>
      <c r="O60" s="45"/>
      <c r="P60" s="46"/>
      <c r="Q60" s="46">
        <v>57.3</v>
      </c>
      <c r="R60" s="47">
        <f t="shared" si="9"/>
        <v>57.3</v>
      </c>
      <c r="S60" s="28">
        <v>1</v>
      </c>
      <c r="T60" s="284"/>
      <c r="U60" s="293"/>
      <c r="V60" s="37" t="s">
        <v>189</v>
      </c>
      <c r="W60" s="28" t="s">
        <v>20</v>
      </c>
      <c r="X60" s="28" t="s">
        <v>12</v>
      </c>
      <c r="Y60" s="38">
        <v>57.3</v>
      </c>
      <c r="AD60" s="37"/>
      <c r="AG60" s="38"/>
      <c r="AL60" s="37"/>
      <c r="AO60" s="38"/>
      <c r="AP60" s="37"/>
      <c r="AS60" s="38"/>
      <c r="AW60" s="38"/>
      <c r="BA60" s="39"/>
    </row>
    <row r="61" spans="1:53" s="28" customFormat="1" x14ac:dyDescent="0.15">
      <c r="A61" s="51">
        <v>1982</v>
      </c>
      <c r="B61" s="293"/>
      <c r="C61" s="394" t="s">
        <v>1356</v>
      </c>
      <c r="D61" s="394"/>
      <c r="E61" s="28">
        <v>365</v>
      </c>
      <c r="G61" s="65"/>
      <c r="I61" s="28">
        <v>21</v>
      </c>
      <c r="J61" s="72">
        <v>21</v>
      </c>
      <c r="K61" s="46">
        <f t="shared" si="5"/>
        <v>0</v>
      </c>
      <c r="L61" s="46">
        <f t="shared" si="6"/>
        <v>0</v>
      </c>
      <c r="M61" s="46">
        <f t="shared" si="7"/>
        <v>100</v>
      </c>
      <c r="N61" s="67">
        <f t="shared" si="8"/>
        <v>100</v>
      </c>
      <c r="O61" s="45"/>
      <c r="P61" s="46"/>
      <c r="Q61" s="46">
        <v>57.3</v>
      </c>
      <c r="R61" s="47">
        <f t="shared" si="9"/>
        <v>57.3</v>
      </c>
      <c r="S61" s="28">
        <v>1</v>
      </c>
      <c r="T61" s="284"/>
      <c r="U61" s="293"/>
      <c r="V61" s="37" t="s">
        <v>189</v>
      </c>
      <c r="W61" s="28" t="s">
        <v>20</v>
      </c>
      <c r="X61" s="28" t="s">
        <v>12</v>
      </c>
      <c r="Y61" s="38">
        <v>57.3</v>
      </c>
      <c r="AD61" s="37"/>
      <c r="AG61" s="38"/>
      <c r="AL61" s="37"/>
      <c r="AO61" s="38"/>
      <c r="AP61" s="37"/>
      <c r="AS61" s="38"/>
      <c r="AW61" s="38"/>
      <c r="BA61" s="39"/>
    </row>
    <row r="62" spans="1:53" s="28" customFormat="1" x14ac:dyDescent="0.15">
      <c r="A62" s="51">
        <v>1983</v>
      </c>
      <c r="B62" s="293"/>
      <c r="C62" s="394" t="s">
        <v>1356</v>
      </c>
      <c r="D62" s="394"/>
      <c r="E62" s="28">
        <v>0</v>
      </c>
      <c r="G62" s="65"/>
      <c r="I62" s="28">
        <v>21</v>
      </c>
      <c r="J62" s="72">
        <v>21</v>
      </c>
      <c r="K62" s="46">
        <f t="shared" si="5"/>
        <v>0</v>
      </c>
      <c r="L62" s="46">
        <f t="shared" si="6"/>
        <v>0</v>
      </c>
      <c r="M62" s="46">
        <f t="shared" si="7"/>
        <v>100</v>
      </c>
      <c r="N62" s="67">
        <f t="shared" si="8"/>
        <v>100</v>
      </c>
      <c r="O62" s="45"/>
      <c r="P62" s="46"/>
      <c r="Q62" s="46">
        <v>57.3</v>
      </c>
      <c r="R62" s="47">
        <f t="shared" si="9"/>
        <v>57.3</v>
      </c>
      <c r="S62" s="28">
        <v>1</v>
      </c>
      <c r="T62" s="284"/>
      <c r="U62" s="293"/>
      <c r="V62" s="37" t="s">
        <v>189</v>
      </c>
      <c r="W62" s="28" t="s">
        <v>20</v>
      </c>
      <c r="X62" s="28" t="s">
        <v>12</v>
      </c>
      <c r="Y62" s="38">
        <v>57.3</v>
      </c>
      <c r="AD62" s="37"/>
      <c r="AG62" s="38"/>
      <c r="AL62" s="37"/>
      <c r="AO62" s="38"/>
      <c r="AP62" s="37"/>
      <c r="AS62" s="38"/>
      <c r="AW62" s="38"/>
      <c r="BA62" s="39"/>
    </row>
    <row r="63" spans="1:53" s="28" customFormat="1" x14ac:dyDescent="0.15">
      <c r="A63" s="51">
        <v>1983</v>
      </c>
      <c r="B63" s="293"/>
      <c r="C63" s="394" t="s">
        <v>1356</v>
      </c>
      <c r="D63" s="394"/>
      <c r="E63" s="28">
        <v>365</v>
      </c>
      <c r="G63" s="65"/>
      <c r="I63" s="28">
        <v>21</v>
      </c>
      <c r="J63" s="72">
        <v>21</v>
      </c>
      <c r="K63" s="46">
        <f>G63/J63*100</f>
        <v>0</v>
      </c>
      <c r="L63" s="46">
        <f>H63/J63*100</f>
        <v>0</v>
      </c>
      <c r="M63" s="46">
        <f>I63/J63*100</f>
        <v>100</v>
      </c>
      <c r="N63" s="67">
        <f t="shared" ref="N63:N126" si="10">SUM(K63:M63)</f>
        <v>100</v>
      </c>
      <c r="O63" s="45"/>
      <c r="P63" s="46"/>
      <c r="Q63" s="46">
        <v>57.3</v>
      </c>
      <c r="R63" s="47">
        <f t="shared" si="9"/>
        <v>57.3</v>
      </c>
      <c r="S63" s="28">
        <v>1</v>
      </c>
      <c r="T63" s="284"/>
      <c r="U63" s="293"/>
      <c r="V63" s="37" t="s">
        <v>189</v>
      </c>
      <c r="W63" s="28" t="s">
        <v>20</v>
      </c>
      <c r="X63" s="28" t="s">
        <v>12</v>
      </c>
      <c r="Y63" s="38">
        <v>57.3</v>
      </c>
      <c r="AD63" s="37"/>
      <c r="AG63" s="38"/>
      <c r="AL63" s="37"/>
      <c r="AO63" s="38"/>
      <c r="AP63" s="37"/>
      <c r="AS63" s="38"/>
      <c r="AW63" s="38"/>
      <c r="BA63" s="39"/>
    </row>
    <row r="64" spans="1:53" s="28" customFormat="1" x14ac:dyDescent="0.15">
      <c r="A64" s="51">
        <v>1984</v>
      </c>
      <c r="B64" s="293"/>
      <c r="C64" s="394" t="s">
        <v>1356</v>
      </c>
      <c r="D64" s="394"/>
      <c r="E64" s="28">
        <v>0</v>
      </c>
      <c r="G64" s="65"/>
      <c r="I64" s="28">
        <v>21</v>
      </c>
      <c r="J64" s="72">
        <v>21</v>
      </c>
      <c r="K64" s="46">
        <f t="shared" ref="K64:K79" si="11">G64/J64*100</f>
        <v>0</v>
      </c>
      <c r="L64" s="46">
        <f t="shared" ref="L64:L79" si="12">H64/J64*100</f>
        <v>0</v>
      </c>
      <c r="M64" s="46">
        <f t="shared" ref="M64:M79" si="13">I64/J64*100</f>
        <v>100</v>
      </c>
      <c r="N64" s="67">
        <f t="shared" si="10"/>
        <v>100</v>
      </c>
      <c r="O64" s="45"/>
      <c r="P64" s="46"/>
      <c r="Q64" s="46">
        <v>57.3</v>
      </c>
      <c r="R64" s="47">
        <f t="shared" si="9"/>
        <v>57.3</v>
      </c>
      <c r="S64" s="28">
        <v>1</v>
      </c>
      <c r="T64" s="284"/>
      <c r="U64" s="293"/>
      <c r="V64" s="37" t="s">
        <v>189</v>
      </c>
      <c r="W64" s="28" t="s">
        <v>20</v>
      </c>
      <c r="X64" s="28" t="s">
        <v>12</v>
      </c>
      <c r="Y64" s="38">
        <v>57.3</v>
      </c>
      <c r="AD64" s="37"/>
      <c r="AG64" s="38"/>
      <c r="AL64" s="37"/>
      <c r="AO64" s="38"/>
      <c r="AP64" s="37"/>
      <c r="AS64" s="38"/>
      <c r="AW64" s="38"/>
      <c r="BA64" s="39"/>
    </row>
    <row r="65" spans="1:53" s="28" customFormat="1" x14ac:dyDescent="0.15">
      <c r="A65" s="51">
        <v>1984</v>
      </c>
      <c r="B65" s="293"/>
      <c r="C65" s="394" t="s">
        <v>1356</v>
      </c>
      <c r="D65" s="394"/>
      <c r="E65" s="28">
        <v>366</v>
      </c>
      <c r="G65" s="65"/>
      <c r="I65" s="28">
        <v>21</v>
      </c>
      <c r="J65" s="72">
        <v>21</v>
      </c>
      <c r="K65" s="46">
        <f t="shared" ref="K65:K70" si="14">G65/J65*100</f>
        <v>0</v>
      </c>
      <c r="L65" s="46">
        <f t="shared" ref="L65:L70" si="15">H65/J65*100</f>
        <v>0</v>
      </c>
      <c r="M65" s="46">
        <f t="shared" ref="M65:M70" si="16">I65/J65*100</f>
        <v>100</v>
      </c>
      <c r="N65" s="67">
        <f t="shared" si="10"/>
        <v>100</v>
      </c>
      <c r="O65" s="45"/>
      <c r="P65" s="46"/>
      <c r="Q65" s="46">
        <v>57.3</v>
      </c>
      <c r="R65" s="47">
        <f t="shared" si="9"/>
        <v>57.3</v>
      </c>
      <c r="S65" s="28">
        <v>1</v>
      </c>
      <c r="T65" s="284"/>
      <c r="U65" s="293"/>
      <c r="V65" s="37" t="s">
        <v>189</v>
      </c>
      <c r="W65" s="28" t="s">
        <v>20</v>
      </c>
      <c r="X65" s="28" t="s">
        <v>12</v>
      </c>
      <c r="Y65" s="38">
        <v>57.3</v>
      </c>
      <c r="AD65" s="37"/>
      <c r="AG65" s="38"/>
      <c r="AL65" s="37"/>
      <c r="AO65" s="38"/>
      <c r="AP65" s="37"/>
      <c r="AS65" s="38"/>
      <c r="AW65" s="38"/>
      <c r="BA65" s="39"/>
    </row>
    <row r="66" spans="1:53" s="28" customFormat="1" x14ac:dyDescent="0.15">
      <c r="A66" s="51">
        <v>1985</v>
      </c>
      <c r="B66" s="293"/>
      <c r="C66" s="394" t="s">
        <v>1356</v>
      </c>
      <c r="D66" s="394"/>
      <c r="E66" s="28">
        <v>155</v>
      </c>
      <c r="G66" s="65"/>
      <c r="I66" s="28">
        <v>21</v>
      </c>
      <c r="J66" s="72">
        <v>21</v>
      </c>
      <c r="K66" s="46">
        <f t="shared" si="14"/>
        <v>0</v>
      </c>
      <c r="L66" s="46">
        <f t="shared" si="15"/>
        <v>0</v>
      </c>
      <c r="M66" s="46">
        <f t="shared" si="16"/>
        <v>100</v>
      </c>
      <c r="N66" s="67">
        <f t="shared" si="10"/>
        <v>100</v>
      </c>
      <c r="O66" s="45"/>
      <c r="P66" s="46"/>
      <c r="Q66" s="46">
        <v>57.3</v>
      </c>
      <c r="R66" s="47">
        <f t="shared" si="9"/>
        <v>57.3</v>
      </c>
      <c r="S66" s="28">
        <v>1</v>
      </c>
      <c r="T66" s="284"/>
      <c r="U66" s="293"/>
      <c r="V66" s="37" t="s">
        <v>189</v>
      </c>
      <c r="W66" s="28" t="s">
        <v>20</v>
      </c>
      <c r="X66" s="28" t="s">
        <v>12</v>
      </c>
      <c r="Y66" s="38">
        <v>57.3</v>
      </c>
      <c r="AD66" s="37"/>
      <c r="AG66" s="38"/>
      <c r="AL66" s="37"/>
      <c r="AO66" s="38"/>
      <c r="AP66" s="37"/>
      <c r="AS66" s="38"/>
      <c r="AW66" s="38"/>
      <c r="BA66" s="39"/>
    </row>
    <row r="67" spans="1:53" s="170" customFormat="1" x14ac:dyDescent="0.15">
      <c r="A67" s="215">
        <v>1985</v>
      </c>
      <c r="B67" s="281">
        <v>31203</v>
      </c>
      <c r="C67" s="395" t="s">
        <v>1357</v>
      </c>
      <c r="D67" s="395"/>
      <c r="E67" s="170">
        <v>51</v>
      </c>
      <c r="F67" s="170">
        <v>1</v>
      </c>
      <c r="G67" s="232"/>
      <c r="I67" s="170">
        <v>15</v>
      </c>
      <c r="J67" s="240">
        <v>15</v>
      </c>
      <c r="K67" s="213">
        <f t="shared" si="14"/>
        <v>0</v>
      </c>
      <c r="L67" s="213">
        <f t="shared" si="15"/>
        <v>0</v>
      </c>
      <c r="M67" s="213">
        <f t="shared" si="16"/>
        <v>100</v>
      </c>
      <c r="N67" s="234">
        <f t="shared" si="10"/>
        <v>100</v>
      </c>
      <c r="O67" s="212"/>
      <c r="P67" s="213"/>
      <c r="Q67" s="213">
        <v>53.7</v>
      </c>
      <c r="R67" s="214">
        <f t="shared" si="9"/>
        <v>53.7</v>
      </c>
      <c r="S67" s="170">
        <v>1</v>
      </c>
      <c r="T67" s="283">
        <v>31200</v>
      </c>
      <c r="U67" s="281">
        <v>31203</v>
      </c>
      <c r="V67" s="177" t="s">
        <v>189</v>
      </c>
      <c r="W67" s="170" t="s">
        <v>20</v>
      </c>
      <c r="X67" s="170" t="s">
        <v>12</v>
      </c>
      <c r="Y67" s="178">
        <v>53.7</v>
      </c>
      <c r="AD67" s="177"/>
      <c r="AG67" s="178"/>
      <c r="AL67" s="177"/>
      <c r="AO67" s="178"/>
      <c r="AP67" s="177"/>
      <c r="AS67" s="178"/>
      <c r="AW67" s="178"/>
      <c r="BA67" s="179"/>
    </row>
    <row r="68" spans="1:53" s="170" customFormat="1" x14ac:dyDescent="0.15">
      <c r="A68" s="215">
        <v>1985</v>
      </c>
      <c r="B68" s="303">
        <v>31254</v>
      </c>
      <c r="C68" s="395" t="s">
        <v>1357</v>
      </c>
      <c r="D68" s="395"/>
      <c r="E68" s="170">
        <v>159</v>
      </c>
      <c r="F68" s="243">
        <v>0</v>
      </c>
      <c r="G68" s="232"/>
      <c r="I68" s="170">
        <v>25</v>
      </c>
      <c r="J68" s="240">
        <v>25</v>
      </c>
      <c r="K68" s="213">
        <f t="shared" si="14"/>
        <v>0</v>
      </c>
      <c r="L68" s="213">
        <f t="shared" si="15"/>
        <v>0</v>
      </c>
      <c r="M68" s="213">
        <f t="shared" si="16"/>
        <v>100</v>
      </c>
      <c r="N68" s="234">
        <f t="shared" si="10"/>
        <v>100</v>
      </c>
      <c r="O68" s="212"/>
      <c r="P68" s="213"/>
      <c r="Q68" s="213">
        <v>53.7</v>
      </c>
      <c r="R68" s="214">
        <f t="shared" si="9"/>
        <v>53.7</v>
      </c>
      <c r="S68" s="170">
        <v>1</v>
      </c>
      <c r="T68" s="283"/>
      <c r="U68" s="281"/>
      <c r="V68" s="177" t="s">
        <v>189</v>
      </c>
      <c r="W68" s="170" t="s">
        <v>20</v>
      </c>
      <c r="X68" s="170" t="s">
        <v>12</v>
      </c>
      <c r="Y68" s="178">
        <v>53.7</v>
      </c>
      <c r="AD68" s="177"/>
      <c r="AG68" s="178"/>
      <c r="AL68" s="177"/>
      <c r="AO68" s="178"/>
      <c r="AP68" s="177"/>
      <c r="AS68" s="178"/>
      <c r="AW68" s="178"/>
      <c r="BA68" s="179"/>
    </row>
    <row r="69" spans="1:53" s="170" customFormat="1" x14ac:dyDescent="0.15">
      <c r="A69" s="215">
        <v>1986</v>
      </c>
      <c r="B69" s="281"/>
      <c r="C69" s="395" t="s">
        <v>1357</v>
      </c>
      <c r="D69" s="395"/>
      <c r="E69" s="170">
        <v>0</v>
      </c>
      <c r="G69" s="232"/>
      <c r="I69" s="170">
        <v>25</v>
      </c>
      <c r="J69" s="240">
        <v>25</v>
      </c>
      <c r="K69" s="213">
        <f t="shared" si="14"/>
        <v>0</v>
      </c>
      <c r="L69" s="213">
        <f t="shared" si="15"/>
        <v>0</v>
      </c>
      <c r="M69" s="213">
        <f t="shared" si="16"/>
        <v>100</v>
      </c>
      <c r="N69" s="234">
        <f t="shared" si="10"/>
        <v>100</v>
      </c>
      <c r="O69" s="212"/>
      <c r="P69" s="213"/>
      <c r="Q69" s="213">
        <v>53.7</v>
      </c>
      <c r="R69" s="214">
        <f t="shared" si="9"/>
        <v>53.7</v>
      </c>
      <c r="S69" s="170">
        <v>1</v>
      </c>
      <c r="T69" s="283"/>
      <c r="U69" s="281"/>
      <c r="V69" s="177" t="s">
        <v>189</v>
      </c>
      <c r="W69" s="170" t="s">
        <v>20</v>
      </c>
      <c r="X69" s="170" t="s">
        <v>12</v>
      </c>
      <c r="Y69" s="178">
        <v>53.7</v>
      </c>
      <c r="AD69" s="177"/>
      <c r="AG69" s="178"/>
      <c r="AL69" s="177"/>
      <c r="AO69" s="178"/>
      <c r="AP69" s="177"/>
      <c r="AS69" s="178"/>
      <c r="AW69" s="178"/>
      <c r="BA69" s="179"/>
    </row>
    <row r="70" spans="1:53" s="170" customFormat="1" x14ac:dyDescent="0.15">
      <c r="A70" s="215">
        <v>1986</v>
      </c>
      <c r="B70" s="281"/>
      <c r="C70" s="395" t="s">
        <v>1357</v>
      </c>
      <c r="D70" s="395"/>
      <c r="E70" s="170">
        <v>365</v>
      </c>
      <c r="G70" s="232"/>
      <c r="I70" s="170">
        <v>25</v>
      </c>
      <c r="J70" s="240">
        <v>25</v>
      </c>
      <c r="K70" s="213">
        <f t="shared" si="14"/>
        <v>0</v>
      </c>
      <c r="L70" s="213">
        <f t="shared" si="15"/>
        <v>0</v>
      </c>
      <c r="M70" s="213">
        <f t="shared" si="16"/>
        <v>100</v>
      </c>
      <c r="N70" s="234">
        <f t="shared" si="10"/>
        <v>100</v>
      </c>
      <c r="O70" s="212"/>
      <c r="P70" s="213"/>
      <c r="Q70" s="213">
        <v>53.7</v>
      </c>
      <c r="R70" s="214">
        <f t="shared" si="9"/>
        <v>53.7</v>
      </c>
      <c r="S70" s="170">
        <v>1</v>
      </c>
      <c r="T70" s="283"/>
      <c r="U70" s="281"/>
      <c r="V70" s="177" t="s">
        <v>189</v>
      </c>
      <c r="W70" s="170" t="s">
        <v>20</v>
      </c>
      <c r="X70" s="170" t="s">
        <v>12</v>
      </c>
      <c r="Y70" s="178">
        <v>53.7</v>
      </c>
      <c r="AD70" s="177"/>
      <c r="AG70" s="178"/>
      <c r="AL70" s="177"/>
      <c r="AO70" s="178"/>
      <c r="AP70" s="177"/>
      <c r="AS70" s="178"/>
      <c r="AW70" s="178"/>
      <c r="BA70" s="179"/>
    </row>
    <row r="71" spans="1:53" s="170" customFormat="1" x14ac:dyDescent="0.15">
      <c r="A71" s="215">
        <v>1987</v>
      </c>
      <c r="B71" s="281"/>
      <c r="C71" s="395" t="s">
        <v>1357</v>
      </c>
      <c r="D71" s="395"/>
      <c r="E71" s="170">
        <v>0</v>
      </c>
      <c r="G71" s="232"/>
      <c r="I71" s="170">
        <v>25</v>
      </c>
      <c r="J71" s="240">
        <v>25</v>
      </c>
      <c r="K71" s="213">
        <f t="shared" si="11"/>
        <v>0</v>
      </c>
      <c r="L71" s="213">
        <f t="shared" si="12"/>
        <v>0</v>
      </c>
      <c r="M71" s="213">
        <f t="shared" si="13"/>
        <v>100</v>
      </c>
      <c r="N71" s="234">
        <f t="shared" si="10"/>
        <v>100</v>
      </c>
      <c r="O71" s="212"/>
      <c r="P71" s="213"/>
      <c r="Q71" s="213">
        <v>53.7</v>
      </c>
      <c r="R71" s="214">
        <f t="shared" si="9"/>
        <v>53.7</v>
      </c>
      <c r="S71" s="170">
        <v>1</v>
      </c>
      <c r="T71" s="283"/>
      <c r="U71" s="281"/>
      <c r="V71" s="177" t="s">
        <v>189</v>
      </c>
      <c r="W71" s="170" t="s">
        <v>20</v>
      </c>
      <c r="X71" s="170" t="s">
        <v>12</v>
      </c>
      <c r="Y71" s="178">
        <v>53.7</v>
      </c>
      <c r="AD71" s="177"/>
      <c r="AG71" s="178"/>
      <c r="AL71" s="177"/>
      <c r="AO71" s="178"/>
      <c r="AP71" s="177"/>
      <c r="AS71" s="178"/>
      <c r="AW71" s="178"/>
      <c r="BA71" s="179"/>
    </row>
    <row r="72" spans="1:53" s="170" customFormat="1" x14ac:dyDescent="0.15">
      <c r="A72" s="215">
        <v>1987</v>
      </c>
      <c r="B72" s="281"/>
      <c r="C72" s="395" t="s">
        <v>1357</v>
      </c>
      <c r="D72" s="395"/>
      <c r="E72" s="170">
        <v>365</v>
      </c>
      <c r="G72" s="232"/>
      <c r="I72" s="170">
        <v>25</v>
      </c>
      <c r="J72" s="240">
        <v>25</v>
      </c>
      <c r="K72" s="213">
        <f t="shared" si="11"/>
        <v>0</v>
      </c>
      <c r="L72" s="213">
        <f t="shared" si="12"/>
        <v>0</v>
      </c>
      <c r="M72" s="213">
        <f t="shared" si="13"/>
        <v>100</v>
      </c>
      <c r="N72" s="234">
        <f t="shared" si="10"/>
        <v>100</v>
      </c>
      <c r="O72" s="212"/>
      <c r="P72" s="213"/>
      <c r="Q72" s="213">
        <v>53.7</v>
      </c>
      <c r="R72" s="214">
        <f t="shared" si="9"/>
        <v>53.7</v>
      </c>
      <c r="S72" s="170">
        <v>1</v>
      </c>
      <c r="T72" s="283"/>
      <c r="U72" s="281"/>
      <c r="V72" s="177" t="s">
        <v>189</v>
      </c>
      <c r="W72" s="170" t="s">
        <v>20</v>
      </c>
      <c r="X72" s="170" t="s">
        <v>12</v>
      </c>
      <c r="Y72" s="178">
        <v>53.7</v>
      </c>
      <c r="AD72" s="177"/>
      <c r="AG72" s="178"/>
      <c r="AL72" s="177"/>
      <c r="AO72" s="178"/>
      <c r="AP72" s="177"/>
      <c r="AS72" s="178"/>
      <c r="AW72" s="178"/>
      <c r="BA72" s="179"/>
    </row>
    <row r="73" spans="1:53" s="170" customFormat="1" x14ac:dyDescent="0.15">
      <c r="A73" s="215">
        <v>1988</v>
      </c>
      <c r="B73" s="281"/>
      <c r="C73" s="395" t="s">
        <v>1357</v>
      </c>
      <c r="D73" s="395"/>
      <c r="E73" s="170">
        <v>0</v>
      </c>
      <c r="G73" s="232"/>
      <c r="I73" s="170">
        <v>25</v>
      </c>
      <c r="J73" s="240">
        <v>25</v>
      </c>
      <c r="K73" s="213">
        <f t="shared" si="11"/>
        <v>0</v>
      </c>
      <c r="L73" s="213">
        <f t="shared" si="12"/>
        <v>0</v>
      </c>
      <c r="M73" s="213">
        <f t="shared" si="13"/>
        <v>100</v>
      </c>
      <c r="N73" s="234">
        <f t="shared" si="10"/>
        <v>100</v>
      </c>
      <c r="O73" s="212"/>
      <c r="P73" s="213"/>
      <c r="Q73" s="213">
        <v>53.7</v>
      </c>
      <c r="R73" s="214">
        <f t="shared" si="9"/>
        <v>53.7</v>
      </c>
      <c r="S73" s="170">
        <v>1</v>
      </c>
      <c r="T73" s="283"/>
      <c r="U73" s="281"/>
      <c r="V73" s="177" t="s">
        <v>189</v>
      </c>
      <c r="W73" s="170" t="s">
        <v>20</v>
      </c>
      <c r="X73" s="170" t="s">
        <v>12</v>
      </c>
      <c r="Y73" s="178">
        <v>53.7</v>
      </c>
      <c r="AD73" s="177"/>
      <c r="AG73" s="178"/>
      <c r="AL73" s="177"/>
      <c r="AO73" s="178"/>
      <c r="AP73" s="177"/>
      <c r="AS73" s="178"/>
      <c r="AW73" s="178"/>
      <c r="BA73" s="179"/>
    </row>
    <row r="74" spans="1:53" s="170" customFormat="1" x14ac:dyDescent="0.15">
      <c r="A74" s="215">
        <v>1988</v>
      </c>
      <c r="B74" s="281"/>
      <c r="C74" s="395" t="s">
        <v>1357</v>
      </c>
      <c r="D74" s="395"/>
      <c r="E74" s="170">
        <v>366</v>
      </c>
      <c r="G74" s="232"/>
      <c r="I74" s="170">
        <v>25</v>
      </c>
      <c r="J74" s="240">
        <v>25</v>
      </c>
      <c r="K74" s="213">
        <f t="shared" si="11"/>
        <v>0</v>
      </c>
      <c r="L74" s="213">
        <f t="shared" si="12"/>
        <v>0</v>
      </c>
      <c r="M74" s="213">
        <f t="shared" si="13"/>
        <v>100</v>
      </c>
      <c r="N74" s="234">
        <f t="shared" si="10"/>
        <v>100</v>
      </c>
      <c r="O74" s="212"/>
      <c r="P74" s="213"/>
      <c r="Q74" s="213">
        <v>53.7</v>
      </c>
      <c r="R74" s="214">
        <f t="shared" si="9"/>
        <v>53.7</v>
      </c>
      <c r="S74" s="170">
        <v>1</v>
      </c>
      <c r="T74" s="283"/>
      <c r="U74" s="281"/>
      <c r="V74" s="177" t="s">
        <v>189</v>
      </c>
      <c r="W74" s="170" t="s">
        <v>20</v>
      </c>
      <c r="X74" s="170" t="s">
        <v>12</v>
      </c>
      <c r="Y74" s="178">
        <v>53.7</v>
      </c>
      <c r="AD74" s="177"/>
      <c r="AG74" s="178"/>
      <c r="AL74" s="177"/>
      <c r="AO74" s="178"/>
      <c r="AP74" s="177"/>
      <c r="AS74" s="178"/>
      <c r="AW74" s="178"/>
      <c r="BA74" s="179"/>
    </row>
    <row r="75" spans="1:53" s="170" customFormat="1" x14ac:dyDescent="0.15">
      <c r="A75" s="215">
        <v>1989</v>
      </c>
      <c r="B75" s="281"/>
      <c r="C75" s="395" t="s">
        <v>1357</v>
      </c>
      <c r="D75" s="395"/>
      <c r="E75" s="170">
        <v>182</v>
      </c>
      <c r="G75" s="232"/>
      <c r="I75" s="170">
        <v>25</v>
      </c>
      <c r="J75" s="240">
        <v>25</v>
      </c>
      <c r="K75" s="213">
        <f t="shared" si="11"/>
        <v>0</v>
      </c>
      <c r="L75" s="213">
        <f t="shared" si="12"/>
        <v>0</v>
      </c>
      <c r="M75" s="213">
        <f t="shared" si="13"/>
        <v>100</v>
      </c>
      <c r="N75" s="234">
        <f t="shared" si="10"/>
        <v>100</v>
      </c>
      <c r="O75" s="212"/>
      <c r="P75" s="213"/>
      <c r="Q75" s="213">
        <v>53.7</v>
      </c>
      <c r="R75" s="214">
        <f t="shared" si="9"/>
        <v>53.7</v>
      </c>
      <c r="S75" s="170">
        <v>1</v>
      </c>
      <c r="T75" s="283"/>
      <c r="U75" s="281"/>
      <c r="V75" s="177" t="s">
        <v>189</v>
      </c>
      <c r="W75" s="170" t="s">
        <v>20</v>
      </c>
      <c r="X75" s="170" t="s">
        <v>12</v>
      </c>
      <c r="Y75" s="178">
        <v>53.7</v>
      </c>
      <c r="AD75" s="177"/>
      <c r="AG75" s="178"/>
      <c r="AL75" s="177"/>
      <c r="AO75" s="178"/>
      <c r="AP75" s="177"/>
      <c r="AS75" s="178"/>
      <c r="AW75" s="178"/>
      <c r="BA75" s="179"/>
    </row>
    <row r="76" spans="1:53" s="28" customFormat="1" x14ac:dyDescent="0.15">
      <c r="A76" s="51">
        <v>1989</v>
      </c>
      <c r="B76" s="293">
        <v>32691</v>
      </c>
      <c r="C76" s="394" t="s">
        <v>178</v>
      </c>
      <c r="D76" s="394"/>
      <c r="E76" s="28">
        <v>102</v>
      </c>
      <c r="F76" s="28">
        <v>1</v>
      </c>
      <c r="G76" s="65">
        <v>21</v>
      </c>
      <c r="I76" s="28">
        <v>2</v>
      </c>
      <c r="J76" s="72">
        <v>23</v>
      </c>
      <c r="K76" s="46">
        <f>G76/J76*100</f>
        <v>91.304347826086953</v>
      </c>
      <c r="L76" s="46">
        <f>H76/J76*100</f>
        <v>0</v>
      </c>
      <c r="M76" s="46">
        <f>I76/J76*100</f>
        <v>8.695652173913043</v>
      </c>
      <c r="N76" s="67">
        <f t="shared" si="10"/>
        <v>100</v>
      </c>
      <c r="O76" s="45">
        <v>48.3</v>
      </c>
      <c r="P76" s="46"/>
      <c r="Q76" s="46">
        <v>9.3000000000000007</v>
      </c>
      <c r="R76" s="47">
        <f t="shared" si="9"/>
        <v>57.599999999999994</v>
      </c>
      <c r="S76" s="28">
        <v>2</v>
      </c>
      <c r="T76" s="284">
        <v>32677</v>
      </c>
      <c r="U76" s="293">
        <v>32691</v>
      </c>
      <c r="V76" s="37" t="s">
        <v>188</v>
      </c>
      <c r="W76" s="28" t="s">
        <v>76</v>
      </c>
      <c r="X76" s="28" t="s">
        <v>11</v>
      </c>
      <c r="Y76" s="38">
        <v>48.3</v>
      </c>
      <c r="Z76" s="28" t="s">
        <v>190</v>
      </c>
      <c r="AA76" s="28" t="s">
        <v>191</v>
      </c>
      <c r="AB76" s="28" t="s">
        <v>12</v>
      </c>
      <c r="AC76" s="28">
        <v>9.3000000000000007</v>
      </c>
      <c r="AD76" s="37"/>
      <c r="AG76" s="38"/>
      <c r="AL76" s="37"/>
      <c r="AO76" s="38"/>
      <c r="AP76" s="37"/>
      <c r="AS76" s="38"/>
      <c r="AW76" s="38"/>
      <c r="BA76" s="39"/>
    </row>
    <row r="77" spans="1:53" s="170" customFormat="1" x14ac:dyDescent="0.15">
      <c r="A77" s="215">
        <v>1989</v>
      </c>
      <c r="B77" s="281">
        <v>32793</v>
      </c>
      <c r="C77" s="395" t="s">
        <v>185</v>
      </c>
      <c r="D77" s="395"/>
      <c r="E77" s="170">
        <v>41</v>
      </c>
      <c r="F77" s="170">
        <v>2</v>
      </c>
      <c r="G77" s="232">
        <v>0</v>
      </c>
      <c r="H77" s="170">
        <v>0</v>
      </c>
      <c r="I77" s="170">
        <v>0</v>
      </c>
      <c r="J77" s="240">
        <v>21</v>
      </c>
      <c r="K77" s="213">
        <f t="shared" si="11"/>
        <v>0</v>
      </c>
      <c r="L77" s="213">
        <f t="shared" si="12"/>
        <v>0</v>
      </c>
      <c r="M77" s="213">
        <f t="shared" si="13"/>
        <v>0</v>
      </c>
      <c r="N77" s="234">
        <f t="shared" si="10"/>
        <v>0</v>
      </c>
      <c r="O77" s="212">
        <v>0</v>
      </c>
      <c r="P77" s="213">
        <v>0</v>
      </c>
      <c r="Q77" s="213">
        <v>0</v>
      </c>
      <c r="R77" s="214">
        <f t="shared" si="9"/>
        <v>0</v>
      </c>
      <c r="S77" s="170">
        <v>6</v>
      </c>
      <c r="T77" s="283"/>
      <c r="U77" s="281">
        <v>32793</v>
      </c>
      <c r="V77" s="241" t="s">
        <v>797</v>
      </c>
      <c r="Y77" s="178"/>
      <c r="AD77" s="177"/>
      <c r="AG77" s="178"/>
      <c r="AL77" s="177"/>
      <c r="AO77" s="178"/>
      <c r="AP77" s="177"/>
      <c r="AS77" s="178"/>
      <c r="AW77" s="178"/>
      <c r="BA77" s="179"/>
    </row>
    <row r="78" spans="1:53" s="73" customFormat="1" x14ac:dyDescent="0.15">
      <c r="A78" s="91">
        <v>1989</v>
      </c>
      <c r="B78" s="300">
        <v>32834</v>
      </c>
      <c r="C78" s="426" t="s">
        <v>186</v>
      </c>
      <c r="D78" s="426"/>
      <c r="E78" s="73">
        <v>40</v>
      </c>
      <c r="F78" s="73">
        <v>1</v>
      </c>
      <c r="G78" s="74">
        <v>6</v>
      </c>
      <c r="I78" s="73">
        <v>7</v>
      </c>
      <c r="J78" s="75">
        <v>21</v>
      </c>
      <c r="K78" s="76">
        <f t="shared" si="11"/>
        <v>28.571428571428569</v>
      </c>
      <c r="L78" s="76">
        <f t="shared" si="12"/>
        <v>0</v>
      </c>
      <c r="M78" s="76">
        <f t="shared" si="13"/>
        <v>33.333333333333329</v>
      </c>
      <c r="N78" s="77">
        <f t="shared" si="10"/>
        <v>61.904761904761898</v>
      </c>
      <c r="O78" s="78">
        <v>49.3</v>
      </c>
      <c r="P78" s="76"/>
      <c r="Q78" s="76">
        <v>50</v>
      </c>
      <c r="R78" s="79">
        <f t="shared" si="9"/>
        <v>99.3</v>
      </c>
      <c r="S78" s="73">
        <v>7</v>
      </c>
      <c r="T78" s="302">
        <v>32817</v>
      </c>
      <c r="U78" s="300">
        <v>32834</v>
      </c>
      <c r="V78" s="92" t="s">
        <v>778</v>
      </c>
      <c r="Y78" s="81"/>
      <c r="Z78" s="80" t="s">
        <v>188</v>
      </c>
      <c r="AA78" s="73" t="s">
        <v>76</v>
      </c>
      <c r="AB78" s="73" t="s">
        <v>11</v>
      </c>
      <c r="AC78" s="81">
        <v>49.3</v>
      </c>
      <c r="AD78" s="73" t="s">
        <v>189</v>
      </c>
      <c r="AE78" s="73" t="s">
        <v>20</v>
      </c>
      <c r="AF78" s="73" t="s">
        <v>12</v>
      </c>
      <c r="AG78" s="81">
        <v>43</v>
      </c>
      <c r="AH78" s="73" t="s">
        <v>190</v>
      </c>
      <c r="AI78" s="73" t="s">
        <v>191</v>
      </c>
      <c r="AJ78" s="73" t="s">
        <v>12</v>
      </c>
      <c r="AK78" s="73">
        <v>7</v>
      </c>
      <c r="AL78" s="80"/>
      <c r="AO78" s="81"/>
      <c r="AP78" s="80"/>
      <c r="AS78" s="81"/>
      <c r="AW78" s="81"/>
      <c r="BA78" s="82"/>
    </row>
    <row r="79" spans="1:53" s="28" customFormat="1" x14ac:dyDescent="0.15">
      <c r="A79" s="28">
        <v>1990</v>
      </c>
      <c r="B79" s="293"/>
      <c r="C79" s="394" t="s">
        <v>186</v>
      </c>
      <c r="D79" s="394"/>
      <c r="E79" s="28">
        <v>43</v>
      </c>
      <c r="G79" s="65">
        <v>6</v>
      </c>
      <c r="I79" s="28">
        <v>7</v>
      </c>
      <c r="J79" s="72">
        <v>21</v>
      </c>
      <c r="K79" s="46">
        <f t="shared" si="11"/>
        <v>28.571428571428569</v>
      </c>
      <c r="L79" s="46">
        <f t="shared" si="12"/>
        <v>0</v>
      </c>
      <c r="M79" s="46">
        <f t="shared" si="13"/>
        <v>33.333333333333329</v>
      </c>
      <c r="N79" s="67">
        <f t="shared" si="10"/>
        <v>61.904761904761898</v>
      </c>
      <c r="O79" s="45">
        <v>49.3</v>
      </c>
      <c r="P79" s="46"/>
      <c r="Q79" s="46">
        <v>50</v>
      </c>
      <c r="R79" s="47">
        <f t="shared" si="9"/>
        <v>99.3</v>
      </c>
      <c r="S79" s="28">
        <v>7</v>
      </c>
      <c r="T79" s="284"/>
      <c r="U79" s="293"/>
      <c r="V79" s="88" t="s">
        <v>778</v>
      </c>
      <c r="Y79" s="38"/>
      <c r="Z79" s="37" t="s">
        <v>188</v>
      </c>
      <c r="AA79" s="28" t="s">
        <v>76</v>
      </c>
      <c r="AB79" s="28" t="s">
        <v>11</v>
      </c>
      <c r="AC79" s="38">
        <v>49.3</v>
      </c>
      <c r="AD79" s="28" t="s">
        <v>189</v>
      </c>
      <c r="AE79" s="28" t="s">
        <v>20</v>
      </c>
      <c r="AF79" s="28" t="s">
        <v>12</v>
      </c>
      <c r="AG79" s="38">
        <v>43</v>
      </c>
      <c r="AH79" s="28" t="s">
        <v>190</v>
      </c>
      <c r="AI79" s="28" t="s">
        <v>191</v>
      </c>
      <c r="AJ79" s="28" t="s">
        <v>12</v>
      </c>
      <c r="AK79" s="28">
        <v>7</v>
      </c>
      <c r="AL79" s="37"/>
      <c r="AO79" s="38"/>
      <c r="AP79" s="37"/>
      <c r="AS79" s="38"/>
      <c r="AW79" s="38"/>
      <c r="BA79" s="39"/>
    </row>
    <row r="80" spans="1:53" s="170" customFormat="1" x14ac:dyDescent="0.15">
      <c r="A80" s="170">
        <v>1990</v>
      </c>
      <c r="B80" s="281">
        <v>32917</v>
      </c>
      <c r="C80" s="395" t="s">
        <v>187</v>
      </c>
      <c r="D80" s="395"/>
      <c r="E80" s="170">
        <v>57</v>
      </c>
      <c r="F80" s="170">
        <v>4</v>
      </c>
      <c r="G80" s="232">
        <v>0</v>
      </c>
      <c r="H80" s="170">
        <v>0</v>
      </c>
      <c r="I80" s="170">
        <v>0</v>
      </c>
      <c r="J80" s="240">
        <v>21</v>
      </c>
      <c r="K80" s="213">
        <f t="shared" ref="K80:K85" si="17">G80/J80*100</f>
        <v>0</v>
      </c>
      <c r="L80" s="213">
        <f t="shared" ref="L80:L85" si="18">H80/J80*100</f>
        <v>0</v>
      </c>
      <c r="M80" s="213">
        <f t="shared" ref="M80:M85" si="19">I80/J80*100</f>
        <v>0</v>
      </c>
      <c r="N80" s="234">
        <f>SUM(K80:M80)</f>
        <v>0</v>
      </c>
      <c r="O80" s="212">
        <v>0</v>
      </c>
      <c r="P80" s="213">
        <v>0</v>
      </c>
      <c r="Q80" s="213">
        <v>0</v>
      </c>
      <c r="R80" s="214">
        <f t="shared" si="9"/>
        <v>0</v>
      </c>
      <c r="S80" s="170">
        <v>6</v>
      </c>
      <c r="T80" s="283"/>
      <c r="U80" s="281">
        <v>32917</v>
      </c>
      <c r="V80" s="241" t="s">
        <v>797</v>
      </c>
      <c r="Y80" s="178"/>
      <c r="AD80" s="177"/>
      <c r="AG80" s="178"/>
      <c r="AL80" s="177"/>
      <c r="AO80" s="178"/>
      <c r="AP80" s="177"/>
      <c r="AS80" s="178"/>
      <c r="AW80" s="178"/>
      <c r="BA80" s="179"/>
    </row>
    <row r="81" spans="1:53" s="28" customFormat="1" x14ac:dyDescent="0.15">
      <c r="A81" s="28">
        <v>1990</v>
      </c>
      <c r="B81" s="293">
        <v>32974</v>
      </c>
      <c r="C81" s="394" t="s">
        <v>1483</v>
      </c>
      <c r="D81" s="394"/>
      <c r="E81" s="28">
        <v>265</v>
      </c>
      <c r="F81" s="28">
        <v>1</v>
      </c>
      <c r="G81" s="65">
        <v>25</v>
      </c>
      <c r="J81" s="72">
        <v>25</v>
      </c>
      <c r="K81" s="46">
        <f t="shared" si="17"/>
        <v>100</v>
      </c>
      <c r="L81" s="46">
        <f t="shared" si="18"/>
        <v>0</v>
      </c>
      <c r="M81" s="46">
        <f t="shared" si="19"/>
        <v>0</v>
      </c>
      <c r="N81" s="67">
        <f t="shared" si="10"/>
        <v>100</v>
      </c>
      <c r="O81" s="45">
        <v>50.3</v>
      </c>
      <c r="P81" s="46"/>
      <c r="Q81" s="46"/>
      <c r="R81" s="47">
        <f t="shared" si="9"/>
        <v>50.3</v>
      </c>
      <c r="S81" s="28">
        <v>1</v>
      </c>
      <c r="T81" s="284">
        <v>32971</v>
      </c>
      <c r="U81" s="293">
        <v>32974</v>
      </c>
      <c r="V81" s="37" t="s">
        <v>188</v>
      </c>
      <c r="W81" s="28" t="s">
        <v>76</v>
      </c>
      <c r="X81" s="28" t="s">
        <v>11</v>
      </c>
      <c r="Y81" s="38">
        <v>50.3</v>
      </c>
      <c r="AD81" s="37"/>
      <c r="AG81" s="38"/>
      <c r="AL81" s="37"/>
      <c r="AO81" s="38"/>
      <c r="AP81" s="37"/>
      <c r="AS81" s="38"/>
      <c r="AW81" s="38"/>
      <c r="BA81" s="39"/>
    </row>
    <row r="82" spans="1:53" s="28" customFormat="1" x14ac:dyDescent="0.15">
      <c r="A82" s="28">
        <v>1991</v>
      </c>
      <c r="B82" s="293"/>
      <c r="C82" s="394" t="s">
        <v>1483</v>
      </c>
      <c r="D82" s="394"/>
      <c r="E82" s="28">
        <v>0</v>
      </c>
      <c r="G82" s="65">
        <v>25</v>
      </c>
      <c r="J82" s="72">
        <v>25</v>
      </c>
      <c r="K82" s="46">
        <f t="shared" si="17"/>
        <v>100</v>
      </c>
      <c r="L82" s="46">
        <f t="shared" si="18"/>
        <v>0</v>
      </c>
      <c r="M82" s="46">
        <f t="shared" si="19"/>
        <v>0</v>
      </c>
      <c r="N82" s="67">
        <f t="shared" si="10"/>
        <v>100</v>
      </c>
      <c r="O82" s="45">
        <v>50.3</v>
      </c>
      <c r="P82" s="46"/>
      <c r="Q82" s="46"/>
      <c r="R82" s="47">
        <f t="shared" si="9"/>
        <v>50.3</v>
      </c>
      <c r="S82" s="28">
        <v>1</v>
      </c>
      <c r="T82" s="284"/>
      <c r="U82" s="293"/>
      <c r="V82" s="37" t="s">
        <v>188</v>
      </c>
      <c r="W82" s="28" t="s">
        <v>76</v>
      </c>
      <c r="X82" s="28" t="s">
        <v>11</v>
      </c>
      <c r="Y82" s="38">
        <v>50.3</v>
      </c>
      <c r="AD82" s="37"/>
      <c r="AG82" s="38"/>
      <c r="AL82" s="37"/>
      <c r="AO82" s="38"/>
      <c r="AP82" s="37"/>
      <c r="AS82" s="38"/>
      <c r="AW82" s="38"/>
      <c r="BA82" s="39"/>
    </row>
    <row r="83" spans="1:53" s="28" customFormat="1" x14ac:dyDescent="0.15">
      <c r="A83" s="28">
        <v>1991</v>
      </c>
      <c r="B83" s="293"/>
      <c r="C83" s="394" t="s">
        <v>1483</v>
      </c>
      <c r="D83" s="394"/>
      <c r="E83" s="28">
        <f>365-E82</f>
        <v>365</v>
      </c>
      <c r="G83" s="65">
        <v>25</v>
      </c>
      <c r="J83" s="72">
        <v>25</v>
      </c>
      <c r="K83" s="46">
        <f t="shared" si="17"/>
        <v>100</v>
      </c>
      <c r="L83" s="46">
        <f t="shared" si="18"/>
        <v>0</v>
      </c>
      <c r="M83" s="46">
        <f t="shared" si="19"/>
        <v>0</v>
      </c>
      <c r="N83" s="67">
        <f t="shared" si="10"/>
        <v>100</v>
      </c>
      <c r="O83" s="45">
        <v>50.3</v>
      </c>
      <c r="P83" s="46"/>
      <c r="Q83" s="46"/>
      <c r="R83" s="47">
        <f t="shared" si="9"/>
        <v>50.3</v>
      </c>
      <c r="S83" s="28">
        <v>1</v>
      </c>
      <c r="T83" s="284"/>
      <c r="U83" s="293"/>
      <c r="V83" s="37" t="s">
        <v>188</v>
      </c>
      <c r="W83" s="28" t="s">
        <v>76</v>
      </c>
      <c r="X83" s="28" t="s">
        <v>11</v>
      </c>
      <c r="Y83" s="38">
        <v>50.3</v>
      </c>
      <c r="AD83" s="37"/>
      <c r="AG83" s="38"/>
      <c r="AL83" s="37"/>
      <c r="AO83" s="38"/>
      <c r="AP83" s="37"/>
      <c r="AS83" s="38"/>
      <c r="AW83" s="38"/>
      <c r="BA83" s="39"/>
    </row>
    <row r="84" spans="1:53" s="28" customFormat="1" x14ac:dyDescent="0.15">
      <c r="A84" s="28">
        <v>1992</v>
      </c>
      <c r="B84" s="293"/>
      <c r="C84" s="394" t="s">
        <v>1483</v>
      </c>
      <c r="D84" s="394"/>
      <c r="E84" s="28">
        <v>0</v>
      </c>
      <c r="G84" s="65">
        <v>21</v>
      </c>
      <c r="J84" s="72">
        <v>21</v>
      </c>
      <c r="K84" s="46">
        <f t="shared" si="17"/>
        <v>100</v>
      </c>
      <c r="L84" s="46">
        <f t="shared" si="18"/>
        <v>0</v>
      </c>
      <c r="M84" s="46">
        <f t="shared" si="19"/>
        <v>0</v>
      </c>
      <c r="N84" s="67">
        <f t="shared" si="10"/>
        <v>100</v>
      </c>
      <c r="O84" s="45">
        <v>50.3</v>
      </c>
      <c r="P84" s="46"/>
      <c r="Q84" s="46"/>
      <c r="R84" s="47">
        <f t="shared" si="9"/>
        <v>50.3</v>
      </c>
      <c r="S84" s="28">
        <v>1</v>
      </c>
      <c r="T84" s="284"/>
      <c r="U84" s="293"/>
      <c r="V84" s="37" t="s">
        <v>188</v>
      </c>
      <c r="W84" s="28" t="s">
        <v>76</v>
      </c>
      <c r="X84" s="28" t="s">
        <v>11</v>
      </c>
      <c r="Y84" s="38">
        <v>50.3</v>
      </c>
      <c r="AD84" s="37"/>
      <c r="AG84" s="38"/>
      <c r="AL84" s="37"/>
      <c r="AO84" s="38"/>
      <c r="AP84" s="37"/>
      <c r="AS84" s="38"/>
      <c r="AW84" s="38"/>
      <c r="BA84" s="39"/>
    </row>
    <row r="85" spans="1:53" s="28" customFormat="1" x14ac:dyDescent="0.15">
      <c r="A85" s="28">
        <v>1992</v>
      </c>
      <c r="B85" s="293"/>
      <c r="C85" s="394" t="s">
        <v>1483</v>
      </c>
      <c r="D85" s="394"/>
      <c r="E85" s="28">
        <v>366</v>
      </c>
      <c r="G85" s="65">
        <v>21</v>
      </c>
      <c r="J85" s="72">
        <v>21</v>
      </c>
      <c r="K85" s="46">
        <f t="shared" si="17"/>
        <v>100</v>
      </c>
      <c r="L85" s="46">
        <f t="shared" si="18"/>
        <v>0</v>
      </c>
      <c r="M85" s="46">
        <f t="shared" si="19"/>
        <v>0</v>
      </c>
      <c r="N85" s="67">
        <f t="shared" si="10"/>
        <v>100</v>
      </c>
      <c r="O85" s="45">
        <v>50.3</v>
      </c>
      <c r="P85" s="46"/>
      <c r="Q85" s="46"/>
      <c r="R85" s="47">
        <f t="shared" si="9"/>
        <v>50.3</v>
      </c>
      <c r="S85" s="28">
        <v>1</v>
      </c>
      <c r="T85" s="284"/>
      <c r="U85" s="293"/>
      <c r="V85" s="37" t="s">
        <v>188</v>
      </c>
      <c r="W85" s="28" t="s">
        <v>76</v>
      </c>
      <c r="X85" s="28" t="s">
        <v>11</v>
      </c>
      <c r="Y85" s="38">
        <v>50.3</v>
      </c>
      <c r="AD85" s="37"/>
      <c r="AG85" s="38"/>
      <c r="AL85" s="37"/>
      <c r="AO85" s="38"/>
      <c r="AP85" s="37"/>
      <c r="AS85" s="38"/>
      <c r="AW85" s="38"/>
      <c r="BA85" s="39"/>
    </row>
    <row r="86" spans="1:53" s="28" customFormat="1" x14ac:dyDescent="0.15">
      <c r="A86" s="28">
        <v>1993</v>
      </c>
      <c r="B86" s="293"/>
      <c r="C86" s="394" t="s">
        <v>1483</v>
      </c>
      <c r="D86" s="394"/>
      <c r="E86" s="28">
        <v>297</v>
      </c>
      <c r="G86" s="65">
        <v>22</v>
      </c>
      <c r="J86" s="72">
        <v>22</v>
      </c>
      <c r="K86" s="46">
        <f t="shared" ref="K86:K110" si="20">G86/J86*100</f>
        <v>100</v>
      </c>
      <c r="L86" s="46">
        <f t="shared" ref="L86:L110" si="21">H86/J86*100</f>
        <v>0</v>
      </c>
      <c r="M86" s="46">
        <f t="shared" ref="M86:M110" si="22">I86/J86*100</f>
        <v>0</v>
      </c>
      <c r="N86" s="67">
        <f t="shared" si="10"/>
        <v>100</v>
      </c>
      <c r="O86" s="45">
        <v>50.3</v>
      </c>
      <c r="P86" s="46"/>
      <c r="Q86" s="46"/>
      <c r="R86" s="47">
        <f t="shared" si="9"/>
        <v>50.3</v>
      </c>
      <c r="S86" s="28">
        <v>1</v>
      </c>
      <c r="T86" s="284"/>
      <c r="U86" s="293"/>
      <c r="V86" s="37" t="s">
        <v>188</v>
      </c>
      <c r="W86" s="28" t="s">
        <v>76</v>
      </c>
      <c r="X86" s="28" t="s">
        <v>11</v>
      </c>
      <c r="Y86" s="38">
        <v>50.3</v>
      </c>
      <c r="AD86" s="37"/>
      <c r="AG86" s="38"/>
      <c r="AL86" s="37"/>
      <c r="AO86" s="38"/>
      <c r="AP86" s="37"/>
      <c r="AS86" s="38"/>
      <c r="AW86" s="38"/>
      <c r="BA86" s="39"/>
    </row>
    <row r="87" spans="1:53" s="170" customFormat="1" x14ac:dyDescent="0.15">
      <c r="A87" s="170">
        <v>1993</v>
      </c>
      <c r="B87" s="281">
        <v>34267</v>
      </c>
      <c r="C87" s="395" t="s">
        <v>1358</v>
      </c>
      <c r="D87" s="395"/>
      <c r="E87" s="170">
        <f>365-E86</f>
        <v>68</v>
      </c>
      <c r="F87" s="170">
        <v>1</v>
      </c>
      <c r="G87" s="232"/>
      <c r="I87" s="170">
        <v>22</v>
      </c>
      <c r="J87" s="240">
        <v>22</v>
      </c>
      <c r="K87" s="213">
        <f t="shared" si="20"/>
        <v>0</v>
      </c>
      <c r="L87" s="213">
        <f t="shared" si="21"/>
        <v>0</v>
      </c>
      <c r="M87" s="213">
        <f t="shared" si="22"/>
        <v>100</v>
      </c>
      <c r="N87" s="234">
        <f t="shared" si="10"/>
        <v>100</v>
      </c>
      <c r="O87" s="212"/>
      <c r="P87" s="213"/>
      <c r="Q87" s="213">
        <v>56.7</v>
      </c>
      <c r="R87" s="214">
        <f t="shared" si="9"/>
        <v>56.7</v>
      </c>
      <c r="S87" s="170">
        <v>1</v>
      </c>
      <c r="T87" s="283">
        <v>34252</v>
      </c>
      <c r="U87" s="281">
        <v>34267</v>
      </c>
      <c r="V87" s="177" t="s">
        <v>189</v>
      </c>
      <c r="W87" s="170" t="s">
        <v>20</v>
      </c>
      <c r="X87" s="170" t="s">
        <v>12</v>
      </c>
      <c r="Y87" s="178">
        <v>56.7</v>
      </c>
      <c r="AD87" s="177"/>
      <c r="AG87" s="178"/>
      <c r="AL87" s="177"/>
      <c r="AO87" s="178"/>
      <c r="AP87" s="177"/>
      <c r="AS87" s="178"/>
      <c r="AW87" s="178"/>
      <c r="BA87" s="179"/>
    </row>
    <row r="88" spans="1:53" s="170" customFormat="1" x14ac:dyDescent="0.15">
      <c r="A88" s="170">
        <v>1994</v>
      </c>
      <c r="B88" s="281"/>
      <c r="C88" s="395" t="s">
        <v>1358</v>
      </c>
      <c r="D88" s="395"/>
      <c r="E88" s="170">
        <v>0</v>
      </c>
      <c r="G88" s="232"/>
      <c r="I88" s="170">
        <v>22</v>
      </c>
      <c r="J88" s="240">
        <v>22</v>
      </c>
      <c r="K88" s="213">
        <f t="shared" si="20"/>
        <v>0</v>
      </c>
      <c r="L88" s="213">
        <f t="shared" si="21"/>
        <v>0</v>
      </c>
      <c r="M88" s="213">
        <f t="shared" si="22"/>
        <v>100</v>
      </c>
      <c r="N88" s="234">
        <f t="shared" si="10"/>
        <v>100</v>
      </c>
      <c r="O88" s="212"/>
      <c r="P88" s="213"/>
      <c r="Q88" s="213">
        <v>56.7</v>
      </c>
      <c r="R88" s="214">
        <f t="shared" si="9"/>
        <v>56.7</v>
      </c>
      <c r="S88" s="170">
        <v>1</v>
      </c>
      <c r="T88" s="283"/>
      <c r="U88" s="281"/>
      <c r="V88" s="177" t="s">
        <v>189</v>
      </c>
      <c r="W88" s="170" t="s">
        <v>20</v>
      </c>
      <c r="X88" s="170" t="s">
        <v>12</v>
      </c>
      <c r="Y88" s="178">
        <v>56.7</v>
      </c>
      <c r="AD88" s="177"/>
      <c r="AG88" s="178"/>
      <c r="AL88" s="177"/>
      <c r="AO88" s="178"/>
      <c r="AP88" s="177"/>
      <c r="AS88" s="178"/>
      <c r="AW88" s="178"/>
      <c r="BA88" s="179"/>
    </row>
    <row r="89" spans="1:53" s="170" customFormat="1" x14ac:dyDescent="0.15">
      <c r="A89" s="170">
        <v>1994</v>
      </c>
      <c r="B89" s="281"/>
      <c r="C89" s="395" t="s">
        <v>1358</v>
      </c>
      <c r="D89" s="395"/>
      <c r="E89" s="170">
        <f>365-E88</f>
        <v>365</v>
      </c>
      <c r="G89" s="232"/>
      <c r="I89" s="170">
        <v>22</v>
      </c>
      <c r="J89" s="240">
        <v>22</v>
      </c>
      <c r="K89" s="213">
        <f t="shared" si="20"/>
        <v>0</v>
      </c>
      <c r="L89" s="213">
        <f t="shared" si="21"/>
        <v>0</v>
      </c>
      <c r="M89" s="213">
        <f t="shared" si="22"/>
        <v>100</v>
      </c>
      <c r="N89" s="234">
        <f t="shared" si="10"/>
        <v>100</v>
      </c>
      <c r="O89" s="212"/>
      <c r="P89" s="213"/>
      <c r="Q89" s="213">
        <v>56.7</v>
      </c>
      <c r="R89" s="214">
        <f t="shared" si="9"/>
        <v>56.7</v>
      </c>
      <c r="S89" s="170">
        <v>1</v>
      </c>
      <c r="T89" s="283"/>
      <c r="U89" s="281"/>
      <c r="V89" s="177" t="s">
        <v>189</v>
      </c>
      <c r="W89" s="170" t="s">
        <v>20</v>
      </c>
      <c r="X89" s="170" t="s">
        <v>12</v>
      </c>
      <c r="Y89" s="178">
        <v>56.7</v>
      </c>
      <c r="AD89" s="177"/>
      <c r="AG89" s="178"/>
      <c r="AL89" s="177"/>
      <c r="AO89" s="178"/>
      <c r="AP89" s="177"/>
      <c r="AS89" s="178"/>
      <c r="AW89" s="178"/>
      <c r="BA89" s="179"/>
    </row>
    <row r="90" spans="1:53" s="170" customFormat="1" x14ac:dyDescent="0.15">
      <c r="A90" s="170">
        <v>1995</v>
      </c>
      <c r="B90" s="281"/>
      <c r="C90" s="395" t="s">
        <v>1358</v>
      </c>
      <c r="D90" s="395"/>
      <c r="E90" s="170">
        <v>0</v>
      </c>
      <c r="G90" s="232"/>
      <c r="I90" s="170">
        <v>23</v>
      </c>
      <c r="J90" s="240">
        <v>23</v>
      </c>
      <c r="K90" s="213">
        <f t="shared" si="20"/>
        <v>0</v>
      </c>
      <c r="L90" s="213">
        <f t="shared" si="21"/>
        <v>0</v>
      </c>
      <c r="M90" s="213">
        <f t="shared" si="22"/>
        <v>100</v>
      </c>
      <c r="N90" s="234">
        <f t="shared" si="10"/>
        <v>100</v>
      </c>
      <c r="O90" s="212"/>
      <c r="P90" s="213"/>
      <c r="Q90" s="213">
        <v>56.7</v>
      </c>
      <c r="R90" s="214">
        <f t="shared" si="9"/>
        <v>56.7</v>
      </c>
      <c r="S90" s="170">
        <v>1</v>
      </c>
      <c r="T90" s="283"/>
      <c r="U90" s="281"/>
      <c r="V90" s="177" t="s">
        <v>189</v>
      </c>
      <c r="W90" s="170" t="s">
        <v>20</v>
      </c>
      <c r="X90" s="170" t="s">
        <v>12</v>
      </c>
      <c r="Y90" s="178">
        <v>56.7</v>
      </c>
      <c r="AD90" s="177"/>
      <c r="AG90" s="178"/>
      <c r="AL90" s="177"/>
      <c r="AO90" s="178"/>
      <c r="AP90" s="177"/>
      <c r="AS90" s="178"/>
      <c r="AW90" s="178"/>
      <c r="BA90" s="179"/>
    </row>
    <row r="91" spans="1:53" s="170" customFormat="1" x14ac:dyDescent="0.15">
      <c r="A91" s="170">
        <v>1995</v>
      </c>
      <c r="B91" s="281"/>
      <c r="C91" s="395" t="s">
        <v>1358</v>
      </c>
      <c r="D91" s="395"/>
      <c r="E91" s="170">
        <f>365-E90</f>
        <v>365</v>
      </c>
      <c r="G91" s="232"/>
      <c r="I91" s="170">
        <v>23</v>
      </c>
      <c r="J91" s="240">
        <v>23</v>
      </c>
      <c r="K91" s="213">
        <f t="shared" si="20"/>
        <v>0</v>
      </c>
      <c r="L91" s="213">
        <f t="shared" si="21"/>
        <v>0</v>
      </c>
      <c r="M91" s="213">
        <f t="shared" si="22"/>
        <v>100</v>
      </c>
      <c r="N91" s="234">
        <f t="shared" si="10"/>
        <v>100</v>
      </c>
      <c r="O91" s="212"/>
      <c r="P91" s="213"/>
      <c r="Q91" s="213">
        <v>56.7</v>
      </c>
      <c r="R91" s="214">
        <f t="shared" si="9"/>
        <v>56.7</v>
      </c>
      <c r="S91" s="170">
        <v>1</v>
      </c>
      <c r="T91" s="283"/>
      <c r="U91" s="281"/>
      <c r="V91" s="177" t="s">
        <v>189</v>
      </c>
      <c r="W91" s="170" t="s">
        <v>20</v>
      </c>
      <c r="X91" s="170" t="s">
        <v>12</v>
      </c>
      <c r="Y91" s="178">
        <v>56.7</v>
      </c>
      <c r="AD91" s="177"/>
      <c r="AG91" s="178"/>
      <c r="AL91" s="177"/>
      <c r="AO91" s="178"/>
      <c r="AP91" s="177"/>
      <c r="AS91" s="178"/>
      <c r="AW91" s="178"/>
      <c r="BA91" s="179"/>
    </row>
    <row r="92" spans="1:53" s="170" customFormat="1" x14ac:dyDescent="0.15">
      <c r="A92" s="170">
        <v>1996</v>
      </c>
      <c r="B92" s="281"/>
      <c r="C92" s="395" t="s">
        <v>1358</v>
      </c>
      <c r="D92" s="395"/>
      <c r="E92" s="170">
        <v>31</v>
      </c>
      <c r="G92" s="232"/>
      <c r="I92" s="170">
        <v>23</v>
      </c>
      <c r="J92" s="240">
        <v>23</v>
      </c>
      <c r="K92" s="213">
        <f t="shared" si="20"/>
        <v>0</v>
      </c>
      <c r="L92" s="213">
        <f t="shared" si="21"/>
        <v>0</v>
      </c>
      <c r="M92" s="213">
        <f t="shared" si="22"/>
        <v>100</v>
      </c>
      <c r="N92" s="234">
        <f t="shared" si="10"/>
        <v>100</v>
      </c>
      <c r="O92" s="212"/>
      <c r="P92" s="213"/>
      <c r="Q92" s="213">
        <v>56.7</v>
      </c>
      <c r="R92" s="214">
        <f t="shared" si="9"/>
        <v>56.7</v>
      </c>
      <c r="S92" s="170">
        <v>1</v>
      </c>
      <c r="T92" s="283"/>
      <c r="U92" s="281"/>
      <c r="V92" s="177" t="s">
        <v>189</v>
      </c>
      <c r="W92" s="170" t="s">
        <v>20</v>
      </c>
      <c r="X92" s="170" t="s">
        <v>12</v>
      </c>
      <c r="Y92" s="178">
        <v>56.7</v>
      </c>
      <c r="AD92" s="177"/>
      <c r="AG92" s="178"/>
      <c r="AL92" s="177"/>
      <c r="AO92" s="178"/>
      <c r="AP92" s="177"/>
      <c r="AS92" s="178"/>
      <c r="AW92" s="178"/>
      <c r="BA92" s="179"/>
    </row>
    <row r="93" spans="1:53" s="28" customFormat="1" x14ac:dyDescent="0.15">
      <c r="A93" s="28">
        <v>1996</v>
      </c>
      <c r="B93" s="293">
        <v>35096</v>
      </c>
      <c r="C93" s="394" t="s">
        <v>179</v>
      </c>
      <c r="D93" s="394"/>
      <c r="E93" s="28">
        <v>255</v>
      </c>
      <c r="F93" s="28">
        <v>3</v>
      </c>
      <c r="G93" s="65"/>
      <c r="I93" s="28">
        <v>20</v>
      </c>
      <c r="J93" s="72">
        <v>20</v>
      </c>
      <c r="K93" s="46">
        <f t="shared" si="20"/>
        <v>0</v>
      </c>
      <c r="L93" s="46">
        <f t="shared" si="21"/>
        <v>0</v>
      </c>
      <c r="M93" s="46">
        <f t="shared" si="22"/>
        <v>100</v>
      </c>
      <c r="N93" s="67">
        <f t="shared" si="10"/>
        <v>100</v>
      </c>
      <c r="O93" s="45"/>
      <c r="P93" s="46"/>
      <c r="Q93" s="46">
        <v>54</v>
      </c>
      <c r="R93" s="47">
        <f t="shared" si="9"/>
        <v>54</v>
      </c>
      <c r="S93" s="28">
        <v>1</v>
      </c>
      <c r="T93" s="284"/>
      <c r="U93" s="293">
        <v>35096</v>
      </c>
      <c r="V93" s="37" t="s">
        <v>189</v>
      </c>
      <c r="W93" s="28" t="s">
        <v>20</v>
      </c>
      <c r="X93" s="28" t="s">
        <v>12</v>
      </c>
      <c r="Y93" s="38">
        <v>56.7</v>
      </c>
      <c r="AD93" s="37"/>
      <c r="AG93" s="38"/>
      <c r="AL93" s="37"/>
      <c r="AO93" s="38"/>
      <c r="AP93" s="37"/>
      <c r="AS93" s="38"/>
      <c r="AW93" s="38"/>
      <c r="BA93" s="39"/>
    </row>
    <row r="94" spans="1:53" s="170" customFormat="1" x14ac:dyDescent="0.15">
      <c r="A94" s="170">
        <v>1996</v>
      </c>
      <c r="B94" s="281">
        <v>35351</v>
      </c>
      <c r="C94" s="395" t="s">
        <v>180</v>
      </c>
      <c r="D94" s="395"/>
      <c r="E94" s="170">
        <v>80</v>
      </c>
      <c r="F94" s="170">
        <v>1</v>
      </c>
      <c r="G94" s="232"/>
      <c r="I94" s="170">
        <v>20</v>
      </c>
      <c r="J94" s="240">
        <v>20</v>
      </c>
      <c r="K94" s="213">
        <f>G94/J94*100</f>
        <v>0</v>
      </c>
      <c r="L94" s="213">
        <f>H94/J94*100</f>
        <v>0</v>
      </c>
      <c r="M94" s="213">
        <f>I94/J94*100</f>
        <v>100</v>
      </c>
      <c r="N94" s="234">
        <f t="shared" si="10"/>
        <v>100</v>
      </c>
      <c r="O94" s="212"/>
      <c r="P94" s="213"/>
      <c r="Q94" s="213">
        <v>54</v>
      </c>
      <c r="R94" s="214">
        <f t="shared" si="9"/>
        <v>54</v>
      </c>
      <c r="S94" s="170">
        <v>1</v>
      </c>
      <c r="T94" s="283">
        <v>35330</v>
      </c>
      <c r="U94" s="281">
        <v>35351</v>
      </c>
      <c r="V94" s="177" t="s">
        <v>189</v>
      </c>
      <c r="W94" s="170" t="s">
        <v>20</v>
      </c>
      <c r="X94" s="170" t="s">
        <v>12</v>
      </c>
      <c r="Y94" s="178">
        <v>54</v>
      </c>
      <c r="AD94" s="177"/>
      <c r="AG94" s="178"/>
      <c r="AL94" s="177"/>
      <c r="AO94" s="178"/>
      <c r="AP94" s="177"/>
      <c r="AS94" s="178"/>
      <c r="AW94" s="178"/>
      <c r="BA94" s="179"/>
    </row>
    <row r="95" spans="1:53" s="170" customFormat="1" x14ac:dyDescent="0.15">
      <c r="A95" s="170">
        <v>1997</v>
      </c>
      <c r="B95" s="281"/>
      <c r="C95" s="395" t="s">
        <v>180</v>
      </c>
      <c r="D95" s="395"/>
      <c r="E95" s="170">
        <v>0</v>
      </c>
      <c r="G95" s="232"/>
      <c r="I95" s="170">
        <v>20</v>
      </c>
      <c r="J95" s="240">
        <v>20</v>
      </c>
      <c r="K95" s="213">
        <f t="shared" si="20"/>
        <v>0</v>
      </c>
      <c r="L95" s="213">
        <f t="shared" si="21"/>
        <v>0</v>
      </c>
      <c r="M95" s="213">
        <f t="shared" si="22"/>
        <v>100</v>
      </c>
      <c r="N95" s="234">
        <f t="shared" si="10"/>
        <v>100</v>
      </c>
      <c r="O95" s="212"/>
      <c r="P95" s="213"/>
      <c r="Q95" s="213">
        <v>54</v>
      </c>
      <c r="R95" s="214">
        <f t="shared" si="9"/>
        <v>54</v>
      </c>
      <c r="S95" s="170">
        <v>1</v>
      </c>
      <c r="T95" s="283"/>
      <c r="U95" s="281"/>
      <c r="V95" s="177" t="s">
        <v>189</v>
      </c>
      <c r="W95" s="170" t="s">
        <v>20</v>
      </c>
      <c r="X95" s="170" t="s">
        <v>12</v>
      </c>
      <c r="Y95" s="178">
        <v>54</v>
      </c>
      <c r="AD95" s="177"/>
      <c r="AG95" s="178"/>
      <c r="AL95" s="177"/>
      <c r="AO95" s="178"/>
      <c r="AP95" s="177"/>
      <c r="AS95" s="178"/>
      <c r="AW95" s="178"/>
      <c r="BA95" s="179"/>
    </row>
    <row r="96" spans="1:53" s="170" customFormat="1" x14ac:dyDescent="0.15">
      <c r="A96" s="170">
        <v>1997</v>
      </c>
      <c r="B96" s="281"/>
      <c r="C96" s="395" t="s">
        <v>180</v>
      </c>
      <c r="D96" s="395"/>
      <c r="E96" s="170">
        <f>365-E95</f>
        <v>365</v>
      </c>
      <c r="G96" s="232"/>
      <c r="I96" s="170">
        <v>20</v>
      </c>
      <c r="J96" s="240">
        <v>20</v>
      </c>
      <c r="K96" s="213">
        <f t="shared" si="20"/>
        <v>0</v>
      </c>
      <c r="L96" s="213">
        <f t="shared" si="21"/>
        <v>0</v>
      </c>
      <c r="M96" s="213">
        <f t="shared" si="22"/>
        <v>100</v>
      </c>
      <c r="N96" s="234">
        <f t="shared" si="10"/>
        <v>100</v>
      </c>
      <c r="O96" s="212"/>
      <c r="P96" s="213"/>
      <c r="Q96" s="213">
        <v>54</v>
      </c>
      <c r="R96" s="214">
        <f t="shared" si="9"/>
        <v>54</v>
      </c>
      <c r="S96" s="170">
        <v>1</v>
      </c>
      <c r="T96" s="283"/>
      <c r="U96" s="281"/>
      <c r="V96" s="177" t="s">
        <v>189</v>
      </c>
      <c r="W96" s="170" t="s">
        <v>20</v>
      </c>
      <c r="X96" s="170" t="s">
        <v>12</v>
      </c>
      <c r="Y96" s="178">
        <v>54</v>
      </c>
      <c r="AD96" s="177"/>
      <c r="AG96" s="178"/>
      <c r="AL96" s="177"/>
      <c r="AO96" s="178"/>
      <c r="AP96" s="177"/>
      <c r="AS96" s="178"/>
      <c r="AW96" s="178"/>
      <c r="BA96" s="179"/>
    </row>
    <row r="97" spans="1:53" s="170" customFormat="1" x14ac:dyDescent="0.15">
      <c r="A97" s="170">
        <v>1998</v>
      </c>
      <c r="B97" s="281"/>
      <c r="C97" s="395" t="s">
        <v>180</v>
      </c>
      <c r="D97" s="395"/>
      <c r="E97" s="170">
        <v>0</v>
      </c>
      <c r="G97" s="232"/>
      <c r="I97" s="170">
        <v>20</v>
      </c>
      <c r="J97" s="240">
        <v>20</v>
      </c>
      <c r="K97" s="213">
        <f t="shared" si="20"/>
        <v>0</v>
      </c>
      <c r="L97" s="213">
        <f t="shared" si="21"/>
        <v>0</v>
      </c>
      <c r="M97" s="213">
        <f t="shared" si="22"/>
        <v>100</v>
      </c>
      <c r="N97" s="234">
        <f t="shared" si="10"/>
        <v>100</v>
      </c>
      <c r="O97" s="212"/>
      <c r="P97" s="213"/>
      <c r="Q97" s="213">
        <v>54</v>
      </c>
      <c r="R97" s="214">
        <f t="shared" si="9"/>
        <v>54</v>
      </c>
      <c r="S97" s="170">
        <v>1</v>
      </c>
      <c r="T97" s="283"/>
      <c r="U97" s="281"/>
      <c r="V97" s="177" t="s">
        <v>189</v>
      </c>
      <c r="W97" s="170" t="s">
        <v>20</v>
      </c>
      <c r="X97" s="170" t="s">
        <v>12</v>
      </c>
      <c r="Y97" s="178">
        <v>54</v>
      </c>
      <c r="AD97" s="177"/>
      <c r="AG97" s="178"/>
      <c r="AL97" s="177"/>
      <c r="AO97" s="178"/>
      <c r="AP97" s="177"/>
      <c r="AS97" s="178"/>
      <c r="AW97" s="178"/>
      <c r="BA97" s="179"/>
    </row>
    <row r="98" spans="1:53" s="170" customFormat="1" x14ac:dyDescent="0.15">
      <c r="A98" s="170">
        <v>1998</v>
      </c>
      <c r="B98" s="281"/>
      <c r="C98" s="395" t="s">
        <v>180</v>
      </c>
      <c r="D98" s="395"/>
      <c r="E98" s="170">
        <f>365-E97</f>
        <v>365</v>
      </c>
      <c r="G98" s="232"/>
      <c r="I98" s="170">
        <v>20</v>
      </c>
      <c r="J98" s="240">
        <v>20</v>
      </c>
      <c r="K98" s="213">
        <f t="shared" si="20"/>
        <v>0</v>
      </c>
      <c r="L98" s="213">
        <f t="shared" si="21"/>
        <v>0</v>
      </c>
      <c r="M98" s="213">
        <f t="shared" si="22"/>
        <v>100</v>
      </c>
      <c r="N98" s="234">
        <f t="shared" si="10"/>
        <v>100</v>
      </c>
      <c r="O98" s="212"/>
      <c r="P98" s="213"/>
      <c r="Q98" s="213">
        <v>54</v>
      </c>
      <c r="R98" s="214">
        <f t="shared" si="9"/>
        <v>54</v>
      </c>
      <c r="S98" s="170">
        <v>1</v>
      </c>
      <c r="T98" s="283"/>
      <c r="U98" s="281"/>
      <c r="V98" s="177" t="s">
        <v>189</v>
      </c>
      <c r="W98" s="170" t="s">
        <v>20</v>
      </c>
      <c r="X98" s="170" t="s">
        <v>12</v>
      </c>
      <c r="Y98" s="178">
        <v>54</v>
      </c>
      <c r="AD98" s="177"/>
      <c r="AG98" s="178"/>
      <c r="AL98" s="177"/>
      <c r="AO98" s="178"/>
      <c r="AP98" s="177"/>
      <c r="AS98" s="178"/>
      <c r="AW98" s="178"/>
      <c r="BA98" s="179"/>
    </row>
    <row r="99" spans="1:53" s="170" customFormat="1" x14ac:dyDescent="0.15">
      <c r="A99" s="170">
        <v>1999</v>
      </c>
      <c r="B99" s="281"/>
      <c r="C99" s="395" t="s">
        <v>180</v>
      </c>
      <c r="D99" s="395"/>
      <c r="E99" s="170">
        <v>0</v>
      </c>
      <c r="G99" s="232"/>
      <c r="I99" s="170">
        <v>21</v>
      </c>
      <c r="J99" s="240">
        <v>21</v>
      </c>
      <c r="K99" s="213">
        <f t="shared" si="20"/>
        <v>0</v>
      </c>
      <c r="L99" s="213">
        <f t="shared" si="21"/>
        <v>0</v>
      </c>
      <c r="M99" s="213">
        <f t="shared" si="22"/>
        <v>100</v>
      </c>
      <c r="N99" s="234">
        <f t="shared" si="10"/>
        <v>100</v>
      </c>
      <c r="O99" s="212"/>
      <c r="P99" s="213"/>
      <c r="Q99" s="213">
        <v>54</v>
      </c>
      <c r="R99" s="214">
        <f t="shared" si="9"/>
        <v>54</v>
      </c>
      <c r="S99" s="170">
        <v>1</v>
      </c>
      <c r="T99" s="283"/>
      <c r="U99" s="281"/>
      <c r="V99" s="177" t="s">
        <v>189</v>
      </c>
      <c r="W99" s="170" t="s">
        <v>20</v>
      </c>
      <c r="X99" s="170" t="s">
        <v>12</v>
      </c>
      <c r="Y99" s="178">
        <v>54</v>
      </c>
      <c r="AD99" s="177"/>
      <c r="AG99" s="178"/>
      <c r="AL99" s="177"/>
      <c r="AO99" s="178"/>
      <c r="AP99" s="177"/>
      <c r="AS99" s="178"/>
      <c r="AW99" s="178"/>
      <c r="BA99" s="179"/>
    </row>
    <row r="100" spans="1:53" s="170" customFormat="1" x14ac:dyDescent="0.15">
      <c r="A100" s="170">
        <v>1999</v>
      </c>
      <c r="B100" s="281"/>
      <c r="C100" s="395" t="s">
        <v>180</v>
      </c>
      <c r="D100" s="395"/>
      <c r="E100" s="170">
        <f>365-E99</f>
        <v>365</v>
      </c>
      <c r="G100" s="232"/>
      <c r="I100" s="170">
        <v>21</v>
      </c>
      <c r="J100" s="240">
        <v>21</v>
      </c>
      <c r="K100" s="213">
        <f t="shared" si="20"/>
        <v>0</v>
      </c>
      <c r="L100" s="213">
        <f t="shared" si="21"/>
        <v>0</v>
      </c>
      <c r="M100" s="213">
        <f t="shared" si="22"/>
        <v>100</v>
      </c>
      <c r="N100" s="234">
        <f t="shared" si="10"/>
        <v>100</v>
      </c>
      <c r="O100" s="212"/>
      <c r="P100" s="213"/>
      <c r="Q100" s="213">
        <v>54</v>
      </c>
      <c r="R100" s="214">
        <f t="shared" si="9"/>
        <v>54</v>
      </c>
      <c r="S100" s="170">
        <v>1</v>
      </c>
      <c r="T100" s="283"/>
      <c r="U100" s="281"/>
      <c r="V100" s="177" t="s">
        <v>189</v>
      </c>
      <c r="W100" s="170" t="s">
        <v>20</v>
      </c>
      <c r="X100" s="170" t="s">
        <v>12</v>
      </c>
      <c r="Y100" s="178">
        <v>54</v>
      </c>
      <c r="AD100" s="177"/>
      <c r="AG100" s="178"/>
      <c r="AL100" s="177"/>
      <c r="AO100" s="178"/>
      <c r="AP100" s="177"/>
      <c r="AS100" s="178"/>
      <c r="AW100" s="178"/>
      <c r="BA100" s="179"/>
    </row>
    <row r="101" spans="1:53" s="170" customFormat="1" x14ac:dyDescent="0.15">
      <c r="A101" s="170">
        <v>2000</v>
      </c>
      <c r="B101" s="281"/>
      <c r="C101" s="395" t="s">
        <v>180</v>
      </c>
      <c r="D101" s="395"/>
      <c r="E101" s="170">
        <v>115</v>
      </c>
      <c r="G101" s="232"/>
      <c r="I101" s="170">
        <v>21</v>
      </c>
      <c r="J101" s="240">
        <v>21</v>
      </c>
      <c r="K101" s="213">
        <f t="shared" si="20"/>
        <v>0</v>
      </c>
      <c r="L101" s="213">
        <f t="shared" si="21"/>
        <v>0</v>
      </c>
      <c r="M101" s="213">
        <f t="shared" si="22"/>
        <v>100</v>
      </c>
      <c r="N101" s="234">
        <f t="shared" si="10"/>
        <v>100</v>
      </c>
      <c r="O101" s="212"/>
      <c r="P101" s="213"/>
      <c r="Q101" s="213">
        <v>54</v>
      </c>
      <c r="R101" s="214">
        <f t="shared" si="9"/>
        <v>54</v>
      </c>
      <c r="S101" s="170">
        <v>1</v>
      </c>
      <c r="T101" s="283"/>
      <c r="U101" s="281"/>
      <c r="V101" s="177" t="s">
        <v>189</v>
      </c>
      <c r="W101" s="170" t="s">
        <v>20</v>
      </c>
      <c r="X101" s="170" t="s">
        <v>12</v>
      </c>
      <c r="Y101" s="178">
        <v>54</v>
      </c>
      <c r="AD101" s="177"/>
      <c r="AG101" s="178"/>
      <c r="AL101" s="177"/>
      <c r="AO101" s="178"/>
      <c r="AP101" s="177"/>
      <c r="AS101" s="178"/>
      <c r="AW101" s="178"/>
      <c r="BA101" s="179"/>
    </row>
    <row r="102" spans="1:53" s="28" customFormat="1" x14ac:dyDescent="0.15">
      <c r="A102" s="28">
        <v>2000</v>
      </c>
      <c r="B102" s="293">
        <v>36641</v>
      </c>
      <c r="C102" s="394" t="s">
        <v>181</v>
      </c>
      <c r="D102" s="394"/>
      <c r="E102" s="28">
        <v>251</v>
      </c>
      <c r="F102" s="28">
        <v>1</v>
      </c>
      <c r="G102" s="65"/>
      <c r="I102" s="28">
        <v>21</v>
      </c>
      <c r="J102" s="72">
        <v>21</v>
      </c>
      <c r="K102" s="46">
        <f t="shared" si="20"/>
        <v>0</v>
      </c>
      <c r="L102" s="46">
        <f t="shared" si="21"/>
        <v>0</v>
      </c>
      <c r="M102" s="46">
        <f t="shared" si="22"/>
        <v>100</v>
      </c>
      <c r="N102" s="67">
        <f t="shared" si="10"/>
        <v>100</v>
      </c>
      <c r="O102" s="45"/>
      <c r="P102" s="46"/>
      <c r="Q102" s="46">
        <v>52.7</v>
      </c>
      <c r="R102" s="47">
        <f t="shared" si="9"/>
        <v>52.7</v>
      </c>
      <c r="S102" s="28">
        <v>1</v>
      </c>
      <c r="T102" s="284">
        <v>36625</v>
      </c>
      <c r="U102" s="293">
        <v>36641</v>
      </c>
      <c r="V102" s="37" t="s">
        <v>189</v>
      </c>
      <c r="W102" s="28" t="s">
        <v>20</v>
      </c>
      <c r="X102" s="28" t="s">
        <v>12</v>
      </c>
      <c r="Y102" s="38">
        <v>52.7</v>
      </c>
      <c r="AD102" s="37"/>
      <c r="AG102" s="38"/>
      <c r="AL102" s="37"/>
      <c r="AO102" s="38"/>
      <c r="AP102" s="37"/>
      <c r="AS102" s="38"/>
      <c r="AW102" s="38"/>
      <c r="BA102" s="39"/>
    </row>
    <row r="103" spans="1:53" s="28" customFormat="1" x14ac:dyDescent="0.15">
      <c r="A103" s="28">
        <v>2001</v>
      </c>
      <c r="B103" s="293"/>
      <c r="C103" s="394" t="s">
        <v>181</v>
      </c>
      <c r="D103" s="394"/>
      <c r="E103" s="28">
        <v>0</v>
      </c>
      <c r="G103" s="65"/>
      <c r="I103" s="28">
        <v>21</v>
      </c>
      <c r="J103" s="72">
        <v>21</v>
      </c>
      <c r="K103" s="46">
        <f t="shared" si="20"/>
        <v>0</v>
      </c>
      <c r="L103" s="46">
        <f t="shared" si="21"/>
        <v>0</v>
      </c>
      <c r="M103" s="46">
        <f t="shared" si="22"/>
        <v>100</v>
      </c>
      <c r="N103" s="67">
        <f t="shared" si="10"/>
        <v>100</v>
      </c>
      <c r="O103" s="45"/>
      <c r="P103" s="46"/>
      <c r="Q103" s="46">
        <v>52.7</v>
      </c>
      <c r="R103" s="47">
        <f t="shared" si="9"/>
        <v>52.7</v>
      </c>
      <c r="S103" s="28">
        <v>1</v>
      </c>
      <c r="T103" s="284"/>
      <c r="U103" s="293"/>
      <c r="V103" s="37" t="s">
        <v>189</v>
      </c>
      <c r="W103" s="28" t="s">
        <v>20</v>
      </c>
      <c r="X103" s="28" t="s">
        <v>12</v>
      </c>
      <c r="Y103" s="38">
        <v>52.7</v>
      </c>
      <c r="AD103" s="37"/>
      <c r="AG103" s="38"/>
      <c r="AL103" s="37"/>
      <c r="AO103" s="38"/>
      <c r="AP103" s="37"/>
      <c r="AS103" s="38"/>
      <c r="AW103" s="38"/>
      <c r="BA103" s="39"/>
    </row>
    <row r="104" spans="1:53" s="28" customFormat="1" x14ac:dyDescent="0.15">
      <c r="A104" s="28">
        <v>2001</v>
      </c>
      <c r="B104" s="293"/>
      <c r="C104" s="394" t="s">
        <v>181</v>
      </c>
      <c r="D104" s="394"/>
      <c r="E104" s="28">
        <f>365-E103</f>
        <v>365</v>
      </c>
      <c r="G104" s="65"/>
      <c r="I104" s="28">
        <v>21</v>
      </c>
      <c r="J104" s="72">
        <v>21</v>
      </c>
      <c r="K104" s="46">
        <f t="shared" si="20"/>
        <v>0</v>
      </c>
      <c r="L104" s="46">
        <f t="shared" si="21"/>
        <v>0</v>
      </c>
      <c r="M104" s="46">
        <f t="shared" si="22"/>
        <v>100</v>
      </c>
      <c r="N104" s="67">
        <f t="shared" si="10"/>
        <v>100</v>
      </c>
      <c r="O104" s="45"/>
      <c r="P104" s="46"/>
      <c r="Q104" s="46">
        <v>52.7</v>
      </c>
      <c r="R104" s="47">
        <f t="shared" si="9"/>
        <v>52.7</v>
      </c>
      <c r="S104" s="28">
        <v>1</v>
      </c>
      <c r="T104" s="284"/>
      <c r="U104" s="293"/>
      <c r="V104" s="37" t="s">
        <v>189</v>
      </c>
      <c r="W104" s="28" t="s">
        <v>20</v>
      </c>
      <c r="X104" s="28" t="s">
        <v>12</v>
      </c>
      <c r="Y104" s="38">
        <v>52.7</v>
      </c>
      <c r="AD104" s="37"/>
      <c r="AG104" s="38"/>
      <c r="AL104" s="37"/>
      <c r="AO104" s="38"/>
      <c r="AP104" s="37"/>
      <c r="AS104" s="38"/>
      <c r="AW104" s="38"/>
      <c r="BA104" s="39"/>
    </row>
    <row r="105" spans="1:53" s="28" customFormat="1" x14ac:dyDescent="0.15">
      <c r="A105" s="28">
        <v>2002</v>
      </c>
      <c r="B105" s="293"/>
      <c r="C105" s="394" t="s">
        <v>181</v>
      </c>
      <c r="D105" s="394"/>
      <c r="E105" s="28">
        <v>0</v>
      </c>
      <c r="G105" s="65"/>
      <c r="I105" s="28">
        <v>21</v>
      </c>
      <c r="J105" s="72">
        <v>21</v>
      </c>
      <c r="K105" s="46">
        <f t="shared" si="20"/>
        <v>0</v>
      </c>
      <c r="L105" s="46">
        <f t="shared" si="21"/>
        <v>0</v>
      </c>
      <c r="M105" s="46">
        <f t="shared" si="22"/>
        <v>100</v>
      </c>
      <c r="N105" s="67">
        <f t="shared" si="10"/>
        <v>100</v>
      </c>
      <c r="O105" s="45"/>
      <c r="P105" s="46"/>
      <c r="Q105" s="46">
        <v>52.7</v>
      </c>
      <c r="R105" s="47">
        <f t="shared" si="9"/>
        <v>52.7</v>
      </c>
      <c r="S105" s="28">
        <v>1</v>
      </c>
      <c r="T105" s="284"/>
      <c r="U105" s="293"/>
      <c r="V105" s="37" t="s">
        <v>189</v>
      </c>
      <c r="W105" s="28" t="s">
        <v>20</v>
      </c>
      <c r="X105" s="28" t="s">
        <v>12</v>
      </c>
      <c r="Y105" s="38">
        <v>52.7</v>
      </c>
      <c r="AD105" s="37"/>
      <c r="AG105" s="38"/>
      <c r="AL105" s="37"/>
      <c r="AO105" s="38"/>
      <c r="AP105" s="37"/>
      <c r="AS105" s="38"/>
      <c r="AW105" s="38"/>
      <c r="BA105" s="39"/>
    </row>
    <row r="106" spans="1:53" s="28" customFormat="1" x14ac:dyDescent="0.15">
      <c r="A106" s="28">
        <v>2002</v>
      </c>
      <c r="B106" s="293"/>
      <c r="C106" s="394" t="s">
        <v>181</v>
      </c>
      <c r="D106" s="394"/>
      <c r="E106" s="28">
        <f>365-E105</f>
        <v>365</v>
      </c>
      <c r="G106" s="65"/>
      <c r="I106" s="28">
        <v>21</v>
      </c>
      <c r="J106" s="72">
        <v>21</v>
      </c>
      <c r="K106" s="46">
        <f t="shared" si="20"/>
        <v>0</v>
      </c>
      <c r="L106" s="46">
        <f t="shared" si="21"/>
        <v>0</v>
      </c>
      <c r="M106" s="46">
        <f t="shared" si="22"/>
        <v>100</v>
      </c>
      <c r="N106" s="67">
        <f t="shared" si="10"/>
        <v>100</v>
      </c>
      <c r="O106" s="45"/>
      <c r="P106" s="46"/>
      <c r="Q106" s="46">
        <v>52.7</v>
      </c>
      <c r="R106" s="47">
        <f t="shared" si="9"/>
        <v>52.7</v>
      </c>
      <c r="S106" s="28">
        <v>1</v>
      </c>
      <c r="T106" s="284"/>
      <c r="U106" s="293"/>
      <c r="V106" s="37" t="s">
        <v>189</v>
      </c>
      <c r="W106" s="28" t="s">
        <v>20</v>
      </c>
      <c r="X106" s="28" t="s">
        <v>12</v>
      </c>
      <c r="Y106" s="38">
        <v>52.7</v>
      </c>
      <c r="AD106" s="37"/>
      <c r="AG106" s="38"/>
      <c r="AL106" s="37"/>
      <c r="AO106" s="38"/>
      <c r="AP106" s="37"/>
      <c r="AS106" s="38"/>
      <c r="AW106" s="38"/>
      <c r="BA106" s="39"/>
    </row>
    <row r="107" spans="1:53" s="28" customFormat="1" x14ac:dyDescent="0.15">
      <c r="A107" s="28">
        <v>2003</v>
      </c>
      <c r="B107" s="293"/>
      <c r="C107" s="394" t="s">
        <v>181</v>
      </c>
      <c r="D107" s="394"/>
      <c r="E107" s="28">
        <v>0</v>
      </c>
      <c r="G107" s="65"/>
      <c r="I107" s="28">
        <v>21</v>
      </c>
      <c r="J107" s="72">
        <v>21</v>
      </c>
      <c r="K107" s="46">
        <f t="shared" si="20"/>
        <v>0</v>
      </c>
      <c r="L107" s="46">
        <f t="shared" si="21"/>
        <v>0</v>
      </c>
      <c r="M107" s="46">
        <f t="shared" si="22"/>
        <v>100</v>
      </c>
      <c r="N107" s="67">
        <f t="shared" si="10"/>
        <v>100</v>
      </c>
      <c r="O107" s="45"/>
      <c r="P107" s="46"/>
      <c r="Q107" s="46">
        <v>52.7</v>
      </c>
      <c r="R107" s="47">
        <f t="shared" si="9"/>
        <v>52.7</v>
      </c>
      <c r="S107" s="28">
        <v>1</v>
      </c>
      <c r="T107" s="284"/>
      <c r="U107" s="293"/>
      <c r="V107" s="37" t="s">
        <v>189</v>
      </c>
      <c r="W107" s="28" t="s">
        <v>20</v>
      </c>
      <c r="X107" s="28" t="s">
        <v>12</v>
      </c>
      <c r="Y107" s="38">
        <v>52.7</v>
      </c>
      <c r="AD107" s="37"/>
      <c r="AG107" s="38"/>
      <c r="AL107" s="37"/>
      <c r="AO107" s="38"/>
      <c r="AP107" s="37"/>
      <c r="AS107" s="38"/>
      <c r="AW107" s="38"/>
      <c r="BA107" s="39"/>
    </row>
    <row r="108" spans="1:53" s="28" customFormat="1" x14ac:dyDescent="0.15">
      <c r="A108" s="28">
        <v>2003</v>
      </c>
      <c r="B108" s="293"/>
      <c r="C108" s="394" t="s">
        <v>181</v>
      </c>
      <c r="D108" s="394"/>
      <c r="E108" s="28">
        <f>365-E107</f>
        <v>365</v>
      </c>
      <c r="G108" s="65"/>
      <c r="I108" s="28">
        <v>21</v>
      </c>
      <c r="J108" s="72">
        <v>21</v>
      </c>
      <c r="K108" s="46">
        <f t="shared" si="20"/>
        <v>0</v>
      </c>
      <c r="L108" s="46">
        <f t="shared" si="21"/>
        <v>0</v>
      </c>
      <c r="M108" s="46">
        <f t="shared" si="22"/>
        <v>100</v>
      </c>
      <c r="N108" s="67">
        <f t="shared" si="10"/>
        <v>100</v>
      </c>
      <c r="O108" s="45"/>
      <c r="P108" s="46"/>
      <c r="Q108" s="46">
        <v>52.7</v>
      </c>
      <c r="R108" s="47">
        <f t="shared" si="9"/>
        <v>52.7</v>
      </c>
      <c r="S108" s="28">
        <v>1</v>
      </c>
      <c r="T108" s="284"/>
      <c r="U108" s="293"/>
      <c r="V108" s="37" t="s">
        <v>189</v>
      </c>
      <c r="W108" s="28" t="s">
        <v>20</v>
      </c>
      <c r="X108" s="28" t="s">
        <v>12</v>
      </c>
      <c r="Y108" s="38">
        <v>52.7</v>
      </c>
      <c r="AD108" s="37"/>
      <c r="AG108" s="38"/>
      <c r="AL108" s="37"/>
      <c r="AO108" s="38"/>
      <c r="AP108" s="37"/>
      <c r="AS108" s="38"/>
      <c r="AW108" s="38"/>
      <c r="BA108" s="39"/>
    </row>
    <row r="109" spans="1:53" s="28" customFormat="1" x14ac:dyDescent="0.15">
      <c r="A109" s="28">
        <v>2004</v>
      </c>
      <c r="B109" s="293"/>
      <c r="C109" s="394" t="s">
        <v>181</v>
      </c>
      <c r="D109" s="394"/>
      <c r="E109" s="28">
        <v>82</v>
      </c>
      <c r="G109" s="65"/>
      <c r="I109" s="28">
        <v>21</v>
      </c>
      <c r="J109" s="72">
        <v>21</v>
      </c>
      <c r="K109" s="46">
        <f t="shared" si="20"/>
        <v>0</v>
      </c>
      <c r="L109" s="46">
        <f t="shared" si="21"/>
        <v>0</v>
      </c>
      <c r="M109" s="46">
        <f t="shared" si="22"/>
        <v>100</v>
      </c>
      <c r="N109" s="67">
        <f t="shared" si="10"/>
        <v>100</v>
      </c>
      <c r="O109" s="45"/>
      <c r="P109" s="46"/>
      <c r="Q109" s="46">
        <v>52.7</v>
      </c>
      <c r="R109" s="47">
        <f t="shared" si="9"/>
        <v>52.7</v>
      </c>
      <c r="S109" s="28">
        <v>1</v>
      </c>
      <c r="T109" s="284"/>
      <c r="U109" s="293"/>
      <c r="V109" s="37" t="s">
        <v>189</v>
      </c>
      <c r="W109" s="28" t="s">
        <v>20</v>
      </c>
      <c r="X109" s="28" t="s">
        <v>12</v>
      </c>
      <c r="Y109" s="38">
        <v>52.7</v>
      </c>
      <c r="AD109" s="37"/>
      <c r="AG109" s="38"/>
      <c r="AL109" s="37"/>
      <c r="AO109" s="38"/>
      <c r="AP109" s="37"/>
      <c r="AS109" s="38"/>
      <c r="AW109" s="38"/>
      <c r="BA109" s="39"/>
    </row>
    <row r="110" spans="1:53" s="170" customFormat="1" x14ac:dyDescent="0.15">
      <c r="A110" s="170">
        <v>2004</v>
      </c>
      <c r="B110" s="281">
        <v>38069</v>
      </c>
      <c r="C110" s="395" t="s">
        <v>175</v>
      </c>
      <c r="D110" s="395"/>
      <c r="E110" s="170">
        <v>284</v>
      </c>
      <c r="F110" s="170">
        <v>1</v>
      </c>
      <c r="G110" s="232">
        <v>20</v>
      </c>
      <c r="J110" s="240">
        <v>20</v>
      </c>
      <c r="K110" s="213">
        <f t="shared" si="20"/>
        <v>100</v>
      </c>
      <c r="L110" s="213">
        <f t="shared" si="21"/>
        <v>0</v>
      </c>
      <c r="M110" s="213">
        <f t="shared" si="22"/>
        <v>0</v>
      </c>
      <c r="N110" s="234">
        <f t="shared" si="10"/>
        <v>100</v>
      </c>
      <c r="O110" s="212">
        <v>55</v>
      </c>
      <c r="P110" s="213"/>
      <c r="Q110" s="213"/>
      <c r="R110" s="214">
        <f t="shared" ref="R110:R131" si="23">SUM(O110:Q110)</f>
        <v>55</v>
      </c>
      <c r="S110" s="170">
        <v>1</v>
      </c>
      <c r="T110" s="283">
        <v>38053</v>
      </c>
      <c r="U110" s="281">
        <v>38069</v>
      </c>
      <c r="V110" s="177" t="s">
        <v>188</v>
      </c>
      <c r="W110" s="170" t="s">
        <v>76</v>
      </c>
      <c r="X110" s="170" t="s">
        <v>11</v>
      </c>
      <c r="Y110" s="178">
        <v>55</v>
      </c>
      <c r="AD110" s="177"/>
      <c r="AG110" s="178"/>
      <c r="AL110" s="177"/>
      <c r="AO110" s="178"/>
      <c r="AP110" s="177"/>
      <c r="AS110" s="178"/>
      <c r="AW110" s="178"/>
      <c r="BA110" s="179"/>
    </row>
    <row r="111" spans="1:53" s="170" customFormat="1" x14ac:dyDescent="0.15">
      <c r="A111" s="170">
        <v>2005</v>
      </c>
      <c r="B111" s="281"/>
      <c r="C111" s="395" t="s">
        <v>175</v>
      </c>
      <c r="D111" s="395"/>
      <c r="E111" s="170">
        <v>0</v>
      </c>
      <c r="G111" s="232">
        <v>20</v>
      </c>
      <c r="J111" s="240">
        <v>20</v>
      </c>
      <c r="K111" s="213">
        <f t="shared" ref="K111:K118" si="24">G111/J111*100</f>
        <v>100</v>
      </c>
      <c r="L111" s="213">
        <f t="shared" ref="L111:L119" si="25">H111/J111*100</f>
        <v>0</v>
      </c>
      <c r="M111" s="213">
        <f t="shared" ref="M111:M119" si="26">I111/J111*100</f>
        <v>0</v>
      </c>
      <c r="N111" s="234">
        <f t="shared" si="10"/>
        <v>100</v>
      </c>
      <c r="O111" s="212">
        <v>55</v>
      </c>
      <c r="P111" s="213"/>
      <c r="Q111" s="213"/>
      <c r="R111" s="214">
        <f t="shared" si="23"/>
        <v>55</v>
      </c>
      <c r="S111" s="170">
        <v>1</v>
      </c>
      <c r="T111" s="283"/>
      <c r="U111" s="281"/>
      <c r="V111" s="177" t="s">
        <v>188</v>
      </c>
      <c r="W111" s="170" t="s">
        <v>76</v>
      </c>
      <c r="X111" s="170" t="s">
        <v>11</v>
      </c>
      <c r="Y111" s="178">
        <v>55</v>
      </c>
      <c r="AD111" s="177"/>
      <c r="AG111" s="178"/>
      <c r="AL111" s="177"/>
      <c r="AO111" s="178"/>
      <c r="AP111" s="177"/>
      <c r="AS111" s="178"/>
      <c r="AW111" s="178"/>
      <c r="BA111" s="179"/>
    </row>
    <row r="112" spans="1:53" s="170" customFormat="1" x14ac:dyDescent="0.15">
      <c r="A112" s="170">
        <v>2005</v>
      </c>
      <c r="B112" s="281"/>
      <c r="C112" s="395" t="s">
        <v>175</v>
      </c>
      <c r="D112" s="395"/>
      <c r="E112" s="170">
        <v>365</v>
      </c>
      <c r="G112" s="232">
        <v>20</v>
      </c>
      <c r="J112" s="240">
        <v>20</v>
      </c>
      <c r="K112" s="213">
        <f t="shared" si="24"/>
        <v>100</v>
      </c>
      <c r="L112" s="213">
        <f t="shared" si="25"/>
        <v>0</v>
      </c>
      <c r="M112" s="213">
        <f t="shared" si="26"/>
        <v>0</v>
      </c>
      <c r="N112" s="234">
        <f t="shared" si="10"/>
        <v>100</v>
      </c>
      <c r="O112" s="212">
        <v>55</v>
      </c>
      <c r="P112" s="213"/>
      <c r="Q112" s="213"/>
      <c r="R112" s="214">
        <f t="shared" si="23"/>
        <v>55</v>
      </c>
      <c r="S112" s="170">
        <v>1</v>
      </c>
      <c r="T112" s="283"/>
      <c r="U112" s="281"/>
      <c r="V112" s="177" t="s">
        <v>188</v>
      </c>
      <c r="W112" s="170" t="s">
        <v>76</v>
      </c>
      <c r="X112" s="170" t="s">
        <v>11</v>
      </c>
      <c r="Y112" s="178">
        <v>55</v>
      </c>
      <c r="AD112" s="177"/>
      <c r="AG112" s="178"/>
      <c r="AL112" s="177"/>
      <c r="AO112" s="178"/>
      <c r="AP112" s="177"/>
      <c r="AS112" s="178"/>
      <c r="AW112" s="178"/>
      <c r="BA112" s="179"/>
    </row>
    <row r="113" spans="1:53" s="170" customFormat="1" x14ac:dyDescent="0.15">
      <c r="A113" s="170">
        <v>2006</v>
      </c>
      <c r="B113" s="281"/>
      <c r="C113" s="395" t="s">
        <v>175</v>
      </c>
      <c r="D113" s="395"/>
      <c r="E113" s="170">
        <v>0</v>
      </c>
      <c r="G113" s="232">
        <v>20</v>
      </c>
      <c r="J113" s="240">
        <v>20</v>
      </c>
      <c r="K113" s="213">
        <f t="shared" si="24"/>
        <v>100</v>
      </c>
      <c r="L113" s="213">
        <f t="shared" si="25"/>
        <v>0</v>
      </c>
      <c r="M113" s="213">
        <f t="shared" si="26"/>
        <v>0</v>
      </c>
      <c r="N113" s="234">
        <f t="shared" si="10"/>
        <v>100</v>
      </c>
      <c r="O113" s="212">
        <v>55</v>
      </c>
      <c r="P113" s="213"/>
      <c r="Q113" s="213"/>
      <c r="R113" s="214">
        <f t="shared" si="23"/>
        <v>55</v>
      </c>
      <c r="S113" s="170">
        <v>1</v>
      </c>
      <c r="T113" s="283"/>
      <c r="U113" s="281"/>
      <c r="V113" s="177" t="s">
        <v>188</v>
      </c>
      <c r="W113" s="170" t="s">
        <v>76</v>
      </c>
      <c r="X113" s="170" t="s">
        <v>11</v>
      </c>
      <c r="Y113" s="178">
        <v>55</v>
      </c>
      <c r="AD113" s="177"/>
      <c r="AG113" s="178"/>
      <c r="AL113" s="177"/>
      <c r="AO113" s="178"/>
      <c r="AP113" s="177"/>
      <c r="AS113" s="178"/>
      <c r="AW113" s="178"/>
      <c r="BA113" s="179"/>
    </row>
    <row r="114" spans="1:53" s="170" customFormat="1" x14ac:dyDescent="0.15">
      <c r="A114" s="170">
        <v>2006</v>
      </c>
      <c r="B114" s="281"/>
      <c r="C114" s="395" t="s">
        <v>175</v>
      </c>
      <c r="D114" s="395"/>
      <c r="E114" s="170">
        <v>365</v>
      </c>
      <c r="G114" s="232">
        <v>20</v>
      </c>
      <c r="J114" s="240">
        <v>20</v>
      </c>
      <c r="K114" s="213">
        <f t="shared" si="24"/>
        <v>100</v>
      </c>
      <c r="L114" s="213">
        <f t="shared" si="25"/>
        <v>0</v>
      </c>
      <c r="M114" s="213">
        <f t="shared" si="26"/>
        <v>0</v>
      </c>
      <c r="N114" s="234">
        <f t="shared" si="10"/>
        <v>100</v>
      </c>
      <c r="O114" s="212">
        <v>55</v>
      </c>
      <c r="P114" s="213"/>
      <c r="Q114" s="213"/>
      <c r="R114" s="214">
        <f t="shared" si="23"/>
        <v>55</v>
      </c>
      <c r="S114" s="170">
        <v>1</v>
      </c>
      <c r="T114" s="283"/>
      <c r="U114" s="281"/>
      <c r="V114" s="177" t="s">
        <v>188</v>
      </c>
      <c r="W114" s="170" t="s">
        <v>76</v>
      </c>
      <c r="X114" s="170" t="s">
        <v>11</v>
      </c>
      <c r="Y114" s="178">
        <v>55</v>
      </c>
      <c r="AD114" s="177"/>
      <c r="AG114" s="178"/>
      <c r="AL114" s="177"/>
      <c r="AO114" s="178"/>
      <c r="AP114" s="177"/>
      <c r="AS114" s="178"/>
      <c r="AW114" s="178"/>
      <c r="BA114" s="179"/>
    </row>
    <row r="115" spans="1:53" s="170" customFormat="1" x14ac:dyDescent="0.15">
      <c r="A115" s="170">
        <v>2007</v>
      </c>
      <c r="B115" s="281"/>
      <c r="C115" s="395" t="s">
        <v>175</v>
      </c>
      <c r="D115" s="395"/>
      <c r="E115" s="170">
        <f>365-E116</f>
        <v>273</v>
      </c>
      <c r="G115" s="232">
        <v>20</v>
      </c>
      <c r="J115" s="240">
        <v>20</v>
      </c>
      <c r="K115" s="213">
        <f t="shared" si="24"/>
        <v>100</v>
      </c>
      <c r="L115" s="213">
        <f t="shared" si="25"/>
        <v>0</v>
      </c>
      <c r="M115" s="213">
        <f t="shared" si="26"/>
        <v>0</v>
      </c>
      <c r="N115" s="234">
        <f t="shared" si="10"/>
        <v>100</v>
      </c>
      <c r="O115" s="212">
        <v>55</v>
      </c>
      <c r="P115" s="213"/>
      <c r="Q115" s="213"/>
      <c r="R115" s="214">
        <f t="shared" si="23"/>
        <v>55</v>
      </c>
      <c r="S115" s="170">
        <v>1</v>
      </c>
      <c r="T115" s="283"/>
      <c r="U115" s="281"/>
      <c r="V115" s="177" t="s">
        <v>188</v>
      </c>
      <c r="W115" s="170" t="s">
        <v>76</v>
      </c>
      <c r="X115" s="170" t="s">
        <v>11</v>
      </c>
      <c r="Y115" s="178">
        <v>55</v>
      </c>
      <c r="AD115" s="177"/>
      <c r="AG115" s="178"/>
      <c r="AL115" s="177"/>
      <c r="AO115" s="178"/>
      <c r="AP115" s="177"/>
      <c r="AS115" s="178"/>
      <c r="AW115" s="178"/>
      <c r="BA115" s="179"/>
    </row>
    <row r="116" spans="1:53" s="28" customFormat="1" x14ac:dyDescent="0.15">
      <c r="A116" s="28">
        <v>2007</v>
      </c>
      <c r="B116" s="293">
        <v>39356</v>
      </c>
      <c r="C116" s="394" t="s">
        <v>176</v>
      </c>
      <c r="D116" s="394"/>
      <c r="E116" s="28">
        <v>92</v>
      </c>
      <c r="F116" s="28">
        <v>1</v>
      </c>
      <c r="G116" s="65">
        <v>18</v>
      </c>
      <c r="J116" s="72">
        <v>18</v>
      </c>
      <c r="K116" s="46">
        <f t="shared" si="24"/>
        <v>100</v>
      </c>
      <c r="L116" s="46">
        <f t="shared" si="25"/>
        <v>0</v>
      </c>
      <c r="M116" s="46">
        <f t="shared" si="26"/>
        <v>0</v>
      </c>
      <c r="N116" s="67">
        <f t="shared" si="10"/>
        <v>100</v>
      </c>
      <c r="O116" s="45">
        <v>50.7</v>
      </c>
      <c r="P116" s="46"/>
      <c r="Q116" s="46"/>
      <c r="R116" s="47">
        <f t="shared" si="23"/>
        <v>50.7</v>
      </c>
      <c r="S116" s="28">
        <v>1</v>
      </c>
      <c r="T116" s="284">
        <v>39341</v>
      </c>
      <c r="U116" s="293">
        <v>39356</v>
      </c>
      <c r="V116" s="37" t="s">
        <v>188</v>
      </c>
      <c r="W116" s="28" t="s">
        <v>76</v>
      </c>
      <c r="X116" s="28" t="s">
        <v>11</v>
      </c>
      <c r="Y116" s="38">
        <v>50.7</v>
      </c>
      <c r="AD116" s="37"/>
      <c r="AG116" s="38"/>
      <c r="AL116" s="37"/>
      <c r="AO116" s="38"/>
      <c r="AP116" s="37"/>
      <c r="AS116" s="38"/>
      <c r="AW116" s="38"/>
      <c r="BA116" s="39"/>
    </row>
    <row r="117" spans="1:53" s="28" customFormat="1" x14ac:dyDescent="0.15">
      <c r="A117" s="28">
        <v>2008</v>
      </c>
      <c r="B117" s="293"/>
      <c r="C117" s="394" t="s">
        <v>176</v>
      </c>
      <c r="D117" s="394"/>
      <c r="E117" s="28">
        <v>297</v>
      </c>
      <c r="G117" s="65">
        <v>18</v>
      </c>
      <c r="J117" s="72">
        <v>18</v>
      </c>
      <c r="K117" s="46">
        <f t="shared" si="24"/>
        <v>100</v>
      </c>
      <c r="L117" s="46">
        <f t="shared" si="25"/>
        <v>0</v>
      </c>
      <c r="M117" s="46">
        <f t="shared" si="26"/>
        <v>0</v>
      </c>
      <c r="N117" s="67">
        <f t="shared" si="10"/>
        <v>100</v>
      </c>
      <c r="O117" s="45">
        <v>50.7</v>
      </c>
      <c r="P117" s="46"/>
      <c r="Q117" s="46"/>
      <c r="R117" s="47">
        <f t="shared" si="23"/>
        <v>50.7</v>
      </c>
      <c r="S117" s="28">
        <v>1</v>
      </c>
      <c r="T117" s="284"/>
      <c r="U117" s="293"/>
      <c r="V117" s="37" t="s">
        <v>188</v>
      </c>
      <c r="W117" s="28" t="s">
        <v>76</v>
      </c>
      <c r="X117" s="28" t="s">
        <v>11</v>
      </c>
      <c r="Y117" s="38">
        <v>50.7</v>
      </c>
      <c r="AD117" s="37"/>
      <c r="AG117" s="38"/>
      <c r="AL117" s="37"/>
      <c r="AO117" s="38"/>
      <c r="AP117" s="37"/>
      <c r="AS117" s="38"/>
      <c r="AW117" s="38"/>
      <c r="BA117" s="39"/>
    </row>
    <row r="118" spans="1:53" s="28" customFormat="1" x14ac:dyDescent="0.15">
      <c r="A118" s="28">
        <v>2008</v>
      </c>
      <c r="B118" s="305">
        <v>39745</v>
      </c>
      <c r="C118" s="394" t="s">
        <v>176</v>
      </c>
      <c r="D118" s="394"/>
      <c r="E118" s="28">
        <v>69</v>
      </c>
      <c r="F118" s="120">
        <v>0</v>
      </c>
      <c r="G118" s="65">
        <v>17</v>
      </c>
      <c r="J118" s="72">
        <v>17</v>
      </c>
      <c r="K118" s="46">
        <f t="shared" si="24"/>
        <v>100</v>
      </c>
      <c r="L118" s="46">
        <f t="shared" si="25"/>
        <v>0</v>
      </c>
      <c r="M118" s="46">
        <f t="shared" si="26"/>
        <v>0</v>
      </c>
      <c r="N118" s="67">
        <f t="shared" si="10"/>
        <v>100</v>
      </c>
      <c r="O118" s="45">
        <v>50.7</v>
      </c>
      <c r="P118" s="46"/>
      <c r="Q118" s="46"/>
      <c r="R118" s="47">
        <f t="shared" si="23"/>
        <v>50.7</v>
      </c>
      <c r="S118" s="28">
        <v>1</v>
      </c>
      <c r="T118" s="284"/>
      <c r="U118" s="293"/>
      <c r="V118" s="37" t="s">
        <v>188</v>
      </c>
      <c r="W118" s="28" t="s">
        <v>76</v>
      </c>
      <c r="X118" s="28" t="s">
        <v>11</v>
      </c>
      <c r="Y118" s="38">
        <v>50.7</v>
      </c>
      <c r="AD118" s="37"/>
      <c r="AG118" s="38"/>
      <c r="AL118" s="37"/>
      <c r="AO118" s="38"/>
      <c r="AP118" s="37"/>
      <c r="AS118" s="38"/>
      <c r="AW118" s="38"/>
      <c r="BA118" s="39"/>
    </row>
    <row r="119" spans="1:53" s="28" customFormat="1" x14ac:dyDescent="0.15">
      <c r="A119" s="28">
        <v>2009</v>
      </c>
      <c r="B119" s="293"/>
      <c r="C119" s="394" t="s">
        <v>176</v>
      </c>
      <c r="D119" s="394"/>
      <c r="E119" s="28">
        <v>291</v>
      </c>
      <c r="G119" s="65">
        <v>17</v>
      </c>
      <c r="J119" s="72">
        <v>17</v>
      </c>
      <c r="K119" s="46">
        <f t="shared" ref="K119:K125" si="27">G119/J119*100</f>
        <v>100</v>
      </c>
      <c r="L119" s="46">
        <f t="shared" si="25"/>
        <v>0</v>
      </c>
      <c r="M119" s="46">
        <f t="shared" si="26"/>
        <v>0</v>
      </c>
      <c r="N119" s="67">
        <f t="shared" si="10"/>
        <v>100</v>
      </c>
      <c r="O119" s="45">
        <v>50.7</v>
      </c>
      <c r="P119" s="46"/>
      <c r="Q119" s="46"/>
      <c r="R119" s="47">
        <f t="shared" si="23"/>
        <v>50.7</v>
      </c>
      <c r="S119" s="28">
        <v>1</v>
      </c>
      <c r="T119" s="284"/>
      <c r="U119" s="293"/>
      <c r="V119" s="37" t="s">
        <v>188</v>
      </c>
      <c r="W119" s="28" t="s">
        <v>76</v>
      </c>
      <c r="X119" s="28" t="s">
        <v>11</v>
      </c>
      <c r="Y119" s="38">
        <v>50.7</v>
      </c>
      <c r="AD119" s="37"/>
      <c r="AG119" s="38"/>
      <c r="AL119" s="37"/>
      <c r="AO119" s="38"/>
      <c r="AP119" s="37"/>
      <c r="AS119" s="38"/>
      <c r="AW119" s="38"/>
      <c r="BA119" s="39"/>
    </row>
    <row r="120" spans="1:53" s="170" customFormat="1" x14ac:dyDescent="0.15">
      <c r="A120" s="170">
        <v>2009</v>
      </c>
      <c r="B120" s="281">
        <v>40105</v>
      </c>
      <c r="C120" s="395" t="s">
        <v>1359</v>
      </c>
      <c r="D120" s="395"/>
      <c r="E120" s="170">
        <v>74</v>
      </c>
      <c r="F120" s="170">
        <v>1</v>
      </c>
      <c r="G120" s="232"/>
      <c r="I120" s="170">
        <v>17</v>
      </c>
      <c r="J120" s="240">
        <v>17</v>
      </c>
      <c r="K120" s="213">
        <f t="shared" si="27"/>
        <v>0</v>
      </c>
      <c r="L120" s="213">
        <f t="shared" ref="L120:L125" si="28">H120/J120*100</f>
        <v>0</v>
      </c>
      <c r="M120" s="213">
        <f t="shared" ref="M120:M125" si="29">I120/J120*100</f>
        <v>100</v>
      </c>
      <c r="N120" s="234">
        <f t="shared" si="10"/>
        <v>100</v>
      </c>
      <c r="O120" s="212"/>
      <c r="P120" s="213"/>
      <c r="Q120" s="213">
        <v>53.3</v>
      </c>
      <c r="R120" s="214">
        <f t="shared" si="23"/>
        <v>53.3</v>
      </c>
      <c r="S120" s="170">
        <v>1</v>
      </c>
      <c r="T120" s="283">
        <v>40090</v>
      </c>
      <c r="U120" s="281">
        <v>40105</v>
      </c>
      <c r="V120" s="177" t="s">
        <v>189</v>
      </c>
      <c r="W120" s="170" t="s">
        <v>20</v>
      </c>
      <c r="X120" s="170" t="s">
        <v>12</v>
      </c>
      <c r="Y120" s="178">
        <v>53.3</v>
      </c>
      <c r="AD120" s="177"/>
      <c r="AG120" s="178"/>
      <c r="AL120" s="177"/>
      <c r="AO120" s="178"/>
      <c r="AP120" s="177"/>
      <c r="AS120" s="178"/>
      <c r="AW120" s="178"/>
      <c r="BA120" s="179"/>
    </row>
    <row r="121" spans="1:53" s="170" customFormat="1" x14ac:dyDescent="0.15">
      <c r="A121" s="170">
        <v>2010</v>
      </c>
      <c r="B121" s="281"/>
      <c r="C121" s="395" t="s">
        <v>1359</v>
      </c>
      <c r="D121" s="395"/>
      <c r="E121" s="170">
        <v>249</v>
      </c>
      <c r="G121" s="232"/>
      <c r="I121" s="170">
        <v>17</v>
      </c>
      <c r="J121" s="240">
        <v>17</v>
      </c>
      <c r="K121" s="213">
        <f t="shared" si="27"/>
        <v>0</v>
      </c>
      <c r="L121" s="213">
        <f t="shared" si="28"/>
        <v>0</v>
      </c>
      <c r="M121" s="213">
        <f t="shared" si="29"/>
        <v>100</v>
      </c>
      <c r="N121" s="234">
        <f t="shared" si="10"/>
        <v>100</v>
      </c>
      <c r="O121" s="212"/>
      <c r="P121" s="213"/>
      <c r="Q121" s="213">
        <v>53.3</v>
      </c>
      <c r="R121" s="214">
        <f t="shared" si="23"/>
        <v>53.3</v>
      </c>
      <c r="S121" s="170">
        <v>1</v>
      </c>
      <c r="T121" s="283"/>
      <c r="U121" s="281"/>
      <c r="V121" s="177" t="s">
        <v>189</v>
      </c>
      <c r="W121" s="170" t="s">
        <v>20</v>
      </c>
      <c r="X121" s="170" t="s">
        <v>12</v>
      </c>
      <c r="Y121" s="178">
        <v>53.3</v>
      </c>
      <c r="AD121" s="177"/>
      <c r="AG121" s="178"/>
      <c r="AL121" s="177"/>
      <c r="AO121" s="178"/>
      <c r="AP121" s="177"/>
      <c r="AS121" s="178"/>
      <c r="AW121" s="178"/>
      <c r="BA121" s="179"/>
    </row>
    <row r="122" spans="1:53" s="170" customFormat="1" x14ac:dyDescent="0.15">
      <c r="A122" s="170">
        <v>2010</v>
      </c>
      <c r="B122" s="308">
        <v>40428</v>
      </c>
      <c r="C122" s="395" t="s">
        <v>1359</v>
      </c>
      <c r="D122" s="395"/>
      <c r="E122" s="170">
        <f>365-E121</f>
        <v>116</v>
      </c>
      <c r="F122" s="251">
        <v>0</v>
      </c>
      <c r="G122" s="232"/>
      <c r="I122" s="170">
        <v>18</v>
      </c>
      <c r="J122" s="240">
        <v>18</v>
      </c>
      <c r="K122" s="213">
        <f t="shared" si="27"/>
        <v>0</v>
      </c>
      <c r="L122" s="213">
        <f t="shared" si="28"/>
        <v>0</v>
      </c>
      <c r="M122" s="213">
        <f t="shared" si="29"/>
        <v>100</v>
      </c>
      <c r="N122" s="234">
        <f t="shared" si="10"/>
        <v>100</v>
      </c>
      <c r="O122" s="212"/>
      <c r="P122" s="213"/>
      <c r="Q122" s="213">
        <v>53.3</v>
      </c>
      <c r="R122" s="214">
        <f t="shared" si="23"/>
        <v>53.3</v>
      </c>
      <c r="S122" s="170">
        <v>1</v>
      </c>
      <c r="T122" s="283"/>
      <c r="U122" s="281"/>
      <c r="V122" s="177" t="s">
        <v>189</v>
      </c>
      <c r="W122" s="170" t="s">
        <v>20</v>
      </c>
      <c r="X122" s="170" t="s">
        <v>12</v>
      </c>
      <c r="Y122" s="178">
        <v>53.3</v>
      </c>
      <c r="AD122" s="177"/>
      <c r="AG122" s="178"/>
      <c r="AL122" s="177"/>
      <c r="AO122" s="178"/>
      <c r="AP122" s="177"/>
      <c r="AS122" s="178"/>
      <c r="AW122" s="178"/>
      <c r="BA122" s="179"/>
    </row>
    <row r="123" spans="1:53" s="170" customFormat="1" x14ac:dyDescent="0.15">
      <c r="A123" s="170">
        <v>2011</v>
      </c>
      <c r="B123" s="281"/>
      <c r="C123" s="395" t="s">
        <v>1359</v>
      </c>
      <c r="D123" s="395"/>
      <c r="E123" s="170">
        <v>319</v>
      </c>
      <c r="G123" s="232"/>
      <c r="I123" s="170">
        <v>18</v>
      </c>
      <c r="J123" s="240">
        <v>18</v>
      </c>
      <c r="K123" s="213">
        <f t="shared" si="27"/>
        <v>0</v>
      </c>
      <c r="L123" s="213">
        <f t="shared" si="28"/>
        <v>0</v>
      </c>
      <c r="M123" s="213">
        <f t="shared" si="29"/>
        <v>100</v>
      </c>
      <c r="N123" s="234">
        <f t="shared" si="10"/>
        <v>100</v>
      </c>
      <c r="O123" s="212"/>
      <c r="P123" s="213"/>
      <c r="Q123" s="213">
        <v>53.3</v>
      </c>
      <c r="R123" s="214">
        <f t="shared" si="23"/>
        <v>53.3</v>
      </c>
      <c r="S123" s="170">
        <v>1</v>
      </c>
      <c r="T123" s="283"/>
      <c r="U123" s="281"/>
      <c r="V123" s="177" t="s">
        <v>189</v>
      </c>
      <c r="W123" s="170" t="s">
        <v>20</v>
      </c>
      <c r="X123" s="170" t="s">
        <v>12</v>
      </c>
      <c r="Y123" s="178">
        <v>53.3</v>
      </c>
      <c r="AD123" s="177"/>
      <c r="AG123" s="178"/>
      <c r="AL123" s="177"/>
      <c r="AO123" s="178"/>
      <c r="AP123" s="177"/>
      <c r="AS123" s="178"/>
      <c r="AW123" s="178"/>
      <c r="BA123" s="179"/>
    </row>
    <row r="124" spans="1:53" s="28" customFormat="1" x14ac:dyDescent="0.15">
      <c r="A124" s="28">
        <v>2011</v>
      </c>
      <c r="B124" s="293">
        <v>40863</v>
      </c>
      <c r="C124" s="394" t="s">
        <v>182</v>
      </c>
      <c r="D124" s="394"/>
      <c r="E124" s="28">
        <v>46</v>
      </c>
      <c r="F124" s="28">
        <v>2</v>
      </c>
      <c r="G124" s="65">
        <v>3</v>
      </c>
      <c r="I124" s="28">
        <v>12</v>
      </c>
      <c r="J124" s="72">
        <v>18</v>
      </c>
      <c r="K124" s="46">
        <f t="shared" si="27"/>
        <v>16.666666666666664</v>
      </c>
      <c r="L124" s="46">
        <f t="shared" si="28"/>
        <v>0</v>
      </c>
      <c r="M124" s="46">
        <f t="shared" si="29"/>
        <v>66.666666666666657</v>
      </c>
      <c r="N124" s="67">
        <f>SUM(K124:M124)</f>
        <v>83.333333333333314</v>
      </c>
      <c r="O124" s="45">
        <v>35.299999999999997</v>
      </c>
      <c r="P124" s="46">
        <v>0</v>
      </c>
      <c r="Q124" s="46">
        <v>53.3</v>
      </c>
      <c r="R124" s="47">
        <f t="shared" si="23"/>
        <v>88.6</v>
      </c>
      <c r="S124" s="28">
        <v>7</v>
      </c>
      <c r="T124" s="284"/>
      <c r="U124" s="293">
        <v>40863</v>
      </c>
      <c r="V124" s="88" t="s">
        <v>778</v>
      </c>
      <c r="Y124" s="38"/>
      <c r="Z124" s="28" t="s">
        <v>189</v>
      </c>
      <c r="AA124" s="28" t="s">
        <v>20</v>
      </c>
      <c r="AB124" s="28" t="s">
        <v>12</v>
      </c>
      <c r="AC124" s="28">
        <v>53.3</v>
      </c>
      <c r="AD124" s="37" t="s">
        <v>188</v>
      </c>
      <c r="AE124" s="28" t="s">
        <v>76</v>
      </c>
      <c r="AF124" s="28" t="s">
        <v>11</v>
      </c>
      <c r="AG124" s="38">
        <v>30.3</v>
      </c>
      <c r="AH124" s="28" t="s">
        <v>548</v>
      </c>
      <c r="AI124" s="28" t="s">
        <v>294</v>
      </c>
      <c r="AJ124" s="28" t="s">
        <v>11</v>
      </c>
      <c r="AK124" s="28">
        <v>5</v>
      </c>
      <c r="AL124" s="37"/>
      <c r="AO124" s="38"/>
      <c r="AP124" s="37"/>
      <c r="AS124" s="38"/>
      <c r="AW124" s="38"/>
      <c r="BA124" s="39"/>
    </row>
    <row r="125" spans="1:53" s="28" customFormat="1" x14ac:dyDescent="0.15">
      <c r="A125" s="28">
        <v>2012</v>
      </c>
      <c r="B125" s="293"/>
      <c r="C125" s="394" t="s">
        <v>182</v>
      </c>
      <c r="D125" s="394"/>
      <c r="E125" s="28">
        <v>136</v>
      </c>
      <c r="G125" s="65">
        <v>3</v>
      </c>
      <c r="I125" s="28">
        <v>12</v>
      </c>
      <c r="J125" s="72">
        <v>18</v>
      </c>
      <c r="K125" s="46">
        <f t="shared" si="27"/>
        <v>16.666666666666664</v>
      </c>
      <c r="L125" s="46">
        <f t="shared" si="28"/>
        <v>0</v>
      </c>
      <c r="M125" s="46">
        <f t="shared" si="29"/>
        <v>66.666666666666657</v>
      </c>
      <c r="N125" s="67">
        <f>SUM(K125:M125)</f>
        <v>83.333333333333314</v>
      </c>
      <c r="O125" s="45">
        <v>35.299999999999997</v>
      </c>
      <c r="P125" s="46">
        <v>0</v>
      </c>
      <c r="Q125" s="46">
        <v>53.3</v>
      </c>
      <c r="R125" s="47">
        <f t="shared" si="23"/>
        <v>88.6</v>
      </c>
      <c r="S125" s="28">
        <v>7</v>
      </c>
      <c r="T125" s="284"/>
      <c r="U125" s="293"/>
      <c r="V125" s="88" t="s">
        <v>778</v>
      </c>
      <c r="Y125" s="38"/>
      <c r="Z125" s="28" t="s">
        <v>189</v>
      </c>
      <c r="AA125" s="28" t="s">
        <v>20</v>
      </c>
      <c r="AB125" s="28" t="s">
        <v>12</v>
      </c>
      <c r="AC125" s="28">
        <v>53.3</v>
      </c>
      <c r="AD125" s="37" t="s">
        <v>188</v>
      </c>
      <c r="AE125" s="28" t="s">
        <v>76</v>
      </c>
      <c r="AF125" s="28" t="s">
        <v>11</v>
      </c>
      <c r="AG125" s="38">
        <v>30.3</v>
      </c>
      <c r="AH125" s="28" t="s">
        <v>548</v>
      </c>
      <c r="AI125" s="28" t="s">
        <v>294</v>
      </c>
      <c r="AJ125" s="28" t="s">
        <v>11</v>
      </c>
      <c r="AK125" s="28">
        <v>5</v>
      </c>
      <c r="AL125" s="37"/>
      <c r="AO125" s="38"/>
      <c r="AP125" s="37"/>
      <c r="AS125" s="38"/>
      <c r="AW125" s="38"/>
      <c r="BA125" s="39"/>
    </row>
    <row r="126" spans="1:53" s="170" customFormat="1" x14ac:dyDescent="0.15">
      <c r="A126" s="170">
        <v>2012</v>
      </c>
      <c r="B126" s="281">
        <v>41045</v>
      </c>
      <c r="C126" s="425" t="s">
        <v>183</v>
      </c>
      <c r="D126" s="425"/>
      <c r="E126" s="170">
        <v>36</v>
      </c>
      <c r="F126" s="170">
        <v>1</v>
      </c>
      <c r="G126" s="232">
        <v>0</v>
      </c>
      <c r="H126" s="170">
        <v>0</v>
      </c>
      <c r="I126" s="170">
        <v>0</v>
      </c>
      <c r="J126" s="240">
        <v>17</v>
      </c>
      <c r="K126" s="213">
        <v>0</v>
      </c>
      <c r="L126" s="213">
        <v>0</v>
      </c>
      <c r="M126" s="213">
        <v>0</v>
      </c>
      <c r="N126" s="234">
        <f t="shared" si="10"/>
        <v>0</v>
      </c>
      <c r="O126" s="212">
        <v>0</v>
      </c>
      <c r="P126" s="213">
        <v>0</v>
      </c>
      <c r="Q126" s="213">
        <v>0</v>
      </c>
      <c r="R126" s="214">
        <f t="shared" si="23"/>
        <v>0</v>
      </c>
      <c r="S126" s="170">
        <v>6</v>
      </c>
      <c r="T126" s="283">
        <v>41035</v>
      </c>
      <c r="U126" s="281">
        <v>41045</v>
      </c>
      <c r="V126" s="241" t="s">
        <v>797</v>
      </c>
      <c r="Y126" s="178"/>
      <c r="AD126" s="177"/>
      <c r="AG126" s="178"/>
      <c r="AL126" s="177"/>
      <c r="AO126" s="178"/>
      <c r="AP126" s="177"/>
      <c r="AS126" s="178"/>
      <c r="AW126" s="178"/>
      <c r="BA126" s="179"/>
    </row>
    <row r="127" spans="1:53" s="28" customFormat="1" x14ac:dyDescent="0.15">
      <c r="A127" s="28">
        <v>2012</v>
      </c>
      <c r="B127" s="293">
        <v>41081</v>
      </c>
      <c r="C127" s="424" t="s">
        <v>184</v>
      </c>
      <c r="D127" s="424"/>
      <c r="E127" s="28">
        <v>194</v>
      </c>
      <c r="F127" s="28">
        <v>1</v>
      </c>
      <c r="G127" s="65">
        <v>13</v>
      </c>
      <c r="I127" s="28">
        <v>5</v>
      </c>
      <c r="J127" s="72">
        <v>18</v>
      </c>
      <c r="K127" s="46">
        <f t="shared" ref="K127:M129" si="30">G127/$J127*100</f>
        <v>72.222222222222214</v>
      </c>
      <c r="L127" s="46">
        <f t="shared" si="30"/>
        <v>0</v>
      </c>
      <c r="M127" s="46">
        <f t="shared" si="30"/>
        <v>27.777777777777779</v>
      </c>
      <c r="N127" s="67">
        <f t="shared" ref="N127:N139" si="31">SUM(K127:M127)</f>
        <v>100</v>
      </c>
      <c r="O127" s="45">
        <v>43</v>
      </c>
      <c r="P127" s="46"/>
      <c r="Q127" s="46">
        <v>16</v>
      </c>
      <c r="R127" s="47">
        <f t="shared" si="23"/>
        <v>59</v>
      </c>
      <c r="S127" s="28">
        <v>3</v>
      </c>
      <c r="T127" s="284">
        <v>41077</v>
      </c>
      <c r="U127" s="293">
        <v>41081</v>
      </c>
      <c r="V127" s="37" t="s">
        <v>188</v>
      </c>
      <c r="W127" s="28" t="s">
        <v>76</v>
      </c>
      <c r="X127" s="28" t="s">
        <v>11</v>
      </c>
      <c r="Y127" s="38">
        <v>43</v>
      </c>
      <c r="Z127" s="37" t="s">
        <v>189</v>
      </c>
      <c r="AA127" s="28" t="s">
        <v>20</v>
      </c>
      <c r="AB127" s="28" t="s">
        <v>12</v>
      </c>
      <c r="AC127" s="38">
        <v>11</v>
      </c>
      <c r="AD127" s="37" t="s">
        <v>192</v>
      </c>
      <c r="AE127" s="28" t="s">
        <v>115</v>
      </c>
      <c r="AF127" s="28" t="s">
        <v>12</v>
      </c>
      <c r="AG127" s="38">
        <v>5</v>
      </c>
      <c r="AL127" s="37"/>
      <c r="AO127" s="38"/>
      <c r="AP127" s="37"/>
      <c r="AS127" s="38"/>
      <c r="AW127" s="38"/>
      <c r="BA127" s="39"/>
    </row>
    <row r="128" spans="1:53" s="28" customFormat="1" x14ac:dyDescent="0.15">
      <c r="A128" s="28">
        <v>2013</v>
      </c>
      <c r="B128" s="293"/>
      <c r="C128" s="424" t="s">
        <v>184</v>
      </c>
      <c r="D128" s="424"/>
      <c r="E128" s="28">
        <v>175</v>
      </c>
      <c r="G128" s="65">
        <v>13</v>
      </c>
      <c r="I128" s="28">
        <v>5</v>
      </c>
      <c r="J128" s="72">
        <v>18</v>
      </c>
      <c r="K128" s="46">
        <f t="shared" si="30"/>
        <v>72.222222222222214</v>
      </c>
      <c r="L128" s="46">
        <f t="shared" si="30"/>
        <v>0</v>
      </c>
      <c r="M128" s="46">
        <f t="shared" si="30"/>
        <v>27.777777777777779</v>
      </c>
      <c r="N128" s="67">
        <f t="shared" si="31"/>
        <v>100</v>
      </c>
      <c r="O128" s="45">
        <v>43</v>
      </c>
      <c r="P128" s="46"/>
      <c r="Q128" s="46">
        <v>16</v>
      </c>
      <c r="R128" s="47">
        <f t="shared" si="23"/>
        <v>59</v>
      </c>
      <c r="S128" s="28">
        <v>3</v>
      </c>
      <c r="T128" s="284"/>
      <c r="U128" s="293"/>
      <c r="V128" s="37" t="s">
        <v>188</v>
      </c>
      <c r="W128" s="28" t="s">
        <v>76</v>
      </c>
      <c r="X128" s="28" t="s">
        <v>11</v>
      </c>
      <c r="Y128" s="38">
        <v>43</v>
      </c>
      <c r="Z128" s="37" t="s">
        <v>189</v>
      </c>
      <c r="AA128" s="28" t="s">
        <v>20</v>
      </c>
      <c r="AB128" s="28" t="s">
        <v>12</v>
      </c>
      <c r="AC128" s="38">
        <v>11</v>
      </c>
      <c r="AD128" s="37" t="s">
        <v>192</v>
      </c>
      <c r="AE128" s="28" t="s">
        <v>115</v>
      </c>
      <c r="AF128" s="28" t="s">
        <v>12</v>
      </c>
      <c r="AG128" s="38">
        <v>5</v>
      </c>
      <c r="AL128" s="37"/>
      <c r="AO128" s="38"/>
      <c r="AP128" s="37"/>
      <c r="AS128" s="38"/>
      <c r="AW128" s="38"/>
      <c r="BA128" s="39"/>
    </row>
    <row r="129" spans="1:53" s="170" customFormat="1" x14ac:dyDescent="0.15">
      <c r="A129" s="170">
        <v>2013</v>
      </c>
      <c r="B129" s="281">
        <v>41450</v>
      </c>
      <c r="C129" s="395" t="s">
        <v>1268</v>
      </c>
      <c r="D129" s="395"/>
      <c r="E129" s="170">
        <f>365-E128</f>
        <v>190</v>
      </c>
      <c r="F129" s="170">
        <v>4</v>
      </c>
      <c r="G129" s="232">
        <v>16</v>
      </c>
      <c r="I129" s="170">
        <v>4</v>
      </c>
      <c r="J129" s="240">
        <v>20</v>
      </c>
      <c r="K129" s="213">
        <f t="shared" si="30"/>
        <v>80</v>
      </c>
      <c r="L129" s="213">
        <f t="shared" si="30"/>
        <v>0</v>
      </c>
      <c r="M129" s="213">
        <f t="shared" ref="M129:M139" si="32">I129/$J129*100</f>
        <v>20</v>
      </c>
      <c r="N129" s="234">
        <f t="shared" si="31"/>
        <v>100</v>
      </c>
      <c r="O129" s="212">
        <v>42</v>
      </c>
      <c r="P129" s="213"/>
      <c r="Q129" s="213">
        <v>9</v>
      </c>
      <c r="R129" s="214">
        <f t="shared" si="23"/>
        <v>51</v>
      </c>
      <c r="S129" s="170">
        <v>2</v>
      </c>
      <c r="T129" s="283"/>
      <c r="U129" s="281">
        <v>41450</v>
      </c>
      <c r="V129" s="177" t="s">
        <v>188</v>
      </c>
      <c r="W129" s="170" t="s">
        <v>76</v>
      </c>
      <c r="X129" s="170" t="s">
        <v>11</v>
      </c>
      <c r="Y129" s="178">
        <v>42</v>
      </c>
      <c r="Z129" s="170" t="s">
        <v>189</v>
      </c>
      <c r="AA129" s="170" t="s">
        <v>20</v>
      </c>
      <c r="AB129" s="170" t="s">
        <v>12</v>
      </c>
      <c r="AC129" s="170">
        <v>9</v>
      </c>
      <c r="AD129" s="177"/>
      <c r="AG129" s="178"/>
      <c r="AL129" s="177"/>
      <c r="AO129" s="178"/>
      <c r="AP129" s="177"/>
      <c r="AS129" s="178"/>
      <c r="AW129" s="178"/>
      <c r="BA129" s="179"/>
    </row>
    <row r="130" spans="1:53" s="170" customFormat="1" x14ac:dyDescent="0.15">
      <c r="A130" s="215">
        <v>2014</v>
      </c>
      <c r="B130" s="303"/>
      <c r="C130" s="395" t="s">
        <v>1268</v>
      </c>
      <c r="D130" s="395"/>
      <c r="E130" s="170">
        <v>160</v>
      </c>
      <c r="F130" s="243"/>
      <c r="G130" s="232">
        <v>16</v>
      </c>
      <c r="I130" s="170">
        <v>4</v>
      </c>
      <c r="J130" s="240">
        <v>20</v>
      </c>
      <c r="K130" s="213">
        <f t="shared" ref="K130:L139" si="33">G130/$J130*100</f>
        <v>80</v>
      </c>
      <c r="L130" s="213">
        <f t="shared" si="33"/>
        <v>0</v>
      </c>
      <c r="M130" s="213">
        <f t="shared" si="32"/>
        <v>20</v>
      </c>
      <c r="N130" s="234">
        <f t="shared" si="31"/>
        <v>100</v>
      </c>
      <c r="O130" s="212">
        <v>42</v>
      </c>
      <c r="P130" s="213"/>
      <c r="Q130" s="213">
        <v>9</v>
      </c>
      <c r="R130" s="214">
        <f t="shared" si="23"/>
        <v>51</v>
      </c>
      <c r="S130" s="170">
        <v>2</v>
      </c>
      <c r="T130" s="283"/>
      <c r="U130" s="281"/>
      <c r="V130" s="177" t="s">
        <v>188</v>
      </c>
      <c r="W130" s="170" t="s">
        <v>76</v>
      </c>
      <c r="X130" s="170" t="s">
        <v>11</v>
      </c>
      <c r="Y130" s="178">
        <v>42</v>
      </c>
      <c r="Z130" s="170" t="s">
        <v>189</v>
      </c>
      <c r="AA130" s="170" t="s">
        <v>20</v>
      </c>
      <c r="AB130" s="170" t="s">
        <v>12</v>
      </c>
      <c r="AC130" s="170">
        <v>9</v>
      </c>
      <c r="AD130" s="177"/>
      <c r="AG130" s="178"/>
      <c r="AL130" s="177"/>
      <c r="AO130" s="178"/>
      <c r="AP130" s="177"/>
      <c r="AS130" s="178"/>
      <c r="AW130" s="178"/>
      <c r="BA130" s="179"/>
    </row>
    <row r="131" spans="1:53" s="170" customFormat="1" x14ac:dyDescent="0.15">
      <c r="A131" s="215">
        <v>2014</v>
      </c>
      <c r="B131" s="303">
        <v>41800</v>
      </c>
      <c r="C131" s="395" t="s">
        <v>1268</v>
      </c>
      <c r="D131" s="395"/>
      <c r="E131" s="170">
        <v>205</v>
      </c>
      <c r="F131" s="243">
        <v>0</v>
      </c>
      <c r="G131" s="232">
        <v>16</v>
      </c>
      <c r="I131" s="170">
        <v>4</v>
      </c>
      <c r="J131" s="240">
        <v>20</v>
      </c>
      <c r="K131" s="213">
        <f t="shared" si="33"/>
        <v>80</v>
      </c>
      <c r="L131" s="213">
        <f t="shared" si="33"/>
        <v>0</v>
      </c>
      <c r="M131" s="213">
        <f t="shared" si="32"/>
        <v>20</v>
      </c>
      <c r="N131" s="234">
        <f t="shared" si="31"/>
        <v>100</v>
      </c>
      <c r="O131" s="212">
        <v>42</v>
      </c>
      <c r="P131" s="213"/>
      <c r="Q131" s="213">
        <v>9</v>
      </c>
      <c r="R131" s="214">
        <f t="shared" si="23"/>
        <v>51</v>
      </c>
      <c r="S131" s="170">
        <v>2</v>
      </c>
      <c r="T131" s="283"/>
      <c r="U131" s="281"/>
      <c r="V131" s="177" t="s">
        <v>188</v>
      </c>
      <c r="W131" s="170" t="s">
        <v>76</v>
      </c>
      <c r="X131" s="170" t="s">
        <v>11</v>
      </c>
      <c r="Y131" s="178">
        <v>42</v>
      </c>
      <c r="Z131" s="170" t="s">
        <v>189</v>
      </c>
      <c r="AA131" s="170" t="s">
        <v>20</v>
      </c>
      <c r="AB131" s="170" t="s">
        <v>12</v>
      </c>
      <c r="AC131" s="170">
        <v>9</v>
      </c>
      <c r="AD131" s="177"/>
      <c r="AG131" s="178"/>
      <c r="AL131" s="177"/>
      <c r="AO131" s="178"/>
      <c r="AP131" s="177"/>
      <c r="AS131" s="178"/>
      <c r="AW131" s="178"/>
      <c r="BA131" s="179"/>
    </row>
    <row r="132" spans="1:53" s="170" customFormat="1" x14ac:dyDescent="0.15">
      <c r="A132" s="215">
        <v>2015</v>
      </c>
      <c r="B132" s="303"/>
      <c r="C132" s="395" t="s">
        <v>1268</v>
      </c>
      <c r="D132" s="395"/>
      <c r="E132" s="170">
        <v>25</v>
      </c>
      <c r="F132" s="243"/>
      <c r="G132" s="232">
        <v>16</v>
      </c>
      <c r="I132" s="170">
        <v>4</v>
      </c>
      <c r="J132" s="240">
        <v>20</v>
      </c>
      <c r="K132" s="213">
        <f t="shared" si="33"/>
        <v>80</v>
      </c>
      <c r="L132" s="213">
        <f t="shared" si="33"/>
        <v>0</v>
      </c>
      <c r="M132" s="213">
        <f t="shared" si="32"/>
        <v>20</v>
      </c>
      <c r="N132" s="234">
        <f t="shared" si="31"/>
        <v>100</v>
      </c>
      <c r="O132" s="212">
        <v>42</v>
      </c>
      <c r="P132" s="213"/>
      <c r="Q132" s="213">
        <v>9</v>
      </c>
      <c r="R132" s="214">
        <f t="shared" ref="R132:R135" si="34">SUM(O132:Q132)</f>
        <v>51</v>
      </c>
      <c r="S132" s="170">
        <v>2</v>
      </c>
      <c r="T132" s="283"/>
      <c r="U132" s="281"/>
      <c r="V132" s="177" t="s">
        <v>188</v>
      </c>
      <c r="W132" s="170" t="s">
        <v>76</v>
      </c>
      <c r="X132" s="170" t="s">
        <v>11</v>
      </c>
      <c r="Y132" s="178">
        <v>42</v>
      </c>
      <c r="Z132" s="170" t="s">
        <v>189</v>
      </c>
      <c r="AA132" s="170" t="s">
        <v>20</v>
      </c>
      <c r="AB132" s="170" t="s">
        <v>12</v>
      </c>
      <c r="AC132" s="170">
        <v>9</v>
      </c>
      <c r="AD132" s="177"/>
      <c r="AG132" s="178"/>
      <c r="AL132" s="177"/>
      <c r="AO132" s="178"/>
      <c r="AP132" s="177"/>
      <c r="AS132" s="178"/>
      <c r="AW132" s="178"/>
      <c r="BA132" s="179"/>
    </row>
    <row r="133" spans="1:53" s="28" customFormat="1" x14ac:dyDescent="0.15">
      <c r="A133" s="28">
        <v>2015</v>
      </c>
      <c r="B133" s="293">
        <v>42030</v>
      </c>
      <c r="C133" s="424" t="s">
        <v>1317</v>
      </c>
      <c r="D133" s="424"/>
      <c r="E133" s="28">
        <v>214</v>
      </c>
      <c r="F133" s="28">
        <v>1</v>
      </c>
      <c r="G133" s="65">
        <v>1</v>
      </c>
      <c r="I133" s="28">
        <v>11</v>
      </c>
      <c r="J133" s="72">
        <v>15</v>
      </c>
      <c r="K133" s="46">
        <f t="shared" si="33"/>
        <v>6.666666666666667</v>
      </c>
      <c r="L133" s="46">
        <f t="shared" si="33"/>
        <v>0</v>
      </c>
      <c r="M133" s="46">
        <f t="shared" si="32"/>
        <v>73.333333333333329</v>
      </c>
      <c r="N133" s="67">
        <f t="shared" si="31"/>
        <v>80</v>
      </c>
      <c r="O133" s="45">
        <v>4.3</v>
      </c>
      <c r="P133" s="46"/>
      <c r="Q133" s="46">
        <v>49.7</v>
      </c>
      <c r="R133" s="47">
        <f t="shared" si="34"/>
        <v>54</v>
      </c>
      <c r="S133" s="28">
        <v>2</v>
      </c>
      <c r="T133" s="284">
        <v>42029</v>
      </c>
      <c r="U133" s="293">
        <v>42030</v>
      </c>
      <c r="V133" s="270" t="s">
        <v>190</v>
      </c>
      <c r="W133" s="28" t="s">
        <v>191</v>
      </c>
      <c r="X133" s="28" t="s">
        <v>12</v>
      </c>
      <c r="Y133" s="38">
        <v>49.7</v>
      </c>
      <c r="Z133" s="37" t="s">
        <v>1320</v>
      </c>
      <c r="AA133" s="28" t="s">
        <v>1321</v>
      </c>
      <c r="AB133" s="28" t="s">
        <v>11</v>
      </c>
      <c r="AC133" s="38">
        <v>4.3</v>
      </c>
      <c r="AD133" s="37"/>
      <c r="AG133" s="38"/>
      <c r="AL133" s="37"/>
      <c r="AO133" s="38"/>
      <c r="AP133" s="37"/>
      <c r="AS133" s="38"/>
      <c r="AW133" s="38"/>
      <c r="BA133" s="39"/>
    </row>
    <row r="134" spans="1:53" s="170" customFormat="1" x14ac:dyDescent="0.15">
      <c r="A134" s="215">
        <v>2015</v>
      </c>
      <c r="B134" s="281">
        <v>42244</v>
      </c>
      <c r="C134" s="395" t="s">
        <v>1318</v>
      </c>
      <c r="D134" s="395"/>
      <c r="E134" s="170">
        <v>26</v>
      </c>
      <c r="F134" s="170">
        <v>1</v>
      </c>
      <c r="G134" s="232">
        <v>0</v>
      </c>
      <c r="H134" s="170">
        <v>0</v>
      </c>
      <c r="I134" s="170">
        <v>0</v>
      </c>
      <c r="J134" s="240">
        <v>13</v>
      </c>
      <c r="K134" s="213">
        <f t="shared" si="33"/>
        <v>0</v>
      </c>
      <c r="L134" s="213">
        <f t="shared" si="33"/>
        <v>0</v>
      </c>
      <c r="M134" s="213">
        <f t="shared" si="32"/>
        <v>0</v>
      </c>
      <c r="N134" s="234">
        <f t="shared" si="31"/>
        <v>0</v>
      </c>
      <c r="O134" s="212">
        <v>0</v>
      </c>
      <c r="P134" s="213">
        <v>0</v>
      </c>
      <c r="Q134" s="213">
        <v>0</v>
      </c>
      <c r="R134" s="214">
        <f t="shared" si="34"/>
        <v>0</v>
      </c>
      <c r="S134" s="170">
        <v>6</v>
      </c>
      <c r="T134" s="283"/>
      <c r="U134" s="281">
        <v>42244</v>
      </c>
      <c r="V134" s="241" t="s">
        <v>797</v>
      </c>
      <c r="Y134" s="178"/>
      <c r="AD134" s="177"/>
      <c r="AG134" s="178"/>
      <c r="AL134" s="177"/>
      <c r="AO134" s="178"/>
      <c r="AP134" s="177"/>
      <c r="AS134" s="178"/>
      <c r="AW134" s="178"/>
      <c r="BA134" s="179"/>
    </row>
    <row r="135" spans="1:53" s="28" customFormat="1" x14ac:dyDescent="0.15">
      <c r="A135" s="28">
        <v>2015</v>
      </c>
      <c r="B135" s="293">
        <v>42270</v>
      </c>
      <c r="C135" s="424" t="s">
        <v>1319</v>
      </c>
      <c r="D135" s="424"/>
      <c r="E135" s="28">
        <v>100</v>
      </c>
      <c r="F135" s="28">
        <v>1</v>
      </c>
      <c r="G135" s="65">
        <v>1</v>
      </c>
      <c r="I135" s="28">
        <v>15</v>
      </c>
      <c r="J135" s="72">
        <v>18</v>
      </c>
      <c r="K135" s="46">
        <f t="shared" si="33"/>
        <v>5.5555555555555554</v>
      </c>
      <c r="L135" s="46">
        <f t="shared" si="33"/>
        <v>0</v>
      </c>
      <c r="M135" s="46">
        <f t="shared" si="32"/>
        <v>83.333333333333343</v>
      </c>
      <c r="N135" s="67">
        <f t="shared" si="31"/>
        <v>88.8888888888889</v>
      </c>
      <c r="O135" s="45">
        <v>3.3</v>
      </c>
      <c r="P135" s="46"/>
      <c r="Q135" s="46">
        <v>48.3</v>
      </c>
      <c r="R135" s="47">
        <f t="shared" si="34"/>
        <v>51.599999999999994</v>
      </c>
      <c r="S135" s="28">
        <v>2</v>
      </c>
      <c r="T135" s="284">
        <v>42267</v>
      </c>
      <c r="U135" s="293">
        <v>42270</v>
      </c>
      <c r="V135" s="37" t="s">
        <v>190</v>
      </c>
      <c r="W135" s="28" t="s">
        <v>191</v>
      </c>
      <c r="X135" s="28" t="s">
        <v>12</v>
      </c>
      <c r="Y135" s="38">
        <v>48.3</v>
      </c>
      <c r="Z135" s="37" t="s">
        <v>1320</v>
      </c>
      <c r="AA135" s="28" t="s">
        <v>1321</v>
      </c>
      <c r="AB135" s="28" t="s">
        <v>11</v>
      </c>
      <c r="AC135" s="38">
        <v>3.3</v>
      </c>
      <c r="AD135" s="37"/>
      <c r="AG135" s="38"/>
      <c r="AL135" s="37"/>
      <c r="AO135" s="38"/>
      <c r="AP135" s="37"/>
      <c r="AS135" s="38"/>
      <c r="AW135" s="38"/>
      <c r="BA135" s="39"/>
    </row>
    <row r="136" spans="1:53" s="28" customFormat="1" x14ac:dyDescent="0.15">
      <c r="A136" s="28">
        <v>2016</v>
      </c>
      <c r="B136" s="293"/>
      <c r="C136" s="424" t="s">
        <v>1319</v>
      </c>
      <c r="D136" s="424"/>
      <c r="E136" s="28">
        <v>308</v>
      </c>
      <c r="G136" s="65">
        <v>1</v>
      </c>
      <c r="I136" s="28">
        <v>15</v>
      </c>
      <c r="J136" s="72">
        <v>18</v>
      </c>
      <c r="K136" s="46">
        <f t="shared" si="33"/>
        <v>5.5555555555555554</v>
      </c>
      <c r="L136" s="46">
        <f t="shared" si="33"/>
        <v>0</v>
      </c>
      <c r="M136" s="46">
        <f t="shared" si="32"/>
        <v>83.333333333333343</v>
      </c>
      <c r="N136" s="67">
        <f t="shared" si="31"/>
        <v>88.8888888888889</v>
      </c>
      <c r="O136" s="45">
        <v>3.3</v>
      </c>
      <c r="P136" s="46"/>
      <c r="Q136" s="46">
        <v>48.3</v>
      </c>
      <c r="R136" s="47">
        <f t="shared" ref="R136:R137" si="35">SUM(O136:Q136)</f>
        <v>51.599999999999994</v>
      </c>
      <c r="S136" s="28">
        <v>2</v>
      </c>
      <c r="T136" s="284"/>
      <c r="U136" s="293"/>
      <c r="V136" s="37" t="s">
        <v>190</v>
      </c>
      <c r="W136" s="28" t="s">
        <v>191</v>
      </c>
      <c r="X136" s="28" t="s">
        <v>12</v>
      </c>
      <c r="Y136" s="38">
        <v>48.3</v>
      </c>
      <c r="Z136" s="37" t="s">
        <v>1320</v>
      </c>
      <c r="AA136" s="28" t="s">
        <v>1321</v>
      </c>
      <c r="AB136" s="28" t="s">
        <v>11</v>
      </c>
      <c r="AC136" s="38">
        <v>3.3</v>
      </c>
      <c r="AD136" s="37"/>
      <c r="AG136" s="38"/>
      <c r="AL136" s="37"/>
      <c r="AO136" s="38"/>
      <c r="AP136" s="37"/>
      <c r="AS136" s="38"/>
      <c r="AW136" s="38"/>
      <c r="BA136" s="39"/>
    </row>
    <row r="137" spans="1:53" s="28" customFormat="1" x14ac:dyDescent="0.15">
      <c r="A137" s="28">
        <v>2016</v>
      </c>
      <c r="B137" s="309">
        <v>42678</v>
      </c>
      <c r="C137" s="424" t="s">
        <v>1319</v>
      </c>
      <c r="D137" s="424"/>
      <c r="E137" s="28">
        <v>58</v>
      </c>
      <c r="F137" s="83">
        <v>0</v>
      </c>
      <c r="G137" s="65">
        <v>2</v>
      </c>
      <c r="I137" s="28">
        <v>18</v>
      </c>
      <c r="J137" s="72">
        <v>23</v>
      </c>
      <c r="K137" s="46">
        <f t="shared" si="33"/>
        <v>8.695652173913043</v>
      </c>
      <c r="L137" s="46">
        <f t="shared" si="33"/>
        <v>0</v>
      </c>
      <c r="M137" s="46">
        <f t="shared" si="32"/>
        <v>78.260869565217391</v>
      </c>
      <c r="N137" s="67">
        <f t="shared" si="31"/>
        <v>86.956521739130437</v>
      </c>
      <c r="O137" s="45">
        <v>3.3</v>
      </c>
      <c r="P137" s="46"/>
      <c r="Q137" s="46">
        <v>48.3</v>
      </c>
      <c r="R137" s="47">
        <f t="shared" si="35"/>
        <v>51.599999999999994</v>
      </c>
      <c r="S137" s="28">
        <v>2</v>
      </c>
      <c r="T137" s="284"/>
      <c r="U137" s="293"/>
      <c r="V137" s="37" t="s">
        <v>190</v>
      </c>
      <c r="W137" s="28" t="s">
        <v>191</v>
      </c>
      <c r="X137" s="28" t="s">
        <v>12</v>
      </c>
      <c r="Y137" s="38">
        <v>48.3</v>
      </c>
      <c r="Z137" s="37" t="s">
        <v>1320</v>
      </c>
      <c r="AA137" s="28" t="s">
        <v>1321</v>
      </c>
      <c r="AB137" s="28" t="s">
        <v>11</v>
      </c>
      <c r="AC137" s="38">
        <v>3.3</v>
      </c>
      <c r="AD137" s="37"/>
      <c r="AG137" s="38"/>
      <c r="AL137" s="37"/>
      <c r="AO137" s="38"/>
      <c r="AP137" s="37"/>
      <c r="AS137" s="38"/>
      <c r="AW137" s="38"/>
      <c r="BA137" s="39"/>
    </row>
    <row r="138" spans="1:53" s="28" customFormat="1" x14ac:dyDescent="0.15">
      <c r="A138" s="28">
        <v>2017</v>
      </c>
      <c r="B138" s="293"/>
      <c r="C138" s="424" t="s">
        <v>1319</v>
      </c>
      <c r="D138" s="424"/>
      <c r="E138" s="28">
        <v>0</v>
      </c>
      <c r="G138" s="65">
        <v>2</v>
      </c>
      <c r="I138" s="28">
        <v>18</v>
      </c>
      <c r="J138" s="72">
        <v>23</v>
      </c>
      <c r="K138" s="46">
        <f t="shared" si="33"/>
        <v>8.695652173913043</v>
      </c>
      <c r="L138" s="46">
        <f t="shared" si="33"/>
        <v>0</v>
      </c>
      <c r="M138" s="46">
        <f t="shared" si="32"/>
        <v>78.260869565217391</v>
      </c>
      <c r="N138" s="67">
        <f t="shared" si="31"/>
        <v>86.956521739130437</v>
      </c>
      <c r="O138" s="45">
        <v>3.3</v>
      </c>
      <c r="P138" s="46"/>
      <c r="Q138" s="46">
        <v>48.3</v>
      </c>
      <c r="R138" s="47">
        <f t="shared" ref="R138:R139" si="36">SUM(O138:Q138)</f>
        <v>51.599999999999994</v>
      </c>
      <c r="S138" s="28">
        <v>2</v>
      </c>
      <c r="T138" s="284"/>
      <c r="U138" s="293"/>
      <c r="V138" s="37" t="s">
        <v>190</v>
      </c>
      <c r="W138" s="28" t="s">
        <v>191</v>
      </c>
      <c r="X138" s="28" t="s">
        <v>12</v>
      </c>
      <c r="Y138" s="38">
        <v>48.3</v>
      </c>
      <c r="Z138" s="37" t="s">
        <v>1320</v>
      </c>
      <c r="AA138" s="28" t="s">
        <v>1321</v>
      </c>
      <c r="AB138" s="28" t="s">
        <v>11</v>
      </c>
      <c r="AC138" s="38">
        <v>3.3</v>
      </c>
      <c r="AD138" s="37"/>
      <c r="AG138" s="38"/>
      <c r="AL138" s="37"/>
      <c r="AO138" s="38"/>
      <c r="AP138" s="37"/>
      <c r="AS138" s="38"/>
      <c r="AW138" s="38"/>
      <c r="BA138" s="39"/>
    </row>
    <row r="139" spans="1:53" s="28" customFormat="1" x14ac:dyDescent="0.15">
      <c r="A139" s="28">
        <v>2017</v>
      </c>
      <c r="B139" s="293"/>
      <c r="C139" s="424" t="s">
        <v>1319</v>
      </c>
      <c r="D139" s="424"/>
      <c r="E139" s="28">
        <v>365</v>
      </c>
      <c r="G139" s="65">
        <v>2</v>
      </c>
      <c r="I139" s="28">
        <v>18</v>
      </c>
      <c r="J139" s="72">
        <v>23</v>
      </c>
      <c r="K139" s="46">
        <f t="shared" si="33"/>
        <v>8.695652173913043</v>
      </c>
      <c r="L139" s="46">
        <f t="shared" si="33"/>
        <v>0</v>
      </c>
      <c r="M139" s="46">
        <f t="shared" si="32"/>
        <v>78.260869565217391</v>
      </c>
      <c r="N139" s="67">
        <f t="shared" si="31"/>
        <v>86.956521739130437</v>
      </c>
      <c r="O139" s="45">
        <v>3.3</v>
      </c>
      <c r="P139" s="46"/>
      <c r="Q139" s="46">
        <v>48.3</v>
      </c>
      <c r="R139" s="47">
        <f t="shared" si="36"/>
        <v>51.599999999999994</v>
      </c>
      <c r="S139" s="28">
        <v>2</v>
      </c>
      <c r="T139" s="284"/>
      <c r="U139" s="293"/>
      <c r="V139" s="37" t="s">
        <v>190</v>
      </c>
      <c r="W139" s="28" t="s">
        <v>191</v>
      </c>
      <c r="X139" s="28" t="s">
        <v>12</v>
      </c>
      <c r="Y139" s="38">
        <v>48.3</v>
      </c>
      <c r="Z139" s="37" t="s">
        <v>1320</v>
      </c>
      <c r="AA139" s="28" t="s">
        <v>1321</v>
      </c>
      <c r="AB139" s="28" t="s">
        <v>11</v>
      </c>
      <c r="AC139" s="38">
        <v>3.3</v>
      </c>
      <c r="AD139" s="37"/>
      <c r="AG139" s="38"/>
      <c r="AL139" s="37"/>
      <c r="AO139" s="38"/>
      <c r="AP139" s="37"/>
      <c r="AS139" s="38"/>
      <c r="AW139" s="38"/>
      <c r="BA139" s="39"/>
    </row>
    <row r="140" spans="1:53" s="28" customFormat="1" x14ac:dyDescent="0.15">
      <c r="A140" s="28">
        <v>2018</v>
      </c>
      <c r="B140" s="293"/>
      <c r="C140" s="424" t="s">
        <v>1319</v>
      </c>
      <c r="D140" s="424"/>
      <c r="E140" s="28">
        <v>239</v>
      </c>
      <c r="G140" s="65">
        <v>2</v>
      </c>
      <c r="I140" s="28">
        <v>18</v>
      </c>
      <c r="J140" s="72">
        <v>23</v>
      </c>
      <c r="K140" s="46">
        <f t="shared" ref="K140:K141" si="37">G140/$J140*100</f>
        <v>8.695652173913043</v>
      </c>
      <c r="L140" s="46">
        <f t="shared" ref="L140:L141" si="38">H140/$J140*100</f>
        <v>0</v>
      </c>
      <c r="M140" s="46">
        <f t="shared" ref="M140:M141" si="39">I140/$J140*100</f>
        <v>78.260869565217391</v>
      </c>
      <c r="N140" s="67">
        <f t="shared" ref="N140:N141" si="40">SUM(K140:M140)</f>
        <v>86.956521739130437</v>
      </c>
      <c r="O140" s="45">
        <v>3.3</v>
      </c>
      <c r="P140" s="46"/>
      <c r="Q140" s="46">
        <v>48.3</v>
      </c>
      <c r="R140" s="47">
        <f t="shared" ref="R140" si="41">SUM(O140:Q140)</f>
        <v>51.599999999999994</v>
      </c>
      <c r="S140" s="28">
        <v>2</v>
      </c>
      <c r="T140" s="284"/>
      <c r="U140" s="293"/>
      <c r="V140" s="37" t="s">
        <v>190</v>
      </c>
      <c r="W140" s="28" t="s">
        <v>191</v>
      </c>
      <c r="X140" s="28" t="s">
        <v>12</v>
      </c>
      <c r="Y140" s="38">
        <v>48.3</v>
      </c>
      <c r="Z140" s="37" t="s">
        <v>1320</v>
      </c>
      <c r="AA140" s="28" t="s">
        <v>1321</v>
      </c>
      <c r="AB140" s="28" t="s">
        <v>11</v>
      </c>
      <c r="AC140" s="38">
        <v>3.3</v>
      </c>
      <c r="AD140" s="37"/>
      <c r="AG140" s="38"/>
      <c r="AL140" s="37"/>
      <c r="AO140" s="38"/>
      <c r="AP140" s="37"/>
      <c r="AS140" s="38"/>
      <c r="AW140" s="38"/>
      <c r="BA140" s="39"/>
    </row>
    <row r="141" spans="1:53" s="28" customFormat="1" x14ac:dyDescent="0.15">
      <c r="A141" s="28">
        <v>2018</v>
      </c>
      <c r="B141" s="309">
        <v>43340</v>
      </c>
      <c r="C141" s="424" t="s">
        <v>1319</v>
      </c>
      <c r="D141" s="424"/>
      <c r="E141" s="28">
        <v>126</v>
      </c>
      <c r="F141" s="83">
        <v>0</v>
      </c>
      <c r="G141" s="65">
        <v>2</v>
      </c>
      <c r="I141" s="28">
        <v>22</v>
      </c>
      <c r="J141" s="72">
        <v>24</v>
      </c>
      <c r="K141" s="46">
        <f t="shared" si="37"/>
        <v>8.3333333333333321</v>
      </c>
      <c r="L141" s="46">
        <f t="shared" si="38"/>
        <v>0</v>
      </c>
      <c r="M141" s="46">
        <f t="shared" si="39"/>
        <v>91.666666666666657</v>
      </c>
      <c r="N141" s="67">
        <f t="shared" si="40"/>
        <v>99.999999999999986</v>
      </c>
      <c r="O141" s="45">
        <v>3.3</v>
      </c>
      <c r="P141" s="46"/>
      <c r="Q141" s="46">
        <v>48.3</v>
      </c>
      <c r="R141" s="47">
        <f t="shared" ref="R141" si="42">SUM(O141:Q141)</f>
        <v>51.599999999999994</v>
      </c>
      <c r="S141" s="28">
        <v>2</v>
      </c>
      <c r="T141" s="284"/>
      <c r="U141" s="293"/>
      <c r="V141" s="37" t="s">
        <v>190</v>
      </c>
      <c r="W141" s="28" t="s">
        <v>191</v>
      </c>
      <c r="X141" s="28" t="s">
        <v>12</v>
      </c>
      <c r="Y141" s="38">
        <v>48.3</v>
      </c>
      <c r="Z141" s="37" t="s">
        <v>1320</v>
      </c>
      <c r="AA141" s="28" t="s">
        <v>1321</v>
      </c>
      <c r="AB141" s="28" t="s">
        <v>11</v>
      </c>
      <c r="AC141" s="38">
        <v>3.3</v>
      </c>
      <c r="AD141" s="37"/>
      <c r="AG141" s="38"/>
      <c r="AL141" s="37"/>
      <c r="AO141" s="38"/>
      <c r="AP141" s="37"/>
      <c r="AS141" s="38"/>
      <c r="AW141" s="38"/>
      <c r="BA141" s="39"/>
    </row>
    <row r="142" spans="1:53" s="28" customFormat="1" x14ac:dyDescent="0.15">
      <c r="A142" s="28">
        <v>2019</v>
      </c>
      <c r="B142" s="293"/>
      <c r="C142" s="424" t="s">
        <v>1319</v>
      </c>
      <c r="D142" s="424"/>
      <c r="E142" s="28">
        <v>13</v>
      </c>
      <c r="F142" s="83"/>
      <c r="G142" s="65">
        <v>2</v>
      </c>
      <c r="I142" s="28">
        <v>22</v>
      </c>
      <c r="J142" s="72">
        <v>24</v>
      </c>
      <c r="K142" s="46">
        <f t="shared" ref="K142:K151" si="43">G142/$J142*100</f>
        <v>8.3333333333333321</v>
      </c>
      <c r="L142" s="46">
        <f t="shared" ref="L142:L151" si="44">H142/$J142*100</f>
        <v>0</v>
      </c>
      <c r="M142" s="46">
        <f t="shared" ref="M142:M151" si="45">I142/$J142*100</f>
        <v>91.666666666666657</v>
      </c>
      <c r="N142" s="67">
        <f t="shared" ref="N142:N151" si="46">SUM(K142:M142)</f>
        <v>99.999999999999986</v>
      </c>
      <c r="O142" s="45">
        <v>3.3</v>
      </c>
      <c r="P142" s="46"/>
      <c r="Q142" s="46">
        <v>48.3</v>
      </c>
      <c r="R142" s="47">
        <f t="shared" ref="R142:R151" si="47">SUM(O142:Q142)</f>
        <v>51.599999999999994</v>
      </c>
      <c r="S142" s="28">
        <v>2</v>
      </c>
      <c r="T142" s="284"/>
      <c r="U142" s="293"/>
      <c r="V142" s="37" t="s">
        <v>190</v>
      </c>
      <c r="W142" s="28" t="s">
        <v>191</v>
      </c>
      <c r="X142" s="28" t="s">
        <v>12</v>
      </c>
      <c r="Y142" s="38">
        <v>48.3</v>
      </c>
      <c r="Z142" s="37" t="s">
        <v>1320</v>
      </c>
      <c r="AA142" s="28" t="s">
        <v>1321</v>
      </c>
      <c r="AB142" s="28" t="s">
        <v>11</v>
      </c>
      <c r="AC142" s="38">
        <v>3.3</v>
      </c>
      <c r="AD142" s="37"/>
      <c r="AG142" s="38"/>
      <c r="AL142" s="37"/>
      <c r="AO142" s="38"/>
      <c r="AP142" s="37"/>
      <c r="AS142" s="38"/>
      <c r="AW142" s="38"/>
      <c r="BA142" s="39"/>
    </row>
    <row r="143" spans="1:53" s="28" customFormat="1" x14ac:dyDescent="0.15">
      <c r="A143" s="28">
        <v>2019</v>
      </c>
      <c r="B143" s="309">
        <v>43479</v>
      </c>
      <c r="C143" s="424" t="s">
        <v>1319</v>
      </c>
      <c r="D143" s="424"/>
      <c r="E143" s="28">
        <v>109</v>
      </c>
      <c r="F143" s="83">
        <v>0</v>
      </c>
      <c r="G143" s="65">
        <v>1</v>
      </c>
      <c r="I143" s="28">
        <v>22</v>
      </c>
      <c r="J143" s="72">
        <v>24</v>
      </c>
      <c r="K143" s="46">
        <f t="shared" si="43"/>
        <v>4.1666666666666661</v>
      </c>
      <c r="L143" s="46">
        <f t="shared" si="44"/>
        <v>0</v>
      </c>
      <c r="M143" s="46">
        <f t="shared" si="45"/>
        <v>91.666666666666657</v>
      </c>
      <c r="N143" s="67">
        <f t="shared" si="46"/>
        <v>95.833333333333329</v>
      </c>
      <c r="O143" s="45">
        <v>3.3</v>
      </c>
      <c r="P143" s="46"/>
      <c r="Q143" s="46">
        <v>48.3</v>
      </c>
      <c r="R143" s="47">
        <f t="shared" si="47"/>
        <v>51.599999999999994</v>
      </c>
      <c r="S143" s="28">
        <v>2</v>
      </c>
      <c r="T143" s="284"/>
      <c r="U143" s="293"/>
      <c r="V143" s="37" t="s">
        <v>190</v>
      </c>
      <c r="W143" s="28" t="s">
        <v>191</v>
      </c>
      <c r="X143" s="28" t="s">
        <v>12</v>
      </c>
      <c r="Y143" s="38">
        <v>48.3</v>
      </c>
      <c r="Z143" s="37" t="s">
        <v>1320</v>
      </c>
      <c r="AA143" s="28" t="s">
        <v>1321</v>
      </c>
      <c r="AB143" s="28" t="s">
        <v>11</v>
      </c>
      <c r="AC143" s="38">
        <v>3.3</v>
      </c>
      <c r="AD143" s="37"/>
      <c r="AG143" s="38"/>
      <c r="AL143" s="37"/>
      <c r="AO143" s="38"/>
      <c r="AP143" s="37"/>
      <c r="AS143" s="38"/>
      <c r="AW143" s="38"/>
      <c r="BA143" s="39"/>
    </row>
    <row r="144" spans="1:53" s="28" customFormat="1" x14ac:dyDescent="0.15">
      <c r="A144" s="28">
        <v>2019</v>
      </c>
      <c r="B144" s="301">
        <v>43588</v>
      </c>
      <c r="C144" s="424" t="s">
        <v>1319</v>
      </c>
      <c r="D144" s="424"/>
      <c r="E144" s="28">
        <v>67</v>
      </c>
      <c r="F144" s="83">
        <v>0</v>
      </c>
      <c r="G144" s="65"/>
      <c r="I144" s="28">
        <v>23</v>
      </c>
      <c r="J144" s="72">
        <v>24</v>
      </c>
      <c r="K144" s="46">
        <f t="shared" si="43"/>
        <v>0</v>
      </c>
      <c r="L144" s="46">
        <f t="shared" si="44"/>
        <v>0</v>
      </c>
      <c r="M144" s="46">
        <f t="shared" si="45"/>
        <v>95.833333333333343</v>
      </c>
      <c r="N144" s="67">
        <f t="shared" si="46"/>
        <v>95.833333333333343</v>
      </c>
      <c r="O144" s="45"/>
      <c r="P144" s="46"/>
      <c r="Q144" s="46">
        <v>48.3</v>
      </c>
      <c r="R144" s="47">
        <f t="shared" si="47"/>
        <v>48.3</v>
      </c>
      <c r="S144" s="28">
        <v>5</v>
      </c>
      <c r="T144" s="284"/>
      <c r="U144" s="293"/>
      <c r="V144" s="37" t="s">
        <v>190</v>
      </c>
      <c r="W144" s="28" t="s">
        <v>191</v>
      </c>
      <c r="X144" s="28" t="s">
        <v>12</v>
      </c>
      <c r="Y144" s="38">
        <v>48.3</v>
      </c>
      <c r="Z144" s="37" t="s">
        <v>192</v>
      </c>
      <c r="AA144" s="28" t="s">
        <v>115</v>
      </c>
      <c r="AB144" s="28" t="s">
        <v>12</v>
      </c>
      <c r="AC144" s="38">
        <v>0</v>
      </c>
      <c r="AD144" s="37"/>
      <c r="AG144" s="38"/>
      <c r="AL144" s="37"/>
      <c r="AO144" s="38"/>
      <c r="AP144" s="37"/>
      <c r="AS144" s="38"/>
      <c r="AW144" s="38"/>
      <c r="BA144" s="39"/>
    </row>
    <row r="145" spans="1:53" s="170" customFormat="1" x14ac:dyDescent="0.15">
      <c r="A145" s="215">
        <v>2019</v>
      </c>
      <c r="B145" s="281">
        <v>43655</v>
      </c>
      <c r="C145" s="395" t="s">
        <v>1482</v>
      </c>
      <c r="D145" s="395"/>
      <c r="E145" s="170">
        <v>176</v>
      </c>
      <c r="F145" s="179">
        <v>1</v>
      </c>
      <c r="G145" s="170">
        <v>17</v>
      </c>
      <c r="J145" s="240">
        <v>20</v>
      </c>
      <c r="K145" s="213">
        <f t="shared" si="43"/>
        <v>85</v>
      </c>
      <c r="L145" s="213">
        <f t="shared" si="44"/>
        <v>0</v>
      </c>
      <c r="M145" s="213">
        <f t="shared" si="45"/>
        <v>0</v>
      </c>
      <c r="N145" s="234">
        <f t="shared" si="46"/>
        <v>85</v>
      </c>
      <c r="O145" s="212">
        <v>53</v>
      </c>
      <c r="P145" s="213"/>
      <c r="Q145" s="213"/>
      <c r="R145" s="214">
        <f t="shared" si="47"/>
        <v>53</v>
      </c>
      <c r="S145" s="170">
        <v>1</v>
      </c>
      <c r="T145" s="283">
        <v>43653</v>
      </c>
      <c r="U145" s="281">
        <v>43655</v>
      </c>
      <c r="V145" s="177" t="s">
        <v>188</v>
      </c>
      <c r="W145" s="170" t="s">
        <v>76</v>
      </c>
      <c r="X145" s="170" t="s">
        <v>11</v>
      </c>
      <c r="Y145" s="247">
        <v>53</v>
      </c>
      <c r="AC145" s="178"/>
      <c r="AG145" s="178"/>
      <c r="AL145" s="177"/>
      <c r="AO145" s="178"/>
      <c r="AP145" s="177"/>
      <c r="AS145" s="178"/>
      <c r="AW145" s="178"/>
      <c r="BA145" s="179"/>
    </row>
    <row r="146" spans="1:53" s="170" customFormat="1" x14ac:dyDescent="0.15">
      <c r="A146" s="215">
        <v>2020</v>
      </c>
      <c r="B146" s="281"/>
      <c r="C146" s="395" t="s">
        <v>1482</v>
      </c>
      <c r="D146" s="395"/>
      <c r="E146" s="170">
        <v>15</v>
      </c>
      <c r="F146" s="179"/>
      <c r="G146" s="170">
        <v>17</v>
      </c>
      <c r="J146" s="240">
        <v>20</v>
      </c>
      <c r="K146" s="213">
        <f t="shared" si="43"/>
        <v>85</v>
      </c>
      <c r="L146" s="213">
        <f t="shared" si="44"/>
        <v>0</v>
      </c>
      <c r="M146" s="213">
        <f t="shared" si="45"/>
        <v>0</v>
      </c>
      <c r="N146" s="234">
        <f t="shared" si="46"/>
        <v>85</v>
      </c>
      <c r="O146" s="212">
        <v>53</v>
      </c>
      <c r="P146" s="213"/>
      <c r="Q146" s="213"/>
      <c r="R146" s="214">
        <f t="shared" si="47"/>
        <v>53</v>
      </c>
      <c r="S146" s="189">
        <v>1</v>
      </c>
      <c r="T146" s="283"/>
      <c r="U146" s="281"/>
      <c r="V146" s="177" t="s">
        <v>188</v>
      </c>
      <c r="W146" s="170" t="s">
        <v>76</v>
      </c>
      <c r="X146" s="170" t="s">
        <v>11</v>
      </c>
      <c r="Y146" s="247">
        <v>53</v>
      </c>
      <c r="AC146" s="178"/>
      <c r="AG146" s="178"/>
      <c r="AK146" s="178"/>
      <c r="AO146" s="178"/>
      <c r="AS146" s="178"/>
      <c r="AW146" s="178"/>
      <c r="BA146" s="179"/>
    </row>
    <row r="147" spans="1:53" s="170" customFormat="1" x14ac:dyDescent="0.15">
      <c r="A147" s="215">
        <v>2020</v>
      </c>
      <c r="B147" s="303">
        <v>43845</v>
      </c>
      <c r="C147" s="395" t="s">
        <v>1482</v>
      </c>
      <c r="D147" s="395"/>
      <c r="E147" s="170">
        <v>351</v>
      </c>
      <c r="F147" s="246">
        <v>0</v>
      </c>
      <c r="G147" s="170">
        <v>18</v>
      </c>
      <c r="J147" s="240">
        <v>21</v>
      </c>
      <c r="K147" s="213">
        <f t="shared" si="43"/>
        <v>85.714285714285708</v>
      </c>
      <c r="L147" s="213">
        <f t="shared" si="44"/>
        <v>0</v>
      </c>
      <c r="M147" s="213">
        <f t="shared" si="45"/>
        <v>0</v>
      </c>
      <c r="N147" s="234">
        <f t="shared" si="46"/>
        <v>85.714285714285708</v>
      </c>
      <c r="O147" s="212">
        <v>53</v>
      </c>
      <c r="P147" s="213"/>
      <c r="Q147" s="213"/>
      <c r="R147" s="214">
        <f t="shared" si="47"/>
        <v>53</v>
      </c>
      <c r="S147" s="189">
        <v>1</v>
      </c>
      <c r="T147" s="283"/>
      <c r="U147" s="281"/>
      <c r="V147" s="177" t="s">
        <v>188</v>
      </c>
      <c r="W147" s="170" t="s">
        <v>76</v>
      </c>
      <c r="X147" s="170" t="s">
        <v>11</v>
      </c>
      <c r="Y147" s="247">
        <v>53</v>
      </c>
      <c r="AC147" s="178"/>
      <c r="AG147" s="178"/>
      <c r="AK147" s="178"/>
      <c r="AO147" s="178"/>
      <c r="AS147" s="178"/>
      <c r="AW147" s="178"/>
      <c r="BA147" s="179"/>
    </row>
    <row r="148" spans="1:53" s="170" customFormat="1" x14ac:dyDescent="0.15">
      <c r="A148" s="215">
        <v>2021</v>
      </c>
      <c r="B148" s="303">
        <v>44421</v>
      </c>
      <c r="C148" s="395" t="s">
        <v>1482</v>
      </c>
      <c r="D148" s="395"/>
      <c r="E148" s="170">
        <v>224</v>
      </c>
      <c r="F148" s="246">
        <v>0</v>
      </c>
      <c r="G148" s="170">
        <v>19</v>
      </c>
      <c r="J148" s="240">
        <v>22</v>
      </c>
      <c r="K148" s="213">
        <f t="shared" si="43"/>
        <v>86.36363636363636</v>
      </c>
      <c r="L148" s="213">
        <f t="shared" si="44"/>
        <v>0</v>
      </c>
      <c r="M148" s="213">
        <f t="shared" si="45"/>
        <v>0</v>
      </c>
      <c r="N148" s="234">
        <f t="shared" si="46"/>
        <v>86.36363636363636</v>
      </c>
      <c r="O148" s="212">
        <v>53</v>
      </c>
      <c r="P148" s="213"/>
      <c r="Q148" s="213"/>
      <c r="R148" s="214">
        <f t="shared" si="47"/>
        <v>53</v>
      </c>
      <c r="S148" s="189">
        <v>1</v>
      </c>
      <c r="T148" s="283"/>
      <c r="U148" s="281"/>
      <c r="V148" s="177" t="s">
        <v>188</v>
      </c>
      <c r="W148" s="170" t="s">
        <v>76</v>
      </c>
      <c r="X148" s="170" t="s">
        <v>11</v>
      </c>
      <c r="Y148" s="247">
        <v>53</v>
      </c>
      <c r="AC148" s="178"/>
      <c r="AG148" s="178"/>
      <c r="AK148" s="178"/>
      <c r="AO148" s="178"/>
      <c r="AS148" s="178"/>
      <c r="AW148" s="178"/>
      <c r="BA148" s="179"/>
    </row>
    <row r="149" spans="1:53" s="170" customFormat="1" x14ac:dyDescent="0.15">
      <c r="A149" s="215">
        <v>2021</v>
      </c>
      <c r="B149" s="303">
        <v>44449</v>
      </c>
      <c r="C149" s="395" t="s">
        <v>1482</v>
      </c>
      <c r="D149" s="395"/>
      <c r="E149" s="170">
        <v>141</v>
      </c>
      <c r="F149" s="246">
        <v>0</v>
      </c>
      <c r="G149" s="170">
        <v>20</v>
      </c>
      <c r="J149" s="240">
        <v>23</v>
      </c>
      <c r="K149" s="213">
        <f t="shared" si="43"/>
        <v>86.956521739130437</v>
      </c>
      <c r="L149" s="213">
        <f t="shared" si="44"/>
        <v>0</v>
      </c>
      <c r="M149" s="213">
        <f t="shared" si="45"/>
        <v>0</v>
      </c>
      <c r="N149" s="234">
        <f t="shared" si="46"/>
        <v>86.956521739130437</v>
      </c>
      <c r="O149" s="212">
        <v>53</v>
      </c>
      <c r="P149" s="213"/>
      <c r="Q149" s="213"/>
      <c r="R149" s="214">
        <f t="shared" si="47"/>
        <v>53</v>
      </c>
      <c r="S149" s="189">
        <v>1</v>
      </c>
      <c r="T149" s="283"/>
      <c r="U149" s="281"/>
      <c r="V149" s="177" t="s">
        <v>188</v>
      </c>
      <c r="W149" s="170" t="s">
        <v>76</v>
      </c>
      <c r="X149" s="170" t="s">
        <v>11</v>
      </c>
      <c r="Y149" s="247">
        <v>53</v>
      </c>
      <c r="AC149" s="178"/>
      <c r="AG149" s="178"/>
      <c r="AK149" s="178"/>
      <c r="AO149" s="178"/>
      <c r="AS149" s="178"/>
      <c r="AW149" s="178"/>
      <c r="BA149" s="179"/>
    </row>
    <row r="150" spans="1:53" s="170" customFormat="1" x14ac:dyDescent="0.15">
      <c r="A150" s="215">
        <v>2022</v>
      </c>
      <c r="B150" s="303"/>
      <c r="C150" s="395" t="s">
        <v>1482</v>
      </c>
      <c r="D150" s="395"/>
      <c r="E150" s="170">
        <v>0</v>
      </c>
      <c r="F150" s="246"/>
      <c r="G150" s="170">
        <v>20</v>
      </c>
      <c r="J150" s="240">
        <v>23</v>
      </c>
      <c r="K150" s="213">
        <f t="shared" si="43"/>
        <v>86.956521739130437</v>
      </c>
      <c r="L150" s="213">
        <f t="shared" si="44"/>
        <v>0</v>
      </c>
      <c r="M150" s="213">
        <f t="shared" si="45"/>
        <v>0</v>
      </c>
      <c r="N150" s="234">
        <f t="shared" si="46"/>
        <v>86.956521739130437</v>
      </c>
      <c r="O150" s="212">
        <v>53</v>
      </c>
      <c r="P150" s="213"/>
      <c r="Q150" s="213"/>
      <c r="R150" s="214">
        <f t="shared" si="47"/>
        <v>53</v>
      </c>
      <c r="S150" s="189">
        <v>1</v>
      </c>
      <c r="T150" s="283"/>
      <c r="U150" s="281"/>
      <c r="V150" s="177" t="s">
        <v>188</v>
      </c>
      <c r="W150" s="170" t="s">
        <v>76</v>
      </c>
      <c r="X150" s="170" t="s">
        <v>11</v>
      </c>
      <c r="Y150" s="247">
        <v>53</v>
      </c>
      <c r="AC150" s="178"/>
      <c r="AG150" s="178"/>
      <c r="AK150" s="178"/>
      <c r="AO150" s="178"/>
      <c r="AS150" s="178"/>
      <c r="AW150" s="178"/>
      <c r="BA150" s="179"/>
    </row>
    <row r="151" spans="1:53" s="170" customFormat="1" x14ac:dyDescent="0.15">
      <c r="A151" s="215">
        <v>2022</v>
      </c>
      <c r="B151" s="303"/>
      <c r="C151" s="395" t="s">
        <v>1482</v>
      </c>
      <c r="D151" s="395"/>
      <c r="E151" s="170">
        <v>365</v>
      </c>
      <c r="F151" s="246"/>
      <c r="G151" s="170">
        <v>20</v>
      </c>
      <c r="J151" s="240">
        <v>23</v>
      </c>
      <c r="K151" s="213">
        <f t="shared" si="43"/>
        <v>86.956521739130437</v>
      </c>
      <c r="L151" s="213">
        <f t="shared" si="44"/>
        <v>0</v>
      </c>
      <c r="M151" s="213">
        <f t="shared" si="45"/>
        <v>0</v>
      </c>
      <c r="N151" s="234">
        <f t="shared" si="46"/>
        <v>86.956521739130437</v>
      </c>
      <c r="O151" s="212">
        <v>53</v>
      </c>
      <c r="P151" s="213"/>
      <c r="Q151" s="213"/>
      <c r="R151" s="214">
        <f t="shared" si="47"/>
        <v>53</v>
      </c>
      <c r="S151" s="189">
        <v>1</v>
      </c>
      <c r="T151" s="283"/>
      <c r="U151" s="281"/>
      <c r="V151" s="177" t="s">
        <v>188</v>
      </c>
      <c r="W151" s="170" t="s">
        <v>76</v>
      </c>
      <c r="X151" s="170" t="s">
        <v>11</v>
      </c>
      <c r="Y151" s="247">
        <v>53</v>
      </c>
      <c r="AC151" s="178"/>
      <c r="AG151" s="178"/>
      <c r="AK151" s="178"/>
      <c r="AO151" s="178"/>
      <c r="AS151" s="178"/>
      <c r="AW151" s="178"/>
      <c r="BA151" s="179"/>
    </row>
    <row r="152" spans="1:53" ht="18" customHeight="1" x14ac:dyDescent="0.15">
      <c r="B152" s="15" t="s">
        <v>1262</v>
      </c>
      <c r="D152" s="40"/>
    </row>
    <row r="153" spans="1:53" ht="9" customHeight="1" x14ac:dyDescent="0.15"/>
    <row r="154" spans="1:53" s="194" customFormat="1" ht="9" customHeight="1" x14ac:dyDescent="0.15">
      <c r="A154" s="192"/>
      <c r="B154" s="193" t="s">
        <v>1213</v>
      </c>
      <c r="C154" s="193"/>
      <c r="D154" s="193"/>
      <c r="E154" s="193"/>
      <c r="F154" s="193"/>
      <c r="G154" s="193" t="s">
        <v>1214</v>
      </c>
      <c r="H154" s="193"/>
      <c r="I154" s="193"/>
      <c r="J154" s="193"/>
      <c r="K154" s="193"/>
      <c r="L154" s="193"/>
      <c r="M154" s="193"/>
      <c r="N154" s="193"/>
      <c r="R154" s="386" t="s">
        <v>1215</v>
      </c>
      <c r="S154" s="386"/>
      <c r="T154" s="386"/>
      <c r="U154" s="386"/>
      <c r="V154" s="386"/>
      <c r="W154" s="386"/>
      <c r="X154" s="195"/>
      <c r="Y154" s="195"/>
      <c r="AA154" s="195"/>
      <c r="AB154" s="195"/>
      <c r="AC154" s="195"/>
      <c r="AD154" s="195"/>
    </row>
    <row r="155" spans="1:53" s="199" customFormat="1" ht="9" customHeight="1" x14ac:dyDescent="0.15">
      <c r="A155" s="196"/>
      <c r="B155" s="197" t="s">
        <v>1217</v>
      </c>
      <c r="C155" s="198"/>
      <c r="D155" s="198"/>
      <c r="E155" s="198"/>
      <c r="F155" s="198"/>
      <c r="G155" s="197" t="s">
        <v>1216</v>
      </c>
      <c r="H155" s="198"/>
      <c r="I155" s="198"/>
      <c r="J155" s="198"/>
      <c r="K155" s="198"/>
      <c r="L155" s="198"/>
      <c r="M155" s="198"/>
      <c r="N155" s="198"/>
      <c r="R155" s="200" t="s">
        <v>1218</v>
      </c>
      <c r="S155" s="201"/>
      <c r="T155" s="202"/>
      <c r="U155" s="202"/>
      <c r="V155" s="202"/>
      <c r="W155" s="200" t="s">
        <v>1219</v>
      </c>
      <c r="X155" s="202"/>
      <c r="Y155" s="202"/>
      <c r="AA155" s="202"/>
      <c r="AB155" s="202"/>
      <c r="AC155" s="202"/>
      <c r="AD155" s="202"/>
    </row>
    <row r="156" spans="1:53" s="185" customFormat="1" ht="12" customHeight="1" x14ac:dyDescent="0.15">
      <c r="A156" s="203" t="s">
        <v>3</v>
      </c>
      <c r="B156" s="204" t="s">
        <v>8</v>
      </c>
      <c r="C156" s="204" t="s">
        <v>9</v>
      </c>
      <c r="D156" s="204" t="s">
        <v>10</v>
      </c>
      <c r="E156" s="205" t="s">
        <v>1193</v>
      </c>
      <c r="F156" s="204"/>
      <c r="G156" s="185" t="s">
        <v>3</v>
      </c>
      <c r="H156" s="387" t="s">
        <v>0</v>
      </c>
      <c r="I156" s="387"/>
      <c r="J156" s="387" t="s">
        <v>1</v>
      </c>
      <c r="K156" s="387"/>
      <c r="L156" s="387" t="s">
        <v>2</v>
      </c>
      <c r="M156" s="387"/>
      <c r="N156" s="388" t="s">
        <v>1193</v>
      </c>
      <c r="O156" s="388"/>
      <c r="P156" s="206"/>
      <c r="Q156" s="206"/>
      <c r="R156" s="207" t="s">
        <v>3</v>
      </c>
      <c r="S156" s="208" t="s">
        <v>135</v>
      </c>
      <c r="T156" s="206" t="s">
        <v>133</v>
      </c>
      <c r="U156" s="204" t="s">
        <v>134</v>
      </c>
      <c r="V156" s="206"/>
      <c r="W156" s="209" t="s">
        <v>26</v>
      </c>
    </row>
    <row r="157" spans="1:53" s="139" customFormat="1" x14ac:dyDescent="0.15">
      <c r="A157" s="139">
        <v>1959</v>
      </c>
      <c r="B157" s="142">
        <f>(K6*($E6/365))+(K7*($E7/365))</f>
        <v>100</v>
      </c>
      <c r="C157" s="142">
        <f>(L6*($E6/365))+(L7*($E7/365))</f>
        <v>0</v>
      </c>
      <c r="D157" s="142">
        <f>(M6*($E6/365))+(M7*($E7/365))</f>
        <v>0</v>
      </c>
      <c r="E157" s="143">
        <f>B157+C157+D157</f>
        <v>100</v>
      </c>
      <c r="G157" s="139">
        <v>1959</v>
      </c>
      <c r="H157" s="396">
        <f>(O6/$R6*100*($E6/365))+(O7/$R7*100*($E7/365))</f>
        <v>100</v>
      </c>
      <c r="I157" s="396"/>
      <c r="J157" s="396">
        <f>(P6/$R6*100*($E6/365))+(P7/$R7*100*($E7/365))</f>
        <v>0</v>
      </c>
      <c r="K157" s="396"/>
      <c r="L157" s="396">
        <f>(Q6/$R6*100*($E6/365))+(Q7/$R7*100*($E7/365))</f>
        <v>0</v>
      </c>
      <c r="M157" s="396"/>
      <c r="N157" s="396">
        <f>H157+J157+K157</f>
        <v>100</v>
      </c>
      <c r="O157" s="396"/>
      <c r="R157" s="139">
        <v>1959</v>
      </c>
      <c r="S157" s="142">
        <f>(O6*($E6/365))+(O7*($E7/365))</f>
        <v>57</v>
      </c>
      <c r="T157" s="142">
        <f>(P6*($E6/365))+(P7*($E7/365))</f>
        <v>0</v>
      </c>
      <c r="U157" s="142">
        <f>(Q6*($E6/365))+(Q7*($E7/365))</f>
        <v>0</v>
      </c>
      <c r="W157" s="144">
        <f>S157+T157+U157</f>
        <v>57</v>
      </c>
      <c r="AD157" s="157"/>
    </row>
    <row r="158" spans="1:53" x14ac:dyDescent="0.15">
      <c r="A158" s="1">
        <v>1960</v>
      </c>
      <c r="B158" s="5">
        <f>(K8*($E8/366))+(K9*($E9/366))</f>
        <v>100</v>
      </c>
      <c r="C158" s="5">
        <f>(L8*($E8/366))+(L9*($E9/366))</f>
        <v>0</v>
      </c>
      <c r="D158" s="5">
        <f>(M8*($E8/366))+(M9*($E9/366))</f>
        <v>0</v>
      </c>
      <c r="E158" s="17">
        <f t="shared" ref="E158:E165" si="48">SUM(B158:D158)</f>
        <v>100</v>
      </c>
      <c r="G158" s="1">
        <v>1960</v>
      </c>
      <c r="H158" s="392">
        <f>(O8/$R8*100*($E8/366))+(O9/$R9*100*($E9/366))</f>
        <v>100</v>
      </c>
      <c r="I158" s="392"/>
      <c r="J158" s="392">
        <f>(P8/$R8*100*($E8/366))+(P9/$R9*100*($E9/366))</f>
        <v>0</v>
      </c>
      <c r="K158" s="392"/>
      <c r="L158" s="392">
        <f>(Q8/$R8*100*($E8/366))+(Q9/$R9*100*($E9/366))</f>
        <v>0</v>
      </c>
      <c r="M158" s="392"/>
      <c r="N158" s="423">
        <f>SUM(H158:M158)</f>
        <v>100</v>
      </c>
      <c r="O158" s="423"/>
      <c r="R158" s="1">
        <v>1960</v>
      </c>
      <c r="S158" s="5">
        <f>(O8*($E8/366))+(O9*($E9/366))</f>
        <v>57</v>
      </c>
      <c r="T158" s="5">
        <f>(P8*($E8/366))+(P9*($E9/366))</f>
        <v>0</v>
      </c>
      <c r="U158" s="5">
        <f>(Q8*($E8/366))+(Q9*($E9/366))</f>
        <v>0</v>
      </c>
      <c r="W158" s="4">
        <f>SUM(S158:U158)</f>
        <v>57</v>
      </c>
      <c r="AD158" s="22"/>
    </row>
    <row r="159" spans="1:53" x14ac:dyDescent="0.15">
      <c r="A159" s="1">
        <v>1961</v>
      </c>
      <c r="B159" s="5">
        <f>(K10*($E10/365))+(K11*($E11/365))+(K12*($E12/365))</f>
        <v>87.945205479452056</v>
      </c>
      <c r="C159" s="5">
        <f>(L10*($E10/365))+(L11*($E11/365))+(L12*($E12/365))</f>
        <v>0</v>
      </c>
      <c r="D159" s="5">
        <f>(M10*($E10/365))+(M11*($E11/365))+(M12*($E12/365))</f>
        <v>0</v>
      </c>
      <c r="E159" s="17">
        <f t="shared" si="48"/>
        <v>87.945205479452056</v>
      </c>
      <c r="G159" s="1">
        <v>1961</v>
      </c>
      <c r="H159" s="392">
        <f>(O10/$R10*100*($E10/365))+(O12/$R12*100*($E12/365))</f>
        <v>87.945205479452056</v>
      </c>
      <c r="I159" s="392"/>
      <c r="J159" s="392">
        <f>(P10/$R10*100*($E10/365))+(P12/$R12*100*($E12/365))</f>
        <v>0</v>
      </c>
      <c r="K159" s="392"/>
      <c r="L159" s="392">
        <f>(Q10/$R10*100*($E10/365))+(Q12/$R12*100*($E12/365))</f>
        <v>0</v>
      </c>
      <c r="M159" s="392"/>
      <c r="N159" s="423">
        <f t="shared" ref="N159:N164" si="49">SUM(H159:M159)</f>
        <v>87.945205479452056</v>
      </c>
      <c r="O159" s="423"/>
      <c r="R159" s="1">
        <v>1961</v>
      </c>
      <c r="S159" s="5">
        <f>(O10*($E10/365))+(O11*($E11/365))+(O12*($E12/365))</f>
        <v>50.39890410958904</v>
      </c>
      <c r="T159" s="5">
        <f>(P10*($E10/365))+(P11*($E11/365))+(P12*($E12/365))</f>
        <v>0</v>
      </c>
      <c r="U159" s="5">
        <f>(Q10*($E10/365))+(Q11*($E11/365))+(Q12*($E12/365))</f>
        <v>0</v>
      </c>
      <c r="W159" s="4">
        <f t="shared" ref="W159:W165" si="50">SUM(S159:U159)</f>
        <v>50.39890410958904</v>
      </c>
      <c r="AD159" s="22"/>
    </row>
    <row r="160" spans="1:53" x14ac:dyDescent="0.15">
      <c r="A160" s="1">
        <v>1962</v>
      </c>
      <c r="B160" s="5">
        <f>(K13*($E13/365))+(K14*($E14/365))</f>
        <v>100</v>
      </c>
      <c r="C160" s="5">
        <f>(L13*($E13/365))+(L14*($E14/365))</f>
        <v>0</v>
      </c>
      <c r="D160" s="5">
        <f>(M13*($E13/365))+(M14*($E14/365))</f>
        <v>0</v>
      </c>
      <c r="E160" s="17">
        <f t="shared" si="48"/>
        <v>100</v>
      </c>
      <c r="G160" s="1">
        <v>1962</v>
      </c>
      <c r="H160" s="392">
        <f>(O13/$R13*100*($E13/365))+(O14/$R14*100*($E14/365))</f>
        <v>100</v>
      </c>
      <c r="I160" s="392"/>
      <c r="J160" s="392">
        <f>(P13/$R13*100*($E13/365))+(P14/$R14*100*($E14/365))</f>
        <v>0</v>
      </c>
      <c r="K160" s="392"/>
      <c r="L160" s="392">
        <f>(Q13/$R13*100*($E13/365))+(Q14/$R14*100*($E14/365))</f>
        <v>0</v>
      </c>
      <c r="M160" s="392"/>
      <c r="N160" s="423">
        <f t="shared" si="49"/>
        <v>100</v>
      </c>
      <c r="O160" s="423"/>
      <c r="R160" s="1">
        <v>1962</v>
      </c>
      <c r="S160" s="5">
        <f>(O13*($E13/365))+(O14*($E14/365))</f>
        <v>58.7</v>
      </c>
      <c r="T160" s="5">
        <f>(P13*($E13/365))+(P14*($E14/365))</f>
        <v>0</v>
      </c>
      <c r="U160" s="5">
        <f>(Q13*($E13/365))+(Q14*($E14/365))</f>
        <v>0</v>
      </c>
      <c r="W160" s="4">
        <f t="shared" si="50"/>
        <v>58.7</v>
      </c>
      <c r="AD160" s="22"/>
    </row>
    <row r="161" spans="1:30" x14ac:dyDescent="0.15">
      <c r="A161" s="1">
        <v>1963</v>
      </c>
      <c r="B161" s="5">
        <f>(K15*($E15/365))+(K16*($E16/365))+(K17*($E17/365))+(K18*($E18/365))+(K19*($E19/365))</f>
        <v>60.821917808219176</v>
      </c>
      <c r="C161" s="5">
        <f>(L15*($E15/365))+(L16*($E16/365))+(L17*($E17/365))+(L18*($E18/365))+(L19*($E19/365))</f>
        <v>0</v>
      </c>
      <c r="D161" s="5">
        <f>(M15*($E15/365))+(M16*($E16/365))+(M17*($E17/365))+(M18*($E18/365))+(M19*($E19/365))</f>
        <v>0</v>
      </c>
      <c r="E161" s="17">
        <f t="shared" si="48"/>
        <v>60.821917808219176</v>
      </c>
      <c r="G161" s="1">
        <v>1963</v>
      </c>
      <c r="H161" s="392">
        <f>(O15/$R15*100*($E15/365))+(O18/$R18*100*($E18/365))</f>
        <v>60.821917808219176</v>
      </c>
      <c r="I161" s="392"/>
      <c r="J161" s="392">
        <f>(P15/$R15*100*($E15/365))+(P18/$R18*100*($E18/365))</f>
        <v>0</v>
      </c>
      <c r="K161" s="392"/>
      <c r="L161" s="392">
        <f>(Q15/$R15*100*($E15/365))+(Q18/$R18*100*($E18/365))</f>
        <v>0</v>
      </c>
      <c r="M161" s="392"/>
      <c r="N161" s="423">
        <f t="shared" si="49"/>
        <v>60.821917808219176</v>
      </c>
      <c r="O161" s="423"/>
      <c r="R161" s="1">
        <v>1963</v>
      </c>
      <c r="S161" s="5">
        <f>(O15*($E15/365))+(O16*($E16/365))+(O17*($E17/365))+(O18*($E18/365))+(O19*($E19/365))</f>
        <v>33.858356164383558</v>
      </c>
      <c r="T161" s="5">
        <f>(P15*($E15/365))+(P16*($E16/365))+(P17*($E17/365))+(P18*($E18/365))+(P19*($E19/365))</f>
        <v>0</v>
      </c>
      <c r="U161" s="5">
        <f>(Q15*($E15/365))+(Q16*($E16/365))+(Q17*($E17/365))+(Q18*($E18/365))+(Q19*($E19/365))</f>
        <v>0</v>
      </c>
      <c r="W161" s="4">
        <f t="shared" si="50"/>
        <v>33.858356164383558</v>
      </c>
      <c r="AD161" s="22"/>
    </row>
    <row r="162" spans="1:30" x14ac:dyDescent="0.15">
      <c r="A162" s="1">
        <v>1964</v>
      </c>
      <c r="B162" s="5">
        <f>(K20*($E20/366))+(K21*($E21/366))</f>
        <v>86.612021857923494</v>
      </c>
      <c r="C162" s="5">
        <f>(L20*($E20/366))+(L21*($E21/366))</f>
        <v>0</v>
      </c>
      <c r="D162" s="5">
        <f>(M20*($E20/366))+(M21*($E21/366))</f>
        <v>0</v>
      </c>
      <c r="E162" s="17">
        <f t="shared" si="48"/>
        <v>86.612021857923494</v>
      </c>
      <c r="G162" s="1">
        <v>1964</v>
      </c>
      <c r="H162" s="392">
        <f>(O21/$R21*100*($E21/366))</f>
        <v>86.612021857923494</v>
      </c>
      <c r="I162" s="392"/>
      <c r="J162" s="392">
        <f>(P21/$R21*100*($E21/366))</f>
        <v>0</v>
      </c>
      <c r="K162" s="392"/>
      <c r="L162" s="392">
        <f>(Q21/$R21*100*($E21/366))</f>
        <v>0</v>
      </c>
      <c r="M162" s="392"/>
      <c r="N162" s="423">
        <f t="shared" si="49"/>
        <v>86.612021857923494</v>
      </c>
      <c r="O162" s="423"/>
      <c r="R162" s="1">
        <v>1964</v>
      </c>
      <c r="S162" s="5">
        <f>(O20*($E20/366))+(O21*($E21/366))</f>
        <v>49.368852459016388</v>
      </c>
      <c r="T162" s="5">
        <f>(P20*($E20/366))+(P21*($E21/366))</f>
        <v>0</v>
      </c>
      <c r="U162" s="5">
        <f>(Q20*($E20/366))+(Q21*($E21/366))</f>
        <v>0</v>
      </c>
      <c r="W162" s="4">
        <f t="shared" si="50"/>
        <v>49.368852459016388</v>
      </c>
      <c r="AD162" s="22"/>
    </row>
    <row r="163" spans="1:30" x14ac:dyDescent="0.15">
      <c r="A163" s="1">
        <v>1965</v>
      </c>
      <c r="B163" s="5">
        <f>(K22*($E22/365))+(K23*($E23/365))+(K24*($E24/365))+(K25*($E25/365))</f>
        <v>100</v>
      </c>
      <c r="C163" s="5">
        <f>(L22*($E22/365))+(L23*($E23/365))+(L24*($E24/365))+(L25*($E25/365))</f>
        <v>0</v>
      </c>
      <c r="D163" s="5">
        <f>(M22*($E22/365))+(M23*($E23/365))+(M24*($E24/365))+(M25*($E25/365))</f>
        <v>0</v>
      </c>
      <c r="E163" s="17">
        <f t="shared" si="48"/>
        <v>100</v>
      </c>
      <c r="G163" s="1">
        <v>1965</v>
      </c>
      <c r="H163" s="392">
        <f>(O22/$R22*100*($E22/365))+(O23/$R23*100*($E23/365))</f>
        <v>63.287671232876711</v>
      </c>
      <c r="I163" s="392"/>
      <c r="J163" s="392">
        <f>(P22/$R22*100*($E22/365))+(P23/$R23*100*($E23/365))</f>
        <v>0</v>
      </c>
      <c r="K163" s="392"/>
      <c r="L163" s="392">
        <f>(Q22/$R22*100*($E22/365))+(Q23/$R23*100*($E23/365))</f>
        <v>0</v>
      </c>
      <c r="M163" s="392"/>
      <c r="N163" s="423">
        <f t="shared" si="49"/>
        <v>63.287671232876711</v>
      </c>
      <c r="O163" s="423"/>
      <c r="R163" s="1">
        <v>1965</v>
      </c>
      <c r="S163" s="5">
        <f>(O22*($E22/365))+(O23*($E23/365))+(O24*($E24/365))+(O25*($E25/365))</f>
        <v>51.718356164383565</v>
      </c>
      <c r="T163" s="5">
        <f>(P22*($E22/365))+(P23*($E23/365))+(P24*($E24/365))+(P25*($E25/365))</f>
        <v>0</v>
      </c>
      <c r="U163" s="5">
        <f>(Q22*($E22/365))+(Q23*($E23/365))+(Q24*($E24/365))+(Q25*($E25/365))</f>
        <v>0</v>
      </c>
      <c r="W163" s="4">
        <f t="shared" si="50"/>
        <v>51.718356164383565</v>
      </c>
      <c r="AD163" s="22"/>
    </row>
    <row r="164" spans="1:30" x14ac:dyDescent="0.15">
      <c r="A164" s="1">
        <v>1966</v>
      </c>
      <c r="B164" s="5">
        <f>(K26*($E26/365))+(K27*($E27/365))</f>
        <v>97.260273972602747</v>
      </c>
      <c r="C164" s="5">
        <f>(L26*($E26/365))+(L27*($E27/365))</f>
        <v>0</v>
      </c>
      <c r="D164" s="5">
        <f>(M26*($E26/365))+(M27*($E27/365))</f>
        <v>0</v>
      </c>
      <c r="E164" s="17">
        <f t="shared" si="48"/>
        <v>97.260273972602747</v>
      </c>
      <c r="G164" s="1">
        <v>1966</v>
      </c>
      <c r="H164" s="392">
        <f>(O26/$R26*100*($E26/365))</f>
        <v>97.260273972602747</v>
      </c>
      <c r="I164" s="392"/>
      <c r="J164" s="392">
        <f>(P26/$R26*100*($E26/365))</f>
        <v>0</v>
      </c>
      <c r="K164" s="392"/>
      <c r="L164" s="392">
        <f>(Q26/$R26*100*($E26/365))</f>
        <v>0</v>
      </c>
      <c r="M164" s="392"/>
      <c r="N164" s="423">
        <f t="shared" si="49"/>
        <v>97.260273972602747</v>
      </c>
      <c r="O164" s="423"/>
      <c r="R164" s="1">
        <v>1966</v>
      </c>
      <c r="S164" s="5">
        <f>(O26*($E26/365))+(O27*($E27/365))</f>
        <v>49.31095890410959</v>
      </c>
      <c r="T164" s="5">
        <f>(P26*($E26/365))+(P27*($E27/365))</f>
        <v>0</v>
      </c>
      <c r="U164" s="5">
        <f>(Q26*($E26/365))+(Q27*($E27/365))</f>
        <v>0</v>
      </c>
      <c r="W164" s="4">
        <f t="shared" si="50"/>
        <v>49.31095890410959</v>
      </c>
      <c r="AD164" s="22"/>
    </row>
    <row r="165" spans="1:30" x14ac:dyDescent="0.15">
      <c r="A165" s="1">
        <v>1967</v>
      </c>
      <c r="B165" s="5">
        <f>(K28*($E28/(110))+(K29*($E29/110)))</f>
        <v>16.363636363636363</v>
      </c>
      <c r="C165" s="5">
        <f>(L28*($E28/(110))+(L29*($E29/110)))</f>
        <v>0</v>
      </c>
      <c r="D165" s="5">
        <f>(M28*($E28/(110))+(M29*($E29/110)))</f>
        <v>0</v>
      </c>
      <c r="E165" s="17">
        <f t="shared" si="48"/>
        <v>16.363636363636363</v>
      </c>
      <c r="G165" s="1">
        <v>1967</v>
      </c>
      <c r="H165" s="392">
        <f>(O29/$R29*100*($E29/365))</f>
        <v>4.9315068493150687</v>
      </c>
      <c r="I165" s="392"/>
      <c r="J165" s="392">
        <f>(P29/$R29*100*($E29/365))</f>
        <v>0</v>
      </c>
      <c r="K165" s="392"/>
      <c r="L165" s="392">
        <f>(Q29/$R29*100*($E29/365))</f>
        <v>0</v>
      </c>
      <c r="M165" s="392"/>
      <c r="N165" s="423">
        <f>H165+J165+L165</f>
        <v>4.9315068493150687</v>
      </c>
      <c r="O165" s="423"/>
      <c r="R165" s="1">
        <v>1967</v>
      </c>
      <c r="S165" s="5">
        <f>(O28*($E28/(110))+(O29*($E29/110)))</f>
        <v>5.4490909090909083</v>
      </c>
      <c r="T165" s="5">
        <f>(P28*($E28/(110))+(P29*($E29/110)))</f>
        <v>0</v>
      </c>
      <c r="U165" s="5">
        <f>(Q28*($E28/(110))+(Q29*($E29/110)))</f>
        <v>0</v>
      </c>
      <c r="W165" s="4">
        <f t="shared" si="50"/>
        <v>5.4490909090909083</v>
      </c>
      <c r="AD165" s="22"/>
    </row>
    <row r="166" spans="1:30" x14ac:dyDescent="0.15">
      <c r="A166" s="1">
        <v>1968</v>
      </c>
      <c r="C166" s="4"/>
      <c r="D166" s="4"/>
      <c r="E166" s="4"/>
      <c r="G166" s="1">
        <v>1968</v>
      </c>
      <c r="H166" s="397"/>
      <c r="I166" s="397"/>
      <c r="J166" s="392"/>
      <c r="K166" s="392"/>
      <c r="L166" s="392"/>
      <c r="M166" s="392"/>
      <c r="N166" s="423"/>
      <c r="O166" s="423"/>
      <c r="R166" s="1">
        <v>1968</v>
      </c>
      <c r="AD166" s="22"/>
    </row>
    <row r="167" spans="1:30" x14ac:dyDescent="0.15">
      <c r="A167" s="1">
        <v>1969</v>
      </c>
      <c r="B167" s="4"/>
      <c r="C167" s="4"/>
      <c r="D167" s="4"/>
      <c r="E167" s="4"/>
      <c r="G167" s="1">
        <v>1969</v>
      </c>
      <c r="H167" s="392"/>
      <c r="I167" s="392"/>
      <c r="J167" s="392"/>
      <c r="K167" s="392"/>
      <c r="L167" s="392"/>
      <c r="M167" s="392"/>
      <c r="N167" s="423"/>
      <c r="O167" s="423"/>
      <c r="R167" s="1">
        <v>1969</v>
      </c>
      <c r="AD167" s="22"/>
    </row>
    <row r="168" spans="1:30" x14ac:dyDescent="0.15">
      <c r="A168" s="1">
        <v>1970</v>
      </c>
      <c r="B168" s="4"/>
      <c r="C168" s="4"/>
      <c r="D168" s="4"/>
      <c r="E168" s="4"/>
      <c r="G168" s="1">
        <v>1970</v>
      </c>
      <c r="H168" s="392"/>
      <c r="I168" s="392"/>
      <c r="J168" s="392"/>
      <c r="K168" s="392"/>
      <c r="L168" s="392"/>
      <c r="M168" s="392"/>
      <c r="N168" s="423"/>
      <c r="O168" s="423"/>
      <c r="R168" s="1">
        <v>1970</v>
      </c>
      <c r="AD168" s="22"/>
    </row>
    <row r="169" spans="1:30" x14ac:dyDescent="0.15">
      <c r="A169" s="1">
        <v>1971</v>
      </c>
      <c r="B169" s="4"/>
      <c r="C169" s="4"/>
      <c r="D169" s="4"/>
      <c r="E169" s="4"/>
      <c r="G169" s="1">
        <v>1971</v>
      </c>
      <c r="H169" s="392"/>
      <c r="I169" s="392"/>
      <c r="J169" s="392"/>
      <c r="K169" s="392"/>
      <c r="L169" s="392"/>
      <c r="M169" s="392"/>
      <c r="N169" s="423"/>
      <c r="O169" s="423"/>
      <c r="R169" s="1">
        <v>1971</v>
      </c>
      <c r="AD169" s="22"/>
    </row>
    <row r="170" spans="1:30" x14ac:dyDescent="0.15">
      <c r="A170" s="1">
        <v>1972</v>
      </c>
      <c r="B170" s="4"/>
      <c r="C170" s="4"/>
      <c r="D170" s="4"/>
      <c r="E170" s="4"/>
      <c r="G170" s="1">
        <v>1972</v>
      </c>
      <c r="H170" s="392"/>
      <c r="I170" s="392"/>
      <c r="J170" s="392"/>
      <c r="K170" s="392"/>
      <c r="L170" s="392"/>
      <c r="M170" s="392"/>
      <c r="N170" s="423"/>
      <c r="O170" s="423"/>
      <c r="R170" s="1">
        <v>1972</v>
      </c>
      <c r="AD170" s="22"/>
    </row>
    <row r="171" spans="1:30" x14ac:dyDescent="0.15">
      <c r="A171" s="1">
        <v>1973</v>
      </c>
      <c r="B171" s="4"/>
      <c r="C171" s="4"/>
      <c r="D171" s="4"/>
      <c r="E171" s="4"/>
      <c r="G171" s="1">
        <v>1973</v>
      </c>
      <c r="H171" s="392"/>
      <c r="I171" s="392"/>
      <c r="J171" s="392"/>
      <c r="K171" s="392"/>
      <c r="L171" s="392"/>
      <c r="M171" s="392"/>
      <c r="N171" s="423"/>
      <c r="O171" s="423"/>
      <c r="R171" s="1">
        <v>1973</v>
      </c>
      <c r="AD171" s="22"/>
    </row>
    <row r="172" spans="1:30" x14ac:dyDescent="0.15">
      <c r="A172" s="1">
        <v>1974</v>
      </c>
      <c r="B172" s="5">
        <f>(K44*($E44/159))+(K45*($E45/159))</f>
        <v>72.426348891095657</v>
      </c>
      <c r="C172" s="5">
        <f>(L44*($E44/159))+(L45*($E45/159))</f>
        <v>0</v>
      </c>
      <c r="D172" s="5">
        <f>(M44*($E44/159))+(M45*($E45/159))</f>
        <v>0</v>
      </c>
      <c r="E172" s="17">
        <f>SUM(B172:D172)</f>
        <v>72.426348891095657</v>
      </c>
      <c r="G172" s="1">
        <v>1974</v>
      </c>
      <c r="H172" s="362">
        <f>(O45/$R45*100*($E45/159))</f>
        <v>25.157232704402517</v>
      </c>
      <c r="I172" s="362"/>
      <c r="J172" s="362">
        <f>(P45/$R45*100*($E45/159))</f>
        <v>0</v>
      </c>
      <c r="K172" s="362"/>
      <c r="L172" s="362">
        <f>(Q45/$R45*100*($E45/159))</f>
        <v>0</v>
      </c>
      <c r="M172" s="362"/>
      <c r="N172" s="363">
        <f>SUM(H172:M172)</f>
        <v>25.157232704402517</v>
      </c>
      <c r="O172" s="363"/>
      <c r="R172" s="1">
        <v>1974</v>
      </c>
      <c r="S172" s="5">
        <f>(O45*($E45/159))</f>
        <v>18.440251572327043</v>
      </c>
      <c r="T172" s="5">
        <f>(P45*($E45/159))</f>
        <v>0</v>
      </c>
      <c r="U172" s="5">
        <f>(Q45*($E45/159))</f>
        <v>0</v>
      </c>
      <c r="V172" s="5"/>
      <c r="W172" s="5">
        <f>SUM(S172:U172)</f>
        <v>18.440251572327043</v>
      </c>
      <c r="Y172" s="26" t="s">
        <v>1211</v>
      </c>
    </row>
    <row r="173" spans="1:30" x14ac:dyDescent="0.15">
      <c r="A173" s="1">
        <v>1975</v>
      </c>
      <c r="B173" s="5">
        <f>(K46*($E46/365))+(K47*($E47/365))</f>
        <v>100</v>
      </c>
      <c r="C173" s="5">
        <f>(L46*($E46/365))+(L47*($E47/365))</f>
        <v>0</v>
      </c>
      <c r="D173" s="5">
        <f>(M46*($E46/365))+(M47*($E47/365))</f>
        <v>0</v>
      </c>
      <c r="E173" s="17">
        <f>SUM(B173:D173)</f>
        <v>100</v>
      </c>
      <c r="G173" s="1">
        <v>1975</v>
      </c>
      <c r="H173" s="362">
        <f>(O46/$R46*100*($E46/365))+(O47/$R47*100*($E47/365))</f>
        <v>100</v>
      </c>
      <c r="I173" s="362"/>
      <c r="J173" s="362">
        <f>(P46/$R46*100*($E46/365))+(P47/$R47*100*($E47/365))</f>
        <v>0</v>
      </c>
      <c r="K173" s="362"/>
      <c r="L173" s="362">
        <f>(Q46/$R46*100*($E46/365))+(Q47/$R47*100*($E47/365))</f>
        <v>0</v>
      </c>
      <c r="M173" s="362"/>
      <c r="N173" s="363">
        <f>SUM(H173:M173)</f>
        <v>100</v>
      </c>
      <c r="O173" s="363"/>
      <c r="R173" s="1">
        <v>1975</v>
      </c>
      <c r="S173" s="5">
        <f>(O46*($E46/365))+(O47*($E47/365))</f>
        <v>73.3</v>
      </c>
      <c r="T173" s="5">
        <f>(P46*($E46/365))+(P47*($E47/365))</f>
        <v>0</v>
      </c>
      <c r="U173" s="5">
        <f>(Q46*($E46/365))+(Q47*($E47/365))</f>
        <v>0</v>
      </c>
      <c r="V173" s="9"/>
      <c r="W173" s="5">
        <f>SUM(S173:U173)</f>
        <v>73.3</v>
      </c>
    </row>
    <row r="174" spans="1:30" x14ac:dyDescent="0.15">
      <c r="A174" s="1">
        <v>1976</v>
      </c>
      <c r="B174" s="5">
        <f>(K48*($E48/366))+(K49*($E49/366))</f>
        <v>100</v>
      </c>
      <c r="C174" s="5">
        <f>(L48*($E48/366))+(L49*($E49/366))</f>
        <v>0</v>
      </c>
      <c r="D174" s="5">
        <f>(M48*($E48/366))+(M49*($E49/366))</f>
        <v>0</v>
      </c>
      <c r="E174" s="17">
        <f t="shared" ref="E174:E211" si="51">SUM(B174:D174)</f>
        <v>100</v>
      </c>
      <c r="G174" s="1">
        <v>1976</v>
      </c>
      <c r="H174" s="362">
        <f>(O48/$R48*100*($E48/366))+(O49/$R49*100*($E49/366))</f>
        <v>100</v>
      </c>
      <c r="I174" s="362"/>
      <c r="J174" s="362">
        <f>(P48/$R48*100*($E48/366))+(P49/$R49*100*($E49/366))</f>
        <v>0</v>
      </c>
      <c r="K174" s="362"/>
      <c r="L174" s="362">
        <f>(Q48/$R48*100*($E48/366))+(Q49/$R49*100*($E49/366))</f>
        <v>0</v>
      </c>
      <c r="M174" s="362"/>
      <c r="N174" s="363">
        <f t="shared" ref="N174:N210" si="52">SUM(H174:M174)</f>
        <v>100</v>
      </c>
      <c r="O174" s="363"/>
      <c r="R174" s="1">
        <v>1976</v>
      </c>
      <c r="S174" s="5">
        <f>(O48*($E48/366))+(O49*($E49/366))</f>
        <v>73.3</v>
      </c>
      <c r="T174" s="5">
        <f>(P48*($E48/366))+(P49*($E49/366))</f>
        <v>0</v>
      </c>
      <c r="U174" s="5">
        <f>(Q48*($E48/366))+(Q49*($E49/366))</f>
        <v>0</v>
      </c>
      <c r="V174" s="9"/>
      <c r="W174" s="5">
        <f t="shared" ref="W174:W211" si="53">SUM(S174:U174)</f>
        <v>73.3</v>
      </c>
    </row>
    <row r="175" spans="1:30" x14ac:dyDescent="0.15">
      <c r="A175" s="1">
        <v>1977</v>
      </c>
      <c r="B175" s="5">
        <f>(K50*($E50/365))+(K51*($E51/365))</f>
        <v>99.576587795765889</v>
      </c>
      <c r="C175" s="5">
        <f>(L50*($E50/365))+(L51*($E51/365))</f>
        <v>0</v>
      </c>
      <c r="D175" s="5">
        <f>(M50*($E50/365))+(M51*($E51/365))</f>
        <v>0</v>
      </c>
      <c r="E175" s="17">
        <f t="shared" si="51"/>
        <v>99.576587795765889</v>
      </c>
      <c r="G175" s="1">
        <v>1977</v>
      </c>
      <c r="H175" s="362">
        <f>(O50/$R50*100*($E50/365))+(O51/$R51*100*($E51/365))</f>
        <v>100.00000000000001</v>
      </c>
      <c r="I175" s="362"/>
      <c r="J175" s="362">
        <f>(P50/$R50*100*($E50/365))+(P51/$R51*100*($E51/365))</f>
        <v>0</v>
      </c>
      <c r="K175" s="362"/>
      <c r="L175" s="362">
        <f>(Q50/$R50*100*($E50/365))+(Q51/$R51*100*($E51/365))</f>
        <v>0</v>
      </c>
      <c r="M175" s="362"/>
      <c r="N175" s="363">
        <f t="shared" si="52"/>
        <v>100.00000000000001</v>
      </c>
      <c r="O175" s="363"/>
      <c r="R175" s="1">
        <v>1977</v>
      </c>
      <c r="S175" s="5">
        <f>(O50*($E50/365))+(O51*($E51/365))</f>
        <v>71.781643835616435</v>
      </c>
      <c r="T175" s="5">
        <f>(P50*($E50/365))+(P51*($E51/365))</f>
        <v>0</v>
      </c>
      <c r="U175" s="5">
        <f>(Q50*($E50/365))+(Q51*($E51/365))</f>
        <v>0</v>
      </c>
      <c r="V175" s="9"/>
      <c r="W175" s="5">
        <f t="shared" si="53"/>
        <v>71.781643835616435</v>
      </c>
    </row>
    <row r="176" spans="1:30" x14ac:dyDescent="0.15">
      <c r="A176" s="1">
        <v>1978</v>
      </c>
      <c r="B176" s="5">
        <f>(K52*($E52/365))+(K53*($E53/365))</f>
        <v>95.454545454545453</v>
      </c>
      <c r="C176" s="5">
        <f>(L52*($E52/365))+(L53*($E53/365))</f>
        <v>0</v>
      </c>
      <c r="D176" s="5">
        <f>(M52*($E52/365))+(M53*($E53/365))</f>
        <v>0</v>
      </c>
      <c r="E176" s="17">
        <f t="shared" si="51"/>
        <v>95.454545454545453</v>
      </c>
      <c r="G176" s="1">
        <v>1978</v>
      </c>
      <c r="H176" s="362">
        <f>(O52/$R52*100*($E52/365))+(O53/$R53*100*($E53/365))</f>
        <v>100</v>
      </c>
      <c r="I176" s="362"/>
      <c r="J176" s="362">
        <f>(P52/$R52*100*($E52/365))+(P53/$R53*100*($E53/365))</f>
        <v>0</v>
      </c>
      <c r="K176" s="362"/>
      <c r="L176" s="362">
        <f>(Q52/$R52*100*($E52/365))+(Q53/$R53*100*($E53/365))</f>
        <v>0</v>
      </c>
      <c r="M176" s="362"/>
      <c r="N176" s="363">
        <f t="shared" si="52"/>
        <v>100</v>
      </c>
      <c r="O176" s="363"/>
      <c r="R176" s="1">
        <v>1978</v>
      </c>
      <c r="S176" s="5">
        <f>(O52*($E52/365))+(O53*($E53/365))</f>
        <v>57</v>
      </c>
      <c r="T176" s="5">
        <f>(P52*($E52/365))+(P53*($E53/365))</f>
        <v>0</v>
      </c>
      <c r="U176" s="5">
        <f>(Q52*($E52/365))+(Q53*($E53/365))</f>
        <v>0</v>
      </c>
      <c r="V176" s="9"/>
      <c r="W176" s="5">
        <f t="shared" si="53"/>
        <v>57</v>
      </c>
    </row>
    <row r="177" spans="1:23" x14ac:dyDescent="0.15">
      <c r="A177" s="1">
        <v>1979</v>
      </c>
      <c r="B177" s="5">
        <f>(K54*($E54/365))+(K55*($E55/365))</f>
        <v>95.454545454545453</v>
      </c>
      <c r="C177" s="5">
        <f>(L54*($E54/365))+(L55*($E55/365))</f>
        <v>0</v>
      </c>
      <c r="D177" s="5">
        <f>(M54*($E54/365))+(M55*($E55/365))</f>
        <v>0</v>
      </c>
      <c r="E177" s="17">
        <f t="shared" si="51"/>
        <v>95.454545454545453</v>
      </c>
      <c r="G177" s="1">
        <v>1979</v>
      </c>
      <c r="H177" s="362">
        <f>(O54/$R54*100*($E54/365))+(O55/$R55*100*($E55/365))</f>
        <v>100</v>
      </c>
      <c r="I177" s="362"/>
      <c r="J177" s="362">
        <f>(P54/$R54*100*($E54/365))+(P55/$R55*100*($E55/365))</f>
        <v>0</v>
      </c>
      <c r="K177" s="362"/>
      <c r="L177" s="362">
        <f>(Q54/$R54*100*($E54/365))+(Q55/$R55*100*($E55/365))</f>
        <v>0</v>
      </c>
      <c r="M177" s="362"/>
      <c r="N177" s="363">
        <f t="shared" si="52"/>
        <v>100</v>
      </c>
      <c r="O177" s="363"/>
      <c r="R177" s="1">
        <v>1979</v>
      </c>
      <c r="S177" s="5">
        <f>(O54*($E54/365))+(O55*($E55/365))</f>
        <v>57</v>
      </c>
      <c r="T177" s="5">
        <f>(P54*($E54/365))+(P55*($E55/365))</f>
        <v>0</v>
      </c>
      <c r="U177" s="5">
        <f>(Q54*($E54/365))+(Q55*($E55/365))</f>
        <v>0</v>
      </c>
      <c r="V177" s="9"/>
      <c r="W177" s="5">
        <f t="shared" si="53"/>
        <v>57</v>
      </c>
    </row>
    <row r="178" spans="1:23" x14ac:dyDescent="0.15">
      <c r="A178" s="1">
        <v>1980</v>
      </c>
      <c r="B178" s="5">
        <f>(K56*($E56/366))+(K57*($E57/366))</f>
        <v>93.001738698460002</v>
      </c>
      <c r="C178" s="5">
        <f>(L56*($E56/366))+(L57*($E57/366))</f>
        <v>0</v>
      </c>
      <c r="D178" s="5">
        <f>(M56*($E56/366))+(M57*($E57/366))</f>
        <v>0</v>
      </c>
      <c r="E178" s="17">
        <f t="shared" si="51"/>
        <v>93.001738698460002</v>
      </c>
      <c r="G178" s="1">
        <v>1980</v>
      </c>
      <c r="H178" s="362">
        <f>(O56/$R56*100*($E56/366))+(O57/$R57*100*($E57/366))</f>
        <v>100</v>
      </c>
      <c r="I178" s="362"/>
      <c r="J178" s="362">
        <f>(P56/$R56*100*($E56/366))+(P57/$R57*100*($E57/366))</f>
        <v>0</v>
      </c>
      <c r="K178" s="362"/>
      <c r="L178" s="362">
        <f>(Q56/$R56*100*($E56/366))+(Q57/$R57*100*($E57/366))</f>
        <v>0</v>
      </c>
      <c r="M178" s="362"/>
      <c r="N178" s="363">
        <f t="shared" si="52"/>
        <v>100</v>
      </c>
      <c r="O178" s="363"/>
      <c r="R178" s="1">
        <v>1980</v>
      </c>
      <c r="S178" s="5">
        <f>(O56*($E56/366))+(O57*($E57/366))</f>
        <v>57</v>
      </c>
      <c r="T178" s="5">
        <f>(P56*($E56/366))+(P57*($E57/366))</f>
        <v>0</v>
      </c>
      <c r="U178" s="5">
        <f>(Q56*($E56/366))+(Q57*($E57/366))</f>
        <v>0</v>
      </c>
      <c r="V178" s="9"/>
      <c r="W178" s="5">
        <f t="shared" si="53"/>
        <v>57</v>
      </c>
    </row>
    <row r="179" spans="1:23" x14ac:dyDescent="0.15">
      <c r="A179" s="1">
        <v>1981</v>
      </c>
      <c r="B179" s="5">
        <f>(K58*($E58/365))+(K59*($E59/365))</f>
        <v>73.584474885844742</v>
      </c>
      <c r="C179" s="5">
        <f>(L58*($E58/365))+(L59*($E59/365))</f>
        <v>0</v>
      </c>
      <c r="D179" s="5">
        <f>(M58*($E58/365))+(M59*($E59/365))</f>
        <v>19.726027397260275</v>
      </c>
      <c r="E179" s="17">
        <f t="shared" si="51"/>
        <v>93.310502283105023</v>
      </c>
      <c r="G179" s="1">
        <v>1981</v>
      </c>
      <c r="H179" s="362">
        <f>(O58/$R58*100*($E58/365))+(O59/$R59*100*($E59/365))</f>
        <v>80.273972602739732</v>
      </c>
      <c r="I179" s="362"/>
      <c r="J179" s="362">
        <f>(P58/$R58*100*($E58/365))+(P59/$R59*100*($E59/365))</f>
        <v>0</v>
      </c>
      <c r="K179" s="362"/>
      <c r="L179" s="362">
        <f>(Q58/$R58*100*($E58/365))+(Q59/$R59*100*($E59/365))</f>
        <v>19.726027397260275</v>
      </c>
      <c r="M179" s="362"/>
      <c r="N179" s="363">
        <f t="shared" si="52"/>
        <v>100</v>
      </c>
      <c r="O179" s="363"/>
      <c r="R179" s="1">
        <v>1981</v>
      </c>
      <c r="S179" s="5">
        <f>(O58*($E58/365))+(O59*($E59/365))</f>
        <v>45.756164383561647</v>
      </c>
      <c r="T179" s="5">
        <f>(P58*($E58/365))+(P59*($E59/365))</f>
        <v>0</v>
      </c>
      <c r="U179" s="5">
        <f>(Q58*($E58/365))+(Q59*($E59/365))</f>
        <v>11.303013698630137</v>
      </c>
      <c r="V179" s="9"/>
      <c r="W179" s="5">
        <f t="shared" si="53"/>
        <v>57.059178082191785</v>
      </c>
    </row>
    <row r="180" spans="1:23" x14ac:dyDescent="0.15">
      <c r="A180" s="1">
        <v>1982</v>
      </c>
      <c r="B180" s="5">
        <f>(K60*($E60/365))+(K61*($E61/365))</f>
        <v>0</v>
      </c>
      <c r="C180" s="5">
        <f>(L60*($E60/365))+(L61*($E61/365))</f>
        <v>0</v>
      </c>
      <c r="D180" s="5">
        <f>(M60*($E60/365))+(M61*($E61/365))</f>
        <v>100</v>
      </c>
      <c r="E180" s="17">
        <f t="shared" si="51"/>
        <v>100</v>
      </c>
      <c r="G180" s="1">
        <v>1982</v>
      </c>
      <c r="H180" s="362">
        <f>(O60/$R60*100*($E60/365))+(O61/$R61*100*($E61/365))</f>
        <v>0</v>
      </c>
      <c r="I180" s="362"/>
      <c r="J180" s="362">
        <f>(P60/$R60*100*($E60/365))+(P61/$R61*100*($E61/365))</f>
        <v>0</v>
      </c>
      <c r="K180" s="362"/>
      <c r="L180" s="362">
        <f>(Q60/$R60*100*($E60/365))+(Q61/$R61*100*($E61/365))</f>
        <v>100</v>
      </c>
      <c r="M180" s="362"/>
      <c r="N180" s="363">
        <f t="shared" si="52"/>
        <v>100</v>
      </c>
      <c r="O180" s="363"/>
      <c r="R180" s="1">
        <v>1982</v>
      </c>
      <c r="S180" s="5">
        <f>(O60*($E60/365))+(O61*($E61/365))</f>
        <v>0</v>
      </c>
      <c r="T180" s="5">
        <f>(P60*($E60/365))+(P61*($E61/365))</f>
        <v>0</v>
      </c>
      <c r="U180" s="5">
        <f>(Q60*($E60/365))+(Q61*($E61/365))</f>
        <v>57.3</v>
      </c>
      <c r="V180" s="9"/>
      <c r="W180" s="5">
        <f t="shared" si="53"/>
        <v>57.3</v>
      </c>
    </row>
    <row r="181" spans="1:23" x14ac:dyDescent="0.15">
      <c r="A181" s="1">
        <v>1983</v>
      </c>
      <c r="B181" s="5">
        <f>(K62*($E62/365))+(K63*($E63/365))</f>
        <v>0</v>
      </c>
      <c r="C181" s="5">
        <f>(L62*($E62/365))+(L63*($E63/365))</f>
        <v>0</v>
      </c>
      <c r="D181" s="5">
        <f>(M62*($E62/365))+(M63*($E63/365))</f>
        <v>100</v>
      </c>
      <c r="E181" s="17">
        <f t="shared" si="51"/>
        <v>100</v>
      </c>
      <c r="G181" s="1">
        <v>1983</v>
      </c>
      <c r="H181" s="362">
        <f>(O62/$R62*100*($E62/365))+(O63/$R63*100*($E63/365))</f>
        <v>0</v>
      </c>
      <c r="I181" s="362"/>
      <c r="J181" s="362">
        <f>(P62/$R62*100*($E62/365))+(P63/$R63*100*($E63/365))</f>
        <v>0</v>
      </c>
      <c r="K181" s="362"/>
      <c r="L181" s="362">
        <f>(Q62/$R62*100*($E62/365))+(Q63/$R63*100*($E63/365))</f>
        <v>100</v>
      </c>
      <c r="M181" s="362"/>
      <c r="N181" s="363">
        <f t="shared" si="52"/>
        <v>100</v>
      </c>
      <c r="O181" s="363"/>
      <c r="R181" s="1">
        <v>1983</v>
      </c>
      <c r="S181" s="5">
        <f>(O62*($E62/365))+(O63*($E63/365))</f>
        <v>0</v>
      </c>
      <c r="T181" s="5">
        <f>(P62*($E62/365))+(P63*($E63/365))</f>
        <v>0</v>
      </c>
      <c r="U181" s="5">
        <f>(Q62*($E62/365))+(Q63*($E63/365))</f>
        <v>57.3</v>
      </c>
      <c r="V181" s="9"/>
      <c r="W181" s="5">
        <f t="shared" si="53"/>
        <v>57.3</v>
      </c>
    </row>
    <row r="182" spans="1:23" x14ac:dyDescent="0.15">
      <c r="A182" s="1">
        <v>1984</v>
      </c>
      <c r="B182" s="5">
        <f>(K64*($E64/366))+(K65*($E65/366))</f>
        <v>0</v>
      </c>
      <c r="C182" s="5">
        <f>(L64*($E64/366))+(L65*($E65/366))</f>
        <v>0</v>
      </c>
      <c r="D182" s="5">
        <f>(M64*($E64/366))+(M65*($E65/366))</f>
        <v>100</v>
      </c>
      <c r="E182" s="17">
        <f t="shared" si="51"/>
        <v>100</v>
      </c>
      <c r="G182" s="1">
        <v>1984</v>
      </c>
      <c r="H182" s="362">
        <f>(O64/$R64*100*($E64/366))+(O65/$R65*100*($E65/366))</f>
        <v>0</v>
      </c>
      <c r="I182" s="362"/>
      <c r="J182" s="362">
        <f>(P64/$R64*100*($E64/366))+(P65/$R65*100*($E65/366))</f>
        <v>0</v>
      </c>
      <c r="K182" s="362"/>
      <c r="L182" s="362">
        <f>(Q64/$R64*100*($E64/366))+(Q65/$R65*100*($E65/366))</f>
        <v>100</v>
      </c>
      <c r="M182" s="362"/>
      <c r="N182" s="363">
        <f t="shared" si="52"/>
        <v>100</v>
      </c>
      <c r="O182" s="363"/>
      <c r="R182" s="1">
        <v>1984</v>
      </c>
      <c r="S182" s="5">
        <f>(O64*($E64/366))+(O65*($E65/366))</f>
        <v>0</v>
      </c>
      <c r="T182" s="5">
        <f>(P64*($E64/366))+(P65*($E65/366))</f>
        <v>0</v>
      </c>
      <c r="U182" s="5">
        <f>(Q64*($E64/366))+(Q65*($E65/366))</f>
        <v>57.3</v>
      </c>
      <c r="V182" s="9"/>
      <c r="W182" s="5">
        <f t="shared" si="53"/>
        <v>57.3</v>
      </c>
    </row>
    <row r="183" spans="1:23" x14ac:dyDescent="0.15">
      <c r="A183" s="1">
        <v>1985</v>
      </c>
      <c r="B183" s="5">
        <f>(K66*($E66/365))+(K67*($E67/365))+(K68*($E68/365))</f>
        <v>0</v>
      </c>
      <c r="C183" s="5">
        <f>(L66*($E66/365))+(L67*($E67/365))+(L68*($E68/365))</f>
        <v>0</v>
      </c>
      <c r="D183" s="5">
        <f>(M66*($E66/365))+(M67*($E67/365))+(M68*($E68/365))</f>
        <v>100</v>
      </c>
      <c r="E183" s="17">
        <f t="shared" si="51"/>
        <v>100</v>
      </c>
      <c r="G183" s="1">
        <v>1985</v>
      </c>
      <c r="H183" s="362">
        <f>(O66/$R66*100*($E66/365))+(O67/$R67*100*($E67/365))+(O68/$R68*100*($E68/365))</f>
        <v>0</v>
      </c>
      <c r="I183" s="362"/>
      <c r="J183" s="362">
        <f>(P66/$R66*100*($E66/365))+(P67/$R67*100*($E67/365))+(P68/$R68*100*($E68/365))</f>
        <v>0</v>
      </c>
      <c r="K183" s="362"/>
      <c r="L183" s="362">
        <f>(Q66/$R66*100*($E66/365))+(Q67/$R67*100*($E67/365))+(Q68/$R68*100*($E68/365))</f>
        <v>100</v>
      </c>
      <c r="M183" s="362"/>
      <c r="N183" s="363">
        <f t="shared" si="52"/>
        <v>100</v>
      </c>
      <c r="O183" s="363"/>
      <c r="R183" s="1">
        <v>1985</v>
      </c>
      <c r="S183" s="5">
        <f>(O66*($E66/365))+(O67*($E67/365))+(O68*($E68/365))</f>
        <v>0</v>
      </c>
      <c r="T183" s="5">
        <f>(P66*($E66/365))+(P67*($E67/365))+(P68*($E68/365))</f>
        <v>0</v>
      </c>
      <c r="U183" s="5">
        <f>(Q66*($E66/365))+(Q67*($E67/365))+(Q68*($E68/365))</f>
        <v>55.228767123287668</v>
      </c>
      <c r="V183" s="9"/>
      <c r="W183" s="5">
        <f t="shared" si="53"/>
        <v>55.228767123287668</v>
      </c>
    </row>
    <row r="184" spans="1:23" x14ac:dyDescent="0.15">
      <c r="A184" s="1">
        <v>1986</v>
      </c>
      <c r="B184" s="5">
        <f>(K69*($E69/365))+(K70*($E70/365))</f>
        <v>0</v>
      </c>
      <c r="C184" s="5">
        <f>(L69*($E69/365))+(L70*($E70/365))</f>
        <v>0</v>
      </c>
      <c r="D184" s="5">
        <f>(M69*($E69/365))+(M70*($E70/365))</f>
        <v>100</v>
      </c>
      <c r="E184" s="17">
        <f t="shared" si="51"/>
        <v>100</v>
      </c>
      <c r="G184" s="1">
        <v>1986</v>
      </c>
      <c r="H184" s="362">
        <f>(O69/$R69*100*($E69/365))+(O70/$R70*100*($E70/365))</f>
        <v>0</v>
      </c>
      <c r="I184" s="362"/>
      <c r="J184" s="362">
        <f>(P69/$R69*100*($E69/365))+(P70/$R70*100*($E70/365))</f>
        <v>0</v>
      </c>
      <c r="K184" s="362"/>
      <c r="L184" s="362">
        <f>(Q69/$R69*100*($E69/365))+(Q70/$R70*100*($E70/365))</f>
        <v>100</v>
      </c>
      <c r="M184" s="362"/>
      <c r="N184" s="363">
        <f t="shared" si="52"/>
        <v>100</v>
      </c>
      <c r="O184" s="363"/>
      <c r="R184" s="1">
        <v>1986</v>
      </c>
      <c r="S184" s="5">
        <f>(O69*($E69/365))+(O70*($E70/365))</f>
        <v>0</v>
      </c>
      <c r="T184" s="5">
        <f>(P69*($E69/365))+(P70*($E70/365))</f>
        <v>0</v>
      </c>
      <c r="U184" s="5">
        <f>(Q69*($E69/365))+(Q70*($E70/365))</f>
        <v>53.7</v>
      </c>
      <c r="V184" s="9"/>
      <c r="W184" s="5">
        <f t="shared" si="53"/>
        <v>53.7</v>
      </c>
    </row>
    <row r="185" spans="1:23" x14ac:dyDescent="0.15">
      <c r="A185" s="1">
        <v>1987</v>
      </c>
      <c r="B185" s="5">
        <f>(K71*($E71/365))+(K72*($E72/365))</f>
        <v>0</v>
      </c>
      <c r="C185" s="5">
        <f>(L71*($E71/365))+(L72*($E72/365))</f>
        <v>0</v>
      </c>
      <c r="D185" s="5">
        <f>(M71*($E71/365))+(M72*($E72/365))</f>
        <v>100</v>
      </c>
      <c r="E185" s="17">
        <f t="shared" si="51"/>
        <v>100</v>
      </c>
      <c r="G185" s="1">
        <v>1987</v>
      </c>
      <c r="H185" s="362">
        <f>(O71/$R71*100*($E71/365))+(O72/$R72*100*($E72/365))</f>
        <v>0</v>
      </c>
      <c r="I185" s="362"/>
      <c r="J185" s="362">
        <f>(P71/$R71*100*($E71/365))+(P72/$R72*100*($E72/365))</f>
        <v>0</v>
      </c>
      <c r="K185" s="362"/>
      <c r="L185" s="362">
        <f>(Q71/$R71*100*($E71/365))+(Q72/$R72*100*($E72/365))</f>
        <v>100</v>
      </c>
      <c r="M185" s="362"/>
      <c r="N185" s="363">
        <f t="shared" si="52"/>
        <v>100</v>
      </c>
      <c r="O185" s="363"/>
      <c r="R185" s="1">
        <v>1987</v>
      </c>
      <c r="S185" s="5">
        <f>(O71*($E71/365))+(O72*($E72/365))</f>
        <v>0</v>
      </c>
      <c r="T185" s="5">
        <f>(P71*($E71/365))+(P72*($E72/365))</f>
        <v>0</v>
      </c>
      <c r="U185" s="5">
        <f>(Q71*($E71/365))+(Q72*($E72/365))</f>
        <v>53.7</v>
      </c>
      <c r="V185" s="9"/>
      <c r="W185" s="5">
        <f t="shared" si="53"/>
        <v>53.7</v>
      </c>
    </row>
    <row r="186" spans="1:23" x14ac:dyDescent="0.15">
      <c r="A186" s="1">
        <v>1988</v>
      </c>
      <c r="B186" s="5">
        <f>(K73*($E73/366))+(K74*($E74/366))</f>
        <v>0</v>
      </c>
      <c r="C186" s="5">
        <f>(L73*($E73/366))+(L74*($E74/366))</f>
        <v>0</v>
      </c>
      <c r="D186" s="5">
        <f>(M73*($E73/366))+(M74*($E74/366))</f>
        <v>100</v>
      </c>
      <c r="E186" s="17">
        <f t="shared" si="51"/>
        <v>100</v>
      </c>
      <c r="G186" s="1">
        <v>1988</v>
      </c>
      <c r="H186" s="362">
        <f>(O73/$R73*100*($E73/366))+(O74/$R74*100*($E74/366))</f>
        <v>0</v>
      </c>
      <c r="I186" s="362"/>
      <c r="J186" s="362">
        <f>(P73/$R73*100*($E73/366))+(P74/$R74*100*($E74/366))</f>
        <v>0</v>
      </c>
      <c r="K186" s="362"/>
      <c r="L186" s="362">
        <f>(Q73/$R73*100*($E73/366))+(Q74/$R74*100*($E74/366))</f>
        <v>100</v>
      </c>
      <c r="M186" s="362"/>
      <c r="N186" s="363">
        <f t="shared" si="52"/>
        <v>100</v>
      </c>
      <c r="O186" s="363"/>
      <c r="R186" s="1">
        <v>1988</v>
      </c>
      <c r="S186" s="5">
        <f>(O73*($E73/366))+(O74*($E74/366))</f>
        <v>0</v>
      </c>
      <c r="T186" s="5">
        <f>(P73*($E73/366))+(P74*($E74/366))</f>
        <v>0</v>
      </c>
      <c r="U186" s="5">
        <f>(Q73*($E73/366))+(Q74*($E74/366))</f>
        <v>53.7</v>
      </c>
      <c r="W186" s="5">
        <f t="shared" si="53"/>
        <v>53.7</v>
      </c>
    </row>
    <row r="187" spans="1:23" x14ac:dyDescent="0.15">
      <c r="A187" s="1">
        <v>1989</v>
      </c>
      <c r="B187" s="5">
        <f>(K75*($E75/365))+(K76*($E76/365))+(K77*($E77/365))+(K78*($E78/365))</f>
        <v>28.646303071556201</v>
      </c>
      <c r="C187" s="5">
        <f>(L75*($E75/365))+(L76*($E76/365))+(L77*($E77/365))+(L78*($E78/365))</f>
        <v>0</v>
      </c>
      <c r="D187" s="5">
        <f>(M75*($E75/365))+(M76*($E76/365))+(M77*($E77/365))+(M78*($E78/365))</f>
        <v>55.945999602938258</v>
      </c>
      <c r="E187" s="17">
        <f t="shared" si="51"/>
        <v>84.592302674494462</v>
      </c>
      <c r="G187" s="1">
        <v>1989</v>
      </c>
      <c r="H187" s="362">
        <f>(O75/$R75*100*($E75/365))+(O76/$R76*100*($E76/365))+(O78/$R78*100*($E78/365))</f>
        <v>28.874044682641507</v>
      </c>
      <c r="I187" s="362"/>
      <c r="J187" s="362">
        <f>(P75/$R75*100*($E75/365))+(P76/$R76*100*($E76/365))+(P78/$R78*100*($E78/365))</f>
        <v>0</v>
      </c>
      <c r="K187" s="362"/>
      <c r="L187" s="362">
        <f>(Q75/$R75*100*($E75/365))+(Q76/$R76*100*($E76/365))+(Q78/$R78*100*($E78/365))</f>
        <v>59.893078605029736</v>
      </c>
      <c r="M187" s="362"/>
      <c r="N187" s="363">
        <f t="shared" si="52"/>
        <v>88.767123287671239</v>
      </c>
      <c r="O187" s="363"/>
      <c r="R187" s="1">
        <v>1989</v>
      </c>
      <c r="S187" s="5">
        <f>(O75*($E75/365))+(O76*($E76/365))+(O77*($E77/365))+(O78*($E78/365))</f>
        <v>18.90027397260274</v>
      </c>
      <c r="T187" s="5">
        <f>(P75*($E75/365))+(P76*($E76/365))+(P77*($E77/365))+(P78*($E78/365))</f>
        <v>0</v>
      </c>
      <c r="U187" s="5">
        <f>(Q75*($E75/365))+(Q76*($E76/365))+(Q77*($E77/365))+(Q78*($E78/365))</f>
        <v>34.854794520547948</v>
      </c>
      <c r="W187" s="5">
        <f t="shared" si="53"/>
        <v>53.755068493150688</v>
      </c>
    </row>
    <row r="188" spans="1:23" x14ac:dyDescent="0.15">
      <c r="A188" s="1">
        <v>1990</v>
      </c>
      <c r="B188" s="5">
        <f>(K79*($E79/365))+(K80*($E80/365))+(K81*($E81/365))</f>
        <v>75.968688845401175</v>
      </c>
      <c r="C188" s="5">
        <f>(L79*($E79/365))+(L80*($E80/365))+(L81*($E81/365))</f>
        <v>0</v>
      </c>
      <c r="D188" s="5">
        <f>(M79*($E79/365))+(M80*($E80/365))+(M81*($E81/365))</f>
        <v>3.926940639269406</v>
      </c>
      <c r="E188" s="17">
        <f t="shared" si="51"/>
        <v>79.895629484670579</v>
      </c>
      <c r="G188" s="1">
        <v>1990</v>
      </c>
      <c r="H188" s="362">
        <f>(O79/$R79*100*($E79/365))+(O81/$R81*100*($E81/365))</f>
        <v>78.451627143428652</v>
      </c>
      <c r="I188" s="362"/>
      <c r="J188" s="362">
        <f>(P79/$R79*100*($E79/365))+(P81/$R81*100*($E81/365))</f>
        <v>0</v>
      </c>
      <c r="K188" s="362"/>
      <c r="L188" s="362">
        <f>(Q79/$R79*100*($E79/365))+(Q81/$R81*100*($E81/365))</f>
        <v>5.9319345004069577</v>
      </c>
      <c r="M188" s="362"/>
      <c r="N188" s="363">
        <f t="shared" si="52"/>
        <v>84.383561643835606</v>
      </c>
      <c r="O188" s="363"/>
      <c r="R188" s="1">
        <v>1990</v>
      </c>
      <c r="S188" s="5">
        <f>(O79*($E79/365))+(O80*($E80/365))+(O81*($E81/365))</f>
        <v>42.327123287671228</v>
      </c>
      <c r="T188" s="5">
        <f>(P79*($E79/365))+(P80*($E80/365))+(P81*($E81/365))</f>
        <v>0</v>
      </c>
      <c r="U188" s="5">
        <f>(Q79*($E79/365))+(Q80*($E80/365))+(Q81*($E81/365))</f>
        <v>5.89041095890411</v>
      </c>
      <c r="W188" s="5">
        <f t="shared" si="53"/>
        <v>48.21753424657534</v>
      </c>
    </row>
    <row r="189" spans="1:23" x14ac:dyDescent="0.15">
      <c r="A189" s="1">
        <v>1991</v>
      </c>
      <c r="B189" s="5">
        <f>(K82*($E82/365))+(K83*($E83/365))</f>
        <v>100</v>
      </c>
      <c r="C189" s="5">
        <f>(L82*($E82/365))+(L83*($E83/365))</f>
        <v>0</v>
      </c>
      <c r="D189" s="5">
        <f>(M82*($E82/365))+(M83*($E83/365))</f>
        <v>0</v>
      </c>
      <c r="E189" s="17">
        <f t="shared" si="51"/>
        <v>100</v>
      </c>
      <c r="G189" s="1">
        <v>1991</v>
      </c>
      <c r="H189" s="362">
        <f>(O82/$R82*100*($E82/365))+(O83/$R83*100*($E83/365))</f>
        <v>100</v>
      </c>
      <c r="I189" s="362"/>
      <c r="J189" s="362">
        <f>(P82/$R82*100*($E82/365))+(P83/$R83*100*($E83/365))</f>
        <v>0</v>
      </c>
      <c r="K189" s="362"/>
      <c r="L189" s="362">
        <f>(Q82/$R82*100*($E82/365))+(Q83/$R83*100*($E83/365))</f>
        <v>0</v>
      </c>
      <c r="M189" s="362"/>
      <c r="N189" s="363">
        <f t="shared" si="52"/>
        <v>100</v>
      </c>
      <c r="O189" s="363"/>
      <c r="R189" s="1">
        <v>1991</v>
      </c>
      <c r="S189" s="5">
        <f>(O82*($E82/365))+(O83*($E83/365))</f>
        <v>50.3</v>
      </c>
      <c r="T189" s="5">
        <f>(P82*($E82/365))+(P83*($E83/365))</f>
        <v>0</v>
      </c>
      <c r="U189" s="5">
        <f>(Q82*($E82/365))+(Q83*($E83/365))</f>
        <v>0</v>
      </c>
      <c r="W189" s="5">
        <f t="shared" si="53"/>
        <v>50.3</v>
      </c>
    </row>
    <row r="190" spans="1:23" x14ac:dyDescent="0.15">
      <c r="A190" s="1">
        <v>1992</v>
      </c>
      <c r="B190" s="5">
        <f>(K84*($E84/366))+(K85*($E85/366))</f>
        <v>100</v>
      </c>
      <c r="C190" s="5">
        <f>(L84*($E84/366))+(L85*($E85/366))</f>
        <v>0</v>
      </c>
      <c r="D190" s="5">
        <f>(M84*($E84/366))+(M85*($E85/366))</f>
        <v>0</v>
      </c>
      <c r="E190" s="17">
        <f t="shared" si="51"/>
        <v>100</v>
      </c>
      <c r="G190" s="1">
        <v>1992</v>
      </c>
      <c r="H190" s="362">
        <f>(O84/$R84*100*($E84/366))+(O85/$R85*100*($E85/366))</f>
        <v>100</v>
      </c>
      <c r="I190" s="362"/>
      <c r="J190" s="362">
        <f>(P84/$R84*100*($E84/366))+(P85/$R85*100*($E85/366))</f>
        <v>0</v>
      </c>
      <c r="K190" s="362"/>
      <c r="L190" s="362">
        <f>(Q84/$R84*100*($E84/366))+(Q85/$R85*100*($E85/366))</f>
        <v>0</v>
      </c>
      <c r="M190" s="362"/>
      <c r="N190" s="363">
        <f t="shared" si="52"/>
        <v>100</v>
      </c>
      <c r="O190" s="363"/>
      <c r="R190" s="1">
        <v>1992</v>
      </c>
      <c r="S190" s="5">
        <f>(O84*($E84/366))+(O85*($E85/366))</f>
        <v>50.3</v>
      </c>
      <c r="T190" s="5">
        <f>(P84*($E84/366))+(P85*($E85/366))</f>
        <v>0</v>
      </c>
      <c r="U190" s="5">
        <f>(Q84*($E84/366))+(Q85*($E85/366))</f>
        <v>0</v>
      </c>
      <c r="W190" s="5">
        <f t="shared" si="53"/>
        <v>50.3</v>
      </c>
    </row>
    <row r="191" spans="1:23" x14ac:dyDescent="0.15">
      <c r="A191" s="1">
        <v>1993</v>
      </c>
      <c r="B191" s="5">
        <f>(K86*($E86/365))+(K87*($E87/365))</f>
        <v>81.369863013698634</v>
      </c>
      <c r="C191" s="5">
        <f>(L86*($E86/365))+(L87*($E87/365))</f>
        <v>0</v>
      </c>
      <c r="D191" s="5">
        <f>(M86*($E86/365))+(M87*($E87/365))</f>
        <v>18.63013698630137</v>
      </c>
      <c r="E191" s="17">
        <f t="shared" si="51"/>
        <v>100</v>
      </c>
      <c r="G191" s="1">
        <v>1993</v>
      </c>
      <c r="H191" s="362">
        <f>(O86/$R86*100*($E86/365))+(O87/$R87*100*($E87/365))</f>
        <v>81.369863013698634</v>
      </c>
      <c r="I191" s="362"/>
      <c r="J191" s="362">
        <f>(P86/$R86*100*($E86/365))+(P87/$R87*100*($E87/365))</f>
        <v>0</v>
      </c>
      <c r="K191" s="362"/>
      <c r="L191" s="362">
        <f>(Q86/$R86*100*($E86/365))+(Q87/$R87*100*($E87/365))</f>
        <v>18.63013698630137</v>
      </c>
      <c r="M191" s="362"/>
      <c r="N191" s="363">
        <f t="shared" si="52"/>
        <v>100</v>
      </c>
      <c r="O191" s="363"/>
      <c r="R191" s="1">
        <v>1993</v>
      </c>
      <c r="S191" s="5">
        <f>(O86*($E86/365))+(O87*($E87/365))</f>
        <v>40.929041095890405</v>
      </c>
      <c r="T191" s="5">
        <f>(P86*($E86/365))+(P87*($E87/365))</f>
        <v>0</v>
      </c>
      <c r="U191" s="5">
        <f>(Q86*($E86/365))+(Q87*($E87/365))</f>
        <v>10.563287671232878</v>
      </c>
      <c r="W191" s="5">
        <f t="shared" si="53"/>
        <v>51.492328767123283</v>
      </c>
    </row>
    <row r="192" spans="1:23" x14ac:dyDescent="0.15">
      <c r="A192" s="1">
        <v>1994</v>
      </c>
      <c r="B192" s="5">
        <f>(K88*($E88/365))+(K89*($E89/365))</f>
        <v>0</v>
      </c>
      <c r="C192" s="5">
        <f>(L88*($E88/365))+(L89*($E89/365))</f>
        <v>0</v>
      </c>
      <c r="D192" s="5">
        <f>(M88*($E88/365))+(M89*($E89/365))</f>
        <v>100</v>
      </c>
      <c r="E192" s="17">
        <f t="shared" si="51"/>
        <v>100</v>
      </c>
      <c r="G192" s="1">
        <v>1994</v>
      </c>
      <c r="H192" s="362">
        <f>(O88/$R88*100*($E88/365))+(O89/$R89*100*($E89/365))</f>
        <v>0</v>
      </c>
      <c r="I192" s="362"/>
      <c r="J192" s="362">
        <f>(P88/$R88*100*($E88/365))+(P89/$R89*100*($E89/365))</f>
        <v>0</v>
      </c>
      <c r="K192" s="362"/>
      <c r="L192" s="362">
        <f>(Q88/$R88*100*($E88/365))+(Q89/$R89*100*($E89/365))</f>
        <v>100</v>
      </c>
      <c r="M192" s="362"/>
      <c r="N192" s="363">
        <f t="shared" si="52"/>
        <v>100</v>
      </c>
      <c r="O192" s="363"/>
      <c r="R192" s="1">
        <v>1994</v>
      </c>
      <c r="S192" s="5">
        <f>(O88*($E88/365))+(O89*($E89/365))</f>
        <v>0</v>
      </c>
      <c r="T192" s="5">
        <f>(P88*($E88/365))+(P89*($E89/365))</f>
        <v>0</v>
      </c>
      <c r="U192" s="5">
        <f>(Q88*($E88/365))+(Q89*($E89/365))</f>
        <v>56.7</v>
      </c>
      <c r="W192" s="5">
        <f t="shared" si="53"/>
        <v>56.7</v>
      </c>
    </row>
    <row r="193" spans="1:23" x14ac:dyDescent="0.15">
      <c r="A193" s="1">
        <v>1995</v>
      </c>
      <c r="B193" s="5">
        <f>(K90*($E90/365))+(K91*($E91/365))</f>
        <v>0</v>
      </c>
      <c r="C193" s="5">
        <f>(L90*($E90/365))+(L91*($E91/365))</f>
        <v>0</v>
      </c>
      <c r="D193" s="5">
        <f>(M90*($E90/365))+(M91*($E91/365))</f>
        <v>100</v>
      </c>
      <c r="E193" s="17">
        <f t="shared" si="51"/>
        <v>100</v>
      </c>
      <c r="G193" s="1">
        <v>1995</v>
      </c>
      <c r="H193" s="362">
        <f>(O90/$R90*100*($E90/365))+(O91/$R91*100*($E91/365))</f>
        <v>0</v>
      </c>
      <c r="I193" s="362"/>
      <c r="J193" s="362">
        <f>(P90/$R90*100*($E90/365))+(P91/$R91*100*($E91/365))</f>
        <v>0</v>
      </c>
      <c r="K193" s="362"/>
      <c r="L193" s="362">
        <f>(Q90/$R90*100*($E90/365))+(Q91/$R91*100*($E91/365))</f>
        <v>100</v>
      </c>
      <c r="M193" s="362"/>
      <c r="N193" s="363">
        <f t="shared" si="52"/>
        <v>100</v>
      </c>
      <c r="O193" s="363"/>
      <c r="R193" s="1">
        <v>1995</v>
      </c>
      <c r="S193" s="5">
        <f>(O90*($E90/365))+(O91*($E91/365))</f>
        <v>0</v>
      </c>
      <c r="T193" s="5">
        <f>(P90*($E90/365))+(P91*($E91/365))</f>
        <v>0</v>
      </c>
      <c r="U193" s="5">
        <f>(Q90*($E90/365))+(Q91*($E91/365))</f>
        <v>56.7</v>
      </c>
      <c r="W193" s="5">
        <f t="shared" si="53"/>
        <v>56.7</v>
      </c>
    </row>
    <row r="194" spans="1:23" x14ac:dyDescent="0.15">
      <c r="A194" s="1">
        <v>1996</v>
      </c>
      <c r="B194" s="5">
        <f>(K92*($E92/366))+(K93*($E93/366))+(K94*($E94/366))</f>
        <v>0</v>
      </c>
      <c r="C194" s="5">
        <f>(L92*($E92/366))+(L93*($E93/366))+(L94*($E94/366))</f>
        <v>0</v>
      </c>
      <c r="D194" s="5">
        <f>(M92*($E92/366))+(M93*($E93/366))+(M94*($E94/366))</f>
        <v>100</v>
      </c>
      <c r="E194" s="17">
        <f t="shared" si="51"/>
        <v>100</v>
      </c>
      <c r="G194" s="1">
        <v>1996</v>
      </c>
      <c r="H194" s="362">
        <f>(O92/$R92*100*($E92/366))+(O93/$R93*100*($E93/366))+(O94/$R94*100*($E94/366))</f>
        <v>0</v>
      </c>
      <c r="I194" s="362"/>
      <c r="J194" s="362">
        <f>(P92/$R92*100*($E92/366))+(P93/$R93*100*($E93/366))+(P94/$R94*100*($E94/366))</f>
        <v>0</v>
      </c>
      <c r="K194" s="362"/>
      <c r="L194" s="362">
        <f>(Q92/$R92*100*($E92/366))+(Q93/$R93*100*($E93/366))+(Q94/$R94*100*($E94/366))</f>
        <v>100</v>
      </c>
      <c r="M194" s="362"/>
      <c r="N194" s="363">
        <f t="shared" si="52"/>
        <v>100</v>
      </c>
      <c r="O194" s="363"/>
      <c r="R194" s="1">
        <v>1996</v>
      </c>
      <c r="S194" s="5">
        <f>(O92*($E92/366))+(O93*($E93/366))+(O94*($E94/366))</f>
        <v>0</v>
      </c>
      <c r="T194" s="5">
        <f>(P92*($E92/366))+(P93*($E93/366))+(P94*($E94/366))</f>
        <v>0</v>
      </c>
      <c r="U194" s="5">
        <f>(Q92*($E92/366))+(Q93*($E93/366))+(Q94*($E94/366))</f>
        <v>54.228688524590169</v>
      </c>
      <c r="W194" s="5">
        <f t="shared" si="53"/>
        <v>54.228688524590169</v>
      </c>
    </row>
    <row r="195" spans="1:23" x14ac:dyDescent="0.15">
      <c r="A195" s="1">
        <v>1997</v>
      </c>
      <c r="B195" s="5">
        <f>(K95*($E95/365))+(K96*($E96/365))</f>
        <v>0</v>
      </c>
      <c r="C195" s="5">
        <f>(L95*($E95/365))+(L96*($E96/365))</f>
        <v>0</v>
      </c>
      <c r="D195" s="5">
        <f>(M95*($E95/365))+(M96*($E96/365))</f>
        <v>100</v>
      </c>
      <c r="E195" s="17">
        <f t="shared" si="51"/>
        <v>100</v>
      </c>
      <c r="G195" s="1">
        <v>1997</v>
      </c>
      <c r="H195" s="362">
        <f>(O95/$R95*100*($E95/365))+(O96/$R96*100*($E96/365))</f>
        <v>0</v>
      </c>
      <c r="I195" s="362"/>
      <c r="J195" s="362">
        <f>(P95/$R95*100*($E95/365))+(P96/$R96*100*($E96/365))</f>
        <v>0</v>
      </c>
      <c r="K195" s="362"/>
      <c r="L195" s="362">
        <f>(Q95/$R95*100*($E95/365))+(Q96/$R96*100*($E96/365))</f>
        <v>100</v>
      </c>
      <c r="M195" s="362"/>
      <c r="N195" s="363">
        <f t="shared" si="52"/>
        <v>100</v>
      </c>
      <c r="O195" s="363"/>
      <c r="R195" s="1">
        <v>1997</v>
      </c>
      <c r="S195" s="5">
        <f>(O95*($E95/365))+(O96*($E96/365))</f>
        <v>0</v>
      </c>
      <c r="T195" s="5">
        <f>(P95*($E95/365))+(P96*($E96/365))</f>
        <v>0</v>
      </c>
      <c r="U195" s="5">
        <f>(Q95*($E95/365))+(Q96*($E96/365))</f>
        <v>54</v>
      </c>
      <c r="W195" s="5">
        <f t="shared" si="53"/>
        <v>54</v>
      </c>
    </row>
    <row r="196" spans="1:23" x14ac:dyDescent="0.15">
      <c r="A196" s="1">
        <v>1998</v>
      </c>
      <c r="B196" s="5">
        <f>(K97*($E97/365))+(K98*($E98/365))</f>
        <v>0</v>
      </c>
      <c r="C196" s="5">
        <f>(L97*($E97/365))+(L98*($E98/365))</f>
        <v>0</v>
      </c>
      <c r="D196" s="5">
        <f>(M97*($E97/365))+(M98*($E98/365))</f>
        <v>100</v>
      </c>
      <c r="E196" s="17">
        <f t="shared" si="51"/>
        <v>100</v>
      </c>
      <c r="G196" s="1">
        <v>1998</v>
      </c>
      <c r="H196" s="362">
        <f>(O97/$R97*100*($E97/365))+(O98/$R98*100*($E98/365))</f>
        <v>0</v>
      </c>
      <c r="I196" s="362"/>
      <c r="J196" s="362">
        <f>(P97/$R97*100*($E97/365))+(P98/$R98*100*($E98/365))</f>
        <v>0</v>
      </c>
      <c r="K196" s="362"/>
      <c r="L196" s="362">
        <f>(Q97/$R97*100*($E97/365))+(Q98/$R98*100*($E98/365))</f>
        <v>100</v>
      </c>
      <c r="M196" s="362"/>
      <c r="N196" s="363">
        <f t="shared" si="52"/>
        <v>100</v>
      </c>
      <c r="O196" s="363"/>
      <c r="R196" s="1">
        <v>1998</v>
      </c>
      <c r="S196" s="5">
        <f>(O97*($E97/365))+(O98*($E98/365))</f>
        <v>0</v>
      </c>
      <c r="T196" s="5">
        <f>(P97*($E97/365))+(P98*($E98/365))</f>
        <v>0</v>
      </c>
      <c r="U196" s="5">
        <f>(Q97*($E97/365))+(Q98*($E98/365))</f>
        <v>54</v>
      </c>
      <c r="W196" s="5">
        <f t="shared" si="53"/>
        <v>54</v>
      </c>
    </row>
    <row r="197" spans="1:23" x14ac:dyDescent="0.15">
      <c r="A197" s="1">
        <v>1999</v>
      </c>
      <c r="B197" s="5">
        <f>(K99*($E99/365))+(K100*($E100/365))</f>
        <v>0</v>
      </c>
      <c r="C197" s="5">
        <f>(L99*($E99/365))+(L100*($E100/365))</f>
        <v>0</v>
      </c>
      <c r="D197" s="5">
        <f>(M99*($E99/365))+(M100*($E100/365))</f>
        <v>100</v>
      </c>
      <c r="E197" s="17">
        <f t="shared" si="51"/>
        <v>100</v>
      </c>
      <c r="G197" s="1">
        <v>1999</v>
      </c>
      <c r="H197" s="362">
        <f>(O99/$R99*100*($E99/365))+(O100/$R100*100*($E100/365))</f>
        <v>0</v>
      </c>
      <c r="I197" s="362"/>
      <c r="J197" s="362">
        <f>(P99/$R99*100*($E99/365))+(P100/$R100*100*($E100/365))</f>
        <v>0</v>
      </c>
      <c r="K197" s="362"/>
      <c r="L197" s="362">
        <f>(Q99/$R99*100*($E99/365))+(Q100/$R100*100*($E100/365))</f>
        <v>100</v>
      </c>
      <c r="M197" s="362"/>
      <c r="N197" s="363">
        <f t="shared" si="52"/>
        <v>100</v>
      </c>
      <c r="O197" s="363"/>
      <c r="R197" s="1">
        <v>1999</v>
      </c>
      <c r="S197" s="5">
        <f>(O99*($E99/365))+(O100*($E100/365))</f>
        <v>0</v>
      </c>
      <c r="T197" s="5">
        <f>(P99*($E99/365))+(P100*($E100/365))</f>
        <v>0</v>
      </c>
      <c r="U197" s="5">
        <f>(Q99*($E99/365))+(Q100*($E100/365))</f>
        <v>54</v>
      </c>
      <c r="W197" s="5">
        <f t="shared" si="53"/>
        <v>54</v>
      </c>
    </row>
    <row r="198" spans="1:23" x14ac:dyDescent="0.15">
      <c r="A198" s="1">
        <v>2000</v>
      </c>
      <c r="B198" s="5">
        <f>(K101*($E101/366))+(K102*($E102/366))</f>
        <v>0</v>
      </c>
      <c r="C198" s="5">
        <f>(L101*($E101/366))+(L102*($E102/366))</f>
        <v>0</v>
      </c>
      <c r="D198" s="5">
        <f>(M101*($E101/366))+(M102*($E102/366))</f>
        <v>100</v>
      </c>
      <c r="E198" s="17">
        <f t="shared" si="51"/>
        <v>100</v>
      </c>
      <c r="G198" s="1">
        <v>2000</v>
      </c>
      <c r="H198" s="362">
        <f>(O101/$R101*100*($E101/366))+(O102/$R102*100*($E102/366))</f>
        <v>0</v>
      </c>
      <c r="I198" s="362"/>
      <c r="J198" s="362">
        <f>(P101/$R101*100*($E101/366))+(P102/$R102*100*($E102/366))</f>
        <v>0</v>
      </c>
      <c r="K198" s="362"/>
      <c r="L198" s="362">
        <f>(Q101/$R101*100*($E101/366))+(Q102/$R102*100*($E102/366))</f>
        <v>100</v>
      </c>
      <c r="M198" s="362"/>
      <c r="N198" s="363">
        <f t="shared" si="52"/>
        <v>100</v>
      </c>
      <c r="O198" s="363"/>
      <c r="R198" s="1">
        <v>2000</v>
      </c>
      <c r="S198" s="5">
        <f>(O101*($E101/366))+(O102*($E102/366))</f>
        <v>0</v>
      </c>
      <c r="T198" s="5">
        <f>(P101*($E101/366))+(P102*($E102/366))</f>
        <v>0</v>
      </c>
      <c r="U198" s="5">
        <f>(Q101*($E101/366))+(Q102*($E102/366))</f>
        <v>53.108469945355196</v>
      </c>
      <c r="W198" s="5">
        <f t="shared" si="53"/>
        <v>53.108469945355196</v>
      </c>
    </row>
    <row r="199" spans="1:23" x14ac:dyDescent="0.15">
      <c r="A199" s="1">
        <v>2001</v>
      </c>
      <c r="B199" s="5">
        <f>(K103*($E103/365))+(K104*($E104/365))</f>
        <v>0</v>
      </c>
      <c r="C199" s="5">
        <f>(L103*($E103/365))+(L104*($E104/365))</f>
        <v>0</v>
      </c>
      <c r="D199" s="5">
        <f>(M103*($E103/365))+(M104*($E104/365))</f>
        <v>100</v>
      </c>
      <c r="E199" s="17">
        <f t="shared" si="51"/>
        <v>100</v>
      </c>
      <c r="G199" s="1">
        <v>2001</v>
      </c>
      <c r="H199" s="362">
        <f>(O103/$R103*100*($E103/365))+(O104/$R104*100*($E104/365))</f>
        <v>0</v>
      </c>
      <c r="I199" s="362"/>
      <c r="J199" s="362">
        <f>(P103/$R103*100*($E103/365))+(P104/$R104*100*($E104/365))</f>
        <v>0</v>
      </c>
      <c r="K199" s="362"/>
      <c r="L199" s="362">
        <f>(Q103/$R103*100*($E103/365))+(Q104/$R104*100*($E104/365))</f>
        <v>100</v>
      </c>
      <c r="M199" s="362"/>
      <c r="N199" s="363">
        <f t="shared" si="52"/>
        <v>100</v>
      </c>
      <c r="O199" s="363"/>
      <c r="R199" s="1">
        <v>2001</v>
      </c>
      <c r="S199" s="5">
        <f>(O103*($E103/365))+(O104*($E104/365))</f>
        <v>0</v>
      </c>
      <c r="T199" s="5">
        <f>(P103*($E103/365))+(P104*($E104/365))</f>
        <v>0</v>
      </c>
      <c r="U199" s="5">
        <f>(Q103*($E103/365))+(Q104*($E104/365))</f>
        <v>52.7</v>
      </c>
      <c r="W199" s="5">
        <f t="shared" si="53"/>
        <v>52.7</v>
      </c>
    </row>
    <row r="200" spans="1:23" x14ac:dyDescent="0.15">
      <c r="A200" s="1">
        <v>2002</v>
      </c>
      <c r="B200" s="5">
        <f>(K105*($E105/365))+(K106*($E106/365))</f>
        <v>0</v>
      </c>
      <c r="C200" s="5">
        <f>(L105*($E105/365))+(L106*($E106/365))</f>
        <v>0</v>
      </c>
      <c r="D200" s="5">
        <f>(M105*($E105/365))+(M106*($E106/365))</f>
        <v>100</v>
      </c>
      <c r="E200" s="17">
        <f t="shared" si="51"/>
        <v>100</v>
      </c>
      <c r="G200" s="1">
        <v>2002</v>
      </c>
      <c r="H200" s="362">
        <f>(O105/$R105*100*($E105/365))+(O106/$R106*100*($E106/365))</f>
        <v>0</v>
      </c>
      <c r="I200" s="362"/>
      <c r="J200" s="362">
        <f>(P105/$R105*100*($E105/365))+(P106/$R106*100*($E106/365))</f>
        <v>0</v>
      </c>
      <c r="K200" s="362"/>
      <c r="L200" s="362">
        <f>(Q105/$R105*100*($E105/365))+(Q106/$R106*100*($E106/365))</f>
        <v>100</v>
      </c>
      <c r="M200" s="362"/>
      <c r="N200" s="363">
        <f t="shared" si="52"/>
        <v>100</v>
      </c>
      <c r="O200" s="363"/>
      <c r="R200" s="1">
        <v>2002</v>
      </c>
      <c r="S200" s="5">
        <f>(O105*($E105/365))+(O106*($E106/365))</f>
        <v>0</v>
      </c>
      <c r="T200" s="5">
        <f>(P105*($E105/365))+(P106*($E106/365))</f>
        <v>0</v>
      </c>
      <c r="U200" s="5">
        <f>(Q105*($E105/365))+(Q106*($E106/365))</f>
        <v>52.7</v>
      </c>
      <c r="W200" s="5">
        <f t="shared" si="53"/>
        <v>52.7</v>
      </c>
    </row>
    <row r="201" spans="1:23" x14ac:dyDescent="0.15">
      <c r="A201" s="1">
        <v>2003</v>
      </c>
      <c r="B201" s="5">
        <f>(K107*($E107/365))+(K108*($E108/365))</f>
        <v>0</v>
      </c>
      <c r="C201" s="5">
        <f>(L107*($E107/365))+(L108*($E108/365))</f>
        <v>0</v>
      </c>
      <c r="D201" s="5">
        <f>(M107*($E107/365))+(M108*($E108/365))</f>
        <v>100</v>
      </c>
      <c r="E201" s="17">
        <f t="shared" si="51"/>
        <v>100</v>
      </c>
      <c r="G201" s="1">
        <v>2003</v>
      </c>
      <c r="H201" s="362">
        <f>(O107/$R107*100*($E107/365))+(O108/$R108*100*($E108/365))</f>
        <v>0</v>
      </c>
      <c r="I201" s="362"/>
      <c r="J201" s="362">
        <f>(P107/$R107*100*($E107/365))+(P108/$R108*100*($E108/365))</f>
        <v>0</v>
      </c>
      <c r="K201" s="362"/>
      <c r="L201" s="362">
        <f>(Q107/$R107*100*($E107/365))+(Q108/$R108*100*($E108/365))</f>
        <v>100</v>
      </c>
      <c r="M201" s="362"/>
      <c r="N201" s="363">
        <f t="shared" si="52"/>
        <v>100</v>
      </c>
      <c r="O201" s="363"/>
      <c r="R201" s="1">
        <v>2003</v>
      </c>
      <c r="S201" s="5">
        <f>(O107*($E107/365))+(O108*($E108/365))</f>
        <v>0</v>
      </c>
      <c r="T201" s="5">
        <f>(P107*($E107/365))+(P108*($E108/365))</f>
        <v>0</v>
      </c>
      <c r="U201" s="5">
        <f>(Q107*($E107/365))+(Q108*($E108/365))</f>
        <v>52.7</v>
      </c>
      <c r="W201" s="5">
        <f t="shared" si="53"/>
        <v>52.7</v>
      </c>
    </row>
    <row r="202" spans="1:23" x14ac:dyDescent="0.15">
      <c r="A202" s="1">
        <v>2004</v>
      </c>
      <c r="B202" s="5">
        <f>(K109*($E109/366))+(K110*($E110/366))</f>
        <v>77.595628415300538</v>
      </c>
      <c r="C202" s="5">
        <f>(L109*($E109/366))+(L110*($E110/366))</f>
        <v>0</v>
      </c>
      <c r="D202" s="5">
        <f>(M109*($E109/366))+(M110*($E110/366))</f>
        <v>22.404371584699454</v>
      </c>
      <c r="E202" s="17">
        <f t="shared" si="51"/>
        <v>100</v>
      </c>
      <c r="G202" s="1">
        <v>2004</v>
      </c>
      <c r="H202" s="362">
        <f>(O109/$R109*100*($E109/366))+(O110/$R110*100*($E110/366))</f>
        <v>77.595628415300538</v>
      </c>
      <c r="I202" s="362"/>
      <c r="J202" s="362">
        <f>(P109/$R109*100*($E109/366))+(P110/$R110*100*($E110/366))</f>
        <v>0</v>
      </c>
      <c r="K202" s="362"/>
      <c r="L202" s="362">
        <f>(Q109/$R109*100*($E109/366))+(Q110/$R110*100*($E110/366))</f>
        <v>22.404371584699454</v>
      </c>
      <c r="M202" s="362"/>
      <c r="N202" s="363">
        <f t="shared" si="52"/>
        <v>100</v>
      </c>
      <c r="O202" s="363"/>
      <c r="R202" s="1">
        <v>2004</v>
      </c>
      <c r="S202" s="5">
        <f>(O109*($E109/366))+(O110*($E110/366))</f>
        <v>42.677595628415297</v>
      </c>
      <c r="T202" s="5">
        <f>(P109*($E109/366))+(P110*($E110/366))</f>
        <v>0</v>
      </c>
      <c r="U202" s="5">
        <f>(Q109*($E109/366))+(Q110*($E110/366))</f>
        <v>11.807103825136613</v>
      </c>
      <c r="W202" s="5">
        <f t="shared" si="53"/>
        <v>54.484699453551912</v>
      </c>
    </row>
    <row r="203" spans="1:23" x14ac:dyDescent="0.15">
      <c r="A203" s="1">
        <v>2005</v>
      </c>
      <c r="B203" s="5">
        <f>(K111*($E111/365))+(K112*($E112/365))</f>
        <v>100</v>
      </c>
      <c r="C203" s="5">
        <f>(L111*($E111/365))+(L112*($E112/365))</f>
        <v>0</v>
      </c>
      <c r="D203" s="5">
        <f>(M111*($E111/365))+(M112*($E112/365))</f>
        <v>0</v>
      </c>
      <c r="E203" s="17">
        <f t="shared" si="51"/>
        <v>100</v>
      </c>
      <c r="G203" s="1">
        <v>2005</v>
      </c>
      <c r="H203" s="362">
        <f>(O111/$R111*100*($E111/365))+(O112/$R112*100*($E112/365))</f>
        <v>100</v>
      </c>
      <c r="I203" s="362"/>
      <c r="J203" s="362">
        <f>(P111/$R111*100*($E111/365))+(P112/$R112*100*($E112/365))</f>
        <v>0</v>
      </c>
      <c r="K203" s="362"/>
      <c r="L203" s="362">
        <f>(Q111/$R111*100*($E111/365))+(Q112/$R112*100*($E112/365))</f>
        <v>0</v>
      </c>
      <c r="M203" s="362"/>
      <c r="N203" s="363">
        <f t="shared" si="52"/>
        <v>100</v>
      </c>
      <c r="O203" s="363"/>
      <c r="R203" s="1">
        <v>2005</v>
      </c>
      <c r="S203" s="5">
        <f>(O111*($E111/365))+(O112*($E112/365))</f>
        <v>55</v>
      </c>
      <c r="T203" s="5">
        <f>(P111*($E111/365))+(P112*($E112/365))</f>
        <v>0</v>
      </c>
      <c r="U203" s="5">
        <f>(Q111*($E111/365))+(Q112*($E112/365))</f>
        <v>0</v>
      </c>
      <c r="W203" s="5">
        <f t="shared" si="53"/>
        <v>55</v>
      </c>
    </row>
    <row r="204" spans="1:23" x14ac:dyDescent="0.15">
      <c r="A204" s="1">
        <v>2006</v>
      </c>
      <c r="B204" s="5">
        <f>(K113*($E113/365))+(K114*($E114/365))</f>
        <v>100</v>
      </c>
      <c r="C204" s="5">
        <f>(L113*($E113/365))+(L114*($E114/365))</f>
        <v>0</v>
      </c>
      <c r="D204" s="5">
        <f>(M113*($E113/365))+(M114*($E114/365))</f>
        <v>0</v>
      </c>
      <c r="E204" s="17">
        <f t="shared" si="51"/>
        <v>100</v>
      </c>
      <c r="G204" s="1">
        <v>2006</v>
      </c>
      <c r="H204" s="362">
        <f>(O113/$R113*100*($E113/365))+(O114/$R114*100*($E114/365))</f>
        <v>100</v>
      </c>
      <c r="I204" s="362"/>
      <c r="J204" s="362">
        <f>(P113/$R113*100*($E113/365))+(P114/$R114*100*($E114/365))</f>
        <v>0</v>
      </c>
      <c r="K204" s="362"/>
      <c r="L204" s="362">
        <f>(Q113/$R113*100*($E113/365))+(Q114/$R114*100*($E114/365))</f>
        <v>0</v>
      </c>
      <c r="M204" s="362"/>
      <c r="N204" s="363">
        <f t="shared" si="52"/>
        <v>100</v>
      </c>
      <c r="O204" s="363"/>
      <c r="R204" s="1">
        <v>2006</v>
      </c>
      <c r="S204" s="5">
        <f>(O113*($E113/365))+(O114*($E114/365))</f>
        <v>55</v>
      </c>
      <c r="T204" s="5">
        <f>(P113*($E113/365))+(P114*($E114/365))</f>
        <v>0</v>
      </c>
      <c r="U204" s="5">
        <f>(Q113*($E113/365))+(Q114*($E114/365))</f>
        <v>0</v>
      </c>
      <c r="W204" s="5">
        <f t="shared" si="53"/>
        <v>55</v>
      </c>
    </row>
    <row r="205" spans="1:23" x14ac:dyDescent="0.15">
      <c r="A205" s="1">
        <v>2007</v>
      </c>
      <c r="B205" s="5">
        <f>(K115*($E115/365))+(K116*($E116/365))</f>
        <v>100</v>
      </c>
      <c r="C205" s="5">
        <f>(L115*($E115/365))+(L116*($E116/365))</f>
        <v>0</v>
      </c>
      <c r="D205" s="5">
        <f>(M115*($E115/365))+(M116*($E116/365))</f>
        <v>0</v>
      </c>
      <c r="E205" s="17">
        <f t="shared" si="51"/>
        <v>100</v>
      </c>
      <c r="G205" s="1">
        <v>2007</v>
      </c>
      <c r="H205" s="362">
        <f>(O115/$R115*100*($E115/365))+(O116/$R116*100*($E116/365))</f>
        <v>100</v>
      </c>
      <c r="I205" s="362"/>
      <c r="J205" s="362">
        <f>(P115/$R115*100*($E115/365))+(P116/$R116*100*($E116/365))</f>
        <v>0</v>
      </c>
      <c r="K205" s="362"/>
      <c r="L205" s="362">
        <f>(Q115/$R115*100*($E115/365))+(Q116/$R116*100*($E116/365))</f>
        <v>0</v>
      </c>
      <c r="M205" s="362"/>
      <c r="N205" s="363">
        <f t="shared" si="52"/>
        <v>100</v>
      </c>
      <c r="O205" s="363"/>
      <c r="R205" s="1">
        <v>2007</v>
      </c>
      <c r="S205" s="5">
        <f>(O115*($E115/365))+(O116*($E116/365))</f>
        <v>53.91616438356165</v>
      </c>
      <c r="T205" s="5">
        <f>(P115*($E115/365))+(P116*($E116/365))</f>
        <v>0</v>
      </c>
      <c r="U205" s="5">
        <f>(Q115*($E115/365))+(Q116*($E116/365))</f>
        <v>0</v>
      </c>
      <c r="W205" s="5">
        <f t="shared" si="53"/>
        <v>53.91616438356165</v>
      </c>
    </row>
    <row r="206" spans="1:23" x14ac:dyDescent="0.15">
      <c r="A206" s="1">
        <v>2008</v>
      </c>
      <c r="B206" s="5">
        <f>(K117*($E117/366))+(K118*($E118/366))</f>
        <v>100</v>
      </c>
      <c r="C206" s="5">
        <f>(L117*($E117/366))+(L118*($E118/366))</f>
        <v>0</v>
      </c>
      <c r="D206" s="5">
        <f>(M117*($E117/366))+(M118*($E118/366))</f>
        <v>0</v>
      </c>
      <c r="E206" s="17">
        <f t="shared" si="51"/>
        <v>100</v>
      </c>
      <c r="G206" s="1">
        <v>2008</v>
      </c>
      <c r="H206" s="362">
        <f>(O117/$R117*100*($E117/366))+(O118/$R118*100*($E118/366))</f>
        <v>100</v>
      </c>
      <c r="I206" s="362"/>
      <c r="J206" s="362">
        <f>(P117/$R117*100*($E117/366))+(P118/$R118*100*($E118/366))</f>
        <v>0</v>
      </c>
      <c r="K206" s="362"/>
      <c r="L206" s="362">
        <f>(Q117/$R117*100*($E117/366))+(Q118/$R118*100*($E118/366))</f>
        <v>0</v>
      </c>
      <c r="M206" s="362"/>
      <c r="N206" s="363">
        <f t="shared" si="52"/>
        <v>100</v>
      </c>
      <c r="O206" s="363"/>
      <c r="R206" s="1">
        <v>2008</v>
      </c>
      <c r="S206" s="5">
        <f>(O117*($E117/366))+(O118*($E118/366))</f>
        <v>50.7</v>
      </c>
      <c r="T206" s="5">
        <f>(P117*($E117/366))+(P118*($E118/366))</f>
        <v>0</v>
      </c>
      <c r="U206" s="5">
        <f>(Q117*($E117/366))+(Q118*($E118/366))</f>
        <v>0</v>
      </c>
      <c r="W206" s="5">
        <f t="shared" si="53"/>
        <v>50.7</v>
      </c>
    </row>
    <row r="207" spans="1:23" x14ac:dyDescent="0.15">
      <c r="A207" s="1">
        <v>2009</v>
      </c>
      <c r="B207" s="5">
        <f>(K119*($E119/365))+(K120*($E120/365))</f>
        <v>79.726027397260268</v>
      </c>
      <c r="C207" s="5">
        <f>(L119*($E119/365))+(L120*($E120/365))</f>
        <v>0</v>
      </c>
      <c r="D207" s="5">
        <f>(M119*($E119/365))+(M120*($E120/365))</f>
        <v>20.273972602739725</v>
      </c>
      <c r="E207" s="17">
        <f t="shared" si="51"/>
        <v>100</v>
      </c>
      <c r="G207" s="1">
        <v>2009</v>
      </c>
      <c r="H207" s="362">
        <f>(O119/$R119*100*($E119/365))+(O120/$R120*100*($E120/365))</f>
        <v>79.726027397260268</v>
      </c>
      <c r="I207" s="362"/>
      <c r="J207" s="362">
        <f>(P119/$R119*100*($E119/365))+(P120/$R120*100*($E120/365))</f>
        <v>0</v>
      </c>
      <c r="K207" s="362"/>
      <c r="L207" s="362">
        <f>(Q119/$R119*100*($E119/365))+(Q120/$R120*100*($E120/365))</f>
        <v>20.273972602739725</v>
      </c>
      <c r="M207" s="362"/>
      <c r="N207" s="363">
        <f t="shared" si="52"/>
        <v>100</v>
      </c>
      <c r="O207" s="363"/>
      <c r="R207" s="1">
        <v>2009</v>
      </c>
      <c r="S207" s="5">
        <f>(O119*($E119/365))+(O120*($E120/365))</f>
        <v>40.42109589041096</v>
      </c>
      <c r="T207" s="5">
        <f>(P119*($E119/365))+(P120*($E120/365))</f>
        <v>0</v>
      </c>
      <c r="U207" s="5">
        <f>(Q119*($E119/365))+(Q120*($E120/365))</f>
        <v>10.806027397260273</v>
      </c>
      <c r="W207" s="5">
        <f t="shared" si="53"/>
        <v>51.227123287671233</v>
      </c>
    </row>
    <row r="208" spans="1:23" x14ac:dyDescent="0.15">
      <c r="A208" s="1">
        <v>2010</v>
      </c>
      <c r="B208" s="5">
        <f>(K121*($E121/365))+(K122*($E122/365))</f>
        <v>0</v>
      </c>
      <c r="C208" s="5">
        <f>(L121*($E121/365))+(L122*($E122/365))</f>
        <v>0</v>
      </c>
      <c r="D208" s="5">
        <f>(M121*($E121/365))+(M122*($E122/365))</f>
        <v>100</v>
      </c>
      <c r="E208" s="17">
        <f t="shared" si="51"/>
        <v>100</v>
      </c>
      <c r="G208" s="1">
        <v>2010</v>
      </c>
      <c r="H208" s="362">
        <f>(O121/$R121*100*($E121/365))+(O122/$R122*100*($E122/365))</f>
        <v>0</v>
      </c>
      <c r="I208" s="362"/>
      <c r="J208" s="362">
        <f>(P121/$R121*100*($E121/365))+(P122/$R122*100*($E122/365))</f>
        <v>0</v>
      </c>
      <c r="K208" s="362"/>
      <c r="L208" s="362">
        <f>(Q121/$R121*100*($E121/365))+(Q122/$R122*100*($E122/365))</f>
        <v>100</v>
      </c>
      <c r="M208" s="362"/>
      <c r="N208" s="363">
        <f t="shared" si="52"/>
        <v>100</v>
      </c>
      <c r="O208" s="363"/>
      <c r="R208" s="1">
        <v>2010</v>
      </c>
      <c r="S208" s="5">
        <f>(O121*($E121/365))+(O122*($E122/365))</f>
        <v>0</v>
      </c>
      <c r="T208" s="5">
        <f>(P121*($E121/365))+(P122*($E122/365))</f>
        <v>0</v>
      </c>
      <c r="U208" s="5">
        <f>(Q121*($E121/365))+(Q122*($E122/365))</f>
        <v>53.3</v>
      </c>
      <c r="W208" s="5">
        <f t="shared" si="53"/>
        <v>53.3</v>
      </c>
    </row>
    <row r="209" spans="1:24" x14ac:dyDescent="0.15">
      <c r="A209" s="1">
        <v>2011</v>
      </c>
      <c r="B209" s="5">
        <f>(K123*($E123/365))+(K124*($E124/365))</f>
        <v>2.1004566210045659</v>
      </c>
      <c r="C209" s="5">
        <f>(L123*($E123/365))+(L124*($E124/365))</f>
        <v>0</v>
      </c>
      <c r="D209" s="5">
        <f>(M123*($E123/365))+(M124*($E124/365))</f>
        <v>95.799086757990864</v>
      </c>
      <c r="E209" s="17">
        <f t="shared" si="51"/>
        <v>97.899543378995432</v>
      </c>
      <c r="G209" s="1">
        <v>2011</v>
      </c>
      <c r="H209" s="362">
        <f>(O123/$R123*100*($E123/365))+(O124/$R124*100*($E124/365))</f>
        <v>5.0211818547264926</v>
      </c>
      <c r="I209" s="362"/>
      <c r="J209" s="362">
        <f>(P123/$R123*100*($E123/365))+(P124/$R124*100*($E124/365))</f>
        <v>0</v>
      </c>
      <c r="K209" s="362"/>
      <c r="L209" s="362">
        <f>(Q123/$R123*100*($E123/365))+(Q124/$R124*100*($E124/365))</f>
        <v>94.978818145273507</v>
      </c>
      <c r="M209" s="362"/>
      <c r="N209" s="363">
        <f t="shared" si="52"/>
        <v>100</v>
      </c>
      <c r="O209" s="363"/>
      <c r="R209" s="1">
        <v>2011</v>
      </c>
      <c r="S209" s="5">
        <f>(O123*($E123/365))+(O124*($E124/365))</f>
        <v>4.4487671232876709</v>
      </c>
      <c r="T209" s="5">
        <f>(P123*($E123/365))+(P124*($E124/365))</f>
        <v>0</v>
      </c>
      <c r="U209" s="5">
        <f>(Q123*($E123/365))+(Q124*($E124/365))</f>
        <v>53.3</v>
      </c>
      <c r="W209" s="5">
        <f t="shared" si="53"/>
        <v>57.748767123287671</v>
      </c>
    </row>
    <row r="210" spans="1:24" x14ac:dyDescent="0.15">
      <c r="A210" s="1">
        <v>2012</v>
      </c>
      <c r="B210" s="5">
        <f>(K125*($E125/366))+(K126*($E126/366))+(K127*($E127/366))</f>
        <v>44.474802671523982</v>
      </c>
      <c r="C210" s="5">
        <f>(L125*($E125/366))+(L126*($E126/366))+(L127*($E127/366))</f>
        <v>0</v>
      </c>
      <c r="D210" s="5">
        <f>(M125*($E125/366))+(M126*($E126/366))+(M127*($E127/366))</f>
        <v>39.496053430479662</v>
      </c>
      <c r="E210" s="17">
        <f t="shared" si="51"/>
        <v>83.970856102003637</v>
      </c>
      <c r="G210" s="1">
        <v>2012</v>
      </c>
      <c r="H210" s="362">
        <f>(O125/$R125*100*($E125/366))+(O127/$R127*100*($E127/366))</f>
        <v>53.435773794702193</v>
      </c>
      <c r="I210" s="362"/>
      <c r="J210" s="362">
        <f>(P125/$R125*100*($E125/366))+(P127/$R127*100*($E127/366))</f>
        <v>0</v>
      </c>
      <c r="K210" s="362"/>
      <c r="L210" s="362">
        <f>(Q125/$R125*100*($E125/366))+(Q127/$R127*100*($E127/366))</f>
        <v>36.728160631527317</v>
      </c>
      <c r="M210" s="362"/>
      <c r="N210" s="363">
        <f t="shared" si="52"/>
        <v>90.163934426229503</v>
      </c>
      <c r="O210" s="363"/>
      <c r="R210" s="1">
        <v>2012</v>
      </c>
      <c r="S210" s="5">
        <f>(O125*($E125/366))+(O126*($E126/366))+(O127*($E127/366))</f>
        <v>35.909289617486337</v>
      </c>
      <c r="T210" s="5">
        <f>(P125*($E125/366))+(P126*($E126/366))+(P127*($E127/366))</f>
        <v>0</v>
      </c>
      <c r="U210" s="5">
        <f>(Q125*($E125/366))+(Q126*($E126/366))+(Q127*($E127/366))</f>
        <v>28.28633879781421</v>
      </c>
      <c r="W210" s="5">
        <f t="shared" si="53"/>
        <v>64.195628415300547</v>
      </c>
    </row>
    <row r="211" spans="1:24" x14ac:dyDescent="0.15">
      <c r="A211" s="1">
        <v>2013</v>
      </c>
      <c r="B211" s="5">
        <f>(K128*($E128/365))+(K129*($E129/365))</f>
        <v>76.270928462709264</v>
      </c>
      <c r="C211" s="5">
        <f>(L128*($E128/365))+(L129*($E129/365))</f>
        <v>0</v>
      </c>
      <c r="D211" s="5">
        <f>(M128*($E128/365))+(M129*($E129/365))</f>
        <v>23.729071537290714</v>
      </c>
      <c r="E211" s="17">
        <f t="shared" si="51"/>
        <v>99.999999999999972</v>
      </c>
      <c r="G211" s="1">
        <v>2013</v>
      </c>
      <c r="H211" s="362">
        <f>(O128/$R128*100*($E128/365))+(O129/$R129*100*($E129/365))</f>
        <v>77.811770168945202</v>
      </c>
      <c r="I211" s="362"/>
      <c r="J211" s="362">
        <f>(P128/$R128*100*($E128/365))+(P129/$R129*100*($E129/365))</f>
        <v>0</v>
      </c>
      <c r="K211" s="362"/>
      <c r="L211" s="362">
        <f>(Q128/$R128*100*($E128/365))+(Q129/$R129*100*($E129/365))</f>
        <v>22.188229831054777</v>
      </c>
      <c r="M211" s="362"/>
      <c r="N211" s="363">
        <f>SUM(H211:M211)</f>
        <v>99.999999999999972</v>
      </c>
      <c r="O211" s="363"/>
      <c r="R211" s="1">
        <v>2013</v>
      </c>
      <c r="S211" s="5">
        <f>(O128*($E128/365))+(O129*($E129/365))</f>
        <v>42.479452054794521</v>
      </c>
      <c r="T211" s="5">
        <f>(P128*($E128/365))+(P129*($E129/365))</f>
        <v>0</v>
      </c>
      <c r="U211" s="5">
        <f>(Q128*($E128/365))+(Q129*($E129/365))</f>
        <v>12.356164383561644</v>
      </c>
      <c r="W211" s="5">
        <f t="shared" si="53"/>
        <v>54.835616438356169</v>
      </c>
      <c r="X211" s="5"/>
    </row>
    <row r="212" spans="1:24" x14ac:dyDescent="0.15">
      <c r="A212" s="1">
        <v>2014</v>
      </c>
      <c r="B212" s="5">
        <f>(K130*($E130/365))+(K131*($E131/365))</f>
        <v>80</v>
      </c>
      <c r="C212" s="5">
        <f>(L130*($E130/365))+(L131*($E131/365))</f>
        <v>0</v>
      </c>
      <c r="D212" s="5">
        <f>(M130*($E130/365))+(M131*($E131/365))</f>
        <v>20</v>
      </c>
      <c r="E212" s="17">
        <f>SUM(B212:D212)</f>
        <v>100</v>
      </c>
      <c r="G212" s="1">
        <v>2014</v>
      </c>
      <c r="H212" s="362">
        <f>(O130/$R130*100*($E130/365))+(O131/$R131*100*($E131/365))</f>
        <v>82.35294117647058</v>
      </c>
      <c r="I212" s="362"/>
      <c r="J212" s="362">
        <f>(P130/$R130*100*($E130/365))+(P131/$R131*100*($E131/365))</f>
        <v>0</v>
      </c>
      <c r="K212" s="362"/>
      <c r="L212" s="362">
        <f>(Q130/$R130*100*($E130/365))+(Q131/$R131*100*($E131/365))</f>
        <v>17.647058823529413</v>
      </c>
      <c r="M212" s="362"/>
      <c r="N212" s="363">
        <f>SUM(H212:M212)</f>
        <v>100</v>
      </c>
      <c r="O212" s="363"/>
      <c r="R212" s="1">
        <v>2014</v>
      </c>
      <c r="S212" s="5">
        <f>(O130*($E130/365))+(O131*($E131/365))</f>
        <v>42</v>
      </c>
      <c r="T212" s="5">
        <f>(P130*($E130/365))+(P131*($E131/365))</f>
        <v>0</v>
      </c>
      <c r="U212" s="5">
        <f>(Q130*($E130/365))+(Q131*($E131/365))</f>
        <v>9</v>
      </c>
      <c r="W212" s="5">
        <f>SUM(S212:U212)</f>
        <v>51</v>
      </c>
      <c r="X212" s="5"/>
    </row>
    <row r="213" spans="1:24" x14ac:dyDescent="0.15">
      <c r="A213" s="1">
        <v>2015</v>
      </c>
      <c r="B213" s="5">
        <f>(K132*($E132/365))+(K133*($E133/365))+(K134*($E134/365))+(K135*($E135/365))</f>
        <v>10.91019786910198</v>
      </c>
      <c r="C213" s="5">
        <f>(L132*($E132/365))+(L133*($E133/365))+(L134*($E134/365))+(L135*($E135/365))</f>
        <v>0</v>
      </c>
      <c r="D213" s="5">
        <f>(M132*($E132/365))+(M133*($E133/365))+(M134*($E134/365))+(M135*($E135/365))</f>
        <v>67.196347031963469</v>
      </c>
      <c r="E213" s="17">
        <f>SUM(B213:D213)</f>
        <v>78.106544901065448</v>
      </c>
      <c r="G213" s="1">
        <v>2015</v>
      </c>
      <c r="H213" s="362">
        <f>(O132/$R132*100*($E132/365))+(O133/$R133*100*($E133/365))+(O135/$R135*100*($E135/365))</f>
        <v>12.06145886905964</v>
      </c>
      <c r="I213" s="362"/>
      <c r="J213" s="362">
        <f>(P132/$R132*100*($E132/365))+(P133/$R133*100*($E133/365))+(P135/$R135*100*($E135/365))</f>
        <v>0</v>
      </c>
      <c r="K213" s="362"/>
      <c r="L213" s="362">
        <f>(Q132/$R132*100*($E132/365))+(Q133/$R133*100*($E133/365))+(Q135/$R135*100*($E135/365))</f>
        <v>80.815253459707492</v>
      </c>
      <c r="M213" s="362"/>
      <c r="N213" s="363">
        <f>SUM(H213:M213)</f>
        <v>92.876712328767127</v>
      </c>
      <c r="O213" s="363"/>
      <c r="R213" s="1">
        <v>2015</v>
      </c>
      <c r="S213" s="5">
        <f>(O132*($E132/365))+(O133*($E133/365))+(O135*($E135/365))</f>
        <v>6.3019178082191782</v>
      </c>
      <c r="T213" s="5">
        <f>(P132*($E132/365))+(P133*($E133/365))+(P135*($E135/365))</f>
        <v>0</v>
      </c>
      <c r="U213" s="5">
        <f>(Q132*($E132/365))+(Q133*($E133/365))+(Q135*($E135/365))</f>
        <v>42.988493150684931</v>
      </c>
      <c r="W213" s="5">
        <f>SUM(S213:U213)</f>
        <v>49.290410958904111</v>
      </c>
      <c r="X213" s="5"/>
    </row>
    <row r="214" spans="1:24" x14ac:dyDescent="0.15">
      <c r="A214" s="1">
        <v>2016</v>
      </c>
      <c r="B214" s="5">
        <f>(K136*($E136/366))+(K137*($E137/366))</f>
        <v>6.0531664950766872</v>
      </c>
      <c r="C214" s="5">
        <f>(L136*($E136/366))+(L137*($E137/366))</f>
        <v>0</v>
      </c>
      <c r="D214" s="5">
        <f>(M136*($E136/366))+(M137*($E137/366))</f>
        <v>82.529500277183814</v>
      </c>
      <c r="E214" s="17">
        <f>SUM(B214:D214)</f>
        <v>88.582666772260495</v>
      </c>
      <c r="G214" s="1">
        <v>2016</v>
      </c>
      <c r="H214" s="362">
        <f>(O136/$R136*100*($E136/366))+(O137/$R137*100*($E137/366))</f>
        <v>6.395348837209303</v>
      </c>
      <c r="I214" s="362"/>
      <c r="J214" s="362">
        <f>(P136/$R136*100*($E136/366))+(P137/$R137*100*($E137/366))</f>
        <v>0</v>
      </c>
      <c r="K214" s="362"/>
      <c r="L214" s="362">
        <f>(Q136/$R136*100*($E136/366))+(Q137/$R137*100*($E137/366))</f>
        <v>93.604651162790717</v>
      </c>
      <c r="M214" s="362"/>
      <c r="N214" s="363">
        <f>SUM(H214:M214)</f>
        <v>100.00000000000001</v>
      </c>
      <c r="O214" s="363"/>
      <c r="R214" s="1">
        <v>2016</v>
      </c>
      <c r="S214" s="5">
        <f>(O136*($E136/366))+(O137*($E137/366))</f>
        <v>3.3000000000000003</v>
      </c>
      <c r="T214" s="5">
        <f>(P136*($E136/366))+(P137*($E137/366))</f>
        <v>0</v>
      </c>
      <c r="U214" s="5">
        <f>(Q136*($E136/366))+(Q137*($E137/366))</f>
        <v>48.3</v>
      </c>
      <c r="W214" s="5">
        <f>SUM(S214:U214)</f>
        <v>51.599999999999994</v>
      </c>
      <c r="X214" s="5"/>
    </row>
    <row r="215" spans="1:24" x14ac:dyDescent="0.15">
      <c r="A215" s="1">
        <v>2017</v>
      </c>
      <c r="B215" s="5">
        <f>(K138*($E138/365))+(K139*($E139/365))</f>
        <v>8.695652173913043</v>
      </c>
      <c r="C215" s="5">
        <f>(L138*($E138/365))+(L139*($E139/365))</f>
        <v>0</v>
      </c>
      <c r="D215" s="5">
        <f>(M138*($E138/365))+(M139*($E139/365))</f>
        <v>78.260869565217391</v>
      </c>
      <c r="E215" s="17">
        <f>SUM(B215:D215)</f>
        <v>86.956521739130437</v>
      </c>
      <c r="G215" s="1">
        <v>2017</v>
      </c>
      <c r="H215" s="362">
        <f>(O138/$R138*100*($E138/365))+(O139/$R139*100*($E139/365))</f>
        <v>6.395348837209303</v>
      </c>
      <c r="I215" s="362"/>
      <c r="J215" s="362">
        <f>(P138/$R138*100*($E138/365))+(P139/$R139*100*($E139/365))</f>
        <v>0</v>
      </c>
      <c r="K215" s="362"/>
      <c r="L215" s="362">
        <f>(Q138/$R138*100*($E138/365))+(Q139/$R139*100*($E139/365))</f>
        <v>93.604651162790702</v>
      </c>
      <c r="M215" s="362"/>
      <c r="N215" s="363">
        <f>SUM(H215:M215)</f>
        <v>100</v>
      </c>
      <c r="O215" s="363"/>
      <c r="R215" s="1">
        <v>2017</v>
      </c>
      <c r="S215" s="5">
        <f>(O138*($E138/365))+(O139*($E139/365))</f>
        <v>3.3</v>
      </c>
      <c r="T215" s="5">
        <f>(P138*($E138/365))+(P139*($E139/365))</f>
        <v>0</v>
      </c>
      <c r="U215" s="5">
        <f>(Q138*($E138/365))+(Q139*($E139/365))</f>
        <v>48.3</v>
      </c>
      <c r="W215" s="5">
        <f>SUM(S215:U215)</f>
        <v>51.599999999999994</v>
      </c>
    </row>
    <row r="216" spans="1:24" x14ac:dyDescent="0.15">
      <c r="A216" s="1">
        <v>2018</v>
      </c>
      <c r="B216" s="5">
        <f>(K140*($E140/365))+(K141*($E141/365))</f>
        <v>8.5705777248362125</v>
      </c>
      <c r="C216" s="5">
        <f>(L140*($E140/365))+(L141*($E141/365))</f>
        <v>0</v>
      </c>
      <c r="D216" s="5">
        <f>(M140*($E140/365))+(M141*($E141/365))</f>
        <v>82.888624181060152</v>
      </c>
      <c r="E216" s="17">
        <f t="shared" ref="E216" si="54">SUM(B216:D216)</f>
        <v>91.459201905896364</v>
      </c>
      <c r="G216" s="1">
        <v>2018</v>
      </c>
      <c r="H216" s="362">
        <f>(O140/$R140*100*($E140/365))+(O141/$R141*100*($E141/365))</f>
        <v>6.395348837209303</v>
      </c>
      <c r="I216" s="362"/>
      <c r="J216" s="362">
        <f>(P140/$R140*100*($E140/365))+(P141/$R141*100*($E141/365))</f>
        <v>0</v>
      </c>
      <c r="K216" s="362"/>
      <c r="L216" s="362">
        <f>(Q140/$R140*100*($E140/365))+(Q141/$R141*100*($E141/365))</f>
        <v>93.604651162790702</v>
      </c>
      <c r="M216" s="362"/>
      <c r="N216" s="363">
        <f t="shared" ref="N216" si="55">SUM(H216:M216)</f>
        <v>100</v>
      </c>
      <c r="O216" s="363"/>
      <c r="R216" s="1">
        <v>2018</v>
      </c>
      <c r="S216" s="5">
        <f>(O140*($E140/365))+(O141*($E141/365))</f>
        <v>3.3</v>
      </c>
      <c r="T216" s="5">
        <f>(P140*($E140/365))+(P141*($E141/365))</f>
        <v>0</v>
      </c>
      <c r="U216" s="5">
        <f>(Q140*($E140/365))+(Q141*($E141/365))</f>
        <v>48.3</v>
      </c>
      <c r="W216" s="5">
        <f t="shared" ref="W216" si="56">SUM(S216:U216)</f>
        <v>51.599999999999994</v>
      </c>
    </row>
    <row r="217" spans="1:24" x14ac:dyDescent="0.15">
      <c r="A217" s="1">
        <v>2019</v>
      </c>
      <c r="B217" s="5">
        <f>(K142*($E142/365))+(K144*($E144/365))+(K143*(E143/365))+(K145*(E145/365))</f>
        <v>42.527397260273972</v>
      </c>
      <c r="C217" s="5">
        <f>(L142*($E142/365))+(L144*($E144/365))+(L143*(E143/365))+(L145*(E145/365))</f>
        <v>0</v>
      </c>
      <c r="D217" s="5">
        <f>(M142*($E142/365))+(M144*($E144/365))+(M143*(E143/365))+(M145*(E145/365))</f>
        <v>48.230593607305934</v>
      </c>
      <c r="E217" s="17">
        <f t="shared" ref="E217:E218" si="57">SUM(B217:D217)</f>
        <v>90.757990867579906</v>
      </c>
      <c r="G217" s="1">
        <v>2019</v>
      </c>
      <c r="H217" s="362">
        <f>(O142/$R142*100*($E142/365))+(O144/$R144*100*($E144/365))+(O143/R143*100*(E143/365))+(O145/R145*100*(E145/365))</f>
        <v>50.356801529149415</v>
      </c>
      <c r="I217" s="362"/>
      <c r="J217" s="362">
        <f>(P142/$R142*100*($E142/365))+(P144/$R144*100*($E144/365))+(P143/R143*100*(E143/365))+(P145/R145*100*(E145/365))</f>
        <v>0</v>
      </c>
      <c r="K217" s="362"/>
      <c r="L217" s="362">
        <f>(Q142/$R142*100*($E142/365))+(Q144/$R144*100*($E144/365))+(Q143/R143*100*(E143/365))+(Q145/R145*100*(E145/365))</f>
        <v>49.643198470850592</v>
      </c>
      <c r="M217" s="362"/>
      <c r="N217" s="363">
        <f t="shared" ref="N217" si="58">SUM(H217:M217)</f>
        <v>100</v>
      </c>
      <c r="O217" s="363"/>
      <c r="R217" s="1">
        <v>2019</v>
      </c>
      <c r="S217" s="5">
        <f>(O142*($E142/365))+(O143*(E143/365))+(O144*($E144/365))+(O145*(E145/365))</f>
        <v>26.659178082191779</v>
      </c>
      <c r="T217" s="5">
        <f>(P142*($E142/365))+(P143*(E143/365))+(P144*($E144/365))+(P145*(E145/365))</f>
        <v>0</v>
      </c>
      <c r="U217" s="5">
        <f>(Q142*($E142/365))+(Q143*(E143/365))+(Q144*($E144/365))+(Q145*(E145/365))</f>
        <v>25.010136986301369</v>
      </c>
      <c r="W217" s="5">
        <f>SUM(S217:U217)</f>
        <v>51.669315068493148</v>
      </c>
    </row>
    <row r="218" spans="1:24" x14ac:dyDescent="0.15">
      <c r="A218" s="1">
        <v>2020</v>
      </c>
      <c r="B218" s="5">
        <f>(K146*($E146/366))+(K147*($E147/366))</f>
        <v>85.685011709601852</v>
      </c>
      <c r="C218" s="5">
        <f>(L146*($E146/366))+(L147*($E147/366))</f>
        <v>0</v>
      </c>
      <c r="D218" s="5">
        <f>(M146*($E146/366))+(M147*($E147/366))</f>
        <v>0</v>
      </c>
      <c r="E218" s="17">
        <f t="shared" si="57"/>
        <v>85.685011709601852</v>
      </c>
      <c r="G218" s="1">
        <v>2020</v>
      </c>
      <c r="H218" s="392">
        <f>(O146/$R146*100*($E146/366))+(O147/$R147*100*($E147/366))</f>
        <v>100</v>
      </c>
      <c r="I218" s="392"/>
      <c r="J218" s="392">
        <f>(P146/$R146*100*($E146/366))+(P147/$R147*100*($E147/366))</f>
        <v>0</v>
      </c>
      <c r="K218" s="392"/>
      <c r="L218" s="392">
        <f>(Q146/$R146*100*($E146/366))+(Q147/$R147*100*($E147/366))</f>
        <v>0</v>
      </c>
      <c r="M218" s="392"/>
      <c r="N218" s="363">
        <f t="shared" ref="N218" si="59">SUM(H218:M218)</f>
        <v>100</v>
      </c>
      <c r="O218" s="363"/>
      <c r="R218" s="1">
        <v>2020</v>
      </c>
      <c r="S218" s="5">
        <f>(O146*($E146/366))+(O147*($E147/366))</f>
        <v>52.999999999999993</v>
      </c>
      <c r="T218" s="5">
        <f>(P146*($E146/366))+(P147*($E147/366))</f>
        <v>0</v>
      </c>
      <c r="U218" s="5">
        <f>(Q146*($E146/366))+(Q147*($E147/366))</f>
        <v>0</v>
      </c>
      <c r="W218" s="5">
        <f t="shared" ref="W218" si="60">SUM(S218:U218)</f>
        <v>52.999999999999993</v>
      </c>
    </row>
    <row r="219" spans="1:24" x14ac:dyDescent="0.15">
      <c r="A219" s="1">
        <v>2021</v>
      </c>
      <c r="B219" s="5">
        <f>(K148*($E148/365))+(K149*($E149/365))</f>
        <v>86.592668796361465</v>
      </c>
      <c r="C219" s="5">
        <f>(L148*($E148/365))+(L149*($E149/365))</f>
        <v>0</v>
      </c>
      <c r="D219" s="5">
        <f>(M148*($E148/365))+(M149*($E149/365))</f>
        <v>0</v>
      </c>
      <c r="E219" s="17">
        <f>SUM(B219:D219)</f>
        <v>86.592668796361465</v>
      </c>
      <c r="G219" s="1">
        <v>2021</v>
      </c>
      <c r="H219" s="392">
        <f>(O148/$R148*100*($E148/365))+(O149/$R149*100*($E149/365))</f>
        <v>100</v>
      </c>
      <c r="I219" s="392"/>
      <c r="J219" s="392">
        <f>(P148/$R148*100*($E148/365))+(P149/$R149*100*($E149/365))</f>
        <v>0</v>
      </c>
      <c r="K219" s="392"/>
      <c r="L219" s="392">
        <f>(Q148/$R148*100*($E148/365))+(Q149/$R149*100*($E149/365))</f>
        <v>0</v>
      </c>
      <c r="M219" s="392"/>
      <c r="N219" s="363">
        <f>SUM(H219:M219)</f>
        <v>100</v>
      </c>
      <c r="O219" s="363"/>
      <c r="R219" s="1">
        <v>2021</v>
      </c>
      <c r="S219" s="5">
        <f>(O148*($E148/365))+(O149*($E149/365))</f>
        <v>53.000000000000007</v>
      </c>
      <c r="T219" s="5">
        <f>(P148*($E148/365))+(P149*($E149/365))</f>
        <v>0</v>
      </c>
      <c r="U219" s="5">
        <f>(Q148*($E148/365))+(Q149*($E149/365))</f>
        <v>0</v>
      </c>
      <c r="W219" s="5">
        <f>SUM(S219:U219)</f>
        <v>53.000000000000007</v>
      </c>
    </row>
    <row r="220" spans="1:24" x14ac:dyDescent="0.15">
      <c r="A220" s="1">
        <v>2022</v>
      </c>
      <c r="B220" s="5">
        <f>(K151*($E151/365))+(K150*($E150/365))</f>
        <v>86.956521739130437</v>
      </c>
      <c r="C220" s="5">
        <f>(L151*($E151/365))+(L150*($E150/365))</f>
        <v>0</v>
      </c>
      <c r="D220" s="5">
        <f>(M151*($E151/365))+(M150*($E150/365))</f>
        <v>0</v>
      </c>
      <c r="E220" s="17">
        <f>SUM(B220:D220)</f>
        <v>86.956521739130437</v>
      </c>
      <c r="G220" s="1">
        <v>2022</v>
      </c>
      <c r="H220" s="392">
        <f>(O151/$R151*100*($E151/365))+(O150/$R150*100*($E150/365))</f>
        <v>100</v>
      </c>
      <c r="I220" s="392"/>
      <c r="J220" s="392">
        <f>(P151/$R151*100*($E151/365))+(P150/$R150*100*($E150/365))</f>
        <v>0</v>
      </c>
      <c r="K220" s="392"/>
      <c r="L220" s="392">
        <f>(Q151/$R151*100*($E151/365))+(Q150/$R150*100*($E150/365))</f>
        <v>0</v>
      </c>
      <c r="M220" s="392"/>
      <c r="N220" s="363">
        <f>SUM(H220:M220)</f>
        <v>100</v>
      </c>
      <c r="O220" s="363"/>
      <c r="R220" s="1">
        <v>2022</v>
      </c>
      <c r="S220" s="5">
        <f>(O151*($E151/365))+(O150*($E150/365))</f>
        <v>53</v>
      </c>
      <c r="T220" s="5">
        <f>(P151*($E151/365))+(P150*($E150/365))</f>
        <v>0</v>
      </c>
      <c r="U220" s="5">
        <f>(Q151*($E151/365))+(Q150*($E150/365))</f>
        <v>0</v>
      </c>
      <c r="W220" s="5">
        <f>SUM(S220:U220)</f>
        <v>53</v>
      </c>
    </row>
  </sheetData>
  <mergeCells count="428">
    <mergeCell ref="C150:D150"/>
    <mergeCell ref="C151:D151"/>
    <mergeCell ref="H220:I220"/>
    <mergeCell ref="J220:K220"/>
    <mergeCell ref="L220:M220"/>
    <mergeCell ref="N220:O220"/>
    <mergeCell ref="C143:D143"/>
    <mergeCell ref="C142:D142"/>
    <mergeCell ref="C144:D144"/>
    <mergeCell ref="C145:D145"/>
    <mergeCell ref="J217:K217"/>
    <mergeCell ref="L217:M217"/>
    <mergeCell ref="H217:I217"/>
    <mergeCell ref="N217:O217"/>
    <mergeCell ref="H213:I213"/>
    <mergeCell ref="J213:K213"/>
    <mergeCell ref="L213:M213"/>
    <mergeCell ref="N213:O213"/>
    <mergeCell ref="H212:I212"/>
    <mergeCell ref="J212:K212"/>
    <mergeCell ref="L212:M212"/>
    <mergeCell ref="N212:O212"/>
    <mergeCell ref="L165:M165"/>
    <mergeCell ref="L166:M166"/>
    <mergeCell ref="H161:I161"/>
    <mergeCell ref="H162:I162"/>
    <mergeCell ref="H163:I163"/>
    <mergeCell ref="N210:O210"/>
    <mergeCell ref="N201:O201"/>
    <mergeCell ref="N202:O202"/>
    <mergeCell ref="N211:O211"/>
    <mergeCell ref="H211:I211"/>
    <mergeCell ref="J211:K211"/>
    <mergeCell ref="L211:M211"/>
    <mergeCell ref="L169:M169"/>
    <mergeCell ref="N171:O171"/>
    <mergeCell ref="L170:M170"/>
    <mergeCell ref="L171:M171"/>
    <mergeCell ref="J169:K169"/>
    <mergeCell ref="H169:I169"/>
    <mergeCell ref="N169:O169"/>
    <mergeCell ref="N170:O170"/>
    <mergeCell ref="N204:O204"/>
    <mergeCell ref="N198:O198"/>
    <mergeCell ref="N199:O199"/>
    <mergeCell ref="N200:O200"/>
    <mergeCell ref="N207:O207"/>
    <mergeCell ref="N208:O208"/>
    <mergeCell ref="N172:O172"/>
    <mergeCell ref="H179:I179"/>
    <mergeCell ref="H180:I180"/>
    <mergeCell ref="H181:I181"/>
    <mergeCell ref="H182:I182"/>
    <mergeCell ref="H183:I183"/>
    <mergeCell ref="AX4:BA4"/>
    <mergeCell ref="C7:D7"/>
    <mergeCell ref="C6:D6"/>
    <mergeCell ref="C29:D29"/>
    <mergeCell ref="N166:O166"/>
    <mergeCell ref="J166:K166"/>
    <mergeCell ref="J158:K158"/>
    <mergeCell ref="J159:K159"/>
    <mergeCell ref="J160:K160"/>
    <mergeCell ref="L158:M158"/>
    <mergeCell ref="L163:M163"/>
    <mergeCell ref="N158:O158"/>
    <mergeCell ref="N159:O159"/>
    <mergeCell ref="N160:O160"/>
    <mergeCell ref="N161:O161"/>
    <mergeCell ref="N162:O162"/>
    <mergeCell ref="N163:O163"/>
    <mergeCell ref="N164:O164"/>
    <mergeCell ref="J161:K161"/>
    <mergeCell ref="J162:K162"/>
    <mergeCell ref="H158:I158"/>
    <mergeCell ref="H159:I159"/>
    <mergeCell ref="H160:I160"/>
    <mergeCell ref="AT4:AW4"/>
    <mergeCell ref="N168:O168"/>
    <mergeCell ref="N203:O203"/>
    <mergeCell ref="N187:O187"/>
    <mergeCell ref="N188:O188"/>
    <mergeCell ref="N189:O189"/>
    <mergeCell ref="N190:O190"/>
    <mergeCell ref="N195:O195"/>
    <mergeCell ref="N196:O196"/>
    <mergeCell ref="N197:O197"/>
    <mergeCell ref="H202:I202"/>
    <mergeCell ref="H200:I200"/>
    <mergeCell ref="H184:I184"/>
    <mergeCell ref="H185:I185"/>
    <mergeCell ref="H186:I186"/>
    <mergeCell ref="H187:I187"/>
    <mergeCell ref="H188:I188"/>
    <mergeCell ref="H189:I189"/>
    <mergeCell ref="H191:I191"/>
    <mergeCell ref="H192:I192"/>
    <mergeCell ref="H193:I193"/>
    <mergeCell ref="H201:I201"/>
    <mergeCell ref="H190:I190"/>
    <mergeCell ref="H194:I194"/>
    <mergeCell ref="H195:I195"/>
    <mergeCell ref="H196:I196"/>
    <mergeCell ref="H197:I197"/>
    <mergeCell ref="H198:I198"/>
    <mergeCell ref="H199:I199"/>
    <mergeCell ref="J191:K191"/>
    <mergeCell ref="J192:K192"/>
    <mergeCell ref="N186:O186"/>
    <mergeCell ref="L196:M196"/>
    <mergeCell ref="L197:M197"/>
    <mergeCell ref="L187:M187"/>
    <mergeCell ref="J189:K189"/>
    <mergeCell ref="J187:K187"/>
    <mergeCell ref="J188:K188"/>
    <mergeCell ref="J186:K186"/>
    <mergeCell ref="J210:K210"/>
    <mergeCell ref="J206:K206"/>
    <mergeCell ref="J207:K207"/>
    <mergeCell ref="J208:K208"/>
    <mergeCell ref="J204:K204"/>
    <mergeCell ref="J205:K205"/>
    <mergeCell ref="N205:O205"/>
    <mergeCell ref="N206:O206"/>
    <mergeCell ref="J199:K199"/>
    <mergeCell ref="J203:K203"/>
    <mergeCell ref="L204:M204"/>
    <mergeCell ref="L205:M205"/>
    <mergeCell ref="C44:D44"/>
    <mergeCell ref="N185:O185"/>
    <mergeCell ref="N183:O183"/>
    <mergeCell ref="N184:O184"/>
    <mergeCell ref="N181:O181"/>
    <mergeCell ref="N182:O182"/>
    <mergeCell ref="C45:D45"/>
    <mergeCell ref="C46:D46"/>
    <mergeCell ref="C47:D47"/>
    <mergeCell ref="C48:D48"/>
    <mergeCell ref="C49:D49"/>
    <mergeCell ref="C50:D50"/>
    <mergeCell ref="C51:D51"/>
    <mergeCell ref="C52:D52"/>
    <mergeCell ref="C53:D53"/>
    <mergeCell ref="C54:D54"/>
    <mergeCell ref="C55:D55"/>
    <mergeCell ref="C56:D56"/>
    <mergeCell ref="C57:D57"/>
    <mergeCell ref="N177:O177"/>
    <mergeCell ref="N178:O178"/>
    <mergeCell ref="L172:M172"/>
    <mergeCell ref="J172:K172"/>
    <mergeCell ref="L178:M178"/>
    <mergeCell ref="R154:W154"/>
    <mergeCell ref="H156:I156"/>
    <mergeCell ref="J156:K156"/>
    <mergeCell ref="L156:M156"/>
    <mergeCell ref="N156:O156"/>
    <mergeCell ref="N175:O175"/>
    <mergeCell ref="H172:I172"/>
    <mergeCell ref="H173:I173"/>
    <mergeCell ref="H174:I174"/>
    <mergeCell ref="H175:I175"/>
    <mergeCell ref="L157:M157"/>
    <mergeCell ref="N157:O157"/>
    <mergeCell ref="J170:K170"/>
    <mergeCell ref="J171:K171"/>
    <mergeCell ref="H170:I170"/>
    <mergeCell ref="H171:I171"/>
    <mergeCell ref="H164:I164"/>
    <mergeCell ref="H165:I165"/>
    <mergeCell ref="H167:I167"/>
    <mergeCell ref="H168:I168"/>
    <mergeCell ref="J167:K167"/>
    <mergeCell ref="J168:K168"/>
    <mergeCell ref="H166:I166"/>
    <mergeCell ref="J163:K163"/>
    <mergeCell ref="G3:M3"/>
    <mergeCell ref="O3:Q3"/>
    <mergeCell ref="A4:A5"/>
    <mergeCell ref="B4:B5"/>
    <mergeCell ref="C4:D5"/>
    <mergeCell ref="E4:E5"/>
    <mergeCell ref="F4:F5"/>
    <mergeCell ref="G4:J4"/>
    <mergeCell ref="Z4:AC4"/>
    <mergeCell ref="AD4:AG4"/>
    <mergeCell ref="AH4:AK4"/>
    <mergeCell ref="AL4:AO4"/>
    <mergeCell ref="U4:U5"/>
    <mergeCell ref="V4:Y4"/>
    <mergeCell ref="AP4:AS4"/>
    <mergeCell ref="K4:N4"/>
    <mergeCell ref="O4:R4"/>
    <mergeCell ref="S4:S5"/>
    <mergeCell ref="T4:T5"/>
    <mergeCell ref="C33:D33"/>
    <mergeCell ref="C34:D34"/>
    <mergeCell ref="C35:D35"/>
    <mergeCell ref="C21:D21"/>
    <mergeCell ref="C24:D24"/>
    <mergeCell ref="C25:D25"/>
    <mergeCell ref="C26:D26"/>
    <mergeCell ref="C27:D27"/>
    <mergeCell ref="C28:D28"/>
    <mergeCell ref="C22:D22"/>
    <mergeCell ref="C23:D23"/>
    <mergeCell ref="C43:D43"/>
    <mergeCell ref="C8:D8"/>
    <mergeCell ref="C9:D9"/>
    <mergeCell ref="C10:D10"/>
    <mergeCell ref="C12:D12"/>
    <mergeCell ref="C13:D13"/>
    <mergeCell ref="C14:D14"/>
    <mergeCell ref="C15:D15"/>
    <mergeCell ref="C19:D19"/>
    <mergeCell ref="C20:D20"/>
    <mergeCell ref="C42:D42"/>
    <mergeCell ref="C11:D11"/>
    <mergeCell ref="C16:D16"/>
    <mergeCell ref="C17:D17"/>
    <mergeCell ref="C18:D18"/>
    <mergeCell ref="C36:D36"/>
    <mergeCell ref="C37:D37"/>
    <mergeCell ref="C38:D38"/>
    <mergeCell ref="C39:D39"/>
    <mergeCell ref="C40:D40"/>
    <mergeCell ref="C41:D41"/>
    <mergeCell ref="C30:D30"/>
    <mergeCell ref="C31:D31"/>
    <mergeCell ref="C32:D32"/>
    <mergeCell ref="C58:D58"/>
    <mergeCell ref="C59:D59"/>
    <mergeCell ref="C60:D60"/>
    <mergeCell ref="C61:D61"/>
    <mergeCell ref="C62:D62"/>
    <mergeCell ref="C63:D63"/>
    <mergeCell ref="C64:D64"/>
    <mergeCell ref="C65:D65"/>
    <mergeCell ref="C66:D66"/>
    <mergeCell ref="C68:D68"/>
    <mergeCell ref="C69:D69"/>
    <mergeCell ref="C67:D67"/>
    <mergeCell ref="C70:D70"/>
    <mergeCell ref="C71:D71"/>
    <mergeCell ref="C72:D72"/>
    <mergeCell ref="C73:D73"/>
    <mergeCell ref="C74:D74"/>
    <mergeCell ref="C77:D77"/>
    <mergeCell ref="C76:D76"/>
    <mergeCell ref="C75:D75"/>
    <mergeCell ref="C78:D78"/>
    <mergeCell ref="C79:D79"/>
    <mergeCell ref="C81:D81"/>
    <mergeCell ref="C82:D82"/>
    <mergeCell ref="C83:D83"/>
    <mergeCell ref="C84:D84"/>
    <mergeCell ref="C80:D80"/>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22:D122"/>
    <mergeCell ref="C111:D111"/>
    <mergeCell ref="C112:D112"/>
    <mergeCell ref="C113:D113"/>
    <mergeCell ref="C131:D131"/>
    <mergeCell ref="C132:D132"/>
    <mergeCell ref="C133:D133"/>
    <mergeCell ref="C134:D134"/>
    <mergeCell ref="C135:D135"/>
    <mergeCell ref="C123:D123"/>
    <mergeCell ref="C124:D124"/>
    <mergeCell ref="C128:D128"/>
    <mergeCell ref="C129:D129"/>
    <mergeCell ref="C130:D130"/>
    <mergeCell ref="C119:D119"/>
    <mergeCell ref="C120:D120"/>
    <mergeCell ref="C121:D121"/>
    <mergeCell ref="C125:D125"/>
    <mergeCell ref="C126:D126"/>
    <mergeCell ref="C127:D127"/>
    <mergeCell ref="C105:D105"/>
    <mergeCell ref="C106:D106"/>
    <mergeCell ref="C107:D107"/>
    <mergeCell ref="C108:D108"/>
    <mergeCell ref="C114:D114"/>
    <mergeCell ref="C115:D115"/>
    <mergeCell ref="C116:D116"/>
    <mergeCell ref="C117:D117"/>
    <mergeCell ref="C118:D118"/>
    <mergeCell ref="C109:D109"/>
    <mergeCell ref="C110:D110"/>
    <mergeCell ref="C146:D146"/>
    <mergeCell ref="C147:D147"/>
    <mergeCell ref="H157:I157"/>
    <mergeCell ref="L210:M210"/>
    <mergeCell ref="L202:M202"/>
    <mergeCell ref="L203:M203"/>
    <mergeCell ref="L206:M206"/>
    <mergeCell ref="L207:M207"/>
    <mergeCell ref="L208:M208"/>
    <mergeCell ref="L209:M209"/>
    <mergeCell ref="L181:M181"/>
    <mergeCell ref="L182:M182"/>
    <mergeCell ref="L183:M183"/>
    <mergeCell ref="L184:M184"/>
    <mergeCell ref="L185:M185"/>
    <mergeCell ref="L186:M186"/>
    <mergeCell ref="L173:M173"/>
    <mergeCell ref="L174:M174"/>
    <mergeCell ref="L175:M175"/>
    <mergeCell ref="L176:M176"/>
    <mergeCell ref="L177:M177"/>
    <mergeCell ref="J173:K173"/>
    <mergeCell ref="J174:K174"/>
    <mergeCell ref="J175:K175"/>
    <mergeCell ref="N214:O214"/>
    <mergeCell ref="H214:I214"/>
    <mergeCell ref="J214:K214"/>
    <mergeCell ref="L214:M214"/>
    <mergeCell ref="J176:K176"/>
    <mergeCell ref="J177:K177"/>
    <mergeCell ref="N179:O179"/>
    <mergeCell ref="N180:O180"/>
    <mergeCell ref="J178:K178"/>
    <mergeCell ref="L201:M201"/>
    <mergeCell ref="N191:O191"/>
    <mergeCell ref="N192:O192"/>
    <mergeCell ref="H176:I176"/>
    <mergeCell ref="H177:I177"/>
    <mergeCell ref="H178:I178"/>
    <mergeCell ref="N209:O209"/>
    <mergeCell ref="H210:I210"/>
    <mergeCell ref="H206:I206"/>
    <mergeCell ref="H207:I207"/>
    <mergeCell ref="H208:I208"/>
    <mergeCell ref="H209:I209"/>
    <mergeCell ref="H204:I204"/>
    <mergeCell ref="H205:I205"/>
    <mergeCell ref="J209:K209"/>
    <mergeCell ref="C136:D136"/>
    <mergeCell ref="H215:I215"/>
    <mergeCell ref="J215:K215"/>
    <mergeCell ref="C137:D137"/>
    <mergeCell ref="J180:K180"/>
    <mergeCell ref="J181:K181"/>
    <mergeCell ref="J182:K182"/>
    <mergeCell ref="J183:K183"/>
    <mergeCell ref="J184:K184"/>
    <mergeCell ref="J201:K201"/>
    <mergeCell ref="J202:K202"/>
    <mergeCell ref="J195:K195"/>
    <mergeCell ref="J196:K196"/>
    <mergeCell ref="J197:K197"/>
    <mergeCell ref="J198:K198"/>
    <mergeCell ref="J200:K200"/>
    <mergeCell ref="J193:K193"/>
    <mergeCell ref="J190:K190"/>
    <mergeCell ref="C148:D148"/>
    <mergeCell ref="C149:D149"/>
    <mergeCell ref="C138:D138"/>
    <mergeCell ref="C139:D139"/>
    <mergeCell ref="C140:D140"/>
    <mergeCell ref="C141:D141"/>
    <mergeCell ref="J164:K164"/>
    <mergeCell ref="J165:K165"/>
    <mergeCell ref="N165:O165"/>
    <mergeCell ref="J179:K179"/>
    <mergeCell ref="H218:I218"/>
    <mergeCell ref="J218:K218"/>
    <mergeCell ref="L218:M218"/>
    <mergeCell ref="N218:O218"/>
    <mergeCell ref="H216:I216"/>
    <mergeCell ref="J216:K216"/>
    <mergeCell ref="L216:M216"/>
    <mergeCell ref="N216:O216"/>
    <mergeCell ref="N173:O173"/>
    <mergeCell ref="N174:O174"/>
    <mergeCell ref="L193:M193"/>
    <mergeCell ref="L194:M194"/>
    <mergeCell ref="L198:M198"/>
    <mergeCell ref="L199:M199"/>
    <mergeCell ref="L200:M200"/>
    <mergeCell ref="L195:M195"/>
    <mergeCell ref="H203:I203"/>
    <mergeCell ref="J185:K185"/>
    <mergeCell ref="L215:M215"/>
    <mergeCell ref="N215:O215"/>
    <mergeCell ref="H219:I219"/>
    <mergeCell ref="J219:K219"/>
    <mergeCell ref="L219:M219"/>
    <mergeCell ref="N219:O219"/>
    <mergeCell ref="J157:K157"/>
    <mergeCell ref="N193:O193"/>
    <mergeCell ref="N194:O194"/>
    <mergeCell ref="L179:M179"/>
    <mergeCell ref="L180:M180"/>
    <mergeCell ref="N176:O176"/>
    <mergeCell ref="J194:K194"/>
    <mergeCell ref="L188:M188"/>
    <mergeCell ref="L189:M189"/>
    <mergeCell ref="L191:M191"/>
    <mergeCell ref="L192:M192"/>
    <mergeCell ref="L190:M190"/>
    <mergeCell ref="L159:M159"/>
    <mergeCell ref="L160:M160"/>
    <mergeCell ref="L161:M161"/>
    <mergeCell ref="L162:M162"/>
    <mergeCell ref="N167:O167"/>
    <mergeCell ref="L167:M167"/>
    <mergeCell ref="L168:M168"/>
    <mergeCell ref="L164:M164"/>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126" formulaRange="1"/>
  </ignoredErrors>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A115"/>
  <sheetViews>
    <sheetView zoomScale="110" zoomScaleNormal="98" workbookViewId="0">
      <pane xSplit="1" ySplit="5" topLeftCell="AV72"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140</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28" customFormat="1" x14ac:dyDescent="0.15">
      <c r="A6" s="28">
        <v>1990</v>
      </c>
      <c r="B6" s="293"/>
      <c r="C6" s="405" t="s">
        <v>1261</v>
      </c>
      <c r="D6" s="405"/>
      <c r="E6" s="28">
        <v>142</v>
      </c>
      <c r="G6" s="65"/>
      <c r="J6" s="72"/>
      <c r="K6" s="46"/>
      <c r="L6" s="46"/>
      <c r="M6" s="46"/>
      <c r="N6" s="67"/>
      <c r="O6" s="45"/>
      <c r="P6" s="46"/>
      <c r="Q6" s="46"/>
      <c r="R6" s="47"/>
      <c r="T6" s="284"/>
      <c r="U6" s="293"/>
      <c r="V6" s="37"/>
      <c r="Y6" s="38"/>
      <c r="AD6" s="37"/>
      <c r="AG6" s="38"/>
      <c r="AL6" s="37"/>
      <c r="AO6" s="38"/>
      <c r="AP6" s="37"/>
      <c r="AS6" s="38"/>
      <c r="AW6" s="38"/>
      <c r="BA6" s="39"/>
    </row>
    <row r="7" spans="1:53" s="170" customFormat="1" x14ac:dyDescent="0.15">
      <c r="A7" s="170">
        <v>1990</v>
      </c>
      <c r="B7" s="281">
        <v>33016</v>
      </c>
      <c r="C7" s="395" t="s">
        <v>1098</v>
      </c>
      <c r="D7" s="395"/>
      <c r="E7" s="170">
        <v>212</v>
      </c>
      <c r="F7" s="170" t="s">
        <v>335</v>
      </c>
      <c r="G7" s="232">
        <v>9</v>
      </c>
      <c r="H7" s="170">
        <v>1</v>
      </c>
      <c r="I7" s="170">
        <v>4</v>
      </c>
      <c r="J7" s="240">
        <v>17</v>
      </c>
      <c r="K7" s="213">
        <f>G7/J7*100</f>
        <v>52.941176470588239</v>
      </c>
      <c r="L7" s="213">
        <f>H7/J7*100</f>
        <v>5.8823529411764701</v>
      </c>
      <c r="M7" s="213">
        <f>I7/J7*100</f>
        <v>23.52941176470588</v>
      </c>
      <c r="N7" s="234">
        <f>SUM(K7:M7)</f>
        <v>82.352941176470594</v>
      </c>
      <c r="O7" s="212">
        <v>42.5</v>
      </c>
      <c r="P7" s="213">
        <v>5.4</v>
      </c>
      <c r="Q7" s="213">
        <v>11.4</v>
      </c>
      <c r="R7" s="214">
        <f>SUM(O7:Q7)</f>
        <v>59.3</v>
      </c>
      <c r="S7" s="170">
        <v>3</v>
      </c>
      <c r="T7" s="283">
        <v>32971</v>
      </c>
      <c r="U7" s="281">
        <v>33016</v>
      </c>
      <c r="V7" s="177" t="s">
        <v>1106</v>
      </c>
      <c r="W7" s="170" t="s">
        <v>74</v>
      </c>
      <c r="X7" s="170" t="s">
        <v>11</v>
      </c>
      <c r="Y7" s="178">
        <v>42.5</v>
      </c>
      <c r="Z7" s="170" t="s">
        <v>1107</v>
      </c>
      <c r="AA7" s="170" t="s">
        <v>869</v>
      </c>
      <c r="AB7" s="170" t="s">
        <v>12</v>
      </c>
      <c r="AC7" s="170">
        <v>11.4</v>
      </c>
      <c r="AD7" s="177" t="s">
        <v>1108</v>
      </c>
      <c r="AE7" s="170" t="s">
        <v>17</v>
      </c>
      <c r="AF7" s="170" t="s">
        <v>18</v>
      </c>
      <c r="AG7" s="178">
        <v>5.4</v>
      </c>
      <c r="AL7" s="177"/>
      <c r="AO7" s="178"/>
      <c r="AP7" s="177"/>
      <c r="AS7" s="178"/>
      <c r="AW7" s="178"/>
      <c r="BA7" s="179"/>
    </row>
    <row r="8" spans="1:53" s="170" customFormat="1" x14ac:dyDescent="0.15">
      <c r="A8" s="170">
        <v>1990</v>
      </c>
      <c r="B8" s="303">
        <v>33228</v>
      </c>
      <c r="C8" s="395" t="s">
        <v>1098</v>
      </c>
      <c r="D8" s="395"/>
      <c r="E8" s="170">
        <v>11</v>
      </c>
      <c r="F8" s="243">
        <v>0</v>
      </c>
      <c r="G8" s="232">
        <v>11</v>
      </c>
      <c r="H8" s="170">
        <v>1</v>
      </c>
      <c r="I8" s="170">
        <v>4</v>
      </c>
      <c r="J8" s="240">
        <v>19</v>
      </c>
      <c r="K8" s="213">
        <f t="shared" ref="K8:K49" si="0">G8/J8*100</f>
        <v>57.894736842105267</v>
      </c>
      <c r="L8" s="213">
        <f t="shared" ref="L8:L49" si="1">H8/J8*100</f>
        <v>5.2631578947368416</v>
      </c>
      <c r="M8" s="213">
        <f t="shared" ref="M8:M49" si="2">I8/J8*100</f>
        <v>21.052631578947366</v>
      </c>
      <c r="N8" s="234">
        <f t="shared" ref="N8:N56" si="3">SUM(K8:M8)</f>
        <v>84.21052631578948</v>
      </c>
      <c r="O8" s="212">
        <v>42.5</v>
      </c>
      <c r="P8" s="213">
        <v>5.4</v>
      </c>
      <c r="Q8" s="213">
        <v>11.4</v>
      </c>
      <c r="R8" s="214">
        <f t="shared" ref="R8:R35" si="4">SUM(O8:Q8)</f>
        <v>59.3</v>
      </c>
      <c r="S8" s="170">
        <v>3</v>
      </c>
      <c r="T8" s="283"/>
      <c r="U8" s="281"/>
      <c r="V8" s="177" t="s">
        <v>1106</v>
      </c>
      <c r="W8" s="170" t="s">
        <v>74</v>
      </c>
      <c r="X8" s="170" t="s">
        <v>11</v>
      </c>
      <c r="Y8" s="178">
        <v>42.5</v>
      </c>
      <c r="Z8" s="170" t="s">
        <v>1107</v>
      </c>
      <c r="AA8" s="170" t="s">
        <v>869</v>
      </c>
      <c r="AB8" s="170" t="s">
        <v>12</v>
      </c>
      <c r="AC8" s="170">
        <v>11.4</v>
      </c>
      <c r="AD8" s="177" t="s">
        <v>1108</v>
      </c>
      <c r="AE8" s="170" t="s">
        <v>17</v>
      </c>
      <c r="AF8" s="170" t="s">
        <v>18</v>
      </c>
      <c r="AG8" s="178">
        <v>5.4</v>
      </c>
      <c r="AL8" s="177"/>
      <c r="AO8" s="178"/>
      <c r="AP8" s="177"/>
      <c r="AS8" s="178"/>
      <c r="AW8" s="178"/>
      <c r="BA8" s="179"/>
    </row>
    <row r="9" spans="1:53" s="170" customFormat="1" x14ac:dyDescent="0.15">
      <c r="A9" s="170">
        <v>1991</v>
      </c>
      <c r="B9" s="281"/>
      <c r="C9" s="395" t="s">
        <v>1098</v>
      </c>
      <c r="D9" s="395"/>
      <c r="E9" s="170">
        <v>0</v>
      </c>
      <c r="G9" s="232">
        <v>11</v>
      </c>
      <c r="H9" s="170">
        <v>1</v>
      </c>
      <c r="I9" s="170">
        <v>4</v>
      </c>
      <c r="J9" s="240">
        <v>19</v>
      </c>
      <c r="K9" s="213">
        <f t="shared" si="0"/>
        <v>57.894736842105267</v>
      </c>
      <c r="L9" s="213">
        <f t="shared" si="1"/>
        <v>5.2631578947368416</v>
      </c>
      <c r="M9" s="213">
        <f t="shared" si="2"/>
        <v>21.052631578947366</v>
      </c>
      <c r="N9" s="234">
        <f t="shared" si="3"/>
        <v>84.21052631578948</v>
      </c>
      <c r="O9" s="212">
        <v>42.5</v>
      </c>
      <c r="P9" s="213">
        <v>5.4</v>
      </c>
      <c r="Q9" s="213">
        <v>11.4</v>
      </c>
      <c r="R9" s="214">
        <f t="shared" si="4"/>
        <v>59.3</v>
      </c>
      <c r="S9" s="170">
        <v>3</v>
      </c>
      <c r="T9" s="283"/>
      <c r="U9" s="281"/>
      <c r="V9" s="177" t="s">
        <v>1106</v>
      </c>
      <c r="W9" s="170" t="s">
        <v>74</v>
      </c>
      <c r="X9" s="170" t="s">
        <v>11</v>
      </c>
      <c r="Y9" s="178">
        <v>42.5</v>
      </c>
      <c r="Z9" s="170" t="s">
        <v>1107</v>
      </c>
      <c r="AA9" s="170" t="s">
        <v>869</v>
      </c>
      <c r="AB9" s="170" t="s">
        <v>12</v>
      </c>
      <c r="AC9" s="170">
        <v>11.4</v>
      </c>
      <c r="AD9" s="177" t="s">
        <v>1108</v>
      </c>
      <c r="AE9" s="170" t="s">
        <v>17</v>
      </c>
      <c r="AF9" s="170" t="s">
        <v>18</v>
      </c>
      <c r="AG9" s="178">
        <v>5.4</v>
      </c>
      <c r="AL9" s="177"/>
      <c r="AO9" s="178"/>
      <c r="AP9" s="177"/>
      <c r="AS9" s="178"/>
      <c r="AW9" s="178"/>
      <c r="BA9" s="179"/>
    </row>
    <row r="10" spans="1:53" s="170" customFormat="1" x14ac:dyDescent="0.15">
      <c r="A10" s="170">
        <v>1991</v>
      </c>
      <c r="B10" s="281"/>
      <c r="C10" s="395" t="s">
        <v>1098</v>
      </c>
      <c r="D10" s="395"/>
      <c r="E10" s="170">
        <v>365</v>
      </c>
      <c r="G10" s="232">
        <v>11</v>
      </c>
      <c r="H10" s="170">
        <v>1</v>
      </c>
      <c r="I10" s="170">
        <v>4</v>
      </c>
      <c r="J10" s="240">
        <v>19</v>
      </c>
      <c r="K10" s="213">
        <f t="shared" si="0"/>
        <v>57.894736842105267</v>
      </c>
      <c r="L10" s="213">
        <f t="shared" si="1"/>
        <v>5.2631578947368416</v>
      </c>
      <c r="M10" s="213">
        <f t="shared" si="2"/>
        <v>21.052631578947366</v>
      </c>
      <c r="N10" s="234">
        <f t="shared" si="3"/>
        <v>84.21052631578948</v>
      </c>
      <c r="O10" s="212">
        <v>42.5</v>
      </c>
      <c r="P10" s="213">
        <v>5.4</v>
      </c>
      <c r="Q10" s="213">
        <v>11.4</v>
      </c>
      <c r="R10" s="214">
        <f t="shared" si="4"/>
        <v>59.3</v>
      </c>
      <c r="S10" s="170">
        <v>3</v>
      </c>
      <c r="T10" s="283"/>
      <c r="U10" s="281"/>
      <c r="V10" s="177" t="s">
        <v>1106</v>
      </c>
      <c r="W10" s="170" t="s">
        <v>74</v>
      </c>
      <c r="X10" s="170" t="s">
        <v>11</v>
      </c>
      <c r="Y10" s="178">
        <v>42.5</v>
      </c>
      <c r="Z10" s="170" t="s">
        <v>1107</v>
      </c>
      <c r="AA10" s="170" t="s">
        <v>869</v>
      </c>
      <c r="AB10" s="170" t="s">
        <v>12</v>
      </c>
      <c r="AC10" s="170">
        <v>11.4</v>
      </c>
      <c r="AD10" s="177" t="s">
        <v>1108</v>
      </c>
      <c r="AE10" s="170" t="s">
        <v>17</v>
      </c>
      <c r="AF10" s="170" t="s">
        <v>18</v>
      </c>
      <c r="AG10" s="178">
        <v>5.4</v>
      </c>
      <c r="AL10" s="177"/>
      <c r="AO10" s="178"/>
      <c r="AP10" s="177"/>
      <c r="AS10" s="178"/>
      <c r="AW10" s="178"/>
      <c r="BA10" s="179"/>
    </row>
    <row r="11" spans="1:53" s="170" customFormat="1" x14ac:dyDescent="0.15">
      <c r="A11" s="170">
        <v>1992</v>
      </c>
      <c r="B11" s="281"/>
      <c r="C11" s="395" t="s">
        <v>1098</v>
      </c>
      <c r="D11" s="395"/>
      <c r="E11" s="170">
        <v>51</v>
      </c>
      <c r="G11" s="232">
        <v>11</v>
      </c>
      <c r="H11" s="170">
        <v>1</v>
      </c>
      <c r="I11" s="170">
        <v>4</v>
      </c>
      <c r="J11" s="240">
        <v>19</v>
      </c>
      <c r="K11" s="213">
        <f t="shared" si="0"/>
        <v>57.894736842105267</v>
      </c>
      <c r="L11" s="213">
        <f t="shared" si="1"/>
        <v>5.2631578947368416</v>
      </c>
      <c r="M11" s="213">
        <f t="shared" si="2"/>
        <v>21.052631578947366</v>
      </c>
      <c r="N11" s="234">
        <f t="shared" si="3"/>
        <v>84.21052631578948</v>
      </c>
      <c r="O11" s="212">
        <v>42.5</v>
      </c>
      <c r="P11" s="213">
        <v>5.4</v>
      </c>
      <c r="Q11" s="213">
        <v>11.4</v>
      </c>
      <c r="R11" s="214">
        <f t="shared" si="4"/>
        <v>59.3</v>
      </c>
      <c r="S11" s="170">
        <v>3</v>
      </c>
      <c r="T11" s="283"/>
      <c r="U11" s="281"/>
      <c r="V11" s="177" t="s">
        <v>1106</v>
      </c>
      <c r="W11" s="170" t="s">
        <v>74</v>
      </c>
      <c r="X11" s="170" t="s">
        <v>11</v>
      </c>
      <c r="Y11" s="178">
        <v>42.5</v>
      </c>
      <c r="Z11" s="170" t="s">
        <v>1107</v>
      </c>
      <c r="AA11" s="170" t="s">
        <v>869</v>
      </c>
      <c r="AB11" s="170" t="s">
        <v>12</v>
      </c>
      <c r="AC11" s="170">
        <v>11.4</v>
      </c>
      <c r="AD11" s="177" t="s">
        <v>1108</v>
      </c>
      <c r="AE11" s="170" t="s">
        <v>17</v>
      </c>
      <c r="AF11" s="170" t="s">
        <v>18</v>
      </c>
      <c r="AG11" s="178">
        <v>5.4</v>
      </c>
      <c r="AL11" s="177"/>
      <c r="AO11" s="178"/>
      <c r="AP11" s="177"/>
      <c r="AS11" s="178"/>
      <c r="AW11" s="178"/>
      <c r="BA11" s="179"/>
    </row>
    <row r="12" spans="1:53" s="170" customFormat="1" x14ac:dyDescent="0.15">
      <c r="A12" s="170">
        <v>1992</v>
      </c>
      <c r="B12" s="303">
        <v>33655</v>
      </c>
      <c r="C12" s="395" t="s">
        <v>1098</v>
      </c>
      <c r="D12" s="395"/>
      <c r="E12" s="170">
        <v>315</v>
      </c>
      <c r="F12" s="243">
        <v>0</v>
      </c>
      <c r="G12" s="232">
        <v>11</v>
      </c>
      <c r="H12" s="170">
        <v>1</v>
      </c>
      <c r="I12" s="170">
        <v>4</v>
      </c>
      <c r="J12" s="240">
        <v>19</v>
      </c>
      <c r="K12" s="213">
        <f t="shared" si="0"/>
        <v>57.894736842105267</v>
      </c>
      <c r="L12" s="213">
        <f t="shared" si="1"/>
        <v>5.2631578947368416</v>
      </c>
      <c r="M12" s="213">
        <f t="shared" si="2"/>
        <v>21.052631578947366</v>
      </c>
      <c r="N12" s="234">
        <f t="shared" si="3"/>
        <v>84.21052631578948</v>
      </c>
      <c r="O12" s="212">
        <v>42.5</v>
      </c>
      <c r="P12" s="213">
        <v>5.4</v>
      </c>
      <c r="Q12" s="213">
        <v>11.4</v>
      </c>
      <c r="R12" s="214">
        <f t="shared" si="4"/>
        <v>59.3</v>
      </c>
      <c r="S12" s="170">
        <v>3</v>
      </c>
      <c r="T12" s="283"/>
      <c r="U12" s="281"/>
      <c r="V12" s="177" t="s">
        <v>1106</v>
      </c>
      <c r="W12" s="170" t="s">
        <v>74</v>
      </c>
      <c r="X12" s="170" t="s">
        <v>11</v>
      </c>
      <c r="Y12" s="178">
        <v>42.5</v>
      </c>
      <c r="Z12" s="170" t="s">
        <v>1107</v>
      </c>
      <c r="AA12" s="170" t="s">
        <v>869</v>
      </c>
      <c r="AB12" s="170" t="s">
        <v>12</v>
      </c>
      <c r="AC12" s="170">
        <v>11.4</v>
      </c>
      <c r="AD12" s="177" t="s">
        <v>1108</v>
      </c>
      <c r="AE12" s="170" t="s">
        <v>17</v>
      </c>
      <c r="AF12" s="170" t="s">
        <v>18</v>
      </c>
      <c r="AG12" s="178">
        <v>5.4</v>
      </c>
      <c r="AL12" s="177"/>
      <c r="AO12" s="178"/>
      <c r="AP12" s="177"/>
      <c r="AS12" s="178"/>
      <c r="AW12" s="178"/>
      <c r="BA12" s="179"/>
    </row>
    <row r="13" spans="1:53" s="170" customFormat="1" x14ac:dyDescent="0.15">
      <c r="A13" s="170">
        <v>1993</v>
      </c>
      <c r="B13" s="281"/>
      <c r="C13" s="395" t="s">
        <v>1098</v>
      </c>
      <c r="D13" s="395"/>
      <c r="E13" s="170">
        <v>354</v>
      </c>
      <c r="G13" s="232">
        <v>11</v>
      </c>
      <c r="H13" s="170">
        <v>1</v>
      </c>
      <c r="I13" s="170">
        <v>4</v>
      </c>
      <c r="J13" s="240">
        <v>19</v>
      </c>
      <c r="K13" s="213">
        <f t="shared" si="0"/>
        <v>57.894736842105267</v>
      </c>
      <c r="L13" s="213">
        <f t="shared" si="1"/>
        <v>5.2631578947368416</v>
      </c>
      <c r="M13" s="213">
        <f t="shared" si="2"/>
        <v>21.052631578947366</v>
      </c>
      <c r="N13" s="234">
        <f t="shared" si="3"/>
        <v>84.21052631578948</v>
      </c>
      <c r="O13" s="212">
        <v>42.5</v>
      </c>
      <c r="P13" s="213">
        <v>5.4</v>
      </c>
      <c r="Q13" s="213">
        <v>11.4</v>
      </c>
      <c r="R13" s="214">
        <f t="shared" si="4"/>
        <v>59.3</v>
      </c>
      <c r="S13" s="170">
        <v>3</v>
      </c>
      <c r="T13" s="283"/>
      <c r="U13" s="281"/>
      <c r="V13" s="177" t="s">
        <v>1106</v>
      </c>
      <c r="W13" s="170" t="s">
        <v>74</v>
      </c>
      <c r="X13" s="170" t="s">
        <v>11</v>
      </c>
      <c r="Y13" s="178">
        <v>42.5</v>
      </c>
      <c r="Z13" s="170" t="s">
        <v>1107</v>
      </c>
      <c r="AA13" s="170" t="s">
        <v>869</v>
      </c>
      <c r="AB13" s="170" t="s">
        <v>12</v>
      </c>
      <c r="AC13" s="170">
        <v>11.4</v>
      </c>
      <c r="AD13" s="177" t="s">
        <v>1108</v>
      </c>
      <c r="AE13" s="170" t="s">
        <v>17</v>
      </c>
      <c r="AF13" s="170" t="s">
        <v>18</v>
      </c>
      <c r="AG13" s="178">
        <v>5.4</v>
      </c>
      <c r="AL13" s="177"/>
      <c r="AO13" s="178"/>
      <c r="AP13" s="177"/>
      <c r="AS13" s="178"/>
      <c r="AW13" s="178"/>
      <c r="BA13" s="179"/>
    </row>
    <row r="14" spans="1:53" s="28" customFormat="1" x14ac:dyDescent="0.15">
      <c r="A14" s="28">
        <v>1993</v>
      </c>
      <c r="B14" s="293">
        <v>34324</v>
      </c>
      <c r="C14" s="394" t="s">
        <v>1099</v>
      </c>
      <c r="D14" s="394"/>
      <c r="E14" s="28">
        <v>11</v>
      </c>
      <c r="F14" s="28">
        <v>3</v>
      </c>
      <c r="G14" s="65">
        <v>10</v>
      </c>
      <c r="H14" s="28">
        <v>3</v>
      </c>
      <c r="I14" s="28">
        <v>3</v>
      </c>
      <c r="J14" s="72">
        <v>16</v>
      </c>
      <c r="K14" s="46">
        <f t="shared" si="0"/>
        <v>62.5</v>
      </c>
      <c r="L14" s="46">
        <f t="shared" si="1"/>
        <v>18.75</v>
      </c>
      <c r="M14" s="46">
        <f t="shared" si="2"/>
        <v>18.75</v>
      </c>
      <c r="N14" s="67">
        <f t="shared" si="3"/>
        <v>100</v>
      </c>
      <c r="O14" s="45">
        <v>42.5</v>
      </c>
      <c r="P14" s="46">
        <v>5.4</v>
      </c>
      <c r="Q14" s="46">
        <v>11.4</v>
      </c>
      <c r="R14" s="47">
        <f t="shared" si="4"/>
        <v>59.3</v>
      </c>
      <c r="S14" s="28">
        <v>3</v>
      </c>
      <c r="T14" s="284"/>
      <c r="U14" s="293">
        <v>34324</v>
      </c>
      <c r="V14" s="37" t="s">
        <v>1106</v>
      </c>
      <c r="W14" s="28" t="s">
        <v>74</v>
      </c>
      <c r="X14" s="28" t="s">
        <v>11</v>
      </c>
      <c r="Y14" s="38">
        <v>42.5</v>
      </c>
      <c r="Z14" s="28" t="s">
        <v>1107</v>
      </c>
      <c r="AA14" s="28" t="s">
        <v>869</v>
      </c>
      <c r="AB14" s="28" t="s">
        <v>12</v>
      </c>
      <c r="AC14" s="28">
        <v>11.4</v>
      </c>
      <c r="AD14" s="37" t="s">
        <v>1108</v>
      </c>
      <c r="AE14" s="28" t="s">
        <v>17</v>
      </c>
      <c r="AF14" s="28" t="s">
        <v>18</v>
      </c>
      <c r="AG14" s="38">
        <v>5.4</v>
      </c>
      <c r="AL14" s="37"/>
      <c r="AO14" s="38"/>
      <c r="AP14" s="37"/>
      <c r="AS14" s="38"/>
      <c r="AW14" s="38"/>
      <c r="BA14" s="39"/>
    </row>
    <row r="15" spans="1:53" s="28" customFormat="1" x14ac:dyDescent="0.15">
      <c r="A15" s="28">
        <v>1994</v>
      </c>
      <c r="B15" s="293"/>
      <c r="C15" s="394" t="s">
        <v>1099</v>
      </c>
      <c r="D15" s="394"/>
      <c r="E15" s="28">
        <v>195</v>
      </c>
      <c r="G15" s="65">
        <v>10</v>
      </c>
      <c r="H15" s="28">
        <v>3</v>
      </c>
      <c r="I15" s="28">
        <v>3</v>
      </c>
      <c r="J15" s="72">
        <v>16</v>
      </c>
      <c r="K15" s="46">
        <f t="shared" si="0"/>
        <v>62.5</v>
      </c>
      <c r="L15" s="46">
        <f t="shared" si="1"/>
        <v>18.75</v>
      </c>
      <c r="M15" s="46">
        <f t="shared" si="2"/>
        <v>18.75</v>
      </c>
      <c r="N15" s="67">
        <f t="shared" si="3"/>
        <v>100</v>
      </c>
      <c r="O15" s="45">
        <v>42.5</v>
      </c>
      <c r="P15" s="46">
        <v>5.4</v>
      </c>
      <c r="Q15" s="46">
        <v>11.4</v>
      </c>
      <c r="R15" s="47">
        <f t="shared" si="4"/>
        <v>59.3</v>
      </c>
      <c r="S15" s="28">
        <v>3</v>
      </c>
      <c r="T15" s="284"/>
      <c r="U15" s="293"/>
      <c r="V15" s="37" t="s">
        <v>1106</v>
      </c>
      <c r="W15" s="28" t="s">
        <v>74</v>
      </c>
      <c r="X15" s="28" t="s">
        <v>11</v>
      </c>
      <c r="Y15" s="38">
        <v>42.5</v>
      </c>
      <c r="Z15" s="28" t="s">
        <v>1107</v>
      </c>
      <c r="AA15" s="28" t="s">
        <v>869</v>
      </c>
      <c r="AB15" s="28" t="s">
        <v>12</v>
      </c>
      <c r="AC15" s="28">
        <v>11.4</v>
      </c>
      <c r="AD15" s="37" t="s">
        <v>1108</v>
      </c>
      <c r="AE15" s="28" t="s">
        <v>17</v>
      </c>
      <c r="AF15" s="28" t="s">
        <v>18</v>
      </c>
      <c r="AG15" s="38">
        <v>5.4</v>
      </c>
      <c r="AL15" s="37"/>
      <c r="AO15" s="38"/>
      <c r="AP15" s="37"/>
      <c r="AS15" s="38"/>
      <c r="AW15" s="38"/>
      <c r="BA15" s="39"/>
    </row>
    <row r="16" spans="1:53" s="170" customFormat="1" x14ac:dyDescent="0.15">
      <c r="A16" s="170">
        <v>1994</v>
      </c>
      <c r="B16" s="281">
        <v>34530</v>
      </c>
      <c r="C16" s="395" t="s">
        <v>1100</v>
      </c>
      <c r="D16" s="395"/>
      <c r="E16" s="170">
        <v>170</v>
      </c>
      <c r="F16" s="170">
        <v>1</v>
      </c>
      <c r="G16" s="232">
        <v>3</v>
      </c>
      <c r="I16" s="170">
        <v>11</v>
      </c>
      <c r="J16" s="240">
        <v>14</v>
      </c>
      <c r="K16" s="213">
        <f t="shared" si="0"/>
        <v>21.428571428571427</v>
      </c>
      <c r="L16" s="213">
        <f t="shared" si="1"/>
        <v>0</v>
      </c>
      <c r="M16" s="213">
        <f t="shared" si="2"/>
        <v>78.571428571428569</v>
      </c>
      <c r="N16" s="234">
        <f t="shared" si="3"/>
        <v>100</v>
      </c>
      <c r="O16" s="212">
        <v>17.899999999999999</v>
      </c>
      <c r="P16" s="213"/>
      <c r="Q16" s="213">
        <v>54.1</v>
      </c>
      <c r="R16" s="214">
        <f t="shared" si="4"/>
        <v>72</v>
      </c>
      <c r="S16" s="170">
        <v>3</v>
      </c>
      <c r="T16" s="283">
        <v>34482</v>
      </c>
      <c r="U16" s="281">
        <v>34530</v>
      </c>
      <c r="V16" s="177" t="s">
        <v>1109</v>
      </c>
      <c r="W16" s="170" t="s">
        <v>20</v>
      </c>
      <c r="X16" s="170" t="s">
        <v>12</v>
      </c>
      <c r="Y16" s="178">
        <v>54.1</v>
      </c>
      <c r="Z16" s="170" t="s">
        <v>1113</v>
      </c>
      <c r="AA16" s="170" t="s">
        <v>22</v>
      </c>
      <c r="AB16" s="170" t="s">
        <v>11</v>
      </c>
      <c r="AC16" s="170">
        <v>17.899999999999999</v>
      </c>
      <c r="AD16" s="177"/>
      <c r="AG16" s="178"/>
      <c r="AL16" s="177"/>
      <c r="AO16" s="178"/>
      <c r="AP16" s="177"/>
      <c r="AS16" s="178"/>
      <c r="AW16" s="178"/>
      <c r="BA16" s="179"/>
    </row>
    <row r="17" spans="1:53" s="170" customFormat="1" x14ac:dyDescent="0.15">
      <c r="A17" s="170">
        <v>1995</v>
      </c>
      <c r="B17" s="281"/>
      <c r="C17" s="395" t="s">
        <v>1100</v>
      </c>
      <c r="D17" s="395"/>
      <c r="E17" s="170">
        <v>59</v>
      </c>
      <c r="G17" s="232">
        <v>3</v>
      </c>
      <c r="I17" s="170">
        <v>11</v>
      </c>
      <c r="J17" s="240">
        <v>14</v>
      </c>
      <c r="K17" s="213">
        <f t="shared" si="0"/>
        <v>21.428571428571427</v>
      </c>
      <c r="L17" s="213">
        <f t="shared" si="1"/>
        <v>0</v>
      </c>
      <c r="M17" s="213">
        <f t="shared" si="2"/>
        <v>78.571428571428569</v>
      </c>
      <c r="N17" s="234">
        <f t="shared" si="3"/>
        <v>100</v>
      </c>
      <c r="O17" s="212">
        <v>17.899999999999999</v>
      </c>
      <c r="P17" s="213"/>
      <c r="Q17" s="213">
        <v>54.1</v>
      </c>
      <c r="R17" s="214">
        <f t="shared" si="4"/>
        <v>72</v>
      </c>
      <c r="S17" s="170">
        <v>3</v>
      </c>
      <c r="T17" s="283"/>
      <c r="U17" s="281"/>
      <c r="V17" s="177" t="s">
        <v>1109</v>
      </c>
      <c r="W17" s="170" t="s">
        <v>20</v>
      </c>
      <c r="X17" s="170" t="s">
        <v>12</v>
      </c>
      <c r="Y17" s="178">
        <v>54.1</v>
      </c>
      <c r="Z17" s="170" t="s">
        <v>1113</v>
      </c>
      <c r="AA17" s="170" t="s">
        <v>22</v>
      </c>
      <c r="AB17" s="170" t="s">
        <v>11</v>
      </c>
      <c r="AC17" s="170">
        <v>17.899999999999999</v>
      </c>
      <c r="AD17" s="177"/>
      <c r="AG17" s="178"/>
      <c r="AL17" s="177"/>
      <c r="AO17" s="178"/>
      <c r="AP17" s="177"/>
      <c r="AS17" s="178"/>
      <c r="AW17" s="178"/>
      <c r="BA17" s="179"/>
    </row>
    <row r="18" spans="1:53" s="170" customFormat="1" x14ac:dyDescent="0.15">
      <c r="A18" s="170">
        <v>1995</v>
      </c>
      <c r="B18" s="303">
        <v>34759</v>
      </c>
      <c r="C18" s="395" t="s">
        <v>1100</v>
      </c>
      <c r="D18" s="395"/>
      <c r="E18" s="170">
        <v>306</v>
      </c>
      <c r="F18" s="243">
        <v>0</v>
      </c>
      <c r="G18" s="232">
        <v>3</v>
      </c>
      <c r="I18" s="170">
        <v>12</v>
      </c>
      <c r="J18" s="240">
        <v>15</v>
      </c>
      <c r="K18" s="213">
        <f t="shared" si="0"/>
        <v>20</v>
      </c>
      <c r="L18" s="213">
        <f t="shared" si="1"/>
        <v>0</v>
      </c>
      <c r="M18" s="213">
        <f t="shared" si="2"/>
        <v>80</v>
      </c>
      <c r="N18" s="234">
        <f t="shared" si="3"/>
        <v>100</v>
      </c>
      <c r="O18" s="212">
        <v>17.899999999999999</v>
      </c>
      <c r="P18" s="213"/>
      <c r="Q18" s="213">
        <v>54.1</v>
      </c>
      <c r="R18" s="214">
        <f t="shared" si="4"/>
        <v>72</v>
      </c>
      <c r="S18" s="170">
        <v>3</v>
      </c>
      <c r="T18" s="283"/>
      <c r="U18" s="281"/>
      <c r="V18" s="177" t="s">
        <v>1109</v>
      </c>
      <c r="W18" s="170" t="s">
        <v>20</v>
      </c>
      <c r="X18" s="170" t="s">
        <v>12</v>
      </c>
      <c r="Y18" s="178">
        <v>54.1</v>
      </c>
      <c r="Z18" s="170" t="s">
        <v>1113</v>
      </c>
      <c r="AA18" s="170" t="s">
        <v>22</v>
      </c>
      <c r="AB18" s="170" t="s">
        <v>11</v>
      </c>
      <c r="AC18" s="170">
        <v>17.899999999999999</v>
      </c>
      <c r="AD18" s="177"/>
      <c r="AG18" s="178"/>
      <c r="AL18" s="177"/>
      <c r="AO18" s="178"/>
      <c r="AP18" s="177"/>
      <c r="AS18" s="178"/>
      <c r="AW18" s="178"/>
      <c r="BA18" s="179"/>
    </row>
    <row r="19" spans="1:53" s="170" customFormat="1" x14ac:dyDescent="0.15">
      <c r="A19" s="170">
        <v>1996</v>
      </c>
      <c r="B19" s="281"/>
      <c r="C19" s="395" t="s">
        <v>1100</v>
      </c>
      <c r="D19" s="395"/>
      <c r="E19" s="170">
        <v>0</v>
      </c>
      <c r="G19" s="232">
        <v>3</v>
      </c>
      <c r="I19" s="170">
        <v>12</v>
      </c>
      <c r="J19" s="240">
        <v>15</v>
      </c>
      <c r="K19" s="213">
        <f t="shared" si="0"/>
        <v>20</v>
      </c>
      <c r="L19" s="213">
        <f t="shared" si="1"/>
        <v>0</v>
      </c>
      <c r="M19" s="213">
        <f t="shared" si="2"/>
        <v>80</v>
      </c>
      <c r="N19" s="234">
        <f t="shared" si="3"/>
        <v>100</v>
      </c>
      <c r="O19" s="212">
        <v>17.899999999999999</v>
      </c>
      <c r="P19" s="213"/>
      <c r="Q19" s="213">
        <v>54.1</v>
      </c>
      <c r="R19" s="214">
        <f t="shared" si="4"/>
        <v>72</v>
      </c>
      <c r="S19" s="170">
        <v>3</v>
      </c>
      <c r="T19" s="283"/>
      <c r="U19" s="281"/>
      <c r="V19" s="177" t="s">
        <v>1109</v>
      </c>
      <c r="W19" s="170" t="s">
        <v>20</v>
      </c>
      <c r="X19" s="170" t="s">
        <v>12</v>
      </c>
      <c r="Y19" s="178">
        <v>54.1</v>
      </c>
      <c r="Z19" s="170" t="s">
        <v>1113</v>
      </c>
      <c r="AA19" s="170" t="s">
        <v>22</v>
      </c>
      <c r="AB19" s="170" t="s">
        <v>11</v>
      </c>
      <c r="AC19" s="170">
        <v>17.899999999999999</v>
      </c>
      <c r="AD19" s="177"/>
      <c r="AG19" s="178"/>
      <c r="AL19" s="177"/>
      <c r="AO19" s="178"/>
      <c r="AP19" s="177"/>
      <c r="AS19" s="178"/>
      <c r="AW19" s="178"/>
      <c r="BA19" s="179"/>
    </row>
    <row r="20" spans="1:53" s="170" customFormat="1" x14ac:dyDescent="0.15">
      <c r="A20" s="170">
        <v>1996</v>
      </c>
      <c r="B20" s="281"/>
      <c r="C20" s="395" t="s">
        <v>1100</v>
      </c>
      <c r="D20" s="395"/>
      <c r="E20" s="170">
        <v>366</v>
      </c>
      <c r="G20" s="232">
        <v>3</v>
      </c>
      <c r="I20" s="170">
        <v>12</v>
      </c>
      <c r="J20" s="240">
        <v>15</v>
      </c>
      <c r="K20" s="213">
        <f t="shared" si="0"/>
        <v>20</v>
      </c>
      <c r="L20" s="213">
        <f t="shared" si="1"/>
        <v>0</v>
      </c>
      <c r="M20" s="213">
        <f t="shared" si="2"/>
        <v>80</v>
      </c>
      <c r="N20" s="234">
        <f t="shared" si="3"/>
        <v>100</v>
      </c>
      <c r="O20" s="212">
        <v>17.899999999999999</v>
      </c>
      <c r="P20" s="213"/>
      <c r="Q20" s="213">
        <v>54.1</v>
      </c>
      <c r="R20" s="214">
        <f t="shared" si="4"/>
        <v>72</v>
      </c>
      <c r="S20" s="170">
        <v>3</v>
      </c>
      <c r="T20" s="283"/>
      <c r="U20" s="281"/>
      <c r="V20" s="177" t="s">
        <v>1109</v>
      </c>
      <c r="W20" s="170" t="s">
        <v>20</v>
      </c>
      <c r="X20" s="170" t="s">
        <v>12</v>
      </c>
      <c r="Y20" s="178">
        <v>54.1</v>
      </c>
      <c r="Z20" s="170" t="s">
        <v>1113</v>
      </c>
      <c r="AA20" s="170" t="s">
        <v>22</v>
      </c>
      <c r="AB20" s="170" t="s">
        <v>11</v>
      </c>
      <c r="AC20" s="170">
        <v>17.899999999999999</v>
      </c>
      <c r="AD20" s="177"/>
      <c r="AG20" s="178"/>
      <c r="AL20" s="177"/>
      <c r="AO20" s="178"/>
      <c r="AP20" s="177"/>
      <c r="AS20" s="178"/>
      <c r="AW20" s="178"/>
      <c r="BA20" s="179"/>
    </row>
    <row r="21" spans="1:53" s="170" customFormat="1" x14ac:dyDescent="0.15">
      <c r="A21" s="170">
        <v>1997</v>
      </c>
      <c r="B21" s="281"/>
      <c r="C21" s="395" t="s">
        <v>1100</v>
      </c>
      <c r="D21" s="395"/>
      <c r="E21" s="170">
        <v>0</v>
      </c>
      <c r="G21" s="232">
        <v>3</v>
      </c>
      <c r="I21" s="170">
        <v>12</v>
      </c>
      <c r="J21" s="240">
        <v>15</v>
      </c>
      <c r="K21" s="213">
        <f t="shared" si="0"/>
        <v>20</v>
      </c>
      <c r="L21" s="213">
        <f t="shared" si="1"/>
        <v>0</v>
      </c>
      <c r="M21" s="213">
        <f t="shared" si="2"/>
        <v>80</v>
      </c>
      <c r="N21" s="234">
        <f t="shared" si="3"/>
        <v>100</v>
      </c>
      <c r="O21" s="212">
        <v>17.899999999999999</v>
      </c>
      <c r="P21" s="213"/>
      <c r="Q21" s="213">
        <v>54.1</v>
      </c>
      <c r="R21" s="214">
        <f t="shared" si="4"/>
        <v>72</v>
      </c>
      <c r="S21" s="170">
        <v>3</v>
      </c>
      <c r="T21" s="283"/>
      <c r="U21" s="281"/>
      <c r="V21" s="177" t="s">
        <v>1109</v>
      </c>
      <c r="W21" s="170" t="s">
        <v>20</v>
      </c>
      <c r="X21" s="170" t="s">
        <v>12</v>
      </c>
      <c r="Y21" s="178">
        <v>54.1</v>
      </c>
      <c r="Z21" s="170" t="s">
        <v>1113</v>
      </c>
      <c r="AA21" s="170" t="s">
        <v>22</v>
      </c>
      <c r="AB21" s="170" t="s">
        <v>11</v>
      </c>
      <c r="AC21" s="170">
        <v>17.899999999999999</v>
      </c>
      <c r="AD21" s="177"/>
      <c r="AG21" s="178"/>
      <c r="AL21" s="177"/>
      <c r="AO21" s="178"/>
      <c r="AP21" s="177"/>
      <c r="AS21" s="178"/>
      <c r="AW21" s="178"/>
      <c r="BA21" s="179"/>
    </row>
    <row r="22" spans="1:53" s="170" customFormat="1" x14ac:dyDescent="0.15">
      <c r="A22" s="170">
        <v>1997</v>
      </c>
      <c r="B22" s="281"/>
      <c r="C22" s="395" t="s">
        <v>1100</v>
      </c>
      <c r="D22" s="395"/>
      <c r="E22" s="170">
        <v>365</v>
      </c>
      <c r="G22" s="232">
        <v>3</v>
      </c>
      <c r="I22" s="170">
        <v>12</v>
      </c>
      <c r="J22" s="240">
        <v>15</v>
      </c>
      <c r="K22" s="213">
        <f t="shared" si="0"/>
        <v>20</v>
      </c>
      <c r="L22" s="213">
        <f t="shared" si="1"/>
        <v>0</v>
      </c>
      <c r="M22" s="213">
        <f t="shared" si="2"/>
        <v>80</v>
      </c>
      <c r="N22" s="234">
        <f t="shared" si="3"/>
        <v>100</v>
      </c>
      <c r="O22" s="212">
        <v>17.899999999999999</v>
      </c>
      <c r="P22" s="213"/>
      <c r="Q22" s="213">
        <v>54.1</v>
      </c>
      <c r="R22" s="214">
        <f t="shared" si="4"/>
        <v>72</v>
      </c>
      <c r="S22" s="170">
        <v>3</v>
      </c>
      <c r="T22" s="283"/>
      <c r="U22" s="281"/>
      <c r="V22" s="177" t="s">
        <v>1109</v>
      </c>
      <c r="W22" s="170" t="s">
        <v>20</v>
      </c>
      <c r="X22" s="170" t="s">
        <v>12</v>
      </c>
      <c r="Y22" s="178">
        <v>54.1</v>
      </c>
      <c r="Z22" s="170" t="s">
        <v>1113</v>
      </c>
      <c r="AA22" s="170" t="s">
        <v>22</v>
      </c>
      <c r="AB22" s="170" t="s">
        <v>11</v>
      </c>
      <c r="AC22" s="170">
        <v>17.899999999999999</v>
      </c>
      <c r="AD22" s="177"/>
      <c r="AG22" s="178"/>
      <c r="AL22" s="177"/>
      <c r="AO22" s="178"/>
      <c r="AP22" s="177"/>
      <c r="AS22" s="178"/>
      <c r="AW22" s="178"/>
      <c r="BA22" s="179"/>
    </row>
    <row r="23" spans="1:53" s="170" customFormat="1" x14ac:dyDescent="0.15">
      <c r="A23" s="170">
        <v>1998</v>
      </c>
      <c r="B23" s="303">
        <v>35796</v>
      </c>
      <c r="C23" s="395" t="s">
        <v>1100</v>
      </c>
      <c r="D23" s="395"/>
      <c r="E23" s="170">
        <v>186</v>
      </c>
      <c r="F23" s="243">
        <v>0</v>
      </c>
      <c r="G23" s="232">
        <v>3</v>
      </c>
      <c r="I23" s="170">
        <v>11</v>
      </c>
      <c r="J23" s="240">
        <v>14</v>
      </c>
      <c r="K23" s="213">
        <f t="shared" si="0"/>
        <v>21.428571428571427</v>
      </c>
      <c r="L23" s="213">
        <f t="shared" si="1"/>
        <v>0</v>
      </c>
      <c r="M23" s="213">
        <f t="shared" si="2"/>
        <v>78.571428571428569</v>
      </c>
      <c r="N23" s="234">
        <f t="shared" si="3"/>
        <v>100</v>
      </c>
      <c r="O23" s="212">
        <v>17.899999999999999</v>
      </c>
      <c r="P23" s="213"/>
      <c r="Q23" s="213">
        <v>54.1</v>
      </c>
      <c r="R23" s="214">
        <f t="shared" si="4"/>
        <v>72</v>
      </c>
      <c r="S23" s="170">
        <v>3</v>
      </c>
      <c r="T23" s="283"/>
      <c r="U23" s="281"/>
      <c r="V23" s="177" t="s">
        <v>1109</v>
      </c>
      <c r="W23" s="170" t="s">
        <v>20</v>
      </c>
      <c r="X23" s="170" t="s">
        <v>12</v>
      </c>
      <c r="Y23" s="178">
        <v>54.1</v>
      </c>
      <c r="Z23" s="170" t="s">
        <v>1113</v>
      </c>
      <c r="AA23" s="170" t="s">
        <v>22</v>
      </c>
      <c r="AB23" s="170" t="s">
        <v>11</v>
      </c>
      <c r="AC23" s="170">
        <v>17.899999999999999</v>
      </c>
      <c r="AD23" s="177"/>
      <c r="AG23" s="178"/>
      <c r="AL23" s="177"/>
      <c r="AO23" s="178"/>
      <c r="AP23" s="177"/>
      <c r="AS23" s="178"/>
      <c r="AW23" s="178"/>
      <c r="BA23" s="179"/>
    </row>
    <row r="24" spans="1:53" s="28" customFormat="1" x14ac:dyDescent="0.15">
      <c r="A24" s="28">
        <v>1998</v>
      </c>
      <c r="B24" s="293">
        <v>35982</v>
      </c>
      <c r="C24" s="394" t="s">
        <v>1110</v>
      </c>
      <c r="D24" s="394"/>
      <c r="E24" s="28">
        <v>179</v>
      </c>
      <c r="F24" s="28">
        <v>1</v>
      </c>
      <c r="G24" s="65">
        <v>13</v>
      </c>
      <c r="I24" s="28">
        <v>4</v>
      </c>
      <c r="J24" s="72">
        <v>17</v>
      </c>
      <c r="K24" s="46">
        <f t="shared" si="0"/>
        <v>76.470588235294116</v>
      </c>
      <c r="L24" s="46">
        <f t="shared" si="1"/>
        <v>0</v>
      </c>
      <c r="M24" s="46">
        <f t="shared" si="2"/>
        <v>23.52941176470588</v>
      </c>
      <c r="N24" s="67">
        <f t="shared" si="3"/>
        <v>100</v>
      </c>
      <c r="O24" s="45">
        <v>42.7</v>
      </c>
      <c r="P24" s="46"/>
      <c r="Q24" s="46">
        <v>12.4</v>
      </c>
      <c r="R24" s="47">
        <f t="shared" si="4"/>
        <v>55.1</v>
      </c>
      <c r="S24" s="28">
        <v>3</v>
      </c>
      <c r="T24" s="284">
        <v>35939</v>
      </c>
      <c r="U24" s="293">
        <v>35982</v>
      </c>
      <c r="V24" s="37" t="s">
        <v>1112</v>
      </c>
      <c r="W24" s="28" t="s">
        <v>78</v>
      </c>
      <c r="X24" s="28" t="s">
        <v>11</v>
      </c>
      <c r="Y24" s="38">
        <v>38.299999999999997</v>
      </c>
      <c r="Z24" s="28" t="s">
        <v>1107</v>
      </c>
      <c r="AA24" s="28" t="s">
        <v>869</v>
      </c>
      <c r="AB24" s="28" t="s">
        <v>12</v>
      </c>
      <c r="AC24" s="28">
        <v>12.4</v>
      </c>
      <c r="AD24" s="37" t="s">
        <v>1106</v>
      </c>
      <c r="AE24" s="28" t="s">
        <v>74</v>
      </c>
      <c r="AF24" s="28" t="s">
        <v>11</v>
      </c>
      <c r="AG24" s="38">
        <v>4.4000000000000004</v>
      </c>
      <c r="AL24" s="37"/>
      <c r="AO24" s="38"/>
      <c r="AP24" s="37"/>
      <c r="AS24" s="38"/>
      <c r="AW24" s="38"/>
      <c r="BA24" s="39"/>
    </row>
    <row r="25" spans="1:53" s="28" customFormat="1" x14ac:dyDescent="0.15">
      <c r="A25" s="28">
        <v>1999</v>
      </c>
      <c r="B25" s="301">
        <v>36161</v>
      </c>
      <c r="C25" s="394" t="s">
        <v>1110</v>
      </c>
      <c r="D25" s="394"/>
      <c r="E25" s="28">
        <v>0</v>
      </c>
      <c r="F25" s="83">
        <v>0</v>
      </c>
      <c r="G25" s="65">
        <v>14</v>
      </c>
      <c r="I25" s="28">
        <v>4</v>
      </c>
      <c r="J25" s="72">
        <v>18</v>
      </c>
      <c r="K25" s="46">
        <f t="shared" si="0"/>
        <v>77.777777777777786</v>
      </c>
      <c r="L25" s="46">
        <f t="shared" si="1"/>
        <v>0</v>
      </c>
      <c r="M25" s="46">
        <f t="shared" si="2"/>
        <v>22.222222222222221</v>
      </c>
      <c r="N25" s="67">
        <f t="shared" si="3"/>
        <v>100</v>
      </c>
      <c r="O25" s="45">
        <v>42.7</v>
      </c>
      <c r="P25" s="46"/>
      <c r="Q25" s="46">
        <v>12.4</v>
      </c>
      <c r="R25" s="47">
        <f t="shared" si="4"/>
        <v>55.1</v>
      </c>
      <c r="S25" s="28">
        <v>3</v>
      </c>
      <c r="T25" s="284"/>
      <c r="U25" s="293"/>
      <c r="V25" s="37" t="s">
        <v>1112</v>
      </c>
      <c r="W25" s="28" t="s">
        <v>78</v>
      </c>
      <c r="X25" s="28" t="s">
        <v>11</v>
      </c>
      <c r="Y25" s="38">
        <v>38.299999999999997</v>
      </c>
      <c r="Z25" s="28" t="s">
        <v>1107</v>
      </c>
      <c r="AA25" s="28" t="s">
        <v>869</v>
      </c>
      <c r="AB25" s="28" t="s">
        <v>12</v>
      </c>
      <c r="AC25" s="28">
        <v>12.4</v>
      </c>
      <c r="AD25" s="37" t="s">
        <v>1106</v>
      </c>
      <c r="AE25" s="28" t="s">
        <v>74</v>
      </c>
      <c r="AF25" s="28" t="s">
        <v>11</v>
      </c>
      <c r="AG25" s="38">
        <v>4.4000000000000004</v>
      </c>
      <c r="AL25" s="37"/>
      <c r="AO25" s="38"/>
      <c r="AP25" s="37"/>
      <c r="AS25" s="38"/>
      <c r="AW25" s="38"/>
      <c r="BA25" s="39"/>
    </row>
    <row r="26" spans="1:53" s="28" customFormat="1" x14ac:dyDescent="0.15">
      <c r="A26" s="28">
        <v>1999</v>
      </c>
      <c r="B26" s="293"/>
      <c r="C26" s="394" t="s">
        <v>1110</v>
      </c>
      <c r="D26" s="394"/>
      <c r="E26" s="28">
        <v>365</v>
      </c>
      <c r="G26" s="65">
        <v>14</v>
      </c>
      <c r="I26" s="28">
        <v>4</v>
      </c>
      <c r="J26" s="72">
        <v>18</v>
      </c>
      <c r="K26" s="46">
        <f t="shared" si="0"/>
        <v>77.777777777777786</v>
      </c>
      <c r="L26" s="46">
        <f t="shared" si="1"/>
        <v>0</v>
      </c>
      <c r="M26" s="46">
        <f t="shared" si="2"/>
        <v>22.222222222222221</v>
      </c>
      <c r="N26" s="67">
        <f t="shared" si="3"/>
        <v>100</v>
      </c>
      <c r="O26" s="45">
        <v>42.7</v>
      </c>
      <c r="P26" s="46"/>
      <c r="Q26" s="46">
        <v>12.4</v>
      </c>
      <c r="R26" s="47">
        <f t="shared" si="4"/>
        <v>55.1</v>
      </c>
      <c r="S26" s="28">
        <v>3</v>
      </c>
      <c r="T26" s="284"/>
      <c r="U26" s="293"/>
      <c r="V26" s="37" t="s">
        <v>1112</v>
      </c>
      <c r="W26" s="28" t="s">
        <v>78</v>
      </c>
      <c r="X26" s="28" t="s">
        <v>11</v>
      </c>
      <c r="Y26" s="38">
        <v>38.299999999999997</v>
      </c>
      <c r="Z26" s="28" t="s">
        <v>1107</v>
      </c>
      <c r="AA26" s="28" t="s">
        <v>869</v>
      </c>
      <c r="AB26" s="28" t="s">
        <v>12</v>
      </c>
      <c r="AC26" s="28">
        <v>12.4</v>
      </c>
      <c r="AD26" s="37" t="s">
        <v>1106</v>
      </c>
      <c r="AE26" s="28" t="s">
        <v>74</v>
      </c>
      <c r="AF26" s="28" t="s">
        <v>11</v>
      </c>
      <c r="AG26" s="38">
        <v>4.4000000000000004</v>
      </c>
      <c r="AL26" s="37"/>
      <c r="AO26" s="38"/>
      <c r="AP26" s="37"/>
      <c r="AS26" s="38"/>
      <c r="AW26" s="38"/>
      <c r="BA26" s="39"/>
    </row>
    <row r="27" spans="1:53" s="28" customFormat="1" x14ac:dyDescent="0.15">
      <c r="A27" s="28">
        <v>2000</v>
      </c>
      <c r="B27" s="293"/>
      <c r="C27" s="394" t="s">
        <v>1110</v>
      </c>
      <c r="D27" s="394"/>
      <c r="E27" s="28">
        <v>0</v>
      </c>
      <c r="G27" s="65">
        <v>14</v>
      </c>
      <c r="I27" s="28">
        <v>4</v>
      </c>
      <c r="J27" s="72">
        <v>18</v>
      </c>
      <c r="K27" s="46">
        <f t="shared" si="0"/>
        <v>77.777777777777786</v>
      </c>
      <c r="L27" s="46">
        <f t="shared" si="1"/>
        <v>0</v>
      </c>
      <c r="M27" s="46">
        <f t="shared" si="2"/>
        <v>22.222222222222221</v>
      </c>
      <c r="N27" s="67">
        <f t="shared" si="3"/>
        <v>100</v>
      </c>
      <c r="O27" s="45">
        <v>42.7</v>
      </c>
      <c r="P27" s="46"/>
      <c r="Q27" s="46">
        <v>12.4</v>
      </c>
      <c r="R27" s="47">
        <f t="shared" si="4"/>
        <v>55.1</v>
      </c>
      <c r="S27" s="28">
        <v>3</v>
      </c>
      <c r="T27" s="284"/>
      <c r="U27" s="293"/>
      <c r="V27" s="37" t="s">
        <v>1112</v>
      </c>
      <c r="W27" s="28" t="s">
        <v>78</v>
      </c>
      <c r="X27" s="28" t="s">
        <v>11</v>
      </c>
      <c r="Y27" s="38">
        <v>38.299999999999997</v>
      </c>
      <c r="Z27" s="28" t="s">
        <v>1107</v>
      </c>
      <c r="AA27" s="28" t="s">
        <v>869</v>
      </c>
      <c r="AB27" s="28" t="s">
        <v>12</v>
      </c>
      <c r="AC27" s="28">
        <v>12.4</v>
      </c>
      <c r="AD27" s="37" t="s">
        <v>1106</v>
      </c>
      <c r="AE27" s="28" t="s">
        <v>74</v>
      </c>
      <c r="AF27" s="28" t="s">
        <v>11</v>
      </c>
      <c r="AG27" s="38">
        <v>4.4000000000000004</v>
      </c>
      <c r="AL27" s="37"/>
      <c r="AO27" s="38"/>
      <c r="AP27" s="37"/>
      <c r="AS27" s="38"/>
      <c r="AW27" s="38"/>
      <c r="BA27" s="39"/>
    </row>
    <row r="28" spans="1:53" s="28" customFormat="1" x14ac:dyDescent="0.15">
      <c r="A28" s="28">
        <v>2000</v>
      </c>
      <c r="B28" s="293"/>
      <c r="C28" s="394" t="s">
        <v>1110</v>
      </c>
      <c r="D28" s="394"/>
      <c r="E28" s="28">
        <v>366</v>
      </c>
      <c r="G28" s="65">
        <v>14</v>
      </c>
      <c r="I28" s="28">
        <v>4</v>
      </c>
      <c r="J28" s="72">
        <v>18</v>
      </c>
      <c r="K28" s="46">
        <f t="shared" si="0"/>
        <v>77.777777777777786</v>
      </c>
      <c r="L28" s="46">
        <f t="shared" si="1"/>
        <v>0</v>
      </c>
      <c r="M28" s="46">
        <f t="shared" si="2"/>
        <v>22.222222222222221</v>
      </c>
      <c r="N28" s="67">
        <f t="shared" si="3"/>
        <v>100</v>
      </c>
      <c r="O28" s="45">
        <v>42.7</v>
      </c>
      <c r="P28" s="46"/>
      <c r="Q28" s="46">
        <v>12.4</v>
      </c>
      <c r="R28" s="47">
        <f t="shared" si="4"/>
        <v>55.1</v>
      </c>
      <c r="S28" s="28">
        <v>3</v>
      </c>
      <c r="T28" s="284"/>
      <c r="U28" s="293"/>
      <c r="V28" s="37" t="s">
        <v>1112</v>
      </c>
      <c r="W28" s="28" t="s">
        <v>78</v>
      </c>
      <c r="X28" s="28" t="s">
        <v>11</v>
      </c>
      <c r="Y28" s="38">
        <v>38.299999999999997</v>
      </c>
      <c r="Z28" s="28" t="s">
        <v>1107</v>
      </c>
      <c r="AA28" s="28" t="s">
        <v>869</v>
      </c>
      <c r="AB28" s="28" t="s">
        <v>12</v>
      </c>
      <c r="AC28" s="28">
        <v>12.4</v>
      </c>
      <c r="AD28" s="37" t="s">
        <v>1106</v>
      </c>
      <c r="AE28" s="28" t="s">
        <v>74</v>
      </c>
      <c r="AF28" s="28" t="s">
        <v>11</v>
      </c>
      <c r="AG28" s="38">
        <v>4.4000000000000004</v>
      </c>
      <c r="AL28" s="37"/>
      <c r="AO28" s="38"/>
      <c r="AP28" s="37"/>
      <c r="AS28" s="38"/>
      <c r="AW28" s="38"/>
      <c r="BA28" s="39"/>
    </row>
    <row r="29" spans="1:53" s="28" customFormat="1" x14ac:dyDescent="0.15">
      <c r="A29" s="28">
        <v>2001</v>
      </c>
      <c r="B29" s="301">
        <v>36892</v>
      </c>
      <c r="C29" s="394" t="s">
        <v>1110</v>
      </c>
      <c r="D29" s="394"/>
      <c r="E29" s="28">
        <v>0</v>
      </c>
      <c r="F29" s="83">
        <v>0</v>
      </c>
      <c r="G29" s="65">
        <v>14</v>
      </c>
      <c r="I29" s="28">
        <v>4</v>
      </c>
      <c r="J29" s="72">
        <v>18</v>
      </c>
      <c r="K29" s="46">
        <f t="shared" si="0"/>
        <v>77.777777777777786</v>
      </c>
      <c r="L29" s="46">
        <f t="shared" si="1"/>
        <v>0</v>
      </c>
      <c r="M29" s="46">
        <f t="shared" si="2"/>
        <v>22.222222222222221</v>
      </c>
      <c r="N29" s="67">
        <f t="shared" si="3"/>
        <v>100</v>
      </c>
      <c r="O29" s="45">
        <v>42.7</v>
      </c>
      <c r="P29" s="46"/>
      <c r="Q29" s="46">
        <v>12.4</v>
      </c>
      <c r="R29" s="47">
        <f t="shared" si="4"/>
        <v>55.1</v>
      </c>
      <c r="S29" s="28">
        <v>3</v>
      </c>
      <c r="T29" s="284"/>
      <c r="U29" s="293"/>
      <c r="V29" s="37" t="s">
        <v>1112</v>
      </c>
      <c r="W29" s="28" t="s">
        <v>78</v>
      </c>
      <c r="X29" s="28" t="s">
        <v>11</v>
      </c>
      <c r="Y29" s="38">
        <v>38.299999999999997</v>
      </c>
      <c r="Z29" s="28" t="s">
        <v>1107</v>
      </c>
      <c r="AA29" s="28" t="s">
        <v>869</v>
      </c>
      <c r="AB29" s="28" t="s">
        <v>12</v>
      </c>
      <c r="AC29" s="28">
        <v>12.4</v>
      </c>
      <c r="AD29" s="37" t="s">
        <v>1106</v>
      </c>
      <c r="AE29" s="28" t="s">
        <v>74</v>
      </c>
      <c r="AF29" s="28" t="s">
        <v>11</v>
      </c>
      <c r="AG29" s="38">
        <v>4.4000000000000004</v>
      </c>
      <c r="AL29" s="37"/>
      <c r="AO29" s="38"/>
      <c r="AP29" s="37"/>
      <c r="AS29" s="38"/>
      <c r="AW29" s="38"/>
      <c r="BA29" s="39"/>
    </row>
    <row r="30" spans="1:53" s="28" customFormat="1" x14ac:dyDescent="0.15">
      <c r="A30" s="28">
        <v>2001</v>
      </c>
      <c r="B30" s="293"/>
      <c r="C30" s="394" t="s">
        <v>1110</v>
      </c>
      <c r="D30" s="394"/>
      <c r="E30" s="28">
        <v>365</v>
      </c>
      <c r="G30" s="65">
        <v>14</v>
      </c>
      <c r="I30" s="28">
        <v>4</v>
      </c>
      <c r="J30" s="72">
        <v>18</v>
      </c>
      <c r="K30" s="46">
        <f t="shared" si="0"/>
        <v>77.777777777777786</v>
      </c>
      <c r="L30" s="46">
        <f t="shared" si="1"/>
        <v>0</v>
      </c>
      <c r="M30" s="46">
        <f t="shared" si="2"/>
        <v>22.222222222222221</v>
      </c>
      <c r="N30" s="67">
        <f t="shared" si="3"/>
        <v>100</v>
      </c>
      <c r="O30" s="45">
        <v>42.7</v>
      </c>
      <c r="P30" s="46"/>
      <c r="Q30" s="46">
        <v>12.4</v>
      </c>
      <c r="R30" s="47">
        <f t="shared" si="4"/>
        <v>55.1</v>
      </c>
      <c r="S30" s="28">
        <v>3</v>
      </c>
      <c r="T30" s="284"/>
      <c r="U30" s="293"/>
      <c r="V30" s="37" t="s">
        <v>1112</v>
      </c>
      <c r="W30" s="28" t="s">
        <v>78</v>
      </c>
      <c r="X30" s="28" t="s">
        <v>11</v>
      </c>
      <c r="Y30" s="38">
        <v>38.299999999999997</v>
      </c>
      <c r="Z30" s="28" t="s">
        <v>1107</v>
      </c>
      <c r="AA30" s="28" t="s">
        <v>869</v>
      </c>
      <c r="AB30" s="28" t="s">
        <v>12</v>
      </c>
      <c r="AC30" s="28">
        <v>12.4</v>
      </c>
      <c r="AD30" s="37" t="s">
        <v>1106</v>
      </c>
      <c r="AE30" s="28" t="s">
        <v>74</v>
      </c>
      <c r="AF30" s="28" t="s">
        <v>11</v>
      </c>
      <c r="AG30" s="38">
        <v>4.4000000000000004</v>
      </c>
      <c r="AL30" s="37"/>
      <c r="AO30" s="38"/>
      <c r="AP30" s="37"/>
      <c r="AS30" s="38"/>
      <c r="AW30" s="38"/>
      <c r="BA30" s="39"/>
    </row>
    <row r="31" spans="1:53" s="28" customFormat="1" x14ac:dyDescent="0.15">
      <c r="A31" s="28">
        <v>2002</v>
      </c>
      <c r="B31" s="293"/>
      <c r="C31" s="394" t="s">
        <v>1110</v>
      </c>
      <c r="D31" s="394"/>
      <c r="E31" s="28">
        <v>146</v>
      </c>
      <c r="G31" s="65">
        <v>14</v>
      </c>
      <c r="I31" s="28">
        <v>4</v>
      </c>
      <c r="J31" s="72">
        <v>18</v>
      </c>
      <c r="K31" s="46">
        <f t="shared" si="0"/>
        <v>77.777777777777786</v>
      </c>
      <c r="L31" s="46">
        <f t="shared" si="1"/>
        <v>0</v>
      </c>
      <c r="M31" s="46">
        <f t="shared" si="2"/>
        <v>22.222222222222221</v>
      </c>
      <c r="N31" s="67">
        <f t="shared" si="3"/>
        <v>100</v>
      </c>
      <c r="O31" s="45">
        <v>42.7</v>
      </c>
      <c r="P31" s="46"/>
      <c r="Q31" s="46">
        <v>12.4</v>
      </c>
      <c r="R31" s="47">
        <f t="shared" si="4"/>
        <v>55.1</v>
      </c>
      <c r="S31" s="28">
        <v>3</v>
      </c>
      <c r="T31" s="284"/>
      <c r="U31" s="293"/>
      <c r="V31" s="37" t="s">
        <v>1112</v>
      </c>
      <c r="W31" s="28" t="s">
        <v>78</v>
      </c>
      <c r="X31" s="28" t="s">
        <v>11</v>
      </c>
      <c r="Y31" s="38">
        <v>38.299999999999997</v>
      </c>
      <c r="Z31" s="28" t="s">
        <v>1107</v>
      </c>
      <c r="AA31" s="28" t="s">
        <v>869</v>
      </c>
      <c r="AB31" s="28" t="s">
        <v>12</v>
      </c>
      <c r="AC31" s="28">
        <v>12.4</v>
      </c>
      <c r="AD31" s="37" t="s">
        <v>1106</v>
      </c>
      <c r="AE31" s="28" t="s">
        <v>74</v>
      </c>
      <c r="AF31" s="28" t="s">
        <v>11</v>
      </c>
      <c r="AG31" s="38">
        <v>4.4000000000000004</v>
      </c>
      <c r="AL31" s="37"/>
      <c r="AO31" s="38"/>
      <c r="AP31" s="37"/>
      <c r="AS31" s="38"/>
      <c r="AW31" s="38"/>
      <c r="BA31" s="39"/>
    </row>
    <row r="32" spans="1:53" s="170" customFormat="1" x14ac:dyDescent="0.15">
      <c r="A32" s="170">
        <v>2002</v>
      </c>
      <c r="B32" s="281">
        <v>37403</v>
      </c>
      <c r="C32" s="395" t="s">
        <v>1101</v>
      </c>
      <c r="D32" s="395"/>
      <c r="E32" s="170">
        <v>219</v>
      </c>
      <c r="F32" s="170">
        <v>1</v>
      </c>
      <c r="G32" s="232">
        <v>4</v>
      </c>
      <c r="I32" s="170">
        <v>11</v>
      </c>
      <c r="J32" s="240">
        <v>15</v>
      </c>
      <c r="K32" s="213">
        <f t="shared" si="0"/>
        <v>26.666666666666668</v>
      </c>
      <c r="L32" s="213">
        <f t="shared" si="1"/>
        <v>0</v>
      </c>
      <c r="M32" s="213">
        <f t="shared" si="2"/>
        <v>73.333333333333329</v>
      </c>
      <c r="N32" s="234">
        <f t="shared" si="3"/>
        <v>100</v>
      </c>
      <c r="O32" s="212">
        <v>5.2</v>
      </c>
      <c r="P32" s="213"/>
      <c r="Q32" s="213">
        <v>46.1</v>
      </c>
      <c r="R32" s="214">
        <f t="shared" si="4"/>
        <v>51.300000000000004</v>
      </c>
      <c r="S32" s="170">
        <v>2</v>
      </c>
      <c r="T32" s="283">
        <v>37367</v>
      </c>
      <c r="U32" s="281">
        <v>37403</v>
      </c>
      <c r="V32" s="177" t="s">
        <v>1109</v>
      </c>
      <c r="W32" s="170" t="s">
        <v>20</v>
      </c>
      <c r="X32" s="170" t="s">
        <v>12</v>
      </c>
      <c r="Y32" s="178">
        <v>46.1</v>
      </c>
      <c r="Z32" s="170" t="s">
        <v>1113</v>
      </c>
      <c r="AA32" s="170" t="s">
        <v>22</v>
      </c>
      <c r="AB32" s="170" t="s">
        <v>11</v>
      </c>
      <c r="AC32" s="170">
        <v>5.2</v>
      </c>
      <c r="AD32" s="177"/>
      <c r="AG32" s="178"/>
      <c r="AL32" s="177"/>
      <c r="AO32" s="178"/>
      <c r="AP32" s="177"/>
      <c r="AS32" s="178"/>
      <c r="AW32" s="178"/>
      <c r="BA32" s="179"/>
    </row>
    <row r="33" spans="1:53" s="170" customFormat="1" x14ac:dyDescent="0.15">
      <c r="A33" s="170">
        <v>2003</v>
      </c>
      <c r="B33" s="281"/>
      <c r="C33" s="395" t="s">
        <v>1101</v>
      </c>
      <c r="D33" s="395"/>
      <c r="E33" s="170">
        <v>134</v>
      </c>
      <c r="G33" s="232">
        <v>4</v>
      </c>
      <c r="I33" s="170">
        <v>11</v>
      </c>
      <c r="J33" s="240">
        <v>15</v>
      </c>
      <c r="K33" s="213">
        <f t="shared" si="0"/>
        <v>26.666666666666668</v>
      </c>
      <c r="L33" s="213">
        <f t="shared" si="1"/>
        <v>0</v>
      </c>
      <c r="M33" s="213">
        <f t="shared" si="2"/>
        <v>73.333333333333329</v>
      </c>
      <c r="N33" s="234">
        <f t="shared" si="3"/>
        <v>100</v>
      </c>
      <c r="O33" s="212">
        <v>5.2</v>
      </c>
      <c r="P33" s="213"/>
      <c r="Q33" s="213">
        <v>46.1</v>
      </c>
      <c r="R33" s="214">
        <f t="shared" si="4"/>
        <v>51.300000000000004</v>
      </c>
      <c r="S33" s="170">
        <v>2</v>
      </c>
      <c r="T33" s="283"/>
      <c r="U33" s="281"/>
      <c r="V33" s="177" t="s">
        <v>1109</v>
      </c>
      <c r="W33" s="170" t="s">
        <v>20</v>
      </c>
      <c r="X33" s="170" t="s">
        <v>12</v>
      </c>
      <c r="Y33" s="178">
        <v>46.1</v>
      </c>
      <c r="Z33" s="170" t="s">
        <v>1113</v>
      </c>
      <c r="AA33" s="170" t="s">
        <v>22</v>
      </c>
      <c r="AB33" s="170" t="s">
        <v>11</v>
      </c>
      <c r="AC33" s="170">
        <v>5.2</v>
      </c>
      <c r="AD33" s="177"/>
      <c r="AG33" s="178"/>
      <c r="AL33" s="177"/>
      <c r="AO33" s="178"/>
      <c r="AP33" s="177"/>
      <c r="AS33" s="178"/>
      <c r="AW33" s="178"/>
      <c r="BA33" s="179"/>
    </row>
    <row r="34" spans="1:53" s="170" customFormat="1" x14ac:dyDescent="0.15">
      <c r="A34" s="170">
        <v>2003</v>
      </c>
      <c r="B34" s="303">
        <v>37756</v>
      </c>
      <c r="C34" s="395" t="s">
        <v>1101</v>
      </c>
      <c r="D34" s="395"/>
      <c r="E34" s="170">
        <v>231</v>
      </c>
      <c r="F34" s="243">
        <v>0</v>
      </c>
      <c r="G34" s="232">
        <v>4</v>
      </c>
      <c r="I34" s="170">
        <v>13</v>
      </c>
      <c r="J34" s="240">
        <v>17</v>
      </c>
      <c r="K34" s="213">
        <f t="shared" si="0"/>
        <v>23.52941176470588</v>
      </c>
      <c r="L34" s="213">
        <f t="shared" si="1"/>
        <v>0</v>
      </c>
      <c r="M34" s="213">
        <f t="shared" si="2"/>
        <v>76.470588235294116</v>
      </c>
      <c r="N34" s="234">
        <f t="shared" si="3"/>
        <v>100</v>
      </c>
      <c r="O34" s="212">
        <v>5.2</v>
      </c>
      <c r="P34" s="213"/>
      <c r="Q34" s="213">
        <v>46.1</v>
      </c>
      <c r="R34" s="214">
        <f t="shared" si="4"/>
        <v>51.300000000000004</v>
      </c>
      <c r="S34" s="170">
        <v>2</v>
      </c>
      <c r="T34" s="283"/>
      <c r="U34" s="281"/>
      <c r="V34" s="177" t="s">
        <v>1109</v>
      </c>
      <c r="W34" s="170" t="s">
        <v>20</v>
      </c>
      <c r="X34" s="170" t="s">
        <v>12</v>
      </c>
      <c r="Y34" s="178">
        <v>46.1</v>
      </c>
      <c r="Z34" s="170" t="s">
        <v>1113</v>
      </c>
      <c r="AA34" s="170" t="s">
        <v>22</v>
      </c>
      <c r="AB34" s="170" t="s">
        <v>11</v>
      </c>
      <c r="AC34" s="170">
        <v>5.2</v>
      </c>
      <c r="AD34" s="177"/>
      <c r="AG34" s="178"/>
      <c r="AL34" s="177"/>
      <c r="AO34" s="178"/>
      <c r="AP34" s="177"/>
      <c r="AS34" s="178"/>
      <c r="AW34" s="178"/>
      <c r="BA34" s="179"/>
    </row>
    <row r="35" spans="1:53" s="170" customFormat="1" x14ac:dyDescent="0.15">
      <c r="A35" s="170">
        <v>2004</v>
      </c>
      <c r="B35" s="281"/>
      <c r="C35" s="395" t="s">
        <v>1101</v>
      </c>
      <c r="D35" s="395"/>
      <c r="E35" s="170">
        <v>272</v>
      </c>
      <c r="G35" s="232">
        <v>4</v>
      </c>
      <c r="I35" s="170">
        <v>13</v>
      </c>
      <c r="J35" s="240">
        <v>17</v>
      </c>
      <c r="K35" s="213">
        <f t="shared" si="0"/>
        <v>23.52941176470588</v>
      </c>
      <c r="L35" s="213">
        <f t="shared" si="1"/>
        <v>0</v>
      </c>
      <c r="M35" s="213">
        <f t="shared" si="2"/>
        <v>76.470588235294116</v>
      </c>
      <c r="N35" s="234">
        <f t="shared" si="3"/>
        <v>100</v>
      </c>
      <c r="O35" s="212">
        <v>5.2</v>
      </c>
      <c r="P35" s="213"/>
      <c r="Q35" s="213">
        <v>46.1</v>
      </c>
      <c r="R35" s="214">
        <f t="shared" si="4"/>
        <v>51.300000000000004</v>
      </c>
      <c r="S35" s="170">
        <v>2</v>
      </c>
      <c r="T35" s="283"/>
      <c r="U35" s="281"/>
      <c r="V35" s="177" t="s">
        <v>1109</v>
      </c>
      <c r="W35" s="170" t="s">
        <v>20</v>
      </c>
      <c r="X35" s="170" t="s">
        <v>12</v>
      </c>
      <c r="Y35" s="178">
        <v>46.1</v>
      </c>
      <c r="Z35" s="170" t="s">
        <v>1113</v>
      </c>
      <c r="AA35" s="170" t="s">
        <v>22</v>
      </c>
      <c r="AB35" s="170" t="s">
        <v>11</v>
      </c>
      <c r="AC35" s="170">
        <v>5.2</v>
      </c>
      <c r="AD35" s="177"/>
      <c r="AG35" s="178"/>
      <c r="AL35" s="177"/>
      <c r="AO35" s="178"/>
      <c r="AP35" s="177"/>
      <c r="AS35" s="178"/>
      <c r="AW35" s="178"/>
      <c r="BA35" s="179"/>
    </row>
    <row r="36" spans="1:53" s="28" customFormat="1" x14ac:dyDescent="0.15">
      <c r="A36" s="28">
        <v>2004</v>
      </c>
      <c r="B36" s="275">
        <v>38259</v>
      </c>
      <c r="C36" s="394" t="s">
        <v>1102</v>
      </c>
      <c r="D36" s="394"/>
      <c r="E36" s="28">
        <v>94</v>
      </c>
      <c r="F36" s="28">
        <v>2</v>
      </c>
      <c r="G36" s="266">
        <v>4</v>
      </c>
      <c r="H36" s="166"/>
      <c r="I36" s="166">
        <v>14</v>
      </c>
      <c r="J36" s="267">
        <v>18</v>
      </c>
      <c r="K36" s="46">
        <f t="shared" si="0"/>
        <v>22.222222222222221</v>
      </c>
      <c r="L36" s="46">
        <f t="shared" si="1"/>
        <v>0</v>
      </c>
      <c r="M36" s="46">
        <f t="shared" si="2"/>
        <v>77.777777777777786</v>
      </c>
      <c r="N36" s="67">
        <f t="shared" si="3"/>
        <v>100</v>
      </c>
      <c r="O36" s="45">
        <v>5.2</v>
      </c>
      <c r="P36" s="46"/>
      <c r="Q36" s="46">
        <v>46.1</v>
      </c>
      <c r="R36" s="47">
        <f>SUM(O36:Q36)</f>
        <v>51.300000000000004</v>
      </c>
      <c r="S36" s="28">
        <v>2</v>
      </c>
      <c r="T36" s="284"/>
      <c r="U36" s="293">
        <v>38259</v>
      </c>
      <c r="V36" s="37" t="s">
        <v>1109</v>
      </c>
      <c r="W36" s="28" t="s">
        <v>20</v>
      </c>
      <c r="X36" s="28" t="s">
        <v>12</v>
      </c>
      <c r="Y36" s="38">
        <v>46.1</v>
      </c>
      <c r="Z36" s="28" t="s">
        <v>1113</v>
      </c>
      <c r="AA36" s="28" t="s">
        <v>22</v>
      </c>
      <c r="AB36" s="28" t="s">
        <v>11</v>
      </c>
      <c r="AC36" s="28">
        <v>5.2</v>
      </c>
      <c r="AD36" s="37"/>
      <c r="AG36" s="38"/>
      <c r="AL36" s="37"/>
      <c r="AO36" s="38"/>
      <c r="AP36" s="37"/>
      <c r="AS36" s="38"/>
      <c r="AW36" s="38"/>
      <c r="BA36" s="39"/>
    </row>
    <row r="37" spans="1:53" s="28" customFormat="1" x14ac:dyDescent="0.15">
      <c r="A37" s="28">
        <v>2005</v>
      </c>
      <c r="B37" s="275"/>
      <c r="C37" s="394" t="s">
        <v>1102</v>
      </c>
      <c r="D37" s="394"/>
      <c r="E37" s="28">
        <v>0</v>
      </c>
      <c r="G37" s="266">
        <v>4</v>
      </c>
      <c r="H37" s="166"/>
      <c r="I37" s="166">
        <v>14</v>
      </c>
      <c r="J37" s="267">
        <v>18</v>
      </c>
      <c r="K37" s="46">
        <f t="shared" si="0"/>
        <v>22.222222222222221</v>
      </c>
      <c r="L37" s="46">
        <f t="shared" si="1"/>
        <v>0</v>
      </c>
      <c r="M37" s="46">
        <f t="shared" si="2"/>
        <v>77.777777777777786</v>
      </c>
      <c r="N37" s="67">
        <f t="shared" si="3"/>
        <v>100</v>
      </c>
      <c r="O37" s="45">
        <v>5.2</v>
      </c>
      <c r="P37" s="46"/>
      <c r="Q37" s="46">
        <v>46.1</v>
      </c>
      <c r="R37" s="47">
        <f t="shared" ref="R37:R56" si="5">SUM(O37:Q37)</f>
        <v>51.300000000000004</v>
      </c>
      <c r="S37" s="28">
        <v>2</v>
      </c>
      <c r="T37" s="284"/>
      <c r="U37" s="293"/>
      <c r="V37" s="37" t="s">
        <v>1109</v>
      </c>
      <c r="W37" s="28" t="s">
        <v>20</v>
      </c>
      <c r="X37" s="28" t="s">
        <v>12</v>
      </c>
      <c r="Y37" s="38">
        <v>46.1</v>
      </c>
      <c r="Z37" s="28" t="s">
        <v>1113</v>
      </c>
      <c r="AA37" s="28" t="s">
        <v>22</v>
      </c>
      <c r="AB37" s="28" t="s">
        <v>11</v>
      </c>
      <c r="AC37" s="28">
        <v>5.2</v>
      </c>
      <c r="AD37" s="37"/>
      <c r="AG37" s="38"/>
      <c r="AL37" s="37"/>
      <c r="AO37" s="38"/>
      <c r="AP37" s="37"/>
      <c r="AS37" s="38"/>
      <c r="AW37" s="38"/>
      <c r="BA37" s="39"/>
    </row>
    <row r="38" spans="1:53" s="28" customFormat="1" x14ac:dyDescent="0.15">
      <c r="A38" s="28">
        <v>2005</v>
      </c>
      <c r="B38" s="275"/>
      <c r="C38" s="394" t="s">
        <v>1102</v>
      </c>
      <c r="D38" s="394"/>
      <c r="E38" s="28">
        <v>365</v>
      </c>
      <c r="G38" s="266">
        <v>4</v>
      </c>
      <c r="H38" s="166"/>
      <c r="I38" s="166">
        <v>14</v>
      </c>
      <c r="J38" s="267">
        <v>18</v>
      </c>
      <c r="K38" s="46">
        <f t="shared" si="0"/>
        <v>22.222222222222221</v>
      </c>
      <c r="L38" s="46">
        <f t="shared" si="1"/>
        <v>0</v>
      </c>
      <c r="M38" s="46">
        <f t="shared" si="2"/>
        <v>77.777777777777786</v>
      </c>
      <c r="N38" s="67">
        <f t="shared" si="3"/>
        <v>100</v>
      </c>
      <c r="O38" s="45">
        <v>5.2</v>
      </c>
      <c r="P38" s="46"/>
      <c r="Q38" s="46">
        <v>46.1</v>
      </c>
      <c r="R38" s="47">
        <f t="shared" si="5"/>
        <v>51.300000000000004</v>
      </c>
      <c r="S38" s="28">
        <v>2</v>
      </c>
      <c r="T38" s="284"/>
      <c r="U38" s="293"/>
      <c r="V38" s="37" t="s">
        <v>1109</v>
      </c>
      <c r="W38" s="28" t="s">
        <v>20</v>
      </c>
      <c r="X38" s="28" t="s">
        <v>12</v>
      </c>
      <c r="Y38" s="38">
        <v>46.1</v>
      </c>
      <c r="Z38" s="28" t="s">
        <v>1113</v>
      </c>
      <c r="AA38" s="28" t="s">
        <v>22</v>
      </c>
      <c r="AB38" s="28" t="s">
        <v>11</v>
      </c>
      <c r="AC38" s="28">
        <v>5.2</v>
      </c>
      <c r="AD38" s="37"/>
      <c r="AG38" s="38"/>
      <c r="AL38" s="37"/>
      <c r="AO38" s="38"/>
      <c r="AP38" s="37"/>
      <c r="AS38" s="38"/>
      <c r="AW38" s="38"/>
      <c r="BA38" s="39"/>
    </row>
    <row r="39" spans="1:53" s="28" customFormat="1" x14ac:dyDescent="0.15">
      <c r="A39" s="28">
        <v>2006</v>
      </c>
      <c r="B39" s="275"/>
      <c r="C39" s="394" t="s">
        <v>1102</v>
      </c>
      <c r="D39" s="394"/>
      <c r="E39" s="28">
        <v>159</v>
      </c>
      <c r="G39" s="266">
        <v>4</v>
      </c>
      <c r="H39" s="166"/>
      <c r="I39" s="166">
        <v>14</v>
      </c>
      <c r="J39" s="267">
        <v>18</v>
      </c>
      <c r="K39" s="46">
        <f t="shared" si="0"/>
        <v>22.222222222222221</v>
      </c>
      <c r="L39" s="46">
        <f t="shared" si="1"/>
        <v>0</v>
      </c>
      <c r="M39" s="46">
        <f t="shared" si="2"/>
        <v>77.777777777777786</v>
      </c>
      <c r="N39" s="67">
        <f t="shared" si="3"/>
        <v>100</v>
      </c>
      <c r="O39" s="45">
        <v>5.2</v>
      </c>
      <c r="P39" s="46"/>
      <c r="Q39" s="46">
        <v>46.1</v>
      </c>
      <c r="R39" s="47">
        <f t="shared" si="5"/>
        <v>51.300000000000004</v>
      </c>
      <c r="S39" s="28">
        <v>2</v>
      </c>
      <c r="T39" s="284"/>
      <c r="U39" s="293"/>
      <c r="V39" s="37" t="s">
        <v>1109</v>
      </c>
      <c r="W39" s="28" t="s">
        <v>20</v>
      </c>
      <c r="X39" s="28" t="s">
        <v>12</v>
      </c>
      <c r="Y39" s="38">
        <v>46.1</v>
      </c>
      <c r="Z39" s="28" t="s">
        <v>1113</v>
      </c>
      <c r="AA39" s="28" t="s">
        <v>22</v>
      </c>
      <c r="AB39" s="28" t="s">
        <v>11</v>
      </c>
      <c r="AC39" s="28">
        <v>5.2</v>
      </c>
      <c r="AD39" s="37"/>
      <c r="AG39" s="38"/>
      <c r="AL39" s="37"/>
      <c r="AO39" s="38"/>
      <c r="AP39" s="37"/>
      <c r="AS39" s="38"/>
      <c r="AW39" s="38"/>
      <c r="BA39" s="39"/>
    </row>
    <row r="40" spans="1:53" s="170" customFormat="1" x14ac:dyDescent="0.15">
      <c r="A40" s="170">
        <v>2006</v>
      </c>
      <c r="B40" s="304">
        <v>38877</v>
      </c>
      <c r="C40" s="395" t="s">
        <v>1103</v>
      </c>
      <c r="D40" s="395"/>
      <c r="E40" s="170">
        <v>206</v>
      </c>
      <c r="F40" s="170">
        <v>1</v>
      </c>
      <c r="G40" s="268">
        <v>3</v>
      </c>
      <c r="H40" s="190"/>
      <c r="I40" s="190">
        <v>10</v>
      </c>
      <c r="J40" s="269">
        <v>13</v>
      </c>
      <c r="K40" s="213">
        <f t="shared" si="0"/>
        <v>23.076923076923077</v>
      </c>
      <c r="L40" s="213">
        <f t="shared" si="1"/>
        <v>0</v>
      </c>
      <c r="M40" s="213">
        <f t="shared" si="2"/>
        <v>76.923076923076934</v>
      </c>
      <c r="N40" s="234">
        <f t="shared" si="3"/>
        <v>100.00000000000001</v>
      </c>
      <c r="O40" s="212">
        <v>5.3</v>
      </c>
      <c r="P40" s="213"/>
      <c r="Q40" s="213">
        <v>49.2</v>
      </c>
      <c r="R40" s="214">
        <f t="shared" si="5"/>
        <v>54.5</v>
      </c>
      <c r="S40" s="170">
        <v>2</v>
      </c>
      <c r="T40" s="283">
        <v>38830</v>
      </c>
      <c r="U40" s="281">
        <v>38877</v>
      </c>
      <c r="V40" s="177" t="s">
        <v>1109</v>
      </c>
      <c r="W40" s="170" t="s">
        <v>20</v>
      </c>
      <c r="X40" s="170" t="s">
        <v>12</v>
      </c>
      <c r="Y40" s="178">
        <v>49.2</v>
      </c>
      <c r="Z40" s="170" t="s">
        <v>1113</v>
      </c>
      <c r="AA40" s="170" t="s">
        <v>22</v>
      </c>
      <c r="AB40" s="170" t="s">
        <v>11</v>
      </c>
      <c r="AC40" s="170">
        <v>5.2</v>
      </c>
      <c r="AD40" s="177"/>
      <c r="AG40" s="178"/>
      <c r="AL40" s="177"/>
      <c r="AO40" s="178"/>
      <c r="AP40" s="177"/>
      <c r="AS40" s="178"/>
      <c r="AW40" s="178"/>
      <c r="BA40" s="179"/>
    </row>
    <row r="41" spans="1:53" s="170" customFormat="1" x14ac:dyDescent="0.15">
      <c r="A41" s="170">
        <v>2007</v>
      </c>
      <c r="B41" s="304"/>
      <c r="C41" s="395" t="s">
        <v>1103</v>
      </c>
      <c r="D41" s="395"/>
      <c r="E41" s="170">
        <v>181</v>
      </c>
      <c r="G41" s="268">
        <v>3</v>
      </c>
      <c r="H41" s="190"/>
      <c r="I41" s="190">
        <v>10</v>
      </c>
      <c r="J41" s="269">
        <v>13</v>
      </c>
      <c r="K41" s="213">
        <f t="shared" si="0"/>
        <v>23.076923076923077</v>
      </c>
      <c r="L41" s="213">
        <f t="shared" si="1"/>
        <v>0</v>
      </c>
      <c r="M41" s="213">
        <f t="shared" si="2"/>
        <v>76.923076923076934</v>
      </c>
      <c r="N41" s="234">
        <f t="shared" si="3"/>
        <v>100.00000000000001</v>
      </c>
      <c r="O41" s="212">
        <v>5.3</v>
      </c>
      <c r="P41" s="213"/>
      <c r="Q41" s="213">
        <v>49.2</v>
      </c>
      <c r="R41" s="214">
        <f t="shared" si="5"/>
        <v>54.5</v>
      </c>
      <c r="S41" s="170">
        <v>2</v>
      </c>
      <c r="T41" s="283"/>
      <c r="U41" s="281"/>
      <c r="V41" s="177" t="s">
        <v>1109</v>
      </c>
      <c r="W41" s="170" t="s">
        <v>20</v>
      </c>
      <c r="X41" s="170" t="s">
        <v>12</v>
      </c>
      <c r="Y41" s="178">
        <v>49.2</v>
      </c>
      <c r="Z41" s="170" t="s">
        <v>1113</v>
      </c>
      <c r="AA41" s="170" t="s">
        <v>22</v>
      </c>
      <c r="AB41" s="170" t="s">
        <v>11</v>
      </c>
      <c r="AC41" s="170">
        <v>5.2</v>
      </c>
      <c r="AD41" s="177"/>
      <c r="AG41" s="178"/>
      <c r="AL41" s="177"/>
      <c r="AO41" s="178"/>
      <c r="AP41" s="177"/>
      <c r="AS41" s="178"/>
      <c r="AW41" s="178"/>
      <c r="BA41" s="179"/>
    </row>
    <row r="42" spans="1:53" s="170" customFormat="1" x14ac:dyDescent="0.15">
      <c r="A42" s="170">
        <v>2007</v>
      </c>
      <c r="B42" s="303">
        <v>39264</v>
      </c>
      <c r="C42" s="395" t="s">
        <v>1103</v>
      </c>
      <c r="D42" s="395"/>
      <c r="E42" s="170">
        <v>184</v>
      </c>
      <c r="F42" s="243">
        <v>0</v>
      </c>
      <c r="G42" s="268">
        <v>3</v>
      </c>
      <c r="H42" s="190"/>
      <c r="I42" s="190">
        <v>12</v>
      </c>
      <c r="J42" s="269">
        <v>15</v>
      </c>
      <c r="K42" s="213">
        <f t="shared" si="0"/>
        <v>20</v>
      </c>
      <c r="L42" s="213">
        <f>H42/J42*100</f>
        <v>0</v>
      </c>
      <c r="M42" s="213">
        <f t="shared" si="2"/>
        <v>80</v>
      </c>
      <c r="N42" s="234">
        <f t="shared" si="3"/>
        <v>100</v>
      </c>
      <c r="O42" s="212">
        <v>5.3</v>
      </c>
      <c r="P42" s="213"/>
      <c r="Q42" s="213">
        <v>49.2</v>
      </c>
      <c r="R42" s="214">
        <f t="shared" si="5"/>
        <v>54.5</v>
      </c>
      <c r="S42" s="170">
        <v>2</v>
      </c>
      <c r="T42" s="283"/>
      <c r="U42" s="281"/>
      <c r="V42" s="177" t="s">
        <v>1109</v>
      </c>
      <c r="W42" s="170" t="s">
        <v>20</v>
      </c>
      <c r="X42" s="170" t="s">
        <v>12</v>
      </c>
      <c r="Y42" s="178">
        <v>49.2</v>
      </c>
      <c r="Z42" s="170" t="s">
        <v>1113</v>
      </c>
      <c r="AA42" s="170" t="s">
        <v>22</v>
      </c>
      <c r="AB42" s="170" t="s">
        <v>11</v>
      </c>
      <c r="AC42" s="170">
        <v>5.2</v>
      </c>
      <c r="AD42" s="177"/>
      <c r="AG42" s="178"/>
      <c r="AL42" s="177"/>
      <c r="AO42" s="178"/>
      <c r="AP42" s="177"/>
      <c r="AS42" s="178"/>
      <c r="AW42" s="178"/>
      <c r="BA42" s="179"/>
    </row>
    <row r="43" spans="1:53" s="170" customFormat="1" x14ac:dyDescent="0.15">
      <c r="A43" s="170">
        <v>2008</v>
      </c>
      <c r="B43" s="304"/>
      <c r="C43" s="395" t="s">
        <v>1103</v>
      </c>
      <c r="D43" s="395"/>
      <c r="E43" s="170">
        <v>48</v>
      </c>
      <c r="G43" s="268">
        <v>3</v>
      </c>
      <c r="H43" s="190"/>
      <c r="I43" s="190">
        <v>12</v>
      </c>
      <c r="J43" s="269">
        <v>15</v>
      </c>
      <c r="K43" s="213">
        <f>G43/J43*100</f>
        <v>20</v>
      </c>
      <c r="L43" s="213">
        <f>H43/J43*100</f>
        <v>0</v>
      </c>
      <c r="M43" s="213">
        <f>I43/J43*100</f>
        <v>80</v>
      </c>
      <c r="N43" s="234">
        <f t="shared" si="3"/>
        <v>100</v>
      </c>
      <c r="O43" s="212">
        <v>5.3</v>
      </c>
      <c r="P43" s="213"/>
      <c r="Q43" s="213">
        <v>49.2</v>
      </c>
      <c r="R43" s="214">
        <f t="shared" si="5"/>
        <v>54.5</v>
      </c>
      <c r="S43" s="170">
        <v>2</v>
      </c>
      <c r="T43" s="283"/>
      <c r="U43" s="281"/>
      <c r="V43" s="177" t="s">
        <v>1109</v>
      </c>
      <c r="W43" s="170" t="s">
        <v>20</v>
      </c>
      <c r="X43" s="170" t="s">
        <v>12</v>
      </c>
      <c r="Y43" s="178">
        <v>49.2</v>
      </c>
      <c r="Z43" s="170" t="s">
        <v>1113</v>
      </c>
      <c r="AA43" s="170" t="s">
        <v>22</v>
      </c>
      <c r="AB43" s="170" t="s">
        <v>11</v>
      </c>
      <c r="AC43" s="170">
        <v>5.2</v>
      </c>
      <c r="AD43" s="177"/>
      <c r="AG43" s="178"/>
      <c r="AL43" s="177"/>
      <c r="AO43" s="178"/>
      <c r="AP43" s="177"/>
      <c r="AS43" s="178"/>
      <c r="AW43" s="178"/>
      <c r="BA43" s="179"/>
    </row>
    <row r="44" spans="1:53" s="170" customFormat="1" x14ac:dyDescent="0.15">
      <c r="A44" s="170">
        <v>2008</v>
      </c>
      <c r="B44" s="303">
        <v>39496</v>
      </c>
      <c r="C44" s="395" t="s">
        <v>1103</v>
      </c>
      <c r="D44" s="395"/>
      <c r="E44" s="170">
        <v>74</v>
      </c>
      <c r="F44" s="243">
        <v>0</v>
      </c>
      <c r="G44" s="268">
        <v>3</v>
      </c>
      <c r="H44" s="190"/>
      <c r="I44" s="190">
        <v>11</v>
      </c>
      <c r="J44" s="269">
        <v>14</v>
      </c>
      <c r="K44" s="213">
        <f t="shared" si="0"/>
        <v>21.428571428571427</v>
      </c>
      <c r="L44" s="213">
        <f t="shared" si="1"/>
        <v>0</v>
      </c>
      <c r="M44" s="213">
        <f t="shared" si="2"/>
        <v>78.571428571428569</v>
      </c>
      <c r="N44" s="234">
        <f t="shared" si="3"/>
        <v>100</v>
      </c>
      <c r="O44" s="212">
        <v>5.3</v>
      </c>
      <c r="P44" s="213"/>
      <c r="Q44" s="213">
        <v>49.2</v>
      </c>
      <c r="R44" s="214">
        <f t="shared" si="5"/>
        <v>54.5</v>
      </c>
      <c r="S44" s="170">
        <v>2</v>
      </c>
      <c r="T44" s="283"/>
      <c r="U44" s="281"/>
      <c r="V44" s="177" t="s">
        <v>1109</v>
      </c>
      <c r="W44" s="170" t="s">
        <v>20</v>
      </c>
      <c r="X44" s="170" t="s">
        <v>12</v>
      </c>
      <c r="Y44" s="178">
        <v>49.2</v>
      </c>
      <c r="Z44" s="170" t="s">
        <v>1113</v>
      </c>
      <c r="AA44" s="170" t="s">
        <v>22</v>
      </c>
      <c r="AB44" s="170" t="s">
        <v>11</v>
      </c>
      <c r="AC44" s="170">
        <v>5.2</v>
      </c>
      <c r="AD44" s="177"/>
      <c r="AG44" s="178"/>
      <c r="AL44" s="177"/>
      <c r="AO44" s="178"/>
      <c r="AP44" s="177"/>
      <c r="AS44" s="178"/>
      <c r="AW44" s="178"/>
      <c r="BA44" s="179"/>
    </row>
    <row r="45" spans="1:53" s="28" customFormat="1" x14ac:dyDescent="0.15">
      <c r="A45" s="28">
        <v>2008</v>
      </c>
      <c r="B45" s="275">
        <v>39570</v>
      </c>
      <c r="C45" s="394" t="s">
        <v>1104</v>
      </c>
      <c r="D45" s="394"/>
      <c r="E45" s="28">
        <v>244</v>
      </c>
      <c r="F45" s="28">
        <v>4</v>
      </c>
      <c r="G45" s="266"/>
      <c r="H45" s="166"/>
      <c r="I45" s="166">
        <v>16</v>
      </c>
      <c r="J45" s="267">
        <v>16</v>
      </c>
      <c r="K45" s="46">
        <f t="shared" si="0"/>
        <v>0</v>
      </c>
      <c r="L45" s="46">
        <f t="shared" si="1"/>
        <v>0</v>
      </c>
      <c r="M45" s="46">
        <f t="shared" si="2"/>
        <v>100</v>
      </c>
      <c r="N45" s="67">
        <f t="shared" si="3"/>
        <v>100</v>
      </c>
      <c r="O45" s="45"/>
      <c r="P45" s="46"/>
      <c r="Q45" s="46">
        <v>49.2</v>
      </c>
      <c r="R45" s="47">
        <f t="shared" si="5"/>
        <v>49.2</v>
      </c>
      <c r="S45" s="28">
        <v>4</v>
      </c>
      <c r="T45" s="284"/>
      <c r="U45" s="293">
        <v>39570</v>
      </c>
      <c r="V45" s="37" t="s">
        <v>1109</v>
      </c>
      <c r="W45" s="28" t="s">
        <v>20</v>
      </c>
      <c r="X45" s="28" t="s">
        <v>12</v>
      </c>
      <c r="Y45" s="38">
        <v>49.2</v>
      </c>
      <c r="AD45" s="37"/>
      <c r="AG45" s="38"/>
      <c r="AL45" s="37"/>
      <c r="AO45" s="38"/>
      <c r="AP45" s="37"/>
      <c r="AS45" s="38"/>
      <c r="AW45" s="38"/>
      <c r="BA45" s="39"/>
    </row>
    <row r="46" spans="1:53" s="28" customFormat="1" x14ac:dyDescent="0.15">
      <c r="A46" s="28">
        <v>2009</v>
      </c>
      <c r="B46" s="275"/>
      <c r="C46" s="394" t="s">
        <v>1104</v>
      </c>
      <c r="D46" s="394"/>
      <c r="E46" s="28">
        <v>103</v>
      </c>
      <c r="G46" s="266"/>
      <c r="H46" s="166"/>
      <c r="I46" s="166">
        <v>16</v>
      </c>
      <c r="J46" s="267">
        <v>16</v>
      </c>
      <c r="K46" s="46">
        <f t="shared" si="0"/>
        <v>0</v>
      </c>
      <c r="L46" s="46">
        <f t="shared" si="1"/>
        <v>0</v>
      </c>
      <c r="M46" s="46">
        <f t="shared" si="2"/>
        <v>100</v>
      </c>
      <c r="N46" s="67">
        <f t="shared" si="3"/>
        <v>100</v>
      </c>
      <c r="O46" s="45"/>
      <c r="P46" s="46"/>
      <c r="Q46" s="46">
        <v>49.2</v>
      </c>
      <c r="R46" s="47">
        <f t="shared" si="5"/>
        <v>49.2</v>
      </c>
      <c r="S46" s="28">
        <v>4</v>
      </c>
      <c r="T46" s="284"/>
      <c r="U46" s="293"/>
      <c r="V46" s="37" t="s">
        <v>1109</v>
      </c>
      <c r="W46" s="28" t="s">
        <v>20</v>
      </c>
      <c r="X46" s="28" t="s">
        <v>12</v>
      </c>
      <c r="Y46" s="38">
        <v>49.2</v>
      </c>
      <c r="AD46" s="37"/>
      <c r="AG46" s="38"/>
      <c r="AL46" s="37"/>
      <c r="AO46" s="38"/>
      <c r="AP46" s="37"/>
      <c r="AS46" s="38"/>
      <c r="AW46" s="38"/>
      <c r="BA46" s="39"/>
    </row>
    <row r="47" spans="1:53" s="170" customFormat="1" x14ac:dyDescent="0.15">
      <c r="A47" s="170">
        <v>2009</v>
      </c>
      <c r="B47" s="304">
        <v>39917</v>
      </c>
      <c r="C47" s="395" t="s">
        <v>1105</v>
      </c>
      <c r="D47" s="395"/>
      <c r="E47" s="170">
        <v>262</v>
      </c>
      <c r="F47" s="170">
        <v>2</v>
      </c>
      <c r="G47" s="268"/>
      <c r="H47" s="190"/>
      <c r="I47" s="190">
        <v>16</v>
      </c>
      <c r="J47" s="269">
        <v>16</v>
      </c>
      <c r="K47" s="213">
        <f t="shared" si="0"/>
        <v>0</v>
      </c>
      <c r="L47" s="213">
        <f t="shared" si="1"/>
        <v>0</v>
      </c>
      <c r="M47" s="213">
        <f t="shared" si="2"/>
        <v>100</v>
      </c>
      <c r="N47" s="234">
        <f t="shared" si="3"/>
        <v>100</v>
      </c>
      <c r="O47" s="212"/>
      <c r="P47" s="213"/>
      <c r="Q47" s="213">
        <v>49.2</v>
      </c>
      <c r="R47" s="214">
        <f t="shared" si="5"/>
        <v>49.2</v>
      </c>
      <c r="S47" s="170">
        <v>4</v>
      </c>
      <c r="T47" s="283"/>
      <c r="U47" s="281">
        <v>39917</v>
      </c>
      <c r="V47" s="177" t="s">
        <v>1109</v>
      </c>
      <c r="W47" s="170" t="s">
        <v>20</v>
      </c>
      <c r="X47" s="170" t="s">
        <v>12</v>
      </c>
      <c r="Y47" s="178">
        <v>49.2</v>
      </c>
      <c r="AD47" s="177"/>
      <c r="AG47" s="178"/>
      <c r="AL47" s="177"/>
      <c r="AO47" s="178"/>
      <c r="AP47" s="177"/>
      <c r="AS47" s="178"/>
      <c r="AW47" s="178"/>
      <c r="BA47" s="179"/>
    </row>
    <row r="48" spans="1:53" s="170" customFormat="1" x14ac:dyDescent="0.15">
      <c r="A48" s="170">
        <v>2010</v>
      </c>
      <c r="B48" s="304"/>
      <c r="C48" s="395" t="s">
        <v>1105</v>
      </c>
      <c r="D48" s="395"/>
      <c r="E48" s="170">
        <v>148</v>
      </c>
      <c r="G48" s="268"/>
      <c r="H48" s="190"/>
      <c r="I48" s="190">
        <v>16</v>
      </c>
      <c r="J48" s="269">
        <v>16</v>
      </c>
      <c r="K48" s="213">
        <f t="shared" si="0"/>
        <v>0</v>
      </c>
      <c r="L48" s="213">
        <f t="shared" si="1"/>
        <v>0</v>
      </c>
      <c r="M48" s="213">
        <f t="shared" si="2"/>
        <v>100</v>
      </c>
      <c r="N48" s="234">
        <f t="shared" si="3"/>
        <v>100</v>
      </c>
      <c r="O48" s="212"/>
      <c r="P48" s="213"/>
      <c r="Q48" s="213">
        <v>49.2</v>
      </c>
      <c r="R48" s="214">
        <f t="shared" si="5"/>
        <v>49.2</v>
      </c>
      <c r="S48" s="170">
        <v>4</v>
      </c>
      <c r="T48" s="283"/>
      <c r="U48" s="281"/>
      <c r="V48" s="177" t="s">
        <v>1109</v>
      </c>
      <c r="W48" s="170" t="s">
        <v>20</v>
      </c>
      <c r="X48" s="170" t="s">
        <v>12</v>
      </c>
      <c r="Y48" s="178">
        <v>49.2</v>
      </c>
      <c r="AD48" s="177"/>
      <c r="AG48" s="178"/>
      <c r="AL48" s="177"/>
      <c r="AO48" s="178"/>
      <c r="AP48" s="177"/>
      <c r="AS48" s="178"/>
      <c r="AW48" s="178"/>
      <c r="BA48" s="179"/>
    </row>
    <row r="49" spans="1:53" s="28" customFormat="1" x14ac:dyDescent="0.15">
      <c r="A49" s="28">
        <v>2010</v>
      </c>
      <c r="B49" s="275">
        <v>40327</v>
      </c>
      <c r="C49" s="394" t="s">
        <v>1111</v>
      </c>
      <c r="D49" s="394"/>
      <c r="E49" s="28">
        <v>217</v>
      </c>
      <c r="F49" s="28">
        <v>1</v>
      </c>
      <c r="G49" s="266">
        <v>7</v>
      </c>
      <c r="H49" s="166"/>
      <c r="I49" s="166"/>
      <c r="J49" s="267">
        <v>10</v>
      </c>
      <c r="K49" s="46">
        <f t="shared" si="0"/>
        <v>70</v>
      </c>
      <c r="L49" s="46">
        <f t="shared" si="1"/>
        <v>0</v>
      </c>
      <c r="M49" s="46">
        <f t="shared" si="2"/>
        <v>0</v>
      </c>
      <c r="N49" s="67">
        <f t="shared" si="3"/>
        <v>70</v>
      </c>
      <c r="O49" s="45">
        <v>68.099999999999994</v>
      </c>
      <c r="P49" s="46"/>
      <c r="Q49" s="46"/>
      <c r="R49" s="47">
        <f t="shared" si="5"/>
        <v>68.099999999999994</v>
      </c>
      <c r="S49" s="28">
        <v>1</v>
      </c>
      <c r="T49" s="284">
        <v>40293</v>
      </c>
      <c r="U49" s="293">
        <v>40327</v>
      </c>
      <c r="V49" s="37" t="s">
        <v>1112</v>
      </c>
      <c r="W49" s="28" t="s">
        <v>78</v>
      </c>
      <c r="X49" s="28" t="s">
        <v>11</v>
      </c>
      <c r="Y49" s="38">
        <v>68.099999999999994</v>
      </c>
      <c r="AD49" s="37"/>
      <c r="AG49" s="38"/>
      <c r="AL49" s="37"/>
      <c r="AO49" s="38"/>
      <c r="AP49" s="37"/>
      <c r="AS49" s="38"/>
      <c r="AW49" s="38"/>
      <c r="BA49" s="39"/>
    </row>
    <row r="50" spans="1:53" s="28" customFormat="1" x14ac:dyDescent="0.15">
      <c r="A50" s="28">
        <v>2011</v>
      </c>
      <c r="B50" s="275"/>
      <c r="C50" s="394" t="s">
        <v>1111</v>
      </c>
      <c r="D50" s="394"/>
      <c r="E50" s="28">
        <v>356</v>
      </c>
      <c r="G50" s="266">
        <v>7</v>
      </c>
      <c r="H50" s="166"/>
      <c r="I50" s="166"/>
      <c r="J50" s="267">
        <v>10</v>
      </c>
      <c r="K50" s="46">
        <f t="shared" ref="K50:K56" si="6">G50/J50*100</f>
        <v>70</v>
      </c>
      <c r="L50" s="46">
        <f t="shared" ref="L50:L56" si="7">H50/J50*100</f>
        <v>0</v>
      </c>
      <c r="M50" s="46">
        <f t="shared" ref="M50:M56" si="8">I50/J50*100</f>
        <v>0</v>
      </c>
      <c r="N50" s="67">
        <f t="shared" si="3"/>
        <v>70</v>
      </c>
      <c r="O50" s="45">
        <v>68.099999999999994</v>
      </c>
      <c r="P50" s="46"/>
      <c r="Q50" s="46"/>
      <c r="R50" s="47">
        <f t="shared" si="5"/>
        <v>68.099999999999994</v>
      </c>
      <c r="S50" s="28">
        <v>1</v>
      </c>
      <c r="T50" s="284"/>
      <c r="U50" s="293"/>
      <c r="V50" s="37" t="s">
        <v>1112</v>
      </c>
      <c r="W50" s="28" t="s">
        <v>78</v>
      </c>
      <c r="X50" s="28" t="s">
        <v>11</v>
      </c>
      <c r="Y50" s="38">
        <v>68.099999999999994</v>
      </c>
      <c r="AD50" s="37"/>
      <c r="AG50" s="38"/>
      <c r="AL50" s="37"/>
      <c r="AO50" s="38"/>
      <c r="AP50" s="37"/>
      <c r="AS50" s="38"/>
      <c r="AW50" s="38"/>
      <c r="BA50" s="39"/>
    </row>
    <row r="51" spans="1:53" s="28" customFormat="1" x14ac:dyDescent="0.15">
      <c r="A51" s="28">
        <v>2011</v>
      </c>
      <c r="B51" s="301">
        <v>40900</v>
      </c>
      <c r="C51" s="394" t="s">
        <v>1111</v>
      </c>
      <c r="D51" s="394"/>
      <c r="E51" s="28">
        <f>365-E50</f>
        <v>9</v>
      </c>
      <c r="F51" s="83">
        <v>0</v>
      </c>
      <c r="G51" s="266">
        <v>7</v>
      </c>
      <c r="H51" s="166"/>
      <c r="I51" s="166"/>
      <c r="J51" s="267">
        <v>11</v>
      </c>
      <c r="K51" s="46">
        <f t="shared" si="6"/>
        <v>63.636363636363633</v>
      </c>
      <c r="L51" s="46">
        <f t="shared" si="7"/>
        <v>0</v>
      </c>
      <c r="M51" s="46">
        <f t="shared" si="8"/>
        <v>0</v>
      </c>
      <c r="N51" s="67">
        <f t="shared" si="3"/>
        <v>63.636363636363633</v>
      </c>
      <c r="O51" s="45">
        <v>68.099999999999994</v>
      </c>
      <c r="P51" s="46"/>
      <c r="Q51" s="46"/>
      <c r="R51" s="47">
        <f t="shared" si="5"/>
        <v>68.099999999999994</v>
      </c>
      <c r="S51" s="28">
        <v>1</v>
      </c>
      <c r="T51" s="284"/>
      <c r="U51" s="293"/>
      <c r="V51" s="37" t="s">
        <v>1112</v>
      </c>
      <c r="W51" s="28" t="s">
        <v>78</v>
      </c>
      <c r="X51" s="28" t="s">
        <v>11</v>
      </c>
      <c r="Y51" s="38">
        <v>68.099999999999994</v>
      </c>
      <c r="AD51" s="37"/>
      <c r="AG51" s="38"/>
      <c r="AL51" s="37"/>
      <c r="AO51" s="38"/>
      <c r="AP51" s="37"/>
      <c r="AS51" s="38"/>
      <c r="AW51" s="38"/>
      <c r="BA51" s="39"/>
    </row>
    <row r="52" spans="1:53" s="28" customFormat="1" x14ac:dyDescent="0.15">
      <c r="A52" s="28">
        <v>2012</v>
      </c>
      <c r="B52" s="301"/>
      <c r="C52" s="394" t="s">
        <v>1111</v>
      </c>
      <c r="D52" s="394"/>
      <c r="E52" s="28">
        <v>134</v>
      </c>
      <c r="F52" s="83"/>
      <c r="G52" s="266">
        <v>7</v>
      </c>
      <c r="H52" s="166"/>
      <c r="I52" s="166"/>
      <c r="J52" s="267">
        <v>11</v>
      </c>
      <c r="K52" s="46">
        <f>G52/J52*100</f>
        <v>63.636363636363633</v>
      </c>
      <c r="L52" s="46">
        <f t="shared" si="7"/>
        <v>0</v>
      </c>
      <c r="M52" s="46">
        <f t="shared" si="8"/>
        <v>0</v>
      </c>
      <c r="N52" s="67">
        <f t="shared" si="3"/>
        <v>63.636363636363633</v>
      </c>
      <c r="O52" s="45">
        <v>68.099999999999994</v>
      </c>
      <c r="P52" s="46"/>
      <c r="Q52" s="46"/>
      <c r="R52" s="47">
        <f t="shared" si="5"/>
        <v>68.099999999999994</v>
      </c>
      <c r="S52" s="28">
        <v>1</v>
      </c>
      <c r="T52" s="284"/>
      <c r="U52" s="293"/>
      <c r="V52" s="37" t="s">
        <v>1112</v>
      </c>
      <c r="W52" s="28" t="s">
        <v>78</v>
      </c>
      <c r="X52" s="28" t="s">
        <v>11</v>
      </c>
      <c r="Y52" s="38">
        <v>68.099999999999994</v>
      </c>
      <c r="AD52" s="37"/>
      <c r="AG52" s="38"/>
      <c r="AL52" s="37"/>
      <c r="AO52" s="38"/>
      <c r="AP52" s="37"/>
      <c r="AS52" s="38"/>
      <c r="AW52" s="38"/>
      <c r="BA52" s="39"/>
    </row>
    <row r="53" spans="1:53" s="28" customFormat="1" x14ac:dyDescent="0.15">
      <c r="A53" s="28">
        <v>2012</v>
      </c>
      <c r="B53" s="301">
        <v>41043</v>
      </c>
      <c r="C53" s="394" t="s">
        <v>1111</v>
      </c>
      <c r="D53" s="394"/>
      <c r="E53" s="28">
        <v>19</v>
      </c>
      <c r="F53" s="83">
        <v>0</v>
      </c>
      <c r="G53" s="266">
        <v>8</v>
      </c>
      <c r="H53" s="166"/>
      <c r="I53" s="166"/>
      <c r="J53" s="267">
        <v>11</v>
      </c>
      <c r="K53" s="46">
        <f t="shared" si="6"/>
        <v>72.727272727272734</v>
      </c>
      <c r="L53" s="46">
        <f t="shared" si="7"/>
        <v>0</v>
      </c>
      <c r="M53" s="46">
        <f t="shared" si="8"/>
        <v>0</v>
      </c>
      <c r="N53" s="67">
        <f t="shared" si="3"/>
        <v>72.727272727272734</v>
      </c>
      <c r="O53" s="45">
        <v>68.099999999999994</v>
      </c>
      <c r="P53" s="46"/>
      <c r="Q53" s="46"/>
      <c r="R53" s="47">
        <f t="shared" si="5"/>
        <v>68.099999999999994</v>
      </c>
      <c r="S53" s="28">
        <v>1</v>
      </c>
      <c r="T53" s="284"/>
      <c r="U53" s="293"/>
      <c r="V53" s="37" t="s">
        <v>1112</v>
      </c>
      <c r="W53" s="28" t="s">
        <v>78</v>
      </c>
      <c r="X53" s="28" t="s">
        <v>11</v>
      </c>
      <c r="Y53" s="38">
        <v>68.099999999999994</v>
      </c>
      <c r="AD53" s="37"/>
      <c r="AG53" s="38"/>
      <c r="AL53" s="37"/>
      <c r="AO53" s="38"/>
      <c r="AP53" s="37"/>
      <c r="AS53" s="38"/>
      <c r="AW53" s="38"/>
      <c r="BA53" s="39"/>
    </row>
    <row r="54" spans="1:53" s="28" customFormat="1" x14ac:dyDescent="0.15">
      <c r="A54" s="28">
        <v>2012</v>
      </c>
      <c r="B54" s="301">
        <v>41062</v>
      </c>
      <c r="C54" s="394" t="s">
        <v>1111</v>
      </c>
      <c r="D54" s="394"/>
      <c r="E54" s="28">
        <f>366-E53-E52</f>
        <v>213</v>
      </c>
      <c r="F54" s="83">
        <v>0</v>
      </c>
      <c r="G54" s="266">
        <v>9</v>
      </c>
      <c r="H54" s="166"/>
      <c r="I54" s="166"/>
      <c r="J54" s="267">
        <v>11</v>
      </c>
      <c r="K54" s="46">
        <f t="shared" si="6"/>
        <v>81.818181818181827</v>
      </c>
      <c r="L54" s="46">
        <f t="shared" si="7"/>
        <v>0</v>
      </c>
      <c r="M54" s="46">
        <f t="shared" si="8"/>
        <v>0</v>
      </c>
      <c r="N54" s="67">
        <f t="shared" si="3"/>
        <v>81.818181818181827</v>
      </c>
      <c r="O54" s="45">
        <v>68.099999999999994</v>
      </c>
      <c r="P54" s="46"/>
      <c r="Q54" s="46"/>
      <c r="R54" s="47">
        <f t="shared" si="5"/>
        <v>68.099999999999994</v>
      </c>
      <c r="S54" s="28">
        <v>1</v>
      </c>
      <c r="T54" s="284"/>
      <c r="U54" s="293"/>
      <c r="V54" s="37" t="s">
        <v>1112</v>
      </c>
      <c r="W54" s="28" t="s">
        <v>79</v>
      </c>
      <c r="X54" s="28" t="s">
        <v>11</v>
      </c>
      <c r="Y54" s="38">
        <v>68.099999999999994</v>
      </c>
      <c r="AD54" s="37"/>
      <c r="AG54" s="38"/>
      <c r="AL54" s="37"/>
      <c r="AO54" s="38"/>
      <c r="AP54" s="37"/>
      <c r="AS54" s="38"/>
      <c r="AW54" s="38"/>
      <c r="BA54" s="39"/>
    </row>
    <row r="55" spans="1:53" s="28" customFormat="1" x14ac:dyDescent="0.15">
      <c r="A55" s="28">
        <v>2013</v>
      </c>
      <c r="B55" s="301"/>
      <c r="C55" s="394" t="s">
        <v>1111</v>
      </c>
      <c r="D55" s="394"/>
      <c r="E55" s="28">
        <v>61</v>
      </c>
      <c r="F55" s="83"/>
      <c r="G55" s="266">
        <v>9</v>
      </c>
      <c r="H55" s="166"/>
      <c r="I55" s="166"/>
      <c r="J55" s="267">
        <v>11</v>
      </c>
      <c r="K55" s="46">
        <f t="shared" si="6"/>
        <v>81.818181818181827</v>
      </c>
      <c r="L55" s="46">
        <f t="shared" si="7"/>
        <v>0</v>
      </c>
      <c r="M55" s="46">
        <f t="shared" si="8"/>
        <v>0</v>
      </c>
      <c r="N55" s="67">
        <f t="shared" si="3"/>
        <v>81.818181818181827</v>
      </c>
      <c r="O55" s="45">
        <v>68.099999999999994</v>
      </c>
      <c r="P55" s="46"/>
      <c r="Q55" s="46"/>
      <c r="R55" s="47">
        <f t="shared" si="5"/>
        <v>68.099999999999994</v>
      </c>
      <c r="S55" s="28">
        <v>1</v>
      </c>
      <c r="T55" s="284"/>
      <c r="U55" s="293"/>
      <c r="V55" s="37" t="s">
        <v>1112</v>
      </c>
      <c r="W55" s="28" t="s">
        <v>78</v>
      </c>
      <c r="X55" s="28" t="s">
        <v>11</v>
      </c>
      <c r="Y55" s="38">
        <v>68.099999999999994</v>
      </c>
      <c r="AD55" s="37"/>
      <c r="AG55" s="38"/>
      <c r="AL55" s="37"/>
      <c r="AO55" s="38"/>
      <c r="AP55" s="37"/>
      <c r="AS55" s="38"/>
      <c r="AW55" s="38"/>
      <c r="BA55" s="39"/>
    </row>
    <row r="56" spans="1:53" s="28" customFormat="1" x14ac:dyDescent="0.15">
      <c r="A56" s="28">
        <v>2013</v>
      </c>
      <c r="B56" s="301">
        <v>41336</v>
      </c>
      <c r="C56" s="394" t="s">
        <v>1111</v>
      </c>
      <c r="D56" s="394"/>
      <c r="E56" s="28">
        <f>365-E55</f>
        <v>304</v>
      </c>
      <c r="F56" s="83">
        <v>0</v>
      </c>
      <c r="G56" s="266">
        <v>8</v>
      </c>
      <c r="H56" s="166"/>
      <c r="I56" s="166"/>
      <c r="J56" s="267">
        <v>10</v>
      </c>
      <c r="K56" s="46">
        <f t="shared" si="6"/>
        <v>80</v>
      </c>
      <c r="L56" s="46">
        <f t="shared" si="7"/>
        <v>0</v>
      </c>
      <c r="M56" s="46">
        <f t="shared" si="8"/>
        <v>0</v>
      </c>
      <c r="N56" s="67">
        <f t="shared" si="3"/>
        <v>80</v>
      </c>
      <c r="O56" s="45">
        <v>68.099999999999994</v>
      </c>
      <c r="P56" s="46"/>
      <c r="Q56" s="46"/>
      <c r="R56" s="47">
        <f t="shared" si="5"/>
        <v>68.099999999999994</v>
      </c>
      <c r="S56" s="28">
        <v>1</v>
      </c>
      <c r="T56" s="284"/>
      <c r="U56" s="293"/>
      <c r="V56" s="37" t="s">
        <v>1112</v>
      </c>
      <c r="W56" s="28" t="s">
        <v>78</v>
      </c>
      <c r="X56" s="28" t="s">
        <v>11</v>
      </c>
      <c r="Y56" s="38">
        <v>68.099999999999994</v>
      </c>
      <c r="AD56" s="37"/>
      <c r="AG56" s="38"/>
      <c r="AL56" s="37"/>
      <c r="AO56" s="38"/>
      <c r="AP56" s="37"/>
      <c r="AS56" s="38"/>
      <c r="AW56" s="38"/>
      <c r="BA56" s="39"/>
    </row>
    <row r="57" spans="1:53" s="28" customFormat="1" x14ac:dyDescent="0.15">
      <c r="A57" s="28">
        <v>2014</v>
      </c>
      <c r="B57" s="301"/>
      <c r="C57" s="394" t="s">
        <v>1111</v>
      </c>
      <c r="D57" s="394"/>
      <c r="E57" s="28">
        <v>123</v>
      </c>
      <c r="F57" s="83"/>
      <c r="G57" s="266">
        <v>8</v>
      </c>
      <c r="H57" s="166"/>
      <c r="I57" s="166"/>
      <c r="J57" s="267">
        <v>10</v>
      </c>
      <c r="K57" s="46">
        <f t="shared" ref="K57:K67" si="9">G57/J57*100</f>
        <v>80</v>
      </c>
      <c r="L57" s="46">
        <f t="shared" ref="L57:L67" si="10">H57/J57*100</f>
        <v>0</v>
      </c>
      <c r="M57" s="46">
        <f t="shared" ref="M57:M67" si="11">I57/J57*100</f>
        <v>0</v>
      </c>
      <c r="N57" s="67">
        <f t="shared" ref="N57:N67" si="12">SUM(K57:M57)</f>
        <v>80</v>
      </c>
      <c r="O57" s="45">
        <v>68.099999999999994</v>
      </c>
      <c r="P57" s="46"/>
      <c r="Q57" s="46"/>
      <c r="R57" s="47">
        <f t="shared" ref="R57:R62" si="13">SUM(O57:Q57)</f>
        <v>68.099999999999994</v>
      </c>
      <c r="S57" s="28">
        <v>1</v>
      </c>
      <c r="T57" s="284"/>
      <c r="U57" s="293"/>
      <c r="V57" s="37" t="s">
        <v>1112</v>
      </c>
      <c r="W57" s="28" t="s">
        <v>78</v>
      </c>
      <c r="X57" s="28" t="s">
        <v>11</v>
      </c>
      <c r="Y57" s="38">
        <v>68.099999999999994</v>
      </c>
      <c r="AD57" s="37"/>
      <c r="AG57" s="38"/>
      <c r="AL57" s="37"/>
      <c r="AO57" s="38"/>
      <c r="AP57" s="37"/>
      <c r="AS57" s="38"/>
      <c r="AW57" s="38"/>
      <c r="BA57" s="39"/>
    </row>
    <row r="58" spans="1:53" s="170" customFormat="1" x14ac:dyDescent="0.15">
      <c r="A58" s="170">
        <v>2014</v>
      </c>
      <c r="B58" s="304">
        <v>41763</v>
      </c>
      <c r="C58" s="395" t="s">
        <v>1286</v>
      </c>
      <c r="D58" s="395"/>
      <c r="E58" s="170">
        <v>242</v>
      </c>
      <c r="F58" s="170">
        <v>1</v>
      </c>
      <c r="G58" s="268">
        <v>7</v>
      </c>
      <c r="H58" s="190"/>
      <c r="I58" s="190"/>
      <c r="J58" s="269">
        <v>11</v>
      </c>
      <c r="K58" s="213">
        <f t="shared" si="9"/>
        <v>63.636363636363633</v>
      </c>
      <c r="L58" s="213">
        <f t="shared" si="10"/>
        <v>0</v>
      </c>
      <c r="M58" s="213">
        <f t="shared" si="11"/>
        <v>0</v>
      </c>
      <c r="N58" s="234">
        <f t="shared" si="12"/>
        <v>63.636363636363633</v>
      </c>
      <c r="O58" s="212">
        <v>66.8</v>
      </c>
      <c r="P58" s="213"/>
      <c r="Q58" s="213"/>
      <c r="R58" s="214">
        <f t="shared" si="13"/>
        <v>66.8</v>
      </c>
      <c r="S58" s="170">
        <v>1</v>
      </c>
      <c r="T58" s="283">
        <v>41735</v>
      </c>
      <c r="U58" s="281">
        <v>41763</v>
      </c>
      <c r="V58" s="177" t="s">
        <v>1112</v>
      </c>
      <c r="W58" s="170" t="s">
        <v>78</v>
      </c>
      <c r="X58" s="170" t="s">
        <v>11</v>
      </c>
      <c r="Y58" s="178">
        <v>66.8</v>
      </c>
      <c r="AD58" s="177"/>
      <c r="AG58" s="178"/>
      <c r="AL58" s="177"/>
      <c r="AO58" s="178"/>
      <c r="AP58" s="177"/>
      <c r="AS58" s="178"/>
      <c r="AW58" s="178"/>
      <c r="BA58" s="179"/>
    </row>
    <row r="59" spans="1:53" s="170" customFormat="1" x14ac:dyDescent="0.15">
      <c r="A59" s="170">
        <v>2015</v>
      </c>
      <c r="B59" s="304"/>
      <c r="C59" s="395" t="s">
        <v>1286</v>
      </c>
      <c r="D59" s="395"/>
      <c r="E59" s="170">
        <v>0</v>
      </c>
      <c r="G59" s="268">
        <v>8</v>
      </c>
      <c r="H59" s="190"/>
      <c r="I59" s="190"/>
      <c r="J59" s="269">
        <v>11</v>
      </c>
      <c r="K59" s="213">
        <f t="shared" si="9"/>
        <v>72.727272727272734</v>
      </c>
      <c r="L59" s="213">
        <f t="shared" si="10"/>
        <v>0</v>
      </c>
      <c r="M59" s="213">
        <f t="shared" si="11"/>
        <v>0</v>
      </c>
      <c r="N59" s="234">
        <f t="shared" si="12"/>
        <v>72.727272727272734</v>
      </c>
      <c r="O59" s="212">
        <v>66.8</v>
      </c>
      <c r="P59" s="213"/>
      <c r="Q59" s="213"/>
      <c r="R59" s="214">
        <f t="shared" si="13"/>
        <v>66.8</v>
      </c>
      <c r="S59" s="170">
        <v>1</v>
      </c>
      <c r="T59" s="283"/>
      <c r="U59" s="281"/>
      <c r="V59" s="177" t="s">
        <v>1112</v>
      </c>
      <c r="W59" s="170" t="s">
        <v>1321</v>
      </c>
      <c r="X59" s="170" t="s">
        <v>11</v>
      </c>
      <c r="Y59" s="178">
        <v>66.8</v>
      </c>
      <c r="AD59" s="177"/>
      <c r="AG59" s="178"/>
      <c r="AL59" s="177"/>
      <c r="AO59" s="178"/>
      <c r="AP59" s="177"/>
      <c r="AS59" s="178"/>
      <c r="AW59" s="178"/>
      <c r="BA59" s="179"/>
    </row>
    <row r="60" spans="1:53" s="170" customFormat="1" x14ac:dyDescent="0.15">
      <c r="A60" s="170">
        <v>2015</v>
      </c>
      <c r="B60" s="304"/>
      <c r="C60" s="395" t="s">
        <v>1286</v>
      </c>
      <c r="D60" s="395"/>
      <c r="E60" s="170">
        <v>365</v>
      </c>
      <c r="G60" s="268">
        <v>8</v>
      </c>
      <c r="H60" s="190"/>
      <c r="I60" s="190"/>
      <c r="J60" s="269">
        <v>11</v>
      </c>
      <c r="K60" s="213">
        <f t="shared" si="9"/>
        <v>72.727272727272734</v>
      </c>
      <c r="L60" s="213">
        <f t="shared" si="10"/>
        <v>0</v>
      </c>
      <c r="M60" s="213">
        <f t="shared" si="11"/>
        <v>0</v>
      </c>
      <c r="N60" s="234">
        <f t="shared" si="12"/>
        <v>72.727272727272734</v>
      </c>
      <c r="O60" s="212">
        <v>66.8</v>
      </c>
      <c r="P60" s="213"/>
      <c r="Q60" s="213"/>
      <c r="R60" s="214">
        <f t="shared" si="13"/>
        <v>66.8</v>
      </c>
      <c r="S60" s="170">
        <v>1</v>
      </c>
      <c r="T60" s="283"/>
      <c r="U60" s="281"/>
      <c r="V60" s="177" t="s">
        <v>1112</v>
      </c>
      <c r="W60" s="170" t="s">
        <v>1321</v>
      </c>
      <c r="X60" s="170" t="s">
        <v>11</v>
      </c>
      <c r="Y60" s="178">
        <v>66.8</v>
      </c>
      <c r="AD60" s="177"/>
      <c r="AG60" s="178"/>
      <c r="AL60" s="177"/>
      <c r="AO60" s="178"/>
      <c r="AP60" s="177"/>
      <c r="AS60" s="178"/>
      <c r="AW60" s="178"/>
      <c r="BA60" s="179"/>
    </row>
    <row r="61" spans="1:53" s="170" customFormat="1" x14ac:dyDescent="0.15">
      <c r="A61" s="170">
        <v>2016</v>
      </c>
      <c r="B61" s="304"/>
      <c r="C61" s="395" t="s">
        <v>1286</v>
      </c>
      <c r="D61" s="395"/>
      <c r="E61" s="170">
        <v>0</v>
      </c>
      <c r="G61" s="268">
        <v>8</v>
      </c>
      <c r="H61" s="190"/>
      <c r="I61" s="190"/>
      <c r="J61" s="269">
        <v>11</v>
      </c>
      <c r="K61" s="213">
        <f t="shared" si="9"/>
        <v>72.727272727272734</v>
      </c>
      <c r="L61" s="213">
        <f t="shared" si="10"/>
        <v>0</v>
      </c>
      <c r="M61" s="213">
        <f t="shared" si="11"/>
        <v>0</v>
      </c>
      <c r="N61" s="234">
        <f t="shared" si="12"/>
        <v>72.727272727272734</v>
      </c>
      <c r="O61" s="212">
        <v>66.8</v>
      </c>
      <c r="P61" s="213"/>
      <c r="Q61" s="213"/>
      <c r="R61" s="214">
        <f t="shared" si="13"/>
        <v>66.8</v>
      </c>
      <c r="S61" s="170">
        <v>1</v>
      </c>
      <c r="T61" s="283"/>
      <c r="U61" s="281"/>
      <c r="V61" s="177" t="s">
        <v>1112</v>
      </c>
      <c r="W61" s="170" t="s">
        <v>1321</v>
      </c>
      <c r="X61" s="170" t="s">
        <v>11</v>
      </c>
      <c r="Y61" s="178">
        <v>66.8</v>
      </c>
      <c r="AD61" s="177"/>
      <c r="AG61" s="178"/>
      <c r="AL61" s="177"/>
      <c r="AO61" s="178"/>
      <c r="AP61" s="177"/>
      <c r="AS61" s="178"/>
      <c r="AW61" s="178"/>
      <c r="BA61" s="179"/>
    </row>
    <row r="62" spans="1:53" s="170" customFormat="1" x14ac:dyDescent="0.15">
      <c r="A62" s="170">
        <v>2016</v>
      </c>
      <c r="B62" s="304"/>
      <c r="C62" s="395" t="s">
        <v>1286</v>
      </c>
      <c r="D62" s="395"/>
      <c r="E62" s="170">
        <v>366</v>
      </c>
      <c r="G62" s="268">
        <v>8</v>
      </c>
      <c r="H62" s="190"/>
      <c r="I62" s="190"/>
      <c r="J62" s="269">
        <v>11</v>
      </c>
      <c r="K62" s="213">
        <f t="shared" si="9"/>
        <v>72.727272727272734</v>
      </c>
      <c r="L62" s="213">
        <f t="shared" si="10"/>
        <v>0</v>
      </c>
      <c r="M62" s="213">
        <f t="shared" si="11"/>
        <v>0</v>
      </c>
      <c r="N62" s="234">
        <f t="shared" si="12"/>
        <v>72.727272727272734</v>
      </c>
      <c r="O62" s="212">
        <v>66.8</v>
      </c>
      <c r="P62" s="213"/>
      <c r="Q62" s="213"/>
      <c r="R62" s="214">
        <f t="shared" si="13"/>
        <v>66.8</v>
      </c>
      <c r="S62" s="170">
        <v>1</v>
      </c>
      <c r="T62" s="283"/>
      <c r="U62" s="281"/>
      <c r="V62" s="177" t="s">
        <v>1112</v>
      </c>
      <c r="W62" s="170" t="s">
        <v>1321</v>
      </c>
      <c r="X62" s="170" t="s">
        <v>11</v>
      </c>
      <c r="Y62" s="178">
        <v>66.8</v>
      </c>
      <c r="AD62" s="177"/>
      <c r="AG62" s="178"/>
      <c r="AL62" s="177"/>
      <c r="AO62" s="178"/>
      <c r="AP62" s="177"/>
      <c r="AS62" s="178"/>
      <c r="AW62" s="178"/>
      <c r="BA62" s="179"/>
    </row>
    <row r="63" spans="1:53" s="170" customFormat="1" x14ac:dyDescent="0.15">
      <c r="A63" s="170">
        <v>2017</v>
      </c>
      <c r="B63" s="304"/>
      <c r="C63" s="395" t="s">
        <v>1286</v>
      </c>
      <c r="D63" s="395"/>
      <c r="E63" s="170">
        <v>121</v>
      </c>
      <c r="G63" s="268">
        <v>8</v>
      </c>
      <c r="H63" s="190"/>
      <c r="I63" s="190"/>
      <c r="J63" s="269">
        <v>11</v>
      </c>
      <c r="K63" s="213">
        <f t="shared" si="9"/>
        <v>72.727272727272734</v>
      </c>
      <c r="L63" s="213">
        <f t="shared" si="10"/>
        <v>0</v>
      </c>
      <c r="M63" s="213">
        <f t="shared" si="11"/>
        <v>0</v>
      </c>
      <c r="N63" s="234">
        <f t="shared" si="12"/>
        <v>72.727272727272734</v>
      </c>
      <c r="O63" s="212">
        <v>66.8</v>
      </c>
      <c r="P63" s="213"/>
      <c r="Q63" s="213"/>
      <c r="R63" s="214">
        <f t="shared" ref="R63:R65" si="14">SUM(O63:Q63)</f>
        <v>66.8</v>
      </c>
      <c r="S63" s="170">
        <v>1</v>
      </c>
      <c r="T63" s="283"/>
      <c r="U63" s="281"/>
      <c r="V63" s="177" t="s">
        <v>1112</v>
      </c>
      <c r="W63" s="170" t="s">
        <v>1321</v>
      </c>
      <c r="X63" s="170" t="s">
        <v>11</v>
      </c>
      <c r="Y63" s="178">
        <v>66.8</v>
      </c>
      <c r="AD63" s="177"/>
      <c r="AG63" s="178"/>
      <c r="AL63" s="177"/>
      <c r="AO63" s="178"/>
      <c r="AP63" s="177"/>
      <c r="AS63" s="178"/>
      <c r="AW63" s="178"/>
      <c r="BA63" s="179"/>
    </row>
    <row r="64" spans="1:53" s="170" customFormat="1" x14ac:dyDescent="0.15">
      <c r="A64" s="170">
        <v>2017</v>
      </c>
      <c r="B64" s="303">
        <v>42857</v>
      </c>
      <c r="C64" s="395" t="s">
        <v>1286</v>
      </c>
      <c r="D64" s="395"/>
      <c r="E64" s="170">
        <v>153</v>
      </c>
      <c r="F64" s="243">
        <v>0</v>
      </c>
      <c r="G64" s="268">
        <v>10</v>
      </c>
      <c r="H64" s="190"/>
      <c r="I64" s="190"/>
      <c r="J64" s="269">
        <v>13</v>
      </c>
      <c r="K64" s="213">
        <f t="shared" si="9"/>
        <v>76.923076923076934</v>
      </c>
      <c r="L64" s="213">
        <f t="shared" si="10"/>
        <v>0</v>
      </c>
      <c r="M64" s="213">
        <f t="shared" si="11"/>
        <v>0</v>
      </c>
      <c r="N64" s="234">
        <f t="shared" si="12"/>
        <v>76.923076923076934</v>
      </c>
      <c r="O64" s="212">
        <v>66.8</v>
      </c>
      <c r="P64" s="213"/>
      <c r="Q64" s="213"/>
      <c r="R64" s="214">
        <f t="shared" si="14"/>
        <v>66.8</v>
      </c>
      <c r="S64" s="170">
        <v>1</v>
      </c>
      <c r="T64" s="283"/>
      <c r="U64" s="281"/>
      <c r="V64" s="177" t="s">
        <v>1112</v>
      </c>
      <c r="W64" s="170" t="s">
        <v>1321</v>
      </c>
      <c r="X64" s="170" t="s">
        <v>11</v>
      </c>
      <c r="Y64" s="178">
        <v>66.8</v>
      </c>
      <c r="AD64" s="177"/>
      <c r="AG64" s="178"/>
      <c r="AL64" s="177"/>
      <c r="AO64" s="178"/>
      <c r="AP64" s="177"/>
      <c r="AS64" s="178"/>
      <c r="AW64" s="178"/>
      <c r="BA64" s="179"/>
    </row>
    <row r="65" spans="1:53" s="170" customFormat="1" x14ac:dyDescent="0.15">
      <c r="A65" s="170">
        <v>2017</v>
      </c>
      <c r="B65" s="303">
        <v>43010</v>
      </c>
      <c r="C65" s="395" t="s">
        <v>1286</v>
      </c>
      <c r="D65" s="395"/>
      <c r="E65" s="170">
        <v>91</v>
      </c>
      <c r="F65" s="243">
        <v>0</v>
      </c>
      <c r="G65" s="268">
        <v>10</v>
      </c>
      <c r="H65" s="190"/>
      <c r="I65" s="190"/>
      <c r="J65" s="269">
        <v>13</v>
      </c>
      <c r="K65" s="213">
        <f t="shared" si="9"/>
        <v>76.923076923076934</v>
      </c>
      <c r="L65" s="213">
        <f t="shared" si="10"/>
        <v>0</v>
      </c>
      <c r="M65" s="213">
        <f t="shared" si="11"/>
        <v>0</v>
      </c>
      <c r="N65" s="234">
        <f t="shared" si="12"/>
        <v>76.923076923076934</v>
      </c>
      <c r="O65" s="212">
        <v>66.8</v>
      </c>
      <c r="P65" s="213"/>
      <c r="Q65" s="213"/>
      <c r="R65" s="214">
        <f t="shared" si="14"/>
        <v>66.8</v>
      </c>
      <c r="S65" s="170">
        <v>1</v>
      </c>
      <c r="T65" s="283"/>
      <c r="U65" s="281"/>
      <c r="V65" s="177" t="s">
        <v>1112</v>
      </c>
      <c r="W65" s="170" t="s">
        <v>1321</v>
      </c>
      <c r="X65" s="170" t="s">
        <v>11</v>
      </c>
      <c r="Y65" s="178">
        <v>66.8</v>
      </c>
      <c r="AD65" s="177"/>
      <c r="AG65" s="178"/>
      <c r="AL65" s="177"/>
      <c r="AO65" s="178"/>
      <c r="AP65" s="177"/>
      <c r="AS65" s="178"/>
      <c r="AW65" s="178"/>
      <c r="BA65" s="179"/>
    </row>
    <row r="66" spans="1:53" s="170" customFormat="1" x14ac:dyDescent="0.15">
      <c r="A66" s="170">
        <v>2018</v>
      </c>
      <c r="B66" s="303"/>
      <c r="C66" s="395" t="s">
        <v>1286</v>
      </c>
      <c r="D66" s="395"/>
      <c r="E66" s="170">
        <v>137</v>
      </c>
      <c r="F66" s="243"/>
      <c r="G66" s="268">
        <v>10</v>
      </c>
      <c r="H66" s="190"/>
      <c r="I66" s="190"/>
      <c r="J66" s="269">
        <v>13</v>
      </c>
      <c r="K66" s="213">
        <f t="shared" si="9"/>
        <v>76.923076923076934</v>
      </c>
      <c r="L66" s="213">
        <f t="shared" si="10"/>
        <v>0</v>
      </c>
      <c r="M66" s="213">
        <f t="shared" si="11"/>
        <v>0</v>
      </c>
      <c r="N66" s="234">
        <f t="shared" si="12"/>
        <v>76.923076923076934</v>
      </c>
      <c r="O66" s="212">
        <v>66.8</v>
      </c>
      <c r="P66" s="213"/>
      <c r="Q66" s="213"/>
      <c r="R66" s="214">
        <f t="shared" ref="R66:R67" si="15">SUM(O66:Q66)</f>
        <v>66.8</v>
      </c>
      <c r="S66" s="170">
        <v>1</v>
      </c>
      <c r="T66" s="283"/>
      <c r="U66" s="281"/>
      <c r="V66" s="177" t="s">
        <v>1112</v>
      </c>
      <c r="W66" s="170" t="s">
        <v>1321</v>
      </c>
      <c r="X66" s="170" t="s">
        <v>11</v>
      </c>
      <c r="Y66" s="178">
        <v>66.8</v>
      </c>
      <c r="AD66" s="177"/>
      <c r="AG66" s="178"/>
      <c r="AL66" s="177"/>
      <c r="AO66" s="178"/>
      <c r="AP66" s="177"/>
      <c r="AS66" s="178"/>
      <c r="AW66" s="178"/>
      <c r="BA66" s="179"/>
    </row>
    <row r="67" spans="1:53" s="28" customFormat="1" x14ac:dyDescent="0.15">
      <c r="A67" s="28">
        <v>2018</v>
      </c>
      <c r="B67" s="275">
        <v>43238</v>
      </c>
      <c r="C67" s="394" t="s">
        <v>1392</v>
      </c>
      <c r="D67" s="394"/>
      <c r="E67" s="28">
        <v>228</v>
      </c>
      <c r="F67" s="83"/>
      <c r="G67" s="266">
        <v>10</v>
      </c>
      <c r="H67" s="166"/>
      <c r="I67" s="166"/>
      <c r="J67" s="267">
        <v>13</v>
      </c>
      <c r="K67" s="46">
        <f t="shared" si="9"/>
        <v>76.923076923076934</v>
      </c>
      <c r="L67" s="46">
        <f t="shared" si="10"/>
        <v>0</v>
      </c>
      <c r="M67" s="46">
        <f t="shared" si="11"/>
        <v>0</v>
      </c>
      <c r="N67" s="67">
        <f t="shared" si="12"/>
        <v>76.923076923076934</v>
      </c>
      <c r="O67" s="45">
        <v>65.8</v>
      </c>
      <c r="P67" s="46"/>
      <c r="Q67" s="46"/>
      <c r="R67" s="47">
        <f t="shared" si="15"/>
        <v>65.8</v>
      </c>
      <c r="S67" s="28">
        <v>1</v>
      </c>
      <c r="T67" s="284">
        <v>43198</v>
      </c>
      <c r="U67" s="275">
        <v>43238</v>
      </c>
      <c r="V67" s="37" t="s">
        <v>1112</v>
      </c>
      <c r="W67" s="28" t="s">
        <v>1321</v>
      </c>
      <c r="X67" s="28" t="s">
        <v>11</v>
      </c>
      <c r="Y67" s="38">
        <v>65.8</v>
      </c>
      <c r="AD67" s="37"/>
      <c r="AG67" s="38"/>
      <c r="AL67" s="37"/>
      <c r="AO67" s="38"/>
      <c r="AP67" s="37"/>
      <c r="AS67" s="38"/>
      <c r="AW67" s="38"/>
      <c r="BA67" s="39"/>
    </row>
    <row r="68" spans="1:53" s="28" customFormat="1" x14ac:dyDescent="0.15">
      <c r="A68" s="28">
        <v>2019</v>
      </c>
      <c r="B68" s="275"/>
      <c r="C68" s="394" t="s">
        <v>1392</v>
      </c>
      <c r="D68" s="394"/>
      <c r="E68" s="28">
        <v>180</v>
      </c>
      <c r="F68" s="83"/>
      <c r="G68" s="266">
        <v>10</v>
      </c>
      <c r="H68" s="166"/>
      <c r="I68" s="166"/>
      <c r="J68" s="267">
        <v>13</v>
      </c>
      <c r="K68" s="46">
        <f t="shared" ref="K68:K77" si="16">G68/J68*100</f>
        <v>76.923076923076934</v>
      </c>
      <c r="L68" s="46">
        <f t="shared" ref="L68:L77" si="17">H68/J68*100</f>
        <v>0</v>
      </c>
      <c r="M68" s="46">
        <f t="shared" ref="M68:M77" si="18">I68/J68*100</f>
        <v>0</v>
      </c>
      <c r="N68" s="67">
        <f t="shared" ref="N68:N77" si="19">SUM(K68:M68)</f>
        <v>76.923076923076934</v>
      </c>
      <c r="O68" s="45">
        <v>65.8</v>
      </c>
      <c r="P68" s="46"/>
      <c r="Q68" s="46"/>
      <c r="R68" s="47">
        <f t="shared" ref="R68:R77" si="20">SUM(O68:Q68)</f>
        <v>65.8</v>
      </c>
      <c r="S68" s="28">
        <v>1</v>
      </c>
      <c r="T68" s="284"/>
      <c r="U68" s="275"/>
      <c r="V68" s="37" t="s">
        <v>1112</v>
      </c>
      <c r="W68" s="28" t="s">
        <v>1321</v>
      </c>
      <c r="X68" s="28" t="s">
        <v>11</v>
      </c>
      <c r="Y68" s="38">
        <v>65.8</v>
      </c>
      <c r="AD68" s="37"/>
      <c r="AG68" s="38"/>
      <c r="AL68" s="37"/>
      <c r="AO68" s="38"/>
      <c r="AP68" s="37"/>
      <c r="AS68" s="38"/>
      <c r="AW68" s="38"/>
      <c r="BA68" s="39"/>
    </row>
    <row r="69" spans="1:53" s="28" customFormat="1" x14ac:dyDescent="0.15">
      <c r="A69" s="28">
        <v>2019</v>
      </c>
      <c r="B69" s="301">
        <v>43646</v>
      </c>
      <c r="C69" s="394" t="s">
        <v>1392</v>
      </c>
      <c r="D69" s="394"/>
      <c r="E69" s="28">
        <v>185</v>
      </c>
      <c r="F69" s="340">
        <v>0</v>
      </c>
      <c r="G69" s="166">
        <v>11</v>
      </c>
      <c r="H69" s="166"/>
      <c r="I69" s="166"/>
      <c r="J69" s="267">
        <v>13</v>
      </c>
      <c r="K69" s="46">
        <f t="shared" si="16"/>
        <v>84.615384615384613</v>
      </c>
      <c r="L69" s="46">
        <f t="shared" si="17"/>
        <v>0</v>
      </c>
      <c r="M69" s="46">
        <f t="shared" si="18"/>
        <v>0</v>
      </c>
      <c r="N69" s="67">
        <f t="shared" si="19"/>
        <v>84.615384615384613</v>
      </c>
      <c r="O69" s="45">
        <v>65.8</v>
      </c>
      <c r="P69" s="46"/>
      <c r="Q69" s="46"/>
      <c r="R69" s="47">
        <f t="shared" si="20"/>
        <v>65.8</v>
      </c>
      <c r="S69" s="36">
        <v>1</v>
      </c>
      <c r="T69" s="319"/>
      <c r="U69" s="275"/>
      <c r="V69" s="37" t="s">
        <v>1112</v>
      </c>
      <c r="W69" s="28" t="s">
        <v>1321</v>
      </c>
      <c r="X69" s="28" t="s">
        <v>11</v>
      </c>
      <c r="Y69" s="38">
        <v>65.8</v>
      </c>
      <c r="AD69" s="37"/>
      <c r="AG69" s="38"/>
      <c r="AL69" s="37"/>
      <c r="AO69" s="38"/>
      <c r="AP69" s="37"/>
      <c r="AS69" s="38"/>
      <c r="AW69" s="38"/>
      <c r="BA69" s="39"/>
    </row>
    <row r="70" spans="1:53" s="28" customFormat="1" x14ac:dyDescent="0.15">
      <c r="A70" s="28">
        <v>2020</v>
      </c>
      <c r="B70" s="301"/>
      <c r="C70" s="394" t="s">
        <v>1392</v>
      </c>
      <c r="D70" s="394"/>
      <c r="E70" s="28">
        <v>273</v>
      </c>
      <c r="F70" s="340"/>
      <c r="G70" s="166">
        <v>11</v>
      </c>
      <c r="H70" s="166"/>
      <c r="I70" s="166"/>
      <c r="J70" s="267">
        <v>13</v>
      </c>
      <c r="K70" s="46">
        <f t="shared" si="16"/>
        <v>84.615384615384613</v>
      </c>
      <c r="L70" s="46">
        <f t="shared" si="17"/>
        <v>0</v>
      </c>
      <c r="M70" s="46">
        <f t="shared" si="18"/>
        <v>0</v>
      </c>
      <c r="N70" s="67">
        <f t="shared" si="19"/>
        <v>84.615384615384613</v>
      </c>
      <c r="O70" s="45">
        <v>65.8</v>
      </c>
      <c r="P70" s="46"/>
      <c r="Q70" s="46"/>
      <c r="R70" s="47">
        <f t="shared" si="20"/>
        <v>65.8</v>
      </c>
      <c r="S70" s="36">
        <v>1</v>
      </c>
      <c r="T70" s="284"/>
      <c r="U70" s="341"/>
      <c r="V70" s="28" t="s">
        <v>1112</v>
      </c>
      <c r="W70" s="28" t="s">
        <v>1321</v>
      </c>
      <c r="X70" s="28" t="s">
        <v>11</v>
      </c>
      <c r="Y70" s="38">
        <v>65.8</v>
      </c>
      <c r="AC70" s="38"/>
      <c r="AG70" s="38"/>
      <c r="AK70" s="38"/>
      <c r="AO70" s="38"/>
      <c r="AS70" s="38"/>
      <c r="AW70" s="38"/>
      <c r="BA70" s="39"/>
    </row>
    <row r="71" spans="1:53" s="28" customFormat="1" x14ac:dyDescent="0.15">
      <c r="A71" s="28">
        <v>2020</v>
      </c>
      <c r="B71" s="301">
        <v>44104</v>
      </c>
      <c r="C71" s="394" t="s">
        <v>1392</v>
      </c>
      <c r="D71" s="394"/>
      <c r="E71" s="28">
        <v>93</v>
      </c>
      <c r="F71" s="340">
        <v>0</v>
      </c>
      <c r="G71" s="166">
        <v>12</v>
      </c>
      <c r="H71" s="166"/>
      <c r="I71" s="166"/>
      <c r="J71" s="267">
        <v>14</v>
      </c>
      <c r="K71" s="46">
        <f t="shared" si="16"/>
        <v>85.714285714285708</v>
      </c>
      <c r="L71" s="46">
        <f t="shared" si="17"/>
        <v>0</v>
      </c>
      <c r="M71" s="46">
        <f t="shared" si="18"/>
        <v>0</v>
      </c>
      <c r="N71" s="67">
        <f t="shared" si="19"/>
        <v>85.714285714285708</v>
      </c>
      <c r="O71" s="45">
        <v>65.8</v>
      </c>
      <c r="P71" s="46"/>
      <c r="Q71" s="46"/>
      <c r="R71" s="47">
        <f t="shared" si="20"/>
        <v>65.8</v>
      </c>
      <c r="S71" s="36">
        <v>1</v>
      </c>
      <c r="T71" s="284"/>
      <c r="U71" s="342"/>
      <c r="V71" s="28" t="s">
        <v>1112</v>
      </c>
      <c r="W71" s="28" t="s">
        <v>1321</v>
      </c>
      <c r="X71" s="28" t="s">
        <v>11</v>
      </c>
      <c r="Y71" s="38">
        <v>65.8</v>
      </c>
      <c r="AC71" s="38"/>
      <c r="AG71" s="38"/>
      <c r="AK71" s="38"/>
      <c r="AO71" s="38"/>
      <c r="AS71" s="38"/>
      <c r="AW71" s="38"/>
      <c r="BA71" s="39"/>
    </row>
    <row r="72" spans="1:53" s="28" customFormat="1" x14ac:dyDescent="0.15">
      <c r="A72" s="28">
        <v>2021</v>
      </c>
      <c r="B72" s="301"/>
      <c r="C72" s="394" t="s">
        <v>1392</v>
      </c>
      <c r="D72" s="394"/>
      <c r="E72" s="28">
        <v>0</v>
      </c>
      <c r="F72" s="340"/>
      <c r="G72" s="166">
        <v>12</v>
      </c>
      <c r="H72" s="166"/>
      <c r="I72" s="166"/>
      <c r="J72" s="267">
        <v>14</v>
      </c>
      <c r="K72" s="46">
        <f t="shared" si="16"/>
        <v>85.714285714285708</v>
      </c>
      <c r="L72" s="46">
        <f t="shared" si="17"/>
        <v>0</v>
      </c>
      <c r="M72" s="46">
        <f t="shared" si="18"/>
        <v>0</v>
      </c>
      <c r="N72" s="67">
        <f t="shared" si="19"/>
        <v>85.714285714285708</v>
      </c>
      <c r="O72" s="45">
        <v>65.8</v>
      </c>
      <c r="P72" s="46"/>
      <c r="Q72" s="46"/>
      <c r="R72" s="47">
        <f t="shared" si="20"/>
        <v>65.8</v>
      </c>
      <c r="S72" s="36">
        <v>1</v>
      </c>
      <c r="T72" s="284"/>
      <c r="U72" s="342"/>
      <c r="V72" s="28" t="s">
        <v>1112</v>
      </c>
      <c r="W72" s="28" t="s">
        <v>1321</v>
      </c>
      <c r="X72" s="28" t="s">
        <v>11</v>
      </c>
      <c r="Y72" s="38">
        <v>65.8</v>
      </c>
      <c r="AC72" s="38"/>
      <c r="AG72" s="38"/>
      <c r="AK72" s="38"/>
      <c r="AO72" s="38"/>
      <c r="AS72" s="38"/>
      <c r="AW72" s="38"/>
      <c r="BA72" s="39"/>
    </row>
    <row r="73" spans="1:53" s="28" customFormat="1" x14ac:dyDescent="0.15">
      <c r="A73" s="28">
        <v>2021</v>
      </c>
      <c r="B73" s="301"/>
      <c r="C73" s="394" t="s">
        <v>1392</v>
      </c>
      <c r="D73" s="394"/>
      <c r="E73" s="28">
        <v>365</v>
      </c>
      <c r="F73" s="340"/>
      <c r="G73" s="166">
        <v>12</v>
      </c>
      <c r="H73" s="166"/>
      <c r="I73" s="166"/>
      <c r="J73" s="267">
        <v>14</v>
      </c>
      <c r="K73" s="46">
        <f t="shared" si="16"/>
        <v>85.714285714285708</v>
      </c>
      <c r="L73" s="46">
        <f t="shared" si="17"/>
        <v>0</v>
      </c>
      <c r="M73" s="46">
        <f t="shared" si="18"/>
        <v>0</v>
      </c>
      <c r="N73" s="67">
        <f t="shared" si="19"/>
        <v>85.714285714285708</v>
      </c>
      <c r="O73" s="45">
        <v>65.8</v>
      </c>
      <c r="P73" s="46"/>
      <c r="Q73" s="46"/>
      <c r="R73" s="47">
        <f t="shared" si="20"/>
        <v>65.8</v>
      </c>
      <c r="S73" s="36">
        <v>1</v>
      </c>
      <c r="T73" s="284"/>
      <c r="U73" s="342"/>
      <c r="V73" s="28" t="s">
        <v>1112</v>
      </c>
      <c r="W73" s="28" t="s">
        <v>1321</v>
      </c>
      <c r="X73" s="28" t="s">
        <v>11</v>
      </c>
      <c r="Y73" s="38">
        <v>65.8</v>
      </c>
      <c r="AC73" s="38"/>
      <c r="AG73" s="38"/>
      <c r="AK73" s="38"/>
      <c r="AO73" s="38"/>
      <c r="AS73" s="38"/>
      <c r="AW73" s="38"/>
      <c r="BA73" s="39"/>
    </row>
    <row r="74" spans="1:53" s="28" customFormat="1" x14ac:dyDescent="0.15">
      <c r="A74" s="28">
        <v>2022</v>
      </c>
      <c r="B74" s="301">
        <v>44562</v>
      </c>
      <c r="C74" s="394" t="s">
        <v>1392</v>
      </c>
      <c r="D74" s="394"/>
      <c r="E74" s="28">
        <v>143</v>
      </c>
      <c r="F74" s="340">
        <v>0</v>
      </c>
      <c r="G74" s="166">
        <v>11</v>
      </c>
      <c r="H74" s="166"/>
      <c r="I74" s="166"/>
      <c r="J74" s="267">
        <v>13</v>
      </c>
      <c r="K74" s="46">
        <f t="shared" si="16"/>
        <v>84.615384615384613</v>
      </c>
      <c r="L74" s="46">
        <f t="shared" si="17"/>
        <v>0</v>
      </c>
      <c r="M74" s="46">
        <f t="shared" si="18"/>
        <v>0</v>
      </c>
      <c r="N74" s="67">
        <f t="shared" si="19"/>
        <v>84.615384615384613</v>
      </c>
      <c r="O74" s="45">
        <v>65.8</v>
      </c>
      <c r="P74" s="46"/>
      <c r="Q74" s="46"/>
      <c r="R74" s="47">
        <f t="shared" si="20"/>
        <v>65.8</v>
      </c>
      <c r="S74" s="36">
        <v>1</v>
      </c>
      <c r="T74" s="284"/>
      <c r="U74" s="342"/>
      <c r="V74" s="28" t="s">
        <v>1112</v>
      </c>
      <c r="W74" s="28" t="s">
        <v>1321</v>
      </c>
      <c r="X74" s="28" t="s">
        <v>11</v>
      </c>
      <c r="Y74" s="38">
        <v>65.8</v>
      </c>
      <c r="AC74" s="38"/>
      <c r="AG74" s="38"/>
      <c r="AK74" s="38"/>
      <c r="AO74" s="38"/>
      <c r="AS74" s="38"/>
      <c r="AW74" s="38"/>
      <c r="BA74" s="39"/>
    </row>
    <row r="75" spans="1:53" s="170" customFormat="1" x14ac:dyDescent="0.15">
      <c r="A75" s="170">
        <v>2022</v>
      </c>
      <c r="B75" s="281">
        <v>44705</v>
      </c>
      <c r="C75" s="395" t="s">
        <v>1520</v>
      </c>
      <c r="D75" s="395"/>
      <c r="E75" s="170">
        <v>170</v>
      </c>
      <c r="F75" s="170">
        <v>1</v>
      </c>
      <c r="G75" s="232">
        <v>9</v>
      </c>
      <c r="J75" s="240">
        <v>14</v>
      </c>
      <c r="K75" s="213">
        <f t="shared" si="16"/>
        <v>64.285714285714292</v>
      </c>
      <c r="L75" s="213">
        <f t="shared" si="17"/>
        <v>0</v>
      </c>
      <c r="M75" s="213">
        <f t="shared" si="18"/>
        <v>0</v>
      </c>
      <c r="N75" s="234">
        <f t="shared" si="19"/>
        <v>64.285714285714292</v>
      </c>
      <c r="O75" s="212">
        <v>67.3</v>
      </c>
      <c r="P75" s="213"/>
      <c r="Q75" s="213"/>
      <c r="R75" s="214">
        <f t="shared" si="20"/>
        <v>67.3</v>
      </c>
      <c r="S75" s="170">
        <v>1</v>
      </c>
      <c r="T75" s="283">
        <v>44654</v>
      </c>
      <c r="U75" s="281">
        <v>44705</v>
      </c>
      <c r="V75" s="177" t="s">
        <v>1112</v>
      </c>
      <c r="W75" s="170" t="s">
        <v>1321</v>
      </c>
      <c r="X75" s="170" t="s">
        <v>11</v>
      </c>
      <c r="Y75" s="178">
        <v>67.3</v>
      </c>
      <c r="AD75" s="177"/>
      <c r="AG75" s="178"/>
      <c r="AL75" s="177"/>
      <c r="AO75" s="178"/>
      <c r="AP75" s="177"/>
      <c r="AS75" s="178"/>
      <c r="AW75" s="178"/>
      <c r="BA75" s="179"/>
    </row>
    <row r="76" spans="1:53" s="170" customFormat="1" x14ac:dyDescent="0.15">
      <c r="A76" s="170">
        <v>2022</v>
      </c>
      <c r="B76" s="299">
        <v>44874</v>
      </c>
      <c r="C76" s="395" t="s">
        <v>1520</v>
      </c>
      <c r="D76" s="395"/>
      <c r="E76" s="170">
        <v>22</v>
      </c>
      <c r="F76" s="191">
        <v>0</v>
      </c>
      <c r="G76" s="232">
        <v>8</v>
      </c>
      <c r="J76" s="240">
        <v>13</v>
      </c>
      <c r="K76" s="213">
        <f t="shared" si="16"/>
        <v>61.53846153846154</v>
      </c>
      <c r="L76" s="213">
        <f t="shared" si="17"/>
        <v>0</v>
      </c>
      <c r="M76" s="213">
        <f t="shared" si="18"/>
        <v>0</v>
      </c>
      <c r="N76" s="234">
        <f t="shared" si="19"/>
        <v>61.53846153846154</v>
      </c>
      <c r="O76" s="212">
        <v>67.3</v>
      </c>
      <c r="P76" s="213"/>
      <c r="Q76" s="213"/>
      <c r="R76" s="214">
        <f t="shared" si="20"/>
        <v>67.3</v>
      </c>
      <c r="S76" s="170">
        <v>1</v>
      </c>
      <c r="T76" s="283"/>
      <c r="U76" s="281"/>
      <c r="V76" s="177" t="s">
        <v>1112</v>
      </c>
      <c r="W76" s="170" t="s">
        <v>1321</v>
      </c>
      <c r="X76" s="170" t="s">
        <v>11</v>
      </c>
      <c r="Y76" s="178">
        <v>67.3</v>
      </c>
      <c r="AD76" s="177"/>
      <c r="AG76" s="178"/>
      <c r="AL76" s="177"/>
      <c r="AO76" s="178"/>
      <c r="AP76" s="177"/>
      <c r="AS76" s="178"/>
      <c r="AW76" s="178"/>
      <c r="BA76" s="179"/>
    </row>
    <row r="77" spans="1:53" s="170" customFormat="1" x14ac:dyDescent="0.15">
      <c r="A77" s="170">
        <v>2022</v>
      </c>
      <c r="B77" s="299">
        <v>44896</v>
      </c>
      <c r="C77" s="395" t="s">
        <v>1520</v>
      </c>
      <c r="D77" s="395"/>
      <c r="E77" s="170">
        <v>30</v>
      </c>
      <c r="F77" s="191">
        <v>0</v>
      </c>
      <c r="G77" s="232">
        <v>8</v>
      </c>
      <c r="J77" s="240">
        <v>14</v>
      </c>
      <c r="K77" s="213">
        <f t="shared" si="16"/>
        <v>57.142857142857139</v>
      </c>
      <c r="L77" s="213">
        <f t="shared" si="17"/>
        <v>0</v>
      </c>
      <c r="M77" s="213">
        <f t="shared" si="18"/>
        <v>0</v>
      </c>
      <c r="N77" s="234">
        <f t="shared" si="19"/>
        <v>57.142857142857139</v>
      </c>
      <c r="O77" s="212">
        <v>67.3</v>
      </c>
      <c r="P77" s="213"/>
      <c r="Q77" s="213"/>
      <c r="R77" s="214">
        <f t="shared" si="20"/>
        <v>67.3</v>
      </c>
      <c r="S77" s="170">
        <v>1</v>
      </c>
      <c r="T77" s="283"/>
      <c r="U77" s="281"/>
      <c r="V77" s="177" t="s">
        <v>1112</v>
      </c>
      <c r="W77" s="170" t="s">
        <v>1321</v>
      </c>
      <c r="X77" s="170" t="s">
        <v>11</v>
      </c>
      <c r="Y77" s="178">
        <v>67.3</v>
      </c>
      <c r="AD77" s="177"/>
      <c r="AG77" s="178"/>
      <c r="AL77" s="177"/>
      <c r="AO77" s="178"/>
      <c r="AP77" s="177"/>
      <c r="AS77" s="178"/>
      <c r="AW77" s="178"/>
      <c r="BA77" s="179"/>
    </row>
    <row r="78" spans="1:53" ht="18" customHeight="1" x14ac:dyDescent="0.15">
      <c r="B78" s="15" t="s">
        <v>1262</v>
      </c>
      <c r="AC78" s="16"/>
      <c r="AS78" s="16"/>
    </row>
    <row r="79" spans="1:53" ht="9" customHeight="1" x14ac:dyDescent="0.15"/>
    <row r="80" spans="1:53" s="194" customFormat="1" ht="9" customHeight="1" x14ac:dyDescent="0.15">
      <c r="A80" s="192"/>
      <c r="B80" s="193" t="s">
        <v>1213</v>
      </c>
      <c r="C80" s="193"/>
      <c r="D80" s="193"/>
      <c r="E80" s="193"/>
      <c r="F80" s="193"/>
      <c r="G80" s="193" t="s">
        <v>1214</v>
      </c>
      <c r="H80" s="193"/>
      <c r="I80" s="193"/>
      <c r="J80" s="193"/>
      <c r="K80" s="193"/>
      <c r="L80" s="193"/>
      <c r="M80" s="193"/>
      <c r="N80" s="193"/>
      <c r="R80" s="386" t="s">
        <v>1215</v>
      </c>
      <c r="S80" s="386"/>
      <c r="T80" s="386"/>
      <c r="U80" s="386"/>
      <c r="V80" s="386"/>
      <c r="W80" s="386"/>
      <c r="X80" s="195"/>
      <c r="Y80" s="195"/>
      <c r="AA80" s="195"/>
      <c r="AB80" s="195"/>
      <c r="AC80" s="195"/>
      <c r="AD80" s="195"/>
    </row>
    <row r="81" spans="1:30" s="199" customFormat="1" ht="9" customHeight="1" x14ac:dyDescent="0.15">
      <c r="A81" s="196"/>
      <c r="B81" s="197" t="s">
        <v>1217</v>
      </c>
      <c r="C81" s="198"/>
      <c r="D81" s="198"/>
      <c r="E81" s="198"/>
      <c r="F81" s="198"/>
      <c r="G81" s="197" t="s">
        <v>1216</v>
      </c>
      <c r="H81" s="198"/>
      <c r="I81" s="198"/>
      <c r="J81" s="198"/>
      <c r="K81" s="198"/>
      <c r="L81" s="198"/>
      <c r="M81" s="198"/>
      <c r="N81" s="198"/>
      <c r="R81" s="200" t="s">
        <v>1218</v>
      </c>
      <c r="S81" s="201"/>
      <c r="T81" s="202"/>
      <c r="U81" s="202"/>
      <c r="V81" s="202"/>
      <c r="W81" s="200" t="s">
        <v>1219</v>
      </c>
      <c r="X81" s="202"/>
      <c r="Y81" s="202"/>
      <c r="AA81" s="202"/>
      <c r="AB81" s="202"/>
      <c r="AC81" s="202"/>
      <c r="AD81" s="202"/>
    </row>
    <row r="82" spans="1:30" s="185" customFormat="1" ht="12" customHeight="1" x14ac:dyDescent="0.15">
      <c r="A82" s="203" t="s">
        <v>3</v>
      </c>
      <c r="B82" s="204" t="s">
        <v>8</v>
      </c>
      <c r="C82" s="204" t="s">
        <v>9</v>
      </c>
      <c r="D82" s="204" t="s">
        <v>10</v>
      </c>
      <c r="E82" s="205" t="s">
        <v>1193</v>
      </c>
      <c r="F82" s="204"/>
      <c r="G82" s="185" t="s">
        <v>3</v>
      </c>
      <c r="H82" s="387" t="s">
        <v>0</v>
      </c>
      <c r="I82" s="387"/>
      <c r="J82" s="387" t="s">
        <v>1</v>
      </c>
      <c r="K82" s="387"/>
      <c r="L82" s="387" t="s">
        <v>2</v>
      </c>
      <c r="M82" s="387"/>
      <c r="N82" s="388" t="s">
        <v>1193</v>
      </c>
      <c r="O82" s="388"/>
      <c r="P82" s="206"/>
      <c r="Q82" s="206"/>
      <c r="R82" s="207" t="s">
        <v>3</v>
      </c>
      <c r="S82" s="208" t="s">
        <v>135</v>
      </c>
      <c r="T82" s="206" t="s">
        <v>133</v>
      </c>
      <c r="U82" s="204" t="s">
        <v>134</v>
      </c>
      <c r="V82" s="206"/>
      <c r="W82" s="209" t="s">
        <v>26</v>
      </c>
    </row>
    <row r="83" spans="1:30" x14ac:dyDescent="0.15">
      <c r="A83" s="1">
        <v>1990</v>
      </c>
      <c r="B83" s="5">
        <f>(K7*($E7/223))+(K8*($E8/223))</f>
        <v>53.185522497882801</v>
      </c>
      <c r="C83" s="5">
        <f>(L7*($E7/223))+(L8*($E8/223))</f>
        <v>5.8518096877646499</v>
      </c>
      <c r="D83" s="5">
        <f>(M7*($E7/223))+(M8*($E8/223))</f>
        <v>23.4072387510586</v>
      </c>
      <c r="E83" s="17">
        <f>SUM(B83:D83)</f>
        <v>82.444570936706043</v>
      </c>
      <c r="G83" s="1">
        <v>1990</v>
      </c>
      <c r="H83" s="406">
        <f>(O7/$R7*100*($E7/223))+(O8/$R8*100*($E8/223))</f>
        <v>71.669477234401356</v>
      </c>
      <c r="I83" s="406"/>
      <c r="J83" s="406">
        <f>(P7/$R7*100*($E7/223))+(P8/$R8*100*($E8/223))</f>
        <v>9.1062394603709951</v>
      </c>
      <c r="K83" s="406"/>
      <c r="L83" s="406">
        <f>(Q7/$R7*100*($E7/223))+(Q8/$R8*100*($E8/223))</f>
        <v>19.224283305227658</v>
      </c>
      <c r="M83" s="406"/>
      <c r="N83" s="363">
        <f>SUM(H83:M83)</f>
        <v>100.00000000000001</v>
      </c>
      <c r="O83" s="363"/>
      <c r="R83" s="1">
        <v>1990</v>
      </c>
      <c r="S83" s="5">
        <f>(O7*($E7/223))+(O8*($E8/223))</f>
        <v>42.5</v>
      </c>
      <c r="T83" s="5">
        <f>(P7*($E7/223))+(P8*($E8/223))</f>
        <v>5.4</v>
      </c>
      <c r="U83" s="5">
        <f>(Q7*($E7/223))+(Q8*($E8/223))</f>
        <v>11.4</v>
      </c>
      <c r="W83" s="5">
        <f t="shared" ref="W83:W104" si="21">SUM(S83:U83)</f>
        <v>59.3</v>
      </c>
      <c r="Y83" s="26" t="s">
        <v>1136</v>
      </c>
    </row>
    <row r="84" spans="1:30" x14ac:dyDescent="0.15">
      <c r="A84" s="1">
        <v>1991</v>
      </c>
      <c r="B84" s="5">
        <f>(K9*($E9/365))+(K10*($E10/365))</f>
        <v>57.894736842105267</v>
      </c>
      <c r="C84" s="5">
        <f>(L9*($E9/365))+(L10*($E10/365))</f>
        <v>5.2631578947368416</v>
      </c>
      <c r="D84" s="5">
        <f>(M9*($E9/365))+(M10*($E10/365))</f>
        <v>21.052631578947366</v>
      </c>
      <c r="E84" s="17">
        <f t="shared" ref="E84:E104" si="22">SUM(B84:D84)</f>
        <v>84.21052631578948</v>
      </c>
      <c r="G84" s="1">
        <v>1991</v>
      </c>
      <c r="H84" s="392">
        <f>(O9/$R9*100*($E9/365))+(O10/$R10*100*($E10/365))</f>
        <v>71.669477234401356</v>
      </c>
      <c r="I84" s="392"/>
      <c r="J84" s="392">
        <f>(P9/$R9*100*($E9/365))+(P10/$R10*100*($E10/365))</f>
        <v>9.1062394603709969</v>
      </c>
      <c r="K84" s="392"/>
      <c r="L84" s="392">
        <f>(Q9/$R9*100*($E9/365))+(Q10/$R10*100*($E10/365))</f>
        <v>19.224283305227658</v>
      </c>
      <c r="M84" s="392"/>
      <c r="N84" s="363">
        <f t="shared" ref="N84:N105" si="23">SUM(H84:M84)</f>
        <v>100.00000000000001</v>
      </c>
      <c r="O84" s="363"/>
      <c r="R84" s="1">
        <v>1991</v>
      </c>
      <c r="S84" s="5">
        <f>(O9*($E9/365))+(O10*($E10/365))</f>
        <v>42.5</v>
      </c>
      <c r="T84" s="5">
        <f>(P9*($E9/365))+(P10*($E10/365))</f>
        <v>5.4</v>
      </c>
      <c r="U84" s="5">
        <f>(Q9*($E9/365))+(Q10*($E10/365))</f>
        <v>11.4</v>
      </c>
      <c r="W84" s="5">
        <f t="shared" si="21"/>
        <v>59.3</v>
      </c>
    </row>
    <row r="85" spans="1:30" x14ac:dyDescent="0.15">
      <c r="A85" s="1">
        <v>1992</v>
      </c>
      <c r="B85" s="5">
        <f>(K11*($E11/366))+(K12*($E12/366))</f>
        <v>57.89473684210526</v>
      </c>
      <c r="C85" s="5">
        <f>(L11*($E11/366))+(L12*($E12/366))</f>
        <v>5.2631578947368416</v>
      </c>
      <c r="D85" s="5">
        <f>(M11*($E11/366))+(M12*($E12/366))</f>
        <v>21.052631578947366</v>
      </c>
      <c r="E85" s="17">
        <f t="shared" si="22"/>
        <v>84.210526315789465</v>
      </c>
      <c r="G85" s="1">
        <v>1992</v>
      </c>
      <c r="H85" s="392">
        <f>(O11/$R11*100*($E11/366))+(O12/$R12*100*($E12/366))</f>
        <v>71.669477234401356</v>
      </c>
      <c r="I85" s="392"/>
      <c r="J85" s="392">
        <f>(P11/$R11*100*($E11/366))+(P12/$R12*100*($E12/366))</f>
        <v>9.1062394603709969</v>
      </c>
      <c r="K85" s="392"/>
      <c r="L85" s="392">
        <f>(Q11/$R11*100*($E11/366))+(Q12/$R12*100*($E12/366))</f>
        <v>19.224283305227658</v>
      </c>
      <c r="M85" s="392"/>
      <c r="N85" s="363">
        <f t="shared" si="23"/>
        <v>100.00000000000001</v>
      </c>
      <c r="O85" s="363"/>
      <c r="R85" s="1">
        <v>1992</v>
      </c>
      <c r="S85" s="5">
        <f>(O11*($E11/366))+(O12*($E12/366))</f>
        <v>42.499999999999993</v>
      </c>
      <c r="T85" s="5">
        <f>(P11*($E11/366))+(P12*($E12/366))</f>
        <v>5.4</v>
      </c>
      <c r="U85" s="5">
        <f>(Q11*($E11/366))+(Q12*($E12/366))</f>
        <v>11.4</v>
      </c>
      <c r="W85" s="5">
        <f t="shared" si="21"/>
        <v>59.29999999999999</v>
      </c>
    </row>
    <row r="86" spans="1:30" x14ac:dyDescent="0.15">
      <c r="A86" s="1">
        <v>1993</v>
      </c>
      <c r="B86" s="5">
        <f>(K13*($E13/365))+(K14*($E14/365))</f>
        <v>58.03352559480895</v>
      </c>
      <c r="C86" s="5">
        <f>(L13*($E13/365))+(L14*($E14/365))</f>
        <v>5.6696106705118954</v>
      </c>
      <c r="D86" s="5">
        <f>(M13*($E13/365))+(M14*($E14/365))</f>
        <v>20.983237202595529</v>
      </c>
      <c r="E86" s="17">
        <f t="shared" si="22"/>
        <v>84.686373467916368</v>
      </c>
      <c r="G86" s="1">
        <v>1993</v>
      </c>
      <c r="H86" s="392">
        <f>(O13/$R13*100*($E13/365))+(O14/$R14*100*($E14/365))</f>
        <v>71.669477234401356</v>
      </c>
      <c r="I86" s="392"/>
      <c r="J86" s="392">
        <f>(P13/$R13*100*($E13/365))+(P14/$R14*100*($E14/365))</f>
        <v>9.1062394603709969</v>
      </c>
      <c r="K86" s="392"/>
      <c r="L86" s="392">
        <f>(Q13/$R13*100*($E13/365))+(Q14/$R14*100*($E14/365))</f>
        <v>19.224283305227658</v>
      </c>
      <c r="M86" s="392"/>
      <c r="N86" s="363">
        <f t="shared" si="23"/>
        <v>100.00000000000001</v>
      </c>
      <c r="O86" s="363"/>
      <c r="R86" s="1">
        <v>1993</v>
      </c>
      <c r="S86" s="5">
        <f>(O13*($E13/365))+(O14*($E14/365))</f>
        <v>42.5</v>
      </c>
      <c r="T86" s="5">
        <f>(P13*($E13/365))+(P14*($E14/365))</f>
        <v>5.4</v>
      </c>
      <c r="U86" s="5">
        <f>(Q13*($E13/365))+(Q14*($E14/365))</f>
        <v>11.4</v>
      </c>
      <c r="W86" s="5">
        <f t="shared" si="21"/>
        <v>59.3</v>
      </c>
    </row>
    <row r="87" spans="1:30" x14ac:dyDescent="0.15">
      <c r="A87" s="1">
        <v>1994</v>
      </c>
      <c r="B87" s="5">
        <f>(K15*($E15/365))+(K16*($E16/365))</f>
        <v>43.370841487279847</v>
      </c>
      <c r="C87" s="5">
        <f>(L15*($E15/365))+(L16*($E16/365))</f>
        <v>10.017123287671234</v>
      </c>
      <c r="D87" s="5">
        <f>(M15*($E15/365))+(M16*($E16/365))</f>
        <v>46.61203522504892</v>
      </c>
      <c r="E87" s="17">
        <f t="shared" si="22"/>
        <v>100</v>
      </c>
      <c r="G87" s="1">
        <v>1994</v>
      </c>
      <c r="H87" s="392">
        <f>(O15/$R15*100*($E15/365))+(O16/$R16*100*($E16/365))</f>
        <v>49.868320409855215</v>
      </c>
      <c r="I87" s="392"/>
      <c r="J87" s="392">
        <f>(P15/$R15*100*($E15/365))+(P16/$R16*100*($E16/365))</f>
        <v>4.8649772459516285</v>
      </c>
      <c r="K87" s="392"/>
      <c r="L87" s="392">
        <f>(Q15/$R15*100*($E15/365))+(Q16/$R16*100*($E16/365))</f>
        <v>45.266702344193163</v>
      </c>
      <c r="M87" s="392"/>
      <c r="N87" s="363">
        <f t="shared" si="23"/>
        <v>100</v>
      </c>
      <c r="O87" s="363"/>
      <c r="R87" s="1">
        <v>1994</v>
      </c>
      <c r="S87" s="5">
        <f>(O15*($E15/365))+(O16*($E16/365))</f>
        <v>31.042465753424658</v>
      </c>
      <c r="T87" s="5">
        <f>(P15*($E15/365))+(P16*($E16/365))</f>
        <v>2.8849315068493153</v>
      </c>
      <c r="U87" s="5">
        <f>(Q15*($E15/365))+(Q16*($E16/365))</f>
        <v>31.287671232876711</v>
      </c>
      <c r="W87" s="5">
        <f t="shared" si="21"/>
        <v>65.215068493150682</v>
      </c>
    </row>
    <row r="88" spans="1:30" x14ac:dyDescent="0.15">
      <c r="A88" s="1">
        <v>1995</v>
      </c>
      <c r="B88" s="5">
        <f>(K17*($E17/365))+(K18*($E18/365))</f>
        <v>20.230919765166341</v>
      </c>
      <c r="C88" s="5">
        <f>(L17*($E17/365))+(L18*($E18/365))</f>
        <v>0</v>
      </c>
      <c r="D88" s="5">
        <f>(M17*($E17/365))+(M18*($E18/365))</f>
        <v>79.769080234833652</v>
      </c>
      <c r="E88" s="17">
        <f t="shared" si="22"/>
        <v>100</v>
      </c>
      <c r="G88" s="1">
        <v>1995</v>
      </c>
      <c r="H88" s="392">
        <f>(O17/$R17*100*($E17/365))+(O18/$R18*100*($E18/365))</f>
        <v>24.861111111111107</v>
      </c>
      <c r="I88" s="392"/>
      <c r="J88" s="392">
        <f>(P17/$R17*100*($E17/365))+(P18/$R18*100*($E18/365))</f>
        <v>0</v>
      </c>
      <c r="K88" s="392"/>
      <c r="L88" s="392">
        <f>(Q17/$R17*100*($E17/365))+(Q18/$R18*100*($E18/365))</f>
        <v>75.138888888888886</v>
      </c>
      <c r="M88" s="392"/>
      <c r="N88" s="363">
        <f t="shared" si="23"/>
        <v>100</v>
      </c>
      <c r="O88" s="363"/>
      <c r="R88" s="1">
        <v>1995</v>
      </c>
      <c r="S88" s="5">
        <f>(O17*($E17/365))+(O18*($E18/365))</f>
        <v>17.899999999999999</v>
      </c>
      <c r="T88" s="5">
        <f>(P17*($E17/365))+(P18*($E18/365))</f>
        <v>0</v>
      </c>
      <c r="U88" s="5">
        <f>(Q17*($E17/365))+(Q18*($E18/365))</f>
        <v>54.100000000000009</v>
      </c>
      <c r="W88" s="5">
        <f t="shared" si="21"/>
        <v>72</v>
      </c>
    </row>
    <row r="89" spans="1:30" x14ac:dyDescent="0.15">
      <c r="A89" s="1">
        <v>1996</v>
      </c>
      <c r="B89" s="5">
        <f>(K19*($E19/366))+(K20*($E20/366))</f>
        <v>20</v>
      </c>
      <c r="C89" s="5">
        <f>(L19*($E19/366))+(L20*($E20/366))</f>
        <v>0</v>
      </c>
      <c r="D89" s="5">
        <f>(M19*($E19/366))+(M20*($E20/366))</f>
        <v>80</v>
      </c>
      <c r="E89" s="17">
        <f t="shared" si="22"/>
        <v>100</v>
      </c>
      <c r="G89" s="1">
        <v>1996</v>
      </c>
      <c r="H89" s="392">
        <f>(O19/$R19*100*($E19/366))+(O20/$R20*100*($E20/366))</f>
        <v>24.861111111111107</v>
      </c>
      <c r="I89" s="392"/>
      <c r="J89" s="392">
        <f>(P19/$R19*100*($E19/366))+(P20/$R20*100*($E20/366))</f>
        <v>0</v>
      </c>
      <c r="K89" s="392"/>
      <c r="L89" s="392">
        <f>(Q19/$R19*100*($E19/366))+(Q20/$R20*100*($E20/366))</f>
        <v>75.138888888888886</v>
      </c>
      <c r="M89" s="392"/>
      <c r="N89" s="363">
        <f t="shared" si="23"/>
        <v>100</v>
      </c>
      <c r="O89" s="363"/>
      <c r="R89" s="1">
        <v>1996</v>
      </c>
      <c r="S89" s="5">
        <f>(O19*($E19/366))+(O20*($E20/366))</f>
        <v>17.899999999999999</v>
      </c>
      <c r="T89" s="5">
        <f>(P19*($E19/366))+(P20*($E20/366))</f>
        <v>0</v>
      </c>
      <c r="U89" s="5">
        <f>(Q19*($E19/366))+(Q20*($E20/366))</f>
        <v>54.1</v>
      </c>
      <c r="W89" s="5">
        <f t="shared" si="21"/>
        <v>72</v>
      </c>
    </row>
    <row r="90" spans="1:30" x14ac:dyDescent="0.15">
      <c r="A90" s="1">
        <v>1997</v>
      </c>
      <c r="B90" s="5">
        <f>(K21*($E21/365))+(K22*($E22/365))</f>
        <v>20</v>
      </c>
      <c r="C90" s="5">
        <f>(L21*($E21/365))+(L22*($E22/365))</f>
        <v>0</v>
      </c>
      <c r="D90" s="5">
        <f>(M21*($E21/365))+(M22*($E22/365))</f>
        <v>80</v>
      </c>
      <c r="E90" s="17">
        <f t="shared" si="22"/>
        <v>100</v>
      </c>
      <c r="G90" s="1">
        <v>1997</v>
      </c>
      <c r="H90" s="392">
        <f>(O21/$R21*100*($E21/365))+(O22/$R22*100*($E22/365))</f>
        <v>24.861111111111107</v>
      </c>
      <c r="I90" s="392"/>
      <c r="J90" s="392">
        <f>(P21/$R21*100*($E21/365))+(P22/$R22*100*($E22/365))</f>
        <v>0</v>
      </c>
      <c r="K90" s="392"/>
      <c r="L90" s="392">
        <f>(Q21/$R21*100*($E21/365))+(Q22/$R22*100*($E22/365))</f>
        <v>75.138888888888886</v>
      </c>
      <c r="M90" s="392"/>
      <c r="N90" s="363">
        <f t="shared" si="23"/>
        <v>100</v>
      </c>
      <c r="O90" s="363"/>
      <c r="R90" s="1">
        <v>1997</v>
      </c>
      <c r="S90" s="5">
        <f>(O21*($E21/365))+(O22*($E22/365))</f>
        <v>17.899999999999999</v>
      </c>
      <c r="T90" s="5">
        <f>(P21*($E21/365))+(P22*($E22/365))</f>
        <v>0</v>
      </c>
      <c r="U90" s="5">
        <f>(Q21*($E21/365))+(Q22*($E22/365))</f>
        <v>54.1</v>
      </c>
      <c r="W90" s="5">
        <f t="shared" si="21"/>
        <v>72</v>
      </c>
    </row>
    <row r="91" spans="1:30" x14ac:dyDescent="0.15">
      <c r="A91" s="1">
        <v>1998</v>
      </c>
      <c r="B91" s="5">
        <f>(K23*($E23/365))+(K24*($E24/365))</f>
        <v>48.421779670772409</v>
      </c>
      <c r="C91" s="5">
        <f>(L23*($E23/365))+(L24*($E24/365))</f>
        <v>0</v>
      </c>
      <c r="D91" s="5">
        <f>(M23*($E23/365))+(M24*($E24/365))</f>
        <v>51.578220329227577</v>
      </c>
      <c r="E91" s="17">
        <f t="shared" si="22"/>
        <v>99.999999999999986</v>
      </c>
      <c r="G91" s="1">
        <v>1998</v>
      </c>
      <c r="H91" s="392">
        <f>(O23/$R23*100*($E23/365))+(O24/$R24*100*($E24/365))</f>
        <v>50.673573991663147</v>
      </c>
      <c r="I91" s="392"/>
      <c r="J91" s="392">
        <f>(P23/$R23*100*($E23/365))+(P24/$R24*100*($E24/365))</f>
        <v>0</v>
      </c>
      <c r="K91" s="392"/>
      <c r="L91" s="392">
        <f>(Q23/$R23*100*($E23/365))+(Q24/$R24*100*($E24/365))</f>
        <v>49.32642600833686</v>
      </c>
      <c r="M91" s="392"/>
      <c r="N91" s="363">
        <f t="shared" si="23"/>
        <v>100</v>
      </c>
      <c r="O91" s="363"/>
      <c r="R91" s="1">
        <v>1998</v>
      </c>
      <c r="S91" s="5">
        <f>(O23*($E23/365))+(O24*($E24/365))</f>
        <v>30.062191780821919</v>
      </c>
      <c r="T91" s="5">
        <f>(P23*($E23/365))+(P24*($E24/365))</f>
        <v>0</v>
      </c>
      <c r="U91" s="5">
        <f>(Q23*($E23/365))+(Q24*($E24/365))</f>
        <v>33.649863013698635</v>
      </c>
      <c r="W91" s="5">
        <f t="shared" si="21"/>
        <v>63.712054794520554</v>
      </c>
    </row>
    <row r="92" spans="1:30" x14ac:dyDescent="0.15">
      <c r="A92" s="1">
        <v>1999</v>
      </c>
      <c r="B92" s="5">
        <f>(K25*($E25/365))+(K26*($E26/365))</f>
        <v>77.777777777777786</v>
      </c>
      <c r="C92" s="5">
        <f>(L25*($E25/365))+(L26*($E26/365))</f>
        <v>0</v>
      </c>
      <c r="D92" s="5">
        <f>(M25*($E25/365))+(M26*($E26/365))</f>
        <v>22.222222222222221</v>
      </c>
      <c r="E92" s="17">
        <f t="shared" si="22"/>
        <v>100</v>
      </c>
      <c r="G92" s="1">
        <v>1999</v>
      </c>
      <c r="H92" s="392">
        <f>(O25/$R25*100*($E25/365))+(O26/$R26*100*($E26/365))</f>
        <v>77.495462794918339</v>
      </c>
      <c r="I92" s="392"/>
      <c r="J92" s="392">
        <f>(P25/$R25*100*($E25/365))+(P26/$R26*100*($E26/365))</f>
        <v>0</v>
      </c>
      <c r="K92" s="392"/>
      <c r="L92" s="392">
        <f>(Q25/$R25*100*($E25/365))+(Q26/$R26*100*($E26/365))</f>
        <v>22.504537205081672</v>
      </c>
      <c r="M92" s="392"/>
      <c r="N92" s="363">
        <f t="shared" si="23"/>
        <v>100.00000000000001</v>
      </c>
      <c r="O92" s="363"/>
      <c r="R92" s="1">
        <v>1999</v>
      </c>
      <c r="S92" s="5">
        <f>(O25*($E25/365))+(O26*($E26/365))</f>
        <v>42.7</v>
      </c>
      <c r="T92" s="5">
        <f>(P25*($E25/365))+(P26*($E26/365))</f>
        <v>0</v>
      </c>
      <c r="U92" s="5">
        <f>(Q25*($E25/365))+(Q26*($E26/365))</f>
        <v>12.4</v>
      </c>
      <c r="W92" s="5">
        <f t="shared" si="21"/>
        <v>55.1</v>
      </c>
    </row>
    <row r="93" spans="1:30" x14ac:dyDescent="0.15">
      <c r="A93" s="1">
        <v>2000</v>
      </c>
      <c r="B93" s="5">
        <f>(K27*($E27/366))+(K28*($E28/366))</f>
        <v>77.777777777777786</v>
      </c>
      <c r="C93" s="5">
        <f>(L27*($E27/366))+(L28*($E28/366))</f>
        <v>0</v>
      </c>
      <c r="D93" s="5">
        <f>(M27*($E27/366))+(M28*($E28/366))</f>
        <v>22.222222222222221</v>
      </c>
      <c r="E93" s="17">
        <f t="shared" si="22"/>
        <v>100</v>
      </c>
      <c r="G93" s="1">
        <v>2000</v>
      </c>
      <c r="H93" s="392">
        <f>(O27/$R27*100*($E27/366))+(O28/$R28*100*($E28/366))</f>
        <v>77.495462794918339</v>
      </c>
      <c r="I93" s="392"/>
      <c r="J93" s="392">
        <f>(P27/$R27*100*($E27/366))+(P28/$R28*100*($E28/366))</f>
        <v>0</v>
      </c>
      <c r="K93" s="392"/>
      <c r="L93" s="392">
        <f>(Q27/$R27*100*($E27/366))+(Q28/$R28*100*($E28/366))</f>
        <v>22.504537205081672</v>
      </c>
      <c r="M93" s="392"/>
      <c r="N93" s="363">
        <f t="shared" si="23"/>
        <v>100.00000000000001</v>
      </c>
      <c r="O93" s="363"/>
      <c r="R93" s="1">
        <v>2000</v>
      </c>
      <c r="S93" s="5">
        <f>(O27*($E27/366))+(O28*($E28/366))</f>
        <v>42.7</v>
      </c>
      <c r="T93" s="5">
        <f>(P27*($E27/366))+(P28*($E28/366))</f>
        <v>0</v>
      </c>
      <c r="U93" s="5">
        <f>(Q27*($E27/366))+(Q28*($E28/366))</f>
        <v>12.4</v>
      </c>
      <c r="W93" s="5">
        <f t="shared" si="21"/>
        <v>55.1</v>
      </c>
    </row>
    <row r="94" spans="1:30" x14ac:dyDescent="0.15">
      <c r="A94" s="1">
        <v>2001</v>
      </c>
      <c r="B94" s="5">
        <f>(K29*($E29/365))+(K30*($E30/365))</f>
        <v>77.777777777777786</v>
      </c>
      <c r="C94" s="5">
        <f>(L29*($E29/365))+(L30*($E30/365))</f>
        <v>0</v>
      </c>
      <c r="D94" s="5">
        <f>(M29*($E29/365))+(M30*($E30/365))</f>
        <v>22.222222222222221</v>
      </c>
      <c r="E94" s="17">
        <f t="shared" si="22"/>
        <v>100</v>
      </c>
      <c r="G94" s="1">
        <v>2001</v>
      </c>
      <c r="H94" s="392">
        <f>(O29/$R29*100*($E29/365))+(O30/$R30*100*($E30/365))</f>
        <v>77.495462794918339</v>
      </c>
      <c r="I94" s="392"/>
      <c r="J94" s="392">
        <f>(P29/$R29*100*($E29/365))+(P30/$R30*100*($E30/365))</f>
        <v>0</v>
      </c>
      <c r="K94" s="392"/>
      <c r="L94" s="392">
        <f>(Q29/$R29*100*($E29/365))+(Q30/$R30*100*($E30/365))</f>
        <v>22.504537205081672</v>
      </c>
      <c r="M94" s="392"/>
      <c r="N94" s="363">
        <f t="shared" si="23"/>
        <v>100.00000000000001</v>
      </c>
      <c r="O94" s="363"/>
      <c r="R94" s="1">
        <v>2001</v>
      </c>
      <c r="S94" s="5">
        <f>(O29*($E29/365))+(O30*($E30/365))</f>
        <v>42.7</v>
      </c>
      <c r="T94" s="5">
        <f>(P29*($E29/365))+(P30*($E30/365))</f>
        <v>0</v>
      </c>
      <c r="U94" s="5">
        <f>(Q29*($E29/365))+(Q30*($E30/365))</f>
        <v>12.4</v>
      </c>
      <c r="W94" s="5">
        <f t="shared" si="21"/>
        <v>55.1</v>
      </c>
    </row>
    <row r="95" spans="1:30" x14ac:dyDescent="0.15">
      <c r="A95" s="1">
        <v>2002</v>
      </c>
      <c r="B95" s="5">
        <f>(K31*($E31/365))+(K32*($E32/365))</f>
        <v>47.111111111111114</v>
      </c>
      <c r="C95" s="5">
        <f>(L31*($E31/365))+(L32*($E32/365))</f>
        <v>0</v>
      </c>
      <c r="D95" s="5">
        <f>(M31*($E31/365))+(M32*($E32/365))</f>
        <v>52.888888888888886</v>
      </c>
      <c r="E95" s="17">
        <f t="shared" si="22"/>
        <v>100</v>
      </c>
      <c r="G95" s="1">
        <v>2002</v>
      </c>
      <c r="H95" s="392">
        <f>(O31/$R31*100*($E31/365))+(O32/$R32*100*($E32/365))</f>
        <v>37.080056462996581</v>
      </c>
      <c r="I95" s="392"/>
      <c r="J95" s="392">
        <f>(P31/$R31*100*($E31/365))+(P32/$R32*100*($E32/365))</f>
        <v>0</v>
      </c>
      <c r="K95" s="392"/>
      <c r="L95" s="392">
        <f>(Q31/$R31*100*($E31/365))+(Q32/$R32*100*($E32/365))</f>
        <v>62.919943537003427</v>
      </c>
      <c r="M95" s="392"/>
      <c r="N95" s="363">
        <f t="shared" si="23"/>
        <v>100</v>
      </c>
      <c r="O95" s="363"/>
      <c r="R95" s="1">
        <v>2002</v>
      </c>
      <c r="S95" s="5">
        <f>(O31*($E31/365))+(O32*($E32/365))</f>
        <v>20.200000000000003</v>
      </c>
      <c r="T95" s="5">
        <f>(P31*($E31/365))+(P32*($E32/365))</f>
        <v>0</v>
      </c>
      <c r="U95" s="5">
        <f>(Q31*($E31/365))+(Q32*($E32/365))</f>
        <v>32.620000000000005</v>
      </c>
      <c r="W95" s="5">
        <f t="shared" si="21"/>
        <v>52.820000000000007</v>
      </c>
    </row>
    <row r="96" spans="1:30" x14ac:dyDescent="0.15">
      <c r="A96" s="1">
        <v>2003</v>
      </c>
      <c r="B96" s="5">
        <f>(K33*($E33/365))+(K34*($E34/365))</f>
        <v>24.681171098576414</v>
      </c>
      <c r="C96" s="5">
        <f>(L33*($E33/365))+(L34*($E34/365))</f>
        <v>0</v>
      </c>
      <c r="D96" s="5">
        <f>(M33*($E33/365))+(M34*($E34/365))</f>
        <v>75.318828901423572</v>
      </c>
      <c r="E96" s="17">
        <f t="shared" si="22"/>
        <v>99.999999999999986</v>
      </c>
      <c r="G96" s="1">
        <v>2003</v>
      </c>
      <c r="H96" s="392">
        <f>(O33/$R33*100*($E33/365))+(O34/$R34*100*($E34/365))</f>
        <v>10.1364522417154</v>
      </c>
      <c r="I96" s="392"/>
      <c r="J96" s="392">
        <f>(P33/$R33*100*($E33/365))+(P34/$R34*100*($E34/365))</f>
        <v>0</v>
      </c>
      <c r="K96" s="392"/>
      <c r="L96" s="392">
        <f>(Q33/$R33*100*($E33/365))+(Q34/$R34*100*($E34/365))</f>
        <v>89.863547758284597</v>
      </c>
      <c r="M96" s="392"/>
      <c r="N96" s="363">
        <f t="shared" si="23"/>
        <v>100</v>
      </c>
      <c r="O96" s="363"/>
      <c r="R96" s="1">
        <v>2003</v>
      </c>
      <c r="S96" s="5">
        <f>(O33*($E33/365))+(O34*($E34/365))</f>
        <v>5.1999999999999993</v>
      </c>
      <c r="T96" s="5">
        <f>(P33*($E33/365))+(P34*($E34/365))</f>
        <v>0</v>
      </c>
      <c r="U96" s="5">
        <f>(Q33*($E33/365))+(Q34*($E34/365))</f>
        <v>46.099999999999994</v>
      </c>
      <c r="W96" s="5">
        <f t="shared" si="21"/>
        <v>51.3</v>
      </c>
    </row>
    <row r="97" spans="1:23" x14ac:dyDescent="0.15">
      <c r="A97" s="1">
        <v>2004</v>
      </c>
      <c r="B97" s="5">
        <f>(K35*($E35/366))+(K36*($E36/366))</f>
        <v>23.193685488767454</v>
      </c>
      <c r="C97" s="5">
        <f>(L35*($E35/366))+(L36*($E36/366))</f>
        <v>0</v>
      </c>
      <c r="D97" s="5">
        <f>(M35*($E35/366))+(M36*($E36/366))</f>
        <v>76.806314511232543</v>
      </c>
      <c r="E97" s="17">
        <f t="shared" si="22"/>
        <v>100</v>
      </c>
      <c r="G97" s="1">
        <v>2004</v>
      </c>
      <c r="H97" s="392">
        <f>(O35/$R35*100*($E35/366))+(O36/$R36*100*($E36/366))</f>
        <v>10.1364522417154</v>
      </c>
      <c r="I97" s="392"/>
      <c r="J97" s="392">
        <f>(P35/$R35*100*($E35/366))+(P36/$R36*100*($E36/366))</f>
        <v>0</v>
      </c>
      <c r="K97" s="392"/>
      <c r="L97" s="392">
        <f>(Q35/$R35*100*($E35/366))+(Q36/$R36*100*($E36/366))</f>
        <v>89.863547758284597</v>
      </c>
      <c r="M97" s="392"/>
      <c r="N97" s="363">
        <f t="shared" si="23"/>
        <v>100</v>
      </c>
      <c r="O97" s="363"/>
      <c r="R97" s="1">
        <v>2004</v>
      </c>
      <c r="S97" s="5">
        <f>(O35*($E35/366))+(O36*($E36/366))</f>
        <v>5.2</v>
      </c>
      <c r="T97" s="5">
        <f>(P35*($E35/366))+(P36*($E36/366))</f>
        <v>0</v>
      </c>
      <c r="U97" s="5">
        <f>(Q35*($E35/366))+(Q36*($E36/366))</f>
        <v>46.1</v>
      </c>
      <c r="W97" s="5">
        <f t="shared" si="21"/>
        <v>51.300000000000004</v>
      </c>
    </row>
    <row r="98" spans="1:23" x14ac:dyDescent="0.15">
      <c r="A98" s="1">
        <v>2005</v>
      </c>
      <c r="B98" s="5">
        <f>(K37*($E37/365))+(K38*($E38/365))</f>
        <v>22.222222222222221</v>
      </c>
      <c r="C98" s="5">
        <f>(L37*($E37/365))+(L38*($E38/365))</f>
        <v>0</v>
      </c>
      <c r="D98" s="5">
        <f>(M37*($E37/365))+(M38*($E38/365))</f>
        <v>77.777777777777786</v>
      </c>
      <c r="E98" s="17">
        <f t="shared" si="22"/>
        <v>100</v>
      </c>
      <c r="G98" s="1">
        <v>2005</v>
      </c>
      <c r="H98" s="392">
        <f>(O37/$R37*100*($E37/365))+(O38/$R38*100*($E38/365))</f>
        <v>10.1364522417154</v>
      </c>
      <c r="I98" s="392"/>
      <c r="J98" s="392">
        <f>(P37/$R37*100*($E37/365))+(P38/$R38*100*($E38/365))</f>
        <v>0</v>
      </c>
      <c r="K98" s="392"/>
      <c r="L98" s="392">
        <f>(Q37/$R37*100*($E37/365))+(Q38/$R38*100*($E38/365))</f>
        <v>89.863547758284597</v>
      </c>
      <c r="M98" s="392"/>
      <c r="N98" s="363">
        <f t="shared" si="23"/>
        <v>100</v>
      </c>
      <c r="O98" s="363"/>
      <c r="R98" s="1">
        <v>2005</v>
      </c>
      <c r="S98" s="5">
        <f>(O37*($E37/365))+(O38*($E38/365))</f>
        <v>5.2</v>
      </c>
      <c r="T98" s="5">
        <f>(P37*($E37/365))+(P38*($E38/365))</f>
        <v>0</v>
      </c>
      <c r="U98" s="5">
        <f>(Q37*($E37/365))+(Q38*($E38/365))</f>
        <v>46.1</v>
      </c>
      <c r="W98" s="5">
        <f t="shared" si="21"/>
        <v>51.300000000000004</v>
      </c>
    </row>
    <row r="99" spans="1:23" x14ac:dyDescent="0.15">
      <c r="A99" s="1">
        <v>2006</v>
      </c>
      <c r="B99" s="5">
        <f>(K39*($E39/365))+(K40*($E40/365))</f>
        <v>22.704601334738321</v>
      </c>
      <c r="C99" s="5">
        <f>(L39*($E39/365))+(L40*($E40/365))</f>
        <v>0</v>
      </c>
      <c r="D99" s="5">
        <f>(M39*($E39/365))+(M40*($E40/365))</f>
        <v>77.295398665261686</v>
      </c>
      <c r="E99" s="17">
        <f t="shared" si="22"/>
        <v>100</v>
      </c>
      <c r="G99" s="1">
        <v>2006</v>
      </c>
      <c r="H99" s="392">
        <f>(O39/$R39*100*($E39/365))+(O40/$R40*100*($E40/365))</f>
        <v>9.904105914318702</v>
      </c>
      <c r="I99" s="392"/>
      <c r="J99" s="392">
        <f>(P39/$R39*100*($E39/365))+(P40/$R40*100*($E40/365))</f>
        <v>0</v>
      </c>
      <c r="K99" s="392"/>
      <c r="L99" s="392">
        <f>(Q39/$R39*100*($E39/365))+(Q40/$R40*100*($E40/365))</f>
        <v>90.095894085681294</v>
      </c>
      <c r="M99" s="392"/>
      <c r="N99" s="363">
        <f t="shared" si="23"/>
        <v>100</v>
      </c>
      <c r="O99" s="363"/>
      <c r="R99" s="1">
        <v>2006</v>
      </c>
      <c r="S99" s="5">
        <f>(O39*($E39/365))+(O40*($E40/365))</f>
        <v>5.2564383561643835</v>
      </c>
      <c r="T99" s="5">
        <f>(P39*($E39/365))+(P40*($E40/365))</f>
        <v>0</v>
      </c>
      <c r="U99" s="5">
        <f>(Q39*($E39/365))+(Q40*($E40/365))</f>
        <v>47.849589041095896</v>
      </c>
      <c r="W99" s="5">
        <f t="shared" si="21"/>
        <v>53.106027397260277</v>
      </c>
    </row>
    <row r="100" spans="1:23" x14ac:dyDescent="0.15">
      <c r="A100" s="1">
        <v>2007</v>
      </c>
      <c r="B100" s="5">
        <f>(K41*($E41/365))+(K42*($E42/365))</f>
        <v>21.525816649104321</v>
      </c>
      <c r="C100" s="5">
        <f>(L41*($E41/365))+(L42*($E42/365))</f>
        <v>0</v>
      </c>
      <c r="D100" s="5">
        <f>(M41*($E41/365))+(M42*($E42/365))</f>
        <v>78.474183350895686</v>
      </c>
      <c r="E100" s="17">
        <f t="shared" si="22"/>
        <v>100</v>
      </c>
      <c r="G100" s="1">
        <v>2007</v>
      </c>
      <c r="H100" s="392">
        <f>(O41/$R41*100*($E41/365))+(O42/$R42*100*($E42/365))</f>
        <v>9.7247706422018343</v>
      </c>
      <c r="I100" s="392"/>
      <c r="J100" s="392">
        <f>(P41/$R41*100*($E41/365))+(P42/$R42*100*($E42/365))</f>
        <v>0</v>
      </c>
      <c r="K100" s="392"/>
      <c r="L100" s="392">
        <f>(Q41/$R41*100*($E41/365))+(Q42/$R42*100*($E42/365))</f>
        <v>90.275229357798167</v>
      </c>
      <c r="M100" s="392"/>
      <c r="N100" s="363">
        <f t="shared" si="23"/>
        <v>100</v>
      </c>
      <c r="O100" s="363"/>
      <c r="R100" s="1">
        <v>2007</v>
      </c>
      <c r="S100" s="5">
        <f>(O41*($E41/365))+(O42*($E42/365))</f>
        <v>5.3000000000000007</v>
      </c>
      <c r="T100" s="5">
        <f>(P41*($E41/365))+(P42*($E42/365))</f>
        <v>0</v>
      </c>
      <c r="U100" s="5">
        <f>(Q41*($E41/365))+(Q42*($E42/365))</f>
        <v>49.2</v>
      </c>
      <c r="W100" s="5">
        <f t="shared" si="21"/>
        <v>54.5</v>
      </c>
    </row>
    <row r="101" spans="1:23" x14ac:dyDescent="0.15">
      <c r="A101" s="1">
        <v>2008</v>
      </c>
      <c r="B101" s="5">
        <f>(K43*($E43/366))+(K44*($E44/366))+(K45*($E45/366))</f>
        <v>6.9555035128805622</v>
      </c>
      <c r="C101" s="5">
        <f>(L43*($E43/366))+(L44*($E44/366))+(L45*($E45/366))</f>
        <v>0</v>
      </c>
      <c r="D101" s="5">
        <f>(M43*($E43/366))+(M44*($E44/366))+(M45*($E45/366))</f>
        <v>93.044496487119432</v>
      </c>
      <c r="E101" s="17">
        <f t="shared" si="22"/>
        <v>100</v>
      </c>
      <c r="G101" s="1">
        <v>2008</v>
      </c>
      <c r="H101" s="392">
        <f>(O43/$R43*100*($E43/366))+(O44/$R44*100*($E44/366))+(O45/$R45*100*($E45/366))</f>
        <v>3.2415902140672781</v>
      </c>
      <c r="I101" s="392"/>
      <c r="J101" s="392">
        <f>(P43/$R43*100*($E43/366))+(P44/$R44*100*($E44/366))+(P45/$R45*100*($E45/366))</f>
        <v>0</v>
      </c>
      <c r="K101" s="392"/>
      <c r="L101" s="392">
        <f>(Q43/$R43*100*($E43/366))+(Q44/$R44*100*($E44/366))+(Q45/$R45*100*($E45/366))</f>
        <v>96.758409785932713</v>
      </c>
      <c r="M101" s="392"/>
      <c r="N101" s="363">
        <f t="shared" si="23"/>
        <v>99.999999999999986</v>
      </c>
      <c r="O101" s="363"/>
      <c r="R101" s="1">
        <v>2008</v>
      </c>
      <c r="S101" s="5">
        <f>(O43*($E43/366))+(O44*($E44/366))+(O45*($E45/366))</f>
        <v>1.7666666666666666</v>
      </c>
      <c r="T101" s="5">
        <f>(P43*($E43/366))+(P44*($E44/366))+(P45*($E45/366))</f>
        <v>0</v>
      </c>
      <c r="U101" s="5">
        <f>(Q43*($E43/366))+(Q44*($E44/366))+(Q45*($E45/366))</f>
        <v>49.2</v>
      </c>
      <c r="W101" s="5">
        <f t="shared" si="21"/>
        <v>50.966666666666669</v>
      </c>
    </row>
    <row r="102" spans="1:23" x14ac:dyDescent="0.15">
      <c r="A102" s="1">
        <v>2009</v>
      </c>
      <c r="B102" s="5">
        <f>(K46*($E46/365))+(K47*($E47/365))</f>
        <v>0</v>
      </c>
      <c r="C102" s="5">
        <f>(L46*($E46/365))+(L47*($E47/365))</f>
        <v>0</v>
      </c>
      <c r="D102" s="5">
        <f>(M46*($E46/365))+(M47*($E47/365))</f>
        <v>100</v>
      </c>
      <c r="E102" s="17">
        <f t="shared" si="22"/>
        <v>100</v>
      </c>
      <c r="G102" s="1">
        <v>2009</v>
      </c>
      <c r="H102" s="392">
        <f>(O46/$R46*100*($E46/365))+(O47/$R47*100*($E47/365))</f>
        <v>0</v>
      </c>
      <c r="I102" s="392"/>
      <c r="J102" s="392">
        <f>(P46/$R46*100*($E46/365))+(P47/$R47*100*($E47/365))</f>
        <v>0</v>
      </c>
      <c r="K102" s="392"/>
      <c r="L102" s="392">
        <f>(Q46/$R46*100*($E46/365))+(Q47/$R47*100*($E47/365))</f>
        <v>100</v>
      </c>
      <c r="M102" s="392"/>
      <c r="N102" s="363">
        <f t="shared" si="23"/>
        <v>100</v>
      </c>
      <c r="O102" s="363"/>
      <c r="R102" s="1">
        <v>2009</v>
      </c>
      <c r="S102" s="5">
        <f>(O46*($E46/365))+(O47*($E47/365))</f>
        <v>0</v>
      </c>
      <c r="T102" s="5">
        <f>(P46*($E46/365))+(P47*($E47/365))</f>
        <v>0</v>
      </c>
      <c r="U102" s="5">
        <f>(Q46*($E46/365))+(Q47*($E47/365))</f>
        <v>49.2</v>
      </c>
      <c r="W102" s="5">
        <f t="shared" si="21"/>
        <v>49.2</v>
      </c>
    </row>
    <row r="103" spans="1:23" x14ac:dyDescent="0.15">
      <c r="A103" s="1">
        <v>2010</v>
      </c>
      <c r="B103" s="5">
        <f>(K48*($E48/365))+(K49*($E49/365))</f>
        <v>41.61643835616438</v>
      </c>
      <c r="C103" s="5">
        <f>(L48*($E48/365))+(L49*($E49/365))</f>
        <v>0</v>
      </c>
      <c r="D103" s="5">
        <f>(M48*($E48/365))+(M49*($E49/365))</f>
        <v>40.547945205479451</v>
      </c>
      <c r="E103" s="17">
        <f t="shared" si="22"/>
        <v>82.164383561643831</v>
      </c>
      <c r="G103" s="1">
        <v>2010</v>
      </c>
      <c r="H103" s="392">
        <f>(O48/$R48*100*($E48/365))+(O49/$R49*100*($E49/365))</f>
        <v>59.452054794520549</v>
      </c>
      <c r="I103" s="392"/>
      <c r="J103" s="392">
        <f>(P48/$R48*100*($E48/365))+(P49/$R49*100*($E49/365))</f>
        <v>0</v>
      </c>
      <c r="K103" s="392"/>
      <c r="L103" s="392">
        <f>(Q48/$R48*100*($E48/365))+(Q49/$R49*100*($E49/365))</f>
        <v>40.547945205479451</v>
      </c>
      <c r="M103" s="392"/>
      <c r="N103" s="363">
        <f t="shared" si="23"/>
        <v>100</v>
      </c>
      <c r="O103" s="363"/>
      <c r="R103" s="1">
        <v>2010</v>
      </c>
      <c r="S103" s="5">
        <f>(O48*($E48/365))+(O49*($E49/365))</f>
        <v>40.48684931506849</v>
      </c>
      <c r="T103" s="5">
        <f>(P48*($E48/365))+(P49*($E49/365))</f>
        <v>0</v>
      </c>
      <c r="U103" s="5">
        <f>(Q48*($E48/365))+(Q49*($E49/365))</f>
        <v>19.949589041095891</v>
      </c>
      <c r="W103" s="5">
        <f t="shared" si="21"/>
        <v>60.436438356164381</v>
      </c>
    </row>
    <row r="104" spans="1:23" x14ac:dyDescent="0.15">
      <c r="A104" s="1">
        <v>2011</v>
      </c>
      <c r="B104" s="5">
        <f>(K50*($E50/365))+(K51*($E51/365))</f>
        <v>69.843088418430881</v>
      </c>
      <c r="C104" s="5">
        <f>(L50*($E50/365))+(L51*($E51/365))</f>
        <v>0</v>
      </c>
      <c r="D104" s="5">
        <f>(M50*($E50/365))+(M51*($E51/365))</f>
        <v>0</v>
      </c>
      <c r="E104" s="17">
        <f t="shared" si="22"/>
        <v>69.843088418430881</v>
      </c>
      <c r="G104" s="1">
        <v>2011</v>
      </c>
      <c r="H104" s="392">
        <f>(O50/$R50*100*($E50/365))+(O51/$R51*100*($E51/365))</f>
        <v>100</v>
      </c>
      <c r="I104" s="392"/>
      <c r="J104" s="392">
        <f>(P50/$R50*100*($E50/365))+(P51/$R51*100*($E51/365))</f>
        <v>0</v>
      </c>
      <c r="K104" s="392"/>
      <c r="L104" s="392">
        <f>(Q50/$R50*100*($E50/365))+(Q51/$R51*100*($E51/365))</f>
        <v>0</v>
      </c>
      <c r="M104" s="392"/>
      <c r="N104" s="363">
        <f t="shared" si="23"/>
        <v>100</v>
      </c>
      <c r="O104" s="363"/>
      <c r="R104" s="1">
        <v>2011</v>
      </c>
      <c r="S104" s="5">
        <f>(O50*($E50/365))+(O51*($E51/365))</f>
        <v>68.099999999999994</v>
      </c>
      <c r="T104" s="5">
        <f>(P50*($E50/365))+(P51*($E51/365))</f>
        <v>0</v>
      </c>
      <c r="U104" s="5">
        <f>(Q50*($E50/365))+(Q51*($E51/365))</f>
        <v>0</v>
      </c>
      <c r="W104" s="5">
        <f t="shared" si="21"/>
        <v>68.099999999999994</v>
      </c>
    </row>
    <row r="105" spans="1:23" x14ac:dyDescent="0.15">
      <c r="A105" s="1">
        <v>2012</v>
      </c>
      <c r="B105" s="5">
        <f>(K52*($E52/366))+(K53*($E53/366))+(K54*($E54/366))</f>
        <v>74.689518132141089</v>
      </c>
      <c r="C105" s="5">
        <f>(L52*($E52/366))+(L53*($E53/366))+(L54*($E54/366))</f>
        <v>0</v>
      </c>
      <c r="D105" s="5">
        <f>(M52*($E52/366))+(M53*($E53/366))+(M54*($E54/366))</f>
        <v>0</v>
      </c>
      <c r="E105" s="17">
        <f t="shared" ref="E105:E110" si="24">SUM(B105:D105)</f>
        <v>74.689518132141089</v>
      </c>
      <c r="G105" s="1">
        <v>2012</v>
      </c>
      <c r="H105" s="392">
        <f>(O52/$R52*100*($E52/366))+(O53/$R53*100*($E53/366))+(O54/$R54*100*($E54/366))</f>
        <v>100</v>
      </c>
      <c r="I105" s="392"/>
      <c r="J105" s="392">
        <f>(P52/$R52*100*($E52/366))+(P53/$R53*100*($E53/366))+(P54/$R54*100*($E54/366))</f>
        <v>0</v>
      </c>
      <c r="K105" s="392"/>
      <c r="L105" s="392">
        <f>(Q52/$R52*100*($E52/366))+(Q53/$R53*100*($E53/366))+(Q54/$R54*100*($E54/366))</f>
        <v>0</v>
      </c>
      <c r="M105" s="392"/>
      <c r="N105" s="363">
        <f t="shared" si="23"/>
        <v>100</v>
      </c>
      <c r="O105" s="363"/>
      <c r="R105" s="1">
        <v>2012</v>
      </c>
      <c r="S105" s="5">
        <f>(O52*($E52/366))+(O53*($E53/366))+(O54*($E54/366))</f>
        <v>68.099999999999994</v>
      </c>
      <c r="T105" s="5">
        <f>(P52*($E52/366))+(P53*($E53/366))+(P54*($E54/366))</f>
        <v>0</v>
      </c>
      <c r="U105" s="5">
        <f>(Q52*($E52/366))+(Q53*($E53/366))+(Q54*($E54/366))</f>
        <v>0</v>
      </c>
      <c r="W105" s="5">
        <f t="shared" ref="W105:W110" si="25">SUM(S105:U105)</f>
        <v>68.099999999999994</v>
      </c>
    </row>
    <row r="106" spans="1:23" x14ac:dyDescent="0.15">
      <c r="A106" s="1">
        <v>2013</v>
      </c>
      <c r="B106" s="5">
        <f>(K55*($E55/365))+(K56*($E56/365))</f>
        <v>80.303860523038608</v>
      </c>
      <c r="C106" s="5">
        <f>(L55*($E55/365))+(L56*($E56/365))</f>
        <v>0</v>
      </c>
      <c r="D106" s="5">
        <f>(M55*($E55/365))+(M56*($E56/365))</f>
        <v>0</v>
      </c>
      <c r="E106" s="17">
        <f t="shared" si="24"/>
        <v>80.303860523038608</v>
      </c>
      <c r="G106" s="1">
        <v>2013</v>
      </c>
      <c r="H106" s="392">
        <f>(O55/$R55*100*($E55/365))+(O56/$R56*100*($E56/365))</f>
        <v>100</v>
      </c>
      <c r="I106" s="392"/>
      <c r="J106" s="392">
        <f>(P55/$R55*100*($E55/365))+(P56/$R56*100*($E56/365))</f>
        <v>0</v>
      </c>
      <c r="K106" s="392"/>
      <c r="L106" s="392">
        <f>(Q55/$R55*100*($E55/365))+(Q56/$R56*100*($E56/365))</f>
        <v>0</v>
      </c>
      <c r="M106" s="392"/>
      <c r="N106" s="363">
        <f t="shared" ref="N106:N111" si="26">SUM(H106:M106)</f>
        <v>100</v>
      </c>
      <c r="O106" s="363"/>
      <c r="R106" s="1">
        <v>2013</v>
      </c>
      <c r="S106" s="5">
        <f>(O55*($E55/365))+(O56*($E56/365))</f>
        <v>68.099999999999994</v>
      </c>
      <c r="T106" s="5">
        <f>(P55*($E55/365))+(P56*($E56/365))</f>
        <v>0</v>
      </c>
      <c r="U106" s="5">
        <f>(Q55*($E55/365))+(Q56*($E56/365))</f>
        <v>0</v>
      </c>
      <c r="W106" s="5">
        <f t="shared" si="25"/>
        <v>68.099999999999994</v>
      </c>
    </row>
    <row r="107" spans="1:23" x14ac:dyDescent="0.15">
      <c r="A107" s="1">
        <v>2014</v>
      </c>
      <c r="B107" s="5">
        <f>(K57*($E57/365))+(K58*($E58/365))</f>
        <v>69.150684931506845</v>
      </c>
      <c r="C107" s="5">
        <f>(L57*($E57/365))+(L58*($E58/365))</f>
        <v>0</v>
      </c>
      <c r="D107" s="5">
        <f>(M57*($E57/365))+(M58*($E58/365))</f>
        <v>0</v>
      </c>
      <c r="E107" s="17">
        <f t="shared" si="24"/>
        <v>69.150684931506845</v>
      </c>
      <c r="G107" s="1">
        <v>2014</v>
      </c>
      <c r="H107" s="392">
        <f>(O57/$R57*100*($E57/365))+(O58/$R58*100*($E58/365))</f>
        <v>100</v>
      </c>
      <c r="I107" s="392"/>
      <c r="J107" s="392">
        <f>(P57/$R57*100*($E57/365))+(P58/$R58*100*($E58/365))</f>
        <v>0</v>
      </c>
      <c r="K107" s="392"/>
      <c r="L107" s="392">
        <f>(Q57/$R57*100*($E57/365))+(Q58/$R58*100*($E58/365))</f>
        <v>0</v>
      </c>
      <c r="M107" s="392"/>
      <c r="N107" s="363">
        <f t="shared" si="26"/>
        <v>100</v>
      </c>
      <c r="O107" s="363"/>
      <c r="R107" s="1">
        <v>2014</v>
      </c>
      <c r="S107" s="5">
        <f>(O57*($E57/365))+(O58*($E58/365))</f>
        <v>67.238082191780819</v>
      </c>
      <c r="T107" s="5">
        <f>(P57*($E57/365))+(P58*($E58/365))</f>
        <v>0</v>
      </c>
      <c r="U107" s="5">
        <f>(Q57*($E57/365))+(Q58*($E58/365))</f>
        <v>0</v>
      </c>
      <c r="W107" s="5">
        <f t="shared" si="25"/>
        <v>67.238082191780819</v>
      </c>
    </row>
    <row r="108" spans="1:23" x14ac:dyDescent="0.15">
      <c r="A108" s="1">
        <v>2015</v>
      </c>
      <c r="B108" s="5">
        <f>(K59*($E59/365))+(K60*($E60/365))</f>
        <v>72.727272727272734</v>
      </c>
      <c r="C108" s="5">
        <f>(L59*($E59/365))+(L60*($E60/365))</f>
        <v>0</v>
      </c>
      <c r="D108" s="5">
        <f>(M59*($E59/365))+(M60*($E60/365))</f>
        <v>0</v>
      </c>
      <c r="E108" s="17">
        <f t="shared" si="24"/>
        <v>72.727272727272734</v>
      </c>
      <c r="G108" s="1">
        <v>2015</v>
      </c>
      <c r="H108" s="392">
        <f>(O59/$R59*100*($E59/365))+(O60/$R60*100*($E60/365))</f>
        <v>100</v>
      </c>
      <c r="I108" s="392"/>
      <c r="J108" s="392">
        <f>(P59/$R59*100*($E59/365))+(P60/$R60*100*($E60/365))</f>
        <v>0</v>
      </c>
      <c r="K108" s="392"/>
      <c r="L108" s="392">
        <f>(Q59/$R59*100*($E59/365))+(Q60/$R60*100*($E60/365))</f>
        <v>0</v>
      </c>
      <c r="M108" s="392"/>
      <c r="N108" s="363">
        <f t="shared" si="26"/>
        <v>100</v>
      </c>
      <c r="O108" s="363"/>
      <c r="R108" s="1">
        <v>2015</v>
      </c>
      <c r="S108" s="5">
        <f>(O59*($E59/365))+(O60*($E60/365))</f>
        <v>66.8</v>
      </c>
      <c r="T108" s="5">
        <f>(P59*($E59/365))+(P60*($E60/365))</f>
        <v>0</v>
      </c>
      <c r="U108" s="5">
        <f>(Q59*($E59/365))+(Q60*($E60/365))</f>
        <v>0</v>
      </c>
      <c r="W108" s="5">
        <f t="shared" si="25"/>
        <v>66.8</v>
      </c>
    </row>
    <row r="109" spans="1:23" x14ac:dyDescent="0.15">
      <c r="A109" s="1">
        <v>2016</v>
      </c>
      <c r="B109" s="5">
        <f>(K61*($E61/366))+(K62*($E62/366))</f>
        <v>72.727272727272734</v>
      </c>
      <c r="C109" s="5">
        <f>(L61*($E61/366))+(L62*($E62/366))</f>
        <v>0</v>
      </c>
      <c r="D109" s="5">
        <f>(M61*($E61/366))+(M62*($E62/366))</f>
        <v>0</v>
      </c>
      <c r="E109" s="17">
        <f t="shared" si="24"/>
        <v>72.727272727272734</v>
      </c>
      <c r="G109" s="1">
        <v>2016</v>
      </c>
      <c r="H109" s="392">
        <f>(O61/$R61*100*($E61/366))+(O62/$R62*100*($E62/366))</f>
        <v>100</v>
      </c>
      <c r="I109" s="392"/>
      <c r="J109" s="392">
        <f>(P61/$R61*100*($E61/366))+(P62/$R62*100*($E62/366))</f>
        <v>0</v>
      </c>
      <c r="K109" s="392"/>
      <c r="L109" s="392">
        <f>(Q61/$R61*100*($E61/366))+(Q62/$R62*100*($E62/366))</f>
        <v>0</v>
      </c>
      <c r="M109" s="392"/>
      <c r="N109" s="363">
        <f t="shared" si="26"/>
        <v>100</v>
      </c>
      <c r="O109" s="363"/>
      <c r="R109" s="1">
        <v>2016</v>
      </c>
      <c r="S109" s="5">
        <f>(O61*($E61/366))+(O62*($E62/366))</f>
        <v>66.8</v>
      </c>
      <c r="T109" s="5">
        <f>(P61*($E61/366))+(P62*($E62/366))</f>
        <v>0</v>
      </c>
      <c r="U109" s="5">
        <f>(Q61*($E61/366))+(Q62*($E62/366))</f>
        <v>0</v>
      </c>
      <c r="W109" s="5">
        <f t="shared" si="25"/>
        <v>66.8</v>
      </c>
    </row>
    <row r="110" spans="1:23" x14ac:dyDescent="0.15">
      <c r="A110" s="1">
        <v>2017</v>
      </c>
      <c r="B110" s="5">
        <f>(K63*($E63/365))+(K64*($E64/365))+(K65*($E65/365))</f>
        <v>75.532139093782945</v>
      </c>
      <c r="C110" s="5">
        <f>(L63*($E63/365))+(L64*($E64/365))+(L65*($E65/365))</f>
        <v>0</v>
      </c>
      <c r="D110" s="5">
        <f>(M63*($E63/365))+(M64*($E64/365))+(M65*($E65/365))</f>
        <v>0</v>
      </c>
      <c r="E110" s="17">
        <f t="shared" si="24"/>
        <v>75.532139093782945</v>
      </c>
      <c r="G110" s="1">
        <v>2017</v>
      </c>
      <c r="H110" s="392">
        <f>(O63/$R63*100*($E63/365))+(O64/$R64*100*($E64/365))+(O65/$R65*100*($E65/365))</f>
        <v>100</v>
      </c>
      <c r="I110" s="392"/>
      <c r="J110" s="392">
        <f>(P63/$R63*100*($E63/365))+(P64/$R64*100*($E64/365))+(P65/$R65*100*($E65/365))</f>
        <v>0</v>
      </c>
      <c r="K110" s="392"/>
      <c r="L110" s="392">
        <f>(Q63/$R63*100*($E63/365))+(Q64/$R64*100*($E64/365))+(Q65/$R65*100*($E65/365))</f>
        <v>0</v>
      </c>
      <c r="M110" s="392"/>
      <c r="N110" s="363">
        <f t="shared" si="26"/>
        <v>100</v>
      </c>
      <c r="O110" s="363"/>
      <c r="R110" s="1">
        <v>2017</v>
      </c>
      <c r="S110" s="5">
        <f>(O63*($E63/365))+(O64*($E64/365))+(O65*($E65/365))</f>
        <v>66.8</v>
      </c>
      <c r="T110" s="5">
        <f>(P63*($E63/365))+(P64*($E64/365))+(P65*($E65/365))</f>
        <v>0</v>
      </c>
      <c r="U110" s="5">
        <f>(Q63*($E63/365))+(Q64*($E64/365))+(Q65*($E65/365))</f>
        <v>0</v>
      </c>
      <c r="W110" s="5">
        <f t="shared" si="25"/>
        <v>66.8</v>
      </c>
    </row>
    <row r="111" spans="1:23" x14ac:dyDescent="0.15">
      <c r="A111" s="1">
        <v>2018</v>
      </c>
      <c r="B111" s="5">
        <f>(K66*($E66/365))+(K67*($E67/365))</f>
        <v>76.923076923076934</v>
      </c>
      <c r="C111" s="5">
        <f>(L66*($E66/365))+(L67*($E67/365))</f>
        <v>0</v>
      </c>
      <c r="D111" s="5">
        <f>(M66*($E66/365))+(M67*($E67/365))</f>
        <v>0</v>
      </c>
      <c r="E111" s="17">
        <f t="shared" ref="E111" si="27">SUM(B111:D111)</f>
        <v>76.923076923076934</v>
      </c>
      <c r="G111" s="1">
        <v>2018</v>
      </c>
      <c r="H111" s="392">
        <f>(O66/$R66*100*($E66/365))+(O67/$R67*100*($E67/365))</f>
        <v>100</v>
      </c>
      <c r="I111" s="392"/>
      <c r="J111" s="392">
        <f>(P66/$R66*100*($E66/365))+(P67/$R67*100*($E67/365))</f>
        <v>0</v>
      </c>
      <c r="K111" s="392"/>
      <c r="L111" s="392">
        <f>(Q66/$R66*100*($E66/365))+(Q67/$R67*100*($E67/365))</f>
        <v>0</v>
      </c>
      <c r="M111" s="392"/>
      <c r="N111" s="363">
        <f t="shared" si="26"/>
        <v>100</v>
      </c>
      <c r="O111" s="363"/>
      <c r="R111" s="1">
        <v>2018</v>
      </c>
      <c r="S111" s="5">
        <f>(O66*($E66/365))+(O67*($E67/365))</f>
        <v>66.175342465753417</v>
      </c>
      <c r="T111" s="5">
        <f>(P66*($E66/365))+(P67*($E67/365))</f>
        <v>0</v>
      </c>
      <c r="U111" s="5">
        <f>(Q66*($E66/365))+(Q67*($E67/365))</f>
        <v>0</v>
      </c>
      <c r="W111" s="5">
        <f t="shared" ref="W111" si="28">SUM(S111:U111)</f>
        <v>66.175342465753417</v>
      </c>
    </row>
    <row r="112" spans="1:23" x14ac:dyDescent="0.15">
      <c r="A112" s="1">
        <v>2019</v>
      </c>
      <c r="B112" s="5">
        <f>(K68*($E68/365))+(K69*($E69/365))</f>
        <v>80.821917808219183</v>
      </c>
      <c r="C112" s="5">
        <f>(L68*($E68/365))+(L69*($E69/365))</f>
        <v>0</v>
      </c>
      <c r="D112" s="5">
        <f>(M68*($E68/365))+(M69*($E69/365))</f>
        <v>0</v>
      </c>
      <c r="E112" s="17">
        <f t="shared" ref="E112:E113" si="29">SUM(B112:D112)</f>
        <v>80.821917808219183</v>
      </c>
      <c r="G112" s="1">
        <v>2019</v>
      </c>
      <c r="H112" s="392">
        <f>(O68/$R68*100*($E68/365))+(O69/$R69*100*($E69/365))</f>
        <v>100</v>
      </c>
      <c r="I112" s="392"/>
      <c r="J112" s="392">
        <f>(P68/$R68*100*($E68/365))+(P69/$R69*100*($E69/365))</f>
        <v>0</v>
      </c>
      <c r="K112" s="392"/>
      <c r="L112" s="392">
        <f>(Q68/$R68*100*($E68/365))+(Q69/$R69*100*($E69/365))</f>
        <v>0</v>
      </c>
      <c r="M112" s="392"/>
      <c r="N112" s="363">
        <f t="shared" ref="N112" si="30">SUM(H112:M112)</f>
        <v>100</v>
      </c>
      <c r="O112" s="363"/>
      <c r="R112" s="1">
        <v>2019</v>
      </c>
      <c r="S112" s="5">
        <f>(O68*($E68/365))+(O69*($E69/365))</f>
        <v>65.8</v>
      </c>
      <c r="T112" s="5">
        <f>(P68*($E68/365))+(P69*($E69/365))</f>
        <v>0</v>
      </c>
      <c r="U112" s="5">
        <f>(Q68*($E68/365))+(Q69*($E69/365))</f>
        <v>0</v>
      </c>
      <c r="W112" s="5">
        <f t="shared" ref="W112:W113" si="31">SUM(S112:U112)</f>
        <v>65.8</v>
      </c>
    </row>
    <row r="113" spans="1:23" x14ac:dyDescent="0.15">
      <c r="A113" s="1">
        <v>2020</v>
      </c>
      <c r="B113" s="5">
        <f>(K70*($E70/366))+(K71*($E71/366))</f>
        <v>84.894613583138181</v>
      </c>
      <c r="C113" s="5">
        <f>(L70*($E70/366))+(L71*($E71/366))</f>
        <v>0</v>
      </c>
      <c r="D113" s="5">
        <f>(M70*($E70/366))+(M71*($E71/366))</f>
        <v>0</v>
      </c>
      <c r="E113" s="17">
        <f t="shared" si="29"/>
        <v>84.894613583138181</v>
      </c>
      <c r="G113" s="1">
        <v>2020</v>
      </c>
      <c r="H113" s="392">
        <f>(O70/$R70*100*($E70/366))+(O71/$R71*100*($E71/366))</f>
        <v>100</v>
      </c>
      <c r="I113" s="392"/>
      <c r="J113" s="392">
        <f>(P70/$R70*100*($E70/366))+(P71/$R71*100*($E71/366))</f>
        <v>0</v>
      </c>
      <c r="K113" s="392"/>
      <c r="L113" s="392">
        <f>(Q70/$R70*100*($E70/366))+(Q71/$R71*100*($E71/366))</f>
        <v>0</v>
      </c>
      <c r="M113" s="392"/>
      <c r="N113" s="363">
        <f t="shared" ref="N113" si="32">SUM(H113:M113)</f>
        <v>100</v>
      </c>
      <c r="O113" s="363"/>
      <c r="R113" s="1">
        <v>2020</v>
      </c>
      <c r="S113" s="5">
        <f>(O70*($E70/366))+(O71*($E71/366))</f>
        <v>65.8</v>
      </c>
      <c r="T113" s="5">
        <f>(P70*($E70/366))+(P71*($E71/366))</f>
        <v>0</v>
      </c>
      <c r="U113" s="5">
        <f>(Q70*($E70/366))+(Q71*($E71/366))</f>
        <v>0</v>
      </c>
      <c r="W113" s="5">
        <f t="shared" si="31"/>
        <v>65.8</v>
      </c>
    </row>
    <row r="114" spans="1:23" x14ac:dyDescent="0.15">
      <c r="A114" s="1">
        <v>2021</v>
      </c>
      <c r="B114" s="5">
        <f>(K72*($E72/365))+(K73*($E73/365))</f>
        <v>85.714285714285708</v>
      </c>
      <c r="C114" s="5">
        <f>(L72*($E72/365))+(L73*($E73/365))</f>
        <v>0</v>
      </c>
      <c r="D114" s="5">
        <f>(M72*($E72/365))+(M73*($E73/365))</f>
        <v>0</v>
      </c>
      <c r="E114" s="17">
        <f>SUM(B114:D114)</f>
        <v>85.714285714285708</v>
      </c>
      <c r="G114" s="1">
        <v>2021</v>
      </c>
      <c r="H114" s="392">
        <f>(O72/$R72*100*($E72/365))+(O73/$R73*100*($E73/365))</f>
        <v>100</v>
      </c>
      <c r="I114" s="392"/>
      <c r="J114" s="392">
        <f>(P72/$R72*100*($E72/365))+(P73/$R73*100*($E73/365))</f>
        <v>0</v>
      </c>
      <c r="K114" s="392"/>
      <c r="L114" s="392">
        <f>(Q72/$R72*100*($E72/365))+(Q73/$R73*100*($E73/365))</f>
        <v>0</v>
      </c>
      <c r="M114" s="392"/>
      <c r="N114" s="363">
        <f>SUM(H114:M114)</f>
        <v>100</v>
      </c>
      <c r="O114" s="363"/>
      <c r="R114" s="1">
        <v>2021</v>
      </c>
      <c r="S114" s="5">
        <f>(O72*($E72/365))+(O73*($E73/365))</f>
        <v>65.8</v>
      </c>
      <c r="T114" s="5">
        <f>(P72*($E72/365))+(P73*($E73/365))</f>
        <v>0</v>
      </c>
      <c r="U114" s="5">
        <f>(Q72*($E72/365))+(Q73*($E73/365))</f>
        <v>0</v>
      </c>
      <c r="W114" s="5">
        <f>SUM(S114:U114)</f>
        <v>65.8</v>
      </c>
    </row>
    <row r="115" spans="1:23" x14ac:dyDescent="0.15">
      <c r="A115" s="1">
        <v>2022</v>
      </c>
      <c r="B115" s="5">
        <f>(K74*($E74/365))+(K75*($E75/365))+(K76*($E76/365))+(K77*($E77/365))</f>
        <v>71.497817251241898</v>
      </c>
      <c r="C115" s="5">
        <f>(L74*($E74/365))+(L75*($E75/365))+(L76*($E76/365))+(L77*($E77/365))</f>
        <v>0</v>
      </c>
      <c r="D115" s="5">
        <f>(M74*($E74/365))+(M75*($E75/365))+(M76*($E76/365))+(M77*($E77/365))</f>
        <v>0</v>
      </c>
      <c r="E115" s="17">
        <f>SUM(B115:D115)</f>
        <v>71.497817251241898</v>
      </c>
      <c r="G115" s="1">
        <v>2022</v>
      </c>
      <c r="H115" s="392">
        <f>(O74/$R74*100*($E74/365))+(O75/$R75*100*($E75/365))+(O76/$R76*100*($E76/365))+(O77/$R77*100*($E77/365))</f>
        <v>100</v>
      </c>
      <c r="I115" s="392"/>
      <c r="J115" s="392">
        <f>(P74/$R74*100*($E74/365))+(P75/$R75*100*($E75/365))+(P76/$R76*100*($E76/365))+(P77/$R77*100*($E77/365))</f>
        <v>0</v>
      </c>
      <c r="K115" s="392"/>
      <c r="L115" s="392">
        <f>(Q74/$R74*100*($E74/365))+(Q75/$R75*100*($E75/365))+(Q76/$R76*100*($E76/365))+(Q77/$R77*100*($E77/365))</f>
        <v>0</v>
      </c>
      <c r="M115" s="392"/>
      <c r="N115" s="363">
        <f>SUM(H115:M115)</f>
        <v>100</v>
      </c>
      <c r="O115" s="363"/>
      <c r="R115" s="1">
        <v>2022</v>
      </c>
      <c r="S115" s="5">
        <f>(O74*($E74/365))+(O75*($E75/365))+(O76*($E76/365))+(O77*($E77/365))</f>
        <v>66.712328767123282</v>
      </c>
      <c r="T115" s="5">
        <f>(P74*($E74/365))+(P75*($E75/365))+(P76*($E76/365))+(P77*($E77/365))</f>
        <v>0</v>
      </c>
      <c r="U115" s="5">
        <f>(Q74*($E74/365))+(Q75*($E75/365))+(Q76*($E76/365))+(Q77*($E77/365))</f>
        <v>0</v>
      </c>
      <c r="W115" s="5">
        <f>SUM(S115:U115)</f>
        <v>66.712328767123282</v>
      </c>
    </row>
  </sheetData>
  <mergeCells count="230">
    <mergeCell ref="L112:M112"/>
    <mergeCell ref="N112:O112"/>
    <mergeCell ref="C16:D16"/>
    <mergeCell ref="C17:D17"/>
    <mergeCell ref="C18:D18"/>
    <mergeCell ref="N107:O107"/>
    <mergeCell ref="H97:I97"/>
    <mergeCell ref="H98:I98"/>
    <mergeCell ref="H83:I83"/>
    <mergeCell ref="L83:M83"/>
    <mergeCell ref="N83:O83"/>
    <mergeCell ref="N91:O91"/>
    <mergeCell ref="N92:O92"/>
    <mergeCell ref="N89:O89"/>
    <mergeCell ref="N90:O90"/>
    <mergeCell ref="H92:I92"/>
    <mergeCell ref="H93:I93"/>
    <mergeCell ref="L85:M85"/>
    <mergeCell ref="L86:M86"/>
    <mergeCell ref="L87:M87"/>
    <mergeCell ref="C19:D19"/>
    <mergeCell ref="C20:D20"/>
    <mergeCell ref="L82:M82"/>
    <mergeCell ref="N82:O82"/>
    <mergeCell ref="H82:I82"/>
    <mergeCell ref="J82:K82"/>
    <mergeCell ref="C15:D15"/>
    <mergeCell ref="C12:D12"/>
    <mergeCell ref="C13:D13"/>
    <mergeCell ref="H112:I112"/>
    <mergeCell ref="J112:K112"/>
    <mergeCell ref="C23:D23"/>
    <mergeCell ref="C25:D25"/>
    <mergeCell ref="C26:D26"/>
    <mergeCell ref="C27:D27"/>
    <mergeCell ref="C39:D39"/>
    <mergeCell ref="C28:D28"/>
    <mergeCell ref="C29:D29"/>
    <mergeCell ref="C30:D30"/>
    <mergeCell ref="C31:D31"/>
    <mergeCell ref="C32:D32"/>
    <mergeCell ref="C68:D68"/>
    <mergeCell ref="C69:D69"/>
    <mergeCell ref="C24:D24"/>
    <mergeCell ref="H96:I96"/>
    <mergeCell ref="H85:I85"/>
    <mergeCell ref="C38:D38"/>
    <mergeCell ref="C43:D43"/>
    <mergeCell ref="AX4:BA4"/>
    <mergeCell ref="K4:N4"/>
    <mergeCell ref="O4:R4"/>
    <mergeCell ref="Z4:AC4"/>
    <mergeCell ref="AD4:AG4"/>
    <mergeCell ref="AH4:AK4"/>
    <mergeCell ref="AL4:AO4"/>
    <mergeCell ref="AP4:AS4"/>
    <mergeCell ref="V4:Y4"/>
    <mergeCell ref="S4:S5"/>
    <mergeCell ref="U4:U5"/>
    <mergeCell ref="T4:T5"/>
    <mergeCell ref="AT4:AW4"/>
    <mergeCell ref="C21:D21"/>
    <mergeCell ref="C22:D22"/>
    <mergeCell ref="C10:D10"/>
    <mergeCell ref="C11:D11"/>
    <mergeCell ref="G3:M3"/>
    <mergeCell ref="O3:Q3"/>
    <mergeCell ref="A4:A5"/>
    <mergeCell ref="B4:B5"/>
    <mergeCell ref="C4:D5"/>
    <mergeCell ref="E4:E5"/>
    <mergeCell ref="F4:F5"/>
    <mergeCell ref="G4:J4"/>
    <mergeCell ref="C7:D7"/>
    <mergeCell ref="C6:D6"/>
    <mergeCell ref="C9:D9"/>
    <mergeCell ref="C14:D14"/>
    <mergeCell ref="H89:I89"/>
    <mergeCell ref="H90:I90"/>
    <mergeCell ref="H84:I84"/>
    <mergeCell ref="C70:D70"/>
    <mergeCell ref="C71:D71"/>
    <mergeCell ref="J83:K83"/>
    <mergeCell ref="C8:D8"/>
    <mergeCell ref="R80:W80"/>
    <mergeCell ref="C58:D58"/>
    <mergeCell ref="C59:D59"/>
    <mergeCell ref="C60:D60"/>
    <mergeCell ref="C56:D56"/>
    <mergeCell ref="C54:D54"/>
    <mergeCell ref="C57:D57"/>
    <mergeCell ref="C33:D33"/>
    <mergeCell ref="C40:D40"/>
    <mergeCell ref="C41:D41"/>
    <mergeCell ref="C42:D42"/>
    <mergeCell ref="C44:D44"/>
    <mergeCell ref="C45:D45"/>
    <mergeCell ref="C34:D34"/>
    <mergeCell ref="C35:D35"/>
    <mergeCell ref="C36:D36"/>
    <mergeCell ref="C37:D37"/>
    <mergeCell ref="L84:M84"/>
    <mergeCell ref="L89:M89"/>
    <mergeCell ref="L90:M90"/>
    <mergeCell ref="J92:K92"/>
    <mergeCell ref="J93:K93"/>
    <mergeCell ref="L88:M88"/>
    <mergeCell ref="C46:D46"/>
    <mergeCell ref="C47:D47"/>
    <mergeCell ref="C48:D48"/>
    <mergeCell ref="C49:D49"/>
    <mergeCell ref="C50:D50"/>
    <mergeCell ref="J90:K90"/>
    <mergeCell ref="J91:K91"/>
    <mergeCell ref="C51:D51"/>
    <mergeCell ref="C53:D53"/>
    <mergeCell ref="C55:D55"/>
    <mergeCell ref="C52:D52"/>
    <mergeCell ref="C63:D63"/>
    <mergeCell ref="C64:D64"/>
    <mergeCell ref="C65:D65"/>
    <mergeCell ref="C62:D62"/>
    <mergeCell ref="C61:D61"/>
    <mergeCell ref="H86:I86"/>
    <mergeCell ref="H88:I88"/>
    <mergeCell ref="L93:M93"/>
    <mergeCell ref="L94:M94"/>
    <mergeCell ref="L95:M95"/>
    <mergeCell ref="J94:K94"/>
    <mergeCell ref="J95:K95"/>
    <mergeCell ref="J85:K85"/>
    <mergeCell ref="J86:K86"/>
    <mergeCell ref="J87:K87"/>
    <mergeCell ref="J88:K88"/>
    <mergeCell ref="H108:I108"/>
    <mergeCell ref="J108:K108"/>
    <mergeCell ref="L108:M108"/>
    <mergeCell ref="N108:O108"/>
    <mergeCell ref="H107:I107"/>
    <mergeCell ref="H102:I102"/>
    <mergeCell ref="N84:O84"/>
    <mergeCell ref="H87:I87"/>
    <mergeCell ref="H94:I94"/>
    <mergeCell ref="H95:I95"/>
    <mergeCell ref="N86:O86"/>
    <mergeCell ref="N85:O85"/>
    <mergeCell ref="N93:O93"/>
    <mergeCell ref="N94:O94"/>
    <mergeCell ref="L97:M97"/>
    <mergeCell ref="L96:M96"/>
    <mergeCell ref="H91:I91"/>
    <mergeCell ref="L98:M98"/>
    <mergeCell ref="J97:K97"/>
    <mergeCell ref="J98:K98"/>
    <mergeCell ref="J84:K84"/>
    <mergeCell ref="J89:K89"/>
    <mergeCell ref="L91:M91"/>
    <mergeCell ref="L92:M92"/>
    <mergeCell ref="H99:I99"/>
    <mergeCell ref="C72:D72"/>
    <mergeCell ref="C73:D73"/>
    <mergeCell ref="N87:O87"/>
    <mergeCell ref="N88:O88"/>
    <mergeCell ref="N95:O95"/>
    <mergeCell ref="H100:I100"/>
    <mergeCell ref="H101:I101"/>
    <mergeCell ref="N111:O111"/>
    <mergeCell ref="J110:K110"/>
    <mergeCell ref="L110:M110"/>
    <mergeCell ref="H110:I110"/>
    <mergeCell ref="N110:O110"/>
    <mergeCell ref="N105:O105"/>
    <mergeCell ref="N109:O109"/>
    <mergeCell ref="H106:I106"/>
    <mergeCell ref="J106:K106"/>
    <mergeCell ref="L106:M106"/>
    <mergeCell ref="H109:I109"/>
    <mergeCell ref="J109:K109"/>
    <mergeCell ref="L109:M109"/>
    <mergeCell ref="H105:I105"/>
    <mergeCell ref="J105:K105"/>
    <mergeCell ref="L105:M105"/>
    <mergeCell ref="N100:O100"/>
    <mergeCell ref="L103:M103"/>
    <mergeCell ref="H104:I104"/>
    <mergeCell ref="J107:K107"/>
    <mergeCell ref="L107:M107"/>
    <mergeCell ref="H111:I111"/>
    <mergeCell ref="J111:K111"/>
    <mergeCell ref="L111:M111"/>
    <mergeCell ref="C66:D66"/>
    <mergeCell ref="C67:D67"/>
    <mergeCell ref="J104:K104"/>
    <mergeCell ref="N103:O103"/>
    <mergeCell ref="J102:K102"/>
    <mergeCell ref="J103:K103"/>
    <mergeCell ref="N96:O96"/>
    <mergeCell ref="N97:O97"/>
    <mergeCell ref="N98:O98"/>
    <mergeCell ref="J96:K96"/>
    <mergeCell ref="L102:M102"/>
    <mergeCell ref="L100:M100"/>
    <mergeCell ref="L101:M101"/>
    <mergeCell ref="L104:M104"/>
    <mergeCell ref="H103:I103"/>
    <mergeCell ref="L99:M99"/>
    <mergeCell ref="C74:D74"/>
    <mergeCell ref="C75:D75"/>
    <mergeCell ref="C76:D76"/>
    <mergeCell ref="C77:D77"/>
    <mergeCell ref="H115:I115"/>
    <mergeCell ref="J115:K115"/>
    <mergeCell ref="L115:M115"/>
    <mergeCell ref="N115:O115"/>
    <mergeCell ref="H114:I114"/>
    <mergeCell ref="J114:K114"/>
    <mergeCell ref="L114:M114"/>
    <mergeCell ref="N114:O114"/>
    <mergeCell ref="H113:I113"/>
    <mergeCell ref="J113:K113"/>
    <mergeCell ref="L113:M113"/>
    <mergeCell ref="N113:O113"/>
    <mergeCell ref="N99:O99"/>
    <mergeCell ref="J99:K99"/>
    <mergeCell ref="J100:K100"/>
    <mergeCell ref="J101:K101"/>
    <mergeCell ref="N104:O104"/>
    <mergeCell ref="N101:O101"/>
    <mergeCell ref="N102:O102"/>
    <mergeCell ref="N106:O106"/>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BA204"/>
  <sheetViews>
    <sheetView zoomScale="110" zoomScaleNormal="120" workbookViewId="0">
      <pane xSplit="1" ySplit="5" topLeftCell="AL125"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33" width="5.6640625" style="1" customWidth="1"/>
    <col min="34" max="34" width="5.6640625" style="22" customWidth="1"/>
    <col min="35" max="53" width="5.6640625" style="1" customWidth="1"/>
    <col min="54" max="16384" width="10.6640625" style="1"/>
  </cols>
  <sheetData>
    <row r="1" spans="1:53" ht="15" customHeight="1" x14ac:dyDescent="0.15">
      <c r="B1" s="15" t="s">
        <v>14</v>
      </c>
    </row>
    <row r="2" spans="1:53" ht="15" customHeight="1" x14ac:dyDescent="0.15">
      <c r="B2" s="15" t="s">
        <v>57</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139" customFormat="1" ht="9" customHeight="1" x14ac:dyDescent="0.15">
      <c r="A6" s="145">
        <v>1959</v>
      </c>
      <c r="B6" s="294"/>
      <c r="C6" s="398" t="s">
        <v>1227</v>
      </c>
      <c r="D6" s="398"/>
      <c r="E6" s="139">
        <v>323</v>
      </c>
      <c r="G6" s="147"/>
      <c r="I6" s="139">
        <v>4</v>
      </c>
      <c r="J6" s="153">
        <v>4</v>
      </c>
      <c r="K6" s="133">
        <f t="shared" ref="K6:M8" si="0">G6/$J6*100</f>
        <v>0</v>
      </c>
      <c r="L6" s="133">
        <f t="shared" si="0"/>
        <v>0</v>
      </c>
      <c r="M6" s="133">
        <f t="shared" si="0"/>
        <v>100</v>
      </c>
      <c r="N6" s="149">
        <f>K6+L6+M6</f>
        <v>100</v>
      </c>
      <c r="O6" s="132"/>
      <c r="P6" s="133"/>
      <c r="Q6" s="133">
        <v>15</v>
      </c>
      <c r="R6" s="134">
        <f>O6+P6+Q6</f>
        <v>15</v>
      </c>
      <c r="S6" s="139">
        <v>4</v>
      </c>
      <c r="T6" s="306"/>
      <c r="U6" s="294"/>
      <c r="V6" s="158" t="s">
        <v>111</v>
      </c>
      <c r="W6" s="139" t="s">
        <v>20</v>
      </c>
      <c r="X6" s="139" t="s">
        <v>12</v>
      </c>
      <c r="Y6" s="139">
        <v>15</v>
      </c>
      <c r="AD6" s="138"/>
      <c r="AG6" s="140"/>
      <c r="AH6" s="157"/>
      <c r="AL6" s="138"/>
      <c r="AO6" s="140"/>
      <c r="AP6" s="138"/>
      <c r="AS6" s="140"/>
      <c r="AW6" s="140"/>
      <c r="BA6" s="141"/>
    </row>
    <row r="7" spans="1:53" s="139" customFormat="1" x14ac:dyDescent="0.15">
      <c r="A7" s="145">
        <v>1959</v>
      </c>
      <c r="B7" s="294">
        <v>21874</v>
      </c>
      <c r="C7" s="398" t="s">
        <v>275</v>
      </c>
      <c r="D7" s="398"/>
      <c r="E7" s="139">
        <f>365-E6</f>
        <v>42</v>
      </c>
      <c r="F7" s="139">
        <v>1</v>
      </c>
      <c r="G7" s="147">
        <v>4</v>
      </c>
      <c r="I7" s="139">
        <v>2</v>
      </c>
      <c r="J7" s="153">
        <v>6</v>
      </c>
      <c r="K7" s="133">
        <f t="shared" si="0"/>
        <v>66.666666666666657</v>
      </c>
      <c r="L7" s="133">
        <f t="shared" si="0"/>
        <v>0</v>
      </c>
      <c r="M7" s="133">
        <f t="shared" si="0"/>
        <v>33.333333333333329</v>
      </c>
      <c r="N7" s="149">
        <f>K7+L7+M7</f>
        <v>99.999999999999986</v>
      </c>
      <c r="O7" s="132">
        <v>40</v>
      </c>
      <c r="P7" s="133"/>
      <c r="Q7" s="133">
        <v>15</v>
      </c>
      <c r="R7" s="134">
        <f>O7+P7+Q7</f>
        <v>55</v>
      </c>
      <c r="S7" s="139">
        <v>2</v>
      </c>
      <c r="T7" s="306">
        <v>21849</v>
      </c>
      <c r="U7" s="294">
        <v>21874</v>
      </c>
      <c r="V7" s="138" t="s">
        <v>558</v>
      </c>
      <c r="W7" s="139" t="s">
        <v>74</v>
      </c>
      <c r="X7" s="139" t="s">
        <v>11</v>
      </c>
      <c r="Y7" s="140">
        <v>40</v>
      </c>
      <c r="Z7" s="139" t="s">
        <v>111</v>
      </c>
      <c r="AA7" s="139" t="s">
        <v>20</v>
      </c>
      <c r="AB7" s="139" t="s">
        <v>12</v>
      </c>
      <c r="AC7" s="139">
        <v>15</v>
      </c>
      <c r="AD7" s="138"/>
      <c r="AG7" s="140"/>
      <c r="AH7" s="157"/>
      <c r="AL7" s="138"/>
      <c r="AO7" s="140"/>
      <c r="AP7" s="138"/>
      <c r="AS7" s="140"/>
      <c r="AW7" s="140"/>
      <c r="BA7" s="141"/>
    </row>
    <row r="8" spans="1:53" s="28" customFormat="1" x14ac:dyDescent="0.15">
      <c r="A8" s="51">
        <v>1960</v>
      </c>
      <c r="B8" s="293"/>
      <c r="C8" s="394" t="s">
        <v>275</v>
      </c>
      <c r="D8" s="394"/>
      <c r="E8" s="28">
        <v>0</v>
      </c>
      <c r="G8" s="65">
        <v>4</v>
      </c>
      <c r="I8" s="28">
        <v>2</v>
      </c>
      <c r="J8" s="72">
        <v>6</v>
      </c>
      <c r="K8" s="46">
        <f t="shared" si="0"/>
        <v>66.666666666666657</v>
      </c>
      <c r="L8" s="46">
        <f t="shared" si="0"/>
        <v>0</v>
      </c>
      <c r="M8" s="46">
        <f t="shared" si="0"/>
        <v>33.333333333333329</v>
      </c>
      <c r="N8" s="67">
        <f>K8+L8+M8</f>
        <v>99.999999999999986</v>
      </c>
      <c r="O8" s="45">
        <v>40</v>
      </c>
      <c r="P8" s="46"/>
      <c r="Q8" s="46">
        <v>15</v>
      </c>
      <c r="R8" s="47">
        <f>O8+P8+Q8</f>
        <v>55</v>
      </c>
      <c r="S8" s="28">
        <v>2</v>
      </c>
      <c r="T8" s="284"/>
      <c r="U8" s="293"/>
      <c r="V8" s="37" t="s">
        <v>558</v>
      </c>
      <c r="W8" s="28" t="s">
        <v>74</v>
      </c>
      <c r="X8" s="28" t="s">
        <v>11</v>
      </c>
      <c r="Y8" s="38">
        <v>40</v>
      </c>
      <c r="Z8" s="28" t="s">
        <v>111</v>
      </c>
      <c r="AA8" s="28" t="s">
        <v>20</v>
      </c>
      <c r="AB8" s="28" t="s">
        <v>12</v>
      </c>
      <c r="AC8" s="28">
        <v>15</v>
      </c>
      <c r="AD8" s="37"/>
      <c r="AG8" s="38"/>
      <c r="AH8" s="93"/>
      <c r="AL8" s="37"/>
      <c r="AO8" s="38"/>
      <c r="AP8" s="37"/>
      <c r="AS8" s="38"/>
      <c r="AW8" s="38"/>
      <c r="BA8" s="39"/>
    </row>
    <row r="9" spans="1:53" s="28" customFormat="1" x14ac:dyDescent="0.15">
      <c r="A9" s="51">
        <v>1960</v>
      </c>
      <c r="B9" s="293"/>
      <c r="C9" s="394" t="s">
        <v>275</v>
      </c>
      <c r="D9" s="394"/>
      <c r="E9" s="28">
        <v>366</v>
      </c>
      <c r="G9" s="65">
        <v>4</v>
      </c>
      <c r="I9" s="28">
        <v>2</v>
      </c>
      <c r="J9" s="72">
        <v>6</v>
      </c>
      <c r="K9" s="46">
        <f t="shared" ref="K9:M43" si="1">G9/$J9*100</f>
        <v>66.666666666666657</v>
      </c>
      <c r="L9" s="46">
        <f t="shared" si="1"/>
        <v>0</v>
      </c>
      <c r="M9" s="46">
        <f t="shared" si="1"/>
        <v>33.333333333333329</v>
      </c>
      <c r="N9" s="67">
        <f t="shared" ref="N9:N72" si="2">K9+L9+M9</f>
        <v>99.999999999999986</v>
      </c>
      <c r="O9" s="45">
        <v>40</v>
      </c>
      <c r="P9" s="46"/>
      <c r="Q9" s="46">
        <v>15</v>
      </c>
      <c r="R9" s="47">
        <f t="shared" ref="R9:R73" si="3">O9+P9+Q9</f>
        <v>55</v>
      </c>
      <c r="S9" s="28">
        <v>2</v>
      </c>
      <c r="T9" s="284"/>
      <c r="U9" s="293"/>
      <c r="V9" s="37" t="s">
        <v>558</v>
      </c>
      <c r="W9" s="28" t="s">
        <v>74</v>
      </c>
      <c r="X9" s="28" t="s">
        <v>11</v>
      </c>
      <c r="Y9" s="38">
        <v>40</v>
      </c>
      <c r="Z9" s="28" t="s">
        <v>111</v>
      </c>
      <c r="AA9" s="28" t="s">
        <v>20</v>
      </c>
      <c r="AB9" s="28" t="s">
        <v>12</v>
      </c>
      <c r="AC9" s="28">
        <v>15</v>
      </c>
      <c r="AD9" s="37"/>
      <c r="AG9" s="38"/>
      <c r="AH9" s="93"/>
      <c r="AL9" s="37"/>
      <c r="AO9" s="38"/>
      <c r="AP9" s="37"/>
      <c r="AS9" s="38"/>
      <c r="AW9" s="38"/>
      <c r="BA9" s="39"/>
    </row>
    <row r="10" spans="1:53" s="28" customFormat="1" x14ac:dyDescent="0.15">
      <c r="A10" s="51">
        <v>1961</v>
      </c>
      <c r="B10" s="293"/>
      <c r="C10" s="394" t="s">
        <v>275</v>
      </c>
      <c r="D10" s="394"/>
      <c r="E10" s="28">
        <v>0</v>
      </c>
      <c r="G10" s="65">
        <v>4</v>
      </c>
      <c r="I10" s="28">
        <v>2</v>
      </c>
      <c r="J10" s="72">
        <v>6</v>
      </c>
      <c r="K10" s="46">
        <f t="shared" si="1"/>
        <v>66.666666666666657</v>
      </c>
      <c r="L10" s="46">
        <f t="shared" si="1"/>
        <v>0</v>
      </c>
      <c r="M10" s="46">
        <f t="shared" si="1"/>
        <v>33.333333333333329</v>
      </c>
      <c r="N10" s="67">
        <f t="shared" si="2"/>
        <v>99.999999999999986</v>
      </c>
      <c r="O10" s="45">
        <v>40</v>
      </c>
      <c r="P10" s="46"/>
      <c r="Q10" s="46">
        <v>15</v>
      </c>
      <c r="R10" s="47">
        <f t="shared" si="3"/>
        <v>55</v>
      </c>
      <c r="S10" s="28">
        <v>2</v>
      </c>
      <c r="T10" s="284"/>
      <c r="U10" s="293"/>
      <c r="V10" s="37" t="s">
        <v>558</v>
      </c>
      <c r="W10" s="28" t="s">
        <v>74</v>
      </c>
      <c r="X10" s="28" t="s">
        <v>11</v>
      </c>
      <c r="Y10" s="38">
        <v>40</v>
      </c>
      <c r="Z10" s="28" t="s">
        <v>111</v>
      </c>
      <c r="AA10" s="28" t="s">
        <v>20</v>
      </c>
      <c r="AB10" s="28" t="s">
        <v>12</v>
      </c>
      <c r="AC10" s="28">
        <v>15</v>
      </c>
      <c r="AD10" s="37"/>
      <c r="AG10" s="38"/>
      <c r="AH10" s="93"/>
      <c r="AL10" s="37"/>
      <c r="AO10" s="38"/>
      <c r="AP10" s="37"/>
      <c r="AS10" s="38"/>
      <c r="AW10" s="38"/>
      <c r="BA10" s="39"/>
    </row>
    <row r="11" spans="1:53" s="28" customFormat="1" x14ac:dyDescent="0.15">
      <c r="A11" s="51">
        <v>1961</v>
      </c>
      <c r="B11" s="293"/>
      <c r="C11" s="394" t="s">
        <v>275</v>
      </c>
      <c r="D11" s="394"/>
      <c r="E11" s="28">
        <v>365</v>
      </c>
      <c r="G11" s="65">
        <v>4</v>
      </c>
      <c r="I11" s="28">
        <v>2</v>
      </c>
      <c r="J11" s="72">
        <v>6</v>
      </c>
      <c r="K11" s="46">
        <f t="shared" si="1"/>
        <v>66.666666666666657</v>
      </c>
      <c r="L11" s="46">
        <f t="shared" si="1"/>
        <v>0</v>
      </c>
      <c r="M11" s="46">
        <f t="shared" si="1"/>
        <v>33.333333333333329</v>
      </c>
      <c r="N11" s="67">
        <f t="shared" si="2"/>
        <v>99.999999999999986</v>
      </c>
      <c r="O11" s="45">
        <v>40</v>
      </c>
      <c r="P11" s="46"/>
      <c r="Q11" s="46">
        <v>15</v>
      </c>
      <c r="R11" s="47">
        <f t="shared" si="3"/>
        <v>55</v>
      </c>
      <c r="S11" s="28">
        <v>2</v>
      </c>
      <c r="T11" s="284"/>
      <c r="U11" s="293"/>
      <c r="V11" s="37" t="s">
        <v>558</v>
      </c>
      <c r="W11" s="28" t="s">
        <v>74</v>
      </c>
      <c r="X11" s="28" t="s">
        <v>11</v>
      </c>
      <c r="Y11" s="38">
        <v>40</v>
      </c>
      <c r="Z11" s="28" t="s">
        <v>111</v>
      </c>
      <c r="AA11" s="28" t="s">
        <v>20</v>
      </c>
      <c r="AB11" s="28" t="s">
        <v>12</v>
      </c>
      <c r="AC11" s="28">
        <v>15</v>
      </c>
      <c r="AD11" s="37"/>
      <c r="AG11" s="38"/>
      <c r="AH11" s="93"/>
      <c r="AL11" s="37"/>
      <c r="AO11" s="38"/>
      <c r="AP11" s="37"/>
      <c r="AS11" s="38"/>
      <c r="AW11" s="38"/>
      <c r="BA11" s="39"/>
    </row>
    <row r="12" spans="1:53" s="28" customFormat="1" x14ac:dyDescent="0.15">
      <c r="A12" s="51">
        <v>1962</v>
      </c>
      <c r="B12" s="293"/>
      <c r="C12" s="394" t="s">
        <v>275</v>
      </c>
      <c r="D12" s="394"/>
      <c r="E12" s="28">
        <v>0</v>
      </c>
      <c r="G12" s="65">
        <v>4</v>
      </c>
      <c r="I12" s="28">
        <v>2</v>
      </c>
      <c r="J12" s="72">
        <v>6</v>
      </c>
      <c r="K12" s="46">
        <f t="shared" si="1"/>
        <v>66.666666666666657</v>
      </c>
      <c r="L12" s="46">
        <f t="shared" si="1"/>
        <v>0</v>
      </c>
      <c r="M12" s="46">
        <f t="shared" si="1"/>
        <v>33.333333333333329</v>
      </c>
      <c r="N12" s="67">
        <f t="shared" si="2"/>
        <v>99.999999999999986</v>
      </c>
      <c r="O12" s="45">
        <v>40</v>
      </c>
      <c r="P12" s="46"/>
      <c r="Q12" s="46">
        <v>15</v>
      </c>
      <c r="R12" s="47">
        <f t="shared" si="3"/>
        <v>55</v>
      </c>
      <c r="S12" s="28">
        <v>2</v>
      </c>
      <c r="T12" s="284"/>
      <c r="U12" s="293"/>
      <c r="V12" s="37" t="s">
        <v>558</v>
      </c>
      <c r="W12" s="28" t="s">
        <v>74</v>
      </c>
      <c r="X12" s="28" t="s">
        <v>11</v>
      </c>
      <c r="Y12" s="38">
        <v>40</v>
      </c>
      <c r="Z12" s="28" t="s">
        <v>111</v>
      </c>
      <c r="AA12" s="28" t="s">
        <v>20</v>
      </c>
      <c r="AB12" s="28" t="s">
        <v>12</v>
      </c>
      <c r="AC12" s="28">
        <v>15</v>
      </c>
      <c r="AD12" s="37"/>
      <c r="AG12" s="38"/>
      <c r="AH12" s="93"/>
      <c r="AL12" s="37"/>
      <c r="AO12" s="38"/>
      <c r="AP12" s="37"/>
      <c r="AS12" s="38"/>
      <c r="AW12" s="38"/>
      <c r="BA12" s="39"/>
    </row>
    <row r="13" spans="1:53" s="28" customFormat="1" x14ac:dyDescent="0.15">
      <c r="A13" s="51">
        <v>1962</v>
      </c>
      <c r="B13" s="293"/>
      <c r="C13" s="394" t="s">
        <v>275</v>
      </c>
      <c r="D13" s="394"/>
      <c r="E13" s="28">
        <v>365</v>
      </c>
      <c r="G13" s="65">
        <v>4</v>
      </c>
      <c r="I13" s="28">
        <v>2</v>
      </c>
      <c r="J13" s="72">
        <v>6</v>
      </c>
      <c r="K13" s="46">
        <f t="shared" si="1"/>
        <v>66.666666666666657</v>
      </c>
      <c r="L13" s="46">
        <f t="shared" si="1"/>
        <v>0</v>
      </c>
      <c r="M13" s="46">
        <f t="shared" si="1"/>
        <v>33.333333333333329</v>
      </c>
      <c r="N13" s="67">
        <f t="shared" si="2"/>
        <v>99.999999999999986</v>
      </c>
      <c r="O13" s="45">
        <v>40</v>
      </c>
      <c r="P13" s="46"/>
      <c r="Q13" s="46">
        <v>15</v>
      </c>
      <c r="R13" s="47">
        <f t="shared" si="3"/>
        <v>55</v>
      </c>
      <c r="S13" s="28">
        <v>2</v>
      </c>
      <c r="T13" s="284"/>
      <c r="U13" s="293"/>
      <c r="V13" s="37" t="s">
        <v>558</v>
      </c>
      <c r="W13" s="28" t="s">
        <v>74</v>
      </c>
      <c r="X13" s="28" t="s">
        <v>11</v>
      </c>
      <c r="Y13" s="38">
        <v>40</v>
      </c>
      <c r="Z13" s="28" t="s">
        <v>111</v>
      </c>
      <c r="AA13" s="28" t="s">
        <v>20</v>
      </c>
      <c r="AB13" s="28" t="s">
        <v>12</v>
      </c>
      <c r="AC13" s="28">
        <v>15</v>
      </c>
      <c r="AD13" s="37"/>
      <c r="AG13" s="38"/>
      <c r="AH13" s="93"/>
      <c r="AL13" s="37"/>
      <c r="AO13" s="38"/>
      <c r="AP13" s="37"/>
      <c r="AS13" s="38"/>
      <c r="AW13" s="38"/>
      <c r="BA13" s="39"/>
    </row>
    <row r="14" spans="1:53" s="28" customFormat="1" x14ac:dyDescent="0.15">
      <c r="A14" s="51">
        <v>1963</v>
      </c>
      <c r="B14" s="293"/>
      <c r="C14" s="394" t="s">
        <v>275</v>
      </c>
      <c r="D14" s="394"/>
      <c r="E14" s="28">
        <v>317</v>
      </c>
      <c r="G14" s="65">
        <v>4</v>
      </c>
      <c r="I14" s="28">
        <v>2</v>
      </c>
      <c r="J14" s="72">
        <v>6</v>
      </c>
      <c r="K14" s="46">
        <f t="shared" si="1"/>
        <v>66.666666666666657</v>
      </c>
      <c r="L14" s="46">
        <f t="shared" si="1"/>
        <v>0</v>
      </c>
      <c r="M14" s="46">
        <f t="shared" si="1"/>
        <v>33.333333333333329</v>
      </c>
      <c r="N14" s="67">
        <f t="shared" si="2"/>
        <v>99.999999999999986</v>
      </c>
      <c r="O14" s="45">
        <v>40</v>
      </c>
      <c r="P14" s="46"/>
      <c r="Q14" s="46">
        <v>15</v>
      </c>
      <c r="R14" s="47">
        <f t="shared" si="3"/>
        <v>55</v>
      </c>
      <c r="S14" s="28">
        <v>2</v>
      </c>
      <c r="T14" s="284"/>
      <c r="U14" s="293"/>
      <c r="V14" s="37" t="s">
        <v>558</v>
      </c>
      <c r="W14" s="28" t="s">
        <v>74</v>
      </c>
      <c r="X14" s="28" t="s">
        <v>11</v>
      </c>
      <c r="Y14" s="38">
        <v>40</v>
      </c>
      <c r="Z14" s="28" t="s">
        <v>111</v>
      </c>
      <c r="AA14" s="28" t="s">
        <v>20</v>
      </c>
      <c r="AB14" s="28" t="s">
        <v>12</v>
      </c>
      <c r="AC14" s="28">
        <v>15</v>
      </c>
      <c r="AD14" s="37"/>
      <c r="AG14" s="38"/>
      <c r="AH14" s="93"/>
      <c r="AL14" s="37"/>
      <c r="AO14" s="38"/>
      <c r="AP14" s="37"/>
      <c r="AS14" s="38"/>
      <c r="AW14" s="38"/>
      <c r="BA14" s="39"/>
    </row>
    <row r="15" spans="1:53" s="170" customFormat="1" x14ac:dyDescent="0.15">
      <c r="A15" s="215">
        <v>1963</v>
      </c>
      <c r="B15" s="281">
        <v>23329</v>
      </c>
      <c r="C15" s="395" t="s">
        <v>1446</v>
      </c>
      <c r="D15" s="395"/>
      <c r="E15" s="170">
        <f>365-E14</f>
        <v>48</v>
      </c>
      <c r="F15" s="170">
        <v>3</v>
      </c>
      <c r="G15" s="232">
        <v>4</v>
      </c>
      <c r="I15" s="170">
        <v>3</v>
      </c>
      <c r="J15" s="240">
        <v>7</v>
      </c>
      <c r="K15" s="213">
        <f t="shared" si="1"/>
        <v>57.142857142857139</v>
      </c>
      <c r="L15" s="213">
        <f t="shared" si="1"/>
        <v>0</v>
      </c>
      <c r="M15" s="213">
        <f t="shared" si="1"/>
        <v>42.857142857142854</v>
      </c>
      <c r="N15" s="234">
        <f t="shared" si="2"/>
        <v>100</v>
      </c>
      <c r="O15" s="212">
        <v>40</v>
      </c>
      <c r="P15" s="213"/>
      <c r="Q15" s="213">
        <v>13.3</v>
      </c>
      <c r="R15" s="214">
        <f t="shared" si="3"/>
        <v>53.3</v>
      </c>
      <c r="S15" s="170">
        <v>2</v>
      </c>
      <c r="T15" s="283">
        <v>23171</v>
      </c>
      <c r="U15" s="281">
        <v>23329</v>
      </c>
      <c r="V15" s="177" t="s">
        <v>558</v>
      </c>
      <c r="W15" s="170" t="s">
        <v>74</v>
      </c>
      <c r="X15" s="170" t="s">
        <v>11</v>
      </c>
      <c r="Y15" s="178">
        <v>40</v>
      </c>
      <c r="Z15" s="170" t="s">
        <v>111</v>
      </c>
      <c r="AA15" s="170" t="s">
        <v>20</v>
      </c>
      <c r="AB15" s="170" t="s">
        <v>12</v>
      </c>
      <c r="AC15" s="170">
        <v>13.3</v>
      </c>
      <c r="AD15" s="177"/>
      <c r="AG15" s="178"/>
      <c r="AH15" s="252"/>
      <c r="AL15" s="177"/>
      <c r="AO15" s="178"/>
      <c r="AP15" s="177"/>
      <c r="AS15" s="178"/>
      <c r="AW15" s="178"/>
      <c r="BA15" s="179"/>
    </row>
    <row r="16" spans="1:53" s="170" customFormat="1" x14ac:dyDescent="0.15">
      <c r="A16" s="215">
        <v>1964</v>
      </c>
      <c r="B16" s="281"/>
      <c r="C16" s="428" t="s">
        <v>1447</v>
      </c>
      <c r="D16" s="395"/>
      <c r="E16" s="170">
        <v>0</v>
      </c>
      <c r="G16" s="232">
        <v>4</v>
      </c>
      <c r="I16" s="170">
        <v>3</v>
      </c>
      <c r="J16" s="240">
        <v>7</v>
      </c>
      <c r="K16" s="213">
        <f t="shared" si="1"/>
        <v>57.142857142857139</v>
      </c>
      <c r="L16" s="213">
        <f t="shared" si="1"/>
        <v>0</v>
      </c>
      <c r="M16" s="213">
        <f t="shared" si="1"/>
        <v>42.857142857142854</v>
      </c>
      <c r="N16" s="234">
        <f t="shared" si="2"/>
        <v>100</v>
      </c>
      <c r="O16" s="212">
        <v>40</v>
      </c>
      <c r="P16" s="213"/>
      <c r="Q16" s="213">
        <v>13.3</v>
      </c>
      <c r="R16" s="214">
        <f t="shared" si="3"/>
        <v>53.3</v>
      </c>
      <c r="S16" s="170">
        <v>2</v>
      </c>
      <c r="T16" s="283"/>
      <c r="U16" s="281"/>
      <c r="V16" s="177" t="s">
        <v>558</v>
      </c>
      <c r="W16" s="170" t="s">
        <v>74</v>
      </c>
      <c r="X16" s="170" t="s">
        <v>11</v>
      </c>
      <c r="Y16" s="178">
        <v>40</v>
      </c>
      <c r="Z16" s="170" t="s">
        <v>111</v>
      </c>
      <c r="AA16" s="170" t="s">
        <v>20</v>
      </c>
      <c r="AB16" s="170" t="s">
        <v>12</v>
      </c>
      <c r="AC16" s="170">
        <v>13.3</v>
      </c>
      <c r="AD16" s="177"/>
      <c r="AG16" s="178"/>
      <c r="AH16" s="252"/>
      <c r="AL16" s="177"/>
      <c r="AO16" s="178"/>
      <c r="AP16" s="177"/>
      <c r="AS16" s="178"/>
      <c r="AW16" s="178"/>
      <c r="BA16" s="179"/>
    </row>
    <row r="17" spans="1:53" s="170" customFormat="1" x14ac:dyDescent="0.15">
      <c r="A17" s="215">
        <v>1964</v>
      </c>
      <c r="B17" s="281"/>
      <c r="C17" s="428" t="s">
        <v>1447</v>
      </c>
      <c r="D17" s="395"/>
      <c r="E17" s="170">
        <v>366</v>
      </c>
      <c r="G17" s="232">
        <v>4</v>
      </c>
      <c r="I17" s="170">
        <v>3</v>
      </c>
      <c r="J17" s="240">
        <v>7</v>
      </c>
      <c r="K17" s="213">
        <f t="shared" si="1"/>
        <v>57.142857142857139</v>
      </c>
      <c r="L17" s="213">
        <f t="shared" si="1"/>
        <v>0</v>
      </c>
      <c r="M17" s="213">
        <f t="shared" si="1"/>
        <v>42.857142857142854</v>
      </c>
      <c r="N17" s="234">
        <f t="shared" si="2"/>
        <v>100</v>
      </c>
      <c r="O17" s="212">
        <v>40</v>
      </c>
      <c r="P17" s="213"/>
      <c r="Q17" s="213">
        <v>13.3</v>
      </c>
      <c r="R17" s="214">
        <f t="shared" si="3"/>
        <v>53.3</v>
      </c>
      <c r="S17" s="170">
        <v>2</v>
      </c>
      <c r="T17" s="283"/>
      <c r="U17" s="281"/>
      <c r="V17" s="177" t="s">
        <v>558</v>
      </c>
      <c r="W17" s="170" t="s">
        <v>74</v>
      </c>
      <c r="X17" s="170" t="s">
        <v>11</v>
      </c>
      <c r="Y17" s="178">
        <v>40</v>
      </c>
      <c r="Z17" s="170" t="s">
        <v>111</v>
      </c>
      <c r="AA17" s="170" t="s">
        <v>20</v>
      </c>
      <c r="AB17" s="170" t="s">
        <v>12</v>
      </c>
      <c r="AC17" s="170">
        <v>13.3</v>
      </c>
      <c r="AD17" s="177"/>
      <c r="AG17" s="178"/>
      <c r="AH17" s="252"/>
      <c r="AL17" s="177"/>
      <c r="AO17" s="178"/>
      <c r="AP17" s="177"/>
      <c r="AS17" s="178"/>
      <c r="AW17" s="178"/>
      <c r="BA17" s="179"/>
    </row>
    <row r="18" spans="1:53" s="170" customFormat="1" x14ac:dyDescent="0.15">
      <c r="A18" s="215">
        <v>1965</v>
      </c>
      <c r="B18" s="281"/>
      <c r="C18" s="428" t="s">
        <v>1447</v>
      </c>
      <c r="D18" s="395"/>
      <c r="E18" s="170">
        <v>0</v>
      </c>
      <c r="G18" s="232">
        <v>4</v>
      </c>
      <c r="I18" s="170">
        <v>3</v>
      </c>
      <c r="J18" s="240">
        <v>7</v>
      </c>
      <c r="K18" s="213">
        <f t="shared" si="1"/>
        <v>57.142857142857139</v>
      </c>
      <c r="L18" s="213">
        <f t="shared" si="1"/>
        <v>0</v>
      </c>
      <c r="M18" s="213">
        <f t="shared" si="1"/>
        <v>42.857142857142854</v>
      </c>
      <c r="N18" s="234">
        <f t="shared" si="2"/>
        <v>100</v>
      </c>
      <c r="O18" s="212">
        <v>40</v>
      </c>
      <c r="P18" s="213"/>
      <c r="Q18" s="213">
        <v>13.3</v>
      </c>
      <c r="R18" s="214">
        <f t="shared" si="3"/>
        <v>53.3</v>
      </c>
      <c r="S18" s="170">
        <v>2</v>
      </c>
      <c r="T18" s="283"/>
      <c r="U18" s="281"/>
      <c r="V18" s="177" t="s">
        <v>558</v>
      </c>
      <c r="W18" s="170" t="s">
        <v>74</v>
      </c>
      <c r="X18" s="170" t="s">
        <v>11</v>
      </c>
      <c r="Y18" s="178">
        <v>40</v>
      </c>
      <c r="Z18" s="170" t="s">
        <v>111</v>
      </c>
      <c r="AA18" s="170" t="s">
        <v>20</v>
      </c>
      <c r="AB18" s="170" t="s">
        <v>12</v>
      </c>
      <c r="AC18" s="170">
        <v>13.3</v>
      </c>
      <c r="AD18" s="177"/>
      <c r="AG18" s="178"/>
      <c r="AH18" s="252"/>
      <c r="AL18" s="177"/>
      <c r="AO18" s="178"/>
      <c r="AP18" s="177"/>
      <c r="AS18" s="178"/>
      <c r="AW18" s="178"/>
      <c r="BA18" s="179"/>
    </row>
    <row r="19" spans="1:53" s="170" customFormat="1" x14ac:dyDescent="0.15">
      <c r="A19" s="215">
        <v>1965</v>
      </c>
      <c r="B19" s="281"/>
      <c r="C19" s="428" t="s">
        <v>1447</v>
      </c>
      <c r="D19" s="395"/>
      <c r="E19" s="170">
        <v>365</v>
      </c>
      <c r="G19" s="232">
        <v>4</v>
      </c>
      <c r="I19" s="170">
        <v>3</v>
      </c>
      <c r="J19" s="240">
        <v>7</v>
      </c>
      <c r="K19" s="213">
        <f t="shared" si="1"/>
        <v>57.142857142857139</v>
      </c>
      <c r="L19" s="213">
        <f t="shared" si="1"/>
        <v>0</v>
      </c>
      <c r="M19" s="213">
        <f t="shared" si="1"/>
        <v>42.857142857142854</v>
      </c>
      <c r="N19" s="234">
        <f t="shared" si="2"/>
        <v>100</v>
      </c>
      <c r="O19" s="212">
        <v>40</v>
      </c>
      <c r="P19" s="213"/>
      <c r="Q19" s="213">
        <v>13.3</v>
      </c>
      <c r="R19" s="214">
        <f t="shared" si="3"/>
        <v>53.3</v>
      </c>
      <c r="S19" s="170">
        <v>2</v>
      </c>
      <c r="T19" s="283"/>
      <c r="U19" s="281"/>
      <c r="V19" s="177" t="s">
        <v>558</v>
      </c>
      <c r="W19" s="170" t="s">
        <v>74</v>
      </c>
      <c r="X19" s="170" t="s">
        <v>11</v>
      </c>
      <c r="Y19" s="178">
        <v>40</v>
      </c>
      <c r="Z19" s="170" t="s">
        <v>111</v>
      </c>
      <c r="AA19" s="170" t="s">
        <v>20</v>
      </c>
      <c r="AB19" s="170" t="s">
        <v>12</v>
      </c>
      <c r="AC19" s="170">
        <v>13.3</v>
      </c>
      <c r="AD19" s="177"/>
      <c r="AG19" s="178"/>
      <c r="AH19" s="252"/>
      <c r="AL19" s="177"/>
      <c r="AO19" s="178"/>
      <c r="AP19" s="177"/>
      <c r="AS19" s="178"/>
      <c r="AW19" s="178"/>
      <c r="BA19" s="179"/>
    </row>
    <row r="20" spans="1:53" s="170" customFormat="1" x14ac:dyDescent="0.15">
      <c r="A20" s="215">
        <v>1966</v>
      </c>
      <c r="B20" s="281"/>
      <c r="C20" s="428" t="s">
        <v>1447</v>
      </c>
      <c r="D20" s="395"/>
      <c r="E20" s="170">
        <v>0</v>
      </c>
      <c r="G20" s="232">
        <v>4</v>
      </c>
      <c r="I20" s="170">
        <v>3</v>
      </c>
      <c r="J20" s="240">
        <v>7</v>
      </c>
      <c r="K20" s="213">
        <f t="shared" si="1"/>
        <v>57.142857142857139</v>
      </c>
      <c r="L20" s="213">
        <f t="shared" si="1"/>
        <v>0</v>
      </c>
      <c r="M20" s="213">
        <f t="shared" si="1"/>
        <v>42.857142857142854</v>
      </c>
      <c r="N20" s="234">
        <f t="shared" si="2"/>
        <v>100</v>
      </c>
      <c r="O20" s="212">
        <v>40</v>
      </c>
      <c r="P20" s="213"/>
      <c r="Q20" s="213">
        <v>13.3</v>
      </c>
      <c r="R20" s="214">
        <f t="shared" si="3"/>
        <v>53.3</v>
      </c>
      <c r="S20" s="170">
        <v>2</v>
      </c>
      <c r="T20" s="283"/>
      <c r="U20" s="281"/>
      <c r="V20" s="177" t="s">
        <v>558</v>
      </c>
      <c r="W20" s="170" t="s">
        <v>74</v>
      </c>
      <c r="X20" s="170" t="s">
        <v>11</v>
      </c>
      <c r="Y20" s="178">
        <v>40</v>
      </c>
      <c r="Z20" s="170" t="s">
        <v>111</v>
      </c>
      <c r="AA20" s="170" t="s">
        <v>20</v>
      </c>
      <c r="AB20" s="170" t="s">
        <v>12</v>
      </c>
      <c r="AC20" s="170">
        <v>13.3</v>
      </c>
      <c r="AD20" s="177"/>
      <c r="AG20" s="178"/>
      <c r="AH20" s="252"/>
      <c r="AL20" s="177"/>
      <c r="AO20" s="178"/>
      <c r="AP20" s="177"/>
      <c r="AS20" s="178"/>
      <c r="AW20" s="178"/>
      <c r="BA20" s="179"/>
    </row>
    <row r="21" spans="1:53" s="170" customFormat="1" x14ac:dyDescent="0.15">
      <c r="A21" s="215">
        <v>1966</v>
      </c>
      <c r="B21" s="281"/>
      <c r="C21" s="428" t="s">
        <v>1447</v>
      </c>
      <c r="D21" s="395"/>
      <c r="E21" s="170">
        <v>365</v>
      </c>
      <c r="G21" s="232">
        <v>4</v>
      </c>
      <c r="I21" s="170">
        <v>3</v>
      </c>
      <c r="J21" s="240">
        <v>7</v>
      </c>
      <c r="K21" s="213">
        <f t="shared" si="1"/>
        <v>57.142857142857139</v>
      </c>
      <c r="L21" s="213">
        <f t="shared" si="1"/>
        <v>0</v>
      </c>
      <c r="M21" s="213">
        <f t="shared" si="1"/>
        <v>42.857142857142854</v>
      </c>
      <c r="N21" s="234">
        <f t="shared" si="2"/>
        <v>100</v>
      </c>
      <c r="O21" s="212">
        <v>40</v>
      </c>
      <c r="P21" s="213"/>
      <c r="Q21" s="213">
        <v>13.3</v>
      </c>
      <c r="R21" s="214">
        <f t="shared" si="3"/>
        <v>53.3</v>
      </c>
      <c r="S21" s="170">
        <v>2</v>
      </c>
      <c r="T21" s="283"/>
      <c r="U21" s="281"/>
      <c r="V21" s="177" t="s">
        <v>558</v>
      </c>
      <c r="W21" s="170" t="s">
        <v>74</v>
      </c>
      <c r="X21" s="170" t="s">
        <v>11</v>
      </c>
      <c r="Y21" s="178">
        <v>40</v>
      </c>
      <c r="Z21" s="170" t="s">
        <v>111</v>
      </c>
      <c r="AA21" s="170" t="s">
        <v>20</v>
      </c>
      <c r="AB21" s="170" t="s">
        <v>12</v>
      </c>
      <c r="AC21" s="170">
        <v>13.3</v>
      </c>
      <c r="AD21" s="177"/>
      <c r="AG21" s="178"/>
      <c r="AH21" s="252"/>
      <c r="AL21" s="177"/>
      <c r="AO21" s="178"/>
      <c r="AP21" s="177"/>
      <c r="AS21" s="178"/>
      <c r="AW21" s="178"/>
      <c r="BA21" s="179"/>
    </row>
    <row r="22" spans="1:53" s="170" customFormat="1" x14ac:dyDescent="0.15">
      <c r="A22" s="215">
        <v>1967</v>
      </c>
      <c r="B22" s="281"/>
      <c r="C22" s="428" t="s">
        <v>1447</v>
      </c>
      <c r="D22" s="395"/>
      <c r="E22" s="170">
        <v>162</v>
      </c>
      <c r="G22" s="232">
        <v>4</v>
      </c>
      <c r="I22" s="170">
        <v>3</v>
      </c>
      <c r="J22" s="240">
        <v>7</v>
      </c>
      <c r="K22" s="213">
        <f t="shared" si="1"/>
        <v>57.142857142857139</v>
      </c>
      <c r="L22" s="213">
        <f t="shared" si="1"/>
        <v>0</v>
      </c>
      <c r="M22" s="213">
        <f t="shared" si="1"/>
        <v>42.857142857142854</v>
      </c>
      <c r="N22" s="234">
        <f t="shared" si="2"/>
        <v>100</v>
      </c>
      <c r="O22" s="212">
        <v>40</v>
      </c>
      <c r="P22" s="213"/>
      <c r="Q22" s="213">
        <v>13.3</v>
      </c>
      <c r="R22" s="214">
        <f t="shared" si="3"/>
        <v>53.3</v>
      </c>
      <c r="S22" s="170">
        <v>2</v>
      </c>
      <c r="T22" s="283"/>
      <c r="U22" s="281"/>
      <c r="V22" s="177" t="s">
        <v>558</v>
      </c>
      <c r="W22" s="170" t="s">
        <v>74</v>
      </c>
      <c r="X22" s="170" t="s">
        <v>11</v>
      </c>
      <c r="Y22" s="178">
        <v>40</v>
      </c>
      <c r="Z22" s="170" t="s">
        <v>111</v>
      </c>
      <c r="AA22" s="170" t="s">
        <v>20</v>
      </c>
      <c r="AB22" s="170" t="s">
        <v>12</v>
      </c>
      <c r="AC22" s="170">
        <v>13.3</v>
      </c>
      <c r="AD22" s="177"/>
      <c r="AG22" s="178"/>
      <c r="AH22" s="252"/>
      <c r="AL22" s="177"/>
      <c r="AO22" s="178"/>
      <c r="AP22" s="177"/>
      <c r="AS22" s="178"/>
      <c r="AW22" s="178"/>
      <c r="BA22" s="179"/>
    </row>
    <row r="23" spans="1:53" s="28" customFormat="1" x14ac:dyDescent="0.15">
      <c r="A23" s="51">
        <v>1967</v>
      </c>
      <c r="B23" s="293">
        <v>24635</v>
      </c>
      <c r="C23" s="394" t="s">
        <v>1448</v>
      </c>
      <c r="D23" s="394"/>
      <c r="E23" s="28">
        <f>365-E22</f>
        <v>203</v>
      </c>
      <c r="F23" s="28">
        <v>1</v>
      </c>
      <c r="G23" s="65">
        <v>4</v>
      </c>
      <c r="I23" s="28">
        <v>3</v>
      </c>
      <c r="J23" s="72">
        <v>7</v>
      </c>
      <c r="K23" s="46">
        <f t="shared" si="1"/>
        <v>57.142857142857139</v>
      </c>
      <c r="L23" s="46">
        <f t="shared" si="1"/>
        <v>0</v>
      </c>
      <c r="M23" s="46">
        <f t="shared" si="1"/>
        <v>42.857142857142854</v>
      </c>
      <c r="N23" s="67">
        <f t="shared" si="2"/>
        <v>100</v>
      </c>
      <c r="O23" s="45">
        <v>38.299999999999997</v>
      </c>
      <c r="P23" s="46"/>
      <c r="Q23" s="46">
        <v>15</v>
      </c>
      <c r="R23" s="47">
        <f t="shared" si="3"/>
        <v>53.3</v>
      </c>
      <c r="S23" s="28">
        <v>2</v>
      </c>
      <c r="T23" s="284">
        <v>24634</v>
      </c>
      <c r="U23" s="293">
        <v>24635</v>
      </c>
      <c r="V23" s="37" t="s">
        <v>558</v>
      </c>
      <c r="W23" s="28" t="s">
        <v>74</v>
      </c>
      <c r="X23" s="28" t="s">
        <v>11</v>
      </c>
      <c r="Y23" s="38">
        <v>38.299999999999997</v>
      </c>
      <c r="Z23" s="28" t="s">
        <v>111</v>
      </c>
      <c r="AA23" s="28" t="s">
        <v>20</v>
      </c>
      <c r="AB23" s="28" t="s">
        <v>12</v>
      </c>
      <c r="AC23" s="28">
        <v>15</v>
      </c>
      <c r="AD23" s="37"/>
      <c r="AG23" s="38"/>
      <c r="AH23" s="93"/>
      <c r="AL23" s="37"/>
      <c r="AO23" s="38"/>
      <c r="AP23" s="37"/>
      <c r="AS23" s="38"/>
      <c r="AW23" s="38"/>
      <c r="BA23" s="39"/>
    </row>
    <row r="24" spans="1:53" s="28" customFormat="1" x14ac:dyDescent="0.15">
      <c r="A24" s="51">
        <v>1968</v>
      </c>
      <c r="B24" s="293"/>
      <c r="C24" s="394" t="s">
        <v>1448</v>
      </c>
      <c r="D24" s="394"/>
      <c r="E24" s="28">
        <v>0</v>
      </c>
      <c r="G24" s="65">
        <v>4</v>
      </c>
      <c r="I24" s="28">
        <v>3</v>
      </c>
      <c r="J24" s="72">
        <v>7</v>
      </c>
      <c r="K24" s="46">
        <f t="shared" si="1"/>
        <v>57.142857142857139</v>
      </c>
      <c r="L24" s="46">
        <f t="shared" si="1"/>
        <v>0</v>
      </c>
      <c r="M24" s="46">
        <f t="shared" si="1"/>
        <v>42.857142857142854</v>
      </c>
      <c r="N24" s="67">
        <f t="shared" si="2"/>
        <v>100</v>
      </c>
      <c r="O24" s="45">
        <v>38.299999999999997</v>
      </c>
      <c r="P24" s="46"/>
      <c r="Q24" s="46">
        <v>15</v>
      </c>
      <c r="R24" s="47">
        <f t="shared" si="3"/>
        <v>53.3</v>
      </c>
      <c r="S24" s="28">
        <v>2</v>
      </c>
      <c r="T24" s="284"/>
      <c r="U24" s="293"/>
      <c r="V24" s="37" t="s">
        <v>558</v>
      </c>
      <c r="W24" s="28" t="s">
        <v>74</v>
      </c>
      <c r="X24" s="28" t="s">
        <v>11</v>
      </c>
      <c r="Y24" s="38">
        <v>38.299999999999997</v>
      </c>
      <c r="Z24" s="28" t="s">
        <v>111</v>
      </c>
      <c r="AA24" s="28" t="s">
        <v>20</v>
      </c>
      <c r="AB24" s="28" t="s">
        <v>12</v>
      </c>
      <c r="AC24" s="28">
        <v>15</v>
      </c>
      <c r="AD24" s="37"/>
      <c r="AG24" s="38"/>
      <c r="AH24" s="93"/>
      <c r="AL24" s="37"/>
      <c r="AO24" s="38"/>
      <c r="AP24" s="37"/>
      <c r="AS24" s="38"/>
      <c r="AW24" s="38"/>
      <c r="BA24" s="39"/>
    </row>
    <row r="25" spans="1:53" s="28" customFormat="1" x14ac:dyDescent="0.15">
      <c r="A25" s="51">
        <v>1968</v>
      </c>
      <c r="B25" s="293"/>
      <c r="C25" s="394" t="s">
        <v>1448</v>
      </c>
      <c r="D25" s="394"/>
      <c r="E25" s="28">
        <v>366</v>
      </c>
      <c r="G25" s="65">
        <v>4</v>
      </c>
      <c r="I25" s="28">
        <v>3</v>
      </c>
      <c r="J25" s="72">
        <v>7</v>
      </c>
      <c r="K25" s="46">
        <f t="shared" si="1"/>
        <v>57.142857142857139</v>
      </c>
      <c r="L25" s="46">
        <f t="shared" si="1"/>
        <v>0</v>
      </c>
      <c r="M25" s="46">
        <f t="shared" si="1"/>
        <v>42.857142857142854</v>
      </c>
      <c r="N25" s="67">
        <f t="shared" si="2"/>
        <v>100</v>
      </c>
      <c r="O25" s="45">
        <v>38.299999999999997</v>
      </c>
      <c r="P25" s="46"/>
      <c r="Q25" s="46">
        <v>15</v>
      </c>
      <c r="R25" s="47">
        <f t="shared" si="3"/>
        <v>53.3</v>
      </c>
      <c r="S25" s="28">
        <v>2</v>
      </c>
      <c r="T25" s="284"/>
      <c r="U25" s="293"/>
      <c r="V25" s="37" t="s">
        <v>558</v>
      </c>
      <c r="W25" s="28" t="s">
        <v>74</v>
      </c>
      <c r="X25" s="28" t="s">
        <v>11</v>
      </c>
      <c r="Y25" s="38">
        <v>38.299999999999997</v>
      </c>
      <c r="Z25" s="28" t="s">
        <v>111</v>
      </c>
      <c r="AA25" s="28" t="s">
        <v>20</v>
      </c>
      <c r="AB25" s="28" t="s">
        <v>12</v>
      </c>
      <c r="AC25" s="28">
        <v>15</v>
      </c>
      <c r="AD25" s="37"/>
      <c r="AG25" s="38"/>
      <c r="AH25" s="93"/>
      <c r="AL25" s="37"/>
      <c r="AO25" s="38"/>
      <c r="AP25" s="37"/>
      <c r="AS25" s="38"/>
      <c r="AW25" s="38"/>
      <c r="BA25" s="39"/>
    </row>
    <row r="26" spans="1:53" s="28" customFormat="1" x14ac:dyDescent="0.15">
      <c r="A26" s="51">
        <v>1969</v>
      </c>
      <c r="B26" s="293"/>
      <c r="C26" s="394" t="s">
        <v>1448</v>
      </c>
      <c r="D26" s="394"/>
      <c r="E26" s="28">
        <v>0</v>
      </c>
      <c r="G26" s="65">
        <v>4</v>
      </c>
      <c r="I26" s="28">
        <v>3</v>
      </c>
      <c r="J26" s="72">
        <v>7</v>
      </c>
      <c r="K26" s="46">
        <f t="shared" si="1"/>
        <v>57.142857142857139</v>
      </c>
      <c r="L26" s="46">
        <f t="shared" si="1"/>
        <v>0</v>
      </c>
      <c r="M26" s="46">
        <f t="shared" si="1"/>
        <v>42.857142857142854</v>
      </c>
      <c r="N26" s="67">
        <f t="shared" si="2"/>
        <v>100</v>
      </c>
      <c r="O26" s="45">
        <v>38.299999999999997</v>
      </c>
      <c r="P26" s="46"/>
      <c r="Q26" s="46">
        <v>15</v>
      </c>
      <c r="R26" s="47">
        <f t="shared" si="3"/>
        <v>53.3</v>
      </c>
      <c r="S26" s="28">
        <v>2</v>
      </c>
      <c r="T26" s="284"/>
      <c r="U26" s="293"/>
      <c r="V26" s="37" t="s">
        <v>558</v>
      </c>
      <c r="W26" s="28" t="s">
        <v>74</v>
      </c>
      <c r="X26" s="28" t="s">
        <v>11</v>
      </c>
      <c r="Y26" s="38">
        <v>38.299999999999997</v>
      </c>
      <c r="Z26" s="28" t="s">
        <v>111</v>
      </c>
      <c r="AA26" s="28" t="s">
        <v>20</v>
      </c>
      <c r="AB26" s="28" t="s">
        <v>12</v>
      </c>
      <c r="AC26" s="28">
        <v>15</v>
      </c>
      <c r="AD26" s="37"/>
      <c r="AG26" s="38"/>
      <c r="AH26" s="93"/>
      <c r="AL26" s="37"/>
      <c r="AO26" s="38"/>
      <c r="AP26" s="37"/>
      <c r="AS26" s="38"/>
      <c r="AW26" s="38"/>
      <c r="BA26" s="39"/>
    </row>
    <row r="27" spans="1:53" s="28" customFormat="1" x14ac:dyDescent="0.15">
      <c r="A27" s="51">
        <v>1969</v>
      </c>
      <c r="B27" s="293"/>
      <c r="C27" s="394" t="s">
        <v>1448</v>
      </c>
      <c r="D27" s="394"/>
      <c r="E27" s="28">
        <v>365</v>
      </c>
      <c r="G27" s="65">
        <v>4</v>
      </c>
      <c r="I27" s="28">
        <v>3</v>
      </c>
      <c r="J27" s="72">
        <v>7</v>
      </c>
      <c r="K27" s="46">
        <f t="shared" si="1"/>
        <v>57.142857142857139</v>
      </c>
      <c r="L27" s="46">
        <f t="shared" si="1"/>
        <v>0</v>
      </c>
      <c r="M27" s="46">
        <f t="shared" si="1"/>
        <v>42.857142857142854</v>
      </c>
      <c r="N27" s="67">
        <f t="shared" si="2"/>
        <v>100</v>
      </c>
      <c r="O27" s="45">
        <v>38.299999999999997</v>
      </c>
      <c r="P27" s="46"/>
      <c r="Q27" s="46">
        <v>15</v>
      </c>
      <c r="R27" s="47">
        <f t="shared" si="3"/>
        <v>53.3</v>
      </c>
      <c r="S27" s="28">
        <v>2</v>
      </c>
      <c r="T27" s="284"/>
      <c r="U27" s="293"/>
      <c r="V27" s="37" t="s">
        <v>558</v>
      </c>
      <c r="W27" s="28" t="s">
        <v>74</v>
      </c>
      <c r="X27" s="28" t="s">
        <v>11</v>
      </c>
      <c r="Y27" s="38">
        <v>38.299999999999997</v>
      </c>
      <c r="Z27" s="28" t="s">
        <v>111</v>
      </c>
      <c r="AA27" s="28" t="s">
        <v>20</v>
      </c>
      <c r="AB27" s="28" t="s">
        <v>12</v>
      </c>
      <c r="AC27" s="28">
        <v>15</v>
      </c>
      <c r="AD27" s="37"/>
      <c r="AG27" s="38"/>
      <c r="AH27" s="93"/>
      <c r="AL27" s="37"/>
      <c r="AO27" s="38"/>
      <c r="AP27" s="37"/>
      <c r="AS27" s="38"/>
      <c r="AW27" s="38"/>
      <c r="BA27" s="39"/>
    </row>
    <row r="28" spans="1:53" s="28" customFormat="1" x14ac:dyDescent="0.15">
      <c r="A28" s="51">
        <v>1970</v>
      </c>
      <c r="B28" s="293"/>
      <c r="C28" s="394" t="s">
        <v>1448</v>
      </c>
      <c r="D28" s="394"/>
      <c r="E28" s="28">
        <v>282</v>
      </c>
      <c r="G28" s="65">
        <v>4</v>
      </c>
      <c r="I28" s="28">
        <v>3</v>
      </c>
      <c r="J28" s="72">
        <v>7</v>
      </c>
      <c r="K28" s="46">
        <f t="shared" si="1"/>
        <v>57.142857142857139</v>
      </c>
      <c r="L28" s="46">
        <f t="shared" si="1"/>
        <v>0</v>
      </c>
      <c r="M28" s="46">
        <f t="shared" si="1"/>
        <v>42.857142857142854</v>
      </c>
      <c r="N28" s="67">
        <f t="shared" si="2"/>
        <v>100</v>
      </c>
      <c r="O28" s="45">
        <v>38.299999999999997</v>
      </c>
      <c r="P28" s="46"/>
      <c r="Q28" s="46">
        <v>15</v>
      </c>
      <c r="R28" s="47">
        <f t="shared" si="3"/>
        <v>53.3</v>
      </c>
      <c r="S28" s="28">
        <v>2</v>
      </c>
      <c r="T28" s="284"/>
      <c r="U28" s="293"/>
      <c r="V28" s="37" t="s">
        <v>558</v>
      </c>
      <c r="W28" s="28" t="s">
        <v>74</v>
      </c>
      <c r="X28" s="28" t="s">
        <v>11</v>
      </c>
      <c r="Y28" s="38">
        <v>38.299999999999997</v>
      </c>
      <c r="Z28" s="28" t="s">
        <v>111</v>
      </c>
      <c r="AA28" s="28" t="s">
        <v>20</v>
      </c>
      <c r="AB28" s="28" t="s">
        <v>12</v>
      </c>
      <c r="AC28" s="28">
        <v>15</v>
      </c>
      <c r="AD28" s="37"/>
      <c r="AG28" s="38"/>
      <c r="AH28" s="93"/>
      <c r="AL28" s="37"/>
      <c r="AO28" s="38"/>
      <c r="AP28" s="37"/>
      <c r="AS28" s="38"/>
      <c r="AW28" s="38"/>
      <c r="BA28" s="39"/>
    </row>
    <row r="29" spans="1:53" s="170" customFormat="1" x14ac:dyDescent="0.15">
      <c r="A29" s="215">
        <v>1970</v>
      </c>
      <c r="B29" s="281">
        <v>25851</v>
      </c>
      <c r="C29" s="395" t="s">
        <v>276</v>
      </c>
      <c r="D29" s="395"/>
      <c r="E29" s="170">
        <f>365-E28</f>
        <v>83</v>
      </c>
      <c r="F29" s="170">
        <v>3</v>
      </c>
      <c r="G29" s="232">
        <v>4</v>
      </c>
      <c r="I29" s="170">
        <v>3</v>
      </c>
      <c r="J29" s="240">
        <v>7</v>
      </c>
      <c r="K29" s="213">
        <f t="shared" si="1"/>
        <v>57.142857142857139</v>
      </c>
      <c r="L29" s="213">
        <f t="shared" si="1"/>
        <v>0</v>
      </c>
      <c r="M29" s="213">
        <f t="shared" si="1"/>
        <v>42.857142857142854</v>
      </c>
      <c r="N29" s="234">
        <f t="shared" si="2"/>
        <v>100</v>
      </c>
      <c r="O29" s="212">
        <v>38.299999999999997</v>
      </c>
      <c r="P29" s="213"/>
      <c r="Q29" s="213">
        <v>15</v>
      </c>
      <c r="R29" s="214">
        <f t="shared" si="3"/>
        <v>53.3</v>
      </c>
      <c r="S29" s="170">
        <v>2</v>
      </c>
      <c r="T29" s="283"/>
      <c r="U29" s="281">
        <v>25851</v>
      </c>
      <c r="V29" s="177" t="s">
        <v>558</v>
      </c>
      <c r="W29" s="170" t="s">
        <v>74</v>
      </c>
      <c r="X29" s="170" t="s">
        <v>11</v>
      </c>
      <c r="Y29" s="178">
        <v>38.299999999999997</v>
      </c>
      <c r="Z29" s="170" t="s">
        <v>111</v>
      </c>
      <c r="AA29" s="170" t="s">
        <v>20</v>
      </c>
      <c r="AB29" s="170" t="s">
        <v>12</v>
      </c>
      <c r="AC29" s="170">
        <v>15</v>
      </c>
      <c r="AD29" s="177"/>
      <c r="AG29" s="178"/>
      <c r="AH29" s="252"/>
      <c r="AL29" s="177"/>
      <c r="AO29" s="178"/>
      <c r="AP29" s="177"/>
      <c r="AS29" s="178"/>
      <c r="AW29" s="178"/>
      <c r="BA29" s="179"/>
    </row>
    <row r="30" spans="1:53" s="170" customFormat="1" x14ac:dyDescent="0.15">
      <c r="A30" s="215">
        <v>1971</v>
      </c>
      <c r="B30" s="281"/>
      <c r="C30" s="395" t="s">
        <v>276</v>
      </c>
      <c r="D30" s="395"/>
      <c r="E30" s="170">
        <v>164</v>
      </c>
      <c r="G30" s="232">
        <v>4</v>
      </c>
      <c r="I30" s="170">
        <v>3</v>
      </c>
      <c r="J30" s="240">
        <v>7</v>
      </c>
      <c r="K30" s="213">
        <f t="shared" si="1"/>
        <v>57.142857142857139</v>
      </c>
      <c r="L30" s="213">
        <f t="shared" si="1"/>
        <v>0</v>
      </c>
      <c r="M30" s="213">
        <f t="shared" si="1"/>
        <v>42.857142857142854</v>
      </c>
      <c r="N30" s="234">
        <f t="shared" si="2"/>
        <v>100</v>
      </c>
      <c r="O30" s="212">
        <v>38.299999999999997</v>
      </c>
      <c r="P30" s="213"/>
      <c r="Q30" s="213">
        <v>15</v>
      </c>
      <c r="R30" s="214">
        <f t="shared" si="3"/>
        <v>53.3</v>
      </c>
      <c r="S30" s="170">
        <v>2</v>
      </c>
      <c r="T30" s="283"/>
      <c r="U30" s="281"/>
      <c r="V30" s="177" t="s">
        <v>558</v>
      </c>
      <c r="W30" s="170" t="s">
        <v>74</v>
      </c>
      <c r="X30" s="170" t="s">
        <v>11</v>
      </c>
      <c r="Y30" s="178">
        <v>38.299999999999997</v>
      </c>
      <c r="Z30" s="170" t="s">
        <v>111</v>
      </c>
      <c r="AA30" s="170" t="s">
        <v>20</v>
      </c>
      <c r="AB30" s="170" t="s">
        <v>12</v>
      </c>
      <c r="AC30" s="170">
        <v>15</v>
      </c>
      <c r="AD30" s="177"/>
      <c r="AG30" s="178"/>
      <c r="AH30" s="252"/>
      <c r="AL30" s="177"/>
      <c r="AO30" s="178"/>
      <c r="AP30" s="177"/>
      <c r="AS30" s="178"/>
      <c r="AW30" s="178"/>
      <c r="BA30" s="179"/>
    </row>
    <row r="31" spans="1:53" s="28" customFormat="1" x14ac:dyDescent="0.15">
      <c r="A31" s="51">
        <v>1971</v>
      </c>
      <c r="B31" s="293">
        <v>26098</v>
      </c>
      <c r="C31" s="394" t="s">
        <v>1164</v>
      </c>
      <c r="D31" s="394"/>
      <c r="E31" s="28">
        <f>365-E30</f>
        <v>201</v>
      </c>
      <c r="F31" s="28">
        <v>1</v>
      </c>
      <c r="G31" s="65"/>
      <c r="H31" s="28">
        <v>5</v>
      </c>
      <c r="I31" s="28">
        <v>2</v>
      </c>
      <c r="J31" s="72">
        <v>7</v>
      </c>
      <c r="K31" s="46">
        <f t="shared" si="1"/>
        <v>0</v>
      </c>
      <c r="L31" s="46">
        <f t="shared" si="1"/>
        <v>71.428571428571431</v>
      </c>
      <c r="M31" s="46">
        <f t="shared" si="1"/>
        <v>28.571428571428569</v>
      </c>
      <c r="N31" s="67">
        <f t="shared" si="2"/>
        <v>100</v>
      </c>
      <c r="O31" s="45"/>
      <c r="P31" s="46">
        <v>36.6</v>
      </c>
      <c r="Q31" s="46">
        <v>16.7</v>
      </c>
      <c r="R31" s="47">
        <f t="shared" si="3"/>
        <v>53.3</v>
      </c>
      <c r="S31" s="28">
        <v>2</v>
      </c>
      <c r="T31" s="284">
        <v>26097</v>
      </c>
      <c r="U31" s="293">
        <v>26098</v>
      </c>
      <c r="V31" s="37" t="s">
        <v>476</v>
      </c>
      <c r="W31" s="28" t="s">
        <v>869</v>
      </c>
      <c r="X31" s="28" t="s">
        <v>18</v>
      </c>
      <c r="Y31" s="38">
        <v>28.3</v>
      </c>
      <c r="Z31" s="28" t="s">
        <v>559</v>
      </c>
      <c r="AA31" s="28" t="s">
        <v>113</v>
      </c>
      <c r="AB31" s="28" t="s">
        <v>12</v>
      </c>
      <c r="AC31" s="28">
        <v>16.7</v>
      </c>
      <c r="AD31" s="37" t="s">
        <v>562</v>
      </c>
      <c r="AE31" s="28" t="s">
        <v>22</v>
      </c>
      <c r="AF31" s="28" t="s">
        <v>18</v>
      </c>
      <c r="AG31" s="38">
        <v>8.3000000000000007</v>
      </c>
      <c r="AH31" s="93"/>
      <c r="AL31" s="37"/>
      <c r="AO31" s="38"/>
      <c r="AP31" s="37"/>
      <c r="AS31" s="38"/>
      <c r="AW31" s="38"/>
      <c r="BA31" s="39"/>
    </row>
    <row r="32" spans="1:53" s="28" customFormat="1" x14ac:dyDescent="0.15">
      <c r="A32" s="51">
        <v>1972</v>
      </c>
      <c r="B32" s="293"/>
      <c r="C32" s="394" t="s">
        <v>1164</v>
      </c>
      <c r="D32" s="394"/>
      <c r="E32" s="28">
        <v>0</v>
      </c>
      <c r="G32" s="65"/>
      <c r="H32" s="28">
        <v>5</v>
      </c>
      <c r="I32" s="28">
        <v>2</v>
      </c>
      <c r="J32" s="72">
        <v>7</v>
      </c>
      <c r="K32" s="46">
        <f t="shared" si="1"/>
        <v>0</v>
      </c>
      <c r="L32" s="46">
        <f t="shared" si="1"/>
        <v>71.428571428571431</v>
      </c>
      <c r="M32" s="46">
        <f t="shared" si="1"/>
        <v>28.571428571428569</v>
      </c>
      <c r="N32" s="67">
        <f t="shared" si="2"/>
        <v>100</v>
      </c>
      <c r="O32" s="45"/>
      <c r="P32" s="46">
        <v>36.6</v>
      </c>
      <c r="Q32" s="46">
        <v>16.7</v>
      </c>
      <c r="R32" s="47">
        <f t="shared" si="3"/>
        <v>53.3</v>
      </c>
      <c r="S32" s="28">
        <v>2</v>
      </c>
      <c r="T32" s="284"/>
      <c r="U32" s="293"/>
      <c r="V32" s="37" t="s">
        <v>476</v>
      </c>
      <c r="W32" s="28" t="s">
        <v>869</v>
      </c>
      <c r="X32" s="28" t="s">
        <v>18</v>
      </c>
      <c r="Y32" s="38">
        <v>28.3</v>
      </c>
      <c r="Z32" s="28" t="s">
        <v>559</v>
      </c>
      <c r="AA32" s="28" t="s">
        <v>113</v>
      </c>
      <c r="AB32" s="28" t="s">
        <v>12</v>
      </c>
      <c r="AC32" s="28">
        <v>16.7</v>
      </c>
      <c r="AD32" s="37" t="s">
        <v>562</v>
      </c>
      <c r="AE32" s="28" t="s">
        <v>22</v>
      </c>
      <c r="AF32" s="28" t="s">
        <v>18</v>
      </c>
      <c r="AG32" s="38">
        <v>8.3000000000000007</v>
      </c>
      <c r="AH32" s="93"/>
      <c r="AL32" s="37"/>
      <c r="AO32" s="38"/>
      <c r="AP32" s="37"/>
      <c r="AS32" s="38"/>
      <c r="AW32" s="38"/>
      <c r="BA32" s="39"/>
    </row>
    <row r="33" spans="1:53" s="28" customFormat="1" x14ac:dyDescent="0.15">
      <c r="A33" s="51">
        <v>1972</v>
      </c>
      <c r="B33" s="293"/>
      <c r="C33" s="394" t="s">
        <v>1164</v>
      </c>
      <c r="D33" s="394"/>
      <c r="E33" s="28">
        <v>366</v>
      </c>
      <c r="G33" s="65"/>
      <c r="H33" s="28">
        <v>5</v>
      </c>
      <c r="I33" s="28">
        <v>2</v>
      </c>
      <c r="J33" s="72">
        <v>7</v>
      </c>
      <c r="K33" s="46">
        <f t="shared" si="1"/>
        <v>0</v>
      </c>
      <c r="L33" s="46">
        <f t="shared" si="1"/>
        <v>71.428571428571431</v>
      </c>
      <c r="M33" s="46">
        <f t="shared" si="1"/>
        <v>28.571428571428569</v>
      </c>
      <c r="N33" s="67">
        <f t="shared" si="2"/>
        <v>100</v>
      </c>
      <c r="O33" s="45"/>
      <c r="P33" s="46">
        <v>36.6</v>
      </c>
      <c r="Q33" s="46">
        <v>16.7</v>
      </c>
      <c r="R33" s="47">
        <f t="shared" si="3"/>
        <v>53.3</v>
      </c>
      <c r="S33" s="28">
        <v>2</v>
      </c>
      <c r="T33" s="284"/>
      <c r="U33" s="293"/>
      <c r="V33" s="37" t="s">
        <v>476</v>
      </c>
      <c r="W33" s="28" t="s">
        <v>869</v>
      </c>
      <c r="X33" s="28" t="s">
        <v>18</v>
      </c>
      <c r="Y33" s="38">
        <v>28.3</v>
      </c>
      <c r="Z33" s="28" t="s">
        <v>559</v>
      </c>
      <c r="AA33" s="28" t="s">
        <v>113</v>
      </c>
      <c r="AB33" s="28" t="s">
        <v>12</v>
      </c>
      <c r="AC33" s="28">
        <v>16.7</v>
      </c>
      <c r="AD33" s="37" t="s">
        <v>562</v>
      </c>
      <c r="AE33" s="28" t="s">
        <v>22</v>
      </c>
      <c r="AF33" s="28" t="s">
        <v>18</v>
      </c>
      <c r="AG33" s="38">
        <v>8.3000000000000007</v>
      </c>
      <c r="AH33" s="93"/>
      <c r="AL33" s="37"/>
      <c r="AO33" s="38"/>
      <c r="AP33" s="37"/>
      <c r="AS33" s="38"/>
      <c r="AW33" s="38"/>
      <c r="BA33" s="39"/>
    </row>
    <row r="34" spans="1:53" s="28" customFormat="1" x14ac:dyDescent="0.15">
      <c r="A34" s="51">
        <v>1973</v>
      </c>
      <c r="B34" s="293"/>
      <c r="C34" s="394" t="s">
        <v>1164</v>
      </c>
      <c r="D34" s="394"/>
      <c r="E34" s="28">
        <v>0</v>
      </c>
      <c r="G34" s="65"/>
      <c r="H34" s="28">
        <v>5</v>
      </c>
      <c r="I34" s="28">
        <v>2</v>
      </c>
      <c r="J34" s="72">
        <v>7</v>
      </c>
      <c r="K34" s="46">
        <f t="shared" si="1"/>
        <v>0</v>
      </c>
      <c r="L34" s="46">
        <f t="shared" si="1"/>
        <v>71.428571428571431</v>
      </c>
      <c r="M34" s="46">
        <f t="shared" si="1"/>
        <v>28.571428571428569</v>
      </c>
      <c r="N34" s="67">
        <f t="shared" si="2"/>
        <v>100</v>
      </c>
      <c r="O34" s="45"/>
      <c r="P34" s="46">
        <v>36.6</v>
      </c>
      <c r="Q34" s="46">
        <v>16.7</v>
      </c>
      <c r="R34" s="47">
        <f t="shared" si="3"/>
        <v>53.3</v>
      </c>
      <c r="S34" s="28">
        <v>2</v>
      </c>
      <c r="T34" s="284"/>
      <c r="U34" s="293"/>
      <c r="V34" s="37" t="s">
        <v>476</v>
      </c>
      <c r="W34" s="28" t="s">
        <v>869</v>
      </c>
      <c r="X34" s="28" t="s">
        <v>18</v>
      </c>
      <c r="Y34" s="38">
        <v>28.3</v>
      </c>
      <c r="Z34" s="28" t="s">
        <v>559</v>
      </c>
      <c r="AA34" s="28" t="s">
        <v>113</v>
      </c>
      <c r="AB34" s="28" t="s">
        <v>12</v>
      </c>
      <c r="AC34" s="28">
        <v>16.7</v>
      </c>
      <c r="AD34" s="37" t="s">
        <v>562</v>
      </c>
      <c r="AE34" s="28" t="s">
        <v>22</v>
      </c>
      <c r="AF34" s="28" t="s">
        <v>18</v>
      </c>
      <c r="AG34" s="38">
        <v>8.3000000000000007</v>
      </c>
      <c r="AH34" s="93"/>
      <c r="AL34" s="37"/>
      <c r="AO34" s="38"/>
      <c r="AP34" s="37"/>
      <c r="AS34" s="38"/>
      <c r="AW34" s="38"/>
      <c r="BA34" s="39"/>
    </row>
    <row r="35" spans="1:53" s="28" customFormat="1" x14ac:dyDescent="0.15">
      <c r="A35" s="51">
        <v>1973</v>
      </c>
      <c r="B35" s="293"/>
      <c r="C35" s="394" t="s">
        <v>1164</v>
      </c>
      <c r="D35" s="394"/>
      <c r="E35" s="28">
        <v>365</v>
      </c>
      <c r="G35" s="65"/>
      <c r="H35" s="28">
        <v>5</v>
      </c>
      <c r="I35" s="28">
        <v>2</v>
      </c>
      <c r="J35" s="72">
        <v>7</v>
      </c>
      <c r="K35" s="46">
        <f t="shared" si="1"/>
        <v>0</v>
      </c>
      <c r="L35" s="46">
        <f t="shared" si="1"/>
        <v>71.428571428571431</v>
      </c>
      <c r="M35" s="46">
        <f t="shared" si="1"/>
        <v>28.571428571428569</v>
      </c>
      <c r="N35" s="67">
        <f t="shared" si="2"/>
        <v>100</v>
      </c>
      <c r="O35" s="45"/>
      <c r="P35" s="46">
        <v>36.6</v>
      </c>
      <c r="Q35" s="46">
        <v>16.7</v>
      </c>
      <c r="R35" s="47">
        <f t="shared" si="3"/>
        <v>53.3</v>
      </c>
      <c r="S35" s="28">
        <v>2</v>
      </c>
      <c r="T35" s="284"/>
      <c r="U35" s="293"/>
      <c r="V35" s="37" t="s">
        <v>476</v>
      </c>
      <c r="W35" s="28" t="s">
        <v>869</v>
      </c>
      <c r="X35" s="28" t="s">
        <v>18</v>
      </c>
      <c r="Y35" s="38">
        <v>28.3</v>
      </c>
      <c r="Z35" s="28" t="s">
        <v>559</v>
      </c>
      <c r="AA35" s="28" t="s">
        <v>113</v>
      </c>
      <c r="AB35" s="28" t="s">
        <v>12</v>
      </c>
      <c r="AC35" s="28">
        <v>16.7</v>
      </c>
      <c r="AD35" s="37" t="s">
        <v>562</v>
      </c>
      <c r="AE35" s="28" t="s">
        <v>22</v>
      </c>
      <c r="AF35" s="28" t="s">
        <v>18</v>
      </c>
      <c r="AG35" s="38">
        <v>8.3000000000000007</v>
      </c>
      <c r="AH35" s="93"/>
      <c r="AL35" s="37"/>
      <c r="AO35" s="38"/>
      <c r="AP35" s="37"/>
      <c r="AS35" s="38"/>
      <c r="AW35" s="38"/>
      <c r="BA35" s="39"/>
    </row>
    <row r="36" spans="1:53" s="28" customFormat="1" x14ac:dyDescent="0.15">
      <c r="A36" s="51">
        <v>1974</v>
      </c>
      <c r="B36" s="293"/>
      <c r="C36" s="394" t="s">
        <v>1164</v>
      </c>
      <c r="D36" s="394"/>
      <c r="E36" s="28">
        <v>240</v>
      </c>
      <c r="G36" s="65"/>
      <c r="H36" s="28">
        <v>5</v>
      </c>
      <c r="I36" s="28">
        <v>2</v>
      </c>
      <c r="J36" s="72">
        <v>7</v>
      </c>
      <c r="K36" s="46">
        <f t="shared" si="1"/>
        <v>0</v>
      </c>
      <c r="L36" s="46">
        <f t="shared" si="1"/>
        <v>71.428571428571431</v>
      </c>
      <c r="M36" s="46">
        <f t="shared" si="1"/>
        <v>28.571428571428569</v>
      </c>
      <c r="N36" s="67">
        <f t="shared" si="2"/>
        <v>100</v>
      </c>
      <c r="O36" s="45"/>
      <c r="P36" s="46">
        <v>36.6</v>
      </c>
      <c r="Q36" s="46">
        <v>16.7</v>
      </c>
      <c r="R36" s="47">
        <f t="shared" si="3"/>
        <v>53.3</v>
      </c>
      <c r="S36" s="28">
        <v>2</v>
      </c>
      <c r="T36" s="284"/>
      <c r="U36" s="293"/>
      <c r="V36" s="37" t="s">
        <v>476</v>
      </c>
      <c r="W36" s="28" t="s">
        <v>869</v>
      </c>
      <c r="X36" s="28" t="s">
        <v>18</v>
      </c>
      <c r="Y36" s="38">
        <v>28.3</v>
      </c>
      <c r="Z36" s="28" t="s">
        <v>559</v>
      </c>
      <c r="AA36" s="28" t="s">
        <v>113</v>
      </c>
      <c r="AB36" s="28" t="s">
        <v>12</v>
      </c>
      <c r="AC36" s="28">
        <v>16.7</v>
      </c>
      <c r="AD36" s="37" t="s">
        <v>562</v>
      </c>
      <c r="AE36" s="28" t="s">
        <v>22</v>
      </c>
      <c r="AF36" s="28" t="s">
        <v>18</v>
      </c>
      <c r="AG36" s="38">
        <v>8.3000000000000007</v>
      </c>
      <c r="AH36" s="93"/>
      <c r="AL36" s="37"/>
      <c r="AO36" s="38"/>
      <c r="AP36" s="37"/>
      <c r="AS36" s="38"/>
      <c r="AW36" s="38"/>
      <c r="BA36" s="39"/>
    </row>
    <row r="37" spans="1:53" s="170" customFormat="1" x14ac:dyDescent="0.15">
      <c r="A37" s="215">
        <v>1974</v>
      </c>
      <c r="B37" s="281">
        <v>27270</v>
      </c>
      <c r="C37" s="395" t="s">
        <v>1165</v>
      </c>
      <c r="D37" s="395"/>
      <c r="E37" s="170">
        <f>365-E36</f>
        <v>125</v>
      </c>
      <c r="F37" s="170">
        <v>4</v>
      </c>
      <c r="G37" s="232">
        <v>4</v>
      </c>
      <c r="H37" s="170">
        <v>4</v>
      </c>
      <c r="J37" s="240">
        <v>8</v>
      </c>
      <c r="K37" s="213">
        <f t="shared" si="1"/>
        <v>50</v>
      </c>
      <c r="L37" s="213">
        <f t="shared" si="1"/>
        <v>50</v>
      </c>
      <c r="M37" s="213">
        <f t="shared" si="1"/>
        <v>0</v>
      </c>
      <c r="N37" s="234">
        <f t="shared" si="2"/>
        <v>100</v>
      </c>
      <c r="O37" s="212">
        <v>41.7</v>
      </c>
      <c r="P37" s="213">
        <v>28.3</v>
      </c>
      <c r="Q37" s="213"/>
      <c r="R37" s="214">
        <f t="shared" si="3"/>
        <v>70</v>
      </c>
      <c r="S37" s="170">
        <v>2</v>
      </c>
      <c r="T37" s="283">
        <v>27210</v>
      </c>
      <c r="U37" s="281">
        <v>27270</v>
      </c>
      <c r="V37" s="177" t="s">
        <v>558</v>
      </c>
      <c r="W37" s="170" t="s">
        <v>74</v>
      </c>
      <c r="X37" s="170" t="s">
        <v>11</v>
      </c>
      <c r="Y37" s="178">
        <v>41.7</v>
      </c>
      <c r="Z37" s="177" t="s">
        <v>476</v>
      </c>
      <c r="AA37" s="170" t="s">
        <v>869</v>
      </c>
      <c r="AB37" s="170" t="s">
        <v>18</v>
      </c>
      <c r="AC37" s="170">
        <v>28.3</v>
      </c>
      <c r="AD37" s="177"/>
      <c r="AG37" s="178"/>
      <c r="AH37" s="252"/>
      <c r="AL37" s="177"/>
      <c r="AO37" s="178"/>
      <c r="AP37" s="177"/>
      <c r="AS37" s="178"/>
      <c r="AW37" s="178"/>
      <c r="BA37" s="179"/>
    </row>
    <row r="38" spans="1:53" s="170" customFormat="1" x14ac:dyDescent="0.15">
      <c r="A38" s="215">
        <v>1975</v>
      </c>
      <c r="B38" s="281"/>
      <c r="C38" s="395" t="s">
        <v>1165</v>
      </c>
      <c r="D38" s="395"/>
      <c r="E38" s="170">
        <v>0</v>
      </c>
      <c r="G38" s="232">
        <v>4</v>
      </c>
      <c r="H38" s="170">
        <v>4</v>
      </c>
      <c r="J38" s="240">
        <v>8</v>
      </c>
      <c r="K38" s="213">
        <f t="shared" si="1"/>
        <v>50</v>
      </c>
      <c r="L38" s="213">
        <f t="shared" si="1"/>
        <v>50</v>
      </c>
      <c r="M38" s="213">
        <f t="shared" si="1"/>
        <v>0</v>
      </c>
      <c r="N38" s="234">
        <f t="shared" si="2"/>
        <v>100</v>
      </c>
      <c r="O38" s="212">
        <v>41.7</v>
      </c>
      <c r="P38" s="213">
        <v>28.3</v>
      </c>
      <c r="Q38" s="213"/>
      <c r="R38" s="214">
        <f t="shared" si="3"/>
        <v>70</v>
      </c>
      <c r="S38" s="170">
        <v>2</v>
      </c>
      <c r="T38" s="283"/>
      <c r="U38" s="281"/>
      <c r="V38" s="177" t="s">
        <v>558</v>
      </c>
      <c r="W38" s="170" t="s">
        <v>74</v>
      </c>
      <c r="X38" s="170" t="s">
        <v>11</v>
      </c>
      <c r="Y38" s="178">
        <v>41.7</v>
      </c>
      <c r="Z38" s="177" t="s">
        <v>476</v>
      </c>
      <c r="AA38" s="170" t="s">
        <v>869</v>
      </c>
      <c r="AB38" s="170" t="s">
        <v>18</v>
      </c>
      <c r="AC38" s="170">
        <v>28.3</v>
      </c>
      <c r="AD38" s="177"/>
      <c r="AG38" s="178"/>
      <c r="AH38" s="252"/>
      <c r="AL38" s="177"/>
      <c r="AO38" s="178"/>
      <c r="AP38" s="177"/>
      <c r="AS38" s="178"/>
      <c r="AW38" s="178"/>
      <c r="BA38" s="179"/>
    </row>
    <row r="39" spans="1:53" s="170" customFormat="1" x14ac:dyDescent="0.15">
      <c r="A39" s="215">
        <v>1975</v>
      </c>
      <c r="B39" s="281"/>
      <c r="C39" s="395" t="s">
        <v>1165</v>
      </c>
      <c r="D39" s="395"/>
      <c r="E39" s="170">
        <v>365</v>
      </c>
      <c r="G39" s="232">
        <v>4</v>
      </c>
      <c r="H39" s="170">
        <v>4</v>
      </c>
      <c r="J39" s="240">
        <v>8</v>
      </c>
      <c r="K39" s="213">
        <f t="shared" si="1"/>
        <v>50</v>
      </c>
      <c r="L39" s="213">
        <f t="shared" si="1"/>
        <v>50</v>
      </c>
      <c r="M39" s="213">
        <f t="shared" si="1"/>
        <v>0</v>
      </c>
      <c r="N39" s="234">
        <f t="shared" si="2"/>
        <v>100</v>
      </c>
      <c r="O39" s="212">
        <v>41.7</v>
      </c>
      <c r="P39" s="213">
        <v>28.3</v>
      </c>
      <c r="Q39" s="213"/>
      <c r="R39" s="214">
        <f t="shared" si="3"/>
        <v>70</v>
      </c>
      <c r="S39" s="170">
        <v>2</v>
      </c>
      <c r="T39" s="283"/>
      <c r="U39" s="281"/>
      <c r="V39" s="177" t="s">
        <v>558</v>
      </c>
      <c r="W39" s="170" t="s">
        <v>74</v>
      </c>
      <c r="X39" s="170" t="s">
        <v>11</v>
      </c>
      <c r="Y39" s="178">
        <v>41.7</v>
      </c>
      <c r="Z39" s="177" t="s">
        <v>476</v>
      </c>
      <c r="AA39" s="170" t="s">
        <v>869</v>
      </c>
      <c r="AB39" s="170" t="s">
        <v>18</v>
      </c>
      <c r="AC39" s="170">
        <v>28.3</v>
      </c>
      <c r="AD39" s="177"/>
      <c r="AG39" s="178"/>
      <c r="AH39" s="252"/>
      <c r="AL39" s="177"/>
      <c r="AO39" s="178"/>
      <c r="AP39" s="177"/>
      <c r="AS39" s="178"/>
      <c r="AW39" s="178"/>
      <c r="BA39" s="179"/>
    </row>
    <row r="40" spans="1:53" s="170" customFormat="1" x14ac:dyDescent="0.15">
      <c r="A40" s="215">
        <v>1976</v>
      </c>
      <c r="B40" s="281"/>
      <c r="C40" s="395" t="s">
        <v>1165</v>
      </c>
      <c r="D40" s="395"/>
      <c r="E40" s="170">
        <v>0</v>
      </c>
      <c r="G40" s="232">
        <v>4</v>
      </c>
      <c r="H40" s="170">
        <v>4</v>
      </c>
      <c r="J40" s="240">
        <v>8</v>
      </c>
      <c r="K40" s="213">
        <f t="shared" si="1"/>
        <v>50</v>
      </c>
      <c r="L40" s="213">
        <f t="shared" si="1"/>
        <v>50</v>
      </c>
      <c r="M40" s="213">
        <f t="shared" si="1"/>
        <v>0</v>
      </c>
      <c r="N40" s="234">
        <f t="shared" si="2"/>
        <v>100</v>
      </c>
      <c r="O40" s="212">
        <v>41.7</v>
      </c>
      <c r="P40" s="213">
        <v>28.3</v>
      </c>
      <c r="Q40" s="213"/>
      <c r="R40" s="214">
        <f t="shared" si="3"/>
        <v>70</v>
      </c>
      <c r="S40" s="170">
        <v>2</v>
      </c>
      <c r="T40" s="283"/>
      <c r="U40" s="281"/>
      <c r="V40" s="177" t="s">
        <v>558</v>
      </c>
      <c r="W40" s="170" t="s">
        <v>74</v>
      </c>
      <c r="X40" s="170" t="s">
        <v>11</v>
      </c>
      <c r="Y40" s="178">
        <v>41.7</v>
      </c>
      <c r="Z40" s="177" t="s">
        <v>476</v>
      </c>
      <c r="AA40" s="170" t="s">
        <v>869</v>
      </c>
      <c r="AB40" s="170" t="s">
        <v>18</v>
      </c>
      <c r="AC40" s="170">
        <v>28.3</v>
      </c>
      <c r="AD40" s="177"/>
      <c r="AG40" s="178"/>
      <c r="AH40" s="252"/>
      <c r="AL40" s="177"/>
      <c r="AO40" s="178"/>
      <c r="AP40" s="177"/>
      <c r="AS40" s="178"/>
      <c r="AW40" s="178"/>
      <c r="BA40" s="179"/>
    </row>
    <row r="41" spans="1:53" s="170" customFormat="1" x14ac:dyDescent="0.15">
      <c r="A41" s="215">
        <v>1976</v>
      </c>
      <c r="B41" s="281"/>
      <c r="C41" s="395" t="s">
        <v>1165</v>
      </c>
      <c r="D41" s="395"/>
      <c r="E41" s="170">
        <v>366</v>
      </c>
      <c r="G41" s="232">
        <v>4</v>
      </c>
      <c r="H41" s="170">
        <v>4</v>
      </c>
      <c r="J41" s="240">
        <v>8</v>
      </c>
      <c r="K41" s="213">
        <f t="shared" si="1"/>
        <v>50</v>
      </c>
      <c r="L41" s="213">
        <f t="shared" si="1"/>
        <v>50</v>
      </c>
      <c r="M41" s="213">
        <f t="shared" si="1"/>
        <v>0</v>
      </c>
      <c r="N41" s="234">
        <f t="shared" si="2"/>
        <v>100</v>
      </c>
      <c r="O41" s="212">
        <v>41.7</v>
      </c>
      <c r="P41" s="213">
        <v>28.3</v>
      </c>
      <c r="Q41" s="213"/>
      <c r="R41" s="214">
        <f t="shared" si="3"/>
        <v>70</v>
      </c>
      <c r="S41" s="170">
        <v>2</v>
      </c>
      <c r="T41" s="283"/>
      <c r="U41" s="281"/>
      <c r="V41" s="177" t="s">
        <v>558</v>
      </c>
      <c r="W41" s="170" t="s">
        <v>74</v>
      </c>
      <c r="X41" s="170" t="s">
        <v>11</v>
      </c>
      <c r="Y41" s="178">
        <v>41.7</v>
      </c>
      <c r="Z41" s="177" t="s">
        <v>476</v>
      </c>
      <c r="AA41" s="170" t="s">
        <v>869</v>
      </c>
      <c r="AB41" s="170" t="s">
        <v>18</v>
      </c>
      <c r="AC41" s="170">
        <v>28.3</v>
      </c>
      <c r="AD41" s="177"/>
      <c r="AG41" s="178"/>
      <c r="AH41" s="252"/>
      <c r="AL41" s="177"/>
      <c r="AO41" s="178"/>
      <c r="AP41" s="177"/>
      <c r="AS41" s="178"/>
      <c r="AW41" s="178"/>
      <c r="BA41" s="179"/>
    </row>
    <row r="42" spans="1:53" s="170" customFormat="1" x14ac:dyDescent="0.15">
      <c r="A42" s="215">
        <v>1977</v>
      </c>
      <c r="B42" s="281"/>
      <c r="C42" s="395" t="s">
        <v>1165</v>
      </c>
      <c r="D42" s="395"/>
      <c r="E42" s="170">
        <v>0</v>
      </c>
      <c r="G42" s="232">
        <v>4</v>
      </c>
      <c r="H42" s="170">
        <v>4</v>
      </c>
      <c r="J42" s="240">
        <v>8</v>
      </c>
      <c r="K42" s="213">
        <f t="shared" si="1"/>
        <v>50</v>
      </c>
      <c r="L42" s="213">
        <f t="shared" si="1"/>
        <v>50</v>
      </c>
      <c r="M42" s="213">
        <f t="shared" si="1"/>
        <v>0</v>
      </c>
      <c r="N42" s="234">
        <f t="shared" si="2"/>
        <v>100</v>
      </c>
      <c r="O42" s="212">
        <v>41.7</v>
      </c>
      <c r="P42" s="213">
        <v>28.3</v>
      </c>
      <c r="Q42" s="213"/>
      <c r="R42" s="214">
        <f t="shared" si="3"/>
        <v>70</v>
      </c>
      <c r="S42" s="170">
        <v>2</v>
      </c>
      <c r="T42" s="283"/>
      <c r="U42" s="281"/>
      <c r="V42" s="177" t="s">
        <v>558</v>
      </c>
      <c r="W42" s="170" t="s">
        <v>74</v>
      </c>
      <c r="X42" s="170" t="s">
        <v>11</v>
      </c>
      <c r="Y42" s="178">
        <v>41.7</v>
      </c>
      <c r="Z42" s="177" t="s">
        <v>476</v>
      </c>
      <c r="AA42" s="170" t="s">
        <v>869</v>
      </c>
      <c r="AB42" s="170" t="s">
        <v>18</v>
      </c>
      <c r="AC42" s="170">
        <v>28.3</v>
      </c>
      <c r="AD42" s="177"/>
      <c r="AG42" s="178"/>
      <c r="AH42" s="252"/>
      <c r="AL42" s="177"/>
      <c r="AO42" s="178"/>
      <c r="AP42" s="177"/>
      <c r="AS42" s="178"/>
      <c r="AW42" s="178"/>
      <c r="BA42" s="179"/>
    </row>
    <row r="43" spans="1:53" s="170" customFormat="1" x14ac:dyDescent="0.15">
      <c r="A43" s="215">
        <v>1977</v>
      </c>
      <c r="B43" s="281"/>
      <c r="C43" s="395" t="s">
        <v>1165</v>
      </c>
      <c r="D43" s="395"/>
      <c r="E43" s="170">
        <v>365</v>
      </c>
      <c r="G43" s="232">
        <v>4</v>
      </c>
      <c r="H43" s="170">
        <v>4</v>
      </c>
      <c r="J43" s="240">
        <v>8</v>
      </c>
      <c r="K43" s="213">
        <f t="shared" si="1"/>
        <v>50</v>
      </c>
      <c r="L43" s="213">
        <f t="shared" si="1"/>
        <v>50</v>
      </c>
      <c r="M43" s="213">
        <f t="shared" si="1"/>
        <v>0</v>
      </c>
      <c r="N43" s="234">
        <f t="shared" si="2"/>
        <v>100</v>
      </c>
      <c r="O43" s="212">
        <v>41.7</v>
      </c>
      <c r="P43" s="213">
        <v>28.3</v>
      </c>
      <c r="Q43" s="213"/>
      <c r="R43" s="214">
        <f t="shared" si="3"/>
        <v>70</v>
      </c>
      <c r="S43" s="170">
        <v>2</v>
      </c>
      <c r="T43" s="283"/>
      <c r="U43" s="281"/>
      <c r="V43" s="177" t="s">
        <v>558</v>
      </c>
      <c r="W43" s="170" t="s">
        <v>74</v>
      </c>
      <c r="X43" s="170" t="s">
        <v>11</v>
      </c>
      <c r="Y43" s="178">
        <v>41.7</v>
      </c>
      <c r="Z43" s="177" t="s">
        <v>476</v>
      </c>
      <c r="AA43" s="170" t="s">
        <v>869</v>
      </c>
      <c r="AB43" s="170" t="s">
        <v>18</v>
      </c>
      <c r="AC43" s="170">
        <v>28.3</v>
      </c>
      <c r="AD43" s="177"/>
      <c r="AG43" s="178"/>
      <c r="AH43" s="252"/>
      <c r="AL43" s="177"/>
      <c r="AO43" s="178"/>
      <c r="AP43" s="177"/>
      <c r="AS43" s="178"/>
      <c r="AW43" s="178"/>
      <c r="BA43" s="179"/>
    </row>
    <row r="44" spans="1:53" s="170" customFormat="1" x14ac:dyDescent="0.15">
      <c r="A44" s="215">
        <v>1978</v>
      </c>
      <c r="B44" s="281"/>
      <c r="C44" s="395" t="s">
        <v>1165</v>
      </c>
      <c r="D44" s="395"/>
      <c r="E44" s="170">
        <v>242</v>
      </c>
      <c r="G44" s="232">
        <v>4</v>
      </c>
      <c r="H44" s="170">
        <v>4</v>
      </c>
      <c r="J44" s="240">
        <v>8</v>
      </c>
      <c r="K44" s="213">
        <f t="shared" ref="K44:M71" si="4">G44/$J44*100</f>
        <v>50</v>
      </c>
      <c r="L44" s="213">
        <f t="shared" si="4"/>
        <v>50</v>
      </c>
      <c r="M44" s="213">
        <f t="shared" si="4"/>
        <v>0</v>
      </c>
      <c r="N44" s="234">
        <f t="shared" si="2"/>
        <v>100</v>
      </c>
      <c r="O44" s="212">
        <v>41.7</v>
      </c>
      <c r="P44" s="213">
        <v>28.3</v>
      </c>
      <c r="Q44" s="213"/>
      <c r="R44" s="214">
        <f t="shared" si="3"/>
        <v>70</v>
      </c>
      <c r="S44" s="170">
        <v>2</v>
      </c>
      <c r="T44" s="283"/>
      <c r="U44" s="281"/>
      <c r="V44" s="177" t="s">
        <v>558</v>
      </c>
      <c r="W44" s="170" t="s">
        <v>74</v>
      </c>
      <c r="X44" s="170" t="s">
        <v>11</v>
      </c>
      <c r="Y44" s="178">
        <v>41.7</v>
      </c>
      <c r="Z44" s="177" t="s">
        <v>476</v>
      </c>
      <c r="AA44" s="170" t="s">
        <v>869</v>
      </c>
      <c r="AB44" s="170" t="s">
        <v>18</v>
      </c>
      <c r="AC44" s="170">
        <v>28.3</v>
      </c>
      <c r="AD44" s="177"/>
      <c r="AG44" s="178"/>
      <c r="AH44" s="252"/>
      <c r="AL44" s="177"/>
      <c r="AO44" s="178"/>
      <c r="AP44" s="177"/>
      <c r="AS44" s="178"/>
      <c r="AW44" s="178"/>
      <c r="BA44" s="179"/>
    </row>
    <row r="45" spans="1:53" s="28" customFormat="1" x14ac:dyDescent="0.15">
      <c r="A45" s="51">
        <v>1978</v>
      </c>
      <c r="B45" s="293">
        <v>28733</v>
      </c>
      <c r="C45" s="394" t="s">
        <v>1166</v>
      </c>
      <c r="D45" s="394"/>
      <c r="E45" s="28">
        <f>365-E44</f>
        <v>123</v>
      </c>
      <c r="F45" s="28">
        <v>1</v>
      </c>
      <c r="G45" s="65"/>
      <c r="H45" s="28">
        <v>3</v>
      </c>
      <c r="I45" s="28">
        <v>6</v>
      </c>
      <c r="J45" s="72">
        <v>9</v>
      </c>
      <c r="K45" s="46">
        <f t="shared" si="4"/>
        <v>0</v>
      </c>
      <c r="L45" s="46">
        <f t="shared" si="4"/>
        <v>33.333333333333329</v>
      </c>
      <c r="M45" s="46">
        <f t="shared" si="4"/>
        <v>66.666666666666657</v>
      </c>
      <c r="N45" s="67">
        <f t="shared" si="2"/>
        <v>99.999999999999986</v>
      </c>
      <c r="O45" s="45"/>
      <c r="P45" s="46">
        <v>20</v>
      </c>
      <c r="Q45" s="46">
        <v>46.6</v>
      </c>
      <c r="R45" s="47">
        <f t="shared" si="3"/>
        <v>66.599999999999994</v>
      </c>
      <c r="S45" s="28">
        <v>2</v>
      </c>
      <c r="T45" s="284">
        <v>28666</v>
      </c>
      <c r="U45" s="293">
        <v>28733</v>
      </c>
      <c r="V45" s="37" t="s">
        <v>476</v>
      </c>
      <c r="W45" s="28" t="s">
        <v>869</v>
      </c>
      <c r="X45" s="28" t="s">
        <v>18</v>
      </c>
      <c r="Y45" s="38">
        <v>20</v>
      </c>
      <c r="Z45" s="28" t="s">
        <v>111</v>
      </c>
      <c r="AA45" s="28" t="s">
        <v>20</v>
      </c>
      <c r="AB45" s="28" t="s">
        <v>12</v>
      </c>
      <c r="AC45" s="28">
        <v>23.3</v>
      </c>
      <c r="AD45" s="37" t="s">
        <v>559</v>
      </c>
      <c r="AE45" s="28" t="s">
        <v>113</v>
      </c>
      <c r="AF45" s="28" t="s">
        <v>12</v>
      </c>
      <c r="AG45" s="38">
        <v>23.3</v>
      </c>
      <c r="AH45" s="93"/>
      <c r="AL45" s="37"/>
      <c r="AO45" s="38"/>
      <c r="AP45" s="37"/>
      <c r="AS45" s="38"/>
      <c r="AW45" s="38"/>
      <c r="BA45" s="39"/>
    </row>
    <row r="46" spans="1:53" s="28" customFormat="1" x14ac:dyDescent="0.15">
      <c r="A46" s="51">
        <v>1979</v>
      </c>
      <c r="B46" s="293"/>
      <c r="C46" s="394" t="s">
        <v>1166</v>
      </c>
      <c r="D46" s="394"/>
      <c r="E46" s="28">
        <v>287</v>
      </c>
      <c r="G46" s="65"/>
      <c r="H46" s="28">
        <v>3</v>
      </c>
      <c r="I46" s="28">
        <v>6</v>
      </c>
      <c r="J46" s="72">
        <v>9</v>
      </c>
      <c r="K46" s="46">
        <f t="shared" si="4"/>
        <v>0</v>
      </c>
      <c r="L46" s="46">
        <f t="shared" si="4"/>
        <v>33.333333333333329</v>
      </c>
      <c r="M46" s="46">
        <f t="shared" si="4"/>
        <v>66.666666666666657</v>
      </c>
      <c r="N46" s="67">
        <f t="shared" si="2"/>
        <v>99.999999999999986</v>
      </c>
      <c r="O46" s="45"/>
      <c r="P46" s="46">
        <v>20</v>
      </c>
      <c r="Q46" s="46">
        <v>46.6</v>
      </c>
      <c r="R46" s="47">
        <f t="shared" si="3"/>
        <v>66.599999999999994</v>
      </c>
      <c r="S46" s="28">
        <v>2</v>
      </c>
      <c r="T46" s="284"/>
      <c r="U46" s="293"/>
      <c r="V46" s="37" t="s">
        <v>476</v>
      </c>
      <c r="W46" s="28" t="s">
        <v>869</v>
      </c>
      <c r="X46" s="28" t="s">
        <v>18</v>
      </c>
      <c r="Y46" s="38">
        <v>20</v>
      </c>
      <c r="Z46" s="28" t="s">
        <v>111</v>
      </c>
      <c r="AA46" s="28" t="s">
        <v>20</v>
      </c>
      <c r="AB46" s="28" t="s">
        <v>12</v>
      </c>
      <c r="AC46" s="28">
        <v>23.3</v>
      </c>
      <c r="AD46" s="37" t="s">
        <v>559</v>
      </c>
      <c r="AE46" s="28" t="s">
        <v>113</v>
      </c>
      <c r="AF46" s="28" t="s">
        <v>12</v>
      </c>
      <c r="AG46" s="38">
        <v>23.3</v>
      </c>
      <c r="AH46" s="93"/>
      <c r="AL46" s="37"/>
      <c r="AO46" s="38"/>
      <c r="AP46" s="37"/>
      <c r="AS46" s="38"/>
      <c r="AW46" s="38"/>
      <c r="BA46" s="39"/>
    </row>
    <row r="47" spans="1:53" s="170" customFormat="1" x14ac:dyDescent="0.15">
      <c r="A47" s="215">
        <v>1979</v>
      </c>
      <c r="B47" s="281">
        <v>29143</v>
      </c>
      <c r="C47" s="395" t="s">
        <v>277</v>
      </c>
      <c r="D47" s="395"/>
      <c r="E47" s="170">
        <f>365-E46</f>
        <v>78</v>
      </c>
      <c r="F47" s="170">
        <v>4</v>
      </c>
      <c r="G47" s="232"/>
      <c r="I47" s="170">
        <v>6</v>
      </c>
      <c r="J47" s="240">
        <v>6</v>
      </c>
      <c r="K47" s="213">
        <f t="shared" si="4"/>
        <v>0</v>
      </c>
      <c r="L47" s="213">
        <f t="shared" si="4"/>
        <v>0</v>
      </c>
      <c r="M47" s="213">
        <f t="shared" si="4"/>
        <v>100</v>
      </c>
      <c r="N47" s="234">
        <f t="shared" si="2"/>
        <v>100</v>
      </c>
      <c r="O47" s="212"/>
      <c r="P47" s="213"/>
      <c r="Q47" s="213">
        <v>23.3</v>
      </c>
      <c r="R47" s="214">
        <f t="shared" si="3"/>
        <v>23.3</v>
      </c>
      <c r="S47" s="170">
        <v>4</v>
      </c>
      <c r="T47" s="283"/>
      <c r="U47" s="281">
        <v>29143</v>
      </c>
      <c r="V47" s="177" t="s">
        <v>111</v>
      </c>
      <c r="W47" s="170" t="s">
        <v>20</v>
      </c>
      <c r="X47" s="170" t="s">
        <v>12</v>
      </c>
      <c r="Y47" s="178">
        <v>23.3</v>
      </c>
      <c r="AD47" s="177"/>
      <c r="AG47" s="178"/>
      <c r="AH47" s="252"/>
      <c r="AL47" s="177"/>
      <c r="AO47" s="178"/>
      <c r="AP47" s="177"/>
      <c r="AS47" s="178"/>
      <c r="AW47" s="178"/>
      <c r="BA47" s="179"/>
    </row>
    <row r="48" spans="1:53" s="170" customFormat="1" x14ac:dyDescent="0.15">
      <c r="A48" s="215">
        <v>1980</v>
      </c>
      <c r="B48" s="281"/>
      <c r="C48" s="395" t="s">
        <v>277</v>
      </c>
      <c r="D48" s="395"/>
      <c r="E48" s="170">
        <v>38</v>
      </c>
      <c r="G48" s="232"/>
      <c r="I48" s="170">
        <v>6</v>
      </c>
      <c r="J48" s="240">
        <v>6</v>
      </c>
      <c r="K48" s="213">
        <f t="shared" si="4"/>
        <v>0</v>
      </c>
      <c r="L48" s="213">
        <f t="shared" si="4"/>
        <v>0</v>
      </c>
      <c r="M48" s="213">
        <f t="shared" si="4"/>
        <v>100</v>
      </c>
      <c r="N48" s="234">
        <f t="shared" si="2"/>
        <v>100</v>
      </c>
      <c r="O48" s="212"/>
      <c r="P48" s="213"/>
      <c r="Q48" s="213">
        <v>23.3</v>
      </c>
      <c r="R48" s="214">
        <f t="shared" si="3"/>
        <v>23.3</v>
      </c>
      <c r="S48" s="170">
        <v>4</v>
      </c>
      <c r="T48" s="283">
        <v>29191</v>
      </c>
      <c r="U48" s="281"/>
      <c r="V48" s="177" t="s">
        <v>111</v>
      </c>
      <c r="W48" s="170" t="s">
        <v>20</v>
      </c>
      <c r="X48" s="170" t="s">
        <v>12</v>
      </c>
      <c r="Y48" s="178">
        <v>23.3</v>
      </c>
      <c r="AD48" s="177"/>
      <c r="AG48" s="178"/>
      <c r="AH48" s="252"/>
      <c r="AL48" s="177"/>
      <c r="AO48" s="178"/>
      <c r="AP48" s="177"/>
      <c r="AS48" s="178"/>
      <c r="AW48" s="178"/>
      <c r="BA48" s="179"/>
    </row>
    <row r="49" spans="1:53" s="28" customFormat="1" x14ac:dyDescent="0.15">
      <c r="A49" s="51">
        <v>1980</v>
      </c>
      <c r="B49" s="293">
        <v>29259</v>
      </c>
      <c r="C49" s="394" t="s">
        <v>278</v>
      </c>
      <c r="D49" s="394"/>
      <c r="E49" s="28">
        <f>366-E48</f>
        <v>328</v>
      </c>
      <c r="F49" s="28">
        <v>1</v>
      </c>
      <c r="G49" s="65">
        <v>4</v>
      </c>
      <c r="H49" s="28">
        <v>3</v>
      </c>
      <c r="I49" s="28">
        <v>3</v>
      </c>
      <c r="J49" s="72">
        <v>10</v>
      </c>
      <c r="K49" s="46">
        <f t="shared" si="4"/>
        <v>40</v>
      </c>
      <c r="L49" s="46">
        <f t="shared" si="4"/>
        <v>30</v>
      </c>
      <c r="M49" s="46">
        <f t="shared" si="4"/>
        <v>30</v>
      </c>
      <c r="N49" s="67">
        <f t="shared" si="2"/>
        <v>100</v>
      </c>
      <c r="O49" s="45">
        <v>35</v>
      </c>
      <c r="P49" s="46">
        <v>28.3</v>
      </c>
      <c r="Q49" s="46">
        <v>18.3</v>
      </c>
      <c r="R49" s="47">
        <f t="shared" si="3"/>
        <v>81.599999999999994</v>
      </c>
      <c r="S49" s="28">
        <v>3</v>
      </c>
      <c r="T49" s="284"/>
      <c r="U49" s="293">
        <v>29259</v>
      </c>
      <c r="V49" s="37" t="s">
        <v>476</v>
      </c>
      <c r="W49" s="28" t="s">
        <v>869</v>
      </c>
      <c r="X49" s="28" t="s">
        <v>18</v>
      </c>
      <c r="Y49" s="38">
        <v>28.3</v>
      </c>
      <c r="Z49" s="37" t="s">
        <v>558</v>
      </c>
      <c r="AA49" s="28" t="s">
        <v>74</v>
      </c>
      <c r="AB49" s="28" t="s">
        <v>11</v>
      </c>
      <c r="AC49" s="28">
        <v>35</v>
      </c>
      <c r="AD49" s="37" t="s">
        <v>559</v>
      </c>
      <c r="AE49" s="28" t="s">
        <v>113</v>
      </c>
      <c r="AF49" s="28" t="s">
        <v>12</v>
      </c>
      <c r="AG49" s="38">
        <v>18.3</v>
      </c>
      <c r="AH49" s="93"/>
      <c r="AL49" s="37"/>
      <c r="AO49" s="38"/>
      <c r="AP49" s="37"/>
      <c r="AS49" s="38"/>
      <c r="AW49" s="38"/>
      <c r="BA49" s="39"/>
    </row>
    <row r="50" spans="1:53" s="28" customFormat="1" x14ac:dyDescent="0.15">
      <c r="A50" s="51">
        <v>1981</v>
      </c>
      <c r="B50" s="293"/>
      <c r="C50" s="394" t="s">
        <v>278</v>
      </c>
      <c r="D50" s="394"/>
      <c r="E50" s="28">
        <v>0</v>
      </c>
      <c r="G50" s="65">
        <v>4</v>
      </c>
      <c r="H50" s="28">
        <v>3</v>
      </c>
      <c r="I50" s="28">
        <v>3</v>
      </c>
      <c r="J50" s="72">
        <v>10</v>
      </c>
      <c r="K50" s="46">
        <f t="shared" si="4"/>
        <v>40</v>
      </c>
      <c r="L50" s="46">
        <f t="shared" si="4"/>
        <v>30</v>
      </c>
      <c r="M50" s="46">
        <f t="shared" si="4"/>
        <v>30</v>
      </c>
      <c r="N50" s="67">
        <f t="shared" si="2"/>
        <v>100</v>
      </c>
      <c r="O50" s="45">
        <v>35</v>
      </c>
      <c r="P50" s="46">
        <v>28.3</v>
      </c>
      <c r="Q50" s="46">
        <v>18.3</v>
      </c>
      <c r="R50" s="47">
        <f t="shared" si="3"/>
        <v>81.599999999999994</v>
      </c>
      <c r="S50" s="28">
        <v>3</v>
      </c>
      <c r="T50" s="284"/>
      <c r="U50" s="293"/>
      <c r="V50" s="37" t="s">
        <v>476</v>
      </c>
      <c r="W50" s="28" t="s">
        <v>869</v>
      </c>
      <c r="X50" s="28" t="s">
        <v>18</v>
      </c>
      <c r="Y50" s="38">
        <v>28.3</v>
      </c>
      <c r="Z50" s="37" t="s">
        <v>558</v>
      </c>
      <c r="AA50" s="28" t="s">
        <v>74</v>
      </c>
      <c r="AB50" s="28" t="s">
        <v>11</v>
      </c>
      <c r="AC50" s="28">
        <v>35</v>
      </c>
      <c r="AD50" s="37" t="s">
        <v>559</v>
      </c>
      <c r="AE50" s="28" t="s">
        <v>113</v>
      </c>
      <c r="AF50" s="28" t="s">
        <v>12</v>
      </c>
      <c r="AG50" s="38">
        <v>18.3</v>
      </c>
      <c r="AH50" s="93"/>
      <c r="AL50" s="37"/>
      <c r="AO50" s="38"/>
      <c r="AP50" s="37"/>
      <c r="AS50" s="38"/>
      <c r="AW50" s="38"/>
      <c r="BA50" s="39"/>
    </row>
    <row r="51" spans="1:53" s="28" customFormat="1" x14ac:dyDescent="0.15">
      <c r="A51" s="51">
        <v>1981</v>
      </c>
      <c r="B51" s="293"/>
      <c r="C51" s="394" t="s">
        <v>278</v>
      </c>
      <c r="D51" s="394"/>
      <c r="E51" s="28">
        <v>365</v>
      </c>
      <c r="G51" s="65">
        <v>4</v>
      </c>
      <c r="H51" s="28">
        <v>3</v>
      </c>
      <c r="I51" s="28">
        <v>3</v>
      </c>
      <c r="J51" s="72">
        <v>10</v>
      </c>
      <c r="K51" s="46">
        <f t="shared" si="4"/>
        <v>40</v>
      </c>
      <c r="L51" s="46">
        <f t="shared" si="4"/>
        <v>30</v>
      </c>
      <c r="M51" s="46">
        <f t="shared" si="4"/>
        <v>30</v>
      </c>
      <c r="N51" s="67">
        <f t="shared" si="2"/>
        <v>100</v>
      </c>
      <c r="O51" s="45">
        <v>35</v>
      </c>
      <c r="P51" s="46">
        <v>28.3</v>
      </c>
      <c r="Q51" s="46">
        <v>18.3</v>
      </c>
      <c r="R51" s="47">
        <f t="shared" si="3"/>
        <v>81.599999999999994</v>
      </c>
      <c r="S51" s="28">
        <v>3</v>
      </c>
      <c r="T51" s="284"/>
      <c r="U51" s="293"/>
      <c r="V51" s="37" t="s">
        <v>476</v>
      </c>
      <c r="W51" s="28" t="s">
        <v>869</v>
      </c>
      <c r="X51" s="28" t="s">
        <v>18</v>
      </c>
      <c r="Y51" s="38">
        <v>28.3</v>
      </c>
      <c r="Z51" s="37" t="s">
        <v>558</v>
      </c>
      <c r="AA51" s="28" t="s">
        <v>74</v>
      </c>
      <c r="AB51" s="28" t="s">
        <v>11</v>
      </c>
      <c r="AC51" s="28">
        <v>35</v>
      </c>
      <c r="AD51" s="37" t="s">
        <v>559</v>
      </c>
      <c r="AE51" s="28" t="s">
        <v>113</v>
      </c>
      <c r="AF51" s="28" t="s">
        <v>12</v>
      </c>
      <c r="AG51" s="38">
        <v>18.3</v>
      </c>
      <c r="AH51" s="93"/>
      <c r="AL51" s="37"/>
      <c r="AO51" s="38"/>
      <c r="AP51" s="37"/>
      <c r="AS51" s="38"/>
      <c r="AW51" s="38"/>
      <c r="BA51" s="39"/>
    </row>
    <row r="52" spans="1:53" s="28" customFormat="1" x14ac:dyDescent="0.15">
      <c r="A52" s="51">
        <v>1982</v>
      </c>
      <c r="B52" s="293"/>
      <c r="C52" s="394" t="s">
        <v>278</v>
      </c>
      <c r="D52" s="394"/>
      <c r="E52" s="28">
        <v>0</v>
      </c>
      <c r="G52" s="65">
        <v>4</v>
      </c>
      <c r="H52" s="28">
        <v>3</v>
      </c>
      <c r="I52" s="28">
        <v>3</v>
      </c>
      <c r="J52" s="72">
        <v>10</v>
      </c>
      <c r="K52" s="46">
        <f t="shared" si="4"/>
        <v>40</v>
      </c>
      <c r="L52" s="46">
        <f t="shared" si="4"/>
        <v>30</v>
      </c>
      <c r="M52" s="46">
        <f t="shared" si="4"/>
        <v>30</v>
      </c>
      <c r="N52" s="67">
        <f t="shared" si="2"/>
        <v>100</v>
      </c>
      <c r="O52" s="45">
        <v>35</v>
      </c>
      <c r="P52" s="46">
        <v>28.3</v>
      </c>
      <c r="Q52" s="46">
        <v>18.3</v>
      </c>
      <c r="R52" s="47">
        <f t="shared" si="3"/>
        <v>81.599999999999994</v>
      </c>
      <c r="S52" s="28">
        <v>3</v>
      </c>
      <c r="T52" s="284"/>
      <c r="U52" s="293"/>
      <c r="V52" s="37" t="s">
        <v>476</v>
      </c>
      <c r="W52" s="28" t="s">
        <v>869</v>
      </c>
      <c r="X52" s="28" t="s">
        <v>18</v>
      </c>
      <c r="Y52" s="38">
        <v>28.3</v>
      </c>
      <c r="Z52" s="37" t="s">
        <v>558</v>
      </c>
      <c r="AA52" s="28" t="s">
        <v>74</v>
      </c>
      <c r="AB52" s="28" t="s">
        <v>11</v>
      </c>
      <c r="AC52" s="28">
        <v>35</v>
      </c>
      <c r="AD52" s="37" t="s">
        <v>559</v>
      </c>
      <c r="AE52" s="28" t="s">
        <v>113</v>
      </c>
      <c r="AF52" s="28" t="s">
        <v>12</v>
      </c>
      <c r="AG52" s="38">
        <v>18.3</v>
      </c>
      <c r="AH52" s="93"/>
      <c r="AL52" s="37"/>
      <c r="AO52" s="38"/>
      <c r="AP52" s="37"/>
      <c r="AS52" s="38"/>
      <c r="AW52" s="38"/>
      <c r="BA52" s="39"/>
    </row>
    <row r="53" spans="1:53" s="28" customFormat="1" x14ac:dyDescent="0.15">
      <c r="A53" s="51">
        <v>1982</v>
      </c>
      <c r="B53" s="293"/>
      <c r="C53" s="394" t="s">
        <v>278</v>
      </c>
      <c r="D53" s="394"/>
      <c r="E53" s="28">
        <v>365</v>
      </c>
      <c r="G53" s="65">
        <v>4</v>
      </c>
      <c r="H53" s="28">
        <v>3</v>
      </c>
      <c r="I53" s="28">
        <v>3</v>
      </c>
      <c r="J53" s="72">
        <v>10</v>
      </c>
      <c r="K53" s="46">
        <f t="shared" si="4"/>
        <v>40</v>
      </c>
      <c r="L53" s="46">
        <f t="shared" si="4"/>
        <v>30</v>
      </c>
      <c r="M53" s="46">
        <f t="shared" si="4"/>
        <v>30</v>
      </c>
      <c r="N53" s="67">
        <f t="shared" si="2"/>
        <v>100</v>
      </c>
      <c r="O53" s="45">
        <v>35</v>
      </c>
      <c r="P53" s="46">
        <v>28.3</v>
      </c>
      <c r="Q53" s="46">
        <v>18.3</v>
      </c>
      <c r="R53" s="47">
        <f t="shared" si="3"/>
        <v>81.599999999999994</v>
      </c>
      <c r="S53" s="28">
        <v>3</v>
      </c>
      <c r="T53" s="284"/>
      <c r="U53" s="293"/>
      <c r="V53" s="37" t="s">
        <v>476</v>
      </c>
      <c r="W53" s="28" t="s">
        <v>869</v>
      </c>
      <c r="X53" s="28" t="s">
        <v>18</v>
      </c>
      <c r="Y53" s="38">
        <v>28.3</v>
      </c>
      <c r="Z53" s="37" t="s">
        <v>558</v>
      </c>
      <c r="AA53" s="28" t="s">
        <v>74</v>
      </c>
      <c r="AB53" s="28" t="s">
        <v>11</v>
      </c>
      <c r="AC53" s="28">
        <v>35</v>
      </c>
      <c r="AD53" s="37" t="s">
        <v>559</v>
      </c>
      <c r="AE53" s="28" t="s">
        <v>113</v>
      </c>
      <c r="AF53" s="28" t="s">
        <v>12</v>
      </c>
      <c r="AG53" s="38">
        <v>18.3</v>
      </c>
      <c r="AH53" s="93"/>
      <c r="AL53" s="37"/>
      <c r="AO53" s="38"/>
      <c r="AP53" s="37"/>
      <c r="AS53" s="38"/>
      <c r="AW53" s="38"/>
      <c r="BA53" s="39"/>
    </row>
    <row r="54" spans="1:53" s="28" customFormat="1" x14ac:dyDescent="0.15">
      <c r="A54" s="51">
        <v>1983</v>
      </c>
      <c r="B54" s="293"/>
      <c r="C54" s="394" t="s">
        <v>278</v>
      </c>
      <c r="D54" s="394"/>
      <c r="E54" s="28">
        <v>145</v>
      </c>
      <c r="G54" s="65">
        <v>4</v>
      </c>
      <c r="H54" s="28">
        <v>3</v>
      </c>
      <c r="I54" s="28">
        <v>3</v>
      </c>
      <c r="J54" s="72">
        <v>10</v>
      </c>
      <c r="K54" s="46">
        <f t="shared" si="4"/>
        <v>40</v>
      </c>
      <c r="L54" s="46">
        <f t="shared" si="4"/>
        <v>30</v>
      </c>
      <c r="M54" s="46">
        <f t="shared" si="4"/>
        <v>30</v>
      </c>
      <c r="N54" s="67">
        <f t="shared" si="2"/>
        <v>100</v>
      </c>
      <c r="O54" s="45">
        <v>35</v>
      </c>
      <c r="P54" s="46">
        <v>28.3</v>
      </c>
      <c r="Q54" s="46">
        <v>18.3</v>
      </c>
      <c r="R54" s="47">
        <f t="shared" si="3"/>
        <v>81.599999999999994</v>
      </c>
      <c r="S54" s="28">
        <v>3</v>
      </c>
      <c r="T54" s="284"/>
      <c r="U54" s="293"/>
      <c r="V54" s="37" t="s">
        <v>476</v>
      </c>
      <c r="W54" s="28" t="s">
        <v>869</v>
      </c>
      <c r="X54" s="28" t="s">
        <v>18</v>
      </c>
      <c r="Y54" s="38">
        <v>28.3</v>
      </c>
      <c r="Z54" s="37" t="s">
        <v>558</v>
      </c>
      <c r="AA54" s="28" t="s">
        <v>74</v>
      </c>
      <c r="AB54" s="28" t="s">
        <v>11</v>
      </c>
      <c r="AC54" s="28">
        <v>35</v>
      </c>
      <c r="AD54" s="37" t="s">
        <v>559</v>
      </c>
      <c r="AE54" s="28" t="s">
        <v>113</v>
      </c>
      <c r="AF54" s="28" t="s">
        <v>12</v>
      </c>
      <c r="AG54" s="38">
        <v>18.3</v>
      </c>
      <c r="AH54" s="93"/>
      <c r="AL54" s="37"/>
      <c r="AO54" s="38"/>
      <c r="AP54" s="37"/>
      <c r="AS54" s="38"/>
      <c r="AW54" s="38"/>
      <c r="BA54" s="39"/>
    </row>
    <row r="55" spans="1:53" s="170" customFormat="1" x14ac:dyDescent="0.15">
      <c r="A55" s="215">
        <v>1983</v>
      </c>
      <c r="B55" s="281">
        <v>30462</v>
      </c>
      <c r="C55" s="395" t="s">
        <v>279</v>
      </c>
      <c r="D55" s="395"/>
      <c r="E55" s="170">
        <f>365-E54</f>
        <v>220</v>
      </c>
      <c r="F55" s="170">
        <v>5</v>
      </c>
      <c r="G55" s="232">
        <v>6</v>
      </c>
      <c r="H55" s="170">
        <v>4</v>
      </c>
      <c r="J55" s="240">
        <v>10</v>
      </c>
      <c r="K55" s="213">
        <f t="shared" si="4"/>
        <v>60</v>
      </c>
      <c r="L55" s="213">
        <f t="shared" si="4"/>
        <v>40</v>
      </c>
      <c r="M55" s="213">
        <f t="shared" si="4"/>
        <v>0</v>
      </c>
      <c r="N55" s="234">
        <f t="shared" si="2"/>
        <v>100</v>
      </c>
      <c r="O55" s="212">
        <v>38.299999999999997</v>
      </c>
      <c r="P55" s="213">
        <v>23.3</v>
      </c>
      <c r="Q55" s="213"/>
      <c r="R55" s="214">
        <f t="shared" si="3"/>
        <v>61.599999999999994</v>
      </c>
      <c r="S55" s="170">
        <v>2</v>
      </c>
      <c r="T55" s="283">
        <v>30429</v>
      </c>
      <c r="U55" s="281">
        <v>30462</v>
      </c>
      <c r="V55" s="177" t="s">
        <v>476</v>
      </c>
      <c r="W55" s="170" t="s">
        <v>869</v>
      </c>
      <c r="X55" s="170" t="s">
        <v>18</v>
      </c>
      <c r="Y55" s="178">
        <v>23.3</v>
      </c>
      <c r="Z55" s="177" t="s">
        <v>558</v>
      </c>
      <c r="AA55" s="170" t="s">
        <v>74</v>
      </c>
      <c r="AB55" s="170" t="s">
        <v>11</v>
      </c>
      <c r="AC55" s="170">
        <v>38.299999999999997</v>
      </c>
      <c r="AD55" s="177"/>
      <c r="AG55" s="178"/>
      <c r="AH55" s="252"/>
      <c r="AL55" s="177"/>
      <c r="AO55" s="178"/>
      <c r="AP55" s="177"/>
      <c r="AS55" s="178"/>
      <c r="AW55" s="178"/>
      <c r="BA55" s="179"/>
    </row>
    <row r="56" spans="1:53" s="170" customFormat="1" x14ac:dyDescent="0.15">
      <c r="A56" s="215">
        <v>1984</v>
      </c>
      <c r="B56" s="281"/>
      <c r="C56" s="395" t="s">
        <v>279</v>
      </c>
      <c r="D56" s="395"/>
      <c r="E56" s="170">
        <v>0</v>
      </c>
      <c r="G56" s="232">
        <v>6</v>
      </c>
      <c r="H56" s="170">
        <v>4</v>
      </c>
      <c r="J56" s="240">
        <v>10</v>
      </c>
      <c r="K56" s="213">
        <f t="shared" si="4"/>
        <v>60</v>
      </c>
      <c r="L56" s="213">
        <f t="shared" si="4"/>
        <v>40</v>
      </c>
      <c r="M56" s="213">
        <f t="shared" si="4"/>
        <v>0</v>
      </c>
      <c r="N56" s="234">
        <f t="shared" si="2"/>
        <v>100</v>
      </c>
      <c r="O56" s="212">
        <v>38.299999999999997</v>
      </c>
      <c r="P56" s="213">
        <v>23.3</v>
      </c>
      <c r="Q56" s="213"/>
      <c r="R56" s="214">
        <f t="shared" si="3"/>
        <v>61.599999999999994</v>
      </c>
      <c r="S56" s="170">
        <v>2</v>
      </c>
      <c r="T56" s="283"/>
      <c r="U56" s="281"/>
      <c r="V56" s="177" t="s">
        <v>476</v>
      </c>
      <c r="W56" s="170" t="s">
        <v>869</v>
      </c>
      <c r="X56" s="170" t="s">
        <v>18</v>
      </c>
      <c r="Y56" s="178">
        <v>23.3</v>
      </c>
      <c r="Z56" s="177" t="s">
        <v>558</v>
      </c>
      <c r="AA56" s="170" t="s">
        <v>74</v>
      </c>
      <c r="AB56" s="170" t="s">
        <v>11</v>
      </c>
      <c r="AC56" s="170">
        <v>38.299999999999997</v>
      </c>
      <c r="AD56" s="177"/>
      <c r="AG56" s="178"/>
      <c r="AH56" s="252"/>
      <c r="AL56" s="177"/>
      <c r="AO56" s="178"/>
      <c r="AP56" s="177"/>
      <c r="AS56" s="178"/>
      <c r="AW56" s="178"/>
      <c r="BA56" s="179"/>
    </row>
    <row r="57" spans="1:53" s="170" customFormat="1" x14ac:dyDescent="0.15">
      <c r="A57" s="215">
        <v>1984</v>
      </c>
      <c r="B57" s="281"/>
      <c r="C57" s="395" t="s">
        <v>279</v>
      </c>
      <c r="D57" s="395"/>
      <c r="E57" s="170">
        <v>366</v>
      </c>
      <c r="G57" s="232">
        <v>6</v>
      </c>
      <c r="H57" s="170">
        <v>4</v>
      </c>
      <c r="J57" s="240">
        <v>10</v>
      </c>
      <c r="K57" s="213">
        <f t="shared" si="4"/>
        <v>60</v>
      </c>
      <c r="L57" s="213">
        <f t="shared" si="4"/>
        <v>40</v>
      </c>
      <c r="M57" s="213">
        <f t="shared" si="4"/>
        <v>0</v>
      </c>
      <c r="N57" s="234">
        <f t="shared" si="2"/>
        <v>100</v>
      </c>
      <c r="O57" s="212">
        <v>38.299999999999997</v>
      </c>
      <c r="P57" s="213">
        <v>23.3</v>
      </c>
      <c r="Q57" s="213"/>
      <c r="R57" s="214">
        <f t="shared" si="3"/>
        <v>61.599999999999994</v>
      </c>
      <c r="S57" s="170">
        <v>2</v>
      </c>
      <c r="T57" s="283"/>
      <c r="U57" s="281"/>
      <c r="V57" s="177" t="s">
        <v>476</v>
      </c>
      <c r="W57" s="170" t="s">
        <v>869</v>
      </c>
      <c r="X57" s="170" t="s">
        <v>18</v>
      </c>
      <c r="Y57" s="178">
        <v>23.3</v>
      </c>
      <c r="Z57" s="177" t="s">
        <v>558</v>
      </c>
      <c r="AA57" s="170" t="s">
        <v>74</v>
      </c>
      <c r="AB57" s="170" t="s">
        <v>11</v>
      </c>
      <c r="AC57" s="170">
        <v>38.299999999999997</v>
      </c>
      <c r="AD57" s="177"/>
      <c r="AG57" s="178"/>
      <c r="AH57" s="252"/>
      <c r="AL57" s="177"/>
      <c r="AO57" s="178"/>
      <c r="AP57" s="177"/>
      <c r="AS57" s="178"/>
      <c r="AW57" s="178"/>
      <c r="BA57" s="179"/>
    </row>
    <row r="58" spans="1:53" s="170" customFormat="1" x14ac:dyDescent="0.15">
      <c r="A58" s="215">
        <v>1985</v>
      </c>
      <c r="B58" s="281"/>
      <c r="C58" s="395" t="s">
        <v>279</v>
      </c>
      <c r="D58" s="395"/>
      <c r="E58" s="170">
        <v>0</v>
      </c>
      <c r="G58" s="232">
        <v>6</v>
      </c>
      <c r="H58" s="170">
        <v>4</v>
      </c>
      <c r="J58" s="240">
        <v>10</v>
      </c>
      <c r="K58" s="213">
        <f t="shared" si="4"/>
        <v>60</v>
      </c>
      <c r="L58" s="213">
        <f t="shared" si="4"/>
        <v>40</v>
      </c>
      <c r="M58" s="213">
        <f t="shared" si="4"/>
        <v>0</v>
      </c>
      <c r="N58" s="234">
        <f t="shared" si="2"/>
        <v>100</v>
      </c>
      <c r="O58" s="212">
        <v>38.299999999999997</v>
      </c>
      <c r="P58" s="213">
        <v>23.3</v>
      </c>
      <c r="Q58" s="213"/>
      <c r="R58" s="214">
        <f t="shared" si="3"/>
        <v>61.599999999999994</v>
      </c>
      <c r="S58" s="170">
        <v>2</v>
      </c>
      <c r="T58" s="283"/>
      <c r="U58" s="281"/>
      <c r="V58" s="177" t="s">
        <v>476</v>
      </c>
      <c r="W58" s="170" t="s">
        <v>869</v>
      </c>
      <c r="X58" s="170" t="s">
        <v>18</v>
      </c>
      <c r="Y58" s="178">
        <v>23.3</v>
      </c>
      <c r="Z58" s="177" t="s">
        <v>558</v>
      </c>
      <c r="AA58" s="170" t="s">
        <v>74</v>
      </c>
      <c r="AB58" s="170" t="s">
        <v>11</v>
      </c>
      <c r="AC58" s="170">
        <v>38.299999999999997</v>
      </c>
      <c r="AD58" s="177"/>
      <c r="AG58" s="178"/>
      <c r="AH58" s="252"/>
      <c r="AL58" s="177"/>
      <c r="AO58" s="178"/>
      <c r="AP58" s="177"/>
      <c r="AS58" s="178"/>
      <c r="AW58" s="178"/>
      <c r="BA58" s="179"/>
    </row>
    <row r="59" spans="1:53" s="170" customFormat="1" x14ac:dyDescent="0.15">
      <c r="A59" s="215">
        <v>1985</v>
      </c>
      <c r="B59" s="281"/>
      <c r="C59" s="395" t="s">
        <v>279</v>
      </c>
      <c r="D59" s="395"/>
      <c r="E59" s="170">
        <v>365</v>
      </c>
      <c r="G59" s="232">
        <v>6</v>
      </c>
      <c r="H59" s="170">
        <v>4</v>
      </c>
      <c r="J59" s="240">
        <v>10</v>
      </c>
      <c r="K59" s="213">
        <f t="shared" si="4"/>
        <v>60</v>
      </c>
      <c r="L59" s="213">
        <f t="shared" si="4"/>
        <v>40</v>
      </c>
      <c r="M59" s="213">
        <f t="shared" si="4"/>
        <v>0</v>
      </c>
      <c r="N59" s="234">
        <f t="shared" si="2"/>
        <v>100</v>
      </c>
      <c r="O59" s="212">
        <v>38.299999999999997</v>
      </c>
      <c r="P59" s="213">
        <v>23.3</v>
      </c>
      <c r="Q59" s="213"/>
      <c r="R59" s="214">
        <f t="shared" si="3"/>
        <v>61.599999999999994</v>
      </c>
      <c r="S59" s="170">
        <v>2</v>
      </c>
      <c r="T59" s="283"/>
      <c r="U59" s="281"/>
      <c r="V59" s="177" t="s">
        <v>476</v>
      </c>
      <c r="W59" s="170" t="s">
        <v>869</v>
      </c>
      <c r="X59" s="170" t="s">
        <v>18</v>
      </c>
      <c r="Y59" s="178">
        <v>23.3</v>
      </c>
      <c r="Z59" s="177" t="s">
        <v>558</v>
      </c>
      <c r="AA59" s="170" t="s">
        <v>74</v>
      </c>
      <c r="AB59" s="170" t="s">
        <v>11</v>
      </c>
      <c r="AC59" s="170">
        <v>38.299999999999997</v>
      </c>
      <c r="AD59" s="177"/>
      <c r="AG59" s="178"/>
      <c r="AH59" s="252"/>
      <c r="AL59" s="177"/>
      <c r="AO59" s="178"/>
      <c r="AP59" s="177"/>
      <c r="AS59" s="178"/>
      <c r="AW59" s="178"/>
      <c r="BA59" s="179"/>
    </row>
    <row r="60" spans="1:53" s="170" customFormat="1" x14ac:dyDescent="0.15">
      <c r="A60" s="215">
        <v>1986</v>
      </c>
      <c r="B60" s="281"/>
      <c r="C60" s="395" t="s">
        <v>279</v>
      </c>
      <c r="D60" s="395"/>
      <c r="E60" s="170">
        <v>0</v>
      </c>
      <c r="G60" s="232">
        <v>6</v>
      </c>
      <c r="H60" s="170">
        <v>4</v>
      </c>
      <c r="J60" s="240">
        <v>10</v>
      </c>
      <c r="K60" s="213">
        <f t="shared" si="4"/>
        <v>60</v>
      </c>
      <c r="L60" s="213">
        <f t="shared" si="4"/>
        <v>40</v>
      </c>
      <c r="M60" s="213">
        <f t="shared" si="4"/>
        <v>0</v>
      </c>
      <c r="N60" s="234">
        <f t="shared" si="2"/>
        <v>100</v>
      </c>
      <c r="O60" s="212">
        <v>38.299999999999997</v>
      </c>
      <c r="P60" s="213">
        <v>23.3</v>
      </c>
      <c r="Q60" s="213"/>
      <c r="R60" s="214">
        <f t="shared" si="3"/>
        <v>61.599999999999994</v>
      </c>
      <c r="S60" s="170">
        <v>2</v>
      </c>
      <c r="T60" s="283"/>
      <c r="U60" s="281"/>
      <c r="V60" s="177" t="s">
        <v>476</v>
      </c>
      <c r="W60" s="170" t="s">
        <v>869</v>
      </c>
      <c r="X60" s="170" t="s">
        <v>18</v>
      </c>
      <c r="Y60" s="178">
        <v>23.3</v>
      </c>
      <c r="Z60" s="177" t="s">
        <v>558</v>
      </c>
      <c r="AA60" s="170" t="s">
        <v>74</v>
      </c>
      <c r="AB60" s="170" t="s">
        <v>11</v>
      </c>
      <c r="AC60" s="170">
        <v>38.299999999999997</v>
      </c>
      <c r="AD60" s="177"/>
      <c r="AG60" s="178"/>
      <c r="AH60" s="252"/>
      <c r="AL60" s="177"/>
      <c r="AO60" s="178"/>
      <c r="AP60" s="177"/>
      <c r="AS60" s="178"/>
      <c r="AW60" s="178"/>
      <c r="BA60" s="179"/>
    </row>
    <row r="61" spans="1:53" s="170" customFormat="1" x14ac:dyDescent="0.15">
      <c r="A61" s="215">
        <v>1986</v>
      </c>
      <c r="B61" s="281"/>
      <c r="C61" s="395" t="s">
        <v>279</v>
      </c>
      <c r="D61" s="395"/>
      <c r="E61" s="170">
        <v>365</v>
      </c>
      <c r="G61" s="232">
        <v>6</v>
      </c>
      <c r="H61" s="170">
        <v>4</v>
      </c>
      <c r="J61" s="240">
        <v>10</v>
      </c>
      <c r="K61" s="213">
        <f t="shared" si="4"/>
        <v>60</v>
      </c>
      <c r="L61" s="213">
        <f t="shared" si="4"/>
        <v>40</v>
      </c>
      <c r="M61" s="213">
        <f t="shared" si="4"/>
        <v>0</v>
      </c>
      <c r="N61" s="234">
        <f t="shared" si="2"/>
        <v>100</v>
      </c>
      <c r="O61" s="212">
        <v>38.299999999999997</v>
      </c>
      <c r="P61" s="213">
        <v>23.3</v>
      </c>
      <c r="Q61" s="213"/>
      <c r="R61" s="214">
        <f t="shared" si="3"/>
        <v>61.599999999999994</v>
      </c>
      <c r="S61" s="170">
        <v>2</v>
      </c>
      <c r="T61" s="283"/>
      <c r="U61" s="281"/>
      <c r="V61" s="177" t="s">
        <v>476</v>
      </c>
      <c r="W61" s="170" t="s">
        <v>869</v>
      </c>
      <c r="X61" s="170" t="s">
        <v>18</v>
      </c>
      <c r="Y61" s="178">
        <v>23.3</v>
      </c>
      <c r="Z61" s="177" t="s">
        <v>558</v>
      </c>
      <c r="AA61" s="170" t="s">
        <v>74</v>
      </c>
      <c r="AB61" s="170" t="s">
        <v>11</v>
      </c>
      <c r="AC61" s="170">
        <v>38.299999999999997</v>
      </c>
      <c r="AD61" s="177"/>
      <c r="AG61" s="178"/>
      <c r="AH61" s="252"/>
      <c r="AL61" s="177"/>
      <c r="AO61" s="178"/>
      <c r="AP61" s="177"/>
      <c r="AS61" s="178"/>
      <c r="AW61" s="178"/>
      <c r="BA61" s="179"/>
    </row>
    <row r="62" spans="1:53" s="170" customFormat="1" x14ac:dyDescent="0.15">
      <c r="A62" s="215">
        <v>1987</v>
      </c>
      <c r="B62" s="281"/>
      <c r="C62" s="395" t="s">
        <v>279</v>
      </c>
      <c r="D62" s="395"/>
      <c r="E62" s="170">
        <v>188</v>
      </c>
      <c r="G62" s="232">
        <v>6</v>
      </c>
      <c r="H62" s="170">
        <v>4</v>
      </c>
      <c r="J62" s="240">
        <v>10</v>
      </c>
      <c r="K62" s="213">
        <f t="shared" si="4"/>
        <v>60</v>
      </c>
      <c r="L62" s="213">
        <f t="shared" si="4"/>
        <v>40</v>
      </c>
      <c r="M62" s="213">
        <f t="shared" si="4"/>
        <v>0</v>
      </c>
      <c r="N62" s="234">
        <f t="shared" si="2"/>
        <v>100</v>
      </c>
      <c r="O62" s="212">
        <v>38.299999999999997</v>
      </c>
      <c r="P62" s="213">
        <v>23.3</v>
      </c>
      <c r="Q62" s="213"/>
      <c r="R62" s="214">
        <f t="shared" si="3"/>
        <v>61.599999999999994</v>
      </c>
      <c r="S62" s="170">
        <v>2</v>
      </c>
      <c r="T62" s="283"/>
      <c r="U62" s="281"/>
      <c r="V62" s="177" t="s">
        <v>476</v>
      </c>
      <c r="W62" s="170" t="s">
        <v>869</v>
      </c>
      <c r="X62" s="170" t="s">
        <v>18</v>
      </c>
      <c r="Y62" s="178">
        <v>23.3</v>
      </c>
      <c r="Z62" s="177" t="s">
        <v>558</v>
      </c>
      <c r="AA62" s="170" t="s">
        <v>74</v>
      </c>
      <c r="AB62" s="170" t="s">
        <v>11</v>
      </c>
      <c r="AC62" s="170">
        <v>38.299999999999997</v>
      </c>
      <c r="AD62" s="177"/>
      <c r="AG62" s="178"/>
      <c r="AH62" s="252"/>
      <c r="AL62" s="177"/>
      <c r="AO62" s="178"/>
      <c r="AP62" s="177"/>
      <c r="AS62" s="178"/>
      <c r="AW62" s="178"/>
      <c r="BA62" s="179"/>
    </row>
    <row r="63" spans="1:53" s="28" customFormat="1" x14ac:dyDescent="0.15">
      <c r="A63" s="51">
        <v>1987</v>
      </c>
      <c r="B63" s="293">
        <v>31966</v>
      </c>
      <c r="C63" s="394" t="s">
        <v>1167</v>
      </c>
      <c r="D63" s="394"/>
      <c r="E63" s="28">
        <f>365-E62</f>
        <v>177</v>
      </c>
      <c r="F63" s="28">
        <v>1</v>
      </c>
      <c r="G63" s="65">
        <v>4</v>
      </c>
      <c r="H63" s="28">
        <v>4</v>
      </c>
      <c r="I63" s="28">
        <v>3</v>
      </c>
      <c r="J63" s="72">
        <v>11</v>
      </c>
      <c r="K63" s="46">
        <f t="shared" si="4"/>
        <v>36.363636363636367</v>
      </c>
      <c r="L63" s="46">
        <f t="shared" si="4"/>
        <v>36.363636363636367</v>
      </c>
      <c r="M63" s="46">
        <f t="shared" si="4"/>
        <v>27.27272727272727</v>
      </c>
      <c r="N63" s="67">
        <f t="shared" si="2"/>
        <v>100</v>
      </c>
      <c r="O63" s="45">
        <v>28.6</v>
      </c>
      <c r="P63" s="46">
        <v>20.6</v>
      </c>
      <c r="Q63" s="46">
        <v>15.8</v>
      </c>
      <c r="R63" s="47">
        <f t="shared" si="3"/>
        <v>65</v>
      </c>
      <c r="S63" s="28">
        <v>2</v>
      </c>
      <c r="T63" s="284">
        <v>31892</v>
      </c>
      <c r="U63" s="293">
        <v>31966</v>
      </c>
      <c r="V63" s="37" t="s">
        <v>476</v>
      </c>
      <c r="W63" s="28" t="s">
        <v>869</v>
      </c>
      <c r="X63" s="28" t="s">
        <v>18</v>
      </c>
      <c r="Y63" s="38">
        <v>20.6</v>
      </c>
      <c r="Z63" s="37" t="s">
        <v>558</v>
      </c>
      <c r="AA63" s="28" t="s">
        <v>74</v>
      </c>
      <c r="AB63" s="28" t="s">
        <v>11</v>
      </c>
      <c r="AC63" s="28">
        <v>28.6</v>
      </c>
      <c r="AD63" s="37" t="s">
        <v>111</v>
      </c>
      <c r="AE63" s="28" t="s">
        <v>20</v>
      </c>
      <c r="AF63" s="28" t="s">
        <v>12</v>
      </c>
      <c r="AG63" s="38">
        <v>15.8</v>
      </c>
      <c r="AH63" s="93"/>
      <c r="AL63" s="37"/>
      <c r="AO63" s="38"/>
      <c r="AP63" s="37"/>
      <c r="AS63" s="38"/>
      <c r="AW63" s="38"/>
      <c r="BA63" s="39"/>
    </row>
    <row r="64" spans="1:53" s="28" customFormat="1" x14ac:dyDescent="0.15">
      <c r="A64" s="51">
        <v>1988</v>
      </c>
      <c r="B64" s="293"/>
      <c r="C64" s="394" t="s">
        <v>1167</v>
      </c>
      <c r="D64" s="394"/>
      <c r="E64" s="28">
        <v>272</v>
      </c>
      <c r="G64" s="65">
        <v>4</v>
      </c>
      <c r="H64" s="28">
        <v>4</v>
      </c>
      <c r="I64" s="28">
        <v>3</v>
      </c>
      <c r="J64" s="72">
        <v>11</v>
      </c>
      <c r="K64" s="46">
        <f t="shared" si="4"/>
        <v>36.363636363636367</v>
      </c>
      <c r="L64" s="46">
        <f t="shared" si="4"/>
        <v>36.363636363636367</v>
      </c>
      <c r="M64" s="46">
        <f t="shared" si="4"/>
        <v>27.27272727272727</v>
      </c>
      <c r="N64" s="67">
        <f t="shared" si="2"/>
        <v>100</v>
      </c>
      <c r="O64" s="45">
        <v>28.6</v>
      </c>
      <c r="P64" s="46">
        <v>20.6</v>
      </c>
      <c r="Q64" s="46">
        <v>15.8</v>
      </c>
      <c r="R64" s="47">
        <f t="shared" si="3"/>
        <v>65</v>
      </c>
      <c r="S64" s="28">
        <v>2</v>
      </c>
      <c r="T64" s="284"/>
      <c r="U64" s="293"/>
      <c r="V64" s="37" t="s">
        <v>476</v>
      </c>
      <c r="W64" s="28" t="s">
        <v>869</v>
      </c>
      <c r="X64" s="28" t="s">
        <v>18</v>
      </c>
      <c r="Y64" s="38">
        <v>20.6</v>
      </c>
      <c r="Z64" s="37" t="s">
        <v>558</v>
      </c>
      <c r="AA64" s="28" t="s">
        <v>74</v>
      </c>
      <c r="AB64" s="28" t="s">
        <v>11</v>
      </c>
      <c r="AC64" s="28">
        <v>28.6</v>
      </c>
      <c r="AD64" s="37" t="s">
        <v>111</v>
      </c>
      <c r="AE64" s="28" t="s">
        <v>20</v>
      </c>
      <c r="AF64" s="28" t="s">
        <v>12</v>
      </c>
      <c r="AG64" s="38">
        <v>15.8</v>
      </c>
      <c r="AH64" s="93"/>
      <c r="AL64" s="37"/>
      <c r="AO64" s="38"/>
      <c r="AP64" s="37"/>
      <c r="AS64" s="38"/>
      <c r="AW64" s="38"/>
      <c r="BA64" s="39"/>
    </row>
    <row r="65" spans="1:53" s="170" customFormat="1" x14ac:dyDescent="0.15">
      <c r="A65" s="215">
        <v>1988</v>
      </c>
      <c r="B65" s="281">
        <v>32415</v>
      </c>
      <c r="C65" s="395" t="s">
        <v>280</v>
      </c>
      <c r="D65" s="395"/>
      <c r="E65" s="170">
        <f>366-E64</f>
        <v>94</v>
      </c>
      <c r="F65" s="170">
        <v>5</v>
      </c>
      <c r="G65" s="232"/>
      <c r="H65" s="170">
        <v>3</v>
      </c>
      <c r="I65" s="170">
        <v>6</v>
      </c>
      <c r="J65" s="240">
        <v>9</v>
      </c>
      <c r="K65" s="213">
        <f t="shared" si="4"/>
        <v>0</v>
      </c>
      <c r="L65" s="213">
        <f t="shared" si="4"/>
        <v>33.333333333333329</v>
      </c>
      <c r="M65" s="213">
        <f t="shared" si="4"/>
        <v>66.666666666666657</v>
      </c>
      <c r="N65" s="234">
        <f t="shared" si="2"/>
        <v>99.999999999999986</v>
      </c>
      <c r="O65" s="212"/>
      <c r="P65" s="213">
        <v>20.6</v>
      </c>
      <c r="Q65" s="213">
        <v>28.5</v>
      </c>
      <c r="R65" s="214">
        <f t="shared" si="3"/>
        <v>49.1</v>
      </c>
      <c r="S65" s="170">
        <v>5</v>
      </c>
      <c r="T65" s="283"/>
      <c r="U65" s="281">
        <v>32415</v>
      </c>
      <c r="V65" s="177" t="s">
        <v>476</v>
      </c>
      <c r="W65" s="170" t="s">
        <v>869</v>
      </c>
      <c r="X65" s="170" t="s">
        <v>18</v>
      </c>
      <c r="Y65" s="178">
        <v>20.6</v>
      </c>
      <c r="Z65" s="170" t="s">
        <v>111</v>
      </c>
      <c r="AA65" s="170" t="s">
        <v>20</v>
      </c>
      <c r="AB65" s="170" t="s">
        <v>12</v>
      </c>
      <c r="AC65" s="170">
        <v>15.8</v>
      </c>
      <c r="AD65" s="177" t="s">
        <v>559</v>
      </c>
      <c r="AE65" s="170" t="s">
        <v>113</v>
      </c>
      <c r="AF65" s="170" t="s">
        <v>12</v>
      </c>
      <c r="AG65" s="178">
        <v>12.7</v>
      </c>
      <c r="AH65" s="252"/>
      <c r="AL65" s="177"/>
      <c r="AO65" s="178"/>
      <c r="AP65" s="177"/>
      <c r="AS65" s="178"/>
      <c r="AW65" s="178"/>
      <c r="BA65" s="179"/>
    </row>
    <row r="66" spans="1:53" s="170" customFormat="1" x14ac:dyDescent="0.15">
      <c r="A66" s="215">
        <v>1989</v>
      </c>
      <c r="B66" s="281"/>
      <c r="C66" s="395" t="s">
        <v>280</v>
      </c>
      <c r="D66" s="395"/>
      <c r="E66" s="170">
        <v>270</v>
      </c>
      <c r="G66" s="232"/>
      <c r="H66" s="170">
        <v>3</v>
      </c>
      <c r="I66" s="170">
        <v>6</v>
      </c>
      <c r="J66" s="240">
        <v>9</v>
      </c>
      <c r="K66" s="213">
        <f t="shared" si="4"/>
        <v>0</v>
      </c>
      <c r="L66" s="213">
        <f t="shared" si="4"/>
        <v>33.333333333333329</v>
      </c>
      <c r="M66" s="213">
        <f t="shared" si="4"/>
        <v>66.666666666666657</v>
      </c>
      <c r="N66" s="234">
        <f t="shared" si="2"/>
        <v>99.999999999999986</v>
      </c>
      <c r="O66" s="212"/>
      <c r="P66" s="213">
        <v>20.6</v>
      </c>
      <c r="Q66" s="213">
        <v>28.5</v>
      </c>
      <c r="R66" s="214">
        <f t="shared" si="3"/>
        <v>49.1</v>
      </c>
      <c r="S66" s="170">
        <v>5</v>
      </c>
      <c r="T66" s="283"/>
      <c r="U66" s="281"/>
      <c r="V66" s="177" t="s">
        <v>476</v>
      </c>
      <c r="W66" s="170" t="s">
        <v>869</v>
      </c>
      <c r="X66" s="170" t="s">
        <v>18</v>
      </c>
      <c r="Y66" s="178">
        <v>20.6</v>
      </c>
      <c r="Z66" s="170" t="s">
        <v>111</v>
      </c>
      <c r="AA66" s="170" t="s">
        <v>20</v>
      </c>
      <c r="AB66" s="170" t="s">
        <v>12</v>
      </c>
      <c r="AC66" s="170">
        <v>15.8</v>
      </c>
      <c r="AD66" s="177" t="s">
        <v>559</v>
      </c>
      <c r="AE66" s="170" t="s">
        <v>113</v>
      </c>
      <c r="AF66" s="170" t="s">
        <v>12</v>
      </c>
      <c r="AG66" s="178">
        <v>12.7</v>
      </c>
      <c r="AH66" s="252"/>
      <c r="AL66" s="177"/>
      <c r="AO66" s="178"/>
      <c r="AP66" s="177"/>
      <c r="AS66" s="178"/>
      <c r="AW66" s="178"/>
      <c r="BA66" s="179"/>
    </row>
    <row r="67" spans="1:53" s="28" customFormat="1" x14ac:dyDescent="0.15">
      <c r="A67" s="51">
        <v>1989</v>
      </c>
      <c r="B67" s="293">
        <v>32779</v>
      </c>
      <c r="C67" s="394" t="s">
        <v>281</v>
      </c>
      <c r="D67" s="394"/>
      <c r="E67" s="28">
        <f>365-E66</f>
        <v>95</v>
      </c>
      <c r="F67" s="28">
        <v>7</v>
      </c>
      <c r="G67" s="65">
        <v>2</v>
      </c>
      <c r="H67" s="28">
        <v>3</v>
      </c>
      <c r="I67" s="28">
        <v>6</v>
      </c>
      <c r="J67" s="72">
        <v>11</v>
      </c>
      <c r="K67" s="46">
        <f t="shared" si="4"/>
        <v>18.181818181818183</v>
      </c>
      <c r="L67" s="46">
        <f t="shared" si="4"/>
        <v>27.27272727272727</v>
      </c>
      <c r="M67" s="46">
        <f t="shared" si="4"/>
        <v>54.54545454545454</v>
      </c>
      <c r="N67" s="67">
        <f t="shared" si="2"/>
        <v>100</v>
      </c>
      <c r="O67" s="45">
        <v>11.1</v>
      </c>
      <c r="P67" s="46">
        <v>20.6</v>
      </c>
      <c r="Q67" s="46">
        <v>28.5</v>
      </c>
      <c r="R67" s="47">
        <f t="shared" si="3"/>
        <v>60.2</v>
      </c>
      <c r="S67" s="28">
        <v>2</v>
      </c>
      <c r="T67" s="284"/>
      <c r="U67" s="293">
        <v>32779</v>
      </c>
      <c r="V67" s="37" t="s">
        <v>476</v>
      </c>
      <c r="W67" s="28" t="s">
        <v>869</v>
      </c>
      <c r="X67" s="28" t="s">
        <v>18</v>
      </c>
      <c r="Y67" s="38">
        <v>20.6</v>
      </c>
      <c r="Z67" s="28" t="s">
        <v>111</v>
      </c>
      <c r="AA67" s="28" t="s">
        <v>20</v>
      </c>
      <c r="AB67" s="28" t="s">
        <v>12</v>
      </c>
      <c r="AC67" s="28">
        <v>15.8</v>
      </c>
      <c r="AD67" s="37" t="s">
        <v>501</v>
      </c>
      <c r="AE67" s="28" t="s">
        <v>117</v>
      </c>
      <c r="AF67" s="28" t="s">
        <v>11</v>
      </c>
      <c r="AG67" s="38">
        <v>11.1</v>
      </c>
      <c r="AH67" s="28" t="s">
        <v>559</v>
      </c>
      <c r="AI67" s="28" t="s">
        <v>113</v>
      </c>
      <c r="AJ67" s="28" t="s">
        <v>12</v>
      </c>
      <c r="AK67" s="28">
        <v>12.7</v>
      </c>
      <c r="AL67" s="37"/>
      <c r="AO67" s="38"/>
      <c r="AP67" s="37"/>
      <c r="AS67" s="38"/>
      <c r="AW67" s="38"/>
      <c r="BA67" s="39"/>
    </row>
    <row r="68" spans="1:53" s="84" customFormat="1" x14ac:dyDescent="0.15">
      <c r="A68" s="84">
        <v>1990</v>
      </c>
      <c r="B68" s="310"/>
      <c r="C68" s="427" t="s">
        <v>281</v>
      </c>
      <c r="D68" s="427"/>
      <c r="E68" s="84">
        <v>0</v>
      </c>
      <c r="G68" s="94">
        <v>2</v>
      </c>
      <c r="H68" s="84">
        <v>3</v>
      </c>
      <c r="I68" s="84">
        <v>6</v>
      </c>
      <c r="J68" s="95">
        <v>11</v>
      </c>
      <c r="K68" s="96">
        <f t="shared" si="4"/>
        <v>18.181818181818183</v>
      </c>
      <c r="L68" s="96">
        <f t="shared" si="4"/>
        <v>27.27272727272727</v>
      </c>
      <c r="M68" s="96">
        <f t="shared" si="4"/>
        <v>54.54545454545454</v>
      </c>
      <c r="N68" s="97">
        <f t="shared" si="2"/>
        <v>100</v>
      </c>
      <c r="O68" s="98">
        <v>11.1</v>
      </c>
      <c r="P68" s="96">
        <v>20.6</v>
      </c>
      <c r="Q68" s="96">
        <v>28.5</v>
      </c>
      <c r="R68" s="99">
        <f t="shared" si="3"/>
        <v>60.2</v>
      </c>
      <c r="S68" s="84">
        <v>2</v>
      </c>
      <c r="T68" s="311"/>
      <c r="U68" s="310"/>
      <c r="V68" s="100" t="s">
        <v>476</v>
      </c>
      <c r="W68" s="84" t="s">
        <v>869</v>
      </c>
      <c r="X68" s="84" t="s">
        <v>18</v>
      </c>
      <c r="Y68" s="101">
        <v>20.6</v>
      </c>
      <c r="Z68" s="84" t="s">
        <v>111</v>
      </c>
      <c r="AA68" s="84" t="s">
        <v>20</v>
      </c>
      <c r="AB68" s="84" t="s">
        <v>12</v>
      </c>
      <c r="AC68" s="84">
        <v>15.8</v>
      </c>
      <c r="AD68" s="100" t="s">
        <v>501</v>
      </c>
      <c r="AE68" s="84" t="s">
        <v>117</v>
      </c>
      <c r="AF68" s="84" t="s">
        <v>11</v>
      </c>
      <c r="AG68" s="101">
        <v>11.1</v>
      </c>
      <c r="AH68" s="84" t="s">
        <v>559</v>
      </c>
      <c r="AI68" s="84" t="s">
        <v>113</v>
      </c>
      <c r="AJ68" s="84" t="s">
        <v>12</v>
      </c>
      <c r="AK68" s="84">
        <v>12.7</v>
      </c>
      <c r="AL68" s="100"/>
      <c r="AO68" s="101"/>
      <c r="AP68" s="100"/>
      <c r="AS68" s="101"/>
      <c r="AW68" s="101"/>
      <c r="BA68" s="102"/>
    </row>
    <row r="69" spans="1:53" s="28" customFormat="1" x14ac:dyDescent="0.15">
      <c r="A69" s="28">
        <v>1990</v>
      </c>
      <c r="B69" s="293"/>
      <c r="C69" s="394" t="s">
        <v>281</v>
      </c>
      <c r="D69" s="394"/>
      <c r="E69" s="28">
        <f>365-E68</f>
        <v>365</v>
      </c>
      <c r="G69" s="65">
        <v>2</v>
      </c>
      <c r="H69" s="28">
        <v>3</v>
      </c>
      <c r="I69" s="28">
        <v>6</v>
      </c>
      <c r="J69" s="72">
        <v>11</v>
      </c>
      <c r="K69" s="46">
        <f t="shared" si="4"/>
        <v>18.181818181818183</v>
      </c>
      <c r="L69" s="46">
        <f t="shared" si="4"/>
        <v>27.27272727272727</v>
      </c>
      <c r="M69" s="46">
        <f t="shared" si="4"/>
        <v>54.54545454545454</v>
      </c>
      <c r="N69" s="67">
        <f t="shared" si="2"/>
        <v>100</v>
      </c>
      <c r="O69" s="45">
        <v>11.1</v>
      </c>
      <c r="P69" s="46">
        <v>20.6</v>
      </c>
      <c r="Q69" s="46">
        <v>28.5</v>
      </c>
      <c r="R69" s="47">
        <f t="shared" si="3"/>
        <v>60.2</v>
      </c>
      <c r="S69" s="28">
        <v>2</v>
      </c>
      <c r="T69" s="284"/>
      <c r="U69" s="293"/>
      <c r="V69" s="37" t="s">
        <v>476</v>
      </c>
      <c r="W69" s="28" t="s">
        <v>869</v>
      </c>
      <c r="X69" s="28" t="s">
        <v>18</v>
      </c>
      <c r="Y69" s="38">
        <v>20.6</v>
      </c>
      <c r="Z69" s="28" t="s">
        <v>111</v>
      </c>
      <c r="AA69" s="28" t="s">
        <v>20</v>
      </c>
      <c r="AB69" s="28" t="s">
        <v>12</v>
      </c>
      <c r="AC69" s="28">
        <v>15.8</v>
      </c>
      <c r="AD69" s="37" t="s">
        <v>501</v>
      </c>
      <c r="AE69" s="28" t="s">
        <v>117</v>
      </c>
      <c r="AF69" s="28" t="s">
        <v>11</v>
      </c>
      <c r="AG69" s="38">
        <v>11.1</v>
      </c>
      <c r="AH69" s="28" t="s">
        <v>559</v>
      </c>
      <c r="AI69" s="28" t="s">
        <v>113</v>
      </c>
      <c r="AJ69" s="28" t="s">
        <v>12</v>
      </c>
      <c r="AK69" s="28">
        <v>12.7</v>
      </c>
      <c r="AL69" s="37"/>
      <c r="AO69" s="38"/>
      <c r="AP69" s="37"/>
      <c r="AS69" s="38"/>
      <c r="AW69" s="38"/>
      <c r="BA69" s="39"/>
    </row>
    <row r="70" spans="1:53" s="28" customFormat="1" x14ac:dyDescent="0.15">
      <c r="A70" s="28">
        <v>1991</v>
      </c>
      <c r="B70" s="293"/>
      <c r="C70" s="394" t="s">
        <v>281</v>
      </c>
      <c r="D70" s="394"/>
      <c r="E70" s="28">
        <v>119</v>
      </c>
      <c r="G70" s="65">
        <v>2</v>
      </c>
      <c r="H70" s="28">
        <v>3</v>
      </c>
      <c r="I70" s="28">
        <v>6</v>
      </c>
      <c r="J70" s="72">
        <v>11</v>
      </c>
      <c r="K70" s="46">
        <f t="shared" si="4"/>
        <v>18.181818181818183</v>
      </c>
      <c r="L70" s="46">
        <f t="shared" si="4"/>
        <v>27.27272727272727</v>
      </c>
      <c r="M70" s="46">
        <f t="shared" si="4"/>
        <v>54.54545454545454</v>
      </c>
      <c r="N70" s="67">
        <f t="shared" si="2"/>
        <v>100</v>
      </c>
      <c r="O70" s="45">
        <v>11.1</v>
      </c>
      <c r="P70" s="46">
        <v>20.6</v>
      </c>
      <c r="Q70" s="46">
        <v>28.5</v>
      </c>
      <c r="R70" s="47">
        <f t="shared" si="3"/>
        <v>60.2</v>
      </c>
      <c r="S70" s="28">
        <v>2</v>
      </c>
      <c r="T70" s="284"/>
      <c r="U70" s="293"/>
      <c r="V70" s="37" t="s">
        <v>476</v>
      </c>
      <c r="W70" s="28" t="s">
        <v>869</v>
      </c>
      <c r="X70" s="28" t="s">
        <v>18</v>
      </c>
      <c r="Y70" s="38">
        <v>20.6</v>
      </c>
      <c r="Z70" s="28" t="s">
        <v>111</v>
      </c>
      <c r="AA70" s="28" t="s">
        <v>20</v>
      </c>
      <c r="AB70" s="28" t="s">
        <v>12</v>
      </c>
      <c r="AC70" s="28">
        <v>15.8</v>
      </c>
      <c r="AD70" s="37" t="s">
        <v>501</v>
      </c>
      <c r="AE70" s="28" t="s">
        <v>117</v>
      </c>
      <c r="AF70" s="28" t="s">
        <v>11</v>
      </c>
      <c r="AG70" s="38">
        <v>11.1</v>
      </c>
      <c r="AH70" s="28" t="s">
        <v>559</v>
      </c>
      <c r="AI70" s="28" t="s">
        <v>113</v>
      </c>
      <c r="AJ70" s="28" t="s">
        <v>12</v>
      </c>
      <c r="AK70" s="28">
        <v>12.7</v>
      </c>
      <c r="AL70" s="37"/>
      <c r="AO70" s="38"/>
      <c r="AP70" s="37"/>
      <c r="AS70" s="38"/>
      <c r="AW70" s="38"/>
      <c r="BA70" s="39"/>
    </row>
    <row r="71" spans="1:53" s="170" customFormat="1" x14ac:dyDescent="0.15">
      <c r="A71" s="170">
        <v>1991</v>
      </c>
      <c r="B71" s="281">
        <v>33358</v>
      </c>
      <c r="C71" s="395" t="s">
        <v>282</v>
      </c>
      <c r="D71" s="395"/>
      <c r="E71" s="170">
        <f>365-E70</f>
        <v>246</v>
      </c>
      <c r="F71" s="170">
        <v>1</v>
      </c>
      <c r="G71" s="232">
        <v>5</v>
      </c>
      <c r="I71" s="170">
        <v>5</v>
      </c>
      <c r="J71" s="240">
        <v>10</v>
      </c>
      <c r="K71" s="213">
        <f t="shared" si="4"/>
        <v>50</v>
      </c>
      <c r="L71" s="213">
        <f t="shared" si="4"/>
        <v>0</v>
      </c>
      <c r="M71" s="213">
        <f t="shared" si="4"/>
        <v>50</v>
      </c>
      <c r="N71" s="234">
        <f t="shared" si="2"/>
        <v>100</v>
      </c>
      <c r="O71" s="212">
        <v>41.3</v>
      </c>
      <c r="P71" s="213"/>
      <c r="Q71" s="213">
        <v>15.9</v>
      </c>
      <c r="R71" s="214">
        <f t="shared" si="3"/>
        <v>57.199999999999996</v>
      </c>
      <c r="S71" s="170">
        <v>2</v>
      </c>
      <c r="T71" s="283">
        <v>33348</v>
      </c>
      <c r="U71" s="281">
        <v>33358</v>
      </c>
      <c r="V71" s="177" t="s">
        <v>558</v>
      </c>
      <c r="W71" s="170" t="s">
        <v>74</v>
      </c>
      <c r="X71" s="170" t="s">
        <v>11</v>
      </c>
      <c r="Y71" s="178">
        <v>41.3</v>
      </c>
      <c r="Z71" s="170" t="s">
        <v>111</v>
      </c>
      <c r="AA71" s="170" t="s">
        <v>20</v>
      </c>
      <c r="AB71" s="170" t="s">
        <v>12</v>
      </c>
      <c r="AC71" s="170">
        <v>15.9</v>
      </c>
      <c r="AD71" s="177"/>
      <c r="AG71" s="178"/>
      <c r="AH71" s="252"/>
      <c r="AL71" s="177"/>
      <c r="AO71" s="178"/>
      <c r="AP71" s="177"/>
      <c r="AS71" s="178"/>
      <c r="AW71" s="178"/>
      <c r="BA71" s="179"/>
    </row>
    <row r="72" spans="1:53" s="170" customFormat="1" x14ac:dyDescent="0.15">
      <c r="A72" s="170">
        <v>1992</v>
      </c>
      <c r="B72" s="281"/>
      <c r="C72" s="395" t="s">
        <v>282</v>
      </c>
      <c r="D72" s="395"/>
      <c r="E72" s="170">
        <v>0</v>
      </c>
      <c r="G72" s="232">
        <v>5</v>
      </c>
      <c r="I72" s="170">
        <v>5</v>
      </c>
      <c r="J72" s="240">
        <v>10</v>
      </c>
      <c r="K72" s="213">
        <f t="shared" ref="K72:M115" si="5">G72/$J72*100</f>
        <v>50</v>
      </c>
      <c r="L72" s="213">
        <f t="shared" si="5"/>
        <v>0</v>
      </c>
      <c r="M72" s="213">
        <f t="shared" si="5"/>
        <v>50</v>
      </c>
      <c r="N72" s="234">
        <f t="shared" si="2"/>
        <v>100</v>
      </c>
      <c r="O72" s="212">
        <v>41.3</v>
      </c>
      <c r="P72" s="213"/>
      <c r="Q72" s="213">
        <v>15.9</v>
      </c>
      <c r="R72" s="214">
        <f t="shared" si="3"/>
        <v>57.199999999999996</v>
      </c>
      <c r="S72" s="170">
        <v>2</v>
      </c>
      <c r="T72" s="283"/>
      <c r="U72" s="281"/>
      <c r="V72" s="177" t="s">
        <v>558</v>
      </c>
      <c r="W72" s="170" t="s">
        <v>74</v>
      </c>
      <c r="X72" s="170" t="s">
        <v>11</v>
      </c>
      <c r="Y72" s="178">
        <v>41.3</v>
      </c>
      <c r="Z72" s="170" t="s">
        <v>111</v>
      </c>
      <c r="AA72" s="170" t="s">
        <v>20</v>
      </c>
      <c r="AB72" s="170" t="s">
        <v>12</v>
      </c>
      <c r="AC72" s="170">
        <v>15.9</v>
      </c>
      <c r="AD72" s="177"/>
      <c r="AG72" s="178"/>
      <c r="AH72" s="252"/>
      <c r="AL72" s="177"/>
      <c r="AO72" s="178"/>
      <c r="AP72" s="177"/>
      <c r="AS72" s="178"/>
      <c r="AW72" s="178"/>
      <c r="BA72" s="179"/>
    </row>
    <row r="73" spans="1:53" s="170" customFormat="1" x14ac:dyDescent="0.15">
      <c r="A73" s="170">
        <v>1992</v>
      </c>
      <c r="B73" s="281"/>
      <c r="C73" s="395" t="s">
        <v>282</v>
      </c>
      <c r="D73" s="395"/>
      <c r="E73" s="170">
        <v>366</v>
      </c>
      <c r="G73" s="232">
        <v>5</v>
      </c>
      <c r="I73" s="170">
        <v>5</v>
      </c>
      <c r="J73" s="240">
        <v>10</v>
      </c>
      <c r="K73" s="213">
        <f t="shared" si="5"/>
        <v>50</v>
      </c>
      <c r="L73" s="213">
        <f t="shared" si="5"/>
        <v>0</v>
      </c>
      <c r="M73" s="213">
        <f t="shared" si="5"/>
        <v>50</v>
      </c>
      <c r="N73" s="234">
        <f t="shared" ref="N73:N115" si="6">K73+L73+M73</f>
        <v>100</v>
      </c>
      <c r="O73" s="212">
        <v>41.3</v>
      </c>
      <c r="P73" s="213"/>
      <c r="Q73" s="213">
        <v>15.9</v>
      </c>
      <c r="R73" s="214">
        <f t="shared" si="3"/>
        <v>57.199999999999996</v>
      </c>
      <c r="S73" s="170">
        <v>2</v>
      </c>
      <c r="T73" s="283"/>
      <c r="U73" s="281"/>
      <c r="V73" s="177" t="s">
        <v>558</v>
      </c>
      <c r="W73" s="170" t="s">
        <v>74</v>
      </c>
      <c r="X73" s="170" t="s">
        <v>11</v>
      </c>
      <c r="Y73" s="178">
        <v>41.3</v>
      </c>
      <c r="Z73" s="170" t="s">
        <v>111</v>
      </c>
      <c r="AA73" s="170" t="s">
        <v>20</v>
      </c>
      <c r="AB73" s="170" t="s">
        <v>12</v>
      </c>
      <c r="AC73" s="170">
        <v>15.9</v>
      </c>
      <c r="AD73" s="177"/>
      <c r="AG73" s="178"/>
      <c r="AH73" s="252"/>
      <c r="AL73" s="177"/>
      <c r="AO73" s="178"/>
      <c r="AP73" s="177"/>
      <c r="AS73" s="178"/>
      <c r="AW73" s="178"/>
      <c r="BA73" s="179"/>
    </row>
    <row r="74" spans="1:53" s="170" customFormat="1" x14ac:dyDescent="0.15">
      <c r="A74" s="170">
        <v>1993</v>
      </c>
      <c r="B74" s="281"/>
      <c r="C74" s="395" t="s">
        <v>282</v>
      </c>
      <c r="D74" s="395"/>
      <c r="E74" s="170">
        <v>0</v>
      </c>
      <c r="G74" s="232">
        <v>5</v>
      </c>
      <c r="I74" s="170">
        <v>5</v>
      </c>
      <c r="J74" s="240">
        <v>10</v>
      </c>
      <c r="K74" s="213">
        <f t="shared" si="5"/>
        <v>50</v>
      </c>
      <c r="L74" s="213">
        <f t="shared" si="5"/>
        <v>0</v>
      </c>
      <c r="M74" s="213">
        <f t="shared" si="5"/>
        <v>50</v>
      </c>
      <c r="N74" s="234">
        <f t="shared" si="6"/>
        <v>100</v>
      </c>
      <c r="O74" s="212">
        <v>41.3</v>
      </c>
      <c r="P74" s="213"/>
      <c r="Q74" s="213">
        <v>15.9</v>
      </c>
      <c r="R74" s="214">
        <f t="shared" ref="R74:R114" si="7">O74+P74+Q74</f>
        <v>57.199999999999996</v>
      </c>
      <c r="S74" s="170">
        <v>2</v>
      </c>
      <c r="T74" s="283"/>
      <c r="U74" s="281"/>
      <c r="V74" s="177" t="s">
        <v>558</v>
      </c>
      <c r="W74" s="170" t="s">
        <v>74</v>
      </c>
      <c r="X74" s="170" t="s">
        <v>11</v>
      </c>
      <c r="Y74" s="178">
        <v>41.3</v>
      </c>
      <c r="Z74" s="170" t="s">
        <v>111</v>
      </c>
      <c r="AA74" s="170" t="s">
        <v>20</v>
      </c>
      <c r="AB74" s="170" t="s">
        <v>12</v>
      </c>
      <c r="AC74" s="170">
        <v>15.9</v>
      </c>
      <c r="AD74" s="177"/>
      <c r="AG74" s="178"/>
      <c r="AH74" s="252"/>
      <c r="AL74" s="177"/>
      <c r="AO74" s="178"/>
      <c r="AP74" s="177"/>
      <c r="AS74" s="178"/>
      <c r="AW74" s="178"/>
      <c r="BA74" s="179"/>
    </row>
    <row r="75" spans="1:53" s="170" customFormat="1" x14ac:dyDescent="0.15">
      <c r="A75" s="170">
        <v>1993</v>
      </c>
      <c r="B75" s="281"/>
      <c r="C75" s="395" t="s">
        <v>282</v>
      </c>
      <c r="D75" s="395"/>
      <c r="E75" s="170">
        <f>365-E74</f>
        <v>365</v>
      </c>
      <c r="G75" s="232">
        <v>5</v>
      </c>
      <c r="I75" s="170">
        <v>5</v>
      </c>
      <c r="J75" s="240">
        <v>10</v>
      </c>
      <c r="K75" s="213">
        <f t="shared" si="5"/>
        <v>50</v>
      </c>
      <c r="L75" s="213">
        <f t="shared" si="5"/>
        <v>0</v>
      </c>
      <c r="M75" s="213">
        <f t="shared" si="5"/>
        <v>50</v>
      </c>
      <c r="N75" s="234">
        <f t="shared" si="6"/>
        <v>100</v>
      </c>
      <c r="O75" s="212">
        <v>41.3</v>
      </c>
      <c r="P75" s="213"/>
      <c r="Q75" s="213">
        <v>15.9</v>
      </c>
      <c r="R75" s="214">
        <f t="shared" si="7"/>
        <v>57.199999999999996</v>
      </c>
      <c r="S75" s="170">
        <v>2</v>
      </c>
      <c r="T75" s="283"/>
      <c r="U75" s="281"/>
      <c r="V75" s="177" t="s">
        <v>558</v>
      </c>
      <c r="W75" s="170" t="s">
        <v>74</v>
      </c>
      <c r="X75" s="170" t="s">
        <v>11</v>
      </c>
      <c r="Y75" s="178">
        <v>41.3</v>
      </c>
      <c r="Z75" s="170" t="s">
        <v>111</v>
      </c>
      <c r="AA75" s="170" t="s">
        <v>20</v>
      </c>
      <c r="AB75" s="170" t="s">
        <v>12</v>
      </c>
      <c r="AC75" s="170">
        <v>15.9</v>
      </c>
      <c r="AD75" s="177"/>
      <c r="AG75" s="178"/>
      <c r="AH75" s="252"/>
      <c r="AL75" s="177"/>
      <c r="AO75" s="178"/>
      <c r="AP75" s="177"/>
      <c r="AS75" s="178"/>
      <c r="AW75" s="178"/>
      <c r="BA75" s="179"/>
    </row>
    <row r="76" spans="1:53" s="170" customFormat="1" x14ac:dyDescent="0.15">
      <c r="A76" s="170">
        <v>1994</v>
      </c>
      <c r="B76" s="281"/>
      <c r="C76" s="395" t="s">
        <v>282</v>
      </c>
      <c r="D76" s="395"/>
      <c r="E76" s="170">
        <v>174</v>
      </c>
      <c r="G76" s="232">
        <v>5</v>
      </c>
      <c r="I76" s="170">
        <v>5</v>
      </c>
      <c r="J76" s="240">
        <v>10</v>
      </c>
      <c r="K76" s="213">
        <f t="shared" si="5"/>
        <v>50</v>
      </c>
      <c r="L76" s="213">
        <f t="shared" si="5"/>
        <v>0</v>
      </c>
      <c r="M76" s="213">
        <f t="shared" si="5"/>
        <v>50</v>
      </c>
      <c r="N76" s="234">
        <f t="shared" si="6"/>
        <v>100</v>
      </c>
      <c r="O76" s="212">
        <v>41.3</v>
      </c>
      <c r="P76" s="213"/>
      <c r="Q76" s="213">
        <v>15.9</v>
      </c>
      <c r="R76" s="214">
        <f t="shared" si="7"/>
        <v>57.199999999999996</v>
      </c>
      <c r="S76" s="170">
        <v>2</v>
      </c>
      <c r="T76" s="283"/>
      <c r="U76" s="281"/>
      <c r="V76" s="177" t="s">
        <v>558</v>
      </c>
      <c r="W76" s="170" t="s">
        <v>74</v>
      </c>
      <c r="X76" s="170" t="s">
        <v>11</v>
      </c>
      <c r="Y76" s="178">
        <v>41.3</v>
      </c>
      <c r="Z76" s="170" t="s">
        <v>111</v>
      </c>
      <c r="AA76" s="170" t="s">
        <v>20</v>
      </c>
      <c r="AB76" s="170" t="s">
        <v>12</v>
      </c>
      <c r="AC76" s="170">
        <v>15.9</v>
      </c>
      <c r="AD76" s="177"/>
      <c r="AG76" s="178"/>
      <c r="AH76" s="252"/>
      <c r="AL76" s="177"/>
      <c r="AO76" s="178"/>
      <c r="AP76" s="177"/>
      <c r="AS76" s="178"/>
      <c r="AW76" s="178"/>
      <c r="BA76" s="179"/>
    </row>
    <row r="77" spans="1:53" s="170" customFormat="1" x14ac:dyDescent="0.15">
      <c r="A77" s="170">
        <v>1994</v>
      </c>
      <c r="B77" s="303">
        <v>34509</v>
      </c>
      <c r="C77" s="395" t="s">
        <v>282</v>
      </c>
      <c r="D77" s="395"/>
      <c r="E77" s="170">
        <f>365-E76</f>
        <v>191</v>
      </c>
      <c r="F77" s="243">
        <v>0</v>
      </c>
      <c r="G77" s="232">
        <v>5</v>
      </c>
      <c r="I77" s="170">
        <v>4</v>
      </c>
      <c r="J77" s="240">
        <v>9</v>
      </c>
      <c r="K77" s="213">
        <f t="shared" si="5"/>
        <v>55.555555555555557</v>
      </c>
      <c r="L77" s="213">
        <f t="shared" si="5"/>
        <v>0</v>
      </c>
      <c r="M77" s="213">
        <f t="shared" si="5"/>
        <v>44.444444444444443</v>
      </c>
      <c r="N77" s="234">
        <f t="shared" si="6"/>
        <v>100</v>
      </c>
      <c r="O77" s="212">
        <v>41.3</v>
      </c>
      <c r="P77" s="213"/>
      <c r="Q77" s="213">
        <v>15.9</v>
      </c>
      <c r="R77" s="214">
        <f t="shared" si="7"/>
        <v>57.199999999999996</v>
      </c>
      <c r="S77" s="170">
        <v>2</v>
      </c>
      <c r="T77" s="283"/>
      <c r="U77" s="281"/>
      <c r="V77" s="177" t="s">
        <v>558</v>
      </c>
      <c r="W77" s="170" t="s">
        <v>74</v>
      </c>
      <c r="X77" s="170" t="s">
        <v>11</v>
      </c>
      <c r="Y77" s="178">
        <v>41.3</v>
      </c>
      <c r="Z77" s="170" t="s">
        <v>111</v>
      </c>
      <c r="AA77" s="170" t="s">
        <v>20</v>
      </c>
      <c r="AB77" s="170" t="s">
        <v>12</v>
      </c>
      <c r="AC77" s="170">
        <v>15.9</v>
      </c>
      <c r="AD77" s="177"/>
      <c r="AG77" s="178"/>
      <c r="AH77" s="252"/>
      <c r="AL77" s="177"/>
      <c r="AO77" s="178"/>
      <c r="AP77" s="177"/>
      <c r="AS77" s="178"/>
      <c r="AW77" s="178"/>
      <c r="BA77" s="179"/>
    </row>
    <row r="78" spans="1:53" s="170" customFormat="1" x14ac:dyDescent="0.15">
      <c r="A78" s="170">
        <v>1995</v>
      </c>
      <c r="B78" s="281"/>
      <c r="C78" s="395" t="s">
        <v>282</v>
      </c>
      <c r="D78" s="395"/>
      <c r="E78" s="170">
        <v>112</v>
      </c>
      <c r="G78" s="232">
        <v>5</v>
      </c>
      <c r="I78" s="170">
        <v>4</v>
      </c>
      <c r="J78" s="240">
        <v>9</v>
      </c>
      <c r="K78" s="213">
        <f t="shared" si="5"/>
        <v>55.555555555555557</v>
      </c>
      <c r="L78" s="213">
        <f t="shared" si="5"/>
        <v>0</v>
      </c>
      <c r="M78" s="213">
        <f t="shared" si="5"/>
        <v>44.444444444444443</v>
      </c>
      <c r="N78" s="234">
        <f t="shared" si="6"/>
        <v>100</v>
      </c>
      <c r="O78" s="212">
        <v>41.3</v>
      </c>
      <c r="P78" s="213"/>
      <c r="Q78" s="213">
        <v>15.9</v>
      </c>
      <c r="R78" s="214">
        <f t="shared" si="7"/>
        <v>57.199999999999996</v>
      </c>
      <c r="S78" s="170">
        <v>2</v>
      </c>
      <c r="T78" s="283"/>
      <c r="U78" s="281"/>
      <c r="V78" s="177" t="s">
        <v>558</v>
      </c>
      <c r="W78" s="170" t="s">
        <v>74</v>
      </c>
      <c r="X78" s="170" t="s">
        <v>11</v>
      </c>
      <c r="Y78" s="178">
        <v>41.3</v>
      </c>
      <c r="Z78" s="170" t="s">
        <v>111</v>
      </c>
      <c r="AA78" s="170" t="s">
        <v>20</v>
      </c>
      <c r="AB78" s="170" t="s">
        <v>12</v>
      </c>
      <c r="AC78" s="170">
        <v>15.9</v>
      </c>
      <c r="AD78" s="177"/>
      <c r="AG78" s="178"/>
      <c r="AH78" s="252"/>
      <c r="AL78" s="177"/>
      <c r="AO78" s="178"/>
      <c r="AP78" s="177"/>
      <c r="AS78" s="178"/>
      <c r="AW78" s="178"/>
      <c r="BA78" s="179"/>
    </row>
    <row r="79" spans="1:53" s="28" customFormat="1" x14ac:dyDescent="0.15">
      <c r="A79" s="28">
        <v>1995</v>
      </c>
      <c r="B79" s="293">
        <v>34812</v>
      </c>
      <c r="C79" s="394" t="s">
        <v>283</v>
      </c>
      <c r="D79" s="394"/>
      <c r="E79" s="28">
        <f>365-E78</f>
        <v>253</v>
      </c>
      <c r="F79" s="28">
        <v>1</v>
      </c>
      <c r="G79" s="65">
        <v>5</v>
      </c>
      <c r="H79" s="28">
        <v>5</v>
      </c>
      <c r="J79" s="72">
        <v>10</v>
      </c>
      <c r="K79" s="46">
        <f t="shared" si="5"/>
        <v>50</v>
      </c>
      <c r="L79" s="46">
        <f t="shared" si="5"/>
        <v>50</v>
      </c>
      <c r="M79" s="46">
        <f t="shared" si="5"/>
        <v>0</v>
      </c>
      <c r="N79" s="67">
        <f t="shared" si="6"/>
        <v>100</v>
      </c>
      <c r="O79" s="45">
        <v>39.700000000000003</v>
      </c>
      <c r="P79" s="46">
        <v>23.8</v>
      </c>
      <c r="Q79" s="46"/>
      <c r="R79" s="47">
        <f t="shared" si="7"/>
        <v>63.5</v>
      </c>
      <c r="S79" s="28">
        <v>2</v>
      </c>
      <c r="T79" s="284">
        <v>34797</v>
      </c>
      <c r="U79" s="293">
        <v>34812</v>
      </c>
      <c r="V79" s="37" t="s">
        <v>558</v>
      </c>
      <c r="W79" s="28" t="s">
        <v>74</v>
      </c>
      <c r="X79" s="28" t="s">
        <v>11</v>
      </c>
      <c r="Y79" s="38">
        <v>39.700000000000003</v>
      </c>
      <c r="Z79" s="37" t="s">
        <v>476</v>
      </c>
      <c r="AA79" s="28" t="s">
        <v>869</v>
      </c>
      <c r="AB79" s="28" t="s">
        <v>18</v>
      </c>
      <c r="AC79" s="28">
        <v>23.8</v>
      </c>
      <c r="AD79" s="37"/>
      <c r="AG79" s="38"/>
      <c r="AH79" s="93"/>
      <c r="AL79" s="37"/>
      <c r="AO79" s="38"/>
      <c r="AP79" s="37"/>
      <c r="AS79" s="38"/>
      <c r="AW79" s="38"/>
      <c r="BA79" s="39"/>
    </row>
    <row r="80" spans="1:53" s="28" customFormat="1" x14ac:dyDescent="0.15">
      <c r="A80" s="28">
        <v>1996</v>
      </c>
      <c r="B80" s="293"/>
      <c r="C80" s="394" t="s">
        <v>283</v>
      </c>
      <c r="D80" s="394"/>
      <c r="E80" s="28">
        <v>0</v>
      </c>
      <c r="G80" s="65">
        <v>5</v>
      </c>
      <c r="H80" s="28">
        <v>5</v>
      </c>
      <c r="J80" s="72">
        <v>10</v>
      </c>
      <c r="K80" s="46">
        <f t="shared" si="5"/>
        <v>50</v>
      </c>
      <c r="L80" s="46">
        <f t="shared" si="5"/>
        <v>50</v>
      </c>
      <c r="M80" s="46">
        <f t="shared" si="5"/>
        <v>0</v>
      </c>
      <c r="N80" s="67">
        <f t="shared" si="6"/>
        <v>100</v>
      </c>
      <c r="O80" s="45">
        <v>39.700000000000003</v>
      </c>
      <c r="P80" s="46">
        <v>23.8</v>
      </c>
      <c r="Q80" s="46"/>
      <c r="R80" s="47">
        <f t="shared" si="7"/>
        <v>63.5</v>
      </c>
      <c r="S80" s="28">
        <v>2</v>
      </c>
      <c r="T80" s="284"/>
      <c r="U80" s="293"/>
      <c r="V80" s="37" t="s">
        <v>558</v>
      </c>
      <c r="W80" s="28" t="s">
        <v>74</v>
      </c>
      <c r="X80" s="28" t="s">
        <v>11</v>
      </c>
      <c r="Y80" s="38">
        <v>39.700000000000003</v>
      </c>
      <c r="Z80" s="37" t="s">
        <v>476</v>
      </c>
      <c r="AA80" s="28" t="s">
        <v>869</v>
      </c>
      <c r="AB80" s="28" t="s">
        <v>18</v>
      </c>
      <c r="AC80" s="28">
        <v>23.8</v>
      </c>
      <c r="AD80" s="37"/>
      <c r="AG80" s="38"/>
      <c r="AH80" s="93"/>
      <c r="AL80" s="37"/>
      <c r="AO80" s="38"/>
      <c r="AP80" s="37"/>
      <c r="AS80" s="38"/>
      <c r="AW80" s="38"/>
      <c r="BA80" s="39"/>
    </row>
    <row r="81" spans="1:53" s="28" customFormat="1" x14ac:dyDescent="0.15">
      <c r="A81" s="28">
        <v>1996</v>
      </c>
      <c r="B81" s="293"/>
      <c r="C81" s="394" t="s">
        <v>283</v>
      </c>
      <c r="D81" s="394"/>
      <c r="E81" s="28">
        <v>366</v>
      </c>
      <c r="G81" s="65">
        <v>5</v>
      </c>
      <c r="H81" s="28">
        <v>5</v>
      </c>
      <c r="J81" s="72">
        <v>10</v>
      </c>
      <c r="K81" s="46">
        <f t="shared" si="5"/>
        <v>50</v>
      </c>
      <c r="L81" s="46">
        <f t="shared" si="5"/>
        <v>50</v>
      </c>
      <c r="M81" s="46">
        <f t="shared" si="5"/>
        <v>0</v>
      </c>
      <c r="N81" s="67">
        <f t="shared" si="6"/>
        <v>100</v>
      </c>
      <c r="O81" s="45">
        <v>39.700000000000003</v>
      </c>
      <c r="P81" s="46">
        <v>23.8</v>
      </c>
      <c r="Q81" s="46"/>
      <c r="R81" s="47">
        <f t="shared" si="7"/>
        <v>63.5</v>
      </c>
      <c r="S81" s="28">
        <v>2</v>
      </c>
      <c r="T81" s="284"/>
      <c r="U81" s="293"/>
      <c r="V81" s="37" t="s">
        <v>558</v>
      </c>
      <c r="W81" s="28" t="s">
        <v>74</v>
      </c>
      <c r="X81" s="28" t="s">
        <v>11</v>
      </c>
      <c r="Y81" s="38">
        <v>39.700000000000003</v>
      </c>
      <c r="Z81" s="37" t="s">
        <v>476</v>
      </c>
      <c r="AA81" s="28" t="s">
        <v>869</v>
      </c>
      <c r="AB81" s="28" t="s">
        <v>18</v>
      </c>
      <c r="AC81" s="28">
        <v>23.8</v>
      </c>
      <c r="AD81" s="37"/>
      <c r="AG81" s="38"/>
      <c r="AH81" s="93"/>
      <c r="AL81" s="37"/>
      <c r="AO81" s="38"/>
      <c r="AP81" s="37"/>
      <c r="AS81" s="38"/>
      <c r="AW81" s="38"/>
      <c r="BA81" s="39"/>
    </row>
    <row r="82" spans="1:53" s="28" customFormat="1" x14ac:dyDescent="0.15">
      <c r="A82" s="28">
        <v>1997</v>
      </c>
      <c r="B82" s="293"/>
      <c r="C82" s="394" t="s">
        <v>283</v>
      </c>
      <c r="D82" s="394"/>
      <c r="E82" s="28">
        <v>0</v>
      </c>
      <c r="G82" s="65">
        <v>5</v>
      </c>
      <c r="H82" s="28">
        <v>5</v>
      </c>
      <c r="J82" s="72">
        <v>10</v>
      </c>
      <c r="K82" s="46">
        <f t="shared" si="5"/>
        <v>50</v>
      </c>
      <c r="L82" s="46">
        <f t="shared" si="5"/>
        <v>50</v>
      </c>
      <c r="M82" s="46">
        <f t="shared" si="5"/>
        <v>0</v>
      </c>
      <c r="N82" s="67">
        <f t="shared" si="6"/>
        <v>100</v>
      </c>
      <c r="O82" s="45">
        <v>39.700000000000003</v>
      </c>
      <c r="P82" s="46">
        <v>23.8</v>
      </c>
      <c r="Q82" s="46"/>
      <c r="R82" s="47">
        <f t="shared" si="7"/>
        <v>63.5</v>
      </c>
      <c r="S82" s="28">
        <v>2</v>
      </c>
      <c r="T82" s="284"/>
      <c r="U82" s="293"/>
      <c r="V82" s="37" t="s">
        <v>558</v>
      </c>
      <c r="W82" s="28" t="s">
        <v>74</v>
      </c>
      <c r="X82" s="28" t="s">
        <v>11</v>
      </c>
      <c r="Y82" s="38">
        <v>39.700000000000003</v>
      </c>
      <c r="Z82" s="37" t="s">
        <v>476</v>
      </c>
      <c r="AA82" s="28" t="s">
        <v>869</v>
      </c>
      <c r="AB82" s="28" t="s">
        <v>18</v>
      </c>
      <c r="AC82" s="28">
        <v>23.8</v>
      </c>
      <c r="AD82" s="37"/>
      <c r="AG82" s="38"/>
      <c r="AH82" s="93"/>
      <c r="AL82" s="37"/>
      <c r="AO82" s="38"/>
      <c r="AP82" s="37"/>
      <c r="AS82" s="38"/>
      <c r="AW82" s="38"/>
      <c r="BA82" s="39"/>
    </row>
    <row r="83" spans="1:53" s="28" customFormat="1" x14ac:dyDescent="0.15">
      <c r="A83" s="28">
        <v>1997</v>
      </c>
      <c r="B83" s="293"/>
      <c r="C83" s="394" t="s">
        <v>283</v>
      </c>
      <c r="D83" s="394"/>
      <c r="E83" s="28">
        <f>365-E82</f>
        <v>365</v>
      </c>
      <c r="G83" s="65">
        <v>5</v>
      </c>
      <c r="H83" s="28">
        <v>5</v>
      </c>
      <c r="J83" s="72">
        <v>10</v>
      </c>
      <c r="K83" s="46">
        <f t="shared" si="5"/>
        <v>50</v>
      </c>
      <c r="L83" s="46">
        <f t="shared" si="5"/>
        <v>50</v>
      </c>
      <c r="M83" s="46">
        <f t="shared" si="5"/>
        <v>0</v>
      </c>
      <c r="N83" s="67">
        <f t="shared" si="6"/>
        <v>100</v>
      </c>
      <c r="O83" s="45">
        <v>39.700000000000003</v>
      </c>
      <c r="P83" s="46">
        <v>23.8</v>
      </c>
      <c r="Q83" s="46"/>
      <c r="R83" s="47">
        <f t="shared" si="7"/>
        <v>63.5</v>
      </c>
      <c r="S83" s="28">
        <v>2</v>
      </c>
      <c r="T83" s="284"/>
      <c r="U83" s="293"/>
      <c r="V83" s="37" t="s">
        <v>558</v>
      </c>
      <c r="W83" s="28" t="s">
        <v>74</v>
      </c>
      <c r="X83" s="28" t="s">
        <v>11</v>
      </c>
      <c r="Y83" s="38">
        <v>39.700000000000003</v>
      </c>
      <c r="Z83" s="37" t="s">
        <v>476</v>
      </c>
      <c r="AA83" s="28" t="s">
        <v>869</v>
      </c>
      <c r="AB83" s="28" t="s">
        <v>18</v>
      </c>
      <c r="AC83" s="28">
        <v>23.8</v>
      </c>
      <c r="AD83" s="37"/>
      <c r="AG83" s="38"/>
      <c r="AH83" s="93"/>
      <c r="AL83" s="37"/>
      <c r="AO83" s="38"/>
      <c r="AP83" s="37"/>
      <c r="AS83" s="38"/>
      <c r="AW83" s="38"/>
      <c r="BA83" s="39"/>
    </row>
    <row r="84" spans="1:53" s="28" customFormat="1" x14ac:dyDescent="0.15">
      <c r="A84" s="28">
        <v>1998</v>
      </c>
      <c r="B84" s="293"/>
      <c r="C84" s="394" t="s">
        <v>283</v>
      </c>
      <c r="D84" s="394"/>
      <c r="E84" s="28">
        <v>0</v>
      </c>
      <c r="G84" s="65">
        <v>5</v>
      </c>
      <c r="H84" s="28">
        <v>5</v>
      </c>
      <c r="J84" s="72">
        <v>10</v>
      </c>
      <c r="K84" s="46">
        <f t="shared" si="5"/>
        <v>50</v>
      </c>
      <c r="L84" s="46">
        <f t="shared" si="5"/>
        <v>50</v>
      </c>
      <c r="M84" s="46">
        <f t="shared" si="5"/>
        <v>0</v>
      </c>
      <c r="N84" s="67">
        <f t="shared" si="6"/>
        <v>100</v>
      </c>
      <c r="O84" s="45">
        <v>39.700000000000003</v>
      </c>
      <c r="P84" s="46">
        <v>23.8</v>
      </c>
      <c r="Q84" s="46"/>
      <c r="R84" s="47">
        <f t="shared" si="7"/>
        <v>63.5</v>
      </c>
      <c r="S84" s="28">
        <v>2</v>
      </c>
      <c r="T84" s="284"/>
      <c r="U84" s="293"/>
      <c r="V84" s="37" t="s">
        <v>558</v>
      </c>
      <c r="W84" s="28" t="s">
        <v>74</v>
      </c>
      <c r="X84" s="28" t="s">
        <v>11</v>
      </c>
      <c r="Y84" s="38">
        <v>39.700000000000003</v>
      </c>
      <c r="Z84" s="37" t="s">
        <v>476</v>
      </c>
      <c r="AA84" s="28" t="s">
        <v>869</v>
      </c>
      <c r="AB84" s="28" t="s">
        <v>18</v>
      </c>
      <c r="AC84" s="28">
        <v>23.8</v>
      </c>
      <c r="AD84" s="37"/>
      <c r="AG84" s="38"/>
      <c r="AH84" s="93"/>
      <c r="AL84" s="37"/>
      <c r="AO84" s="38"/>
      <c r="AP84" s="37"/>
      <c r="AS84" s="38"/>
      <c r="AW84" s="38"/>
      <c r="BA84" s="39"/>
    </row>
    <row r="85" spans="1:53" s="28" customFormat="1" x14ac:dyDescent="0.15">
      <c r="A85" s="28">
        <v>1998</v>
      </c>
      <c r="B85" s="293"/>
      <c r="C85" s="394" t="s">
        <v>283</v>
      </c>
      <c r="D85" s="394"/>
      <c r="E85" s="28">
        <f>365-E84</f>
        <v>365</v>
      </c>
      <c r="G85" s="65">
        <v>5</v>
      </c>
      <c r="H85" s="28">
        <v>5</v>
      </c>
      <c r="J85" s="72">
        <v>10</v>
      </c>
      <c r="K85" s="46">
        <f t="shared" si="5"/>
        <v>50</v>
      </c>
      <c r="L85" s="46">
        <f t="shared" si="5"/>
        <v>50</v>
      </c>
      <c r="M85" s="46">
        <f t="shared" si="5"/>
        <v>0</v>
      </c>
      <c r="N85" s="67">
        <f t="shared" si="6"/>
        <v>100</v>
      </c>
      <c r="O85" s="45">
        <v>39.700000000000003</v>
      </c>
      <c r="P85" s="46">
        <v>23.8</v>
      </c>
      <c r="Q85" s="46"/>
      <c r="R85" s="47">
        <f t="shared" si="7"/>
        <v>63.5</v>
      </c>
      <c r="S85" s="28">
        <v>2</v>
      </c>
      <c r="T85" s="284"/>
      <c r="U85" s="293"/>
      <c r="V85" s="37" t="s">
        <v>558</v>
      </c>
      <c r="W85" s="28" t="s">
        <v>74</v>
      </c>
      <c r="X85" s="28" t="s">
        <v>11</v>
      </c>
      <c r="Y85" s="38">
        <v>39.700000000000003</v>
      </c>
      <c r="Z85" s="37" t="s">
        <v>476</v>
      </c>
      <c r="AA85" s="28" t="s">
        <v>869</v>
      </c>
      <c r="AB85" s="28" t="s">
        <v>18</v>
      </c>
      <c r="AC85" s="28">
        <v>23.8</v>
      </c>
      <c r="AD85" s="37"/>
      <c r="AG85" s="38"/>
      <c r="AH85" s="93"/>
      <c r="AL85" s="37"/>
      <c r="AO85" s="38"/>
      <c r="AP85" s="37"/>
      <c r="AS85" s="38"/>
      <c r="AW85" s="38"/>
      <c r="BA85" s="39"/>
    </row>
    <row r="86" spans="1:53" s="28" customFormat="1" x14ac:dyDescent="0.15">
      <c r="A86" s="28">
        <v>1999</v>
      </c>
      <c r="B86" s="293"/>
      <c r="C86" s="394" t="s">
        <v>283</v>
      </c>
      <c r="D86" s="394"/>
      <c r="E86" s="28">
        <v>147</v>
      </c>
      <c r="G86" s="65">
        <v>5</v>
      </c>
      <c r="H86" s="28">
        <v>5</v>
      </c>
      <c r="J86" s="72">
        <v>10</v>
      </c>
      <c r="K86" s="46">
        <f t="shared" si="5"/>
        <v>50</v>
      </c>
      <c r="L86" s="46">
        <f t="shared" si="5"/>
        <v>50</v>
      </c>
      <c r="M86" s="46">
        <f t="shared" si="5"/>
        <v>0</v>
      </c>
      <c r="N86" s="67">
        <f t="shared" si="6"/>
        <v>100</v>
      </c>
      <c r="O86" s="45">
        <v>39.700000000000003</v>
      </c>
      <c r="P86" s="46">
        <v>23.8</v>
      </c>
      <c r="Q86" s="46"/>
      <c r="R86" s="47">
        <f t="shared" si="7"/>
        <v>63.5</v>
      </c>
      <c r="S86" s="28">
        <v>2</v>
      </c>
      <c r="T86" s="284"/>
      <c r="U86" s="293"/>
      <c r="V86" s="37" t="s">
        <v>558</v>
      </c>
      <c r="W86" s="28" t="s">
        <v>74</v>
      </c>
      <c r="X86" s="28" t="s">
        <v>11</v>
      </c>
      <c r="Y86" s="38">
        <v>39.700000000000003</v>
      </c>
      <c r="Z86" s="37" t="s">
        <v>476</v>
      </c>
      <c r="AA86" s="28" t="s">
        <v>869</v>
      </c>
      <c r="AB86" s="28" t="s">
        <v>18</v>
      </c>
      <c r="AC86" s="28">
        <v>23.8</v>
      </c>
      <c r="AD86" s="37"/>
      <c r="AG86" s="38"/>
      <c r="AH86" s="93"/>
      <c r="AL86" s="37"/>
      <c r="AO86" s="38"/>
      <c r="AP86" s="37"/>
      <c r="AS86" s="38"/>
      <c r="AW86" s="38"/>
      <c r="BA86" s="39"/>
    </row>
    <row r="87" spans="1:53" s="170" customFormat="1" x14ac:dyDescent="0.15">
      <c r="A87" s="170">
        <v>1999</v>
      </c>
      <c r="B87" s="281">
        <v>36308</v>
      </c>
      <c r="C87" s="395" t="s">
        <v>284</v>
      </c>
      <c r="D87" s="395"/>
      <c r="E87" s="170">
        <f>365-E86</f>
        <v>218</v>
      </c>
      <c r="F87" s="170">
        <v>1</v>
      </c>
      <c r="G87" s="232">
        <v>6</v>
      </c>
      <c r="H87" s="170">
        <v>6</v>
      </c>
      <c r="J87" s="240">
        <v>12</v>
      </c>
      <c r="K87" s="213">
        <f t="shared" si="5"/>
        <v>50</v>
      </c>
      <c r="L87" s="213">
        <f t="shared" si="5"/>
        <v>50</v>
      </c>
      <c r="M87" s="213">
        <f t="shared" si="5"/>
        <v>0</v>
      </c>
      <c r="N87" s="234">
        <f t="shared" si="6"/>
        <v>100</v>
      </c>
      <c r="O87" s="212">
        <v>41.3</v>
      </c>
      <c r="P87" s="213">
        <v>19</v>
      </c>
      <c r="Q87" s="213"/>
      <c r="R87" s="214">
        <f t="shared" si="7"/>
        <v>60.3</v>
      </c>
      <c r="S87" s="170">
        <v>2</v>
      </c>
      <c r="T87" s="283">
        <v>36288</v>
      </c>
      <c r="U87" s="281">
        <v>36308</v>
      </c>
      <c r="V87" s="177" t="s">
        <v>558</v>
      </c>
      <c r="W87" s="170" t="s">
        <v>74</v>
      </c>
      <c r="X87" s="170" t="s">
        <v>11</v>
      </c>
      <c r="Y87" s="178">
        <v>41.3</v>
      </c>
      <c r="Z87" s="177" t="s">
        <v>476</v>
      </c>
      <c r="AA87" s="170" t="s">
        <v>869</v>
      </c>
      <c r="AB87" s="170" t="s">
        <v>18</v>
      </c>
      <c r="AC87" s="170">
        <v>19</v>
      </c>
      <c r="AD87" s="177"/>
      <c r="AG87" s="178"/>
      <c r="AH87" s="252"/>
      <c r="AL87" s="177"/>
      <c r="AO87" s="178"/>
      <c r="AP87" s="177"/>
      <c r="AS87" s="178"/>
      <c r="AW87" s="178"/>
      <c r="BA87" s="179"/>
    </row>
    <row r="88" spans="1:53" s="170" customFormat="1" x14ac:dyDescent="0.15">
      <c r="A88" s="170">
        <v>2000</v>
      </c>
      <c r="B88" s="281"/>
      <c r="C88" s="395" t="s">
        <v>284</v>
      </c>
      <c r="D88" s="395"/>
      <c r="E88" s="170">
        <v>0</v>
      </c>
      <c r="G88" s="232">
        <v>6</v>
      </c>
      <c r="H88" s="170">
        <v>6</v>
      </c>
      <c r="J88" s="240">
        <v>12</v>
      </c>
      <c r="K88" s="213">
        <f t="shared" si="5"/>
        <v>50</v>
      </c>
      <c r="L88" s="213">
        <f t="shared" si="5"/>
        <v>50</v>
      </c>
      <c r="M88" s="213">
        <f t="shared" si="5"/>
        <v>0</v>
      </c>
      <c r="N88" s="234">
        <f t="shared" si="6"/>
        <v>100</v>
      </c>
      <c r="O88" s="212">
        <v>41.3</v>
      </c>
      <c r="P88" s="213">
        <v>19</v>
      </c>
      <c r="Q88" s="213"/>
      <c r="R88" s="214">
        <f t="shared" si="7"/>
        <v>60.3</v>
      </c>
      <c r="S88" s="170">
        <v>2</v>
      </c>
      <c r="T88" s="283"/>
      <c r="U88" s="281"/>
      <c r="V88" s="177" t="s">
        <v>558</v>
      </c>
      <c r="W88" s="170" t="s">
        <v>74</v>
      </c>
      <c r="X88" s="170" t="s">
        <v>11</v>
      </c>
      <c r="Y88" s="178">
        <v>41.3</v>
      </c>
      <c r="Z88" s="177" t="s">
        <v>476</v>
      </c>
      <c r="AA88" s="170" t="s">
        <v>869</v>
      </c>
      <c r="AB88" s="170" t="s">
        <v>18</v>
      </c>
      <c r="AC88" s="170">
        <v>19</v>
      </c>
      <c r="AD88" s="177"/>
      <c r="AG88" s="178"/>
      <c r="AH88" s="252"/>
      <c r="AL88" s="177"/>
      <c r="AO88" s="178"/>
      <c r="AP88" s="177"/>
      <c r="AS88" s="178"/>
      <c r="AW88" s="178"/>
      <c r="BA88" s="179"/>
    </row>
    <row r="89" spans="1:53" s="170" customFormat="1" x14ac:dyDescent="0.15">
      <c r="A89" s="170">
        <v>2000</v>
      </c>
      <c r="B89" s="281"/>
      <c r="C89" s="395" t="s">
        <v>284</v>
      </c>
      <c r="D89" s="395"/>
      <c r="E89" s="170">
        <v>366</v>
      </c>
      <c r="G89" s="232">
        <v>6</v>
      </c>
      <c r="H89" s="170">
        <v>6</v>
      </c>
      <c r="J89" s="240">
        <v>12</v>
      </c>
      <c r="K89" s="213">
        <f t="shared" si="5"/>
        <v>50</v>
      </c>
      <c r="L89" s="213">
        <f t="shared" si="5"/>
        <v>50</v>
      </c>
      <c r="M89" s="213">
        <f t="shared" si="5"/>
        <v>0</v>
      </c>
      <c r="N89" s="234">
        <f t="shared" si="6"/>
        <v>100</v>
      </c>
      <c r="O89" s="212">
        <v>41.3</v>
      </c>
      <c r="P89" s="213">
        <v>19</v>
      </c>
      <c r="Q89" s="213"/>
      <c r="R89" s="214">
        <f t="shared" si="7"/>
        <v>60.3</v>
      </c>
      <c r="S89" s="170">
        <v>2</v>
      </c>
      <c r="T89" s="283"/>
      <c r="U89" s="281"/>
      <c r="V89" s="177" t="s">
        <v>558</v>
      </c>
      <c r="W89" s="170" t="s">
        <v>74</v>
      </c>
      <c r="X89" s="170" t="s">
        <v>11</v>
      </c>
      <c r="Y89" s="178">
        <v>41.3</v>
      </c>
      <c r="Z89" s="177" t="s">
        <v>476</v>
      </c>
      <c r="AA89" s="170" t="s">
        <v>869</v>
      </c>
      <c r="AB89" s="170" t="s">
        <v>18</v>
      </c>
      <c r="AC89" s="170">
        <v>19</v>
      </c>
      <c r="AD89" s="177"/>
      <c r="AG89" s="178"/>
      <c r="AH89" s="252"/>
      <c r="AL89" s="177"/>
      <c r="AO89" s="178"/>
      <c r="AP89" s="177"/>
      <c r="AS89" s="178"/>
      <c r="AW89" s="178"/>
      <c r="BA89" s="179"/>
    </row>
    <row r="90" spans="1:53" s="170" customFormat="1" x14ac:dyDescent="0.15">
      <c r="A90" s="170">
        <v>2001</v>
      </c>
      <c r="B90" s="281"/>
      <c r="C90" s="395" t="s">
        <v>284</v>
      </c>
      <c r="D90" s="395"/>
      <c r="E90" s="170">
        <v>0</v>
      </c>
      <c r="G90" s="232">
        <v>6</v>
      </c>
      <c r="H90" s="170">
        <v>6</v>
      </c>
      <c r="J90" s="240">
        <v>12</v>
      </c>
      <c r="K90" s="213">
        <f t="shared" si="5"/>
        <v>50</v>
      </c>
      <c r="L90" s="213">
        <f t="shared" si="5"/>
        <v>50</v>
      </c>
      <c r="M90" s="213">
        <f t="shared" si="5"/>
        <v>0</v>
      </c>
      <c r="N90" s="234">
        <f t="shared" si="6"/>
        <v>100</v>
      </c>
      <c r="O90" s="212">
        <v>41.3</v>
      </c>
      <c r="P90" s="213">
        <v>19</v>
      </c>
      <c r="Q90" s="213"/>
      <c r="R90" s="214">
        <f t="shared" si="7"/>
        <v>60.3</v>
      </c>
      <c r="S90" s="170">
        <v>2</v>
      </c>
      <c r="T90" s="283"/>
      <c r="U90" s="281"/>
      <c r="V90" s="177" t="s">
        <v>558</v>
      </c>
      <c r="W90" s="170" t="s">
        <v>74</v>
      </c>
      <c r="X90" s="170" t="s">
        <v>11</v>
      </c>
      <c r="Y90" s="178">
        <v>41.3</v>
      </c>
      <c r="Z90" s="177" t="s">
        <v>476</v>
      </c>
      <c r="AA90" s="170" t="s">
        <v>869</v>
      </c>
      <c r="AB90" s="170" t="s">
        <v>18</v>
      </c>
      <c r="AC90" s="170">
        <v>19</v>
      </c>
      <c r="AD90" s="177"/>
      <c r="AG90" s="178"/>
      <c r="AH90" s="252"/>
      <c r="AL90" s="177"/>
      <c r="AO90" s="178"/>
      <c r="AP90" s="177"/>
      <c r="AS90" s="178"/>
      <c r="AW90" s="178"/>
      <c r="BA90" s="179"/>
    </row>
    <row r="91" spans="1:53" s="170" customFormat="1" x14ac:dyDescent="0.15">
      <c r="A91" s="170">
        <v>2001</v>
      </c>
      <c r="B91" s="281"/>
      <c r="C91" s="395" t="s">
        <v>284</v>
      </c>
      <c r="D91" s="395"/>
      <c r="E91" s="170">
        <f>365-E90</f>
        <v>365</v>
      </c>
      <c r="G91" s="232">
        <v>6</v>
      </c>
      <c r="H91" s="170">
        <v>6</v>
      </c>
      <c r="J91" s="240">
        <v>12</v>
      </c>
      <c r="K91" s="213">
        <f t="shared" si="5"/>
        <v>50</v>
      </c>
      <c r="L91" s="213">
        <f t="shared" si="5"/>
        <v>50</v>
      </c>
      <c r="M91" s="213">
        <f t="shared" si="5"/>
        <v>0</v>
      </c>
      <c r="N91" s="234">
        <f t="shared" si="6"/>
        <v>100</v>
      </c>
      <c r="O91" s="212">
        <v>41.3</v>
      </c>
      <c r="P91" s="213">
        <v>19</v>
      </c>
      <c r="Q91" s="213"/>
      <c r="R91" s="214">
        <f t="shared" si="7"/>
        <v>60.3</v>
      </c>
      <c r="S91" s="170">
        <v>2</v>
      </c>
      <c r="T91" s="283"/>
      <c r="U91" s="281"/>
      <c r="V91" s="177" t="s">
        <v>558</v>
      </c>
      <c r="W91" s="170" t="s">
        <v>74</v>
      </c>
      <c r="X91" s="170" t="s">
        <v>11</v>
      </c>
      <c r="Y91" s="178">
        <v>41.3</v>
      </c>
      <c r="Z91" s="177" t="s">
        <v>476</v>
      </c>
      <c r="AA91" s="170" t="s">
        <v>869</v>
      </c>
      <c r="AB91" s="170" t="s">
        <v>18</v>
      </c>
      <c r="AC91" s="170">
        <v>19</v>
      </c>
      <c r="AD91" s="177"/>
      <c r="AG91" s="178"/>
      <c r="AH91" s="252"/>
      <c r="AL91" s="177"/>
      <c r="AO91" s="178"/>
      <c r="AP91" s="177"/>
      <c r="AS91" s="178"/>
      <c r="AW91" s="178"/>
      <c r="BA91" s="179"/>
    </row>
    <row r="92" spans="1:53" s="170" customFormat="1" x14ac:dyDescent="0.15">
      <c r="A92" s="170">
        <v>2002</v>
      </c>
      <c r="B92" s="281"/>
      <c r="C92" s="395" t="s">
        <v>284</v>
      </c>
      <c r="D92" s="395"/>
      <c r="E92" s="170">
        <v>0</v>
      </c>
      <c r="G92" s="232">
        <v>6</v>
      </c>
      <c r="H92" s="170">
        <v>6</v>
      </c>
      <c r="J92" s="240">
        <v>12</v>
      </c>
      <c r="K92" s="213">
        <f t="shared" si="5"/>
        <v>50</v>
      </c>
      <c r="L92" s="213">
        <f t="shared" si="5"/>
        <v>50</v>
      </c>
      <c r="M92" s="213">
        <f t="shared" si="5"/>
        <v>0</v>
      </c>
      <c r="N92" s="234">
        <f t="shared" si="6"/>
        <v>100</v>
      </c>
      <c r="O92" s="212">
        <v>41.3</v>
      </c>
      <c r="P92" s="213">
        <v>19</v>
      </c>
      <c r="Q92" s="213"/>
      <c r="R92" s="214">
        <f t="shared" si="7"/>
        <v>60.3</v>
      </c>
      <c r="S92" s="170">
        <v>2</v>
      </c>
      <c r="T92" s="283"/>
      <c r="U92" s="281"/>
      <c r="V92" s="177" t="s">
        <v>558</v>
      </c>
      <c r="W92" s="170" t="s">
        <v>74</v>
      </c>
      <c r="X92" s="170" t="s">
        <v>11</v>
      </c>
      <c r="Y92" s="178">
        <v>41.3</v>
      </c>
      <c r="Z92" s="177" t="s">
        <v>476</v>
      </c>
      <c r="AA92" s="170" t="s">
        <v>869</v>
      </c>
      <c r="AB92" s="170" t="s">
        <v>18</v>
      </c>
      <c r="AC92" s="170">
        <v>19</v>
      </c>
      <c r="AD92" s="177"/>
      <c r="AG92" s="178"/>
      <c r="AH92" s="252"/>
      <c r="AL92" s="177"/>
      <c r="AO92" s="178"/>
      <c r="AP92" s="177"/>
      <c r="AS92" s="178"/>
      <c r="AW92" s="178"/>
      <c r="BA92" s="179"/>
    </row>
    <row r="93" spans="1:53" s="170" customFormat="1" x14ac:dyDescent="0.15">
      <c r="A93" s="170">
        <v>2002</v>
      </c>
      <c r="B93" s="281"/>
      <c r="C93" s="395" t="s">
        <v>284</v>
      </c>
      <c r="D93" s="395"/>
      <c r="E93" s="170">
        <f>365-E92</f>
        <v>365</v>
      </c>
      <c r="G93" s="232">
        <v>6</v>
      </c>
      <c r="H93" s="170">
        <v>6</v>
      </c>
      <c r="J93" s="240">
        <v>12</v>
      </c>
      <c r="K93" s="213">
        <f t="shared" si="5"/>
        <v>50</v>
      </c>
      <c r="L93" s="213">
        <f t="shared" si="5"/>
        <v>50</v>
      </c>
      <c r="M93" s="213">
        <f t="shared" si="5"/>
        <v>0</v>
      </c>
      <c r="N93" s="234">
        <f t="shared" si="6"/>
        <v>100</v>
      </c>
      <c r="O93" s="212">
        <v>41.3</v>
      </c>
      <c r="P93" s="213">
        <v>19</v>
      </c>
      <c r="Q93" s="213"/>
      <c r="R93" s="214">
        <f t="shared" si="7"/>
        <v>60.3</v>
      </c>
      <c r="S93" s="170">
        <v>2</v>
      </c>
      <c r="T93" s="283"/>
      <c r="U93" s="281"/>
      <c r="V93" s="177" t="s">
        <v>558</v>
      </c>
      <c r="W93" s="170" t="s">
        <v>74</v>
      </c>
      <c r="X93" s="170" t="s">
        <v>11</v>
      </c>
      <c r="Y93" s="178">
        <v>41.3</v>
      </c>
      <c r="Z93" s="177" t="s">
        <v>476</v>
      </c>
      <c r="AA93" s="170" t="s">
        <v>869</v>
      </c>
      <c r="AB93" s="170" t="s">
        <v>18</v>
      </c>
      <c r="AC93" s="170">
        <v>19</v>
      </c>
      <c r="AD93" s="177"/>
      <c r="AG93" s="178"/>
      <c r="AH93" s="252"/>
      <c r="AL93" s="177"/>
      <c r="AO93" s="178"/>
      <c r="AP93" s="177"/>
      <c r="AS93" s="178"/>
      <c r="AW93" s="178"/>
      <c r="BA93" s="179"/>
    </row>
    <row r="94" spans="1:53" s="170" customFormat="1" x14ac:dyDescent="0.15">
      <c r="A94" s="170">
        <v>2003</v>
      </c>
      <c r="B94" s="281"/>
      <c r="C94" s="395" t="s">
        <v>284</v>
      </c>
      <c r="D94" s="395"/>
      <c r="E94" s="170">
        <v>142</v>
      </c>
      <c r="G94" s="232">
        <v>6</v>
      </c>
      <c r="H94" s="170">
        <v>6</v>
      </c>
      <c r="J94" s="240">
        <v>12</v>
      </c>
      <c r="K94" s="213">
        <f t="shared" si="5"/>
        <v>50</v>
      </c>
      <c r="L94" s="213">
        <f t="shared" si="5"/>
        <v>50</v>
      </c>
      <c r="M94" s="213">
        <f t="shared" si="5"/>
        <v>0</v>
      </c>
      <c r="N94" s="234">
        <f t="shared" si="6"/>
        <v>100</v>
      </c>
      <c r="O94" s="212">
        <v>41.3</v>
      </c>
      <c r="P94" s="213">
        <v>19</v>
      </c>
      <c r="Q94" s="213"/>
      <c r="R94" s="214">
        <f t="shared" si="7"/>
        <v>60.3</v>
      </c>
      <c r="S94" s="170">
        <v>2</v>
      </c>
      <c r="T94" s="283"/>
      <c r="U94" s="281"/>
      <c r="V94" s="177" t="s">
        <v>558</v>
      </c>
      <c r="W94" s="170" t="s">
        <v>74</v>
      </c>
      <c r="X94" s="170" t="s">
        <v>11</v>
      </c>
      <c r="Y94" s="178">
        <v>41.3</v>
      </c>
      <c r="Z94" s="177" t="s">
        <v>476</v>
      </c>
      <c r="AA94" s="170" t="s">
        <v>869</v>
      </c>
      <c r="AB94" s="170" t="s">
        <v>18</v>
      </c>
      <c r="AC94" s="170">
        <v>19</v>
      </c>
      <c r="AD94" s="177"/>
      <c r="AG94" s="178"/>
      <c r="AH94" s="252"/>
      <c r="AL94" s="177"/>
      <c r="AO94" s="178"/>
      <c r="AP94" s="177"/>
      <c r="AS94" s="178"/>
      <c r="AW94" s="178"/>
      <c r="BA94" s="179"/>
    </row>
    <row r="95" spans="1:53" s="28" customFormat="1" x14ac:dyDescent="0.15">
      <c r="A95" s="28">
        <v>2003</v>
      </c>
      <c r="B95" s="293">
        <v>37764</v>
      </c>
      <c r="C95" s="394" t="s">
        <v>285</v>
      </c>
      <c r="D95" s="394"/>
      <c r="E95" s="28">
        <f>365-E94</f>
        <v>223</v>
      </c>
      <c r="F95" s="28">
        <v>1</v>
      </c>
      <c r="G95" s="65">
        <v>6</v>
      </c>
      <c r="H95" s="28">
        <v>6</v>
      </c>
      <c r="J95" s="72">
        <v>12</v>
      </c>
      <c r="K95" s="46">
        <f t="shared" si="5"/>
        <v>50</v>
      </c>
      <c r="L95" s="46">
        <f t="shared" si="5"/>
        <v>50</v>
      </c>
      <c r="M95" s="46">
        <f t="shared" si="5"/>
        <v>0</v>
      </c>
      <c r="N95" s="67">
        <f t="shared" si="6"/>
        <v>100</v>
      </c>
      <c r="O95" s="45">
        <v>34.9</v>
      </c>
      <c r="P95" s="46">
        <v>19</v>
      </c>
      <c r="Q95" s="46"/>
      <c r="R95" s="47">
        <f t="shared" si="7"/>
        <v>53.9</v>
      </c>
      <c r="S95" s="28">
        <v>2</v>
      </c>
      <c r="T95" s="284">
        <v>37751</v>
      </c>
      <c r="U95" s="293">
        <v>37764</v>
      </c>
      <c r="V95" s="37" t="s">
        <v>558</v>
      </c>
      <c r="W95" s="28" t="s">
        <v>74</v>
      </c>
      <c r="X95" s="28" t="s">
        <v>11</v>
      </c>
      <c r="Y95" s="38">
        <v>34.9</v>
      </c>
      <c r="Z95" s="37" t="s">
        <v>476</v>
      </c>
      <c r="AA95" s="28" t="s">
        <v>869</v>
      </c>
      <c r="AB95" s="28" t="s">
        <v>18</v>
      </c>
      <c r="AC95" s="28">
        <v>19</v>
      </c>
      <c r="AD95" s="37"/>
      <c r="AG95" s="38"/>
      <c r="AH95" s="93"/>
      <c r="AL95" s="37"/>
      <c r="AO95" s="38"/>
      <c r="AP95" s="37"/>
      <c r="AS95" s="38"/>
      <c r="AW95" s="38"/>
      <c r="BA95" s="39"/>
    </row>
    <row r="96" spans="1:53" s="28" customFormat="1" x14ac:dyDescent="0.15">
      <c r="A96" s="28">
        <v>2004</v>
      </c>
      <c r="B96" s="293"/>
      <c r="C96" s="394" t="s">
        <v>285</v>
      </c>
      <c r="D96" s="394"/>
      <c r="E96" s="28">
        <v>258</v>
      </c>
      <c r="G96" s="65">
        <v>6</v>
      </c>
      <c r="H96" s="28">
        <v>6</v>
      </c>
      <c r="J96" s="72">
        <v>12</v>
      </c>
      <c r="K96" s="46">
        <f t="shared" si="5"/>
        <v>50</v>
      </c>
      <c r="L96" s="46">
        <f t="shared" si="5"/>
        <v>50</v>
      </c>
      <c r="M96" s="46">
        <f t="shared" si="5"/>
        <v>0</v>
      </c>
      <c r="N96" s="67">
        <f t="shared" si="6"/>
        <v>100</v>
      </c>
      <c r="O96" s="45">
        <v>34.9</v>
      </c>
      <c r="P96" s="46">
        <v>19</v>
      </c>
      <c r="Q96" s="46"/>
      <c r="R96" s="47">
        <f t="shared" si="7"/>
        <v>53.9</v>
      </c>
      <c r="S96" s="28">
        <v>2</v>
      </c>
      <c r="T96" s="284"/>
      <c r="U96" s="293"/>
      <c r="V96" s="37" t="s">
        <v>558</v>
      </c>
      <c r="W96" s="28" t="s">
        <v>74</v>
      </c>
      <c r="X96" s="28" t="s">
        <v>11</v>
      </c>
      <c r="Y96" s="38">
        <v>34.9</v>
      </c>
      <c r="Z96" s="37" t="s">
        <v>476</v>
      </c>
      <c r="AA96" s="28" t="s">
        <v>869</v>
      </c>
      <c r="AB96" s="28" t="s">
        <v>18</v>
      </c>
      <c r="AC96" s="28">
        <v>19</v>
      </c>
      <c r="AD96" s="37"/>
      <c r="AG96" s="38"/>
      <c r="AH96" s="93"/>
      <c r="AL96" s="37"/>
      <c r="AO96" s="38"/>
      <c r="AP96" s="37"/>
      <c r="AS96" s="38"/>
      <c r="AW96" s="38"/>
      <c r="BA96" s="39"/>
    </row>
    <row r="97" spans="1:53" s="170" customFormat="1" x14ac:dyDescent="0.15">
      <c r="A97" s="170">
        <v>2004</v>
      </c>
      <c r="B97" s="281">
        <v>38245</v>
      </c>
      <c r="C97" s="395" t="s">
        <v>1168</v>
      </c>
      <c r="D97" s="395"/>
      <c r="E97" s="170">
        <f>366-E96</f>
        <v>108</v>
      </c>
      <c r="F97" s="170">
        <v>2</v>
      </c>
      <c r="G97" s="232">
        <v>7</v>
      </c>
      <c r="H97" s="170">
        <v>5</v>
      </c>
      <c r="J97" s="240">
        <v>12</v>
      </c>
      <c r="K97" s="213">
        <f t="shared" si="5"/>
        <v>58.333333333333336</v>
      </c>
      <c r="L97" s="213">
        <f t="shared" si="5"/>
        <v>41.666666666666671</v>
      </c>
      <c r="M97" s="213">
        <f t="shared" si="5"/>
        <v>0</v>
      </c>
      <c r="N97" s="234">
        <f t="shared" si="6"/>
        <v>100</v>
      </c>
      <c r="O97" s="212">
        <v>34.9</v>
      </c>
      <c r="P97" s="213">
        <v>19</v>
      </c>
      <c r="Q97" s="213"/>
      <c r="R97" s="214">
        <f t="shared" si="7"/>
        <v>53.9</v>
      </c>
      <c r="S97" s="170">
        <v>2</v>
      </c>
      <c r="T97" s="283"/>
      <c r="U97" s="281">
        <v>38245</v>
      </c>
      <c r="V97" s="177" t="s">
        <v>558</v>
      </c>
      <c r="W97" s="170" t="s">
        <v>74</v>
      </c>
      <c r="X97" s="170" t="s">
        <v>11</v>
      </c>
      <c r="Y97" s="178">
        <v>34.9</v>
      </c>
      <c r="Z97" s="177" t="s">
        <v>476</v>
      </c>
      <c r="AA97" s="170" t="s">
        <v>869</v>
      </c>
      <c r="AB97" s="170" t="s">
        <v>18</v>
      </c>
      <c r="AC97" s="170">
        <v>19</v>
      </c>
      <c r="AD97" s="177"/>
      <c r="AG97" s="178"/>
      <c r="AH97" s="252"/>
      <c r="AL97" s="177"/>
      <c r="AO97" s="178"/>
      <c r="AP97" s="177"/>
      <c r="AS97" s="178"/>
      <c r="AW97" s="178"/>
      <c r="BA97" s="179"/>
    </row>
    <row r="98" spans="1:53" s="170" customFormat="1" x14ac:dyDescent="0.15">
      <c r="A98" s="170">
        <v>2005</v>
      </c>
      <c r="B98" s="281"/>
      <c r="C98" s="395" t="s">
        <v>1168</v>
      </c>
      <c r="D98" s="395"/>
      <c r="E98" s="170">
        <v>0</v>
      </c>
      <c r="G98" s="232">
        <v>7</v>
      </c>
      <c r="H98" s="170">
        <v>5</v>
      </c>
      <c r="J98" s="240">
        <v>12</v>
      </c>
      <c r="K98" s="213">
        <f t="shared" si="5"/>
        <v>58.333333333333336</v>
      </c>
      <c r="L98" s="213">
        <f t="shared" si="5"/>
        <v>41.666666666666671</v>
      </c>
      <c r="M98" s="213">
        <f t="shared" si="5"/>
        <v>0</v>
      </c>
      <c r="N98" s="234">
        <f t="shared" si="6"/>
        <v>100</v>
      </c>
      <c r="O98" s="212">
        <v>34.9</v>
      </c>
      <c r="P98" s="213">
        <v>19</v>
      </c>
      <c r="Q98" s="213"/>
      <c r="R98" s="214">
        <f t="shared" si="7"/>
        <v>53.9</v>
      </c>
      <c r="S98" s="170">
        <v>2</v>
      </c>
      <c r="T98" s="283"/>
      <c r="U98" s="281"/>
      <c r="V98" s="177" t="s">
        <v>558</v>
      </c>
      <c r="W98" s="170" t="s">
        <v>74</v>
      </c>
      <c r="X98" s="170" t="s">
        <v>11</v>
      </c>
      <c r="Y98" s="178">
        <v>34.9</v>
      </c>
      <c r="Z98" s="177" t="s">
        <v>476</v>
      </c>
      <c r="AA98" s="170" t="s">
        <v>869</v>
      </c>
      <c r="AB98" s="170" t="s">
        <v>18</v>
      </c>
      <c r="AC98" s="170">
        <v>19</v>
      </c>
      <c r="AD98" s="177"/>
      <c r="AG98" s="178"/>
      <c r="AH98" s="252"/>
      <c r="AL98" s="177"/>
      <c r="AO98" s="178"/>
      <c r="AP98" s="177"/>
      <c r="AS98" s="178"/>
      <c r="AW98" s="178"/>
      <c r="BA98" s="179"/>
    </row>
    <row r="99" spans="1:53" s="170" customFormat="1" x14ac:dyDescent="0.15">
      <c r="A99" s="170">
        <v>2005</v>
      </c>
      <c r="B99" s="281"/>
      <c r="C99" s="395" t="s">
        <v>1168</v>
      </c>
      <c r="D99" s="395"/>
      <c r="E99" s="170">
        <v>365</v>
      </c>
      <c r="G99" s="232">
        <v>7</v>
      </c>
      <c r="H99" s="170">
        <v>5</v>
      </c>
      <c r="J99" s="240">
        <v>12</v>
      </c>
      <c r="K99" s="213">
        <f t="shared" si="5"/>
        <v>58.333333333333336</v>
      </c>
      <c r="L99" s="213">
        <f t="shared" si="5"/>
        <v>41.666666666666671</v>
      </c>
      <c r="M99" s="213">
        <f t="shared" si="5"/>
        <v>0</v>
      </c>
      <c r="N99" s="234">
        <f t="shared" si="6"/>
        <v>100</v>
      </c>
      <c r="O99" s="212">
        <v>34.9</v>
      </c>
      <c r="P99" s="213">
        <v>19</v>
      </c>
      <c r="Q99" s="213"/>
      <c r="R99" s="214">
        <f t="shared" si="7"/>
        <v>53.9</v>
      </c>
      <c r="S99" s="170">
        <v>2</v>
      </c>
      <c r="T99" s="283"/>
      <c r="U99" s="281"/>
      <c r="V99" s="177" t="s">
        <v>558</v>
      </c>
      <c r="W99" s="170" t="s">
        <v>74</v>
      </c>
      <c r="X99" s="170" t="s">
        <v>11</v>
      </c>
      <c r="Y99" s="178">
        <v>34.9</v>
      </c>
      <c r="Z99" s="177" t="s">
        <v>476</v>
      </c>
      <c r="AA99" s="170" t="s">
        <v>869</v>
      </c>
      <c r="AB99" s="170" t="s">
        <v>18</v>
      </c>
      <c r="AC99" s="170">
        <v>19</v>
      </c>
      <c r="AD99" s="177"/>
      <c r="AG99" s="178"/>
      <c r="AH99" s="252"/>
      <c r="AL99" s="177"/>
      <c r="AO99" s="178"/>
      <c r="AP99" s="177"/>
      <c r="AS99" s="178"/>
      <c r="AW99" s="178"/>
      <c r="BA99" s="179"/>
    </row>
    <row r="100" spans="1:53" s="170" customFormat="1" x14ac:dyDescent="0.15">
      <c r="A100" s="170">
        <v>2006</v>
      </c>
      <c r="B100" s="281"/>
      <c r="C100" s="395" t="s">
        <v>1168</v>
      </c>
      <c r="D100" s="395"/>
      <c r="E100" s="170">
        <v>165</v>
      </c>
      <c r="G100" s="232">
        <v>7</v>
      </c>
      <c r="H100" s="170">
        <v>5</v>
      </c>
      <c r="J100" s="240">
        <v>12</v>
      </c>
      <c r="K100" s="213">
        <f t="shared" si="5"/>
        <v>58.333333333333336</v>
      </c>
      <c r="L100" s="213">
        <f t="shared" si="5"/>
        <v>41.666666666666671</v>
      </c>
      <c r="M100" s="213">
        <f t="shared" si="5"/>
        <v>0</v>
      </c>
      <c r="N100" s="234">
        <f t="shared" si="6"/>
        <v>100</v>
      </c>
      <c r="O100" s="212">
        <v>34.9</v>
      </c>
      <c r="P100" s="213">
        <v>19</v>
      </c>
      <c r="Q100" s="213"/>
      <c r="R100" s="214">
        <f t="shared" si="7"/>
        <v>53.9</v>
      </c>
      <c r="S100" s="170">
        <v>2</v>
      </c>
      <c r="T100" s="283"/>
      <c r="U100" s="281"/>
      <c r="V100" s="177" t="s">
        <v>558</v>
      </c>
      <c r="W100" s="170" t="s">
        <v>74</v>
      </c>
      <c r="X100" s="170" t="s">
        <v>11</v>
      </c>
      <c r="Y100" s="178">
        <v>34.9</v>
      </c>
      <c r="Z100" s="177" t="s">
        <v>476</v>
      </c>
      <c r="AA100" s="170" t="s">
        <v>869</v>
      </c>
      <c r="AB100" s="170" t="s">
        <v>18</v>
      </c>
      <c r="AC100" s="170">
        <v>19</v>
      </c>
      <c r="AD100" s="177"/>
      <c r="AG100" s="178"/>
      <c r="AH100" s="252"/>
      <c r="AL100" s="177"/>
      <c r="AO100" s="178"/>
      <c r="AP100" s="177"/>
      <c r="AS100" s="178"/>
      <c r="AW100" s="178"/>
      <c r="BA100" s="179"/>
    </row>
    <row r="101" spans="1:53" s="28" customFormat="1" x14ac:dyDescent="0.15">
      <c r="A101" s="28">
        <v>2006</v>
      </c>
      <c r="B101" s="293">
        <v>38883</v>
      </c>
      <c r="C101" s="394" t="s">
        <v>286</v>
      </c>
      <c r="D101" s="394"/>
      <c r="E101" s="28">
        <f>365-E100</f>
        <v>200</v>
      </c>
      <c r="F101" s="28">
        <v>2</v>
      </c>
      <c r="G101" s="65">
        <v>6</v>
      </c>
      <c r="H101" s="28">
        <v>6</v>
      </c>
      <c r="J101" s="72">
        <v>12</v>
      </c>
      <c r="K101" s="46">
        <f t="shared" si="5"/>
        <v>50</v>
      </c>
      <c r="L101" s="46">
        <f t="shared" si="5"/>
        <v>50</v>
      </c>
      <c r="M101" s="46">
        <f t="shared" si="5"/>
        <v>0</v>
      </c>
      <c r="N101" s="67">
        <f t="shared" si="6"/>
        <v>100</v>
      </c>
      <c r="O101" s="45">
        <v>36.5</v>
      </c>
      <c r="P101" s="46">
        <v>19</v>
      </c>
      <c r="Q101" s="46"/>
      <c r="R101" s="47">
        <f t="shared" si="7"/>
        <v>55.5</v>
      </c>
      <c r="S101" s="28">
        <v>2</v>
      </c>
      <c r="T101" s="284"/>
      <c r="U101" s="293">
        <v>38883</v>
      </c>
      <c r="V101" s="37" t="s">
        <v>558</v>
      </c>
      <c r="W101" s="28" t="s">
        <v>74</v>
      </c>
      <c r="X101" s="28" t="s">
        <v>11</v>
      </c>
      <c r="Y101" s="38">
        <v>34.9</v>
      </c>
      <c r="Z101" s="37" t="s">
        <v>476</v>
      </c>
      <c r="AA101" s="28" t="s">
        <v>869</v>
      </c>
      <c r="AB101" s="28" t="s">
        <v>18</v>
      </c>
      <c r="AC101" s="28">
        <v>19</v>
      </c>
      <c r="AD101" s="37"/>
      <c r="AG101" s="38"/>
      <c r="AH101" s="93"/>
      <c r="AL101" s="37"/>
      <c r="AO101" s="38"/>
      <c r="AP101" s="37"/>
      <c r="AS101" s="38"/>
      <c r="AW101" s="38"/>
      <c r="BA101" s="39"/>
    </row>
    <row r="102" spans="1:53" s="28" customFormat="1" x14ac:dyDescent="0.15">
      <c r="A102" s="28">
        <v>2007</v>
      </c>
      <c r="B102" s="293"/>
      <c r="C102" s="394" t="s">
        <v>286</v>
      </c>
      <c r="D102" s="394"/>
      <c r="E102" s="28">
        <v>143</v>
      </c>
      <c r="G102" s="65">
        <v>6</v>
      </c>
      <c r="H102" s="28">
        <v>6</v>
      </c>
      <c r="J102" s="72">
        <v>12</v>
      </c>
      <c r="K102" s="46">
        <f t="shared" si="5"/>
        <v>50</v>
      </c>
      <c r="L102" s="46">
        <f t="shared" si="5"/>
        <v>50</v>
      </c>
      <c r="M102" s="46">
        <f t="shared" si="5"/>
        <v>0</v>
      </c>
      <c r="N102" s="67">
        <f t="shared" si="6"/>
        <v>100</v>
      </c>
      <c r="O102" s="45">
        <v>36.5</v>
      </c>
      <c r="P102" s="46">
        <v>19</v>
      </c>
      <c r="Q102" s="46"/>
      <c r="R102" s="47">
        <f t="shared" si="7"/>
        <v>55.5</v>
      </c>
      <c r="S102" s="28">
        <v>2</v>
      </c>
      <c r="T102" s="284"/>
      <c r="U102" s="293"/>
      <c r="V102" s="37" t="s">
        <v>558</v>
      </c>
      <c r="W102" s="28" t="s">
        <v>74</v>
      </c>
      <c r="X102" s="28" t="s">
        <v>11</v>
      </c>
      <c r="Y102" s="38">
        <v>34.9</v>
      </c>
      <c r="Z102" s="37" t="s">
        <v>476</v>
      </c>
      <c r="AA102" s="28" t="s">
        <v>869</v>
      </c>
      <c r="AB102" s="28" t="s">
        <v>18</v>
      </c>
      <c r="AC102" s="28">
        <v>19</v>
      </c>
      <c r="AD102" s="37"/>
      <c r="AG102" s="38"/>
      <c r="AH102" s="93"/>
      <c r="AL102" s="37"/>
      <c r="AO102" s="38"/>
      <c r="AP102" s="37"/>
      <c r="AS102" s="38"/>
      <c r="AW102" s="38"/>
      <c r="BA102" s="39"/>
    </row>
    <row r="103" spans="1:53" s="170" customFormat="1" x14ac:dyDescent="0.15">
      <c r="A103" s="170">
        <v>2007</v>
      </c>
      <c r="B103" s="281">
        <v>39226</v>
      </c>
      <c r="C103" s="395" t="s">
        <v>287</v>
      </c>
      <c r="D103" s="395"/>
      <c r="E103" s="170">
        <v>222</v>
      </c>
      <c r="F103" s="170">
        <v>1</v>
      </c>
      <c r="G103" s="232">
        <v>6</v>
      </c>
      <c r="I103" s="170">
        <v>6</v>
      </c>
      <c r="J103" s="240">
        <v>12</v>
      </c>
      <c r="K103" s="213">
        <f t="shared" si="5"/>
        <v>50</v>
      </c>
      <c r="L103" s="213">
        <f t="shared" si="5"/>
        <v>0</v>
      </c>
      <c r="M103" s="213">
        <f t="shared" si="5"/>
        <v>50</v>
      </c>
      <c r="N103" s="234">
        <f t="shared" si="6"/>
        <v>100</v>
      </c>
      <c r="O103" s="212">
        <v>39.700000000000003</v>
      </c>
      <c r="P103" s="213"/>
      <c r="Q103" s="213">
        <v>28.6</v>
      </c>
      <c r="R103" s="214">
        <f t="shared" si="7"/>
        <v>68.300000000000011</v>
      </c>
      <c r="S103" s="170">
        <v>2</v>
      </c>
      <c r="T103" s="283">
        <v>39214</v>
      </c>
      <c r="U103" s="281">
        <v>39226</v>
      </c>
      <c r="V103" s="177" t="s">
        <v>558</v>
      </c>
      <c r="W103" s="170" t="s">
        <v>74</v>
      </c>
      <c r="X103" s="170" t="s">
        <v>11</v>
      </c>
      <c r="Y103" s="178">
        <v>39.700000000000003</v>
      </c>
      <c r="Z103" s="177" t="s">
        <v>560</v>
      </c>
      <c r="AA103" s="170" t="s">
        <v>115</v>
      </c>
      <c r="AB103" s="170" t="s">
        <v>12</v>
      </c>
      <c r="AC103" s="170">
        <v>28.6</v>
      </c>
      <c r="AD103" s="177"/>
      <c r="AG103" s="178"/>
      <c r="AH103" s="252"/>
      <c r="AL103" s="177"/>
      <c r="AO103" s="178"/>
      <c r="AP103" s="177"/>
      <c r="AS103" s="178"/>
      <c r="AW103" s="178"/>
      <c r="BA103" s="179"/>
    </row>
    <row r="104" spans="1:53" s="170" customFormat="1" x14ac:dyDescent="0.15">
      <c r="A104" s="170">
        <v>2008</v>
      </c>
      <c r="B104" s="281"/>
      <c r="C104" s="395" t="s">
        <v>287</v>
      </c>
      <c r="D104" s="395"/>
      <c r="E104" s="170">
        <v>0</v>
      </c>
      <c r="G104" s="232">
        <v>6</v>
      </c>
      <c r="I104" s="170">
        <v>6</v>
      </c>
      <c r="J104" s="240">
        <v>12</v>
      </c>
      <c r="K104" s="213">
        <f t="shared" si="5"/>
        <v>50</v>
      </c>
      <c r="L104" s="213">
        <f t="shared" si="5"/>
        <v>0</v>
      </c>
      <c r="M104" s="213">
        <f t="shared" si="5"/>
        <v>50</v>
      </c>
      <c r="N104" s="234">
        <f t="shared" si="6"/>
        <v>100</v>
      </c>
      <c r="O104" s="212">
        <v>39.700000000000003</v>
      </c>
      <c r="P104" s="213"/>
      <c r="Q104" s="213">
        <v>28.6</v>
      </c>
      <c r="R104" s="214">
        <f t="shared" si="7"/>
        <v>68.300000000000011</v>
      </c>
      <c r="S104" s="170">
        <v>2</v>
      </c>
      <c r="T104" s="283"/>
      <c r="U104" s="281"/>
      <c r="V104" s="177" t="s">
        <v>558</v>
      </c>
      <c r="W104" s="170" t="s">
        <v>74</v>
      </c>
      <c r="X104" s="170" t="s">
        <v>11</v>
      </c>
      <c r="Y104" s="178">
        <v>39.700000000000003</v>
      </c>
      <c r="Z104" s="170" t="s">
        <v>560</v>
      </c>
      <c r="AA104" s="170" t="s">
        <v>115</v>
      </c>
      <c r="AB104" s="170" t="s">
        <v>12</v>
      </c>
      <c r="AC104" s="170">
        <v>28.6</v>
      </c>
      <c r="AD104" s="177"/>
      <c r="AG104" s="178"/>
      <c r="AH104" s="252"/>
      <c r="AL104" s="177"/>
      <c r="AO104" s="178"/>
      <c r="AP104" s="177"/>
      <c r="AS104" s="178"/>
      <c r="AW104" s="178"/>
      <c r="BA104" s="179"/>
    </row>
    <row r="105" spans="1:53" s="170" customFormat="1" x14ac:dyDescent="0.15">
      <c r="A105" s="170">
        <v>2008</v>
      </c>
      <c r="B105" s="281"/>
      <c r="C105" s="395" t="s">
        <v>287</v>
      </c>
      <c r="D105" s="395"/>
      <c r="E105" s="170">
        <v>366</v>
      </c>
      <c r="G105" s="232">
        <v>6</v>
      </c>
      <c r="I105" s="170">
        <v>6</v>
      </c>
      <c r="J105" s="240">
        <v>12</v>
      </c>
      <c r="K105" s="213">
        <f t="shared" si="5"/>
        <v>50</v>
      </c>
      <c r="L105" s="213">
        <f t="shared" si="5"/>
        <v>0</v>
      </c>
      <c r="M105" s="213">
        <f t="shared" si="5"/>
        <v>50</v>
      </c>
      <c r="N105" s="234">
        <f t="shared" si="6"/>
        <v>100</v>
      </c>
      <c r="O105" s="212">
        <v>39.700000000000003</v>
      </c>
      <c r="P105" s="213"/>
      <c r="Q105" s="213">
        <v>28.6</v>
      </c>
      <c r="R105" s="214">
        <f t="shared" si="7"/>
        <v>68.300000000000011</v>
      </c>
      <c r="S105" s="170">
        <v>2</v>
      </c>
      <c r="T105" s="283"/>
      <c r="U105" s="281"/>
      <c r="V105" s="177" t="s">
        <v>558</v>
      </c>
      <c r="W105" s="170" t="s">
        <v>74</v>
      </c>
      <c r="X105" s="170" t="s">
        <v>11</v>
      </c>
      <c r="Y105" s="178">
        <v>39.700000000000003</v>
      </c>
      <c r="Z105" s="170" t="s">
        <v>560</v>
      </c>
      <c r="AA105" s="170" t="s">
        <v>115</v>
      </c>
      <c r="AB105" s="170" t="s">
        <v>12</v>
      </c>
      <c r="AC105" s="170">
        <v>28.6</v>
      </c>
      <c r="AD105" s="177"/>
      <c r="AG105" s="178"/>
      <c r="AH105" s="252"/>
      <c r="AL105" s="177"/>
      <c r="AO105" s="178"/>
      <c r="AP105" s="177"/>
      <c r="AS105" s="178"/>
      <c r="AW105" s="178"/>
      <c r="BA105" s="179"/>
    </row>
    <row r="106" spans="1:53" s="170" customFormat="1" x14ac:dyDescent="0.15">
      <c r="A106" s="170">
        <v>2009</v>
      </c>
      <c r="B106" s="281"/>
      <c r="C106" s="395" t="s">
        <v>287</v>
      </c>
      <c r="D106" s="395"/>
      <c r="E106" s="170">
        <v>31</v>
      </c>
      <c r="G106" s="232">
        <v>6</v>
      </c>
      <c r="I106" s="170">
        <v>6</v>
      </c>
      <c r="J106" s="240">
        <v>12</v>
      </c>
      <c r="K106" s="213">
        <f t="shared" si="5"/>
        <v>50</v>
      </c>
      <c r="L106" s="213">
        <f t="shared" si="5"/>
        <v>0</v>
      </c>
      <c r="M106" s="213">
        <f t="shared" si="5"/>
        <v>50</v>
      </c>
      <c r="N106" s="234">
        <f t="shared" si="6"/>
        <v>100</v>
      </c>
      <c r="O106" s="212">
        <v>39.700000000000003</v>
      </c>
      <c r="P106" s="213"/>
      <c r="Q106" s="213">
        <v>28.6</v>
      </c>
      <c r="R106" s="214">
        <f t="shared" si="7"/>
        <v>68.300000000000011</v>
      </c>
      <c r="S106" s="170">
        <v>2</v>
      </c>
      <c r="T106" s="283"/>
      <c r="U106" s="281"/>
      <c r="V106" s="177" t="s">
        <v>558</v>
      </c>
      <c r="W106" s="170" t="s">
        <v>74</v>
      </c>
      <c r="X106" s="170" t="s">
        <v>11</v>
      </c>
      <c r="Y106" s="178">
        <v>39.700000000000003</v>
      </c>
      <c r="Z106" s="170" t="s">
        <v>560</v>
      </c>
      <c r="AA106" s="170" t="s">
        <v>115</v>
      </c>
      <c r="AB106" s="170" t="s">
        <v>12</v>
      </c>
      <c r="AC106" s="170">
        <v>28.6</v>
      </c>
      <c r="AD106" s="177"/>
      <c r="AG106" s="178"/>
      <c r="AH106" s="252"/>
      <c r="AL106" s="177"/>
      <c r="AO106" s="178"/>
      <c r="AP106" s="177"/>
      <c r="AS106" s="178"/>
      <c r="AW106" s="178"/>
      <c r="BA106" s="179"/>
    </row>
    <row r="107" spans="1:53" s="28" customFormat="1" x14ac:dyDescent="0.15">
      <c r="A107" s="28">
        <v>2009</v>
      </c>
      <c r="B107" s="293">
        <v>39845</v>
      </c>
      <c r="C107" s="394" t="s">
        <v>1169</v>
      </c>
      <c r="D107" s="394"/>
      <c r="E107" s="28">
        <v>98</v>
      </c>
      <c r="F107" s="28">
        <v>2</v>
      </c>
      <c r="G107" s="65"/>
      <c r="I107" s="28">
        <v>8</v>
      </c>
      <c r="J107" s="72">
        <v>10</v>
      </c>
      <c r="K107" s="46">
        <f t="shared" si="5"/>
        <v>0</v>
      </c>
      <c r="L107" s="46">
        <f t="shared" si="5"/>
        <v>0</v>
      </c>
      <c r="M107" s="46">
        <f t="shared" si="5"/>
        <v>80</v>
      </c>
      <c r="N107" s="67">
        <f t="shared" si="6"/>
        <v>80</v>
      </c>
      <c r="O107" s="45"/>
      <c r="P107" s="46"/>
      <c r="Q107" s="46">
        <v>42.9</v>
      </c>
      <c r="R107" s="47">
        <f t="shared" si="7"/>
        <v>42.9</v>
      </c>
      <c r="S107" s="28">
        <v>5</v>
      </c>
      <c r="T107" s="284"/>
      <c r="U107" s="293">
        <v>39845</v>
      </c>
      <c r="V107" s="37" t="s">
        <v>560</v>
      </c>
      <c r="W107" s="28" t="s">
        <v>115</v>
      </c>
      <c r="X107" s="28" t="s">
        <v>12</v>
      </c>
      <c r="Y107" s="38">
        <v>28.6</v>
      </c>
      <c r="Z107" s="28" t="s">
        <v>561</v>
      </c>
      <c r="AA107" s="28" t="s">
        <v>113</v>
      </c>
      <c r="AB107" s="28" t="s">
        <v>12</v>
      </c>
      <c r="AC107" s="28">
        <v>14.3</v>
      </c>
      <c r="AD107" s="37"/>
      <c r="AG107" s="38"/>
      <c r="AH107" s="93"/>
      <c r="AL107" s="37"/>
      <c r="AO107" s="38"/>
      <c r="AP107" s="37"/>
      <c r="AS107" s="38"/>
      <c r="AW107" s="38"/>
      <c r="BA107" s="39"/>
    </row>
    <row r="108" spans="1:53" s="170" customFormat="1" x14ac:dyDescent="0.15">
      <c r="A108" s="170">
        <v>2009</v>
      </c>
      <c r="B108" s="281">
        <v>39943</v>
      </c>
      <c r="C108" s="395" t="s">
        <v>1170</v>
      </c>
      <c r="D108" s="395"/>
      <c r="E108" s="170">
        <f>365-E106-E107</f>
        <v>236</v>
      </c>
      <c r="F108" s="170">
        <v>1</v>
      </c>
      <c r="G108" s="232"/>
      <c r="I108" s="170">
        <v>10</v>
      </c>
      <c r="J108" s="240">
        <v>12</v>
      </c>
      <c r="K108" s="213">
        <f t="shared" si="5"/>
        <v>0</v>
      </c>
      <c r="L108" s="213">
        <f t="shared" si="5"/>
        <v>0</v>
      </c>
      <c r="M108" s="213">
        <f t="shared" si="5"/>
        <v>83.333333333333343</v>
      </c>
      <c r="N108" s="234">
        <f t="shared" si="6"/>
        <v>83.333333333333343</v>
      </c>
      <c r="O108" s="212"/>
      <c r="P108" s="213"/>
      <c r="Q108" s="213">
        <v>53.9</v>
      </c>
      <c r="R108" s="214">
        <f t="shared" si="7"/>
        <v>53.9</v>
      </c>
      <c r="S108" s="170">
        <v>2</v>
      </c>
      <c r="T108" s="283">
        <v>39928</v>
      </c>
      <c r="U108" s="281">
        <v>39943</v>
      </c>
      <c r="V108" s="177" t="s">
        <v>560</v>
      </c>
      <c r="W108" s="170" t="s">
        <v>115</v>
      </c>
      <c r="X108" s="170" t="s">
        <v>12</v>
      </c>
      <c r="Y108" s="178">
        <v>31.7</v>
      </c>
      <c r="Z108" s="170" t="s">
        <v>561</v>
      </c>
      <c r="AA108" s="170" t="s">
        <v>113</v>
      </c>
      <c r="AB108" s="170" t="s">
        <v>12</v>
      </c>
      <c r="AC108" s="170">
        <v>22.2</v>
      </c>
      <c r="AD108" s="177"/>
      <c r="AG108" s="178"/>
      <c r="AH108" s="252"/>
      <c r="AL108" s="177"/>
      <c r="AO108" s="178"/>
      <c r="AP108" s="177"/>
      <c r="AS108" s="178"/>
      <c r="AW108" s="178"/>
      <c r="BA108" s="179"/>
    </row>
    <row r="109" spans="1:53" s="170" customFormat="1" x14ac:dyDescent="0.15">
      <c r="A109" s="170">
        <v>2010</v>
      </c>
      <c r="B109" s="281"/>
      <c r="C109" s="395" t="s">
        <v>1170</v>
      </c>
      <c r="D109" s="395"/>
      <c r="E109" s="170">
        <v>244</v>
      </c>
      <c r="G109" s="232"/>
      <c r="I109" s="170">
        <v>10</v>
      </c>
      <c r="J109" s="240">
        <v>12</v>
      </c>
      <c r="K109" s="213">
        <f t="shared" si="5"/>
        <v>0</v>
      </c>
      <c r="L109" s="213">
        <f t="shared" si="5"/>
        <v>0</v>
      </c>
      <c r="M109" s="213">
        <f t="shared" si="5"/>
        <v>83.333333333333343</v>
      </c>
      <c r="N109" s="234">
        <f t="shared" si="6"/>
        <v>83.333333333333343</v>
      </c>
      <c r="O109" s="212"/>
      <c r="P109" s="213"/>
      <c r="Q109" s="213">
        <v>53.9</v>
      </c>
      <c r="R109" s="214">
        <f t="shared" si="7"/>
        <v>53.9</v>
      </c>
      <c r="S109" s="170">
        <v>2</v>
      </c>
      <c r="T109" s="283"/>
      <c r="U109" s="281"/>
      <c r="V109" s="177" t="s">
        <v>560</v>
      </c>
      <c r="W109" s="170" t="s">
        <v>115</v>
      </c>
      <c r="X109" s="170" t="s">
        <v>12</v>
      </c>
      <c r="Y109" s="178">
        <v>31.7</v>
      </c>
      <c r="Z109" s="170" t="s">
        <v>561</v>
      </c>
      <c r="AA109" s="170" t="s">
        <v>113</v>
      </c>
      <c r="AB109" s="170" t="s">
        <v>12</v>
      </c>
      <c r="AC109" s="170">
        <v>22.2</v>
      </c>
      <c r="AD109" s="177"/>
      <c r="AG109" s="178"/>
      <c r="AH109" s="252"/>
      <c r="AL109" s="177"/>
      <c r="AO109" s="178"/>
      <c r="AP109" s="177"/>
      <c r="AS109" s="178"/>
      <c r="AW109" s="178"/>
      <c r="BA109" s="179"/>
    </row>
    <row r="110" spans="1:53" s="170" customFormat="1" x14ac:dyDescent="0.15">
      <c r="A110" s="170">
        <v>2010</v>
      </c>
      <c r="B110" s="303">
        <v>40423</v>
      </c>
      <c r="C110" s="395" t="s">
        <v>1170</v>
      </c>
      <c r="D110" s="395"/>
      <c r="E110" s="170">
        <f>365-E109</f>
        <v>121</v>
      </c>
      <c r="F110" s="243">
        <v>0</v>
      </c>
      <c r="G110" s="232"/>
      <c r="I110" s="170">
        <v>10</v>
      </c>
      <c r="J110" s="240">
        <v>10</v>
      </c>
      <c r="K110" s="213">
        <f t="shared" si="5"/>
        <v>0</v>
      </c>
      <c r="L110" s="213">
        <f t="shared" si="5"/>
        <v>0</v>
      </c>
      <c r="M110" s="213">
        <f t="shared" si="5"/>
        <v>100</v>
      </c>
      <c r="N110" s="234">
        <f t="shared" si="6"/>
        <v>100</v>
      </c>
      <c r="O110" s="212"/>
      <c r="P110" s="213"/>
      <c r="Q110" s="213">
        <v>53.9</v>
      </c>
      <c r="R110" s="214">
        <f t="shared" si="7"/>
        <v>53.9</v>
      </c>
      <c r="S110" s="170">
        <v>2</v>
      </c>
      <c r="T110" s="283"/>
      <c r="U110" s="281"/>
      <c r="V110" s="177" t="s">
        <v>560</v>
      </c>
      <c r="W110" s="170" t="s">
        <v>115</v>
      </c>
      <c r="X110" s="170" t="s">
        <v>12</v>
      </c>
      <c r="Y110" s="178">
        <v>31.7</v>
      </c>
      <c r="Z110" s="170" t="s">
        <v>561</v>
      </c>
      <c r="AA110" s="170" t="s">
        <v>113</v>
      </c>
      <c r="AB110" s="170" t="s">
        <v>12</v>
      </c>
      <c r="AC110" s="170">
        <v>22.2</v>
      </c>
      <c r="AD110" s="177"/>
      <c r="AG110" s="178"/>
      <c r="AH110" s="252"/>
      <c r="AL110" s="177"/>
      <c r="AO110" s="178"/>
      <c r="AP110" s="177"/>
      <c r="AS110" s="178"/>
      <c r="AW110" s="178"/>
      <c r="BA110" s="179"/>
    </row>
    <row r="111" spans="1:53" s="170" customFormat="1" x14ac:dyDescent="0.15">
      <c r="A111" s="170">
        <v>2011</v>
      </c>
      <c r="B111" s="303"/>
      <c r="C111" s="395" t="s">
        <v>1170</v>
      </c>
      <c r="D111" s="395"/>
      <c r="E111" s="170">
        <v>364</v>
      </c>
      <c r="F111" s="243"/>
      <c r="G111" s="232"/>
      <c r="I111" s="170">
        <v>10</v>
      </c>
      <c r="J111" s="240">
        <v>10</v>
      </c>
      <c r="K111" s="213">
        <f t="shared" si="5"/>
        <v>0</v>
      </c>
      <c r="L111" s="213">
        <f t="shared" si="5"/>
        <v>0</v>
      </c>
      <c r="M111" s="213">
        <f t="shared" si="5"/>
        <v>100</v>
      </c>
      <c r="N111" s="234">
        <f t="shared" si="6"/>
        <v>100</v>
      </c>
      <c r="O111" s="212"/>
      <c r="P111" s="213"/>
      <c r="Q111" s="213">
        <v>53.9</v>
      </c>
      <c r="R111" s="214">
        <f t="shared" si="7"/>
        <v>53.9</v>
      </c>
      <c r="S111" s="170">
        <v>2</v>
      </c>
      <c r="T111" s="283"/>
      <c r="U111" s="281"/>
      <c r="V111" s="177" t="s">
        <v>560</v>
      </c>
      <c r="W111" s="170" t="s">
        <v>115</v>
      </c>
      <c r="X111" s="170" t="s">
        <v>12</v>
      </c>
      <c r="Y111" s="178">
        <v>31.7</v>
      </c>
      <c r="Z111" s="170" t="s">
        <v>561</v>
      </c>
      <c r="AA111" s="170" t="s">
        <v>113</v>
      </c>
      <c r="AB111" s="170" t="s">
        <v>12</v>
      </c>
      <c r="AC111" s="170">
        <v>22.2</v>
      </c>
      <c r="AD111" s="177"/>
      <c r="AG111" s="178"/>
      <c r="AH111" s="252"/>
      <c r="AL111" s="177"/>
      <c r="AO111" s="178"/>
      <c r="AP111" s="177"/>
      <c r="AS111" s="178"/>
      <c r="AW111" s="178"/>
      <c r="BA111" s="179"/>
    </row>
    <row r="112" spans="1:53" s="170" customFormat="1" x14ac:dyDescent="0.15">
      <c r="A112" s="170">
        <v>2011</v>
      </c>
      <c r="B112" s="303">
        <v>40908</v>
      </c>
      <c r="C112" s="395" t="s">
        <v>1170</v>
      </c>
      <c r="D112" s="395"/>
      <c r="E112" s="170">
        <f>365-E111</f>
        <v>1</v>
      </c>
      <c r="F112" s="243">
        <v>0</v>
      </c>
      <c r="G112" s="232"/>
      <c r="I112" s="170">
        <v>9</v>
      </c>
      <c r="J112" s="240">
        <v>9</v>
      </c>
      <c r="K112" s="213">
        <f t="shared" si="5"/>
        <v>0</v>
      </c>
      <c r="L112" s="213">
        <f t="shared" si="5"/>
        <v>0</v>
      </c>
      <c r="M112" s="213">
        <f t="shared" si="5"/>
        <v>100</v>
      </c>
      <c r="N112" s="234">
        <f t="shared" si="6"/>
        <v>100</v>
      </c>
      <c r="O112" s="212"/>
      <c r="P112" s="213"/>
      <c r="Q112" s="213">
        <v>53.9</v>
      </c>
      <c r="R112" s="214">
        <f t="shared" si="7"/>
        <v>53.9</v>
      </c>
      <c r="S112" s="170">
        <v>2</v>
      </c>
      <c r="T112" s="283"/>
      <c r="U112" s="281"/>
      <c r="V112" s="177" t="s">
        <v>560</v>
      </c>
      <c r="W112" s="170" t="s">
        <v>115</v>
      </c>
      <c r="X112" s="170" t="s">
        <v>12</v>
      </c>
      <c r="Y112" s="178">
        <v>31.7</v>
      </c>
      <c r="Z112" s="170" t="s">
        <v>561</v>
      </c>
      <c r="AA112" s="170" t="s">
        <v>113</v>
      </c>
      <c r="AB112" s="170" t="s">
        <v>12</v>
      </c>
      <c r="AC112" s="170">
        <v>22.2</v>
      </c>
      <c r="AD112" s="177"/>
      <c r="AG112" s="178"/>
      <c r="AH112" s="252"/>
      <c r="AL112" s="177"/>
      <c r="AO112" s="178"/>
      <c r="AP112" s="177"/>
      <c r="AS112" s="178"/>
      <c r="AW112" s="178"/>
      <c r="BA112" s="179"/>
    </row>
    <row r="113" spans="1:53" s="170" customFormat="1" x14ac:dyDescent="0.15">
      <c r="A113" s="170">
        <v>2012</v>
      </c>
      <c r="B113" s="281"/>
      <c r="C113" s="395" t="s">
        <v>1170</v>
      </c>
      <c r="D113" s="395"/>
      <c r="E113" s="170">
        <v>0</v>
      </c>
      <c r="G113" s="232"/>
      <c r="I113" s="170">
        <v>9</v>
      </c>
      <c r="J113" s="240">
        <v>9</v>
      </c>
      <c r="K113" s="213">
        <f t="shared" si="5"/>
        <v>0</v>
      </c>
      <c r="L113" s="213">
        <f t="shared" si="5"/>
        <v>0</v>
      </c>
      <c r="M113" s="213">
        <f t="shared" si="5"/>
        <v>100</v>
      </c>
      <c r="N113" s="234">
        <f t="shared" si="6"/>
        <v>100</v>
      </c>
      <c r="O113" s="212"/>
      <c r="P113" s="213"/>
      <c r="Q113" s="213">
        <v>53.9</v>
      </c>
      <c r="R113" s="214">
        <f t="shared" si="7"/>
        <v>53.9</v>
      </c>
      <c r="S113" s="170">
        <v>2</v>
      </c>
      <c r="T113" s="283"/>
      <c r="U113" s="281"/>
      <c r="V113" s="177" t="s">
        <v>560</v>
      </c>
      <c r="W113" s="170" t="s">
        <v>115</v>
      </c>
      <c r="X113" s="170" t="s">
        <v>12</v>
      </c>
      <c r="Y113" s="178">
        <v>31.7</v>
      </c>
      <c r="Z113" s="170" t="s">
        <v>561</v>
      </c>
      <c r="AA113" s="170" t="s">
        <v>113</v>
      </c>
      <c r="AB113" s="170" t="s">
        <v>12</v>
      </c>
      <c r="AC113" s="170">
        <v>22.2</v>
      </c>
      <c r="AD113" s="177"/>
      <c r="AG113" s="178"/>
      <c r="AH113" s="252"/>
      <c r="AL113" s="177"/>
      <c r="AO113" s="178"/>
      <c r="AP113" s="177"/>
      <c r="AS113" s="178"/>
      <c r="AW113" s="178"/>
      <c r="BA113" s="179"/>
    </row>
    <row r="114" spans="1:53" s="170" customFormat="1" x14ac:dyDescent="0.15">
      <c r="A114" s="170">
        <v>2012</v>
      </c>
      <c r="B114" s="281"/>
      <c r="C114" s="395" t="s">
        <v>1170</v>
      </c>
      <c r="D114" s="395"/>
      <c r="E114" s="170">
        <v>366</v>
      </c>
      <c r="G114" s="232"/>
      <c r="I114" s="170">
        <v>9</v>
      </c>
      <c r="J114" s="240">
        <v>9</v>
      </c>
      <c r="K114" s="213">
        <f t="shared" si="5"/>
        <v>0</v>
      </c>
      <c r="L114" s="213">
        <f t="shared" si="5"/>
        <v>0</v>
      </c>
      <c r="M114" s="213">
        <f t="shared" si="5"/>
        <v>100</v>
      </c>
      <c r="N114" s="234">
        <f t="shared" si="6"/>
        <v>100</v>
      </c>
      <c r="O114" s="212"/>
      <c r="P114" s="213"/>
      <c r="Q114" s="213">
        <v>53.9</v>
      </c>
      <c r="R114" s="214">
        <f t="shared" si="7"/>
        <v>53.9</v>
      </c>
      <c r="S114" s="170">
        <v>2</v>
      </c>
      <c r="T114" s="283"/>
      <c r="U114" s="281"/>
      <c r="V114" s="177" t="s">
        <v>560</v>
      </c>
      <c r="W114" s="170" t="s">
        <v>115</v>
      </c>
      <c r="X114" s="170" t="s">
        <v>12</v>
      </c>
      <c r="Y114" s="178">
        <v>31.7</v>
      </c>
      <c r="Z114" s="170" t="s">
        <v>561</v>
      </c>
      <c r="AA114" s="170" t="s">
        <v>113</v>
      </c>
      <c r="AB114" s="170" t="s">
        <v>12</v>
      </c>
      <c r="AC114" s="170">
        <v>22.2</v>
      </c>
      <c r="AD114" s="177"/>
      <c r="AG114" s="178"/>
      <c r="AH114" s="252"/>
      <c r="AL114" s="177"/>
      <c r="AO114" s="178"/>
      <c r="AP114" s="177"/>
      <c r="AS114" s="178"/>
      <c r="AW114" s="178"/>
      <c r="BA114" s="179"/>
    </row>
    <row r="115" spans="1:53" s="170" customFormat="1" x14ac:dyDescent="0.15">
      <c r="A115" s="170">
        <v>2013</v>
      </c>
      <c r="B115" s="281"/>
      <c r="C115" s="395" t="s">
        <v>1170</v>
      </c>
      <c r="D115" s="395"/>
      <c r="E115" s="170">
        <v>142</v>
      </c>
      <c r="G115" s="232"/>
      <c r="I115" s="170">
        <v>9</v>
      </c>
      <c r="J115" s="240">
        <v>9</v>
      </c>
      <c r="K115" s="213">
        <f t="shared" si="5"/>
        <v>0</v>
      </c>
      <c r="L115" s="213">
        <f t="shared" si="5"/>
        <v>0</v>
      </c>
      <c r="M115" s="213">
        <f t="shared" si="5"/>
        <v>100</v>
      </c>
      <c r="N115" s="234">
        <f t="shared" si="6"/>
        <v>100</v>
      </c>
      <c r="O115" s="212"/>
      <c r="P115" s="213"/>
      <c r="Q115" s="213">
        <v>53.9</v>
      </c>
      <c r="R115" s="214">
        <f>O115+P115+Q115</f>
        <v>53.9</v>
      </c>
      <c r="S115" s="170">
        <v>2</v>
      </c>
      <c r="T115" s="283"/>
      <c r="U115" s="281"/>
      <c r="V115" s="177" t="s">
        <v>560</v>
      </c>
      <c r="W115" s="170" t="s">
        <v>297</v>
      </c>
      <c r="X115" s="170" t="s">
        <v>12</v>
      </c>
      <c r="Y115" s="178">
        <v>31.7</v>
      </c>
      <c r="Z115" s="170" t="s">
        <v>561</v>
      </c>
      <c r="AA115" s="170" t="s">
        <v>113</v>
      </c>
      <c r="AB115" s="170" t="s">
        <v>12</v>
      </c>
      <c r="AC115" s="170">
        <v>22.2</v>
      </c>
      <c r="AD115" s="177"/>
      <c r="AG115" s="178"/>
      <c r="AH115" s="252"/>
      <c r="AL115" s="177"/>
      <c r="AO115" s="178"/>
      <c r="AP115" s="177"/>
      <c r="AS115" s="178"/>
      <c r="AW115" s="178"/>
      <c r="BA115" s="179"/>
    </row>
    <row r="116" spans="1:53" s="28" customFormat="1" x14ac:dyDescent="0.15">
      <c r="A116" s="28">
        <v>2013</v>
      </c>
      <c r="B116" s="293">
        <v>41417</v>
      </c>
      <c r="C116" s="394" t="s">
        <v>1240</v>
      </c>
      <c r="D116" s="394"/>
      <c r="E116" s="28">
        <f>365-E115</f>
        <v>223</v>
      </c>
      <c r="F116" s="28">
        <v>1</v>
      </c>
      <c r="G116" s="65">
        <v>5</v>
      </c>
      <c r="H116" s="28">
        <v>4</v>
      </c>
      <c r="J116" s="72">
        <v>9</v>
      </c>
      <c r="K116" s="46">
        <f t="shared" ref="K116:M118" si="8">G116/$J116*100</f>
        <v>55.555555555555557</v>
      </c>
      <c r="L116" s="46">
        <f t="shared" si="8"/>
        <v>44.444444444444443</v>
      </c>
      <c r="M116" s="46">
        <f t="shared" si="8"/>
        <v>0</v>
      </c>
      <c r="N116" s="67">
        <f>K116+L116+M116</f>
        <v>100</v>
      </c>
      <c r="O116" s="45">
        <v>30.2</v>
      </c>
      <c r="P116" s="46">
        <v>30.2</v>
      </c>
      <c r="Q116" s="46"/>
      <c r="R116" s="47">
        <f>O116+P116+Q116</f>
        <v>60.4</v>
      </c>
      <c r="S116" s="28">
        <v>2</v>
      </c>
      <c r="T116" s="284">
        <v>41391</v>
      </c>
      <c r="U116" s="293">
        <v>41417</v>
      </c>
      <c r="V116" s="37" t="s">
        <v>476</v>
      </c>
      <c r="W116" s="28" t="s">
        <v>869</v>
      </c>
      <c r="X116" s="28" t="s">
        <v>18</v>
      </c>
      <c r="Y116" s="38">
        <v>30.2</v>
      </c>
      <c r="Z116" s="28" t="s">
        <v>558</v>
      </c>
      <c r="AA116" s="28" t="s">
        <v>74</v>
      </c>
      <c r="AB116" s="28" t="s">
        <v>11</v>
      </c>
      <c r="AC116" s="28">
        <v>30.2</v>
      </c>
      <c r="AD116" s="37"/>
      <c r="AG116" s="38"/>
      <c r="AH116" s="93"/>
      <c r="AL116" s="37"/>
      <c r="AO116" s="38"/>
      <c r="AP116" s="37"/>
      <c r="AS116" s="38"/>
      <c r="AW116" s="38"/>
      <c r="BA116" s="39"/>
    </row>
    <row r="117" spans="1:53" s="28" customFormat="1" x14ac:dyDescent="0.15">
      <c r="A117" s="28">
        <v>2014</v>
      </c>
      <c r="B117" s="301"/>
      <c r="C117" s="394" t="s">
        <v>1240</v>
      </c>
      <c r="D117" s="394"/>
      <c r="E117" s="28">
        <v>364</v>
      </c>
      <c r="F117" s="83"/>
      <c r="G117" s="65">
        <v>5</v>
      </c>
      <c r="H117" s="28">
        <v>4</v>
      </c>
      <c r="J117" s="72">
        <v>9</v>
      </c>
      <c r="K117" s="46">
        <f t="shared" si="8"/>
        <v>55.555555555555557</v>
      </c>
      <c r="L117" s="46">
        <f t="shared" si="8"/>
        <v>44.444444444444443</v>
      </c>
      <c r="M117" s="46">
        <f t="shared" si="8"/>
        <v>0</v>
      </c>
      <c r="N117" s="67">
        <f>K117+L117+M117</f>
        <v>100</v>
      </c>
      <c r="O117" s="45">
        <v>30.2</v>
      </c>
      <c r="P117" s="46">
        <v>30.2</v>
      </c>
      <c r="Q117" s="46"/>
      <c r="R117" s="47">
        <f>O117+P117+Q117</f>
        <v>60.4</v>
      </c>
      <c r="S117" s="28">
        <v>2</v>
      </c>
      <c r="T117" s="284"/>
      <c r="U117" s="293"/>
      <c r="V117" s="37" t="s">
        <v>476</v>
      </c>
      <c r="W117" s="28" t="s">
        <v>869</v>
      </c>
      <c r="X117" s="28" t="s">
        <v>18</v>
      </c>
      <c r="Y117" s="38">
        <v>30.2</v>
      </c>
      <c r="Z117" s="28" t="s">
        <v>558</v>
      </c>
      <c r="AA117" s="28" t="s">
        <v>74</v>
      </c>
      <c r="AB117" s="28" t="s">
        <v>11</v>
      </c>
      <c r="AC117" s="28">
        <v>30.2</v>
      </c>
      <c r="AD117" s="37"/>
      <c r="AG117" s="38"/>
      <c r="AH117" s="93"/>
      <c r="AL117" s="37"/>
      <c r="AO117" s="38"/>
      <c r="AP117" s="37"/>
      <c r="AS117" s="38"/>
      <c r="AW117" s="38"/>
      <c r="BA117" s="39"/>
    </row>
    <row r="118" spans="1:53" s="28" customFormat="1" x14ac:dyDescent="0.15">
      <c r="A118" s="28">
        <v>2014</v>
      </c>
      <c r="B118" s="301">
        <v>42004</v>
      </c>
      <c r="C118" s="394" t="s">
        <v>1240</v>
      </c>
      <c r="D118" s="394"/>
      <c r="E118" s="28">
        <v>1</v>
      </c>
      <c r="F118" s="83">
        <v>0</v>
      </c>
      <c r="G118" s="65">
        <v>5</v>
      </c>
      <c r="H118" s="28">
        <v>5</v>
      </c>
      <c r="J118" s="72">
        <v>10</v>
      </c>
      <c r="K118" s="46">
        <f t="shared" si="8"/>
        <v>50</v>
      </c>
      <c r="L118" s="46">
        <f t="shared" si="8"/>
        <v>50</v>
      </c>
      <c r="M118" s="46">
        <f t="shared" si="8"/>
        <v>0</v>
      </c>
      <c r="N118" s="67">
        <f>K118+L118+M118</f>
        <v>100</v>
      </c>
      <c r="O118" s="45">
        <v>30.2</v>
      </c>
      <c r="P118" s="46">
        <v>30.2</v>
      </c>
      <c r="Q118" s="46"/>
      <c r="R118" s="47">
        <f>O118+P118+Q118</f>
        <v>60.4</v>
      </c>
      <c r="S118" s="28">
        <v>2</v>
      </c>
      <c r="T118" s="284"/>
      <c r="U118" s="293"/>
      <c r="V118" s="37" t="s">
        <v>476</v>
      </c>
      <c r="W118" s="28" t="s">
        <v>869</v>
      </c>
      <c r="X118" s="28" t="s">
        <v>18</v>
      </c>
      <c r="Y118" s="38">
        <v>30.2</v>
      </c>
      <c r="Z118" s="28" t="s">
        <v>558</v>
      </c>
      <c r="AA118" s="28" t="s">
        <v>74</v>
      </c>
      <c r="AB118" s="28" t="s">
        <v>11</v>
      </c>
      <c r="AC118" s="28">
        <v>30.2</v>
      </c>
      <c r="AD118" s="37"/>
      <c r="AG118" s="38"/>
      <c r="AH118" s="93"/>
      <c r="AL118" s="37"/>
      <c r="AO118" s="38"/>
      <c r="AP118" s="37"/>
      <c r="AS118" s="38"/>
      <c r="AW118" s="38"/>
      <c r="BA118" s="39"/>
    </row>
    <row r="119" spans="1:53" s="28" customFormat="1" x14ac:dyDescent="0.15">
      <c r="A119" s="28">
        <v>2015</v>
      </c>
      <c r="B119" s="301"/>
      <c r="C119" s="394" t="s">
        <v>1240</v>
      </c>
      <c r="D119" s="394"/>
      <c r="E119" s="28">
        <v>0</v>
      </c>
      <c r="F119" s="83"/>
      <c r="G119" s="65">
        <v>5</v>
      </c>
      <c r="H119" s="28">
        <v>5</v>
      </c>
      <c r="J119" s="72">
        <v>10</v>
      </c>
      <c r="K119" s="46">
        <f t="shared" ref="K119:K121" si="9">G119/$J119*100</f>
        <v>50</v>
      </c>
      <c r="L119" s="46">
        <f t="shared" ref="L119:L121" si="10">H119/$J119*100</f>
        <v>50</v>
      </c>
      <c r="M119" s="46">
        <f t="shared" ref="M119:M121" si="11">I119/$J119*100</f>
        <v>0</v>
      </c>
      <c r="N119" s="67">
        <f t="shared" ref="N119:N121" si="12">K119+L119+M119</f>
        <v>100</v>
      </c>
      <c r="O119" s="45">
        <v>30.2</v>
      </c>
      <c r="P119" s="46">
        <v>30.2</v>
      </c>
      <c r="Q119" s="46"/>
      <c r="R119" s="47">
        <f t="shared" ref="R119:R120" si="13">O119+P119+Q119</f>
        <v>60.4</v>
      </c>
      <c r="S119" s="28">
        <v>2</v>
      </c>
      <c r="T119" s="284"/>
      <c r="U119" s="293"/>
      <c r="V119" s="37" t="s">
        <v>476</v>
      </c>
      <c r="W119" s="28" t="s">
        <v>869</v>
      </c>
      <c r="X119" s="28" t="s">
        <v>18</v>
      </c>
      <c r="Y119" s="38">
        <v>30.2</v>
      </c>
      <c r="Z119" s="28" t="s">
        <v>558</v>
      </c>
      <c r="AA119" s="28" t="s">
        <v>74</v>
      </c>
      <c r="AB119" s="28" t="s">
        <v>11</v>
      </c>
      <c r="AC119" s="28">
        <v>30.2</v>
      </c>
      <c r="AD119" s="37"/>
      <c r="AG119" s="38"/>
      <c r="AH119" s="93"/>
      <c r="AL119" s="37"/>
      <c r="AO119" s="38"/>
      <c r="AP119" s="37"/>
      <c r="AS119" s="38"/>
      <c r="AW119" s="38"/>
      <c r="BA119" s="39"/>
    </row>
    <row r="120" spans="1:53" s="28" customFormat="1" x14ac:dyDescent="0.15">
      <c r="A120" s="28">
        <v>2015</v>
      </c>
      <c r="B120" s="301"/>
      <c r="C120" s="394" t="s">
        <v>1240</v>
      </c>
      <c r="D120" s="394"/>
      <c r="E120" s="28">
        <v>365</v>
      </c>
      <c r="F120" s="83"/>
      <c r="G120" s="65">
        <v>5</v>
      </c>
      <c r="H120" s="28">
        <v>5</v>
      </c>
      <c r="J120" s="72">
        <v>10</v>
      </c>
      <c r="K120" s="46">
        <f t="shared" si="9"/>
        <v>50</v>
      </c>
      <c r="L120" s="46">
        <f t="shared" si="10"/>
        <v>50</v>
      </c>
      <c r="M120" s="46">
        <f t="shared" si="11"/>
        <v>0</v>
      </c>
      <c r="N120" s="67">
        <f t="shared" si="12"/>
        <v>100</v>
      </c>
      <c r="O120" s="45">
        <v>30.2</v>
      </c>
      <c r="P120" s="46">
        <v>30.2</v>
      </c>
      <c r="Q120" s="46"/>
      <c r="R120" s="47">
        <f t="shared" si="13"/>
        <v>60.4</v>
      </c>
      <c r="S120" s="28">
        <v>2</v>
      </c>
      <c r="T120" s="284"/>
      <c r="U120" s="293"/>
      <c r="V120" s="37" t="s">
        <v>476</v>
      </c>
      <c r="W120" s="28" t="s">
        <v>869</v>
      </c>
      <c r="X120" s="28" t="s">
        <v>18</v>
      </c>
      <c r="Y120" s="38">
        <v>30.2</v>
      </c>
      <c r="Z120" s="28" t="s">
        <v>558</v>
      </c>
      <c r="AA120" s="28" t="s">
        <v>74</v>
      </c>
      <c r="AB120" s="28" t="s">
        <v>11</v>
      </c>
      <c r="AC120" s="28">
        <v>30.2</v>
      </c>
      <c r="AD120" s="37"/>
      <c r="AG120" s="38"/>
      <c r="AH120" s="93"/>
      <c r="AL120" s="37"/>
      <c r="AO120" s="38"/>
      <c r="AP120" s="37"/>
      <c r="AS120" s="38"/>
      <c r="AW120" s="38"/>
      <c r="BA120" s="39"/>
    </row>
    <row r="121" spans="1:53" s="28" customFormat="1" x14ac:dyDescent="0.15">
      <c r="A121" s="28">
        <v>2016</v>
      </c>
      <c r="B121" s="301"/>
      <c r="C121" s="394" t="s">
        <v>1240</v>
      </c>
      <c r="D121" s="394"/>
      <c r="E121" s="28">
        <v>97</v>
      </c>
      <c r="F121" s="83"/>
      <c r="G121" s="65">
        <v>5</v>
      </c>
      <c r="H121" s="28">
        <v>5</v>
      </c>
      <c r="J121" s="72">
        <v>10</v>
      </c>
      <c r="K121" s="46">
        <f t="shared" si="9"/>
        <v>50</v>
      </c>
      <c r="L121" s="46">
        <f t="shared" si="10"/>
        <v>50</v>
      </c>
      <c r="M121" s="46">
        <f t="shared" si="11"/>
        <v>0</v>
      </c>
      <c r="N121" s="67">
        <f t="shared" si="12"/>
        <v>100</v>
      </c>
      <c r="O121" s="45">
        <v>30.2</v>
      </c>
      <c r="P121" s="46">
        <v>30.2</v>
      </c>
      <c r="Q121" s="46"/>
      <c r="R121" s="47">
        <f t="shared" ref="R121" si="14">O121+P121+Q121</f>
        <v>60.4</v>
      </c>
      <c r="S121" s="36">
        <v>2</v>
      </c>
      <c r="T121" s="284"/>
      <c r="U121" s="293"/>
      <c r="V121" s="37" t="s">
        <v>476</v>
      </c>
      <c r="W121" s="28" t="s">
        <v>869</v>
      </c>
      <c r="X121" s="28" t="s">
        <v>18</v>
      </c>
      <c r="Y121" s="38">
        <v>30.2</v>
      </c>
      <c r="Z121" s="28" t="s">
        <v>558</v>
      </c>
      <c r="AA121" s="28" t="s">
        <v>74</v>
      </c>
      <c r="AB121" s="28" t="s">
        <v>11</v>
      </c>
      <c r="AC121" s="28">
        <v>30.2</v>
      </c>
      <c r="AD121" s="37"/>
      <c r="AG121" s="38"/>
      <c r="AH121" s="93"/>
      <c r="AK121" s="38"/>
      <c r="AO121" s="38"/>
      <c r="AS121" s="38"/>
      <c r="AW121" s="38"/>
      <c r="BA121" s="39"/>
    </row>
    <row r="122" spans="1:53" s="170" customFormat="1" x14ac:dyDescent="0.15">
      <c r="A122" s="170">
        <v>2016</v>
      </c>
      <c r="B122" s="281">
        <v>42467</v>
      </c>
      <c r="C122" s="395" t="s">
        <v>1339</v>
      </c>
      <c r="D122" s="395"/>
      <c r="E122" s="170">
        <v>269</v>
      </c>
      <c r="F122" s="179">
        <v>1</v>
      </c>
      <c r="G122" s="170">
        <v>5</v>
      </c>
      <c r="H122" s="170">
        <v>5</v>
      </c>
      <c r="J122" s="240">
        <v>10</v>
      </c>
      <c r="K122" s="213">
        <f t="shared" ref="K122:K125" si="15">G122/$J122*100</f>
        <v>50</v>
      </c>
      <c r="L122" s="213">
        <f t="shared" ref="L122:L125" si="16">H122/$J122*100</f>
        <v>50</v>
      </c>
      <c r="M122" s="213">
        <f t="shared" ref="M122:M124" si="17">I122/$J122*100</f>
        <v>0</v>
      </c>
      <c r="N122" s="234">
        <f t="shared" ref="N122:N124" si="18">K122+L122+M122</f>
        <v>100</v>
      </c>
      <c r="O122" s="212">
        <v>33.299999999999997</v>
      </c>
      <c r="P122" s="213">
        <v>12.7</v>
      </c>
      <c r="Q122" s="213"/>
      <c r="R122" s="214">
        <f t="shared" ref="R122:R125" si="19">O122+P122+Q122</f>
        <v>46</v>
      </c>
      <c r="S122" s="170">
        <v>6</v>
      </c>
      <c r="T122" s="283"/>
      <c r="U122" s="281">
        <v>42467</v>
      </c>
      <c r="V122" s="177" t="s">
        <v>476</v>
      </c>
      <c r="W122" s="170" t="s">
        <v>869</v>
      </c>
      <c r="X122" s="170" t="s">
        <v>18</v>
      </c>
      <c r="Y122" s="178">
        <v>30.2</v>
      </c>
      <c r="Z122" s="170" t="s">
        <v>558</v>
      </c>
      <c r="AA122" s="170" t="s">
        <v>74</v>
      </c>
      <c r="AB122" s="170" t="s">
        <v>11</v>
      </c>
      <c r="AC122" s="170">
        <v>30.2</v>
      </c>
      <c r="AD122" s="177"/>
      <c r="AG122" s="178"/>
      <c r="AH122" s="252"/>
      <c r="AK122" s="178"/>
      <c r="AO122" s="178"/>
      <c r="AS122" s="178"/>
      <c r="AW122" s="178"/>
      <c r="BA122" s="179"/>
    </row>
    <row r="123" spans="1:53" s="170" customFormat="1" x14ac:dyDescent="0.15">
      <c r="A123" s="170">
        <v>2017</v>
      </c>
      <c r="B123" s="281"/>
      <c r="C123" s="395" t="s">
        <v>1339</v>
      </c>
      <c r="D123" s="395"/>
      <c r="E123" s="170">
        <v>10</v>
      </c>
      <c r="F123" s="179"/>
      <c r="G123" s="170">
        <v>5</v>
      </c>
      <c r="H123" s="170">
        <v>5</v>
      </c>
      <c r="J123" s="240">
        <v>10</v>
      </c>
      <c r="K123" s="213">
        <f t="shared" si="15"/>
        <v>50</v>
      </c>
      <c r="L123" s="213">
        <f t="shared" si="16"/>
        <v>50</v>
      </c>
      <c r="M123" s="213">
        <f t="shared" si="17"/>
        <v>0</v>
      </c>
      <c r="N123" s="234">
        <f t="shared" si="18"/>
        <v>100</v>
      </c>
      <c r="O123" s="212">
        <v>33.299999999999997</v>
      </c>
      <c r="P123" s="213">
        <v>12.7</v>
      </c>
      <c r="Q123" s="213"/>
      <c r="R123" s="214">
        <f t="shared" si="19"/>
        <v>46</v>
      </c>
      <c r="S123" s="170">
        <v>6</v>
      </c>
      <c r="T123" s="283"/>
      <c r="U123" s="281"/>
      <c r="V123" s="177" t="s">
        <v>476</v>
      </c>
      <c r="W123" s="170" t="s">
        <v>869</v>
      </c>
      <c r="X123" s="170" t="s">
        <v>18</v>
      </c>
      <c r="Y123" s="178">
        <v>30.2</v>
      </c>
      <c r="Z123" s="170" t="s">
        <v>558</v>
      </c>
      <c r="AA123" s="170" t="s">
        <v>74</v>
      </c>
      <c r="AB123" s="170" t="s">
        <v>11</v>
      </c>
      <c r="AC123" s="170">
        <v>30.2</v>
      </c>
      <c r="AD123" s="177"/>
      <c r="AG123" s="178"/>
      <c r="AH123" s="252"/>
      <c r="AK123" s="178"/>
      <c r="AO123" s="178"/>
      <c r="AS123" s="178"/>
      <c r="AW123" s="178"/>
      <c r="BA123" s="179"/>
    </row>
    <row r="124" spans="1:53" s="28" customFormat="1" x14ac:dyDescent="0.15">
      <c r="A124" s="28">
        <v>2017</v>
      </c>
      <c r="B124" s="293">
        <v>42746</v>
      </c>
      <c r="C124" s="394" t="s">
        <v>1445</v>
      </c>
      <c r="D124" s="394"/>
      <c r="E124" s="28">
        <v>323</v>
      </c>
      <c r="F124" s="39">
        <v>1</v>
      </c>
      <c r="G124" s="28">
        <v>11</v>
      </c>
      <c r="J124" s="72">
        <v>11</v>
      </c>
      <c r="K124" s="46">
        <f t="shared" si="15"/>
        <v>100</v>
      </c>
      <c r="L124" s="46">
        <f t="shared" si="16"/>
        <v>0</v>
      </c>
      <c r="M124" s="46">
        <f t="shared" si="17"/>
        <v>0</v>
      </c>
      <c r="N124" s="67">
        <f t="shared" si="18"/>
        <v>100</v>
      </c>
      <c r="O124" s="45">
        <v>50.7</v>
      </c>
      <c r="P124" s="46"/>
      <c r="Q124" s="46"/>
      <c r="R124" s="47">
        <f t="shared" si="19"/>
        <v>50.7</v>
      </c>
      <c r="S124" s="28">
        <v>3</v>
      </c>
      <c r="T124" s="284">
        <v>42672</v>
      </c>
      <c r="U124" s="293">
        <v>42746</v>
      </c>
      <c r="V124" s="37" t="s">
        <v>558</v>
      </c>
      <c r="W124" s="28" t="s">
        <v>74</v>
      </c>
      <c r="X124" s="28" t="s">
        <v>11</v>
      </c>
      <c r="Y124" s="38">
        <v>33.299999999999997</v>
      </c>
      <c r="Z124" s="28" t="s">
        <v>404</v>
      </c>
      <c r="AA124" s="28" t="s">
        <v>75</v>
      </c>
      <c r="AB124" s="28" t="s">
        <v>11</v>
      </c>
      <c r="AC124" s="28">
        <v>11.1</v>
      </c>
      <c r="AD124" s="37" t="s">
        <v>1371</v>
      </c>
      <c r="AE124" s="28" t="s">
        <v>87</v>
      </c>
      <c r="AF124" s="28" t="s">
        <v>11</v>
      </c>
      <c r="AG124" s="38">
        <v>6.3</v>
      </c>
      <c r="AH124" s="93"/>
      <c r="AK124" s="38"/>
      <c r="AO124" s="38"/>
      <c r="AS124" s="38"/>
      <c r="AW124" s="38"/>
      <c r="BA124" s="39"/>
    </row>
    <row r="125" spans="1:53" s="170" customFormat="1" x14ac:dyDescent="0.15">
      <c r="A125" s="170">
        <v>2017</v>
      </c>
      <c r="B125" s="281">
        <v>43069</v>
      </c>
      <c r="C125" s="395" t="s">
        <v>1372</v>
      </c>
      <c r="D125" s="395"/>
      <c r="E125" s="170">
        <v>32</v>
      </c>
      <c r="F125" s="179">
        <v>1</v>
      </c>
      <c r="G125" s="170">
        <v>5</v>
      </c>
      <c r="H125" s="170">
        <v>3</v>
      </c>
      <c r="I125" s="170">
        <v>3</v>
      </c>
      <c r="J125" s="240">
        <v>11</v>
      </c>
      <c r="K125" s="213">
        <f t="shared" si="15"/>
        <v>45.454545454545453</v>
      </c>
      <c r="L125" s="213">
        <f t="shared" si="16"/>
        <v>27.27272727272727</v>
      </c>
      <c r="M125" s="213">
        <f t="shared" ref="M125" si="20">I125/$J125*100</f>
        <v>27.27272727272727</v>
      </c>
      <c r="N125" s="234">
        <f t="shared" ref="N125" si="21">K125+L125+M125</f>
        <v>99.999999999999986</v>
      </c>
      <c r="O125" s="212">
        <v>25.4</v>
      </c>
      <c r="P125" s="213">
        <v>12.7</v>
      </c>
      <c r="Q125" s="213">
        <v>17.5</v>
      </c>
      <c r="R125" s="214">
        <f t="shared" si="19"/>
        <v>55.599999999999994</v>
      </c>
      <c r="S125" s="170">
        <v>2</v>
      </c>
      <c r="T125" s="283">
        <v>43036</v>
      </c>
      <c r="U125" s="281">
        <v>43069</v>
      </c>
      <c r="V125" s="177" t="s">
        <v>558</v>
      </c>
      <c r="W125" s="170" t="s">
        <v>74</v>
      </c>
      <c r="X125" s="170" t="s">
        <v>11</v>
      </c>
      <c r="Y125" s="178">
        <v>25.4</v>
      </c>
      <c r="Z125" s="170" t="s">
        <v>561</v>
      </c>
      <c r="AA125" s="170" t="s">
        <v>113</v>
      </c>
      <c r="AB125" s="170" t="s">
        <v>12</v>
      </c>
      <c r="AC125" s="170">
        <v>17.5</v>
      </c>
      <c r="AD125" s="177" t="s">
        <v>476</v>
      </c>
      <c r="AE125" s="170" t="s">
        <v>869</v>
      </c>
      <c r="AF125" s="170" t="s">
        <v>18</v>
      </c>
      <c r="AG125" s="178">
        <v>12.7</v>
      </c>
      <c r="AH125" s="252"/>
      <c r="AK125" s="178"/>
      <c r="AO125" s="178"/>
      <c r="AS125" s="178"/>
      <c r="AW125" s="178"/>
      <c r="BA125" s="179"/>
    </row>
    <row r="126" spans="1:53" s="170" customFormat="1" x14ac:dyDescent="0.15">
      <c r="A126" s="170">
        <v>2018</v>
      </c>
      <c r="B126" s="281"/>
      <c r="C126" s="395" t="s">
        <v>1372</v>
      </c>
      <c r="D126" s="395"/>
      <c r="E126" s="170">
        <v>0</v>
      </c>
      <c r="F126" s="179"/>
      <c r="G126" s="170">
        <v>5</v>
      </c>
      <c r="H126" s="170">
        <v>3</v>
      </c>
      <c r="I126" s="170">
        <v>3</v>
      </c>
      <c r="J126" s="240">
        <v>11</v>
      </c>
      <c r="K126" s="213">
        <f t="shared" ref="K126:K127" si="22">G126/$J126*100</f>
        <v>45.454545454545453</v>
      </c>
      <c r="L126" s="213">
        <f t="shared" ref="L126:L127" si="23">H126/$J126*100</f>
        <v>27.27272727272727</v>
      </c>
      <c r="M126" s="213">
        <f t="shared" ref="M126:M127" si="24">I126/$J126*100</f>
        <v>27.27272727272727</v>
      </c>
      <c r="N126" s="234">
        <f t="shared" ref="N126:N127" si="25">K126+L126+M126</f>
        <v>99.999999999999986</v>
      </c>
      <c r="O126" s="212">
        <v>25.4</v>
      </c>
      <c r="P126" s="213">
        <v>12.7</v>
      </c>
      <c r="Q126" s="213">
        <v>17.5</v>
      </c>
      <c r="R126" s="214">
        <f t="shared" ref="R126:R133" si="26">O126+P126+Q126</f>
        <v>55.599999999999994</v>
      </c>
      <c r="S126" s="170">
        <v>2</v>
      </c>
      <c r="T126" s="283"/>
      <c r="U126" s="281"/>
      <c r="V126" s="177" t="s">
        <v>558</v>
      </c>
      <c r="W126" s="170" t="s">
        <v>74</v>
      </c>
      <c r="X126" s="170" t="s">
        <v>11</v>
      </c>
      <c r="Y126" s="178">
        <v>25.4</v>
      </c>
      <c r="Z126" s="170" t="s">
        <v>561</v>
      </c>
      <c r="AA126" s="170" t="s">
        <v>113</v>
      </c>
      <c r="AB126" s="170" t="s">
        <v>12</v>
      </c>
      <c r="AC126" s="170">
        <v>17.5</v>
      </c>
      <c r="AD126" s="177" t="s">
        <v>476</v>
      </c>
      <c r="AE126" s="170" t="s">
        <v>869</v>
      </c>
      <c r="AF126" s="170" t="s">
        <v>18</v>
      </c>
      <c r="AG126" s="178">
        <v>12.7</v>
      </c>
      <c r="AH126" s="252"/>
      <c r="AK126" s="178"/>
      <c r="AO126" s="178"/>
      <c r="AS126" s="178"/>
      <c r="AW126" s="178"/>
      <c r="BA126" s="179"/>
    </row>
    <row r="127" spans="1:53" s="170" customFormat="1" x14ac:dyDescent="0.15">
      <c r="A127" s="170">
        <v>2018</v>
      </c>
      <c r="B127" s="281"/>
      <c r="C127" s="395" t="s">
        <v>1372</v>
      </c>
      <c r="D127" s="395"/>
      <c r="E127" s="170">
        <v>365</v>
      </c>
      <c r="F127" s="179"/>
      <c r="G127" s="170">
        <v>5</v>
      </c>
      <c r="H127" s="170">
        <v>3</v>
      </c>
      <c r="I127" s="170">
        <v>3</v>
      </c>
      <c r="J127" s="240">
        <v>11</v>
      </c>
      <c r="K127" s="213">
        <f t="shared" si="22"/>
        <v>45.454545454545453</v>
      </c>
      <c r="L127" s="213">
        <f t="shared" si="23"/>
        <v>27.27272727272727</v>
      </c>
      <c r="M127" s="213">
        <f t="shared" si="24"/>
        <v>27.27272727272727</v>
      </c>
      <c r="N127" s="234">
        <f t="shared" si="25"/>
        <v>99.999999999999986</v>
      </c>
      <c r="O127" s="212">
        <v>25.4</v>
      </c>
      <c r="P127" s="213">
        <v>12.7</v>
      </c>
      <c r="Q127" s="213">
        <v>17.5</v>
      </c>
      <c r="R127" s="214">
        <f t="shared" si="26"/>
        <v>55.599999999999994</v>
      </c>
      <c r="S127" s="170">
        <v>2</v>
      </c>
      <c r="T127" s="283"/>
      <c r="U127" s="281"/>
      <c r="V127" s="177" t="s">
        <v>558</v>
      </c>
      <c r="W127" s="170" t="s">
        <v>74</v>
      </c>
      <c r="X127" s="170" t="s">
        <v>11</v>
      </c>
      <c r="Y127" s="178">
        <v>25.4</v>
      </c>
      <c r="Z127" s="170" t="s">
        <v>561</v>
      </c>
      <c r="AA127" s="170" t="s">
        <v>113</v>
      </c>
      <c r="AB127" s="170" t="s">
        <v>12</v>
      </c>
      <c r="AC127" s="170">
        <v>17.5</v>
      </c>
      <c r="AD127" s="177" t="s">
        <v>476</v>
      </c>
      <c r="AE127" s="170" t="s">
        <v>869</v>
      </c>
      <c r="AF127" s="170" t="s">
        <v>18</v>
      </c>
      <c r="AG127" s="178">
        <v>12.7</v>
      </c>
      <c r="AH127" s="252"/>
      <c r="AK127" s="178"/>
      <c r="AO127" s="178"/>
      <c r="AS127" s="178"/>
      <c r="AW127" s="178"/>
      <c r="BA127" s="179"/>
    </row>
    <row r="128" spans="1:53" s="170" customFormat="1" x14ac:dyDescent="0.15">
      <c r="A128" s="170">
        <v>2019</v>
      </c>
      <c r="B128" s="281"/>
      <c r="C128" s="395" t="s">
        <v>1372</v>
      </c>
      <c r="D128" s="395"/>
      <c r="E128" s="170">
        <v>0</v>
      </c>
      <c r="F128" s="179"/>
      <c r="G128" s="170">
        <v>5</v>
      </c>
      <c r="H128" s="170">
        <v>3</v>
      </c>
      <c r="I128" s="170">
        <v>3</v>
      </c>
      <c r="J128" s="240">
        <v>11</v>
      </c>
      <c r="K128" s="213">
        <f t="shared" ref="K128:K135" si="27">G128/$J128*100</f>
        <v>45.454545454545453</v>
      </c>
      <c r="L128" s="213">
        <f t="shared" ref="L128:L135" si="28">H128/$J128*100</f>
        <v>27.27272727272727</v>
      </c>
      <c r="M128" s="213">
        <f t="shared" ref="M128:M135" si="29">I128/$J128*100</f>
        <v>27.27272727272727</v>
      </c>
      <c r="N128" s="234">
        <f t="shared" ref="N128:N135" si="30">K128+L128+M128</f>
        <v>99.999999999999986</v>
      </c>
      <c r="O128" s="212">
        <v>25.4</v>
      </c>
      <c r="P128" s="213">
        <v>12.7</v>
      </c>
      <c r="Q128" s="213">
        <v>17.5</v>
      </c>
      <c r="R128" s="214">
        <f t="shared" si="26"/>
        <v>55.599999999999994</v>
      </c>
      <c r="S128" s="170">
        <v>2</v>
      </c>
      <c r="T128" s="283"/>
      <c r="U128" s="281"/>
      <c r="V128" s="177" t="s">
        <v>558</v>
      </c>
      <c r="W128" s="170" t="s">
        <v>74</v>
      </c>
      <c r="X128" s="170" t="s">
        <v>11</v>
      </c>
      <c r="Y128" s="178">
        <v>25.4</v>
      </c>
      <c r="Z128" s="170" t="s">
        <v>561</v>
      </c>
      <c r="AA128" s="170" t="s">
        <v>113</v>
      </c>
      <c r="AB128" s="170" t="s">
        <v>12</v>
      </c>
      <c r="AC128" s="170">
        <v>17.5</v>
      </c>
      <c r="AD128" s="177" t="s">
        <v>476</v>
      </c>
      <c r="AE128" s="170" t="s">
        <v>869</v>
      </c>
      <c r="AF128" s="170" t="s">
        <v>18</v>
      </c>
      <c r="AG128" s="178">
        <v>12.7</v>
      </c>
      <c r="AH128" s="252"/>
      <c r="AK128" s="178"/>
      <c r="AO128" s="178"/>
      <c r="AS128" s="178"/>
      <c r="AW128" s="178"/>
      <c r="BA128" s="179"/>
    </row>
    <row r="129" spans="1:53" s="170" customFormat="1" x14ac:dyDescent="0.15">
      <c r="A129" s="170">
        <v>2019</v>
      </c>
      <c r="B129" s="281"/>
      <c r="C129" s="395" t="s">
        <v>1372</v>
      </c>
      <c r="D129" s="395"/>
      <c r="E129" s="170">
        <v>365</v>
      </c>
      <c r="F129" s="179"/>
      <c r="G129" s="170">
        <v>5</v>
      </c>
      <c r="H129" s="170">
        <v>3</v>
      </c>
      <c r="I129" s="170">
        <v>3</v>
      </c>
      <c r="J129" s="240">
        <v>11</v>
      </c>
      <c r="K129" s="213">
        <f t="shared" si="27"/>
        <v>45.454545454545453</v>
      </c>
      <c r="L129" s="213">
        <f t="shared" si="28"/>
        <v>27.27272727272727</v>
      </c>
      <c r="M129" s="213">
        <f t="shared" si="29"/>
        <v>27.27272727272727</v>
      </c>
      <c r="N129" s="234">
        <f t="shared" si="30"/>
        <v>99.999999999999986</v>
      </c>
      <c r="O129" s="212">
        <v>25.4</v>
      </c>
      <c r="P129" s="213">
        <v>12.7</v>
      </c>
      <c r="Q129" s="213">
        <v>17.5</v>
      </c>
      <c r="R129" s="214">
        <f t="shared" si="26"/>
        <v>55.599999999999994</v>
      </c>
      <c r="S129" s="189">
        <v>2</v>
      </c>
      <c r="T129" s="283"/>
      <c r="U129" s="281"/>
      <c r="V129" s="177" t="s">
        <v>558</v>
      </c>
      <c r="W129" s="170" t="s">
        <v>74</v>
      </c>
      <c r="X129" s="170" t="s">
        <v>11</v>
      </c>
      <c r="Y129" s="178">
        <v>25.4</v>
      </c>
      <c r="Z129" s="170" t="s">
        <v>561</v>
      </c>
      <c r="AA129" s="170" t="s">
        <v>113</v>
      </c>
      <c r="AB129" s="170" t="s">
        <v>12</v>
      </c>
      <c r="AC129" s="178">
        <v>17.5</v>
      </c>
      <c r="AD129" s="170" t="s">
        <v>476</v>
      </c>
      <c r="AE129" s="170" t="s">
        <v>869</v>
      </c>
      <c r="AF129" s="170" t="s">
        <v>18</v>
      </c>
      <c r="AG129" s="178">
        <v>12.7</v>
      </c>
      <c r="AH129" s="252"/>
      <c r="AK129" s="178"/>
      <c r="AO129" s="178"/>
      <c r="AS129" s="178"/>
      <c r="AW129" s="178"/>
      <c r="BA129" s="179"/>
    </row>
    <row r="130" spans="1:53" s="170" customFormat="1" x14ac:dyDescent="0.15">
      <c r="A130" s="170">
        <v>2020</v>
      </c>
      <c r="B130" s="281"/>
      <c r="C130" s="395" t="s">
        <v>1372</v>
      </c>
      <c r="D130" s="395"/>
      <c r="E130" s="170">
        <v>0</v>
      </c>
      <c r="F130" s="179"/>
      <c r="G130" s="170">
        <v>5</v>
      </c>
      <c r="H130" s="170">
        <v>3</v>
      </c>
      <c r="I130" s="170">
        <v>3</v>
      </c>
      <c r="J130" s="240">
        <v>11</v>
      </c>
      <c r="K130" s="213">
        <f t="shared" si="27"/>
        <v>45.454545454545453</v>
      </c>
      <c r="L130" s="213">
        <f t="shared" si="28"/>
        <v>27.27272727272727</v>
      </c>
      <c r="M130" s="213">
        <f t="shared" si="29"/>
        <v>27.27272727272727</v>
      </c>
      <c r="N130" s="234">
        <f t="shared" si="30"/>
        <v>99.999999999999986</v>
      </c>
      <c r="O130" s="212">
        <v>25.4</v>
      </c>
      <c r="P130" s="213">
        <v>12.7</v>
      </c>
      <c r="Q130" s="213">
        <v>17.5</v>
      </c>
      <c r="R130" s="214">
        <f t="shared" si="26"/>
        <v>55.599999999999994</v>
      </c>
      <c r="S130" s="189">
        <v>2</v>
      </c>
      <c r="T130" s="283"/>
      <c r="U130" s="281"/>
      <c r="V130" s="177" t="s">
        <v>558</v>
      </c>
      <c r="W130" s="170" t="s">
        <v>74</v>
      </c>
      <c r="X130" s="170" t="s">
        <v>11</v>
      </c>
      <c r="Y130" s="178">
        <v>25.4</v>
      </c>
      <c r="Z130" s="170" t="s">
        <v>561</v>
      </c>
      <c r="AA130" s="170" t="s">
        <v>113</v>
      </c>
      <c r="AB130" s="170" t="s">
        <v>12</v>
      </c>
      <c r="AC130" s="178">
        <v>17.5</v>
      </c>
      <c r="AD130" s="170" t="s">
        <v>476</v>
      </c>
      <c r="AE130" s="170" t="s">
        <v>869</v>
      </c>
      <c r="AF130" s="170" t="s">
        <v>18</v>
      </c>
      <c r="AG130" s="178">
        <v>12.7</v>
      </c>
      <c r="AH130" s="252"/>
      <c r="AK130" s="178"/>
      <c r="AO130" s="178"/>
      <c r="AS130" s="178"/>
      <c r="AW130" s="178"/>
      <c r="BA130" s="179"/>
    </row>
    <row r="131" spans="1:53" s="170" customFormat="1" x14ac:dyDescent="0.15">
      <c r="A131" s="170">
        <v>2020</v>
      </c>
      <c r="B131" s="281"/>
      <c r="C131" s="395" t="s">
        <v>1372</v>
      </c>
      <c r="D131" s="395"/>
      <c r="E131" s="170">
        <v>366</v>
      </c>
      <c r="F131" s="179"/>
      <c r="G131" s="170">
        <v>5</v>
      </c>
      <c r="H131" s="170">
        <v>3</v>
      </c>
      <c r="I131" s="170">
        <v>3</v>
      </c>
      <c r="J131" s="240">
        <v>11</v>
      </c>
      <c r="K131" s="213">
        <f t="shared" si="27"/>
        <v>45.454545454545453</v>
      </c>
      <c r="L131" s="213">
        <f t="shared" si="28"/>
        <v>27.27272727272727</v>
      </c>
      <c r="M131" s="213">
        <f t="shared" si="29"/>
        <v>27.27272727272727</v>
      </c>
      <c r="N131" s="234">
        <f t="shared" si="30"/>
        <v>99.999999999999986</v>
      </c>
      <c r="O131" s="212">
        <v>25.4</v>
      </c>
      <c r="P131" s="213">
        <v>12.7</v>
      </c>
      <c r="Q131" s="213">
        <v>17.5</v>
      </c>
      <c r="R131" s="214">
        <f t="shared" si="26"/>
        <v>55.599999999999994</v>
      </c>
      <c r="S131" s="189">
        <v>2</v>
      </c>
      <c r="T131" s="283"/>
      <c r="U131" s="281"/>
      <c r="V131" s="177" t="s">
        <v>558</v>
      </c>
      <c r="W131" s="170" t="s">
        <v>74</v>
      </c>
      <c r="X131" s="170" t="s">
        <v>11</v>
      </c>
      <c r="Y131" s="178">
        <v>25.4</v>
      </c>
      <c r="Z131" s="170" t="s">
        <v>561</v>
      </c>
      <c r="AA131" s="170" t="s">
        <v>113</v>
      </c>
      <c r="AB131" s="170" t="s">
        <v>12</v>
      </c>
      <c r="AC131" s="178">
        <v>17.5</v>
      </c>
      <c r="AD131" s="170" t="s">
        <v>476</v>
      </c>
      <c r="AE131" s="170" t="s">
        <v>869</v>
      </c>
      <c r="AF131" s="170" t="s">
        <v>18</v>
      </c>
      <c r="AG131" s="178">
        <v>12.7</v>
      </c>
      <c r="AH131" s="252"/>
      <c r="AK131" s="178"/>
      <c r="AO131" s="178"/>
      <c r="AS131" s="178"/>
      <c r="AW131" s="178"/>
      <c r="BA131" s="179"/>
    </row>
    <row r="132" spans="1:53" s="170" customFormat="1" x14ac:dyDescent="0.15">
      <c r="A132" s="170">
        <v>2021</v>
      </c>
      <c r="B132" s="281"/>
      <c r="C132" s="395" t="s">
        <v>1372</v>
      </c>
      <c r="D132" s="395"/>
      <c r="E132" s="170">
        <v>331</v>
      </c>
      <c r="F132" s="179"/>
      <c r="G132" s="170">
        <v>5</v>
      </c>
      <c r="H132" s="170">
        <v>3</v>
      </c>
      <c r="I132" s="170">
        <v>3</v>
      </c>
      <c r="J132" s="240">
        <v>11</v>
      </c>
      <c r="K132" s="213">
        <f t="shared" si="27"/>
        <v>45.454545454545453</v>
      </c>
      <c r="L132" s="213">
        <f t="shared" si="28"/>
        <v>27.27272727272727</v>
      </c>
      <c r="M132" s="213">
        <f t="shared" si="29"/>
        <v>27.27272727272727</v>
      </c>
      <c r="N132" s="234">
        <f t="shared" si="30"/>
        <v>99.999999999999986</v>
      </c>
      <c r="O132" s="212">
        <v>25.4</v>
      </c>
      <c r="P132" s="213">
        <v>12.7</v>
      </c>
      <c r="Q132" s="213">
        <v>14.3</v>
      </c>
      <c r="R132" s="214">
        <f t="shared" si="26"/>
        <v>52.399999999999991</v>
      </c>
      <c r="S132" s="189">
        <v>2</v>
      </c>
      <c r="T132" s="283"/>
      <c r="U132" s="281"/>
      <c r="V132" s="177" t="s">
        <v>558</v>
      </c>
      <c r="W132" s="170" t="s">
        <v>74</v>
      </c>
      <c r="X132" s="170" t="s">
        <v>11</v>
      </c>
      <c r="Y132" s="178">
        <v>25.4</v>
      </c>
      <c r="Z132" s="170" t="s">
        <v>561</v>
      </c>
      <c r="AA132" s="170" t="s">
        <v>1242</v>
      </c>
      <c r="AB132" s="170" t="s">
        <v>12</v>
      </c>
      <c r="AC132" s="178">
        <v>14.3</v>
      </c>
      <c r="AD132" s="170" t="s">
        <v>476</v>
      </c>
      <c r="AE132" s="170" t="s">
        <v>869</v>
      </c>
      <c r="AF132" s="170" t="s">
        <v>18</v>
      </c>
      <c r="AG132" s="178">
        <v>12.7</v>
      </c>
      <c r="AH132" s="252"/>
      <c r="AK132" s="178"/>
      <c r="AO132" s="178"/>
      <c r="AS132" s="178"/>
      <c r="AW132" s="178"/>
      <c r="BA132" s="179"/>
    </row>
    <row r="133" spans="1:53" s="28" customFormat="1" x14ac:dyDescent="0.15">
      <c r="A133" s="28">
        <v>2021</v>
      </c>
      <c r="B133" s="293">
        <v>44528</v>
      </c>
      <c r="C133" s="394" t="s">
        <v>1503</v>
      </c>
      <c r="D133" s="394"/>
      <c r="E133" s="28">
        <v>34</v>
      </c>
      <c r="F133" s="39">
        <v>1</v>
      </c>
      <c r="G133" s="28">
        <v>5</v>
      </c>
      <c r="H133" s="28">
        <v>4</v>
      </c>
      <c r="I133" s="28">
        <v>3</v>
      </c>
      <c r="J133" s="72">
        <v>12</v>
      </c>
      <c r="K133" s="46">
        <f t="shared" si="27"/>
        <v>41.666666666666671</v>
      </c>
      <c r="L133" s="46">
        <f t="shared" si="28"/>
        <v>33.333333333333329</v>
      </c>
      <c r="M133" s="46">
        <f t="shared" si="29"/>
        <v>25</v>
      </c>
      <c r="N133" s="67">
        <f t="shared" si="30"/>
        <v>100</v>
      </c>
      <c r="O133" s="45">
        <v>27</v>
      </c>
      <c r="P133" s="46">
        <v>20.6</v>
      </c>
      <c r="Q133" s="46">
        <v>12.7</v>
      </c>
      <c r="R133" s="47">
        <f t="shared" si="26"/>
        <v>60.3</v>
      </c>
      <c r="S133" s="28">
        <v>2</v>
      </c>
      <c r="T133" s="284">
        <v>44464</v>
      </c>
      <c r="U133" s="293">
        <v>44528</v>
      </c>
      <c r="V133" s="37" t="s">
        <v>558</v>
      </c>
      <c r="W133" s="28" t="s">
        <v>74</v>
      </c>
      <c r="X133" s="28" t="s">
        <v>11</v>
      </c>
      <c r="Y133" s="38">
        <v>27</v>
      </c>
      <c r="Z133" s="28" t="s">
        <v>561</v>
      </c>
      <c r="AA133" s="28" t="s">
        <v>1242</v>
      </c>
      <c r="AB133" s="28" t="s">
        <v>12</v>
      </c>
      <c r="AC133" s="38">
        <v>12.7</v>
      </c>
      <c r="AD133" s="28" t="s">
        <v>476</v>
      </c>
      <c r="AE133" s="28" t="s">
        <v>869</v>
      </c>
      <c r="AF133" s="28" t="s">
        <v>18</v>
      </c>
      <c r="AG133" s="38">
        <v>20.6</v>
      </c>
      <c r="AH133" s="93"/>
      <c r="AK133" s="38"/>
      <c r="AO133" s="38"/>
      <c r="AS133" s="38"/>
      <c r="AW133" s="38"/>
      <c r="BA133" s="39"/>
    </row>
    <row r="134" spans="1:53" s="28" customFormat="1" x14ac:dyDescent="0.15">
      <c r="A134" s="28">
        <v>2022</v>
      </c>
      <c r="B134" s="293"/>
      <c r="C134" s="394" t="s">
        <v>1503</v>
      </c>
      <c r="D134" s="394"/>
      <c r="E134" s="28">
        <v>0</v>
      </c>
      <c r="F134" s="39"/>
      <c r="G134" s="28">
        <v>5</v>
      </c>
      <c r="H134" s="28">
        <v>4</v>
      </c>
      <c r="I134" s="28">
        <v>3</v>
      </c>
      <c r="J134" s="72">
        <v>12</v>
      </c>
      <c r="K134" s="46">
        <f t="shared" si="27"/>
        <v>41.666666666666671</v>
      </c>
      <c r="L134" s="46">
        <f t="shared" si="28"/>
        <v>33.333333333333329</v>
      </c>
      <c r="M134" s="46">
        <f t="shared" si="29"/>
        <v>25</v>
      </c>
      <c r="N134" s="67">
        <f t="shared" si="30"/>
        <v>100</v>
      </c>
      <c r="O134" s="45">
        <v>27</v>
      </c>
      <c r="P134" s="46">
        <v>20.6</v>
      </c>
      <c r="Q134" s="46">
        <v>12.7</v>
      </c>
      <c r="R134" s="47">
        <f t="shared" ref="R134:R135" si="31">O134+P134+Q134</f>
        <v>60.3</v>
      </c>
      <c r="S134" s="28">
        <v>2</v>
      </c>
      <c r="T134" s="284"/>
      <c r="U134" s="293"/>
      <c r="V134" s="37" t="s">
        <v>558</v>
      </c>
      <c r="W134" s="28" t="s">
        <v>74</v>
      </c>
      <c r="X134" s="28" t="s">
        <v>11</v>
      </c>
      <c r="Y134" s="38">
        <v>27</v>
      </c>
      <c r="Z134" s="28" t="s">
        <v>561</v>
      </c>
      <c r="AA134" s="28" t="s">
        <v>1242</v>
      </c>
      <c r="AB134" s="28" t="s">
        <v>12</v>
      </c>
      <c r="AC134" s="38">
        <v>12.7</v>
      </c>
      <c r="AD134" s="28" t="s">
        <v>476</v>
      </c>
      <c r="AE134" s="28" t="s">
        <v>869</v>
      </c>
      <c r="AF134" s="28" t="s">
        <v>18</v>
      </c>
      <c r="AG134" s="38">
        <v>20.6</v>
      </c>
      <c r="AH134" s="93"/>
      <c r="AK134" s="38"/>
      <c r="AO134" s="38"/>
      <c r="AS134" s="38"/>
      <c r="AW134" s="38"/>
      <c r="BA134" s="39"/>
    </row>
    <row r="135" spans="1:53" s="28" customFormat="1" x14ac:dyDescent="0.15">
      <c r="A135" s="28">
        <v>2022</v>
      </c>
      <c r="B135" s="293"/>
      <c r="C135" s="394" t="s">
        <v>1503</v>
      </c>
      <c r="D135" s="394"/>
      <c r="E135" s="28">
        <v>365</v>
      </c>
      <c r="F135" s="39"/>
      <c r="G135" s="28">
        <v>5</v>
      </c>
      <c r="H135" s="28">
        <v>4</v>
      </c>
      <c r="I135" s="28">
        <v>3</v>
      </c>
      <c r="J135" s="72">
        <v>12</v>
      </c>
      <c r="K135" s="46">
        <f t="shared" si="27"/>
        <v>41.666666666666671</v>
      </c>
      <c r="L135" s="46">
        <f t="shared" si="28"/>
        <v>33.333333333333329</v>
      </c>
      <c r="M135" s="46">
        <f t="shared" si="29"/>
        <v>25</v>
      </c>
      <c r="N135" s="67">
        <f t="shared" si="30"/>
        <v>100</v>
      </c>
      <c r="O135" s="45">
        <v>27</v>
      </c>
      <c r="P135" s="46">
        <v>20.6</v>
      </c>
      <c r="Q135" s="46">
        <v>12.7</v>
      </c>
      <c r="R135" s="47">
        <f t="shared" si="31"/>
        <v>60.3</v>
      </c>
      <c r="S135" s="28">
        <v>2</v>
      </c>
      <c r="T135" s="284"/>
      <c r="U135" s="293"/>
      <c r="V135" s="37" t="s">
        <v>558</v>
      </c>
      <c r="W135" s="28" t="s">
        <v>74</v>
      </c>
      <c r="X135" s="28" t="s">
        <v>11</v>
      </c>
      <c r="Y135" s="38">
        <v>27</v>
      </c>
      <c r="Z135" s="28" t="s">
        <v>561</v>
      </c>
      <c r="AA135" s="28" t="s">
        <v>1242</v>
      </c>
      <c r="AB135" s="28" t="s">
        <v>12</v>
      </c>
      <c r="AC135" s="38">
        <v>12.7</v>
      </c>
      <c r="AD135" s="28" t="s">
        <v>476</v>
      </c>
      <c r="AE135" s="28" t="s">
        <v>869</v>
      </c>
      <c r="AF135" s="28" t="s">
        <v>18</v>
      </c>
      <c r="AG135" s="38">
        <v>20.6</v>
      </c>
      <c r="AH135" s="93"/>
      <c r="AK135" s="38"/>
      <c r="AO135" s="38"/>
      <c r="AS135" s="38"/>
      <c r="AW135" s="38"/>
      <c r="BA135" s="39"/>
    </row>
    <row r="136" spans="1:53" ht="18" customHeight="1" x14ac:dyDescent="0.15">
      <c r="B136" s="15" t="s">
        <v>1262</v>
      </c>
      <c r="AH136" s="1"/>
    </row>
    <row r="137" spans="1:53" ht="8.25" customHeight="1" x14ac:dyDescent="0.15">
      <c r="B137" s="15"/>
      <c r="AH137" s="1"/>
    </row>
    <row r="138" spans="1:53" s="194" customFormat="1" ht="9" customHeight="1" x14ac:dyDescent="0.15">
      <c r="A138" s="192"/>
      <c r="B138" s="193" t="s">
        <v>1213</v>
      </c>
      <c r="C138" s="193"/>
      <c r="D138" s="193"/>
      <c r="E138" s="193"/>
      <c r="F138" s="193"/>
      <c r="G138" s="193" t="s">
        <v>1214</v>
      </c>
      <c r="H138" s="193"/>
      <c r="I138" s="193"/>
      <c r="J138" s="193"/>
      <c r="K138" s="193"/>
      <c r="L138" s="193"/>
      <c r="M138" s="193"/>
      <c r="N138" s="193"/>
      <c r="R138" s="386" t="s">
        <v>1215</v>
      </c>
      <c r="S138" s="386"/>
      <c r="T138" s="386"/>
      <c r="U138" s="386"/>
      <c r="V138" s="386"/>
      <c r="W138" s="386"/>
      <c r="X138" s="195"/>
      <c r="Y138" s="195"/>
      <c r="AA138" s="195"/>
      <c r="AB138" s="195"/>
      <c r="AC138" s="195"/>
      <c r="AD138" s="195"/>
    </row>
    <row r="139" spans="1:53" s="199" customFormat="1" ht="9" customHeight="1" x14ac:dyDescent="0.15">
      <c r="A139" s="196"/>
      <c r="B139" s="197" t="s">
        <v>1217</v>
      </c>
      <c r="C139" s="198"/>
      <c r="D139" s="198"/>
      <c r="E139" s="198"/>
      <c r="F139" s="198"/>
      <c r="G139" s="197" t="s">
        <v>1216</v>
      </c>
      <c r="H139" s="198"/>
      <c r="I139" s="198"/>
      <c r="J139" s="198"/>
      <c r="K139" s="198"/>
      <c r="L139" s="198"/>
      <c r="M139" s="198"/>
      <c r="N139" s="198"/>
      <c r="R139" s="200" t="s">
        <v>1218</v>
      </c>
      <c r="S139" s="201"/>
      <c r="T139" s="202"/>
      <c r="U139" s="202"/>
      <c r="V139" s="202"/>
      <c r="W139" s="200" t="s">
        <v>1219</v>
      </c>
      <c r="X139" s="202"/>
      <c r="Y139" s="202"/>
      <c r="AA139" s="202"/>
      <c r="AB139" s="202"/>
      <c r="AC139" s="202"/>
      <c r="AD139" s="202"/>
    </row>
    <row r="140" spans="1:53" s="185" customFormat="1" ht="12" customHeight="1" x14ac:dyDescent="0.15">
      <c r="A140" s="203" t="s">
        <v>3</v>
      </c>
      <c r="B140" s="204" t="s">
        <v>8</v>
      </c>
      <c r="C140" s="204" t="s">
        <v>9</v>
      </c>
      <c r="D140" s="204" t="s">
        <v>10</v>
      </c>
      <c r="E140" s="205" t="s">
        <v>1193</v>
      </c>
      <c r="F140" s="204"/>
      <c r="G140" s="185" t="s">
        <v>3</v>
      </c>
      <c r="H140" s="387" t="s">
        <v>0</v>
      </c>
      <c r="I140" s="387"/>
      <c r="J140" s="387" t="s">
        <v>1</v>
      </c>
      <c r="K140" s="387"/>
      <c r="L140" s="387" t="s">
        <v>2</v>
      </c>
      <c r="M140" s="387"/>
      <c r="N140" s="388" t="s">
        <v>1193</v>
      </c>
      <c r="O140" s="388"/>
      <c r="P140" s="206"/>
      <c r="Q140" s="206"/>
      <c r="R140" s="207" t="s">
        <v>3</v>
      </c>
      <c r="S140" s="208" t="s">
        <v>135</v>
      </c>
      <c r="T140" s="206" t="s">
        <v>133</v>
      </c>
      <c r="U140" s="204" t="s">
        <v>134</v>
      </c>
      <c r="V140" s="206"/>
      <c r="W140" s="209" t="s">
        <v>26</v>
      </c>
    </row>
    <row r="141" spans="1:53" s="139" customFormat="1" x14ac:dyDescent="0.15">
      <c r="A141" s="139">
        <v>1959</v>
      </c>
      <c r="B141" s="142">
        <f>K6*($E6/365)+K7*($E7/365)</f>
        <v>7.6712328767123275</v>
      </c>
      <c r="C141" s="142">
        <f>L6*($E6/365)+L7*($E7/365)</f>
        <v>0</v>
      </c>
      <c r="D141" s="142">
        <f>M6*($E6/365)+M7*($E7/365)</f>
        <v>92.328767123287676</v>
      </c>
      <c r="E141" s="143">
        <f>B141+C141+D141</f>
        <v>100</v>
      </c>
      <c r="G141" s="139">
        <v>1959</v>
      </c>
      <c r="H141" s="396">
        <f>(O6/$R6*100*($E6/365))+(O7/$R7*100*($E7/365))</f>
        <v>8.3686176836861783</v>
      </c>
      <c r="I141" s="396"/>
      <c r="J141" s="396">
        <f>(P6/$R6*100*($E6/365))+(P7/$R7*100*($E7/365))</f>
        <v>0</v>
      </c>
      <c r="K141" s="396"/>
      <c r="L141" s="396">
        <f>(Q6/$R6*100*($E6/365))+(Q7/$R7*100*($E7/365))</f>
        <v>91.631382316313818</v>
      </c>
      <c r="M141" s="396"/>
      <c r="N141" s="400">
        <f>H141+J141+L141</f>
        <v>100</v>
      </c>
      <c r="O141" s="400"/>
      <c r="R141" s="139">
        <v>1959</v>
      </c>
      <c r="S141" s="142">
        <f>(O6*($E6/365)) + (O7*($E7/365))</f>
        <v>4.602739726027397</v>
      </c>
      <c r="T141" s="142">
        <f>(P6*($E6/365)) + (P7*($E7/365))</f>
        <v>0</v>
      </c>
      <c r="U141" s="142">
        <f>(Q6*($E6/365)) + (Q7*($E7/365))</f>
        <v>15.000000000000002</v>
      </c>
      <c r="V141" s="142"/>
      <c r="W141" s="142">
        <f>S141+T141+U141</f>
        <v>19.602739726027398</v>
      </c>
      <c r="AH141" s="157"/>
    </row>
    <row r="142" spans="1:53" x14ac:dyDescent="0.15">
      <c r="A142" s="1">
        <v>1960</v>
      </c>
      <c r="B142" s="5">
        <f>K8*($E8/366)+K9*($E9/366)</f>
        <v>66.666666666666657</v>
      </c>
      <c r="C142" s="5">
        <f>L8*($E8/366)+L9*($E9/366)</f>
        <v>0</v>
      </c>
      <c r="D142" s="5">
        <f>M8*($E8/366)+M9*($E9/366)</f>
        <v>33.333333333333329</v>
      </c>
      <c r="E142" s="23">
        <f>B142+C142+D142</f>
        <v>99.999999999999986</v>
      </c>
      <c r="G142" s="1">
        <v>1960</v>
      </c>
      <c r="H142" s="392">
        <f>(O8*100*($E8/366)/($O8+$P8+$Q8))+(O9*100*($E9/366)/($O9+$P9+$Q9))</f>
        <v>72.727272727272734</v>
      </c>
      <c r="I142" s="392"/>
      <c r="J142" s="392">
        <f>(P8*100*($E8/366)/($O8+$P8+$Q8))+(P9*100*($E9/366)/($O9+$P9+$Q9))</f>
        <v>0</v>
      </c>
      <c r="K142" s="392"/>
      <c r="L142" s="392">
        <f>(Q8*100*($E8/366)/($O8+$P8+$Q8))+(Q9*100*($E9/366)/($O9+$P9+$Q9))</f>
        <v>27.272727272727273</v>
      </c>
      <c r="M142" s="392"/>
      <c r="N142" s="363">
        <f>H142+J142+L142</f>
        <v>100</v>
      </c>
      <c r="O142" s="363"/>
      <c r="R142" s="1">
        <v>1960</v>
      </c>
      <c r="S142" s="5">
        <f>(O8*($E8/366)) + (O9*($E9/366))</f>
        <v>40</v>
      </c>
      <c r="T142" s="5">
        <f>(P8*($E8/366)) + (P9*($E9/366))</f>
        <v>0</v>
      </c>
      <c r="U142" s="5">
        <f>(Q8*($E8/366)) + (Q9*($E9/366))</f>
        <v>15</v>
      </c>
      <c r="V142" s="5"/>
      <c r="W142" s="5">
        <f>S142+T142+U142</f>
        <v>55</v>
      </c>
    </row>
    <row r="143" spans="1:53" x14ac:dyDescent="0.15">
      <c r="A143" s="1">
        <v>1961</v>
      </c>
      <c r="B143" s="5">
        <f>K10*($E10/365)+K11*($E11/365)</f>
        <v>66.666666666666657</v>
      </c>
      <c r="C143" s="5">
        <f>L10*($E10/365)+L11*($E11/365)</f>
        <v>0</v>
      </c>
      <c r="D143" s="5">
        <f>M10*($E10/365)+M11*($E11/365)</f>
        <v>33.333333333333329</v>
      </c>
      <c r="E143" s="23">
        <f t="shared" ref="E143:E195" si="32">B143+C143+D143</f>
        <v>99.999999999999986</v>
      </c>
      <c r="G143" s="1">
        <v>1961</v>
      </c>
      <c r="H143" s="392">
        <f>(O10*100*($E10/365)/($O10+$P10+$Q10))+(O11*100*($E11/365)/($O11+$P11+$Q11))</f>
        <v>72.727272727272734</v>
      </c>
      <c r="I143" s="392"/>
      <c r="J143" s="392">
        <f>(P10*100*($E10/365)/($O10+$P10+$Q10))+(P11*100*($E11/365)/($O11+$P11+$Q11))</f>
        <v>0</v>
      </c>
      <c r="K143" s="392"/>
      <c r="L143" s="392">
        <f>(Q10*100*($E10/365)/($O10+$P10+$Q10))+(Q11*100*($E11/365)/($O11+$P11+$Q11))</f>
        <v>27.272727272727273</v>
      </c>
      <c r="M143" s="392"/>
      <c r="N143" s="363">
        <f>H143+J143+L143</f>
        <v>100</v>
      </c>
      <c r="O143" s="363"/>
      <c r="R143" s="1">
        <v>1961</v>
      </c>
      <c r="S143" s="5">
        <f>(O10*($E10/365)) + (O11*($E11/365))</f>
        <v>40</v>
      </c>
      <c r="T143" s="5">
        <f>(P10*($E10/365)) + (P11*($E11/365))</f>
        <v>0</v>
      </c>
      <c r="U143" s="5">
        <f>(Q10*($E10/365)) + (Q11*($E11/365))</f>
        <v>15</v>
      </c>
      <c r="V143" s="5"/>
      <c r="W143" s="5">
        <f t="shared" ref="W143:W195" si="33">S143+T143+U143</f>
        <v>55</v>
      </c>
    </row>
    <row r="144" spans="1:53" x14ac:dyDescent="0.15">
      <c r="A144" s="1">
        <v>1962</v>
      </c>
      <c r="B144" s="5">
        <f>K12*($E12/365)+K13*($E13/365)</f>
        <v>66.666666666666657</v>
      </c>
      <c r="C144" s="5">
        <f>L12*($E12/365)+L13*($E13/365)</f>
        <v>0</v>
      </c>
      <c r="D144" s="5">
        <f>M12*($E12/365)+M13*($E13/365)</f>
        <v>33.333333333333329</v>
      </c>
      <c r="E144" s="23">
        <f t="shared" si="32"/>
        <v>99.999999999999986</v>
      </c>
      <c r="G144" s="1">
        <v>1962</v>
      </c>
      <c r="H144" s="392">
        <f>(O12*100*($E12/365)/($O12+$P12+$Q12))+(O13*100*($E13/365)/($O13+$P13+$Q13))</f>
        <v>72.727272727272734</v>
      </c>
      <c r="I144" s="392"/>
      <c r="J144" s="392">
        <f>(P12*100*($E12/365)/($O12+$P12+$Q12))+(P13*100*($E13/365)/($O13+$P13+$Q13))</f>
        <v>0</v>
      </c>
      <c r="K144" s="392"/>
      <c r="L144" s="392">
        <f>(Q12*100*($E12/365)/($O12+$P12+$Q12))+(Q13*100*($E13/365)/($O13+$P13+$Q13))</f>
        <v>27.272727272727273</v>
      </c>
      <c r="M144" s="392"/>
      <c r="N144" s="363">
        <f t="shared" ref="N144:N194" si="34">H144+J144+L144</f>
        <v>100</v>
      </c>
      <c r="O144" s="363"/>
      <c r="R144" s="1">
        <v>1962</v>
      </c>
      <c r="S144" s="5">
        <f>(O12*($E12/365)) + (O13*($E13/365))</f>
        <v>40</v>
      </c>
      <c r="T144" s="5">
        <f>(P12*($E12/365)) + (P13*($E13/365))</f>
        <v>0</v>
      </c>
      <c r="U144" s="5">
        <f>(Q12*($E12/365)) + (Q13*($E13/365))</f>
        <v>15</v>
      </c>
      <c r="V144" s="5"/>
      <c r="W144" s="5">
        <f t="shared" si="33"/>
        <v>55</v>
      </c>
    </row>
    <row r="145" spans="1:23" x14ac:dyDescent="0.15">
      <c r="A145" s="1">
        <v>1963</v>
      </c>
      <c r="B145" s="5">
        <f>K14*($E14/365)+K15*($E15/365)</f>
        <v>65.414220482713617</v>
      </c>
      <c r="C145" s="5">
        <f>L14*($E14/365)+L15*($E15/365)</f>
        <v>0</v>
      </c>
      <c r="D145" s="5">
        <f>M14*($E14/365)+M15*($E15/365)</f>
        <v>34.585779517286362</v>
      </c>
      <c r="E145" s="23">
        <f t="shared" si="32"/>
        <v>99.999999999999972</v>
      </c>
      <c r="F145" s="4"/>
      <c r="G145" s="1">
        <v>1963</v>
      </c>
      <c r="H145" s="392">
        <f>(O14*100*($E14/365)/($O14+$P14+$Q14))+(O15*100*($E15/365)/($O15+$P15+$Q15))</f>
        <v>73.032320168972348</v>
      </c>
      <c r="I145" s="392"/>
      <c r="J145" s="392">
        <f>(P14*100*($E14/365)/($O14+$P14+$Q14))+(P15*100*($E15/365)/($O15+$P15+$Q15))</f>
        <v>0</v>
      </c>
      <c r="K145" s="392"/>
      <c r="L145" s="392">
        <f>(Q14*100*($E14/365)/($O14+$P14+$Q14))+(Q15*100*($E15/365)/($O15+$P15+$Q15))</f>
        <v>26.967679831027638</v>
      </c>
      <c r="M145" s="392"/>
      <c r="N145" s="363">
        <f t="shared" si="34"/>
        <v>99.999999999999986</v>
      </c>
      <c r="O145" s="363"/>
      <c r="P145" s="4"/>
      <c r="Q145" s="4"/>
      <c r="R145" s="1">
        <v>1963</v>
      </c>
      <c r="S145" s="5">
        <f>(O14*($E14/365)) + (O15*($E15/365))</f>
        <v>40</v>
      </c>
      <c r="T145" s="5">
        <f>(P14*($E14/365)) + (P15*($E15/365))</f>
        <v>0</v>
      </c>
      <c r="U145" s="5">
        <f>(Q14*($E14/365)) + (Q15*($E15/365))</f>
        <v>14.776438356164382</v>
      </c>
      <c r="V145" s="5"/>
      <c r="W145" s="5">
        <f t="shared" si="33"/>
        <v>54.776438356164384</v>
      </c>
    </row>
    <row r="146" spans="1:23" x14ac:dyDescent="0.15">
      <c r="A146" s="1">
        <v>1964</v>
      </c>
      <c r="B146" s="5">
        <f>K16*($E16/366)+K17*($E17/366)</f>
        <v>57.142857142857139</v>
      </c>
      <c r="C146" s="5">
        <f>L16*($E16/366)+L17*($E17/366)</f>
        <v>0</v>
      </c>
      <c r="D146" s="5">
        <f>M16*($E16/366)+M17*($E17/366)</f>
        <v>42.857142857142854</v>
      </c>
      <c r="E146" s="23">
        <f t="shared" si="32"/>
        <v>100</v>
      </c>
      <c r="F146" s="4"/>
      <c r="G146" s="1">
        <v>1964</v>
      </c>
      <c r="H146" s="392">
        <f>(O16*100*($E16/366)/($O16+$P16+$Q16))+(O17*100*($E17/366)/($O17+$P17+$Q17))</f>
        <v>75.046904315196997</v>
      </c>
      <c r="I146" s="392"/>
      <c r="J146" s="392">
        <f>(P16*100*($E16/366)/($O16+$P16+$Q16))+(P17*100*($E17/366)/($O17+$P17+$Q17))</f>
        <v>0</v>
      </c>
      <c r="K146" s="392"/>
      <c r="L146" s="392">
        <f>(Q16*100*($E16/366)/($O16+$P16+$Q16))+(Q17*100*($E17/366)/($O17+$P17+$Q17))</f>
        <v>24.953095684803003</v>
      </c>
      <c r="M146" s="392"/>
      <c r="N146" s="363">
        <f t="shared" si="34"/>
        <v>100</v>
      </c>
      <c r="O146" s="363"/>
      <c r="P146" s="4"/>
      <c r="Q146" s="4"/>
      <c r="R146" s="1">
        <v>1964</v>
      </c>
      <c r="S146" s="5">
        <f>(O16*($E16/366)) + (O17*($E17/366))</f>
        <v>40</v>
      </c>
      <c r="T146" s="5">
        <f>(P16*($E16/366)) + (P17*($E17/366))</f>
        <v>0</v>
      </c>
      <c r="U146" s="5">
        <f>(Q16*($E16/366)) + (Q17*($E17/366))</f>
        <v>13.3</v>
      </c>
      <c r="V146" s="5"/>
      <c r="W146" s="5">
        <f t="shared" si="33"/>
        <v>53.3</v>
      </c>
    </row>
    <row r="147" spans="1:23" x14ac:dyDescent="0.15">
      <c r="A147" s="1">
        <v>1965</v>
      </c>
      <c r="B147" s="5">
        <f>K18*($E18/365)+K19*($E19/365)</f>
        <v>57.142857142857139</v>
      </c>
      <c r="C147" s="5">
        <f>L18*($E18/365)+L19*($E19/365)</f>
        <v>0</v>
      </c>
      <c r="D147" s="5">
        <f>M18*($E18/365)+M19*($E19/365)</f>
        <v>42.857142857142854</v>
      </c>
      <c r="E147" s="23">
        <f t="shared" si="32"/>
        <v>100</v>
      </c>
      <c r="F147" s="4"/>
      <c r="G147" s="1">
        <v>1965</v>
      </c>
      <c r="H147" s="392">
        <f>(O18*100*($E18/365)/($O18+$P18+$Q18))+(O19*100*($E19/365)/($O19+$P19+$Q19))</f>
        <v>75.046904315196997</v>
      </c>
      <c r="I147" s="392"/>
      <c r="J147" s="392">
        <f>(P18*100*($E18/366)/($O18+$P18+$Q18))+(P19*100*($E19/366)/($O19+$P19+$Q19))</f>
        <v>0</v>
      </c>
      <c r="K147" s="392"/>
      <c r="L147" s="392">
        <f>(Q18*100*($E18/365)/($O18+$P18+$Q18))+(Q19*100*($E19/365)/($O19+$P19+$Q19))</f>
        <v>24.953095684803003</v>
      </c>
      <c r="M147" s="392"/>
      <c r="N147" s="363">
        <f>H147+J147+L147</f>
        <v>100</v>
      </c>
      <c r="O147" s="363"/>
      <c r="P147" s="4"/>
      <c r="Q147" s="4"/>
      <c r="R147" s="1">
        <v>1965</v>
      </c>
      <c r="S147" s="5">
        <f>(O18*($E18/365)) + (O19*($E19/365))</f>
        <v>40</v>
      </c>
      <c r="T147" s="5">
        <f>(P18*($E18/365)) + (P19*($E19/365))</f>
        <v>0</v>
      </c>
      <c r="U147" s="5">
        <f>(Q18*($E18/365)) + (Q19*($E19/365))</f>
        <v>13.3</v>
      </c>
      <c r="V147" s="5"/>
      <c r="W147" s="5">
        <f t="shared" si="33"/>
        <v>53.3</v>
      </c>
    </row>
    <row r="148" spans="1:23" x14ac:dyDescent="0.15">
      <c r="A148" s="1">
        <v>1966</v>
      </c>
      <c r="B148" s="5">
        <f>K20*($E20/365)+K21*($E21/365)</f>
        <v>57.142857142857139</v>
      </c>
      <c r="C148" s="5">
        <f>L20*($E20/365)+L21*($E21/365)</f>
        <v>0</v>
      </c>
      <c r="D148" s="5">
        <f>M20*($E20/365)+M21*($E21/365)</f>
        <v>42.857142857142854</v>
      </c>
      <c r="E148" s="23">
        <f t="shared" si="32"/>
        <v>100</v>
      </c>
      <c r="F148" s="4"/>
      <c r="G148" s="1">
        <v>1966</v>
      </c>
      <c r="H148" s="392">
        <f>(O20*100*($E20/365)/($O20+$P20+$Q20))+(O21*100*($E21/365)/($O21+$P21+$Q21))</f>
        <v>75.046904315196997</v>
      </c>
      <c r="I148" s="392"/>
      <c r="J148" s="392">
        <f>(P20*100*($E20/365)/($O20+$P20+$Q20))+(P21*100*($E21/365)/($O21+$P21+$Q21))</f>
        <v>0</v>
      </c>
      <c r="K148" s="392"/>
      <c r="L148" s="392">
        <f>(Q20*100*($E20/365)/($O20+$P20+$Q20))+(Q21*100*($E21/365)/($O21+$P21+$Q21))</f>
        <v>24.953095684803003</v>
      </c>
      <c r="M148" s="392"/>
      <c r="N148" s="363">
        <f>H148+J148+L148</f>
        <v>100</v>
      </c>
      <c r="O148" s="363"/>
      <c r="P148" s="4"/>
      <c r="Q148" s="4"/>
      <c r="R148" s="1">
        <v>1966</v>
      </c>
      <c r="S148" s="5">
        <f>(O20*($E20/365)) + (O21*($E21/365))</f>
        <v>40</v>
      </c>
      <c r="T148" s="5">
        <f>(P20*($E20/365)) + (P21*($E21/365))</f>
        <v>0</v>
      </c>
      <c r="U148" s="5">
        <f>(Q20*($E20/365)) + (Q21*($E21/365))</f>
        <v>13.3</v>
      </c>
      <c r="V148" s="5"/>
      <c r="W148" s="5">
        <f t="shared" si="33"/>
        <v>53.3</v>
      </c>
    </row>
    <row r="149" spans="1:23" x14ac:dyDescent="0.15">
      <c r="A149" s="1">
        <v>1967</v>
      </c>
      <c r="B149" s="5">
        <f>K22*($E22/365)+K23*($E23/365)</f>
        <v>57.142857142857139</v>
      </c>
      <c r="C149" s="5">
        <f>L22*($E22/365)+L23*($E23/365)</f>
        <v>0</v>
      </c>
      <c r="D149" s="5">
        <f>M22*($E22/365)+M23*($E23/365)</f>
        <v>42.857142857142861</v>
      </c>
      <c r="E149" s="23">
        <f t="shared" si="32"/>
        <v>100</v>
      </c>
      <c r="F149" s="4"/>
      <c r="G149" s="1">
        <v>1967</v>
      </c>
      <c r="H149" s="392">
        <f>(O22*100*($E22/365)/($O22+$P22+$Q22))+(O23*100*($E23/365)/($O23+$P23+$Q23))</f>
        <v>73.273021665938472</v>
      </c>
      <c r="I149" s="392"/>
      <c r="J149" s="392">
        <f>(P22*100*($E22/365)/($O22+$P22+$Q22))+(P23*100*($E23/365)/($O23+$P23+$Q23))</f>
        <v>0</v>
      </c>
      <c r="K149" s="392"/>
      <c r="L149" s="392">
        <f>(Q22*100*($E22/365)/($O22+$P22+$Q22))+(Q23*100*($E23/365)/($O23+$P23+$Q23))</f>
        <v>26.726978334061531</v>
      </c>
      <c r="M149" s="392"/>
      <c r="N149" s="363">
        <f t="shared" si="34"/>
        <v>100</v>
      </c>
      <c r="O149" s="363"/>
      <c r="P149" s="4"/>
      <c r="Q149" s="4"/>
      <c r="R149" s="1">
        <v>1967</v>
      </c>
      <c r="S149" s="5">
        <f>(O22*($E22/365)) + (O23*($E23/365))</f>
        <v>39.054520547945202</v>
      </c>
      <c r="T149" s="5">
        <f>(P22*($E22/365)) + (P23*($E23/365))</f>
        <v>0</v>
      </c>
      <c r="U149" s="5">
        <f>(Q22*($E22/365)) + (Q23*($E23/365))</f>
        <v>14.245479452054795</v>
      </c>
      <c r="V149" s="5"/>
      <c r="W149" s="5">
        <f t="shared" si="33"/>
        <v>53.3</v>
      </c>
    </row>
    <row r="150" spans="1:23" x14ac:dyDescent="0.15">
      <c r="A150" s="1">
        <v>1968</v>
      </c>
      <c r="B150" s="5">
        <f>K24*($E24/366)+K25*($E25/366)</f>
        <v>57.142857142857139</v>
      </c>
      <c r="C150" s="5">
        <f>L24*($E24/366)+L25*($E25/366)</f>
        <v>0</v>
      </c>
      <c r="D150" s="5">
        <f>M24*($E24/366)+M25*($E25/366)</f>
        <v>42.857142857142854</v>
      </c>
      <c r="E150" s="23">
        <f t="shared" si="32"/>
        <v>100</v>
      </c>
      <c r="F150" s="4"/>
      <c r="G150" s="1">
        <v>1968</v>
      </c>
      <c r="H150" s="392">
        <f>(O24*100*($E24/366)/($O24+$P24+$Q24))+(O25*100*($E25/366)/($O25+$P25+$Q25))</f>
        <v>71.857410881801115</v>
      </c>
      <c r="I150" s="392"/>
      <c r="J150" s="392">
        <f>(P24*100*($E24/366)/($O24+$P24+$Q24))+(P25*100*($E25/366)/($O25+$P25+$Q25))</f>
        <v>0</v>
      </c>
      <c r="K150" s="392"/>
      <c r="L150" s="392">
        <f>(Q24*100*($E24/366)/($O24+$P24+$Q24))+(Q25*100*($E25/366)/($O25+$P25+$Q25))</f>
        <v>28.142589118198877</v>
      </c>
      <c r="M150" s="392"/>
      <c r="N150" s="363">
        <f t="shared" si="34"/>
        <v>100</v>
      </c>
      <c r="O150" s="363"/>
      <c r="P150" s="4"/>
      <c r="Q150" s="4"/>
      <c r="R150" s="1">
        <v>1968</v>
      </c>
      <c r="S150" s="5">
        <f>(O24*($E24/366)) + (O25*($E25/366))</f>
        <v>38.299999999999997</v>
      </c>
      <c r="T150" s="5">
        <f>(P24*($E24/366)) + (P25*($E25/366))</f>
        <v>0</v>
      </c>
      <c r="U150" s="5">
        <f>(Q24*($E24/366)) + (Q25*($E25/366))</f>
        <v>15</v>
      </c>
      <c r="V150" s="5"/>
      <c r="W150" s="5">
        <f t="shared" si="33"/>
        <v>53.3</v>
      </c>
    </row>
    <row r="151" spans="1:23" x14ac:dyDescent="0.15">
      <c r="A151" s="1">
        <v>1969</v>
      </c>
      <c r="B151" s="5">
        <f>K26*($E26/365)+K27*($E27/365)</f>
        <v>57.142857142857139</v>
      </c>
      <c r="C151" s="5">
        <f>L26*($E26/365)+L27*($E27/365)</f>
        <v>0</v>
      </c>
      <c r="D151" s="5">
        <f>M26*($E26/365)+M27*($E27/365)</f>
        <v>42.857142857142854</v>
      </c>
      <c r="E151" s="23">
        <f t="shared" si="32"/>
        <v>100</v>
      </c>
      <c r="F151" s="4"/>
      <c r="G151" s="1">
        <v>1969</v>
      </c>
      <c r="H151" s="392">
        <f>(O26*100*($E26/365)/($O26+$P26+$Q26))+(O27*100*($E27/365)/($O27+$P27+$Q27))</f>
        <v>71.857410881801115</v>
      </c>
      <c r="I151" s="392"/>
      <c r="J151" s="392">
        <f>(P26*100*($E26/365)/($O26+$P26+$Q26))+(P27*100*($E27/365)/($O27+$P27+$Q27))</f>
        <v>0</v>
      </c>
      <c r="K151" s="392"/>
      <c r="L151" s="392">
        <f>(Q26*100*($E26/365)/($O26+$P26+$Q26))+(Q27*100*($E27/365)/($O27+$P27+$Q27))</f>
        <v>28.142589118198877</v>
      </c>
      <c r="M151" s="392"/>
      <c r="N151" s="363">
        <f t="shared" si="34"/>
        <v>100</v>
      </c>
      <c r="O151" s="363"/>
      <c r="P151" s="4"/>
      <c r="Q151" s="4"/>
      <c r="R151" s="1">
        <v>1969</v>
      </c>
      <c r="S151" s="5">
        <f>(O26*($E26/365)) + (O27*($E27/365))</f>
        <v>38.299999999999997</v>
      </c>
      <c r="T151" s="5">
        <f>(P26*($E26/365)) + (P27*($E27/365))</f>
        <v>0</v>
      </c>
      <c r="U151" s="5">
        <f>(Q26*($E26/365)) + (Q27*($E27/365))</f>
        <v>15</v>
      </c>
      <c r="V151" s="5"/>
      <c r="W151" s="5">
        <f t="shared" si="33"/>
        <v>53.3</v>
      </c>
    </row>
    <row r="152" spans="1:23" x14ac:dyDescent="0.15">
      <c r="A152" s="1">
        <v>1970</v>
      </c>
      <c r="B152" s="5">
        <f>K28*($E28/365)+K29*($E29/365)</f>
        <v>57.142857142857146</v>
      </c>
      <c r="C152" s="5">
        <f>L28*($E28/365)+L29*($E29/365)</f>
        <v>0</v>
      </c>
      <c r="D152" s="5">
        <f>M28*($E28/365)+M29*($E29/365)</f>
        <v>42.857142857142854</v>
      </c>
      <c r="E152" s="23">
        <f t="shared" si="32"/>
        <v>100</v>
      </c>
      <c r="F152" s="4"/>
      <c r="G152" s="1">
        <v>1970</v>
      </c>
      <c r="H152" s="392">
        <f>(O28*100*($E28/365)/($O28+$P28+$Q28))+(O29*100*($E29/365)/($O29+$P29+$Q29))</f>
        <v>71.85741088180113</v>
      </c>
      <c r="I152" s="392"/>
      <c r="J152" s="392">
        <f>(P28*100*($E28/365)/($O28+$P28+$Q28))+(P29*100*($E29/365)/($O29+$P29+$Q29))</f>
        <v>0</v>
      </c>
      <c r="K152" s="392"/>
      <c r="L152" s="392">
        <f>(Q28*100*($E28/365)/($O28+$P28+$Q28))+(Q29*100*($E29/365)/($O29+$P29+$Q29))</f>
        <v>28.142589118198877</v>
      </c>
      <c r="M152" s="392"/>
      <c r="N152" s="363">
        <f t="shared" si="34"/>
        <v>100</v>
      </c>
      <c r="O152" s="363"/>
      <c r="P152" s="4"/>
      <c r="Q152" s="4"/>
      <c r="R152" s="1">
        <v>1970</v>
      </c>
      <c r="S152" s="5">
        <f>(O28*($E28/365)) + (O29*($E29/365))</f>
        <v>38.299999999999997</v>
      </c>
      <c r="T152" s="5">
        <f>(P28*($E28/365)) + (P29*($E29/365))</f>
        <v>0</v>
      </c>
      <c r="U152" s="5">
        <f>(Q28*($E28/365)) + (Q29*($E29/365))</f>
        <v>15.000000000000002</v>
      </c>
      <c r="V152" s="5"/>
      <c r="W152" s="5">
        <f t="shared" si="33"/>
        <v>53.3</v>
      </c>
    </row>
    <row r="153" spans="1:23" x14ac:dyDescent="0.15">
      <c r="A153" s="1">
        <v>1971</v>
      </c>
      <c r="B153" s="5">
        <f>K30*($E30/365)+K31*($E31/365)</f>
        <v>25.675146771037181</v>
      </c>
      <c r="C153" s="5">
        <f>L30*($E30/365)+L31*($E31/365)</f>
        <v>39.334637964774949</v>
      </c>
      <c r="D153" s="5">
        <f>M30*($E30/365)+M31*($E31/365)</f>
        <v>34.99021526418786</v>
      </c>
      <c r="E153" s="23">
        <f t="shared" si="32"/>
        <v>100</v>
      </c>
      <c r="F153" s="4"/>
      <c r="G153" s="1">
        <v>1971</v>
      </c>
      <c r="H153" s="392">
        <f>(O30*100*($E30/365)/($O30+$P30+$Q30))+(O31*100*($E31/365)/($O31+$P31+$Q31))</f>
        <v>32.286617492096944</v>
      </c>
      <c r="I153" s="392"/>
      <c r="J153" s="392">
        <f>(P30*100*($E30/365)/($O30+$P30+$Q30))+(P31*100*($E31/365)/($O31+$P31+$Q31))</f>
        <v>37.814387416793032</v>
      </c>
      <c r="K153" s="392"/>
      <c r="L153" s="392">
        <f>(Q30*100*($E30/365)/($O30+$P30+$Q30))+(Q31*100*($E31/365)/($O31+$P31+$Q31))</f>
        <v>29.898995091110024</v>
      </c>
      <c r="M153" s="392"/>
      <c r="N153" s="363">
        <f t="shared" si="34"/>
        <v>100</v>
      </c>
      <c r="O153" s="363"/>
      <c r="P153" s="4"/>
      <c r="Q153" s="4"/>
      <c r="R153" s="1">
        <v>1971</v>
      </c>
      <c r="S153" s="5">
        <f>(O30*($E30/365)) + (O31*($E31/365))</f>
        <v>17.208767123287668</v>
      </c>
      <c r="T153" s="5">
        <f>(P30*($E30/365)) + (P31*($E31/365))</f>
        <v>20.155068493150683</v>
      </c>
      <c r="U153" s="5">
        <f>(Q30*($E30/365)) + (Q31*($E31/365))</f>
        <v>15.936164383561643</v>
      </c>
      <c r="V153" s="5"/>
      <c r="W153" s="5">
        <f t="shared" si="33"/>
        <v>53.3</v>
      </c>
    </row>
    <row r="154" spans="1:23" x14ac:dyDescent="0.15">
      <c r="A154" s="1">
        <v>1972</v>
      </c>
      <c r="B154" s="5">
        <f>K32*($E32/366)+K33*($E33/366)</f>
        <v>0</v>
      </c>
      <c r="C154" s="5">
        <f>L32*($E32/366)+L33*($E33/366)</f>
        <v>71.428571428571431</v>
      </c>
      <c r="D154" s="5">
        <f>M32*($E32/366)+M33*($E33/366)</f>
        <v>28.571428571428569</v>
      </c>
      <c r="E154" s="23">
        <f t="shared" si="32"/>
        <v>100</v>
      </c>
      <c r="F154" s="4"/>
      <c r="G154" s="1">
        <v>1972</v>
      </c>
      <c r="H154" s="392">
        <f>(O32*100*($E32/366)/($O32+$P32+$Q32))+(O33*100*($E33/366)/($O33+$P33+$Q33))</f>
        <v>0</v>
      </c>
      <c r="I154" s="392"/>
      <c r="J154" s="392">
        <f>(P32*100*($E32/366)/($O32+$P32+$Q32))+(P33*100*($E33/366)/($O33+$P33+$Q33))</f>
        <v>68.667917448405262</v>
      </c>
      <c r="K154" s="392"/>
      <c r="L154" s="392">
        <f>(Q32*100*($E32/366)/($O32+$P32+$Q32))+(Q33*100*($E33/366)/($O33+$P33+$Q33))</f>
        <v>31.332082551594748</v>
      </c>
      <c r="M154" s="392"/>
      <c r="N154" s="363">
        <f t="shared" si="34"/>
        <v>100.00000000000001</v>
      </c>
      <c r="O154" s="363"/>
      <c r="P154" s="4"/>
      <c r="Q154" s="4"/>
      <c r="R154" s="1">
        <v>1972</v>
      </c>
      <c r="S154" s="5">
        <f>(O32*($E32/366)) + (O33*($E33/366))</f>
        <v>0</v>
      </c>
      <c r="T154" s="5">
        <f>(P32*($E32/366)) + (P33*($E33/366))</f>
        <v>36.6</v>
      </c>
      <c r="U154" s="5">
        <f>(Q32*($E32/366)) + (Q33*($E33/366))</f>
        <v>16.7</v>
      </c>
      <c r="V154" s="5"/>
      <c r="W154" s="5">
        <f t="shared" si="33"/>
        <v>53.3</v>
      </c>
    </row>
    <row r="155" spans="1:23" x14ac:dyDescent="0.15">
      <c r="A155" s="1">
        <v>1973</v>
      </c>
      <c r="B155" s="5">
        <f>K34*($E34/365)+K35*($E35/365)</f>
        <v>0</v>
      </c>
      <c r="C155" s="5">
        <f>L34*($E34/365)+L35*($E35/365)</f>
        <v>71.428571428571431</v>
      </c>
      <c r="D155" s="5">
        <f>M34*($E34/365)+M35*($E35/365)</f>
        <v>28.571428571428569</v>
      </c>
      <c r="E155" s="23">
        <f t="shared" si="32"/>
        <v>100</v>
      </c>
      <c r="F155" s="4"/>
      <c r="G155" s="1">
        <v>1973</v>
      </c>
      <c r="H155" s="392">
        <f>(O34*100*($E34/365)/($O34+$P34+$Q34))+(O35*100*($E35/365)/($O35+$P35+$Q35))</f>
        <v>0</v>
      </c>
      <c r="I155" s="392"/>
      <c r="J155" s="392">
        <f>(P34*100*($E34/365)/($O34+$P34+$Q34))+(P35*100*($E35/365)/($O35+$P35+$Q35))</f>
        <v>68.667917448405262</v>
      </c>
      <c r="K155" s="392"/>
      <c r="L155" s="392">
        <f>(Q34*100*($E34/365)/($O34+$P34+$Q34))+(Q35*100*($E35/365)/($O35+$P35+$Q35))</f>
        <v>31.332082551594748</v>
      </c>
      <c r="M155" s="392"/>
      <c r="N155" s="363">
        <f t="shared" si="34"/>
        <v>100.00000000000001</v>
      </c>
      <c r="O155" s="363"/>
      <c r="P155" s="4"/>
      <c r="Q155" s="4"/>
      <c r="R155" s="1">
        <v>1973</v>
      </c>
      <c r="S155" s="5">
        <f>(O34*($E34/365)) + (O35*($E35/365))</f>
        <v>0</v>
      </c>
      <c r="T155" s="5">
        <f>(P34*($E34/365)) + (P35*($E35/365))</f>
        <v>36.6</v>
      </c>
      <c r="U155" s="5">
        <f>(Q34*($E34/365)) + (Q35*($E35/365))</f>
        <v>16.7</v>
      </c>
      <c r="V155" s="5"/>
      <c r="W155" s="5">
        <f t="shared" si="33"/>
        <v>53.3</v>
      </c>
    </row>
    <row r="156" spans="1:23" x14ac:dyDescent="0.15">
      <c r="A156" s="1">
        <v>1974</v>
      </c>
      <c r="B156" s="5">
        <f>K36*($E36/365)+K37*($E37/365)</f>
        <v>17.123287671232877</v>
      </c>
      <c r="C156" s="5">
        <f>L36*($E36/365)+L37*($E37/365)</f>
        <v>64.090019569471622</v>
      </c>
      <c r="D156" s="5">
        <f>M36*($E36/365)+M37*($E37/365)</f>
        <v>18.786692759295498</v>
      </c>
      <c r="E156" s="23">
        <f t="shared" si="32"/>
        <v>100</v>
      </c>
      <c r="F156" s="4"/>
      <c r="G156" s="1">
        <v>1974</v>
      </c>
      <c r="H156" s="392">
        <f>(O36*100*($E36/365)/($O36+$P36+$Q36))+(O37*100*($E37/365)/($O37+$P37+$Q37))</f>
        <v>20.401174168297455</v>
      </c>
      <c r="I156" s="392"/>
      <c r="J156" s="392">
        <f>(P36*100*($E36/365)/($O36+$P36+$Q36))+(P37*100*($E37/365)/($O37+$P37+$Q37))</f>
        <v>58.996908537503252</v>
      </c>
      <c r="K156" s="392"/>
      <c r="L156" s="392">
        <f>(Q36*100*($E36/365)/($O36+$P36+$Q36))+(Q37*100*($E37/365)/($O37+$P37+$Q37))</f>
        <v>20.601917294199286</v>
      </c>
      <c r="M156" s="392"/>
      <c r="N156" s="363">
        <f t="shared" si="34"/>
        <v>99.999999999999986</v>
      </c>
      <c r="O156" s="363"/>
      <c r="P156" s="4"/>
      <c r="Q156" s="4"/>
      <c r="R156" s="1">
        <v>1974</v>
      </c>
      <c r="S156" s="5">
        <f>(O36*($E36/365)) + (O37*($E37/365))</f>
        <v>14.28082191780822</v>
      </c>
      <c r="T156" s="5">
        <f>(P36*($E36/365)) + (P37*($E37/365))</f>
        <v>33.757534246575339</v>
      </c>
      <c r="U156" s="5">
        <f>(Q36*($E36/365)) + (Q37*($E37/365))</f>
        <v>10.980821917808218</v>
      </c>
      <c r="V156" s="5"/>
      <c r="W156" s="5">
        <f t="shared" si="33"/>
        <v>59.019178082191772</v>
      </c>
    </row>
    <row r="157" spans="1:23" x14ac:dyDescent="0.15">
      <c r="A157" s="1">
        <v>1975</v>
      </c>
      <c r="B157" s="5">
        <f>K38*($E38/365)+K39*($E39/365)</f>
        <v>50</v>
      </c>
      <c r="C157" s="5">
        <f>L38*($E38/365)+L39*($E39/365)</f>
        <v>50</v>
      </c>
      <c r="D157" s="5">
        <f>M38*($E38/365)+M39*($E39/365)</f>
        <v>0</v>
      </c>
      <c r="E157" s="23">
        <f t="shared" si="32"/>
        <v>100</v>
      </c>
      <c r="F157" s="4"/>
      <c r="G157" s="1">
        <v>1975</v>
      </c>
      <c r="H157" s="392">
        <f>(O38*100*($E38/365)/($O38+$P38+$Q38))+(O39*100*($E39/365)/($O39+$P39+$Q39))</f>
        <v>59.571428571428569</v>
      </c>
      <c r="I157" s="392"/>
      <c r="J157" s="392">
        <f>(P38*100*($E38/365)/($O38+$P38+$Q38))+(P39*100*($E39/365)/($O39+$P39+$Q39))</f>
        <v>40.428571428571431</v>
      </c>
      <c r="K157" s="392"/>
      <c r="L157" s="392">
        <f>(Q38*100*($E38/365)/($O38+$P38+$Q38))+(Q39*100*($E39/365)/($O39+$P39+$Q39))</f>
        <v>0</v>
      </c>
      <c r="M157" s="392"/>
      <c r="N157" s="363">
        <f t="shared" si="34"/>
        <v>100</v>
      </c>
      <c r="O157" s="363"/>
      <c r="P157" s="4"/>
      <c r="Q157" s="4"/>
      <c r="R157" s="1">
        <v>1975</v>
      </c>
      <c r="S157" s="5">
        <f>(O38*($E38/365)) + (O39*($E39/365))</f>
        <v>41.7</v>
      </c>
      <c r="T157" s="5">
        <f>(P38*($E38/365)) + (P39*($E39/365))</f>
        <v>28.3</v>
      </c>
      <c r="U157" s="5">
        <f>(Q38*($E38/365)) + (Q39*($E39/365))</f>
        <v>0</v>
      </c>
      <c r="V157" s="5"/>
      <c r="W157" s="5">
        <f t="shared" si="33"/>
        <v>70</v>
      </c>
    </row>
    <row r="158" spans="1:23" x14ac:dyDescent="0.15">
      <c r="A158" s="1">
        <v>1976</v>
      </c>
      <c r="B158" s="5">
        <f>K40*($E40/366)+K41*($E41/366)</f>
        <v>50</v>
      </c>
      <c r="C158" s="5">
        <f>L40*($E40/366)+L41*($E41/366)</f>
        <v>50</v>
      </c>
      <c r="D158" s="5">
        <f>M40*($E40/366)+M41*($E41/366)</f>
        <v>0</v>
      </c>
      <c r="E158" s="23">
        <f t="shared" si="32"/>
        <v>100</v>
      </c>
      <c r="F158" s="4"/>
      <c r="G158" s="1">
        <v>1976</v>
      </c>
      <c r="H158" s="392">
        <f>(O40*100*($E40/366)/($O40+$P40+$Q40))+(O41*100*($E41/366)/($O41+$P41+$Q41))</f>
        <v>59.571428571428569</v>
      </c>
      <c r="I158" s="392"/>
      <c r="J158" s="392">
        <f>(P40*100*($E40/366)/($O40+$P40+$Q40))+(P41*100*($E41/366)/($O41+$P41+$Q41))</f>
        <v>40.428571428571431</v>
      </c>
      <c r="K158" s="392"/>
      <c r="L158" s="392">
        <f>(Q40*100*($E40/366)/($O40+$P40+$Q40))+(Q41*100*($E41/366)/($O41+$P41+$Q41))</f>
        <v>0</v>
      </c>
      <c r="M158" s="392"/>
      <c r="N158" s="363">
        <f t="shared" si="34"/>
        <v>100</v>
      </c>
      <c r="O158" s="363"/>
      <c r="P158" s="4"/>
      <c r="Q158" s="4"/>
      <c r="R158" s="1">
        <v>1976</v>
      </c>
      <c r="S158" s="5">
        <f>(O40*($E40/366)) + (O41*($E41/366))</f>
        <v>41.7</v>
      </c>
      <c r="T158" s="5">
        <f>(P40*($E40/366)) + (P41*($E41/366))</f>
        <v>28.3</v>
      </c>
      <c r="U158" s="5">
        <f>(Q40*($E40/366)) + (Q41*($E41/366))</f>
        <v>0</v>
      </c>
      <c r="V158" s="5"/>
      <c r="W158" s="5">
        <f t="shared" si="33"/>
        <v>70</v>
      </c>
    </row>
    <row r="159" spans="1:23" x14ac:dyDescent="0.15">
      <c r="A159" s="1">
        <v>1977</v>
      </c>
      <c r="B159" s="5">
        <f>K42*($E42/365)+K43*($E43/365)</f>
        <v>50</v>
      </c>
      <c r="C159" s="5">
        <f>L42*($E42/365)+L43*($E43/365)</f>
        <v>50</v>
      </c>
      <c r="D159" s="5">
        <f>M42*($E42/365)+M43*($E43/365)</f>
        <v>0</v>
      </c>
      <c r="E159" s="23">
        <f t="shared" si="32"/>
        <v>100</v>
      </c>
      <c r="F159" s="4"/>
      <c r="G159" s="1">
        <v>1977</v>
      </c>
      <c r="H159" s="392">
        <f>(O42*100*($E42/365)/($O42+$P42+$Q42))+(O43*100*($E43/365)/($O43+$P43+$Q43))</f>
        <v>59.571428571428569</v>
      </c>
      <c r="I159" s="392"/>
      <c r="J159" s="392">
        <f>(P42*100*($E42/365)/($O42+$P42+$Q42))+(P43*100*($E43/365)/($O43+$P43+$Q43))</f>
        <v>40.428571428571431</v>
      </c>
      <c r="K159" s="392"/>
      <c r="L159" s="392">
        <f>(Q42*100*($E42/365)/($O42+$P42+$Q42))+(Q43*100*($E43/365)/($O43+$P43+$Q43))</f>
        <v>0</v>
      </c>
      <c r="M159" s="392"/>
      <c r="N159" s="363">
        <f t="shared" si="34"/>
        <v>100</v>
      </c>
      <c r="O159" s="363"/>
      <c r="P159" s="4"/>
      <c r="Q159" s="4"/>
      <c r="R159" s="1">
        <v>1977</v>
      </c>
      <c r="S159" s="5">
        <f>(O42*($E42/365)) + (O43*($E43/365))</f>
        <v>41.7</v>
      </c>
      <c r="T159" s="5">
        <f>(P42*($E42/365)) + (P43*($E43/365))</f>
        <v>28.3</v>
      </c>
      <c r="U159" s="5">
        <f>(Q42*($E42/365)) + (Q43*($E43/365))</f>
        <v>0</v>
      </c>
      <c r="V159" s="5"/>
      <c r="W159" s="5">
        <f t="shared" si="33"/>
        <v>70</v>
      </c>
    </row>
    <row r="160" spans="1:23" x14ac:dyDescent="0.15">
      <c r="A160" s="1">
        <v>1978</v>
      </c>
      <c r="B160" s="5">
        <f>K44*($E44/365)+K45*($E45/365)</f>
        <v>33.150684931506852</v>
      </c>
      <c r="C160" s="5">
        <f>L44*($E44/365)+L45*($E45/365)</f>
        <v>44.38356164383562</v>
      </c>
      <c r="D160" s="5">
        <f>M44*($E44/365)+M45*($E45/365)</f>
        <v>22.465753424657532</v>
      </c>
      <c r="E160" s="23">
        <f t="shared" si="32"/>
        <v>100.00000000000001</v>
      </c>
      <c r="F160" s="4"/>
      <c r="G160" s="1">
        <v>1978</v>
      </c>
      <c r="H160" s="392">
        <f>(O44*100*($E44/365)/($O44+$P44+$Q44))+(O45*100*($E45/365)/($O45+$P45+$Q45))</f>
        <v>39.496673189823881</v>
      </c>
      <c r="I160" s="392"/>
      <c r="J160" s="392">
        <f>(P44*100*($E44/365)/($O44+$P44+$Q44))+(P45*100*($E45/365)/($O45+$P45+$Q45))</f>
        <v>36.924405423035566</v>
      </c>
      <c r="K160" s="392"/>
      <c r="L160" s="392">
        <f>(Q44*100*($E44/365)/($O44+$P44+$Q44))+(Q45*100*($E45/365)/($O45+$P45+$Q45))</f>
        <v>23.578921387140568</v>
      </c>
      <c r="M160" s="392"/>
      <c r="N160" s="363">
        <f t="shared" si="34"/>
        <v>100.00000000000001</v>
      </c>
      <c r="O160" s="363"/>
      <c r="P160" s="4"/>
      <c r="Q160" s="4"/>
      <c r="R160" s="1">
        <v>1978</v>
      </c>
      <c r="S160" s="5">
        <f>(O44*($E44/365)) + (O45*($E45/365))</f>
        <v>27.647671232876718</v>
      </c>
      <c r="T160" s="5">
        <f>(P44*($E44/365)) + (P45*($E45/365))</f>
        <v>25.503013698630138</v>
      </c>
      <c r="U160" s="5">
        <f>(Q44*($E44/365)) + (Q45*($E45/365))</f>
        <v>15.703561643835616</v>
      </c>
      <c r="V160" s="5"/>
      <c r="W160" s="5">
        <f t="shared" si="33"/>
        <v>68.854246575342472</v>
      </c>
    </row>
    <row r="161" spans="1:23" x14ac:dyDescent="0.15">
      <c r="A161" s="1">
        <v>1979</v>
      </c>
      <c r="B161" s="5">
        <f>K46*($E46/365)+K47*($E47/365)</f>
        <v>0</v>
      </c>
      <c r="C161" s="5">
        <f>L46*($E46/365)+L47*($E47/365)</f>
        <v>26.210045662100452</v>
      </c>
      <c r="D161" s="5">
        <f>M46*($E46/365)+M47*($E47/365)</f>
        <v>73.78995433789953</v>
      </c>
      <c r="E161" s="23">
        <f t="shared" si="32"/>
        <v>99.999999999999986</v>
      </c>
      <c r="F161" s="4"/>
      <c r="G161" s="1">
        <v>1979</v>
      </c>
      <c r="H161" s="392">
        <f>(O46*100*($E46/365)/($O46+$P46+$Q46))+(O47*100*($E47/365)/($O47+$P47+$Q47))</f>
        <v>0</v>
      </c>
      <c r="I161" s="392"/>
      <c r="J161" s="392">
        <f>(P46*100*($E46/365)/($O46+$P46+$Q46))+(P47*100*($E47/365)/($O47+$P47+$Q47))</f>
        <v>23.612653749640049</v>
      </c>
      <c r="K161" s="392"/>
      <c r="L161" s="392">
        <f>(Q46*100*($E46/365)/($O46+$P46+$Q46))+(Q47*100*($E47/365)/($O47+$P47+$Q47))</f>
        <v>76.387346250359954</v>
      </c>
      <c r="M161" s="392"/>
      <c r="N161" s="363">
        <f t="shared" si="34"/>
        <v>100</v>
      </c>
      <c r="O161" s="363"/>
      <c r="P161" s="4"/>
      <c r="Q161" s="4"/>
      <c r="R161" s="1">
        <v>1979</v>
      </c>
      <c r="S161" s="5">
        <f>(O46*($E46/365)) + (O47*($E47/365))</f>
        <v>0</v>
      </c>
      <c r="T161" s="5">
        <f>(P46*($E46/365)) + (P47*($E47/365))</f>
        <v>15.726027397260275</v>
      </c>
      <c r="U161" s="5">
        <f>(Q46*($E46/365)) + (Q47*($E47/365))</f>
        <v>41.620821917808222</v>
      </c>
      <c r="V161" s="5"/>
      <c r="W161" s="5">
        <f t="shared" si="33"/>
        <v>57.346849315068496</v>
      </c>
    </row>
    <row r="162" spans="1:23" x14ac:dyDescent="0.15">
      <c r="A162" s="1">
        <v>1980</v>
      </c>
      <c r="B162" s="5">
        <f>K48*($E48/366)+K49*($E49/366)</f>
        <v>35.846994535519123</v>
      </c>
      <c r="C162" s="5">
        <f>L48*($E48/366)+L49*($E49/366)</f>
        <v>26.885245901639344</v>
      </c>
      <c r="D162" s="5">
        <f>M48*($E48/366)+M49*($E49/366)</f>
        <v>37.267759562841533</v>
      </c>
      <c r="E162" s="23">
        <f t="shared" si="32"/>
        <v>100</v>
      </c>
      <c r="F162" s="4"/>
      <c r="G162" s="1">
        <v>1980</v>
      </c>
      <c r="H162" s="392">
        <f>(O48*100*($E48/366)/($O48+$P48+$Q48))+(O49*100*($E49/366)/($O49+$P49+$Q49))</f>
        <v>38.438872816886324</v>
      </c>
      <c r="I162" s="392"/>
      <c r="J162" s="392">
        <f>(P48*100*($E48/366)/($O48+$P48+$Q48))+(P49*100*($E49/366)/($O49+$P49+$Q49))</f>
        <v>31.080574306225227</v>
      </c>
      <c r="K162" s="392"/>
      <c r="L162" s="392">
        <f>(Q48*100*($E48/366)/($O48+$P48+$Q48))+(Q49*100*($E49/366)/($O49+$P49+$Q49))</f>
        <v>30.48055287688846</v>
      </c>
      <c r="M162" s="392"/>
      <c r="N162" s="363">
        <f t="shared" si="34"/>
        <v>100</v>
      </c>
      <c r="O162" s="363"/>
      <c r="P162" s="4"/>
      <c r="Q162" s="4"/>
      <c r="R162" s="1">
        <v>1980</v>
      </c>
      <c r="S162" s="5">
        <f>(O48*($E48/366)) + (O49*($E49/366))</f>
        <v>31.366120218579233</v>
      </c>
      <c r="T162" s="5">
        <f>(P48*($E48/366)) + (P49*($E49/366))</f>
        <v>25.361748633879781</v>
      </c>
      <c r="U162" s="5">
        <f>(Q48*($E48/366)) + (Q49*($E49/366))</f>
        <v>18.819125683060111</v>
      </c>
      <c r="V162" s="5"/>
      <c r="W162" s="5">
        <f t="shared" si="33"/>
        <v>75.546994535519119</v>
      </c>
    </row>
    <row r="163" spans="1:23" x14ac:dyDescent="0.15">
      <c r="A163" s="1">
        <v>1981</v>
      </c>
      <c r="B163" s="5">
        <f>K50*($E50/365)+K51*($E51/365)</f>
        <v>40</v>
      </c>
      <c r="C163" s="5">
        <f>L50*($E50/365)+L51*($E51/365)</f>
        <v>30</v>
      </c>
      <c r="D163" s="5">
        <f>M50*($E50/365)+M51*($E51/365)</f>
        <v>30</v>
      </c>
      <c r="E163" s="23">
        <f t="shared" si="32"/>
        <v>100</v>
      </c>
      <c r="F163" s="4"/>
      <c r="G163" s="1">
        <v>1981</v>
      </c>
      <c r="H163" s="392">
        <f>(O50*100*($E50/365)/($O50+$P50+$Q50))+(O51*100*($E51/365)/($O51+$P51+$Q51))</f>
        <v>42.892156862745104</v>
      </c>
      <c r="I163" s="392"/>
      <c r="J163" s="392">
        <f>(P50*100*($E50/365)/($O50+$P50+$Q50))+(P51*100*($E51/365)/($O51+$P51+$Q51))</f>
        <v>34.681372549019613</v>
      </c>
      <c r="K163" s="392"/>
      <c r="L163" s="392">
        <f>(Q50*100*($E50/365)/($O50+$P50+$Q50))+(Q51*100*($E51/365)/($O51+$P51+$Q51))</f>
        <v>22.426470588235297</v>
      </c>
      <c r="M163" s="392"/>
      <c r="N163" s="363">
        <f t="shared" si="34"/>
        <v>100.00000000000003</v>
      </c>
      <c r="O163" s="363"/>
      <c r="P163" s="4"/>
      <c r="Q163" s="4"/>
      <c r="R163" s="1">
        <v>1981</v>
      </c>
      <c r="S163" s="5">
        <f>(O50*($E50/365)) + (O51*($E51/365))</f>
        <v>35</v>
      </c>
      <c r="T163" s="5">
        <f>(P50*($E50/365)) + (P51*($E51/365))</f>
        <v>28.3</v>
      </c>
      <c r="U163" s="5">
        <f>(Q50*($E50/365)) + (Q51*($E51/365))</f>
        <v>18.3</v>
      </c>
      <c r="V163" s="5"/>
      <c r="W163" s="5">
        <f t="shared" si="33"/>
        <v>81.599999999999994</v>
      </c>
    </row>
    <row r="164" spans="1:23" x14ac:dyDescent="0.15">
      <c r="A164" s="1">
        <v>1982</v>
      </c>
      <c r="B164" s="5">
        <f>K52*($E52/365)+K53*($E53/365)</f>
        <v>40</v>
      </c>
      <c r="C164" s="5">
        <f>L52*($E52/365)+L53*($E53/365)</f>
        <v>30</v>
      </c>
      <c r="D164" s="5">
        <f>M52*($E52/365)+M53*($E53/365)</f>
        <v>30</v>
      </c>
      <c r="E164" s="23">
        <f t="shared" si="32"/>
        <v>100</v>
      </c>
      <c r="F164" s="4"/>
      <c r="G164" s="1">
        <v>1982</v>
      </c>
      <c r="H164" s="392">
        <f>(O52*100*($E52/365)/($O52+$P52+$Q52))+(O53*100*($E53/365)/($O53+$P53+$Q53))</f>
        <v>42.892156862745104</v>
      </c>
      <c r="I164" s="392"/>
      <c r="J164" s="392">
        <f>(P52*100*($E52/365)/($O52+$P52+$Q52))+(P53*100*($E53/365)/($O53+$P53+$Q53))</f>
        <v>34.681372549019613</v>
      </c>
      <c r="K164" s="392"/>
      <c r="L164" s="392">
        <f>(Q52*100*($E52/365)/($O52+$P52+$Q52))+(Q53*100*($E53/365)/($O53+$P53+$Q53))</f>
        <v>22.426470588235297</v>
      </c>
      <c r="M164" s="392"/>
      <c r="N164" s="363">
        <f t="shared" si="34"/>
        <v>100.00000000000003</v>
      </c>
      <c r="O164" s="363"/>
      <c r="P164" s="4"/>
      <c r="Q164" s="4"/>
      <c r="R164" s="1">
        <v>1982</v>
      </c>
      <c r="S164" s="5">
        <f>(O52*($E52/365)) + (O53*($E53/365))</f>
        <v>35</v>
      </c>
      <c r="T164" s="5">
        <f>(P52*($E52/365)) + (P53*($E53/365))</f>
        <v>28.3</v>
      </c>
      <c r="U164" s="5">
        <f>(Q52*($E52/365)) + (Q53*($E53/365))</f>
        <v>18.3</v>
      </c>
      <c r="V164" s="5"/>
      <c r="W164" s="5">
        <f t="shared" si="33"/>
        <v>81.599999999999994</v>
      </c>
    </row>
    <row r="165" spans="1:23" x14ac:dyDescent="0.15">
      <c r="A165" s="1">
        <v>1983</v>
      </c>
      <c r="B165" s="5">
        <f>K54*($E54/365)+K55*($E55/365)</f>
        <v>52.054794520547944</v>
      </c>
      <c r="C165" s="5">
        <f>L54*($E54/365)+L55*($E55/365)</f>
        <v>36.027397260273972</v>
      </c>
      <c r="D165" s="5">
        <f>M54*($E54/365)+M55*($E55/365)</f>
        <v>11.917808219178081</v>
      </c>
      <c r="E165" s="23">
        <f t="shared" si="32"/>
        <v>100</v>
      </c>
      <c r="F165" s="4"/>
      <c r="G165" s="1">
        <v>1983</v>
      </c>
      <c r="H165" s="392">
        <f>(O54*100*($E54/365)/($O54+$P54+$Q54))+(O55*100*($E55/365)/($O55+$P55+$Q55))</f>
        <v>54.514888147039642</v>
      </c>
      <c r="I165" s="392"/>
      <c r="J165" s="392">
        <f>(P54*100*($E54/365)/($O54+$P54+$Q54))+(P55*100*($E55/365)/($O55+$P55+$Q55))</f>
        <v>36.575966002839493</v>
      </c>
      <c r="K165" s="392"/>
      <c r="L165" s="392">
        <f>(Q54*100*($E54/365)/($O54+$P54+$Q54))+(Q55*100*($E55/365)/($O55+$P55+$Q55))</f>
        <v>8.9091458501208702</v>
      </c>
      <c r="M165" s="392"/>
      <c r="N165" s="363">
        <f t="shared" si="34"/>
        <v>100</v>
      </c>
      <c r="O165" s="363"/>
      <c r="Q165" s="4"/>
      <c r="R165" s="1">
        <v>1983</v>
      </c>
      <c r="S165" s="5">
        <f>(O54*($E54/365)) + (O55*($E55/365))</f>
        <v>36.989041095890407</v>
      </c>
      <c r="T165" s="5">
        <f>(P54*($E54/365)) + (P55*($E55/365))</f>
        <v>25.286301369863011</v>
      </c>
      <c r="U165" s="5">
        <f>(Q54*($E54/365)) + (Q55*($E55/365))</f>
        <v>7.2698630136986298</v>
      </c>
      <c r="V165" s="5"/>
      <c r="W165" s="5">
        <f t="shared" si="33"/>
        <v>69.545205479452051</v>
      </c>
    </row>
    <row r="166" spans="1:23" x14ac:dyDescent="0.15">
      <c r="A166" s="1">
        <v>1984</v>
      </c>
      <c r="B166" s="5">
        <f>K56*($E56/366)+K57*($E57/366)</f>
        <v>60</v>
      </c>
      <c r="C166" s="5">
        <f>L56*($E56/366)+L57*($E57/366)</f>
        <v>40</v>
      </c>
      <c r="D166" s="5">
        <f>M56*($E56/366)+M57*($E57/366)</f>
        <v>0</v>
      </c>
      <c r="E166" s="23">
        <f t="shared" si="32"/>
        <v>100</v>
      </c>
      <c r="F166" s="4"/>
      <c r="G166" s="1">
        <v>1984</v>
      </c>
      <c r="H166" s="392">
        <f>(O56*100*($E56/366)/($O56+$P56+$Q56))+(O57*100*($E57/366)/($O57+$P57+$Q57))</f>
        <v>62.175324675324674</v>
      </c>
      <c r="I166" s="392"/>
      <c r="J166" s="392">
        <f>(P56*100*($E56/366)/($O56+$P56+$Q56))+(P57*100*($E57/366)/($O57+$P57+$Q57))</f>
        <v>37.824675324675326</v>
      </c>
      <c r="K166" s="392"/>
      <c r="L166" s="392">
        <f>(Q56*100*($E56/366)/($O56+$P56+$Q56))+(Q57*100*($E57/366)/($O57+$P57+$Q57))</f>
        <v>0</v>
      </c>
      <c r="M166" s="392"/>
      <c r="N166" s="363">
        <f t="shared" si="34"/>
        <v>100</v>
      </c>
      <c r="O166" s="363"/>
      <c r="Q166" s="4"/>
      <c r="R166" s="1">
        <v>1984</v>
      </c>
      <c r="S166" s="5">
        <f>(O56*($E56/366)) + (O57*($E57/366))</f>
        <v>38.299999999999997</v>
      </c>
      <c r="T166" s="5">
        <f>(P56*($E56/366)) + (P57*($E57/366))</f>
        <v>23.3</v>
      </c>
      <c r="U166" s="5">
        <f>(Q56*($E56/366)) + (Q57*($E57/366))</f>
        <v>0</v>
      </c>
      <c r="V166" s="5"/>
      <c r="W166" s="5">
        <f t="shared" si="33"/>
        <v>61.599999999999994</v>
      </c>
    </row>
    <row r="167" spans="1:23" x14ac:dyDescent="0.15">
      <c r="A167" s="1">
        <v>1985</v>
      </c>
      <c r="B167" s="5">
        <f>K58*($E58/365)+K59*($E59/365)</f>
        <v>60</v>
      </c>
      <c r="C167" s="5">
        <f>L58*($E58/365)+L59*($E59/365)</f>
        <v>40</v>
      </c>
      <c r="D167" s="5">
        <f>M58*($E58/365)+M59*($E59/365)</f>
        <v>0</v>
      </c>
      <c r="E167" s="23">
        <f t="shared" si="32"/>
        <v>100</v>
      </c>
      <c r="G167" s="1">
        <v>1985</v>
      </c>
      <c r="H167" s="392">
        <f>(O58*100*($E58/365)/($O58+$P58+$Q58))+(O59*100*($E59/365)/($O59+$P59+$Q59))</f>
        <v>62.175324675324674</v>
      </c>
      <c r="I167" s="392"/>
      <c r="J167" s="392">
        <f>(P58*100*($E58/365)/($O58+$P58+$Q58))+(P59*100*($E59/365)/($O59+$P59+$Q59))</f>
        <v>37.824675324675326</v>
      </c>
      <c r="K167" s="392"/>
      <c r="L167" s="392">
        <f>(Q58*100*($E58/365)/($O58+$P58+$Q58))+(Q59*100*($E59/365)/($O59+$P59+$Q59))</f>
        <v>0</v>
      </c>
      <c r="M167" s="392"/>
      <c r="N167" s="363">
        <f t="shared" si="34"/>
        <v>100</v>
      </c>
      <c r="O167" s="363"/>
      <c r="R167" s="1">
        <v>1985</v>
      </c>
      <c r="S167" s="5">
        <f>(O58*($E58/365)) + (O59*($E59/365))</f>
        <v>38.299999999999997</v>
      </c>
      <c r="T167" s="5">
        <f>(P58*($E58/365)) + (P59*($E59/365))</f>
        <v>23.3</v>
      </c>
      <c r="U167" s="5">
        <f>(Q58*($E58/365)) + (Q59*($E59/365))</f>
        <v>0</v>
      </c>
      <c r="V167" s="5"/>
      <c r="W167" s="5">
        <f t="shared" si="33"/>
        <v>61.599999999999994</v>
      </c>
    </row>
    <row r="168" spans="1:23" x14ac:dyDescent="0.15">
      <c r="A168" s="1">
        <v>1986</v>
      </c>
      <c r="B168" s="5">
        <f>K60*($E60/365)+K61*($E61/365)</f>
        <v>60</v>
      </c>
      <c r="C168" s="5">
        <f>L60*($E60/365)+L61*($E61/365)</f>
        <v>40</v>
      </c>
      <c r="D168" s="5">
        <f>M60*($E60/365)+M61*($E61/365)</f>
        <v>0</v>
      </c>
      <c r="E168" s="23">
        <f t="shared" si="32"/>
        <v>100</v>
      </c>
      <c r="G168" s="1">
        <v>1986</v>
      </c>
      <c r="H168" s="392">
        <f>(O60*100*($E60/365)/($O60+$P60+$Q60))+(O61*100*($E61/365)/($O61+$P61+$Q61))</f>
        <v>62.175324675324674</v>
      </c>
      <c r="I168" s="392"/>
      <c r="J168" s="392">
        <f>(P60*100*($E60/365)/($O60+$P60+$Q60))+(P61*100*($E61/365)/($O61+$P61+$Q61))</f>
        <v>37.824675324675326</v>
      </c>
      <c r="K168" s="392"/>
      <c r="L168" s="392">
        <f>(Q60*100*($E60/365)/($O60+$P60+$Q60))+(Q61*100*($E61/365)/($O61+$P61+$Q61))</f>
        <v>0</v>
      </c>
      <c r="M168" s="392"/>
      <c r="N168" s="363">
        <f t="shared" si="34"/>
        <v>100</v>
      </c>
      <c r="O168" s="363"/>
      <c r="R168" s="1">
        <v>1986</v>
      </c>
      <c r="S168" s="5">
        <f>(O60*($E60/365)) + (O61*($E61/365))</f>
        <v>38.299999999999997</v>
      </c>
      <c r="T168" s="5">
        <f>(P60*($E60/365)) + (P61*($E61/365))</f>
        <v>23.3</v>
      </c>
      <c r="U168" s="5">
        <f>(Q60*($E60/365)) + (Q61*($E61/365))</f>
        <v>0</v>
      </c>
      <c r="V168" s="5"/>
      <c r="W168" s="5">
        <f t="shared" si="33"/>
        <v>61.599999999999994</v>
      </c>
    </row>
    <row r="169" spans="1:23" x14ac:dyDescent="0.15">
      <c r="A169" s="1">
        <v>1987</v>
      </c>
      <c r="B169" s="5">
        <f>K62*($E62/365)+K63*($E63/365)</f>
        <v>48.537982565379828</v>
      </c>
      <c r="C169" s="5">
        <f>L62*($E62/365)+L63*($E63/365)</f>
        <v>38.236612702366131</v>
      </c>
      <c r="D169" s="5">
        <f>M62*($E62/365)+M63*($E63/365)</f>
        <v>13.225404732254047</v>
      </c>
      <c r="E169" s="23">
        <f t="shared" si="32"/>
        <v>100</v>
      </c>
      <c r="G169" s="1">
        <v>1987</v>
      </c>
      <c r="H169" s="392">
        <f>(O62*100*($E62/365)/($O62+$P62+$Q62))+(O63*100*($E63/365)/($O63+$P63+$Q63))</f>
        <v>53.361537093043935</v>
      </c>
      <c r="I169" s="392"/>
      <c r="J169" s="392">
        <f>(P62*100*($E62/365)/($O62+$P62+$Q62))+(P63*100*($E63/365)/($O63+$P63+$Q63))</f>
        <v>34.850897048157321</v>
      </c>
      <c r="K169" s="392"/>
      <c r="L169" s="392">
        <f>(Q62*100*($E62/365)/($O62+$P62+$Q62))+(Q63*100*($E63/365)/($O63+$P63+$Q63))</f>
        <v>11.787565858798736</v>
      </c>
      <c r="M169" s="392"/>
      <c r="N169" s="363">
        <f t="shared" si="34"/>
        <v>100</v>
      </c>
      <c r="O169" s="363"/>
      <c r="R169" s="1">
        <v>1987</v>
      </c>
      <c r="S169" s="5">
        <f>(O62*($E62/365)) + (O63*($E63/365))</f>
        <v>33.596164383561643</v>
      </c>
      <c r="T169" s="5">
        <f>(P62*($E62/365)) + (P63*($E63/365))</f>
        <v>21.990684931506848</v>
      </c>
      <c r="U169" s="5">
        <f>(Q62*($E62/365)) + (Q63*($E63/365))</f>
        <v>7.6619178082191786</v>
      </c>
      <c r="V169" s="5"/>
      <c r="W169" s="5">
        <f t="shared" si="33"/>
        <v>63.248767123287671</v>
      </c>
    </row>
    <row r="170" spans="1:23" x14ac:dyDescent="0.15">
      <c r="A170" s="1">
        <v>1988</v>
      </c>
      <c r="B170" s="5">
        <f>K64*($E64/366)+K65*($E65/366)</f>
        <v>27.024341778440142</v>
      </c>
      <c r="C170" s="5">
        <f>L64*($E64/366)+L65*($E65/366)</f>
        <v>35.585361814870012</v>
      </c>
      <c r="D170" s="5">
        <f>M64*($E64/366)+M65*($E65/366)</f>
        <v>37.390296406689842</v>
      </c>
      <c r="E170" s="23">
        <f t="shared" si="32"/>
        <v>100</v>
      </c>
      <c r="G170" s="1">
        <v>1988</v>
      </c>
      <c r="H170" s="392">
        <f>(O64*100*($E64/366)/($O64+$P64+$Q64))+(O65*100*($E65/366)/($O65+$P65+$Q65))</f>
        <v>32.699453551912569</v>
      </c>
      <c r="I170" s="392"/>
      <c r="J170" s="392">
        <f>(P64*100*($E64/366)/($O64+$P64+$Q64))+(P65*100*($E65/366)/($O65+$P65+$Q65))</f>
        <v>34.328130818798911</v>
      </c>
      <c r="K170" s="392"/>
      <c r="L170" s="392">
        <f>(Q64*100*($E64/366)/($O64+$P64+$Q64))+(Q65*100*($E65/366)/($O65+$P65+$Q65))</f>
        <v>32.97241562928852</v>
      </c>
      <c r="M170" s="392"/>
      <c r="N170" s="363">
        <f t="shared" si="34"/>
        <v>100</v>
      </c>
      <c r="O170" s="363"/>
      <c r="R170" s="1">
        <v>1988</v>
      </c>
      <c r="S170" s="5">
        <f>(O64*($E64/366)) + (O65*($E65/366))</f>
        <v>21.254644808743173</v>
      </c>
      <c r="T170" s="5">
        <f>(P64*($E64/366)) + (P65*($E65/366))</f>
        <v>20.6</v>
      </c>
      <c r="U170" s="5">
        <f>(Q64*($E64/366)) + (Q65*($E65/366))</f>
        <v>19.061748633879784</v>
      </c>
      <c r="V170" s="5"/>
      <c r="W170" s="5">
        <f t="shared" si="33"/>
        <v>60.916393442622962</v>
      </c>
    </row>
    <row r="171" spans="1:23" x14ac:dyDescent="0.15">
      <c r="A171" s="1">
        <v>1989</v>
      </c>
      <c r="B171" s="5">
        <f>K66*($E66/365)+K67*($E67/365)</f>
        <v>4.7322540473225407</v>
      </c>
      <c r="C171" s="5">
        <f>L66*($E66/365)+L67*($E67/365)</f>
        <v>31.755915317559147</v>
      </c>
      <c r="D171" s="5">
        <f>M66*($E66/365)+M67*($E67/365)</f>
        <v>63.511830635118294</v>
      </c>
      <c r="E171" s="23">
        <f t="shared" si="32"/>
        <v>99.999999999999972</v>
      </c>
      <c r="G171" s="1">
        <v>1989</v>
      </c>
      <c r="H171" s="392">
        <f>(O66*100*($E66/365)/($O66+$P66+$Q66))+(O67*100*($E67/365)/($O67+$P67+$Q67))</f>
        <v>4.7990715878578252</v>
      </c>
      <c r="I171" s="392"/>
      <c r="J171" s="392">
        <f>(P66*100*($E66/365)/($O66+$P66+$Q66))+(P67*100*($E67/365)/($O67+$P67+$Q67))</f>
        <v>39.941733712629912</v>
      </c>
      <c r="K171" s="392"/>
      <c r="L171" s="392">
        <f>(Q66*100*($E66/365)/($O66+$P66+$Q66))+(Q67*100*($E67/365)/($O67+$P67+$Q67))</f>
        <v>55.259194699512257</v>
      </c>
      <c r="M171" s="392"/>
      <c r="N171" s="363">
        <f t="shared" si="34"/>
        <v>100</v>
      </c>
      <c r="O171" s="363"/>
      <c r="R171" s="1">
        <v>1989</v>
      </c>
      <c r="S171" s="5">
        <f>(O66*($E66/365)) + (O67*($E67/365))</f>
        <v>2.8890410958904109</v>
      </c>
      <c r="T171" s="5">
        <f>(P66*($E66/365)) + (P67*($E67/365))</f>
        <v>20.6</v>
      </c>
      <c r="U171" s="5">
        <f>(Q66*($E66/365)) + (Q67*($E67/365))</f>
        <v>28.499999999999996</v>
      </c>
      <c r="V171" s="5"/>
      <c r="W171" s="5">
        <f t="shared" si="33"/>
        <v>51.989041095890414</v>
      </c>
    </row>
    <row r="172" spans="1:23" x14ac:dyDescent="0.15">
      <c r="A172" s="1">
        <v>1990</v>
      </c>
      <c r="B172" s="5">
        <f>K68*($E68/365)+K69*($E69/365)</f>
        <v>18.181818181818183</v>
      </c>
      <c r="C172" s="5">
        <f>L68*($E68/365)+L69*($E69/365)</f>
        <v>27.27272727272727</v>
      </c>
      <c r="D172" s="5">
        <f>M68*($E68/365)+M69*($E69/365)</f>
        <v>54.54545454545454</v>
      </c>
      <c r="E172" s="23">
        <f t="shared" si="32"/>
        <v>100</v>
      </c>
      <c r="G172" s="1">
        <v>1990</v>
      </c>
      <c r="H172" s="392">
        <f>(O68*100*($E68/365)/($O68+$P68+$Q68))+(O69*100*($E69/365)/($O69+$P69+$Q69))</f>
        <v>18.438538205980066</v>
      </c>
      <c r="I172" s="392"/>
      <c r="J172" s="392">
        <f>(P68*100*($E68/365)/($O68+$P68+$Q68))+(P69*100*($E69/365)/($O69+$P69+$Q69))</f>
        <v>34.219269102990033</v>
      </c>
      <c r="K172" s="392"/>
      <c r="L172" s="392">
        <f>(Q68*100*($E68/365)/($O68+$P68+$Q68))+(Q69*100*($E69/365)/($O69+$P69+$Q69))</f>
        <v>47.342192691029901</v>
      </c>
      <c r="M172" s="392"/>
      <c r="N172" s="363">
        <f t="shared" si="34"/>
        <v>100</v>
      </c>
      <c r="O172" s="363"/>
      <c r="R172" s="1">
        <v>1990</v>
      </c>
      <c r="S172" s="5">
        <f>(O68*($E68/365)) + (O69*($E69/365))</f>
        <v>11.1</v>
      </c>
      <c r="T172" s="5">
        <f>(P68*($E68/365)) + (P69*($E69/365))</f>
        <v>20.6</v>
      </c>
      <c r="U172" s="5">
        <f>(Q68*($E68/365)) + (Q69*($E69/365))</f>
        <v>28.5</v>
      </c>
      <c r="V172" s="5"/>
      <c r="W172" s="5">
        <f t="shared" si="33"/>
        <v>60.2</v>
      </c>
    </row>
    <row r="173" spans="1:23" x14ac:dyDescent="0.15">
      <c r="A173" s="1">
        <v>1991</v>
      </c>
      <c r="B173" s="5">
        <f>K70*($E70/365)+K71*($E71/365)</f>
        <v>39.62640099626401</v>
      </c>
      <c r="C173" s="5">
        <f>L70*($E70/365)+L71*($E71/365)</f>
        <v>8.8916562889165611</v>
      </c>
      <c r="D173" s="5">
        <f>M70*($E70/365)+M71*($E71/365)</f>
        <v>51.481942714819425</v>
      </c>
      <c r="E173" s="23">
        <f t="shared" si="32"/>
        <v>100</v>
      </c>
      <c r="G173" s="1">
        <v>1991</v>
      </c>
      <c r="H173" s="392">
        <f>(O70*100*($E70/365)/($O70+$P70+$Q70))+(O71*100*($E71/365)/($O71+$P71+$Q71))</f>
        <v>54.67417577643765</v>
      </c>
      <c r="I173" s="392"/>
      <c r="J173" s="392">
        <f>(P70*100*($E70/365)/($O70+$P70+$Q70))+(P71*100*($E71/365)/($O71+$P71+$Q71))</f>
        <v>11.156419241796749</v>
      </c>
      <c r="K173" s="392"/>
      <c r="L173" s="392">
        <f>(Q70*100*($E70/365)/($O70+$P70+$Q70))+(Q71*100*($E71/365)/($O71+$P71+$Q71))</f>
        <v>34.169404981765609</v>
      </c>
      <c r="M173" s="392"/>
      <c r="N173" s="363">
        <f t="shared" si="34"/>
        <v>100.00000000000001</v>
      </c>
      <c r="O173" s="363"/>
      <c r="R173" s="1">
        <v>1991</v>
      </c>
      <c r="S173" s="5">
        <f>(O70*($E70/365)) + (O71*($E71/365))</f>
        <v>31.453972602739725</v>
      </c>
      <c r="T173" s="5">
        <f>(P70*($E70/365)) + (P71*($E71/365))</f>
        <v>6.7161643835616438</v>
      </c>
      <c r="U173" s="5">
        <f>(Q70*($E70/365)) + (Q71*($E71/365))</f>
        <v>20.007945205479452</v>
      </c>
      <c r="V173" s="5"/>
      <c r="W173" s="5">
        <f t="shared" si="33"/>
        <v>58.178082191780824</v>
      </c>
    </row>
    <row r="174" spans="1:23" x14ac:dyDescent="0.15">
      <c r="A174" s="1">
        <v>1992</v>
      </c>
      <c r="B174" s="5">
        <f>K72*($E72/366)+K73*($E73/366)</f>
        <v>50</v>
      </c>
      <c r="C174" s="5">
        <f>L72*($E72/366)+L73*($E73/366)</f>
        <v>0</v>
      </c>
      <c r="D174" s="5">
        <f>M72*($E72/366)+M73*($E73/366)</f>
        <v>50</v>
      </c>
      <c r="E174" s="23">
        <f t="shared" si="32"/>
        <v>100</v>
      </c>
      <c r="G174" s="1">
        <v>1992</v>
      </c>
      <c r="H174" s="392">
        <f>(O72*100*($E72/366)/($O72+$P72+$Q72))+(O73*100*($E73/366)/($O73+$P73+$Q73))</f>
        <v>72.202797202797214</v>
      </c>
      <c r="I174" s="392"/>
      <c r="J174" s="392">
        <f>(P72*100*($E72/366)/($O72+$P72+$Q72))+(P73*100*($E73/366)/($O73+$P73+$Q73))</f>
        <v>0</v>
      </c>
      <c r="K174" s="392"/>
      <c r="L174" s="392">
        <f>(Q72*100*($E72/366)/($O72+$P72+$Q72))+(Q73*100*($E73/366)/($O73+$P73+$Q73))</f>
        <v>27.7972027972028</v>
      </c>
      <c r="M174" s="392"/>
      <c r="N174" s="363">
        <f t="shared" si="34"/>
        <v>100.00000000000001</v>
      </c>
      <c r="O174" s="363"/>
      <c r="R174" s="1">
        <v>1992</v>
      </c>
      <c r="S174" s="5">
        <f>(O72*($E72/366)) + (O73*($E73/366))</f>
        <v>41.3</v>
      </c>
      <c r="T174" s="5">
        <f>(P72*($E72/366)) + (P73*($E73/366))</f>
        <v>0</v>
      </c>
      <c r="U174" s="5">
        <f>(Q72*($E72/366)) + (Q73*($E73/366))</f>
        <v>15.9</v>
      </c>
      <c r="V174" s="5"/>
      <c r="W174" s="5">
        <f t="shared" si="33"/>
        <v>57.199999999999996</v>
      </c>
    </row>
    <row r="175" spans="1:23" x14ac:dyDescent="0.15">
      <c r="A175" s="1">
        <v>1993</v>
      </c>
      <c r="B175" s="5">
        <f>K74*($E74/365)+K75*($E75/365)</f>
        <v>50</v>
      </c>
      <c r="C175" s="5">
        <f>L74*($E74/365)+L75*($E75/365)</f>
        <v>0</v>
      </c>
      <c r="D175" s="5">
        <f>M74*($E74/365)+M75*($E75/365)</f>
        <v>50</v>
      </c>
      <c r="E175" s="23">
        <f t="shared" si="32"/>
        <v>100</v>
      </c>
      <c r="G175" s="1">
        <v>1993</v>
      </c>
      <c r="H175" s="392">
        <f>(O74*100*($E74/365)/($O74+$P74+$Q74))+(O75*100*($E75/365)/($O75+$P75+$Q75))</f>
        <v>72.202797202797214</v>
      </c>
      <c r="I175" s="392"/>
      <c r="J175" s="392">
        <f>(P74*100*($E74/365)/($O74+$P74+$Q74))+(P75*100*($E75/365)/($O75+$P75+$Q75))</f>
        <v>0</v>
      </c>
      <c r="K175" s="392"/>
      <c r="L175" s="392">
        <f>(Q74*100*($E74/365)/($O74+$P74+$Q74))+(Q75*100*($E75/365)/($O75+$P75+$Q75))</f>
        <v>27.7972027972028</v>
      </c>
      <c r="M175" s="392"/>
      <c r="N175" s="363">
        <f t="shared" si="34"/>
        <v>100.00000000000001</v>
      </c>
      <c r="O175" s="363"/>
      <c r="R175" s="1">
        <v>1993</v>
      </c>
      <c r="S175" s="5">
        <f>(O74*($E74/365)) + (O75*($E75/365))</f>
        <v>41.3</v>
      </c>
      <c r="T175" s="5">
        <f>(P74*($E74/365)) + (P75*($E75/365))</f>
        <v>0</v>
      </c>
      <c r="U175" s="5">
        <f>(Q74*($E74/365)) + (Q75*($E75/365))</f>
        <v>15.9</v>
      </c>
      <c r="V175" s="5"/>
      <c r="W175" s="5">
        <f t="shared" si="33"/>
        <v>57.199999999999996</v>
      </c>
    </row>
    <row r="176" spans="1:23" x14ac:dyDescent="0.15">
      <c r="A176" s="1">
        <v>1994</v>
      </c>
      <c r="B176" s="5">
        <f>K76*($E76/365)+K77*($E77/365)</f>
        <v>52.907153729071538</v>
      </c>
      <c r="C176" s="5">
        <f>L76*($E76/365)+L77*($E77/365)</f>
        <v>0</v>
      </c>
      <c r="D176" s="5">
        <f>M76*($E76/365)+M77*($E77/365)</f>
        <v>47.092846270928462</v>
      </c>
      <c r="E176" s="23">
        <f t="shared" si="32"/>
        <v>100</v>
      </c>
      <c r="G176" s="1">
        <v>1994</v>
      </c>
      <c r="H176" s="392">
        <f>(O76*100*($E76/365)/($O76+$P76+$Q76))+(O77*100*($E77/365)/($O77+$P77+$Q77))</f>
        <v>72.2027972027972</v>
      </c>
      <c r="I176" s="392"/>
      <c r="J176" s="392">
        <f>(P76*100*($E76/365)/($O76+$P76+$Q76))+(P77*100*($E77/365)/($O77+$P77+$Q77))</f>
        <v>0</v>
      </c>
      <c r="K176" s="392"/>
      <c r="L176" s="392">
        <f>(Q76*100*($E76/365)/($O76+$P76+$Q76))+(Q77*100*($E77/365)/($O77+$P77+$Q77))</f>
        <v>27.7972027972028</v>
      </c>
      <c r="M176" s="392"/>
      <c r="N176" s="363">
        <f t="shared" si="34"/>
        <v>100</v>
      </c>
      <c r="O176" s="363"/>
      <c r="R176" s="1">
        <v>1994</v>
      </c>
      <c r="S176" s="5">
        <f>(O76*($E76/365)) + (O77*($E77/365))</f>
        <v>41.3</v>
      </c>
      <c r="T176" s="5">
        <f>(P76*($E76/365)) + (P77*($E77/365))</f>
        <v>0</v>
      </c>
      <c r="U176" s="5">
        <f>(Q76*($E76/365)) + (Q77*($E77/365))</f>
        <v>15.9</v>
      </c>
      <c r="V176" s="5"/>
      <c r="W176" s="5">
        <f t="shared" si="33"/>
        <v>57.199999999999996</v>
      </c>
    </row>
    <row r="177" spans="1:23" x14ac:dyDescent="0.15">
      <c r="A177" s="1">
        <v>1995</v>
      </c>
      <c r="B177" s="5">
        <f>K78*($E78/365)+K79*($E79/365)</f>
        <v>51.704718417047189</v>
      </c>
      <c r="C177" s="5">
        <f>L78*($E78/365)+L79*($E79/365)</f>
        <v>34.657534246575345</v>
      </c>
      <c r="D177" s="5">
        <f>M78*($E78/365)+M79*($E79/365)</f>
        <v>13.637747336377474</v>
      </c>
      <c r="E177" s="23">
        <f t="shared" si="32"/>
        <v>100.00000000000001</v>
      </c>
      <c r="G177" s="1">
        <v>1995</v>
      </c>
      <c r="H177" s="392">
        <f>(O78*100*($E78/365)/($O78+$P78+$Q78))+(O79*100*($E79/365)/($O79+$P79+$Q79))</f>
        <v>65.490941374449108</v>
      </c>
      <c r="I177" s="392"/>
      <c r="J177" s="392">
        <f>(P78*100*($E78/365)/($O78+$P78+$Q78))+(P79*100*($E79/365)/($O79+$P79+$Q79))</f>
        <v>25.979505986409233</v>
      </c>
      <c r="K177" s="392"/>
      <c r="L177" s="392">
        <f>(Q78*100*($E78/365)/($O78+$P78+$Q78))+(Q79*100*($E79/365)/($O79+$P79+$Q79))</f>
        <v>8.5295526391416807</v>
      </c>
      <c r="M177" s="392"/>
      <c r="N177" s="363">
        <f t="shared" si="34"/>
        <v>100.00000000000003</v>
      </c>
      <c r="O177" s="363"/>
      <c r="R177" s="1">
        <v>1995</v>
      </c>
      <c r="S177" s="5">
        <f>(O78*($E78/365)) + (O79*($E79/365))</f>
        <v>40.190958904109593</v>
      </c>
      <c r="T177" s="5">
        <f>(P78*($E78/365)) + (P79*($E79/365))</f>
        <v>16.496986301369866</v>
      </c>
      <c r="U177" s="5">
        <f>(Q78*($E78/365)) + (Q79*($E79/365))</f>
        <v>4.8789041095890413</v>
      </c>
      <c r="V177" s="5"/>
      <c r="W177" s="5">
        <f t="shared" si="33"/>
        <v>61.566849315068502</v>
      </c>
    </row>
    <row r="178" spans="1:23" x14ac:dyDescent="0.15">
      <c r="A178" s="1">
        <v>1996</v>
      </c>
      <c r="B178" s="5">
        <f>K80*($E80/366)+K81*($E81/366)</f>
        <v>50</v>
      </c>
      <c r="C178" s="5">
        <f>L80*($E80/366)+L81*($E81/366)</f>
        <v>50</v>
      </c>
      <c r="D178" s="5">
        <f>M80*($E80/366)+M81*($E81/366)</f>
        <v>0</v>
      </c>
      <c r="E178" s="23">
        <f t="shared" si="32"/>
        <v>100</v>
      </c>
      <c r="G178" s="1">
        <v>1996</v>
      </c>
      <c r="H178" s="392">
        <f>(O80*100*($E80/366)/($O80+$P80+$Q80))+(O81*100*($E81/366)/($O81+$P81+$Q81))</f>
        <v>62.519685039370088</v>
      </c>
      <c r="I178" s="392"/>
      <c r="J178" s="392">
        <f>(P80*100*($E80/366)/($O80+$P80+$Q80))+(P81*100*($E81/366)/($O81+$P81+$Q81))</f>
        <v>37.480314960629919</v>
      </c>
      <c r="K178" s="392"/>
      <c r="L178" s="392">
        <f>(Q80*100*($E80/366)/($O80+$P80+$Q80))+(Q81*100*($E81/366)/($O81+$P81+$Q81))</f>
        <v>0</v>
      </c>
      <c r="M178" s="392"/>
      <c r="N178" s="363">
        <f t="shared" si="34"/>
        <v>100</v>
      </c>
      <c r="O178" s="363"/>
      <c r="R178" s="1">
        <v>1996</v>
      </c>
      <c r="S178" s="5">
        <f>(O80*($E80/366)) + (O81*($E81/366))</f>
        <v>39.700000000000003</v>
      </c>
      <c r="T178" s="5">
        <f>(P80*($E80/366)) + (P81*($E81/366))</f>
        <v>23.8</v>
      </c>
      <c r="U178" s="5">
        <f>(Q80*($E80/366)) + (Q81*($E81/366))</f>
        <v>0</v>
      </c>
      <c r="V178" s="5"/>
      <c r="W178" s="5">
        <f t="shared" si="33"/>
        <v>63.5</v>
      </c>
    </row>
    <row r="179" spans="1:23" x14ac:dyDescent="0.15">
      <c r="A179" s="1">
        <v>1997</v>
      </c>
      <c r="B179" s="5">
        <f>K82*($E82/365)+K83*($E83/365)</f>
        <v>50</v>
      </c>
      <c r="C179" s="5">
        <f>L82*($E82/365)+L83*($E83/365)</f>
        <v>50</v>
      </c>
      <c r="D179" s="5">
        <f>M82*($E82/365)+M83*($E83/365)</f>
        <v>0</v>
      </c>
      <c r="E179" s="23">
        <f t="shared" si="32"/>
        <v>100</v>
      </c>
      <c r="G179" s="1">
        <v>1997</v>
      </c>
      <c r="H179" s="392">
        <f>(O82*100*($E82/365)/($O82+$P82+$Q82))+(O83*100*($E83/365)/($O83+$P83+$Q83))</f>
        <v>62.519685039370088</v>
      </c>
      <c r="I179" s="392"/>
      <c r="J179" s="392">
        <f>(P82*100*($E82/365)/($O82+$P82+$Q82))+(P83*100*($E83/365)/($O83+$P83+$Q83))</f>
        <v>37.480314960629919</v>
      </c>
      <c r="K179" s="392"/>
      <c r="L179" s="392">
        <f>(Q82*100*($E82/365)/($O82+$P82+$Q82))+(Q83*100*($E83/365)/($O83+$P83+$Q83))</f>
        <v>0</v>
      </c>
      <c r="M179" s="392"/>
      <c r="N179" s="363">
        <f t="shared" si="34"/>
        <v>100</v>
      </c>
      <c r="O179" s="363"/>
      <c r="R179" s="1">
        <v>1997</v>
      </c>
      <c r="S179" s="5">
        <f>(O82*($E82/365)) + (O83*($E83/365))</f>
        <v>39.700000000000003</v>
      </c>
      <c r="T179" s="5">
        <f>(P82*($E82/365)) + (P83*($E83/365))</f>
        <v>23.8</v>
      </c>
      <c r="U179" s="5">
        <f>(Q82*($E82/365)) + (Q83*($E83/365))</f>
        <v>0</v>
      </c>
      <c r="V179" s="5"/>
      <c r="W179" s="5">
        <f t="shared" si="33"/>
        <v>63.5</v>
      </c>
    </row>
    <row r="180" spans="1:23" x14ac:dyDescent="0.15">
      <c r="A180" s="1">
        <v>1998</v>
      </c>
      <c r="B180" s="5">
        <f>K84*($E84/365)+K85*($E85/365)</f>
        <v>50</v>
      </c>
      <c r="C180" s="5">
        <f>L84*($E84/365)+L85*($E85/365)</f>
        <v>50</v>
      </c>
      <c r="D180" s="5">
        <f>M84*($E84/365)+M85*($E85/365)</f>
        <v>0</v>
      </c>
      <c r="E180" s="23">
        <f t="shared" si="32"/>
        <v>100</v>
      </c>
      <c r="G180" s="1">
        <v>1998</v>
      </c>
      <c r="H180" s="392">
        <f>(O84*100*($E84/365)/($O84+$P84+$Q84))+(O85*100*($E85/365)/($O85+$P85+$Q85))</f>
        <v>62.519685039370088</v>
      </c>
      <c r="I180" s="392"/>
      <c r="J180" s="392">
        <f>(P84*100*($E84/365)/($O84+$P84+$Q84))+(P85*100*($E85/365)/($O85+$P85+$Q85))</f>
        <v>37.480314960629919</v>
      </c>
      <c r="K180" s="392"/>
      <c r="L180" s="392">
        <f>(Q84*100*($E84/365)/($O84+$P84+$Q84))+(Q85*100*($E85/365)/($O85+$P85+$Q85))</f>
        <v>0</v>
      </c>
      <c r="M180" s="392"/>
      <c r="N180" s="363">
        <f t="shared" si="34"/>
        <v>100</v>
      </c>
      <c r="O180" s="363"/>
      <c r="R180" s="1">
        <v>1998</v>
      </c>
      <c r="S180" s="5">
        <f>(O84*($E84/365)) + (O85*($E85/365))</f>
        <v>39.700000000000003</v>
      </c>
      <c r="T180" s="5">
        <f>(P84*($E84/365)) + (P85*($E85/365))</f>
        <v>23.8</v>
      </c>
      <c r="U180" s="5">
        <f>(Q84*($E84/365)) + (Q85*($E85/365))</f>
        <v>0</v>
      </c>
      <c r="V180" s="5"/>
      <c r="W180" s="5">
        <f t="shared" si="33"/>
        <v>63.5</v>
      </c>
    </row>
    <row r="181" spans="1:23" x14ac:dyDescent="0.15">
      <c r="A181" s="1">
        <v>1999</v>
      </c>
      <c r="B181" s="5">
        <f>K86*($E86/365)+K87*($E87/365)</f>
        <v>50</v>
      </c>
      <c r="C181" s="5">
        <f>L86*($E86/365)+L87*($E87/365)</f>
        <v>50</v>
      </c>
      <c r="D181" s="5">
        <f>M86*($E86/365)+M87*($E87/365)</f>
        <v>0</v>
      </c>
      <c r="E181" s="23">
        <f t="shared" si="32"/>
        <v>100</v>
      </c>
      <c r="G181" s="1">
        <v>1999</v>
      </c>
      <c r="H181" s="392">
        <f>(O86*100*($E86/365)/($O86+$P86+$Q86))+(O87*100*($E87/365)/($O87+$P87+$Q87))</f>
        <v>66.086041943591653</v>
      </c>
      <c r="I181" s="392"/>
      <c r="J181" s="392">
        <f>(P86*100*($E86/365)/($O86+$P86+$Q86))+(P87*100*($E87/365)/($O87+$P87+$Q87))</f>
        <v>33.913958056408354</v>
      </c>
      <c r="K181" s="392"/>
      <c r="L181" s="392">
        <f>(Q86*100*($E86/365)/($O86+$P86+$Q86))+(Q87*100*($E87/365)/($O87+$P87+$Q87))</f>
        <v>0</v>
      </c>
      <c r="M181" s="392"/>
      <c r="N181" s="363">
        <f t="shared" si="34"/>
        <v>100</v>
      </c>
      <c r="O181" s="363"/>
      <c r="R181" s="1">
        <v>1999</v>
      </c>
      <c r="S181" s="5">
        <f>(O86*($E86/365)) + (O87*($E87/365))</f>
        <v>40.655616438356162</v>
      </c>
      <c r="T181" s="5">
        <f>(P86*($E86/365)) + (P87*($E87/365))</f>
        <v>20.933150684931505</v>
      </c>
      <c r="U181" s="5">
        <f>(Q86*($E86/365)) + (Q87*($E87/365))</f>
        <v>0</v>
      </c>
      <c r="V181" s="5"/>
      <c r="W181" s="5">
        <f t="shared" si="33"/>
        <v>61.588767123287667</v>
      </c>
    </row>
    <row r="182" spans="1:23" x14ac:dyDescent="0.15">
      <c r="A182" s="1">
        <v>2000</v>
      </c>
      <c r="B182" s="5">
        <f>K88*($E88/366)+K89*($E89/366)</f>
        <v>50</v>
      </c>
      <c r="C182" s="5">
        <f>L88*($E88/366)+L89*($E89/366)</f>
        <v>50</v>
      </c>
      <c r="D182" s="5">
        <f>M88*($E88/366)+M89*($E89/366)</f>
        <v>0</v>
      </c>
      <c r="E182" s="23">
        <f t="shared" si="32"/>
        <v>100</v>
      </c>
      <c r="G182" s="1">
        <v>2000</v>
      </c>
      <c r="H182" s="392">
        <f>(O88*100*($E88/366)/($O88+$P88+$Q88))+(O89*100*($E89/366)/($O89+$P89+$Q89))</f>
        <v>68.490878938640137</v>
      </c>
      <c r="I182" s="392"/>
      <c r="J182" s="392">
        <f>(P88*100*($E88/3656)/($O88+$P88+$Q88))+(P89*100*($E89/366)/($O89+$P89+$Q89))</f>
        <v>31.50912106135987</v>
      </c>
      <c r="K182" s="392"/>
      <c r="L182" s="392">
        <f>(Q88*100*($E88/366)/($O88+$P88+$Q88))+(Q89*100*($E89/366)/($O89+$P89+$Q89))</f>
        <v>0</v>
      </c>
      <c r="M182" s="392"/>
      <c r="N182" s="363">
        <f t="shared" si="34"/>
        <v>100</v>
      </c>
      <c r="O182" s="363"/>
      <c r="R182" s="1">
        <v>2000</v>
      </c>
      <c r="S182" s="5">
        <f>(O88*($E88/366)) + (O89*($E89/366))</f>
        <v>41.3</v>
      </c>
      <c r="T182" s="5">
        <f>(P88*($E88/366)) + (P89*($E89/366))</f>
        <v>19</v>
      </c>
      <c r="U182" s="5">
        <f>(Q88*($E88/366)) + (Q89*($E89/366))</f>
        <v>0</v>
      </c>
      <c r="V182" s="5"/>
      <c r="W182" s="5">
        <f t="shared" si="33"/>
        <v>60.3</v>
      </c>
    </row>
    <row r="183" spans="1:23" x14ac:dyDescent="0.15">
      <c r="A183" s="1">
        <v>2001</v>
      </c>
      <c r="B183" s="5">
        <f>K90*($E90/365)+K91*($E91/365)</f>
        <v>50</v>
      </c>
      <c r="C183" s="5">
        <f>L90*($E90/365)+L91*($E91/365)</f>
        <v>50</v>
      </c>
      <c r="D183" s="5">
        <f>M90*($E90/365)+M91*($E91/365)</f>
        <v>0</v>
      </c>
      <c r="E183" s="23">
        <f t="shared" si="32"/>
        <v>100</v>
      </c>
      <c r="G183" s="1">
        <v>2001</v>
      </c>
      <c r="H183" s="392">
        <f>(O90*100*($E90/365)/($O90+$P90+$Q90))+(O91*100*($E91/365)/($O91+$P91+$Q91))</f>
        <v>68.490878938640137</v>
      </c>
      <c r="I183" s="392"/>
      <c r="J183" s="392">
        <f>(P90*100*($E90/365)/($O90+$P90+$Q90))+(P91*100*($E91/365)/($O91+$P91+$Q91))</f>
        <v>31.50912106135987</v>
      </c>
      <c r="K183" s="392"/>
      <c r="L183" s="392">
        <f>(Q90*100*($E90/365)/($O90+$P90+$Q90))+(Q91*100*($E91/365)/($O91+$P91+$Q91))</f>
        <v>0</v>
      </c>
      <c r="M183" s="392"/>
      <c r="N183" s="363">
        <f t="shared" si="34"/>
        <v>100</v>
      </c>
      <c r="O183" s="363"/>
      <c r="R183" s="1">
        <v>2001</v>
      </c>
      <c r="S183" s="5">
        <f>(O90*($E90/365)) + (O91*($E91/365))</f>
        <v>41.3</v>
      </c>
      <c r="T183" s="5">
        <f>(P90*($E90/365)) + (P91*($E91/365))</f>
        <v>19</v>
      </c>
      <c r="U183" s="5">
        <f>(Q90*($E90/365)) + (Q91*($E91/365))</f>
        <v>0</v>
      </c>
      <c r="V183" s="5"/>
      <c r="W183" s="5">
        <f t="shared" si="33"/>
        <v>60.3</v>
      </c>
    </row>
    <row r="184" spans="1:23" x14ac:dyDescent="0.15">
      <c r="A184" s="1">
        <v>2002</v>
      </c>
      <c r="B184" s="5">
        <f>K92*($E92/365)+K93*($E93/365)</f>
        <v>50</v>
      </c>
      <c r="C184" s="5">
        <f>L92*($E92/365)+L93*($E93/365)</f>
        <v>50</v>
      </c>
      <c r="D184" s="5">
        <f>M92*($E92/365)+M93*($E93/365)</f>
        <v>0</v>
      </c>
      <c r="E184" s="23">
        <f t="shared" si="32"/>
        <v>100</v>
      </c>
      <c r="G184" s="1">
        <v>2002</v>
      </c>
      <c r="H184" s="392">
        <f>(O92*100*($E92/365)/($O92+$P92+$Q92))+(O93*100*($E93/365)/($O93+$P93+$Q93))</f>
        <v>68.490878938640137</v>
      </c>
      <c r="I184" s="392"/>
      <c r="J184" s="392">
        <f>(P92*100*($E92/365)/($O92+$P92+$Q92))+(P93*100*($E93/365)/($O93+$P93+$Q93))</f>
        <v>31.50912106135987</v>
      </c>
      <c r="K184" s="392"/>
      <c r="L184" s="392">
        <f>(Q92*100*($E92/365)/($O92+$P92+$Q92))+(Q93*100*($E93/365)/($O93+$P93+$Q93))</f>
        <v>0</v>
      </c>
      <c r="M184" s="392"/>
      <c r="N184" s="363">
        <f t="shared" si="34"/>
        <v>100</v>
      </c>
      <c r="O184" s="363"/>
      <c r="R184" s="1">
        <v>2002</v>
      </c>
      <c r="S184" s="5">
        <f>(O92*($E92/365)) + (O93*($E93/365))</f>
        <v>41.3</v>
      </c>
      <c r="T184" s="5">
        <f>(P92*($E92/365)) + (P93*($E93/365))</f>
        <v>19</v>
      </c>
      <c r="U184" s="5">
        <f>(Q92*($E92/365)) + (Q93*($E93/365))</f>
        <v>0</v>
      </c>
      <c r="V184" s="5"/>
      <c r="W184" s="5">
        <f t="shared" si="33"/>
        <v>60.3</v>
      </c>
    </row>
    <row r="185" spans="1:23" x14ac:dyDescent="0.15">
      <c r="A185" s="1">
        <v>2003</v>
      </c>
      <c r="B185" s="5">
        <f>K94*($E94/365)+K95*($E95/365)</f>
        <v>50</v>
      </c>
      <c r="C185" s="5">
        <f>L94*($E94/365)+L95*($E95/365)</f>
        <v>50</v>
      </c>
      <c r="D185" s="5">
        <f>M94*($E94/365)+M95*($E95/365)</f>
        <v>0</v>
      </c>
      <c r="E185" s="23">
        <f t="shared" si="32"/>
        <v>100</v>
      </c>
      <c r="G185" s="1">
        <v>2003</v>
      </c>
      <c r="H185" s="392">
        <f>(O94*100*($E94/365)/($O94+$P94+$Q94))+(O95*100*($E95/365)/($O95+$P95+$Q95))</f>
        <v>66.205072265766844</v>
      </c>
      <c r="I185" s="392"/>
      <c r="J185" s="392">
        <f>(P94*100*($E94/365)/($O94+$P94+$Q94))+(P95*100*($E95/365)/($O95+$P95+$Q95))</f>
        <v>33.79492773423317</v>
      </c>
      <c r="K185" s="392"/>
      <c r="L185" s="392">
        <f>(Q94*100*($E94/365)/($O94+$P94+$Q94))+(Q95*100*($E95/365)/($O95+$P95+$Q95))</f>
        <v>0</v>
      </c>
      <c r="M185" s="392"/>
      <c r="N185" s="363">
        <f t="shared" si="34"/>
        <v>100.00000000000001</v>
      </c>
      <c r="O185" s="363"/>
      <c r="R185" s="1">
        <v>2003</v>
      </c>
      <c r="S185" s="5">
        <f>(O94*($E94/365)) + (O95*($E95/365))</f>
        <v>37.38986301369863</v>
      </c>
      <c r="T185" s="5">
        <f>(P94*($E94/365)) + (P95*($E95/365))</f>
        <v>19</v>
      </c>
      <c r="U185" s="5">
        <f>(Q94*($E94/365)) + (Q95*($E95/365))</f>
        <v>0</v>
      </c>
      <c r="V185" s="5"/>
      <c r="W185" s="5">
        <f t="shared" si="33"/>
        <v>56.38986301369863</v>
      </c>
    </row>
    <row r="186" spans="1:23" x14ac:dyDescent="0.15">
      <c r="A186" s="1">
        <v>2004</v>
      </c>
      <c r="B186" s="5">
        <f>K96*($E96/366)+K97*($E97/366)</f>
        <v>52.459016393442624</v>
      </c>
      <c r="C186" s="5">
        <f>L96*($E96/366)+L97*($E97/366)</f>
        <v>47.540983606557376</v>
      </c>
      <c r="D186" s="5">
        <f>M96*($E96/366)+M97*($E97/366)</f>
        <v>0</v>
      </c>
      <c r="E186" s="23">
        <f t="shared" si="32"/>
        <v>100</v>
      </c>
      <c r="G186" s="1">
        <v>2004</v>
      </c>
      <c r="H186" s="392">
        <f>(O96*100*($E96/366)/($O96+$P96+$Q96))+(O97*100*($E97/366)/($O97+$P97+$Q97))</f>
        <v>64.749536178107604</v>
      </c>
      <c r="I186" s="392"/>
      <c r="J186" s="392">
        <f>(P96*100*($E96/366)/($O96+$P96+$Q96))+(P97*100*($E97/366)/($O97+$P97+$Q97))</f>
        <v>35.250463821892396</v>
      </c>
      <c r="K186" s="392"/>
      <c r="L186" s="392">
        <f>(Q96*100*($E96/366)/($O96+$P96+$Q96))+(Q97*100*($E97/366)/($O97+$P97+$Q97))</f>
        <v>0</v>
      </c>
      <c r="M186" s="392"/>
      <c r="N186" s="363">
        <f t="shared" si="34"/>
        <v>100</v>
      </c>
      <c r="O186" s="363"/>
      <c r="R186" s="1">
        <v>2004</v>
      </c>
      <c r="S186" s="5">
        <f>(O96*($E96/366)) + (O97*($E97/366))</f>
        <v>34.9</v>
      </c>
      <c r="T186" s="5">
        <f>(P96*($E96/366)) + (P97*($E97/366))</f>
        <v>19</v>
      </c>
      <c r="U186" s="5">
        <f>(Q96*($E96/366)) + (Q97*($E97/366))</f>
        <v>0</v>
      </c>
      <c r="V186" s="5"/>
      <c r="W186" s="5">
        <f t="shared" si="33"/>
        <v>53.9</v>
      </c>
    </row>
    <row r="187" spans="1:23" x14ac:dyDescent="0.15">
      <c r="A187" s="1">
        <v>2005</v>
      </c>
      <c r="B187" s="5">
        <f>K98*($E98/365)+K99*($E99/365)</f>
        <v>58.333333333333336</v>
      </c>
      <c r="C187" s="5">
        <f>L98*($E98/365)+L99*($E99/365)</f>
        <v>41.666666666666671</v>
      </c>
      <c r="D187" s="5">
        <f>M98*($E98/365)+M99*($E99/365)</f>
        <v>0</v>
      </c>
      <c r="E187" s="23">
        <f t="shared" si="32"/>
        <v>100</v>
      </c>
      <c r="G187" s="1">
        <v>2005</v>
      </c>
      <c r="H187" s="392">
        <f>(O98*100*($E98/365)/($O98+$P98+$Q98))+(O99*100*($E99/365)/($O99+$P99+$Q99))</f>
        <v>64.749536178107604</v>
      </c>
      <c r="I187" s="392"/>
      <c r="J187" s="392">
        <f>(P98*100*($E98/365)/($O98+$P98+$Q98))+(P99*100*($E99/365)/($O99+$P99+$Q99))</f>
        <v>35.250463821892396</v>
      </c>
      <c r="K187" s="392"/>
      <c r="L187" s="392">
        <f>(Q98*100*($E98/365)/($O98+$P98+$Q98))+(Q99*100*($E99/365)/($O99+$P99+$Q99))</f>
        <v>0</v>
      </c>
      <c r="M187" s="392"/>
      <c r="N187" s="363">
        <f t="shared" si="34"/>
        <v>100</v>
      </c>
      <c r="O187" s="363"/>
      <c r="R187" s="1">
        <v>2005</v>
      </c>
      <c r="S187" s="5">
        <f>(O98*($E98/365)) + (O99*($E99/365))</f>
        <v>34.9</v>
      </c>
      <c r="T187" s="5">
        <f>(P98*($E98/365)) + (P99*($E99/365))</f>
        <v>19</v>
      </c>
      <c r="U187" s="5">
        <f>(Q98*($E98/365)) + (Q99*($E99/365))</f>
        <v>0</v>
      </c>
      <c r="V187" s="5"/>
      <c r="W187" s="5">
        <f t="shared" si="33"/>
        <v>53.9</v>
      </c>
    </row>
    <row r="188" spans="1:23" x14ac:dyDescent="0.15">
      <c r="A188" s="1">
        <v>2006</v>
      </c>
      <c r="B188" s="5">
        <f>K100*($E100/365)+K101*($E101/365)</f>
        <v>53.767123287671232</v>
      </c>
      <c r="C188" s="5">
        <f>L100*($E100/365)+L101*($E101/365)</f>
        <v>46.232876712328768</v>
      </c>
      <c r="D188" s="5">
        <f>M100*($E100/365)+M101*($E101/365)</f>
        <v>0</v>
      </c>
      <c r="E188" s="23">
        <f t="shared" si="32"/>
        <v>100</v>
      </c>
      <c r="G188" s="1">
        <v>2006</v>
      </c>
      <c r="H188" s="392">
        <f>(O100*100*($E100/365)/($O100+$P100+$Q100))+(O101*100*($E101/365)/($O101+$P101+$Q101))</f>
        <v>65.306374308331257</v>
      </c>
      <c r="I188" s="392"/>
      <c r="J188" s="392">
        <f>(P100*100*($E100/365)/($O100+$P100+$Q100))+(P101*100*($E101/365)/($O101+$P101+$Q101))</f>
        <v>34.693625691668743</v>
      </c>
      <c r="K188" s="392"/>
      <c r="L188" s="392">
        <f>(Q100*100*($E100/365)/($O100+$P100+$Q100))+(Q101*100*($E101/365)/($O101+$P101+$Q101))</f>
        <v>0</v>
      </c>
      <c r="M188" s="392"/>
      <c r="N188" s="363">
        <f t="shared" si="34"/>
        <v>100</v>
      </c>
      <c r="O188" s="363"/>
      <c r="R188" s="1">
        <v>2006</v>
      </c>
      <c r="S188" s="5">
        <f>(O100*($E100/365)) + (O101*($E101/365))</f>
        <v>35.776712328767118</v>
      </c>
      <c r="T188" s="5">
        <f>(P100*($E100/365)) + (P101*($E101/365))</f>
        <v>19</v>
      </c>
      <c r="U188" s="5">
        <f>(Q100*($E100/365)) + (Q101*($E101/365))</f>
        <v>0</v>
      </c>
      <c r="V188" s="5"/>
      <c r="W188" s="5">
        <f t="shared" si="33"/>
        <v>54.776712328767118</v>
      </c>
    </row>
    <row r="189" spans="1:23" x14ac:dyDescent="0.15">
      <c r="A189" s="1">
        <v>2007</v>
      </c>
      <c r="B189" s="5">
        <f>K102*($E102/365)+K103*($E103/365)</f>
        <v>50</v>
      </c>
      <c r="C189" s="5">
        <f>L102*($E102/365)+L103*($E103/365)</f>
        <v>19.589041095890412</v>
      </c>
      <c r="D189" s="5">
        <f>M102*($E102/365)+M103*($E103/365)</f>
        <v>30.410958904109592</v>
      </c>
      <c r="E189" s="23">
        <f t="shared" si="32"/>
        <v>100</v>
      </c>
      <c r="G189" s="1">
        <v>2007</v>
      </c>
      <c r="H189" s="392">
        <f>(O102*100*($E102/365)/($O102+$P102+$Q102))+(O103*100*($E103/365)/($O103+$P103+$Q103))</f>
        <v>61.119062061319227</v>
      </c>
      <c r="I189" s="392"/>
      <c r="J189" s="392">
        <f>(P102*100*($E102/365)/($O102+$P102+$Q102))+(P103*100*($E103/365)/($O103+$P103+$Q103))</f>
        <v>13.412316426015057</v>
      </c>
      <c r="K189" s="392"/>
      <c r="L189" s="392">
        <f>(Q102*100*($E102/365)/($O102+$P102+$Q102))+(Q103*100*($E103/365)/($O103+$P103+$Q103))</f>
        <v>25.468621512665717</v>
      </c>
      <c r="M189" s="392"/>
      <c r="N189" s="363">
        <f t="shared" si="34"/>
        <v>100</v>
      </c>
      <c r="O189" s="363"/>
      <c r="R189" s="1">
        <v>2007</v>
      </c>
      <c r="S189" s="5">
        <f>(O102*($E102/365)) + (O103*($E103/365))</f>
        <v>38.446301369863022</v>
      </c>
      <c r="T189" s="5">
        <f>(P102*($E102/365)) + (P103*($E103/365))</f>
        <v>7.4438356164383563</v>
      </c>
      <c r="U189" s="5">
        <f>(Q102*($E102/365)) + (Q103*($E103/365))</f>
        <v>17.395068493150688</v>
      </c>
      <c r="V189" s="5"/>
      <c r="W189" s="5">
        <f t="shared" si="33"/>
        <v>63.285205479452067</v>
      </c>
    </row>
    <row r="190" spans="1:23" x14ac:dyDescent="0.15">
      <c r="A190" s="1">
        <v>2008</v>
      </c>
      <c r="B190" s="5">
        <f>K104*($E104/366)+K105*($E105/366)</f>
        <v>50</v>
      </c>
      <c r="C190" s="5">
        <f>L104*($E104/366)+L105*($E105/366)</f>
        <v>0</v>
      </c>
      <c r="D190" s="5">
        <f>M104*($E104/366)+M105*($E105/366)</f>
        <v>50</v>
      </c>
      <c r="E190" s="23">
        <f t="shared" si="32"/>
        <v>100</v>
      </c>
      <c r="G190" s="1">
        <v>2008</v>
      </c>
      <c r="H190" s="392">
        <f>(O104*100*($E104/366)/($O104+$P104+$Q104))+(O105*100*($E105/366)/($O105+$P105+$Q105))</f>
        <v>58.125915080527086</v>
      </c>
      <c r="I190" s="392"/>
      <c r="J190" s="392">
        <f>(P104*100*($E104/366)/($O104+$P104+$Q104))+(P105*100*($E105/366)/($O105+$P105+$Q105))</f>
        <v>0</v>
      </c>
      <c r="K190" s="392"/>
      <c r="L190" s="392">
        <f>(Q104*100*($E104/366)/($O104+$P104+$Q104))+(Q105*100*($E105/366)/($O105+$P105+$Q105))</f>
        <v>41.874084919472907</v>
      </c>
      <c r="M190" s="392"/>
      <c r="N190" s="363">
        <f t="shared" si="34"/>
        <v>100</v>
      </c>
      <c r="O190" s="363"/>
      <c r="R190" s="1">
        <v>2008</v>
      </c>
      <c r="S190" s="5">
        <f>(O104*($E104/366)) + (O105*($E105/366))</f>
        <v>39.700000000000003</v>
      </c>
      <c r="T190" s="5">
        <f>(P104*($E104/366)) + (P105*($E105/366))</f>
        <v>0</v>
      </c>
      <c r="U190" s="5">
        <f>(Q104*($E104/366)) + (Q105*($E105/366))</f>
        <v>28.6</v>
      </c>
      <c r="V190" s="5"/>
      <c r="W190" s="5">
        <f t="shared" si="33"/>
        <v>68.300000000000011</v>
      </c>
    </row>
    <row r="191" spans="1:23" x14ac:dyDescent="0.15">
      <c r="A191" s="1">
        <v>2009</v>
      </c>
      <c r="B191" s="5">
        <f>K106*($E106/365)+K107*($E107/365)+K108*($E108/365)</f>
        <v>4.2465753424657535</v>
      </c>
      <c r="C191" s="5">
        <f>L106*($E106/365)+L107*($E107/365)+L108*($E108/365)</f>
        <v>0</v>
      </c>
      <c r="D191" s="5">
        <f>M106*($E106/365)+M107*($E107/365)+M108*($E108/365)</f>
        <v>79.607305936073061</v>
      </c>
      <c r="E191" s="23">
        <f t="shared" si="32"/>
        <v>83.853881278538807</v>
      </c>
      <c r="G191" s="1">
        <v>2009</v>
      </c>
      <c r="H191" s="392">
        <f>(O106*100*($E106/365)/($O106+$P106+$Q106))+(O107*100*($E107/365)/($O107+$P107+$Q107))+(O108*100*($E108/365)/($O108+$P108+$Q108))</f>
        <v>4.9367215547844916</v>
      </c>
      <c r="I191" s="392"/>
      <c r="J191" s="392">
        <f>(P106*100*($E106/365)/($O106+$P106+$Q106))+(P107*100*($E107/365)/($O107+$P107+$Q107))+(O108*100*(E108/365)/(O108+P108+Q108))</f>
        <v>0</v>
      </c>
      <c r="K191" s="392"/>
      <c r="L191" s="392">
        <f>(Q106*100*($E106/365)/($O106+$P106+$Q106))+(Q107*100*($E107/365)/($O107+$P107+$Q107))+(O108*100*(E108/365)/(O108+P108+Q108))</f>
        <v>30.405744198640168</v>
      </c>
      <c r="M191" s="392"/>
      <c r="N191" s="363">
        <f t="shared" si="34"/>
        <v>35.342465753424662</v>
      </c>
      <c r="O191" s="363"/>
      <c r="R191" s="1">
        <v>2009</v>
      </c>
      <c r="S191" s="5">
        <f>(O106*($E106/365)) + (O107*($E107/365))+(O108*($E108/365))</f>
        <v>3.3717808219178083</v>
      </c>
      <c r="T191" s="5">
        <f>(P106*($E106/365)) + (P107*($E107/365))+(P108*($E108/365))</f>
        <v>0</v>
      </c>
      <c r="U191" s="5">
        <f>(Q106*($E106/365)) + (Q107*($E107/365))+(Q108*($E108/365))</f>
        <v>48.79780821917808</v>
      </c>
      <c r="V191" s="5"/>
      <c r="W191" s="5">
        <f t="shared" si="33"/>
        <v>52.16958904109589</v>
      </c>
    </row>
    <row r="192" spans="1:23" x14ac:dyDescent="0.15">
      <c r="A192" s="1">
        <v>2010</v>
      </c>
      <c r="B192" s="5">
        <f>K109*($E109/365)+K110*($E110/365)</f>
        <v>0</v>
      </c>
      <c r="C192" s="5">
        <f>L109*($E109/365)+L110*($E110/365)</f>
        <v>0</v>
      </c>
      <c r="D192" s="5">
        <f>M109*($E109/365)+M110*($E110/365)</f>
        <v>88.858447488584488</v>
      </c>
      <c r="E192" s="23">
        <f t="shared" si="32"/>
        <v>88.858447488584488</v>
      </c>
      <c r="G192" s="1">
        <v>2010</v>
      </c>
      <c r="H192" s="392">
        <f>(O109*100*($E109/365)/($O109+$P109+$Q109))+(O110*100*($E110/365)/($O110+$P110+$Q110))</f>
        <v>0</v>
      </c>
      <c r="I192" s="392"/>
      <c r="J192" s="392">
        <f>(P109*100*($E109/365)/($O109+$P109+$Q109))+(P110*100*($E110/365)/($O110+$P110+$Q110))</f>
        <v>0</v>
      </c>
      <c r="K192" s="392"/>
      <c r="L192" s="392">
        <f>(Q109*100*($E109/365)/($O109+$P109+$Q109))+(Q110*100*($E110/365)/($O110+$P110+$Q110))</f>
        <v>100</v>
      </c>
      <c r="M192" s="392"/>
      <c r="N192" s="363">
        <f t="shared" si="34"/>
        <v>100</v>
      </c>
      <c r="O192" s="363"/>
      <c r="R192" s="1">
        <v>2010</v>
      </c>
      <c r="S192" s="5">
        <f>(O109*($E109/365)) + (O110*($E110/365))</f>
        <v>0</v>
      </c>
      <c r="T192" s="5">
        <f>(P109*($E109/365)) + (P110*($E110/365))</f>
        <v>0</v>
      </c>
      <c r="U192" s="5">
        <f>(Q109*($E109/365)) + (Q110*($E110/365))</f>
        <v>53.9</v>
      </c>
      <c r="V192" s="5"/>
      <c r="W192" s="5">
        <f t="shared" si="33"/>
        <v>53.9</v>
      </c>
    </row>
    <row r="193" spans="1:23" x14ac:dyDescent="0.15">
      <c r="A193" s="1">
        <v>2011</v>
      </c>
      <c r="B193" s="5">
        <f>K111*($E111/365)+K112*($E112/365)</f>
        <v>0</v>
      </c>
      <c r="C193" s="5">
        <f>L111*($E111/365)+L112*($E112/365)</f>
        <v>0</v>
      </c>
      <c r="D193" s="5">
        <f>M111*($E111/365)+M112*($E112/365)</f>
        <v>100.00000000000001</v>
      </c>
      <c r="E193" s="23">
        <f t="shared" si="32"/>
        <v>100.00000000000001</v>
      </c>
      <c r="G193" s="1">
        <v>2011</v>
      </c>
      <c r="H193" s="392">
        <f>(O111*100*($E111/365)/($O111+$P111+$Q111))+(O112*100*($E112/365)/($O112+$P112+$Q112))</f>
        <v>0</v>
      </c>
      <c r="I193" s="392"/>
      <c r="J193" s="392">
        <f>(P111*100*($E111/365)/($O111+$P111+$Q111))+(P112*100*($E112/365)/($O112+$P112+$Q112))</f>
        <v>0</v>
      </c>
      <c r="K193" s="392"/>
      <c r="L193" s="392">
        <f>(Q111*100*($E111/365)/($O111+$P111+$Q111))+(Q112*100*($E112/365)/($O112+$P112+$Q112))</f>
        <v>100.00000000000001</v>
      </c>
      <c r="M193" s="392"/>
      <c r="N193" s="363">
        <f t="shared" si="34"/>
        <v>100.00000000000001</v>
      </c>
      <c r="O193" s="363"/>
      <c r="R193" s="1">
        <v>2011</v>
      </c>
      <c r="S193" s="5">
        <f>(O111*($E111/365)) + (O112*($E112/365))</f>
        <v>0</v>
      </c>
      <c r="T193" s="5">
        <f>(P111*($E111/365)) + (P112*($E112/365))</f>
        <v>0</v>
      </c>
      <c r="U193" s="5">
        <f>(Q111*($E111/365)) + (Q112*($E112/365))</f>
        <v>53.9</v>
      </c>
      <c r="V193" s="5"/>
      <c r="W193" s="5">
        <f t="shared" si="33"/>
        <v>53.9</v>
      </c>
    </row>
    <row r="194" spans="1:23" x14ac:dyDescent="0.15">
      <c r="A194" s="1">
        <v>2012</v>
      </c>
      <c r="B194" s="5">
        <f>K113*($E113/366)+K114*($E114/366)</f>
        <v>0</v>
      </c>
      <c r="C194" s="5">
        <f>L113*($E113/366)+L114*($E114/366)</f>
        <v>0</v>
      </c>
      <c r="D194" s="5">
        <f>M113*($E113/366)+M114*($E114/366)</f>
        <v>100</v>
      </c>
      <c r="E194" s="23">
        <f t="shared" si="32"/>
        <v>100</v>
      </c>
      <c r="G194" s="1">
        <v>2012</v>
      </c>
      <c r="H194" s="392">
        <f>(O113*100*($E113/366)/($O113+$P113+$Q113))+(O114*100*($E114/366)/($O114+$P114+$Q114))</f>
        <v>0</v>
      </c>
      <c r="I194" s="392"/>
      <c r="J194" s="392">
        <f>(P113*100*($E113/366)/($O113+$P113+$Q113))+(P114*100*($E114/366)/($O114+$P114+$Q114))</f>
        <v>0</v>
      </c>
      <c r="K194" s="392"/>
      <c r="L194" s="392">
        <f>(Q113*100*($E113/366)/($O113+$P113+$Q113))+(Q114*100*($E114/366)/($O114+$P114+$Q114))</f>
        <v>100</v>
      </c>
      <c r="M194" s="392"/>
      <c r="N194" s="363">
        <f t="shared" si="34"/>
        <v>100</v>
      </c>
      <c r="O194" s="363"/>
      <c r="R194" s="1">
        <v>2012</v>
      </c>
      <c r="S194" s="5">
        <f>(O113*($E113/366)) + (O114*($E114/366))</f>
        <v>0</v>
      </c>
      <c r="T194" s="5">
        <f>(P113*($E113/366)) + (P114*($E114/366))</f>
        <v>0</v>
      </c>
      <c r="U194" s="5">
        <f>(Q113*($E113/366)) + (Q114*($E114/366))</f>
        <v>53.9</v>
      </c>
      <c r="V194" s="5"/>
      <c r="W194" s="5">
        <f t="shared" si="33"/>
        <v>53.9</v>
      </c>
    </row>
    <row r="195" spans="1:23" x14ac:dyDescent="0.15">
      <c r="A195" s="1">
        <v>2013</v>
      </c>
      <c r="B195" s="5">
        <f>K115*($E115/365)+K116*($E116/365)</f>
        <v>33.942161339421617</v>
      </c>
      <c r="C195" s="5">
        <f>L115*($E115/365)+L116*($E116/365)</f>
        <v>27.153729071537292</v>
      </c>
      <c r="D195" s="5">
        <f>M115*($E115/365)+M116*($E116/365)</f>
        <v>38.904109589041099</v>
      </c>
      <c r="E195" s="23">
        <f t="shared" si="32"/>
        <v>100</v>
      </c>
      <c r="G195" s="1">
        <v>2013</v>
      </c>
      <c r="H195" s="392">
        <f>(O115*100*($E115/365)/($O115+$P115+$Q115))+(O116*100*($E116/365)/($O116+$P116+$Q116))</f>
        <v>30.547945205479458</v>
      </c>
      <c r="I195" s="392"/>
      <c r="J195" s="392">
        <f>(P115*100*($E115/365)/($O115+$P115+$Q115))+(P116*100*($E116/365)/($O116+$P116+$Q116))</f>
        <v>30.547945205479458</v>
      </c>
      <c r="K195" s="392"/>
      <c r="L195" s="392">
        <f>(Q115*100*($E115/365)/($O115+$P115+$Q115))+(Q116*100*($E116/365)/($O116+$P116+$Q116))</f>
        <v>38.904109589041099</v>
      </c>
      <c r="M195" s="392"/>
      <c r="N195" s="363">
        <f>H195+J195+L195</f>
        <v>100.00000000000001</v>
      </c>
      <c r="O195" s="363"/>
      <c r="R195" s="1">
        <v>2013</v>
      </c>
      <c r="S195" s="5">
        <f>(O115*($E115/365)) + (O116*($E116/365))</f>
        <v>18.450958904109591</v>
      </c>
      <c r="T195" s="5">
        <f>(P115*($E115/365)) + (P116*($E116/365))</f>
        <v>18.450958904109591</v>
      </c>
      <c r="U195" s="5">
        <f>(Q115*($E115/365)) + (Q116*($E116/365))</f>
        <v>20.969315068493152</v>
      </c>
      <c r="W195" s="5">
        <f t="shared" si="33"/>
        <v>57.871232876712334</v>
      </c>
    </row>
    <row r="196" spans="1:23" x14ac:dyDescent="0.15">
      <c r="A196" s="1">
        <v>2014</v>
      </c>
      <c r="B196" s="5">
        <f>K117*($E117/365)+K118*($E118/365)</f>
        <v>55.540334855403351</v>
      </c>
      <c r="C196" s="5">
        <f>L117*($E117/365)+L118*($E118/365)</f>
        <v>44.459665144596656</v>
      </c>
      <c r="D196" s="5">
        <f>M117*($E117/365)+M118*($E118/365)</f>
        <v>0</v>
      </c>
      <c r="E196" s="23">
        <f>B196+C196+D196</f>
        <v>100</v>
      </c>
      <c r="G196" s="1">
        <v>2014</v>
      </c>
      <c r="H196" s="392">
        <f>(O117*100*($E117/365)/($O117+$P117+$Q117))+(O118*100*($E118/365)/($O118+$P118+$Q118))</f>
        <v>50</v>
      </c>
      <c r="I196" s="392"/>
      <c r="J196" s="392">
        <f>(P117*100*($E117/365)/($O117+$P117+$Q117))+(P118*100*($E118/365)/($O118+$P118+$Q118))</f>
        <v>50</v>
      </c>
      <c r="K196" s="392"/>
      <c r="L196" s="392">
        <f>(Q117*100*($E117/365)/($O117+$P117+$Q117))+(Q118*100*($E118/365)/($O118+$P118+$Q118))</f>
        <v>0</v>
      </c>
      <c r="M196" s="392"/>
      <c r="N196" s="363">
        <f>H196+J196+L196</f>
        <v>100</v>
      </c>
      <c r="O196" s="363"/>
      <c r="R196" s="1">
        <v>2014</v>
      </c>
      <c r="S196" s="5">
        <f>(O117*($E117/365)) + (O118*($E118/365))</f>
        <v>30.2</v>
      </c>
      <c r="T196" s="5">
        <f>(P117*($E117/365)) + (P118*($E118/365))</f>
        <v>30.2</v>
      </c>
      <c r="U196" s="5">
        <f>(Q117*($E117/365)) + (Q118*($E118/365))</f>
        <v>0</v>
      </c>
      <c r="W196" s="5">
        <f>S196+T196+U196</f>
        <v>60.4</v>
      </c>
    </row>
    <row r="197" spans="1:23" x14ac:dyDescent="0.15">
      <c r="A197" s="1">
        <v>2015</v>
      </c>
      <c r="B197" s="5">
        <f>K119*($E119/365)+K120*($E120/365)</f>
        <v>50</v>
      </c>
      <c r="C197" s="5">
        <f>L119*($E119/365)+L120*($E120/365)</f>
        <v>50</v>
      </c>
      <c r="D197" s="5">
        <f>M119*($E119/365)+M120*($E120/365)</f>
        <v>0</v>
      </c>
      <c r="E197" s="23">
        <f>B197+C197+D197</f>
        <v>100</v>
      </c>
      <c r="G197" s="1">
        <v>2015</v>
      </c>
      <c r="H197" s="392">
        <f>(O119*100*($E119/365)/($O119+$P119+$Q119))+(O120*100*($E120/365)/($O120+$P120+$Q120))</f>
        <v>50</v>
      </c>
      <c r="I197" s="392"/>
      <c r="J197" s="392">
        <f>(P119*100*($E119/365)/($O119+$P119+$Q119))+(P120*100*($E120/365)/($O120+$P120+$Q120))</f>
        <v>50</v>
      </c>
      <c r="K197" s="392"/>
      <c r="L197" s="392">
        <f>(Q119*100*($E119/365)/($O119+$P119+$Q119))+(Q120*100*($E120/365)/($O120+$P120+$Q120))</f>
        <v>0</v>
      </c>
      <c r="M197" s="392"/>
      <c r="N197" s="363">
        <f>H197+J197+L197</f>
        <v>100</v>
      </c>
      <c r="O197" s="363"/>
      <c r="R197" s="1">
        <v>2015</v>
      </c>
      <c r="S197" s="5">
        <f>(O119*($E119/365)) + (O120*($E120/365))</f>
        <v>30.2</v>
      </c>
      <c r="T197" s="5">
        <f>(P119*($E119/365)) + (P120*($E120/365))</f>
        <v>30.2</v>
      </c>
      <c r="U197" s="5">
        <f>(Q119*($E119/365)) + (Q120*($E120/365))</f>
        <v>0</v>
      </c>
      <c r="W197" s="5">
        <f>S197+T197+U197</f>
        <v>60.4</v>
      </c>
    </row>
    <row r="198" spans="1:23" x14ac:dyDescent="0.15">
      <c r="A198" s="1">
        <v>2016</v>
      </c>
      <c r="B198" s="5">
        <f>K121*($E121/366)+K122*($E122/366)</f>
        <v>50</v>
      </c>
      <c r="C198" s="5">
        <f>L121*($E121/366)+L122*($E122/366)</f>
        <v>50</v>
      </c>
      <c r="D198" s="5">
        <f>M121*($E121/365)+M122*($E122/366)</f>
        <v>0</v>
      </c>
      <c r="E198" s="23">
        <f>B198+C198+D198</f>
        <v>100</v>
      </c>
      <c r="G198" s="1">
        <v>2016</v>
      </c>
      <c r="H198" s="392">
        <f>(O121*100*($E121/366)/($O121+$P121+$Q121))+(O122*100*($E122/366)/($O122+$P122+$Q122))</f>
        <v>66.456996911380372</v>
      </c>
      <c r="I198" s="392"/>
      <c r="J198" s="392">
        <f>(P121*100*($E121/366)/($O121+$P121+$Q121))+(P122*100*($E122/366)/($O122+$P122+$Q122))</f>
        <v>33.543003088619628</v>
      </c>
      <c r="K198" s="392"/>
      <c r="L198" s="392">
        <f>(Q121*100*($E121/366)/($O121+$P121+$Q121))+(Q122*100*($E122/366)/($O122+$P122+$Q122))</f>
        <v>0</v>
      </c>
      <c r="M198" s="392"/>
      <c r="N198" s="363">
        <f>H198+J198+L198</f>
        <v>100</v>
      </c>
      <c r="O198" s="363"/>
      <c r="R198" s="1">
        <v>2016</v>
      </c>
      <c r="S198" s="5">
        <f>(O121*($E121/366)) + (O122*($E122/366))</f>
        <v>32.478415300546445</v>
      </c>
      <c r="T198" s="5">
        <f>(P121*($E121/366)) + (P122*($E122/366))</f>
        <v>17.337978142076501</v>
      </c>
      <c r="U198" s="5">
        <f>(Q121*($E121/366)) + (Q122*($E122/366))</f>
        <v>0</v>
      </c>
      <c r="W198" s="5">
        <f>S198+T198+U198</f>
        <v>49.816393442622946</v>
      </c>
    </row>
    <row r="199" spans="1:23" x14ac:dyDescent="0.15">
      <c r="A199" s="1">
        <v>2017</v>
      </c>
      <c r="B199" s="5">
        <f>K123*($E123/365)+K124*($E124/365)+K125*($E125/365)</f>
        <v>93.848069738480703</v>
      </c>
      <c r="C199" s="5">
        <f t="shared" ref="C199:D199" si="35">L123*($E123/365)+L124*($E124/365)+L125*($E125/365)</f>
        <v>3.7608966376089663</v>
      </c>
      <c r="D199" s="5">
        <f t="shared" si="35"/>
        <v>2.391033623910336</v>
      </c>
      <c r="E199" s="23">
        <f>B199+C199+D199</f>
        <v>100</v>
      </c>
      <c r="G199" s="1">
        <v>2017</v>
      </c>
      <c r="H199" s="392">
        <f>(O123*100*($E123/365)/($O123+$P123+$Q123))+(O124*100*($E124/365)/($O124+$P124+$Q124))+(O125*100*($E125/365)/($O125+$P125+$Q125))</f>
        <v>94.481598759110639</v>
      </c>
      <c r="I199" s="392"/>
      <c r="J199" s="392">
        <f>(P123*100*($E123/365)/($O123+$P123+$Q123))+(P124*100*($E124/365)/($O124+$P124+$Q124))+(P125*100*($E125/365)/($O125+$P125+$Q125))</f>
        <v>2.758964954302193</v>
      </c>
      <c r="K199" s="392"/>
      <c r="L199" s="392">
        <f>(Q123*100*($E123/365)/($O123+$P123+$Q123))+(Q124*100*($E124/365)/($O124+$P124+$Q124))+(Q125*100*($E125/365)/($O125+$P125+$Q125))</f>
        <v>2.7594362865871687</v>
      </c>
      <c r="M199" s="392"/>
      <c r="N199" s="363">
        <f>H199+J199+L199</f>
        <v>100</v>
      </c>
      <c r="O199" s="363"/>
      <c r="R199" s="1">
        <v>2017</v>
      </c>
      <c r="S199" s="5">
        <f>(O123*($E123/365)) + (O124*($E124/365))+ (O125*($E125/365))</f>
        <v>48.005205479452052</v>
      </c>
      <c r="T199" s="5">
        <f t="shared" ref="T199:U199" si="36">(P123*($E123/365)) + (P124*($E124/365))+ (P125*($E125/365))</f>
        <v>1.4613698630136986</v>
      </c>
      <c r="U199" s="5">
        <f t="shared" si="36"/>
        <v>1.5342465753424657</v>
      </c>
      <c r="W199" s="5">
        <f>S199+T199+U199</f>
        <v>51.000821917808217</v>
      </c>
    </row>
    <row r="200" spans="1:23" x14ac:dyDescent="0.15">
      <c r="A200" s="1">
        <v>2018</v>
      </c>
      <c r="B200" s="5">
        <f>K126*($E126/365)+K127*($E127/365)</f>
        <v>45.454545454545453</v>
      </c>
      <c r="C200" s="5">
        <f>L126*($E126/365)+L127*($E127/365)</f>
        <v>27.27272727272727</v>
      </c>
      <c r="D200" s="5">
        <f>M126*($E126/365)+M127*($E127/365)</f>
        <v>27.27272727272727</v>
      </c>
      <c r="E200" s="23">
        <f t="shared" ref="E200" si="37">B200+C200+D200</f>
        <v>99.999999999999986</v>
      </c>
      <c r="G200" s="1">
        <v>2018</v>
      </c>
      <c r="H200" s="392">
        <f>(O126*100*($E126/365)/($O126+$P126+$Q126))+(O127*100*($E127/365)/($O127+$P127+$Q127))</f>
        <v>45.683453237410077</v>
      </c>
      <c r="I200" s="392"/>
      <c r="J200" s="392">
        <f>(P126*100*($E126/365)/($O126+$P126+$Q126))+(P127*100*($E127/365)/($O127+$P127+$Q127))</f>
        <v>22.841726618705039</v>
      </c>
      <c r="K200" s="392"/>
      <c r="L200" s="392">
        <f>(Q126*100*($E126/365)/($O126+$P126+$Q126))+(Q127*100*($E127/365)/($O127+$P127+$Q127))</f>
        <v>31.474820143884894</v>
      </c>
      <c r="M200" s="392"/>
      <c r="N200" s="363">
        <f t="shared" ref="N200" si="38">H200+J200+L200</f>
        <v>100.00000000000001</v>
      </c>
      <c r="O200" s="363"/>
      <c r="R200" s="1">
        <v>2018</v>
      </c>
      <c r="S200" s="5">
        <f xml:space="preserve"> (O126*($E126/365))+ (O127*($E127/365))</f>
        <v>25.4</v>
      </c>
      <c r="T200" s="5">
        <f t="shared" ref="T200:U200" si="39" xml:space="preserve"> (P126*($E126/365))+ (P127*($E127/365))</f>
        <v>12.7</v>
      </c>
      <c r="U200" s="5">
        <f t="shared" si="39"/>
        <v>17.5</v>
      </c>
      <c r="W200" s="5">
        <f t="shared" ref="W200" si="40">S200+T200+U200</f>
        <v>55.599999999999994</v>
      </c>
    </row>
    <row r="201" spans="1:23" x14ac:dyDescent="0.15">
      <c r="A201" s="1">
        <v>2019</v>
      </c>
      <c r="B201" s="5">
        <f>K128*($E128/365)+K129*($E129/365)</f>
        <v>45.454545454545453</v>
      </c>
      <c r="C201" s="5">
        <f>L128*($E128/365)+L129*($E129/365)</f>
        <v>27.27272727272727</v>
      </c>
      <c r="D201" s="5">
        <f>M128*($E128/365)+M129*($E129/365)</f>
        <v>27.27272727272727</v>
      </c>
      <c r="E201" s="23">
        <f t="shared" ref="E201:E202" si="41">B201+C201+D201</f>
        <v>99.999999999999986</v>
      </c>
      <c r="G201" s="1">
        <v>2019</v>
      </c>
      <c r="H201" s="392">
        <f>(O128*100*($E128/365)/($O128+$P128+$Q128))+(O129*100*($E129/365)/($O129+$P129+$Q129))</f>
        <v>45.683453237410077</v>
      </c>
      <c r="I201" s="392"/>
      <c r="J201" s="392">
        <f>(P128*100*($E128/365)/($O128+$P128+$Q128))+(P129*100*($E129/365)/($O129+$P129+$Q129))</f>
        <v>22.841726618705039</v>
      </c>
      <c r="K201" s="392"/>
      <c r="L201" s="392">
        <f>(Q128*100*($E128/365)/($O128+$P128+$Q128))+(Q129*100*($E129/365)/($O129+$P129+$Q129))</f>
        <v>31.474820143884894</v>
      </c>
      <c r="M201" s="392"/>
      <c r="N201" s="363">
        <f t="shared" ref="N201" si="42">H201+J201+L201</f>
        <v>100.00000000000001</v>
      </c>
      <c r="O201" s="363"/>
      <c r="R201" s="1">
        <v>2019</v>
      </c>
      <c r="S201" s="5">
        <f xml:space="preserve"> (O128*($E128/365))+ (O129*($E129/365))</f>
        <v>25.4</v>
      </c>
      <c r="T201" s="5">
        <f xml:space="preserve"> (P128*($E128/365))+ (P129*($E129/365))</f>
        <v>12.7</v>
      </c>
      <c r="U201" s="5">
        <f xml:space="preserve"> (Q128*($E128/365))+ (Q129*($E129/365))</f>
        <v>17.5</v>
      </c>
      <c r="W201" s="5">
        <f t="shared" ref="W201:W202" si="43">S201+T201+U201</f>
        <v>55.599999999999994</v>
      </c>
    </row>
    <row r="202" spans="1:23" x14ac:dyDescent="0.15">
      <c r="A202" s="1">
        <v>2020</v>
      </c>
      <c r="B202" s="5">
        <f>K130*($E130/366)+K131*($E131/366)</f>
        <v>45.454545454545453</v>
      </c>
      <c r="C202" s="5">
        <f>L130*($E130/366)+L131*($E131/366)</f>
        <v>27.27272727272727</v>
      </c>
      <c r="D202" s="5">
        <f>M130*($E130/366)+M131*($E131/366)</f>
        <v>27.27272727272727</v>
      </c>
      <c r="E202" s="23">
        <f t="shared" si="41"/>
        <v>99.999999999999986</v>
      </c>
      <c r="G202" s="1">
        <v>2020</v>
      </c>
      <c r="H202" s="392">
        <f>(O130*100*($E130/366)/($O130+$P130+$Q130))+(O131*100*($E131/366)/($O131+$P131+$Q131))</f>
        <v>45.683453237410077</v>
      </c>
      <c r="I202" s="392"/>
      <c r="J202" s="392">
        <f>(P130*100*($E130/366)/($O130+$P130+$Q130))+(P131*100*($E131/366)/($O131+$P131+$Q131))</f>
        <v>22.841726618705039</v>
      </c>
      <c r="K202" s="392"/>
      <c r="L202" s="392">
        <f>(Q130*100*($E130/366)/($O130+$P130+$Q130))+(Q131*100*($E131/366)/($O131+$P131+$Q131))</f>
        <v>31.474820143884894</v>
      </c>
      <c r="M202" s="392"/>
      <c r="N202" s="363">
        <f t="shared" ref="N202" si="44">H202+J202+L202</f>
        <v>100.00000000000001</v>
      </c>
      <c r="O202" s="363"/>
      <c r="R202" s="1">
        <v>2020</v>
      </c>
      <c r="S202" s="5">
        <f xml:space="preserve"> (O130*($E130/366))+ (O131*($E131/366))</f>
        <v>25.4</v>
      </c>
      <c r="T202" s="5">
        <f xml:space="preserve"> (P130*($E130/366))+ (P131*($E131/366))</f>
        <v>12.7</v>
      </c>
      <c r="U202" s="5">
        <f xml:space="preserve"> (Q130*($E130/366))+ (Q131*($E131/366))</f>
        <v>17.5</v>
      </c>
      <c r="W202" s="5">
        <f t="shared" si="43"/>
        <v>55.599999999999994</v>
      </c>
    </row>
    <row r="203" spans="1:23" x14ac:dyDescent="0.15">
      <c r="A203" s="1">
        <v>2021</v>
      </c>
      <c r="B203" s="5">
        <f>K132*($E132/365)+K133*($E133/365)</f>
        <v>45.10170195101702</v>
      </c>
      <c r="C203" s="5">
        <f>L132*($E132/365)+L133*($E133/365)</f>
        <v>27.837276878372766</v>
      </c>
      <c r="D203" s="5">
        <f>M132*($E132/365)+M133*($E133/365)</f>
        <v>27.061021170610211</v>
      </c>
      <c r="E203" s="23">
        <f>SUM(B203:D203)</f>
        <v>100</v>
      </c>
      <c r="G203" s="1">
        <v>2021</v>
      </c>
      <c r="H203" s="392">
        <f>(O132*100*($E132/365)/($O132+$P132+$Q132))+(O133*100*($E133/365)/($O133+$P133+$Q133))</f>
        <v>48.128889173290723</v>
      </c>
      <c r="I203" s="392"/>
      <c r="J203" s="392">
        <f>(P132*100*($E132/365)/($O132+$P132+$Q132))+(P133*100*($E133/365)/($O133+$P133+$Q133))</f>
        <v>25.161243696120813</v>
      </c>
      <c r="K203" s="392"/>
      <c r="L203" s="392">
        <f>(Q132*100*($E132/365)/($O132+$P132+$Q132))+(Q133*100*($E133/365)/($O133+$P133+$Q133))</f>
        <v>26.709867130588478</v>
      </c>
      <c r="M203" s="392"/>
      <c r="N203" s="363">
        <f>SUM(H203:L203)</f>
        <v>100.00000000000001</v>
      </c>
      <c r="O203" s="363"/>
      <c r="R203" s="1">
        <v>2021</v>
      </c>
      <c r="S203" s="5">
        <f xml:space="preserve"> (O132*($E132/365))+ (O133*($E133/365))</f>
        <v>25.549041095890413</v>
      </c>
      <c r="T203" s="5">
        <f xml:space="preserve"> (P132*($E132/365))+ (P133*($E133/365))</f>
        <v>13.435890410958905</v>
      </c>
      <c r="U203" s="5">
        <f xml:space="preserve"> (Q132*($E132/365))+ (Q133*($E133/365))</f>
        <v>14.150958904109592</v>
      </c>
      <c r="W203" s="5">
        <f>SUM(S203:U203)</f>
        <v>53.135890410958915</v>
      </c>
    </row>
    <row r="204" spans="1:23" x14ac:dyDescent="0.15">
      <c r="A204" s="1">
        <v>2022</v>
      </c>
      <c r="B204" s="5">
        <f>K135*($E135/365)+K134*($E134/365)</f>
        <v>41.666666666666671</v>
      </c>
      <c r="C204" s="5">
        <f>L135*($E135/365)+L134*($E134/365)</f>
        <v>33.333333333333329</v>
      </c>
      <c r="D204" s="5">
        <f>M135*($E135/365)+M134*($E134/365)</f>
        <v>25</v>
      </c>
      <c r="E204" s="23">
        <f>SUM(B204:D204)</f>
        <v>100</v>
      </c>
      <c r="G204" s="1">
        <v>2022</v>
      </c>
      <c r="H204" s="392">
        <f>(O135*100*($E135/365)/($O135+$P135+$Q135))+(O134*100*($E134/365)/($O134+$P134+$Q134))</f>
        <v>44.776119402985074</v>
      </c>
      <c r="I204" s="392"/>
      <c r="J204" s="392">
        <f>(P135*100*($E135/365)/($O135+$P135+$Q135))+(P134*100*($E134/365)/($O134+$P134+$Q134))</f>
        <v>34.162520729684907</v>
      </c>
      <c r="K204" s="392"/>
      <c r="L204" s="392">
        <f>(Q135*100*($E135/365)/($O135+$P135+$Q135))+(Q134*100*($E134/365)/($O134+$P134+$Q134))</f>
        <v>21.061359867330019</v>
      </c>
      <c r="M204" s="392"/>
      <c r="N204" s="363">
        <f>SUM(H204:L204)</f>
        <v>100</v>
      </c>
      <c r="O204" s="363"/>
      <c r="R204" s="1">
        <v>2022</v>
      </c>
      <c r="S204" s="5">
        <f xml:space="preserve"> (O135*($E135/365))+ (O134*($E134/365))</f>
        <v>27</v>
      </c>
      <c r="T204" s="5">
        <f xml:space="preserve"> (P135*($E135/365))+ (P134*($E134/365))</f>
        <v>20.6</v>
      </c>
      <c r="U204" s="5">
        <f xml:space="preserve"> (Q135*($E135/365))+ (Q134*($E134/365))</f>
        <v>12.7</v>
      </c>
      <c r="W204" s="5">
        <f>SUM(S204:U204)</f>
        <v>60.3</v>
      </c>
    </row>
  </sheetData>
  <mergeCells count="412">
    <mergeCell ref="H201:I201"/>
    <mergeCell ref="J201:K201"/>
    <mergeCell ref="L201:M201"/>
    <mergeCell ref="N201:O201"/>
    <mergeCell ref="N198:O198"/>
    <mergeCell ref="C122:D122"/>
    <mergeCell ref="H197:I197"/>
    <mergeCell ref="J197:K197"/>
    <mergeCell ref="L197:M197"/>
    <mergeCell ref="N197:O197"/>
    <mergeCell ref="H195:I195"/>
    <mergeCell ref="L195:M195"/>
    <mergeCell ref="N142:O142"/>
    <mergeCell ref="N177:O177"/>
    <mergeCell ref="N178:O178"/>
    <mergeCell ref="N179:O179"/>
    <mergeCell ref="N176:O176"/>
    <mergeCell ref="L178:M178"/>
    <mergeCell ref="L179:M179"/>
    <mergeCell ref="L180:M180"/>
    <mergeCell ref="L188:M188"/>
    <mergeCell ref="L189:M189"/>
    <mergeCell ref="L190:M190"/>
    <mergeCell ref="J185:K185"/>
    <mergeCell ref="J193:K193"/>
    <mergeCell ref="L184:M184"/>
    <mergeCell ref="L185:M185"/>
    <mergeCell ref="L186:M186"/>
    <mergeCell ref="H198:I198"/>
    <mergeCell ref="J198:K198"/>
    <mergeCell ref="L198:M198"/>
    <mergeCell ref="H196:I196"/>
    <mergeCell ref="H192:I192"/>
    <mergeCell ref="H193:I193"/>
    <mergeCell ref="H194:I194"/>
    <mergeCell ref="H190:I190"/>
    <mergeCell ref="H191:I191"/>
    <mergeCell ref="H186:I186"/>
    <mergeCell ref="H187:I187"/>
    <mergeCell ref="H188:I188"/>
    <mergeCell ref="H189:I189"/>
    <mergeCell ref="H184:I184"/>
    <mergeCell ref="H185:I185"/>
    <mergeCell ref="N188:O188"/>
    <mergeCell ref="J184:K184"/>
    <mergeCell ref="J188:K188"/>
    <mergeCell ref="N196:O196"/>
    <mergeCell ref="N195:O195"/>
    <mergeCell ref="J195:K195"/>
    <mergeCell ref="N189:O189"/>
    <mergeCell ref="N190:O190"/>
    <mergeCell ref="N191:O191"/>
    <mergeCell ref="N192:O192"/>
    <mergeCell ref="L192:M192"/>
    <mergeCell ref="L193:M193"/>
    <mergeCell ref="L191:M191"/>
    <mergeCell ref="N193:O193"/>
    <mergeCell ref="J191:K191"/>
    <mergeCell ref="J192:K192"/>
    <mergeCell ref="N194:O194"/>
    <mergeCell ref="L196:M196"/>
    <mergeCell ref="J196:K196"/>
    <mergeCell ref="J194:K194"/>
    <mergeCell ref="J186:K186"/>
    <mergeCell ref="J189:K189"/>
    <mergeCell ref="J190:K190"/>
    <mergeCell ref="L194:M194"/>
    <mergeCell ref="L172:M172"/>
    <mergeCell ref="L173:M173"/>
    <mergeCell ref="L174:M174"/>
    <mergeCell ref="L175:M175"/>
    <mergeCell ref="L176:M176"/>
    <mergeCell ref="L177:M177"/>
    <mergeCell ref="J187:K187"/>
    <mergeCell ref="N182:O182"/>
    <mergeCell ref="L182:M182"/>
    <mergeCell ref="L183:M183"/>
    <mergeCell ref="N183:O183"/>
    <mergeCell ref="N184:O184"/>
    <mergeCell ref="N185:O185"/>
    <mergeCell ref="N186:O186"/>
    <mergeCell ref="N187:O187"/>
    <mergeCell ref="L187:M187"/>
    <mergeCell ref="J177:K177"/>
    <mergeCell ref="J178:K178"/>
    <mergeCell ref="J179:K179"/>
    <mergeCell ref="AT4:AW4"/>
    <mergeCell ref="AX4:BA4"/>
    <mergeCell ref="R138:W138"/>
    <mergeCell ref="N174:O174"/>
    <mergeCell ref="N175:O175"/>
    <mergeCell ref="L142:M142"/>
    <mergeCell ref="J142:K142"/>
    <mergeCell ref="J180:K180"/>
    <mergeCell ref="J181:K181"/>
    <mergeCell ref="N180:O180"/>
    <mergeCell ref="AD4:AG4"/>
    <mergeCell ref="AH4:AK4"/>
    <mergeCell ref="AL4:AO4"/>
    <mergeCell ref="U4:U5"/>
    <mergeCell ref="V4:Y4"/>
    <mergeCell ref="N181:O181"/>
    <mergeCell ref="L181:M181"/>
    <mergeCell ref="N172:O172"/>
    <mergeCell ref="N173:O173"/>
    <mergeCell ref="L169:M169"/>
    <mergeCell ref="N169:O169"/>
    <mergeCell ref="L170:M170"/>
    <mergeCell ref="N170:O170"/>
    <mergeCell ref="L171:M171"/>
    <mergeCell ref="H172:I172"/>
    <mergeCell ref="H173:I173"/>
    <mergeCell ref="J183:K183"/>
    <mergeCell ref="J182:K182"/>
    <mergeCell ref="H169:I169"/>
    <mergeCell ref="J169:K169"/>
    <mergeCell ref="J172:K172"/>
    <mergeCell ref="J173:K173"/>
    <mergeCell ref="J174:K174"/>
    <mergeCell ref="J175:K175"/>
    <mergeCell ref="J176:K176"/>
    <mergeCell ref="H174:I174"/>
    <mergeCell ref="H175:I175"/>
    <mergeCell ref="H176:I176"/>
    <mergeCell ref="H177:I177"/>
    <mergeCell ref="H178:I178"/>
    <mergeCell ref="H179:I179"/>
    <mergeCell ref="H180:I180"/>
    <mergeCell ref="H181:I181"/>
    <mergeCell ref="H182:I182"/>
    <mergeCell ref="H183:I183"/>
    <mergeCell ref="H170:I170"/>
    <mergeCell ref="J170:K170"/>
    <mergeCell ref="J171:K171"/>
    <mergeCell ref="N171:O171"/>
    <mergeCell ref="H171:I171"/>
    <mergeCell ref="H167:I167"/>
    <mergeCell ref="J167:K167"/>
    <mergeCell ref="L167:M167"/>
    <mergeCell ref="N167:O167"/>
    <mergeCell ref="H168:I168"/>
    <mergeCell ref="J168:K168"/>
    <mergeCell ref="L168:M168"/>
    <mergeCell ref="N168:O168"/>
    <mergeCell ref="H165:I165"/>
    <mergeCell ref="J165:K165"/>
    <mergeCell ref="L165:M165"/>
    <mergeCell ref="N165:O165"/>
    <mergeCell ref="H166:I166"/>
    <mergeCell ref="J166:K166"/>
    <mergeCell ref="L166:M166"/>
    <mergeCell ref="N166:O166"/>
    <mergeCell ref="H163:I163"/>
    <mergeCell ref="J163:K163"/>
    <mergeCell ref="L163:M163"/>
    <mergeCell ref="N163:O163"/>
    <mergeCell ref="H164:I164"/>
    <mergeCell ref="J164:K164"/>
    <mergeCell ref="L164:M164"/>
    <mergeCell ref="N164:O164"/>
    <mergeCell ref="H161:I161"/>
    <mergeCell ref="J161:K161"/>
    <mergeCell ref="L161:M161"/>
    <mergeCell ref="N161:O161"/>
    <mergeCell ref="H162:I162"/>
    <mergeCell ref="J162:K162"/>
    <mergeCell ref="L162:M162"/>
    <mergeCell ref="N162:O162"/>
    <mergeCell ref="H159:I159"/>
    <mergeCell ref="J159:K159"/>
    <mergeCell ref="L159:M159"/>
    <mergeCell ref="N159:O159"/>
    <mergeCell ref="H160:I160"/>
    <mergeCell ref="J160:K160"/>
    <mergeCell ref="L160:M160"/>
    <mergeCell ref="N160:O160"/>
    <mergeCell ref="H157:I157"/>
    <mergeCell ref="J157:K157"/>
    <mergeCell ref="L157:M157"/>
    <mergeCell ref="N157:O157"/>
    <mergeCell ref="H158:I158"/>
    <mergeCell ref="J158:K158"/>
    <mergeCell ref="L158:M158"/>
    <mergeCell ref="N158:O158"/>
    <mergeCell ref="H156:I156"/>
    <mergeCell ref="J156:K156"/>
    <mergeCell ref="L156:M156"/>
    <mergeCell ref="N156:O156"/>
    <mergeCell ref="C45:D45"/>
    <mergeCell ref="C19:D19"/>
    <mergeCell ref="C20:D20"/>
    <mergeCell ref="C34:D34"/>
    <mergeCell ref="C31:D31"/>
    <mergeCell ref="G3:M3"/>
    <mergeCell ref="O3:Q3"/>
    <mergeCell ref="H147:I147"/>
    <mergeCell ref="J147:K147"/>
    <mergeCell ref="L147:M147"/>
    <mergeCell ref="N147:O147"/>
    <mergeCell ref="J140:K140"/>
    <mergeCell ref="L140:M140"/>
    <mergeCell ref="N140:O140"/>
    <mergeCell ref="H142:I142"/>
    <mergeCell ref="H140:I140"/>
    <mergeCell ref="H141:I141"/>
    <mergeCell ref="J141:K141"/>
    <mergeCell ref="L141:M141"/>
    <mergeCell ref="N141:O141"/>
    <mergeCell ref="H145:I145"/>
    <mergeCell ref="J145:K145"/>
    <mergeCell ref="L145:M145"/>
    <mergeCell ref="N145:O145"/>
    <mergeCell ref="A4:A5"/>
    <mergeCell ref="B4:B5"/>
    <mergeCell ref="C4:D5"/>
    <mergeCell ref="E4:E5"/>
    <mergeCell ref="F4:F5"/>
    <mergeCell ref="G4:J4"/>
    <mergeCell ref="C18:D18"/>
    <mergeCell ref="C32:D32"/>
    <mergeCell ref="C35:D35"/>
    <mergeCell ref="C14:D14"/>
    <mergeCell ref="C15:D15"/>
    <mergeCell ref="C16:D16"/>
    <mergeCell ref="C17:D17"/>
    <mergeCell ref="C21:D21"/>
    <mergeCell ref="C22:D22"/>
    <mergeCell ref="C23:D23"/>
    <mergeCell ref="C24:D24"/>
    <mergeCell ref="C27:D27"/>
    <mergeCell ref="C28:D28"/>
    <mergeCell ref="C25:D25"/>
    <mergeCell ref="C26:D26"/>
    <mergeCell ref="C29:D29"/>
    <mergeCell ref="C30:D30"/>
    <mergeCell ref="C33:D33"/>
    <mergeCell ref="C46:D46"/>
    <mergeCell ref="AP4:AS4"/>
    <mergeCell ref="C8:D8"/>
    <mergeCell ref="K4:N4"/>
    <mergeCell ref="O4:R4"/>
    <mergeCell ref="S4:S5"/>
    <mergeCell ref="T4:T5"/>
    <mergeCell ref="C11:D11"/>
    <mergeCell ref="C12:D12"/>
    <mergeCell ref="C13:D13"/>
    <mergeCell ref="C9:D9"/>
    <mergeCell ref="C10:D10"/>
    <mergeCell ref="C7:D7"/>
    <mergeCell ref="C6:D6"/>
    <mergeCell ref="Z4:AC4"/>
    <mergeCell ref="C43:D43"/>
    <mergeCell ref="C44:D44"/>
    <mergeCell ref="C36:D36"/>
    <mergeCell ref="C39:D39"/>
    <mergeCell ref="C40:D40"/>
    <mergeCell ref="C37:D37"/>
    <mergeCell ref="C38:D38"/>
    <mergeCell ref="C41:D41"/>
    <mergeCell ref="C42:D42"/>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82:D82"/>
    <mergeCell ref="C79:D79"/>
    <mergeCell ref="C80:D80"/>
    <mergeCell ref="C83:D83"/>
    <mergeCell ref="C84:D84"/>
    <mergeCell ref="C87:D87"/>
    <mergeCell ref="C88:D88"/>
    <mergeCell ref="C85:D85"/>
    <mergeCell ref="C86:D86"/>
    <mergeCell ref="C89:D89"/>
    <mergeCell ref="C90:D90"/>
    <mergeCell ref="C93:D93"/>
    <mergeCell ref="C94:D94"/>
    <mergeCell ref="C91:D91"/>
    <mergeCell ref="C92:D92"/>
    <mergeCell ref="C95:D95"/>
    <mergeCell ref="C96:D96"/>
    <mergeCell ref="C99:D99"/>
    <mergeCell ref="C100:D100"/>
    <mergeCell ref="C97:D97"/>
    <mergeCell ref="C98:D98"/>
    <mergeCell ref="C101:D101"/>
    <mergeCell ref="C102:D102"/>
    <mergeCell ref="C111:D111"/>
    <mergeCell ref="C112:D112"/>
    <mergeCell ref="C103:D103"/>
    <mergeCell ref="C104:D104"/>
    <mergeCell ref="C113:D113"/>
    <mergeCell ref="C114:D114"/>
    <mergeCell ref="C105:D105"/>
    <mergeCell ref="C106:D106"/>
    <mergeCell ref="C107:D107"/>
    <mergeCell ref="C108:D108"/>
    <mergeCell ref="C109:D109"/>
    <mergeCell ref="C110:D110"/>
    <mergeCell ref="C115:D115"/>
    <mergeCell ref="C118:D118"/>
    <mergeCell ref="C116:D116"/>
    <mergeCell ref="C117:D117"/>
    <mergeCell ref="C119:D119"/>
    <mergeCell ref="C120:D120"/>
    <mergeCell ref="C121:D121"/>
    <mergeCell ref="C123:D123"/>
    <mergeCell ref="C124:D124"/>
    <mergeCell ref="C125:D125"/>
    <mergeCell ref="C126:D126"/>
    <mergeCell ref="C127:D127"/>
    <mergeCell ref="H200:I200"/>
    <mergeCell ref="J200:K200"/>
    <mergeCell ref="L200:M200"/>
    <mergeCell ref="N200:O200"/>
    <mergeCell ref="J199:K199"/>
    <mergeCell ref="L199:M199"/>
    <mergeCell ref="H199:I199"/>
    <mergeCell ref="N199:O199"/>
    <mergeCell ref="C133:D133"/>
    <mergeCell ref="C132:D132"/>
    <mergeCell ref="H144:I144"/>
    <mergeCell ref="J144:K144"/>
    <mergeCell ref="L144:M144"/>
    <mergeCell ref="N144:O144"/>
    <mergeCell ref="H152:I152"/>
    <mergeCell ref="J152:K152"/>
    <mergeCell ref="L152:M152"/>
    <mergeCell ref="N152:O152"/>
    <mergeCell ref="H149:I149"/>
    <mergeCell ref="J149:K149"/>
    <mergeCell ref="L149:M149"/>
    <mergeCell ref="N149:O149"/>
    <mergeCell ref="H148:I148"/>
    <mergeCell ref="J148:K148"/>
    <mergeCell ref="L148:M148"/>
    <mergeCell ref="N148:O148"/>
    <mergeCell ref="C128:D128"/>
    <mergeCell ref="C129:D129"/>
    <mergeCell ref="C130:D130"/>
    <mergeCell ref="C131:D131"/>
    <mergeCell ref="H146:I146"/>
    <mergeCell ref="J146:K146"/>
    <mergeCell ref="L146:M146"/>
    <mergeCell ref="N146:O146"/>
    <mergeCell ref="H143:I143"/>
    <mergeCell ref="J143:K143"/>
    <mergeCell ref="L143:M143"/>
    <mergeCell ref="N143:O143"/>
    <mergeCell ref="C134:D134"/>
    <mergeCell ref="C135:D135"/>
    <mergeCell ref="H150:I150"/>
    <mergeCell ref="J150:K150"/>
    <mergeCell ref="L150:M150"/>
    <mergeCell ref="N150:O150"/>
    <mergeCell ref="H151:I151"/>
    <mergeCell ref="J151:K151"/>
    <mergeCell ref="L151:M151"/>
    <mergeCell ref="N151:O151"/>
    <mergeCell ref="H155:I155"/>
    <mergeCell ref="J155:K155"/>
    <mergeCell ref="L155:M155"/>
    <mergeCell ref="N155:O155"/>
    <mergeCell ref="H153:I153"/>
    <mergeCell ref="J153:K153"/>
    <mergeCell ref="L153:M153"/>
    <mergeCell ref="N153:O153"/>
    <mergeCell ref="H154:I154"/>
    <mergeCell ref="J154:K154"/>
    <mergeCell ref="L154:M154"/>
    <mergeCell ref="N154:O154"/>
    <mergeCell ref="H204:I204"/>
    <mergeCell ref="J204:K204"/>
    <mergeCell ref="L204:M204"/>
    <mergeCell ref="N204:O204"/>
    <mergeCell ref="H203:I203"/>
    <mergeCell ref="J203:K203"/>
    <mergeCell ref="L203:M203"/>
    <mergeCell ref="N203:O203"/>
    <mergeCell ref="H202:I202"/>
    <mergeCell ref="J202:K202"/>
    <mergeCell ref="L202:M202"/>
    <mergeCell ref="N202:O202"/>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BA207"/>
  <sheetViews>
    <sheetView zoomScale="121" zoomScaleNormal="120" workbookViewId="0">
      <pane xSplit="1" ySplit="5" topLeftCell="AQ132" activePane="bottomRight" state="frozen"/>
      <selection pane="topRight" activeCell="B1" sqref="B1"/>
      <selection pane="bottomLeft" activeCell="A6" sqref="A6"/>
      <selection pane="bottomRight" activeCell="G5" sqref="A5:XFD5"/>
    </sheetView>
  </sheetViews>
  <sheetFormatPr baseColWidth="10" defaultColWidth="10.6640625" defaultRowHeight="11" x14ac:dyDescent="0.15"/>
  <cols>
    <col min="1" max="1" width="5.83203125" style="1" customWidth="1"/>
    <col min="2" max="6" width="7.83203125" style="1" customWidth="1"/>
    <col min="7" max="7" width="4.5" style="1" customWidth="1"/>
    <col min="8" max="8" width="4.5" style="4" customWidth="1"/>
    <col min="9"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58</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139" customFormat="1" x14ac:dyDescent="0.15">
      <c r="A6" s="145">
        <v>1959</v>
      </c>
      <c r="B6" s="294"/>
      <c r="C6" s="398" t="s">
        <v>1228</v>
      </c>
      <c r="D6" s="398"/>
      <c r="E6" s="139">
        <v>173</v>
      </c>
      <c r="G6" s="159">
        <v>12</v>
      </c>
      <c r="H6" s="142"/>
      <c r="I6" s="152"/>
      <c r="J6" s="160">
        <v>12</v>
      </c>
      <c r="K6" s="130">
        <f t="shared" ref="K6:M8" si="0">G6/$J6*100</f>
        <v>100</v>
      </c>
      <c r="L6" s="130">
        <f t="shared" si="0"/>
        <v>0</v>
      </c>
      <c r="M6" s="130">
        <f t="shared" si="0"/>
        <v>0</v>
      </c>
      <c r="N6" s="131">
        <f>K6+L6+M6</f>
        <v>100</v>
      </c>
      <c r="O6" s="161">
        <v>53.1</v>
      </c>
      <c r="P6" s="130"/>
      <c r="Q6" s="130"/>
      <c r="R6" s="162">
        <f>O6+P6+Q6</f>
        <v>53.1</v>
      </c>
      <c r="S6" s="139">
        <v>1</v>
      </c>
      <c r="T6" s="306"/>
      <c r="U6" s="294"/>
      <c r="V6" s="138" t="s">
        <v>553</v>
      </c>
      <c r="W6" s="139" t="s">
        <v>22</v>
      </c>
      <c r="X6" s="139" t="s">
        <v>11</v>
      </c>
      <c r="Y6" s="140">
        <v>53.1</v>
      </c>
      <c r="AD6" s="138"/>
      <c r="AG6" s="140"/>
      <c r="AL6" s="138"/>
      <c r="AO6" s="140"/>
      <c r="AP6" s="138"/>
      <c r="AS6" s="140"/>
      <c r="AW6" s="140"/>
      <c r="BA6" s="141"/>
    </row>
    <row r="7" spans="1:53" s="139" customFormat="1" x14ac:dyDescent="0.15">
      <c r="A7" s="145">
        <v>1959</v>
      </c>
      <c r="B7" s="294">
        <v>21724</v>
      </c>
      <c r="C7" s="398" t="s">
        <v>740</v>
      </c>
      <c r="D7" s="398"/>
      <c r="E7" s="139">
        <f>365-E6</f>
        <v>192</v>
      </c>
      <c r="F7" s="139">
        <v>5</v>
      </c>
      <c r="G7" s="159">
        <v>14</v>
      </c>
      <c r="H7" s="142"/>
      <c r="I7" s="152"/>
      <c r="J7" s="160">
        <v>14</v>
      </c>
      <c r="K7" s="130">
        <f t="shared" si="0"/>
        <v>100</v>
      </c>
      <c r="L7" s="130">
        <f t="shared" si="0"/>
        <v>0</v>
      </c>
      <c r="M7" s="130">
        <f t="shared" si="0"/>
        <v>0</v>
      </c>
      <c r="N7" s="131">
        <f>K7+L7+M7</f>
        <v>100</v>
      </c>
      <c r="O7" s="161">
        <v>53.1</v>
      </c>
      <c r="P7" s="130"/>
      <c r="Q7" s="130"/>
      <c r="R7" s="162">
        <f>O7+P7+Q7</f>
        <v>53.1</v>
      </c>
      <c r="S7" s="139">
        <v>1</v>
      </c>
      <c r="T7" s="306"/>
      <c r="U7" s="294">
        <v>21724</v>
      </c>
      <c r="V7" s="138" t="s">
        <v>553</v>
      </c>
      <c r="W7" s="139" t="s">
        <v>22</v>
      </c>
      <c r="X7" s="139" t="s">
        <v>11</v>
      </c>
      <c r="Y7" s="140">
        <v>53.1</v>
      </c>
      <c r="AD7" s="138"/>
      <c r="AG7" s="140"/>
      <c r="AL7" s="138"/>
      <c r="AO7" s="140"/>
      <c r="AP7" s="138"/>
      <c r="AS7" s="140"/>
      <c r="AW7" s="140"/>
      <c r="BA7" s="141"/>
    </row>
    <row r="8" spans="1:53" s="28" customFormat="1" x14ac:dyDescent="0.15">
      <c r="A8" s="51">
        <v>1960</v>
      </c>
      <c r="B8" s="293"/>
      <c r="C8" s="394" t="s">
        <v>740</v>
      </c>
      <c r="D8" s="394"/>
      <c r="E8" s="28">
        <v>0</v>
      </c>
      <c r="G8" s="29">
        <v>14</v>
      </c>
      <c r="H8" s="103"/>
      <c r="I8" s="30"/>
      <c r="J8" s="31">
        <v>14</v>
      </c>
      <c r="K8" s="32">
        <f t="shared" si="0"/>
        <v>100</v>
      </c>
      <c r="L8" s="32">
        <f t="shared" si="0"/>
        <v>0</v>
      </c>
      <c r="M8" s="32">
        <f t="shared" si="0"/>
        <v>0</v>
      </c>
      <c r="N8" s="33">
        <f>K8+L8+M8</f>
        <v>100</v>
      </c>
      <c r="O8" s="34">
        <v>53.1</v>
      </c>
      <c r="P8" s="32"/>
      <c r="Q8" s="32"/>
      <c r="R8" s="35">
        <f>O8+P8+Q8</f>
        <v>53.1</v>
      </c>
      <c r="S8" s="28">
        <v>1</v>
      </c>
      <c r="T8" s="284"/>
      <c r="U8" s="293"/>
      <c r="V8" s="37" t="s">
        <v>553</v>
      </c>
      <c r="W8" s="28" t="s">
        <v>22</v>
      </c>
      <c r="X8" s="28" t="s">
        <v>11</v>
      </c>
      <c r="Y8" s="38">
        <v>53.1</v>
      </c>
      <c r="AD8" s="37"/>
      <c r="AG8" s="38"/>
      <c r="AL8" s="37"/>
      <c r="AO8" s="38"/>
      <c r="AP8" s="37"/>
      <c r="AS8" s="38"/>
      <c r="AW8" s="38"/>
      <c r="BA8" s="39"/>
    </row>
    <row r="9" spans="1:53" s="28" customFormat="1" x14ac:dyDescent="0.15">
      <c r="A9" s="51">
        <v>1960</v>
      </c>
      <c r="B9" s="293"/>
      <c r="C9" s="394" t="s">
        <v>740</v>
      </c>
      <c r="D9" s="394"/>
      <c r="E9" s="28">
        <v>366</v>
      </c>
      <c r="G9" s="29">
        <v>14</v>
      </c>
      <c r="H9" s="103"/>
      <c r="I9" s="30"/>
      <c r="J9" s="31">
        <v>14</v>
      </c>
      <c r="K9" s="32">
        <f t="shared" ref="K9:M58" si="1">G9/$J9*100</f>
        <v>100</v>
      </c>
      <c r="L9" s="32">
        <f t="shared" si="1"/>
        <v>0</v>
      </c>
      <c r="M9" s="32">
        <f t="shared" si="1"/>
        <v>0</v>
      </c>
      <c r="N9" s="33">
        <f t="shared" ref="N9:N58" si="2">K9+L9+M9</f>
        <v>100</v>
      </c>
      <c r="O9" s="34">
        <v>53.1</v>
      </c>
      <c r="P9" s="32"/>
      <c r="Q9" s="32"/>
      <c r="R9" s="35">
        <f t="shared" ref="R9:R72" si="3">O9+P9+Q9</f>
        <v>53.1</v>
      </c>
      <c r="S9" s="28">
        <v>1</v>
      </c>
      <c r="T9" s="284"/>
      <c r="U9" s="293"/>
      <c r="V9" s="37" t="s">
        <v>553</v>
      </c>
      <c r="W9" s="28" t="s">
        <v>22</v>
      </c>
      <c r="X9" s="28" t="s">
        <v>11</v>
      </c>
      <c r="Y9" s="38">
        <v>53.1</v>
      </c>
      <c r="AD9" s="37"/>
      <c r="AG9" s="38"/>
      <c r="AL9" s="37"/>
      <c r="AO9" s="38"/>
      <c r="AP9" s="37"/>
      <c r="AS9" s="38"/>
      <c r="AW9" s="38"/>
      <c r="BA9" s="39"/>
    </row>
    <row r="10" spans="1:53" s="28" customFormat="1" x14ac:dyDescent="0.15">
      <c r="A10" s="51">
        <v>1961</v>
      </c>
      <c r="B10" s="293"/>
      <c r="C10" s="394" t="s">
        <v>740</v>
      </c>
      <c r="D10" s="394"/>
      <c r="E10" s="28">
        <v>283</v>
      </c>
      <c r="G10" s="29">
        <v>14</v>
      </c>
      <c r="H10" s="103"/>
      <c r="I10" s="30"/>
      <c r="J10" s="31">
        <v>14</v>
      </c>
      <c r="K10" s="32">
        <f t="shared" si="1"/>
        <v>100</v>
      </c>
      <c r="L10" s="32">
        <f t="shared" si="1"/>
        <v>0</v>
      </c>
      <c r="M10" s="32">
        <f t="shared" si="1"/>
        <v>0</v>
      </c>
      <c r="N10" s="33">
        <f t="shared" si="2"/>
        <v>100</v>
      </c>
      <c r="O10" s="34">
        <v>53.1</v>
      </c>
      <c r="P10" s="32"/>
      <c r="Q10" s="32"/>
      <c r="R10" s="35">
        <f t="shared" si="3"/>
        <v>53.1</v>
      </c>
      <c r="S10" s="28">
        <v>1</v>
      </c>
      <c r="T10" s="284"/>
      <c r="U10" s="293"/>
      <c r="V10" s="37" t="s">
        <v>553</v>
      </c>
      <c r="W10" s="28" t="s">
        <v>22</v>
      </c>
      <c r="X10" s="28" t="s">
        <v>11</v>
      </c>
      <c r="Y10" s="38">
        <v>53.1</v>
      </c>
      <c r="AD10" s="37"/>
      <c r="AG10" s="38"/>
      <c r="AL10" s="37"/>
      <c r="AO10" s="38"/>
      <c r="AP10" s="37"/>
      <c r="AS10" s="38"/>
      <c r="AW10" s="38"/>
      <c r="BA10" s="39"/>
    </row>
    <row r="11" spans="1:53" s="170" customFormat="1" x14ac:dyDescent="0.15">
      <c r="A11" s="215">
        <v>1961</v>
      </c>
      <c r="B11" s="281">
        <v>22565</v>
      </c>
      <c r="C11" s="395" t="s">
        <v>741</v>
      </c>
      <c r="D11" s="395"/>
      <c r="E11" s="170">
        <f>365-E10</f>
        <v>82</v>
      </c>
      <c r="F11" s="170">
        <v>1</v>
      </c>
      <c r="G11" s="171">
        <v>15</v>
      </c>
      <c r="H11" s="253"/>
      <c r="I11" s="116"/>
      <c r="J11" s="172">
        <v>15</v>
      </c>
      <c r="K11" s="173">
        <f t="shared" si="1"/>
        <v>100</v>
      </c>
      <c r="L11" s="173">
        <f t="shared" si="1"/>
        <v>0</v>
      </c>
      <c r="M11" s="173">
        <f t="shared" si="1"/>
        <v>0</v>
      </c>
      <c r="N11" s="174">
        <f t="shared" si="2"/>
        <v>100</v>
      </c>
      <c r="O11" s="175">
        <v>48.6</v>
      </c>
      <c r="P11" s="173"/>
      <c r="Q11" s="173"/>
      <c r="R11" s="176">
        <f t="shared" si="3"/>
        <v>48.6</v>
      </c>
      <c r="S11" s="170">
        <v>4</v>
      </c>
      <c r="T11" s="283">
        <v>22558</v>
      </c>
      <c r="U11" s="281">
        <v>22565</v>
      </c>
      <c r="V11" s="177" t="s">
        <v>553</v>
      </c>
      <c r="W11" s="170" t="s">
        <v>22</v>
      </c>
      <c r="X11" s="170" t="s">
        <v>11</v>
      </c>
      <c r="Y11" s="178">
        <v>48.6</v>
      </c>
      <c r="AD11" s="177"/>
      <c r="AG11" s="178"/>
      <c r="AL11" s="177"/>
      <c r="AO11" s="178"/>
      <c r="AP11" s="177"/>
      <c r="AS11" s="178"/>
      <c r="AW11" s="178"/>
      <c r="BA11" s="179"/>
    </row>
    <row r="12" spans="1:53" s="170" customFormat="1" x14ac:dyDescent="0.15">
      <c r="A12" s="215">
        <v>1962</v>
      </c>
      <c r="B12" s="281"/>
      <c r="C12" s="395" t="s">
        <v>741</v>
      </c>
      <c r="D12" s="395"/>
      <c r="E12" s="170">
        <v>0</v>
      </c>
      <c r="G12" s="171">
        <v>15</v>
      </c>
      <c r="H12" s="253"/>
      <c r="I12" s="116"/>
      <c r="J12" s="172">
        <v>15</v>
      </c>
      <c r="K12" s="173">
        <f t="shared" si="1"/>
        <v>100</v>
      </c>
      <c r="L12" s="173">
        <f t="shared" si="1"/>
        <v>0</v>
      </c>
      <c r="M12" s="173">
        <f t="shared" si="1"/>
        <v>0</v>
      </c>
      <c r="N12" s="174">
        <f t="shared" si="2"/>
        <v>100</v>
      </c>
      <c r="O12" s="175">
        <v>48.6</v>
      </c>
      <c r="P12" s="173"/>
      <c r="Q12" s="173"/>
      <c r="R12" s="176">
        <f t="shared" si="3"/>
        <v>48.6</v>
      </c>
      <c r="S12" s="170">
        <v>4</v>
      </c>
      <c r="T12" s="283"/>
      <c r="U12" s="281"/>
      <c r="V12" s="177" t="s">
        <v>553</v>
      </c>
      <c r="W12" s="170" t="s">
        <v>22</v>
      </c>
      <c r="X12" s="170" t="s">
        <v>11</v>
      </c>
      <c r="Y12" s="178">
        <v>48.6</v>
      </c>
      <c r="AD12" s="177"/>
      <c r="AG12" s="178"/>
      <c r="AL12" s="177"/>
      <c r="AO12" s="178"/>
      <c r="AP12" s="177"/>
      <c r="AS12" s="178"/>
      <c r="AW12" s="178"/>
      <c r="BA12" s="179"/>
    </row>
    <row r="13" spans="1:53" s="170" customFormat="1" x14ac:dyDescent="0.15">
      <c r="A13" s="215">
        <v>1962</v>
      </c>
      <c r="B13" s="281"/>
      <c r="C13" s="395" t="s">
        <v>741</v>
      </c>
      <c r="D13" s="395"/>
      <c r="E13" s="170">
        <v>365</v>
      </c>
      <c r="G13" s="171">
        <v>15</v>
      </c>
      <c r="H13" s="253"/>
      <c r="I13" s="116"/>
      <c r="J13" s="172">
        <v>15</v>
      </c>
      <c r="K13" s="173">
        <f t="shared" si="1"/>
        <v>100</v>
      </c>
      <c r="L13" s="173">
        <f t="shared" si="1"/>
        <v>0</v>
      </c>
      <c r="M13" s="173">
        <f t="shared" si="1"/>
        <v>0</v>
      </c>
      <c r="N13" s="174">
        <f t="shared" si="2"/>
        <v>100</v>
      </c>
      <c r="O13" s="175">
        <v>48.6</v>
      </c>
      <c r="P13" s="173"/>
      <c r="Q13" s="173"/>
      <c r="R13" s="176">
        <f t="shared" si="3"/>
        <v>48.6</v>
      </c>
      <c r="S13" s="170">
        <v>4</v>
      </c>
      <c r="T13" s="283"/>
      <c r="U13" s="281"/>
      <c r="V13" s="177" t="s">
        <v>553</v>
      </c>
      <c r="W13" s="170" t="s">
        <v>22</v>
      </c>
      <c r="X13" s="170" t="s">
        <v>11</v>
      </c>
      <c r="Y13" s="178">
        <v>48.6</v>
      </c>
      <c r="AD13" s="177"/>
      <c r="AG13" s="178"/>
      <c r="AL13" s="177"/>
      <c r="AO13" s="178"/>
      <c r="AP13" s="177"/>
      <c r="AS13" s="178"/>
      <c r="AW13" s="178"/>
      <c r="BA13" s="179"/>
    </row>
    <row r="14" spans="1:53" s="170" customFormat="1" x14ac:dyDescent="0.15">
      <c r="A14" s="215">
        <v>1963</v>
      </c>
      <c r="B14" s="281"/>
      <c r="C14" s="395" t="s">
        <v>741</v>
      </c>
      <c r="D14" s="395"/>
      <c r="E14" s="170">
        <v>0</v>
      </c>
      <c r="G14" s="171">
        <v>15</v>
      </c>
      <c r="H14" s="253"/>
      <c r="I14" s="116"/>
      <c r="J14" s="172">
        <v>15</v>
      </c>
      <c r="K14" s="173">
        <f t="shared" si="1"/>
        <v>100</v>
      </c>
      <c r="L14" s="173">
        <f t="shared" si="1"/>
        <v>0</v>
      </c>
      <c r="M14" s="173">
        <f t="shared" si="1"/>
        <v>0</v>
      </c>
      <c r="N14" s="174">
        <f t="shared" si="2"/>
        <v>100</v>
      </c>
      <c r="O14" s="175">
        <v>48.6</v>
      </c>
      <c r="P14" s="173"/>
      <c r="Q14" s="173"/>
      <c r="R14" s="176">
        <f t="shared" si="3"/>
        <v>48.6</v>
      </c>
      <c r="S14" s="170">
        <v>4</v>
      </c>
      <c r="T14" s="283"/>
      <c r="U14" s="281"/>
      <c r="V14" s="177" t="s">
        <v>553</v>
      </c>
      <c r="W14" s="170" t="s">
        <v>22</v>
      </c>
      <c r="X14" s="170" t="s">
        <v>11</v>
      </c>
      <c r="Y14" s="178">
        <v>48.6</v>
      </c>
      <c r="AD14" s="177"/>
      <c r="AG14" s="178"/>
      <c r="AL14" s="177"/>
      <c r="AO14" s="178"/>
      <c r="AP14" s="177"/>
      <c r="AS14" s="178"/>
      <c r="AW14" s="178"/>
      <c r="BA14" s="179"/>
    </row>
    <row r="15" spans="1:53" s="170" customFormat="1" x14ac:dyDescent="0.15">
      <c r="A15" s="215">
        <v>1963</v>
      </c>
      <c r="B15" s="281"/>
      <c r="C15" s="395" t="s">
        <v>741</v>
      </c>
      <c r="D15" s="395"/>
      <c r="E15" s="170">
        <v>365</v>
      </c>
      <c r="G15" s="171">
        <v>15</v>
      </c>
      <c r="H15" s="253"/>
      <c r="I15" s="116"/>
      <c r="J15" s="172">
        <v>15</v>
      </c>
      <c r="K15" s="173">
        <f t="shared" si="1"/>
        <v>100</v>
      </c>
      <c r="L15" s="173">
        <f t="shared" si="1"/>
        <v>0</v>
      </c>
      <c r="M15" s="173">
        <f t="shared" si="1"/>
        <v>0</v>
      </c>
      <c r="N15" s="174">
        <f t="shared" si="2"/>
        <v>100</v>
      </c>
      <c r="O15" s="175">
        <v>48.6</v>
      </c>
      <c r="P15" s="173"/>
      <c r="Q15" s="173"/>
      <c r="R15" s="176">
        <f t="shared" si="3"/>
        <v>48.6</v>
      </c>
      <c r="S15" s="170">
        <v>4</v>
      </c>
      <c r="T15" s="283"/>
      <c r="U15" s="281"/>
      <c r="V15" s="177" t="s">
        <v>553</v>
      </c>
      <c r="W15" s="170" t="s">
        <v>22</v>
      </c>
      <c r="X15" s="170" t="s">
        <v>11</v>
      </c>
      <c r="Y15" s="178">
        <v>48.6</v>
      </c>
      <c r="AD15" s="177"/>
      <c r="AG15" s="178"/>
      <c r="AL15" s="177"/>
      <c r="AO15" s="178"/>
      <c r="AP15" s="177"/>
      <c r="AS15" s="178"/>
      <c r="AW15" s="178"/>
      <c r="BA15" s="179"/>
    </row>
    <row r="16" spans="1:53" s="170" customFormat="1" x14ac:dyDescent="0.15">
      <c r="A16" s="215">
        <v>1964</v>
      </c>
      <c r="B16" s="281"/>
      <c r="C16" s="395" t="s">
        <v>741</v>
      </c>
      <c r="D16" s="395"/>
      <c r="E16" s="170">
        <v>0</v>
      </c>
      <c r="G16" s="171">
        <v>15</v>
      </c>
      <c r="H16" s="253"/>
      <c r="I16" s="116"/>
      <c r="J16" s="172">
        <v>15</v>
      </c>
      <c r="K16" s="173">
        <f t="shared" si="1"/>
        <v>100</v>
      </c>
      <c r="L16" s="173">
        <f t="shared" si="1"/>
        <v>0</v>
      </c>
      <c r="M16" s="173">
        <f t="shared" si="1"/>
        <v>0</v>
      </c>
      <c r="N16" s="174">
        <f t="shared" si="2"/>
        <v>100</v>
      </c>
      <c r="O16" s="175">
        <v>48.6</v>
      </c>
      <c r="P16" s="173"/>
      <c r="Q16" s="173"/>
      <c r="R16" s="176">
        <f t="shared" si="3"/>
        <v>48.6</v>
      </c>
      <c r="S16" s="170">
        <v>4</v>
      </c>
      <c r="T16" s="283"/>
      <c r="U16" s="281"/>
      <c r="V16" s="177" t="s">
        <v>553</v>
      </c>
      <c r="W16" s="170" t="s">
        <v>22</v>
      </c>
      <c r="X16" s="170" t="s">
        <v>11</v>
      </c>
      <c r="Y16" s="178">
        <v>48.6</v>
      </c>
      <c r="AD16" s="177"/>
      <c r="AG16" s="178"/>
      <c r="AL16" s="177"/>
      <c r="AO16" s="178"/>
      <c r="AP16" s="177"/>
      <c r="AS16" s="178"/>
      <c r="AW16" s="178"/>
      <c r="BA16" s="179"/>
    </row>
    <row r="17" spans="1:53" s="170" customFormat="1" x14ac:dyDescent="0.15">
      <c r="A17" s="215">
        <v>1964</v>
      </c>
      <c r="B17" s="281"/>
      <c r="C17" s="395" t="s">
        <v>741</v>
      </c>
      <c r="D17" s="395"/>
      <c r="E17" s="170">
        <v>366</v>
      </c>
      <c r="G17" s="171">
        <v>15</v>
      </c>
      <c r="H17" s="253"/>
      <c r="I17" s="116"/>
      <c r="J17" s="172">
        <v>15</v>
      </c>
      <c r="K17" s="173">
        <f t="shared" si="1"/>
        <v>100</v>
      </c>
      <c r="L17" s="173">
        <f t="shared" si="1"/>
        <v>0</v>
      </c>
      <c r="M17" s="173">
        <f t="shared" si="1"/>
        <v>0</v>
      </c>
      <c r="N17" s="174">
        <f t="shared" si="2"/>
        <v>100</v>
      </c>
      <c r="O17" s="175">
        <v>48.6</v>
      </c>
      <c r="P17" s="173"/>
      <c r="Q17" s="173"/>
      <c r="R17" s="176">
        <f t="shared" si="3"/>
        <v>48.6</v>
      </c>
      <c r="S17" s="170">
        <v>4</v>
      </c>
      <c r="T17" s="283"/>
      <c r="U17" s="281"/>
      <c r="V17" s="177" t="s">
        <v>553</v>
      </c>
      <c r="W17" s="170" t="s">
        <v>22</v>
      </c>
      <c r="X17" s="170" t="s">
        <v>11</v>
      </c>
      <c r="Y17" s="178">
        <v>48.6</v>
      </c>
      <c r="AD17" s="177"/>
      <c r="AG17" s="178"/>
      <c r="AL17" s="177"/>
      <c r="AO17" s="178"/>
      <c r="AP17" s="177"/>
      <c r="AS17" s="178"/>
      <c r="AW17" s="178"/>
      <c r="BA17" s="179"/>
    </row>
    <row r="18" spans="1:53" s="170" customFormat="1" x14ac:dyDescent="0.15">
      <c r="A18" s="215">
        <v>1965</v>
      </c>
      <c r="B18" s="281"/>
      <c r="C18" s="395" t="s">
        <v>741</v>
      </c>
      <c r="D18" s="395"/>
      <c r="E18" s="170">
        <v>90</v>
      </c>
      <c r="G18" s="171">
        <v>15</v>
      </c>
      <c r="H18" s="253"/>
      <c r="I18" s="116"/>
      <c r="J18" s="172">
        <v>15</v>
      </c>
      <c r="K18" s="173">
        <f t="shared" si="1"/>
        <v>100</v>
      </c>
      <c r="L18" s="173">
        <f t="shared" si="1"/>
        <v>0</v>
      </c>
      <c r="M18" s="173">
        <f t="shared" si="1"/>
        <v>0</v>
      </c>
      <c r="N18" s="174">
        <f t="shared" si="2"/>
        <v>100</v>
      </c>
      <c r="O18" s="175">
        <v>48.6</v>
      </c>
      <c r="P18" s="173"/>
      <c r="Q18" s="173"/>
      <c r="R18" s="176">
        <f t="shared" si="3"/>
        <v>48.6</v>
      </c>
      <c r="S18" s="170">
        <v>4</v>
      </c>
      <c r="T18" s="283"/>
      <c r="U18" s="281"/>
      <c r="V18" s="177" t="s">
        <v>553</v>
      </c>
      <c r="W18" s="170" t="s">
        <v>22</v>
      </c>
      <c r="X18" s="170" t="s">
        <v>11</v>
      </c>
      <c r="Y18" s="178">
        <v>48.6</v>
      </c>
      <c r="AD18" s="177"/>
      <c r="AG18" s="178"/>
      <c r="AL18" s="177"/>
      <c r="AO18" s="178"/>
      <c r="AP18" s="177"/>
      <c r="AS18" s="178"/>
      <c r="AW18" s="178"/>
      <c r="BA18" s="179"/>
    </row>
    <row r="19" spans="1:53" s="28" customFormat="1" x14ac:dyDescent="0.15">
      <c r="A19" s="51">
        <v>1965</v>
      </c>
      <c r="B19" s="293">
        <v>23833</v>
      </c>
      <c r="C19" s="394" t="s">
        <v>742</v>
      </c>
      <c r="D19" s="394"/>
      <c r="E19" s="28">
        <f>365-E18</f>
        <v>275</v>
      </c>
      <c r="F19" s="28">
        <v>1</v>
      </c>
      <c r="G19" s="29">
        <v>15</v>
      </c>
      <c r="H19" s="103"/>
      <c r="I19" s="30"/>
      <c r="J19" s="31">
        <v>15</v>
      </c>
      <c r="K19" s="32">
        <f t="shared" si="1"/>
        <v>100</v>
      </c>
      <c r="L19" s="32">
        <f t="shared" si="1"/>
        <v>0</v>
      </c>
      <c r="M19" s="32">
        <f t="shared" si="1"/>
        <v>0</v>
      </c>
      <c r="N19" s="33">
        <f t="shared" si="2"/>
        <v>100</v>
      </c>
      <c r="O19" s="34">
        <v>50</v>
      </c>
      <c r="P19" s="32"/>
      <c r="Q19" s="32"/>
      <c r="R19" s="35">
        <f t="shared" si="3"/>
        <v>50</v>
      </c>
      <c r="S19" s="28">
        <v>4</v>
      </c>
      <c r="T19" s="284">
        <v>23839</v>
      </c>
      <c r="U19" s="293">
        <v>23853</v>
      </c>
      <c r="V19" s="37" t="s">
        <v>553</v>
      </c>
      <c r="W19" s="28" t="s">
        <v>22</v>
      </c>
      <c r="X19" s="28" t="s">
        <v>11</v>
      </c>
      <c r="Y19" s="38">
        <v>50</v>
      </c>
      <c r="AD19" s="37"/>
      <c r="AG19" s="38"/>
      <c r="AL19" s="37"/>
      <c r="AO19" s="38"/>
      <c r="AP19" s="37"/>
      <c r="AS19" s="38"/>
      <c r="AW19" s="38"/>
      <c r="BA19" s="39"/>
    </row>
    <row r="20" spans="1:53" s="28" customFormat="1" x14ac:dyDescent="0.15">
      <c r="A20" s="51">
        <v>1966</v>
      </c>
      <c r="B20" s="293"/>
      <c r="C20" s="394" t="s">
        <v>742</v>
      </c>
      <c r="D20" s="394"/>
      <c r="E20" s="28">
        <v>313</v>
      </c>
      <c r="G20" s="29">
        <v>15</v>
      </c>
      <c r="H20" s="103"/>
      <c r="I20" s="30"/>
      <c r="J20" s="31">
        <v>15</v>
      </c>
      <c r="K20" s="32">
        <f t="shared" si="1"/>
        <v>100</v>
      </c>
      <c r="L20" s="32">
        <f t="shared" si="1"/>
        <v>0</v>
      </c>
      <c r="M20" s="32">
        <f t="shared" si="1"/>
        <v>0</v>
      </c>
      <c r="N20" s="33">
        <f t="shared" si="2"/>
        <v>100</v>
      </c>
      <c r="O20" s="34">
        <v>50</v>
      </c>
      <c r="P20" s="32"/>
      <c r="Q20" s="32"/>
      <c r="R20" s="35">
        <f t="shared" si="3"/>
        <v>50</v>
      </c>
      <c r="S20" s="28">
        <v>4</v>
      </c>
      <c r="T20" s="284"/>
      <c r="U20" s="293"/>
      <c r="V20" s="37" t="s">
        <v>553</v>
      </c>
      <c r="W20" s="28" t="s">
        <v>22</v>
      </c>
      <c r="X20" s="28" t="s">
        <v>11</v>
      </c>
      <c r="Y20" s="38">
        <v>50</v>
      </c>
      <c r="AD20" s="37"/>
      <c r="AG20" s="38"/>
      <c r="AL20" s="37"/>
      <c r="AO20" s="38"/>
      <c r="AP20" s="37"/>
      <c r="AS20" s="38"/>
      <c r="AW20" s="38"/>
      <c r="BA20" s="39"/>
    </row>
    <row r="21" spans="1:53" s="170" customFormat="1" x14ac:dyDescent="0.15">
      <c r="A21" s="215">
        <v>1966</v>
      </c>
      <c r="B21" s="281">
        <v>24421</v>
      </c>
      <c r="C21" s="395" t="s">
        <v>743</v>
      </c>
      <c r="D21" s="395"/>
      <c r="E21" s="170">
        <f>365-E20</f>
        <v>52</v>
      </c>
      <c r="F21" s="170">
        <v>3</v>
      </c>
      <c r="G21" s="171">
        <v>15</v>
      </c>
      <c r="H21" s="253"/>
      <c r="I21" s="116"/>
      <c r="J21" s="172">
        <v>15</v>
      </c>
      <c r="K21" s="173">
        <f t="shared" si="1"/>
        <v>100</v>
      </c>
      <c r="L21" s="173">
        <f t="shared" si="1"/>
        <v>0</v>
      </c>
      <c r="M21" s="173">
        <f t="shared" si="1"/>
        <v>0</v>
      </c>
      <c r="N21" s="174">
        <f t="shared" si="2"/>
        <v>100</v>
      </c>
      <c r="O21" s="175">
        <v>50</v>
      </c>
      <c r="P21" s="173"/>
      <c r="Q21" s="173"/>
      <c r="R21" s="176">
        <f t="shared" si="3"/>
        <v>50</v>
      </c>
      <c r="S21" s="170">
        <v>4</v>
      </c>
      <c r="T21" s="283"/>
      <c r="U21" s="281">
        <v>24421</v>
      </c>
      <c r="V21" s="177" t="s">
        <v>553</v>
      </c>
      <c r="W21" s="170" t="s">
        <v>22</v>
      </c>
      <c r="X21" s="170" t="s">
        <v>11</v>
      </c>
      <c r="Y21" s="178">
        <v>50</v>
      </c>
      <c r="AD21" s="177"/>
      <c r="AG21" s="178"/>
      <c r="AL21" s="177"/>
      <c r="AO21" s="178"/>
      <c r="AP21" s="177"/>
      <c r="AS21" s="178"/>
      <c r="AW21" s="178"/>
      <c r="BA21" s="179"/>
    </row>
    <row r="22" spans="1:53" s="170" customFormat="1" x14ac:dyDescent="0.15">
      <c r="A22" s="215">
        <v>1967</v>
      </c>
      <c r="B22" s="281"/>
      <c r="C22" s="395" t="s">
        <v>743</v>
      </c>
      <c r="D22" s="395"/>
      <c r="E22" s="170">
        <v>0</v>
      </c>
      <c r="G22" s="171">
        <v>15</v>
      </c>
      <c r="H22" s="253"/>
      <c r="I22" s="116"/>
      <c r="J22" s="172">
        <v>15</v>
      </c>
      <c r="K22" s="173">
        <f t="shared" si="1"/>
        <v>100</v>
      </c>
      <c r="L22" s="173">
        <f t="shared" si="1"/>
        <v>0</v>
      </c>
      <c r="M22" s="173">
        <f t="shared" si="1"/>
        <v>0</v>
      </c>
      <c r="N22" s="174">
        <f t="shared" si="2"/>
        <v>100</v>
      </c>
      <c r="O22" s="175">
        <v>50</v>
      </c>
      <c r="P22" s="173"/>
      <c r="Q22" s="173"/>
      <c r="R22" s="176">
        <f t="shared" si="3"/>
        <v>50</v>
      </c>
      <c r="S22" s="170">
        <v>4</v>
      </c>
      <c r="T22" s="283"/>
      <c r="U22" s="281"/>
      <c r="V22" s="177" t="s">
        <v>553</v>
      </c>
      <c r="W22" s="170" t="s">
        <v>22</v>
      </c>
      <c r="X22" s="170" t="s">
        <v>11</v>
      </c>
      <c r="Y22" s="178">
        <v>50</v>
      </c>
      <c r="AD22" s="177"/>
      <c r="AG22" s="178"/>
      <c r="AL22" s="177"/>
      <c r="AO22" s="178"/>
      <c r="AP22" s="177"/>
      <c r="AS22" s="178"/>
      <c r="AW22" s="178"/>
      <c r="BA22" s="179"/>
    </row>
    <row r="23" spans="1:53" s="170" customFormat="1" x14ac:dyDescent="0.15">
      <c r="A23" s="215">
        <v>1967</v>
      </c>
      <c r="B23" s="281"/>
      <c r="C23" s="395" t="s">
        <v>743</v>
      </c>
      <c r="D23" s="395"/>
      <c r="E23" s="170">
        <v>365</v>
      </c>
      <c r="G23" s="171">
        <v>15</v>
      </c>
      <c r="H23" s="253"/>
      <c r="I23" s="116"/>
      <c r="J23" s="172">
        <v>15</v>
      </c>
      <c r="K23" s="173">
        <f t="shared" si="1"/>
        <v>100</v>
      </c>
      <c r="L23" s="173">
        <f t="shared" si="1"/>
        <v>0</v>
      </c>
      <c r="M23" s="173">
        <f t="shared" si="1"/>
        <v>0</v>
      </c>
      <c r="N23" s="174">
        <f t="shared" si="2"/>
        <v>100</v>
      </c>
      <c r="O23" s="175">
        <v>50</v>
      </c>
      <c r="P23" s="173"/>
      <c r="Q23" s="173"/>
      <c r="R23" s="176">
        <f t="shared" si="3"/>
        <v>50</v>
      </c>
      <c r="S23" s="170">
        <v>4</v>
      </c>
      <c r="T23" s="283"/>
      <c r="U23" s="281"/>
      <c r="V23" s="177" t="s">
        <v>553</v>
      </c>
      <c r="W23" s="170" t="s">
        <v>22</v>
      </c>
      <c r="X23" s="170" t="s">
        <v>11</v>
      </c>
      <c r="Y23" s="178">
        <v>50</v>
      </c>
      <c r="AD23" s="177"/>
      <c r="AG23" s="178"/>
      <c r="AL23" s="177"/>
      <c r="AO23" s="178"/>
      <c r="AP23" s="177"/>
      <c r="AS23" s="178"/>
      <c r="AW23" s="178"/>
      <c r="BA23" s="179"/>
    </row>
    <row r="24" spans="1:53" s="170" customFormat="1" x14ac:dyDescent="0.15">
      <c r="A24" s="215">
        <v>1968</v>
      </c>
      <c r="B24" s="281"/>
      <c r="C24" s="395" t="s">
        <v>743</v>
      </c>
      <c r="D24" s="395"/>
      <c r="E24" s="170">
        <v>0</v>
      </c>
      <c r="G24" s="171">
        <v>15</v>
      </c>
      <c r="H24" s="253"/>
      <c r="I24" s="116"/>
      <c r="J24" s="172">
        <v>15</v>
      </c>
      <c r="K24" s="173">
        <f t="shared" si="1"/>
        <v>100</v>
      </c>
      <c r="L24" s="173">
        <f t="shared" si="1"/>
        <v>0</v>
      </c>
      <c r="M24" s="173">
        <f t="shared" si="1"/>
        <v>0</v>
      </c>
      <c r="N24" s="174">
        <f t="shared" si="2"/>
        <v>100</v>
      </c>
      <c r="O24" s="175">
        <v>50</v>
      </c>
      <c r="P24" s="173"/>
      <c r="Q24" s="173"/>
      <c r="R24" s="176">
        <f t="shared" si="3"/>
        <v>50</v>
      </c>
      <c r="S24" s="170">
        <v>4</v>
      </c>
      <c r="T24" s="283"/>
      <c r="U24" s="281"/>
      <c r="V24" s="177" t="s">
        <v>553</v>
      </c>
      <c r="W24" s="170" t="s">
        <v>22</v>
      </c>
      <c r="X24" s="170" t="s">
        <v>11</v>
      </c>
      <c r="Y24" s="178">
        <v>50</v>
      </c>
      <c r="AD24" s="177"/>
      <c r="AG24" s="178"/>
      <c r="AL24" s="177"/>
      <c r="AO24" s="178"/>
      <c r="AP24" s="177"/>
      <c r="AS24" s="178"/>
      <c r="AW24" s="178"/>
      <c r="BA24" s="179"/>
    </row>
    <row r="25" spans="1:53" s="170" customFormat="1" x14ac:dyDescent="0.15">
      <c r="A25" s="215">
        <v>1968</v>
      </c>
      <c r="B25" s="281"/>
      <c r="C25" s="395" t="s">
        <v>743</v>
      </c>
      <c r="D25" s="395"/>
      <c r="E25" s="170">
        <v>366</v>
      </c>
      <c r="G25" s="171">
        <v>15</v>
      </c>
      <c r="H25" s="253"/>
      <c r="I25" s="116"/>
      <c r="J25" s="172">
        <v>15</v>
      </c>
      <c r="K25" s="173">
        <f t="shared" si="1"/>
        <v>100</v>
      </c>
      <c r="L25" s="173">
        <f t="shared" si="1"/>
        <v>0</v>
      </c>
      <c r="M25" s="173">
        <f t="shared" si="1"/>
        <v>0</v>
      </c>
      <c r="N25" s="174">
        <f t="shared" si="2"/>
        <v>100</v>
      </c>
      <c r="O25" s="175">
        <v>50</v>
      </c>
      <c r="P25" s="173"/>
      <c r="Q25" s="173"/>
      <c r="R25" s="176">
        <f t="shared" si="3"/>
        <v>50</v>
      </c>
      <c r="S25" s="170">
        <v>4</v>
      </c>
      <c r="T25" s="283"/>
      <c r="U25" s="281"/>
      <c r="V25" s="177" t="s">
        <v>553</v>
      </c>
      <c r="W25" s="170" t="s">
        <v>22</v>
      </c>
      <c r="X25" s="170" t="s">
        <v>11</v>
      </c>
      <c r="Y25" s="178">
        <v>50</v>
      </c>
      <c r="AD25" s="177"/>
      <c r="AG25" s="178"/>
      <c r="AL25" s="177"/>
      <c r="AO25" s="178"/>
      <c r="AP25" s="177"/>
      <c r="AS25" s="178"/>
      <c r="AW25" s="178"/>
      <c r="BA25" s="179"/>
    </row>
    <row r="26" spans="1:53" s="170" customFormat="1" x14ac:dyDescent="0.15">
      <c r="A26" s="215">
        <v>1969</v>
      </c>
      <c r="B26" s="281"/>
      <c r="C26" s="395" t="s">
        <v>743</v>
      </c>
      <c r="D26" s="395"/>
      <c r="E26" s="170">
        <v>182</v>
      </c>
      <c r="G26" s="171">
        <v>15</v>
      </c>
      <c r="H26" s="253"/>
      <c r="I26" s="116"/>
      <c r="J26" s="172">
        <v>15</v>
      </c>
      <c r="K26" s="173">
        <f t="shared" si="1"/>
        <v>100</v>
      </c>
      <c r="L26" s="173">
        <f t="shared" si="1"/>
        <v>0</v>
      </c>
      <c r="M26" s="173">
        <f t="shared" si="1"/>
        <v>0</v>
      </c>
      <c r="N26" s="174">
        <f t="shared" si="2"/>
        <v>100</v>
      </c>
      <c r="O26" s="175">
        <v>50</v>
      </c>
      <c r="P26" s="173"/>
      <c r="Q26" s="173"/>
      <c r="R26" s="176">
        <f t="shared" si="3"/>
        <v>50</v>
      </c>
      <c r="S26" s="170">
        <v>4</v>
      </c>
      <c r="T26" s="283"/>
      <c r="U26" s="281"/>
      <c r="V26" s="177" t="s">
        <v>553</v>
      </c>
      <c r="W26" s="170" t="s">
        <v>22</v>
      </c>
      <c r="X26" s="170" t="s">
        <v>11</v>
      </c>
      <c r="Y26" s="178">
        <v>50</v>
      </c>
      <c r="AD26" s="177"/>
      <c r="AG26" s="178"/>
      <c r="AL26" s="177"/>
      <c r="AO26" s="178"/>
      <c r="AP26" s="177"/>
      <c r="AS26" s="178"/>
      <c r="AW26" s="178"/>
      <c r="BA26" s="179"/>
    </row>
    <row r="27" spans="1:53" s="28" customFormat="1" x14ac:dyDescent="0.15">
      <c r="A27" s="51">
        <v>1969</v>
      </c>
      <c r="B27" s="293">
        <v>25386</v>
      </c>
      <c r="C27" s="394" t="s">
        <v>744</v>
      </c>
      <c r="D27" s="394"/>
      <c r="E27" s="28">
        <f>365-E26</f>
        <v>183</v>
      </c>
      <c r="F27" s="28">
        <v>1</v>
      </c>
      <c r="G27" s="29">
        <v>15</v>
      </c>
      <c r="H27" s="103"/>
      <c r="I27" s="30"/>
      <c r="J27" s="31">
        <v>15</v>
      </c>
      <c r="K27" s="32">
        <f t="shared" si="1"/>
        <v>100</v>
      </c>
      <c r="L27" s="32">
        <f t="shared" si="1"/>
        <v>0</v>
      </c>
      <c r="M27" s="32">
        <f t="shared" si="1"/>
        <v>0</v>
      </c>
      <c r="N27" s="33">
        <f t="shared" si="2"/>
        <v>100</v>
      </c>
      <c r="O27" s="34">
        <v>52.1</v>
      </c>
      <c r="P27" s="32"/>
      <c r="Q27" s="32"/>
      <c r="R27" s="35">
        <f t="shared" si="3"/>
        <v>52.1</v>
      </c>
      <c r="S27" s="28">
        <v>1</v>
      </c>
      <c r="T27" s="284">
        <v>25372</v>
      </c>
      <c r="U27" s="293">
        <v>25386</v>
      </c>
      <c r="V27" s="37" t="s">
        <v>553</v>
      </c>
      <c r="W27" s="28" t="s">
        <v>22</v>
      </c>
      <c r="X27" s="28" t="s">
        <v>11</v>
      </c>
      <c r="Y27" s="38">
        <v>52.1</v>
      </c>
      <c r="AD27" s="37"/>
      <c r="AG27" s="38"/>
      <c r="AL27" s="37"/>
      <c r="AO27" s="38"/>
      <c r="AP27" s="37"/>
      <c r="AS27" s="38"/>
      <c r="AW27" s="38"/>
      <c r="BA27" s="39"/>
    </row>
    <row r="28" spans="1:53" s="28" customFormat="1" x14ac:dyDescent="0.15">
      <c r="A28" s="51">
        <v>1970</v>
      </c>
      <c r="B28" s="293"/>
      <c r="C28" s="394" t="s">
        <v>744</v>
      </c>
      <c r="D28" s="394"/>
      <c r="E28" s="28">
        <v>0</v>
      </c>
      <c r="G28" s="29">
        <v>15</v>
      </c>
      <c r="H28" s="103"/>
      <c r="I28" s="30"/>
      <c r="J28" s="31">
        <v>15</v>
      </c>
      <c r="K28" s="32">
        <f t="shared" si="1"/>
        <v>100</v>
      </c>
      <c r="L28" s="32">
        <f t="shared" si="1"/>
        <v>0</v>
      </c>
      <c r="M28" s="32">
        <f t="shared" si="1"/>
        <v>0</v>
      </c>
      <c r="N28" s="33">
        <f t="shared" si="2"/>
        <v>100</v>
      </c>
      <c r="O28" s="34">
        <v>52.1</v>
      </c>
      <c r="P28" s="32"/>
      <c r="Q28" s="32"/>
      <c r="R28" s="35">
        <f t="shared" si="3"/>
        <v>52.1</v>
      </c>
      <c r="S28" s="28">
        <v>1</v>
      </c>
      <c r="T28" s="284"/>
      <c r="U28" s="293"/>
      <c r="V28" s="37" t="s">
        <v>553</v>
      </c>
      <c r="W28" s="28" t="s">
        <v>22</v>
      </c>
      <c r="X28" s="28" t="s">
        <v>11</v>
      </c>
      <c r="Y28" s="38">
        <v>52.1</v>
      </c>
      <c r="AD28" s="37"/>
      <c r="AG28" s="38"/>
      <c r="AL28" s="37"/>
      <c r="AO28" s="38"/>
      <c r="AP28" s="37"/>
      <c r="AS28" s="38"/>
      <c r="AW28" s="38"/>
      <c r="BA28" s="39"/>
    </row>
    <row r="29" spans="1:53" s="28" customFormat="1" x14ac:dyDescent="0.15">
      <c r="A29" s="51">
        <v>1970</v>
      </c>
      <c r="B29" s="293"/>
      <c r="C29" s="394" t="s">
        <v>744</v>
      </c>
      <c r="D29" s="394"/>
      <c r="E29" s="28">
        <v>365</v>
      </c>
      <c r="G29" s="29">
        <v>15</v>
      </c>
      <c r="H29" s="103"/>
      <c r="I29" s="30"/>
      <c r="J29" s="31">
        <v>15</v>
      </c>
      <c r="K29" s="32">
        <f t="shared" si="1"/>
        <v>100</v>
      </c>
      <c r="L29" s="32">
        <f t="shared" si="1"/>
        <v>0</v>
      </c>
      <c r="M29" s="32">
        <f t="shared" si="1"/>
        <v>0</v>
      </c>
      <c r="N29" s="33">
        <f t="shared" si="2"/>
        <v>100</v>
      </c>
      <c r="O29" s="34">
        <v>52.1</v>
      </c>
      <c r="P29" s="32"/>
      <c r="Q29" s="32"/>
      <c r="R29" s="35">
        <f t="shared" si="3"/>
        <v>52.1</v>
      </c>
      <c r="S29" s="28">
        <v>1</v>
      </c>
      <c r="T29" s="284"/>
      <c r="U29" s="293"/>
      <c r="V29" s="37" t="s">
        <v>553</v>
      </c>
      <c r="W29" s="28" t="s">
        <v>22</v>
      </c>
      <c r="X29" s="28" t="s">
        <v>11</v>
      </c>
      <c r="Y29" s="38">
        <v>52.1</v>
      </c>
      <c r="AD29" s="37"/>
      <c r="AG29" s="38"/>
      <c r="AL29" s="37"/>
      <c r="AO29" s="38"/>
      <c r="AP29" s="37"/>
      <c r="AS29" s="38"/>
      <c r="AW29" s="38"/>
      <c r="BA29" s="39"/>
    </row>
    <row r="30" spans="1:53" s="28" customFormat="1" x14ac:dyDescent="0.15">
      <c r="A30" s="51">
        <v>1971</v>
      </c>
      <c r="B30" s="293"/>
      <c r="C30" s="394" t="s">
        <v>744</v>
      </c>
      <c r="D30" s="394"/>
      <c r="E30" s="28">
        <v>0</v>
      </c>
      <c r="G30" s="29">
        <v>15</v>
      </c>
      <c r="H30" s="103"/>
      <c r="I30" s="30"/>
      <c r="J30" s="31">
        <v>15</v>
      </c>
      <c r="K30" s="32">
        <f t="shared" si="1"/>
        <v>100</v>
      </c>
      <c r="L30" s="32">
        <f t="shared" si="1"/>
        <v>0</v>
      </c>
      <c r="M30" s="32">
        <f t="shared" si="1"/>
        <v>0</v>
      </c>
      <c r="N30" s="33">
        <f t="shared" si="2"/>
        <v>100</v>
      </c>
      <c r="O30" s="34">
        <v>52.1</v>
      </c>
      <c r="P30" s="32"/>
      <c r="Q30" s="32"/>
      <c r="R30" s="35">
        <f t="shared" si="3"/>
        <v>52.1</v>
      </c>
      <c r="S30" s="28">
        <v>1</v>
      </c>
      <c r="T30" s="284"/>
      <c r="U30" s="293"/>
      <c r="V30" s="37" t="s">
        <v>553</v>
      </c>
      <c r="W30" s="28" t="s">
        <v>22</v>
      </c>
      <c r="X30" s="28" t="s">
        <v>11</v>
      </c>
      <c r="Y30" s="38">
        <v>52.1</v>
      </c>
      <c r="AD30" s="37"/>
      <c r="AG30" s="38"/>
      <c r="AL30" s="37"/>
      <c r="AO30" s="38"/>
      <c r="AP30" s="37"/>
      <c r="AS30" s="38"/>
      <c r="AW30" s="38"/>
      <c r="BA30" s="39"/>
    </row>
    <row r="31" spans="1:53" s="28" customFormat="1" x14ac:dyDescent="0.15">
      <c r="A31" s="51">
        <v>1971</v>
      </c>
      <c r="B31" s="293"/>
      <c r="C31" s="394" t="s">
        <v>744</v>
      </c>
      <c r="D31" s="394"/>
      <c r="E31" s="28">
        <v>365</v>
      </c>
      <c r="G31" s="29">
        <v>15</v>
      </c>
      <c r="H31" s="103"/>
      <c r="I31" s="30"/>
      <c r="J31" s="31">
        <v>15</v>
      </c>
      <c r="K31" s="32">
        <f t="shared" si="1"/>
        <v>100</v>
      </c>
      <c r="L31" s="32">
        <f t="shared" si="1"/>
        <v>0</v>
      </c>
      <c r="M31" s="32">
        <f t="shared" si="1"/>
        <v>0</v>
      </c>
      <c r="N31" s="33">
        <f t="shared" si="2"/>
        <v>100</v>
      </c>
      <c r="O31" s="34">
        <v>52.1</v>
      </c>
      <c r="P31" s="32"/>
      <c r="Q31" s="32"/>
      <c r="R31" s="35">
        <f t="shared" si="3"/>
        <v>52.1</v>
      </c>
      <c r="S31" s="28">
        <v>1</v>
      </c>
      <c r="T31" s="284"/>
      <c r="U31" s="293"/>
      <c r="V31" s="37" t="s">
        <v>553</v>
      </c>
      <c r="W31" s="28" t="s">
        <v>22</v>
      </c>
      <c r="X31" s="28" t="s">
        <v>11</v>
      </c>
      <c r="Y31" s="38">
        <v>52.1</v>
      </c>
      <c r="AD31" s="37"/>
      <c r="AG31" s="38"/>
      <c r="AL31" s="37"/>
      <c r="AO31" s="38"/>
      <c r="AP31" s="37"/>
      <c r="AS31" s="38"/>
      <c r="AW31" s="38"/>
      <c r="BA31" s="39"/>
    </row>
    <row r="32" spans="1:53" s="28" customFormat="1" x14ac:dyDescent="0.15">
      <c r="A32" s="51">
        <v>1972</v>
      </c>
      <c r="B32" s="293"/>
      <c r="C32" s="394" t="s">
        <v>744</v>
      </c>
      <c r="D32" s="394"/>
      <c r="E32" s="28">
        <v>0</v>
      </c>
      <c r="G32" s="29">
        <v>15</v>
      </c>
      <c r="H32" s="103"/>
      <c r="I32" s="30"/>
      <c r="J32" s="31">
        <v>15</v>
      </c>
      <c r="K32" s="32">
        <f t="shared" si="1"/>
        <v>100</v>
      </c>
      <c r="L32" s="32">
        <f t="shared" si="1"/>
        <v>0</v>
      </c>
      <c r="M32" s="32">
        <f t="shared" si="1"/>
        <v>0</v>
      </c>
      <c r="N32" s="33">
        <f t="shared" si="2"/>
        <v>100</v>
      </c>
      <c r="O32" s="34">
        <v>52.1</v>
      </c>
      <c r="P32" s="32"/>
      <c r="Q32" s="32"/>
      <c r="R32" s="35">
        <f t="shared" si="3"/>
        <v>52.1</v>
      </c>
      <c r="S32" s="28">
        <v>1</v>
      </c>
      <c r="T32" s="284"/>
      <c r="U32" s="293"/>
      <c r="V32" s="37" t="s">
        <v>553</v>
      </c>
      <c r="W32" s="28" t="s">
        <v>22</v>
      </c>
      <c r="X32" s="28" t="s">
        <v>11</v>
      </c>
      <c r="Y32" s="38">
        <v>52.1</v>
      </c>
      <c r="AD32" s="37"/>
      <c r="AG32" s="38"/>
      <c r="AL32" s="37"/>
      <c r="AO32" s="38"/>
      <c r="AP32" s="37"/>
      <c r="AS32" s="38"/>
      <c r="AW32" s="38"/>
      <c r="BA32" s="39"/>
    </row>
    <row r="33" spans="1:53" s="28" customFormat="1" x14ac:dyDescent="0.15">
      <c r="A33" s="51">
        <v>1972</v>
      </c>
      <c r="B33" s="293"/>
      <c r="C33" s="394" t="s">
        <v>744</v>
      </c>
      <c r="D33" s="394"/>
      <c r="E33" s="28">
        <v>366</v>
      </c>
      <c r="G33" s="29">
        <v>15</v>
      </c>
      <c r="H33" s="103"/>
      <c r="I33" s="30"/>
      <c r="J33" s="31">
        <v>15</v>
      </c>
      <c r="K33" s="32">
        <f t="shared" si="1"/>
        <v>100</v>
      </c>
      <c r="L33" s="32">
        <f t="shared" si="1"/>
        <v>0</v>
      </c>
      <c r="M33" s="32">
        <f t="shared" si="1"/>
        <v>0</v>
      </c>
      <c r="N33" s="33">
        <f t="shared" si="2"/>
        <v>100</v>
      </c>
      <c r="O33" s="34">
        <v>52.1</v>
      </c>
      <c r="P33" s="32"/>
      <c r="Q33" s="32"/>
      <c r="R33" s="35">
        <f t="shared" si="3"/>
        <v>52.1</v>
      </c>
      <c r="S33" s="28">
        <v>1</v>
      </c>
      <c r="T33" s="284"/>
      <c r="U33" s="293"/>
      <c r="V33" s="37" t="s">
        <v>553</v>
      </c>
      <c r="W33" s="28" t="s">
        <v>22</v>
      </c>
      <c r="X33" s="28" t="s">
        <v>11</v>
      </c>
      <c r="Y33" s="38">
        <v>52.1</v>
      </c>
      <c r="AD33" s="37"/>
      <c r="AG33" s="38"/>
      <c r="AL33" s="37"/>
      <c r="AO33" s="38"/>
      <c r="AP33" s="37"/>
      <c r="AS33" s="38"/>
      <c r="AW33" s="38"/>
      <c r="BA33" s="39"/>
    </row>
    <row r="34" spans="1:53" s="28" customFormat="1" x14ac:dyDescent="0.15">
      <c r="A34" s="51">
        <v>1973</v>
      </c>
      <c r="B34" s="293"/>
      <c r="C34" s="394" t="s">
        <v>744</v>
      </c>
      <c r="D34" s="394"/>
      <c r="E34" s="28">
        <v>72</v>
      </c>
      <c r="G34" s="29">
        <v>15</v>
      </c>
      <c r="H34" s="103"/>
      <c r="I34" s="30"/>
      <c r="J34" s="31">
        <v>15</v>
      </c>
      <c r="K34" s="32">
        <f t="shared" si="1"/>
        <v>100</v>
      </c>
      <c r="L34" s="32">
        <f t="shared" si="1"/>
        <v>0</v>
      </c>
      <c r="M34" s="32">
        <f t="shared" si="1"/>
        <v>0</v>
      </c>
      <c r="N34" s="33">
        <f t="shared" si="2"/>
        <v>100</v>
      </c>
      <c r="O34" s="34">
        <v>52.1</v>
      </c>
      <c r="P34" s="32"/>
      <c r="Q34" s="32"/>
      <c r="R34" s="35">
        <f t="shared" si="3"/>
        <v>52.1</v>
      </c>
      <c r="S34" s="28">
        <v>1</v>
      </c>
      <c r="T34" s="284"/>
      <c r="U34" s="293"/>
      <c r="V34" s="37" t="s">
        <v>553</v>
      </c>
      <c r="W34" s="28" t="s">
        <v>22</v>
      </c>
      <c r="X34" s="28" t="s">
        <v>11</v>
      </c>
      <c r="Y34" s="38">
        <v>52.1</v>
      </c>
      <c r="AD34" s="37"/>
      <c r="AG34" s="38"/>
      <c r="AL34" s="37"/>
      <c r="AO34" s="38"/>
      <c r="AP34" s="37"/>
      <c r="AS34" s="38"/>
      <c r="AW34" s="38"/>
      <c r="BA34" s="39"/>
    </row>
    <row r="35" spans="1:53" s="170" customFormat="1" x14ac:dyDescent="0.15">
      <c r="A35" s="215">
        <v>1973</v>
      </c>
      <c r="B35" s="281">
        <v>26737</v>
      </c>
      <c r="C35" s="395" t="s">
        <v>745</v>
      </c>
      <c r="D35" s="395"/>
      <c r="E35" s="170">
        <f>365-E34</f>
        <v>293</v>
      </c>
      <c r="F35" s="170">
        <v>1</v>
      </c>
      <c r="G35" s="171"/>
      <c r="H35" s="116">
        <v>11</v>
      </c>
      <c r="I35" s="116">
        <v>5</v>
      </c>
      <c r="J35" s="172">
        <v>16</v>
      </c>
      <c r="K35" s="173">
        <f t="shared" si="1"/>
        <v>0</v>
      </c>
      <c r="L35" s="173">
        <f t="shared" si="1"/>
        <v>68.75</v>
      </c>
      <c r="M35" s="173">
        <f t="shared" si="1"/>
        <v>31.25</v>
      </c>
      <c r="N35" s="174">
        <f t="shared" si="2"/>
        <v>100</v>
      </c>
      <c r="O35" s="175"/>
      <c r="P35" s="173">
        <v>37.5</v>
      </c>
      <c r="Q35" s="173">
        <v>13.2</v>
      </c>
      <c r="R35" s="176">
        <f t="shared" si="3"/>
        <v>50.7</v>
      </c>
      <c r="S35" s="170">
        <v>2</v>
      </c>
      <c r="T35" s="283">
        <v>26723</v>
      </c>
      <c r="U35" s="281">
        <v>26737</v>
      </c>
      <c r="V35" s="177" t="s">
        <v>554</v>
      </c>
      <c r="W35" s="170" t="s">
        <v>17</v>
      </c>
      <c r="X35" s="170" t="s">
        <v>18</v>
      </c>
      <c r="Y35" s="178">
        <v>37.5</v>
      </c>
      <c r="Z35" s="170" t="s">
        <v>451</v>
      </c>
      <c r="AA35" s="170" t="s">
        <v>20</v>
      </c>
      <c r="AB35" s="170" t="s">
        <v>12</v>
      </c>
      <c r="AC35" s="170">
        <v>13.2</v>
      </c>
      <c r="AD35" s="177"/>
      <c r="AG35" s="178"/>
      <c r="AL35" s="177"/>
      <c r="AO35" s="178"/>
      <c r="AP35" s="177"/>
      <c r="AS35" s="178"/>
      <c r="AW35" s="178"/>
      <c r="BA35" s="179"/>
    </row>
    <row r="36" spans="1:53" s="170" customFormat="1" x14ac:dyDescent="0.15">
      <c r="A36" s="215">
        <v>1974</v>
      </c>
      <c r="B36" s="281"/>
      <c r="C36" s="395" t="s">
        <v>745</v>
      </c>
      <c r="D36" s="395"/>
      <c r="E36" s="170">
        <v>0</v>
      </c>
      <c r="G36" s="171"/>
      <c r="H36" s="116">
        <v>11</v>
      </c>
      <c r="I36" s="116">
        <v>5</v>
      </c>
      <c r="J36" s="172">
        <v>16</v>
      </c>
      <c r="K36" s="173">
        <f t="shared" si="1"/>
        <v>0</v>
      </c>
      <c r="L36" s="173">
        <f t="shared" si="1"/>
        <v>68.75</v>
      </c>
      <c r="M36" s="173">
        <f t="shared" si="1"/>
        <v>31.25</v>
      </c>
      <c r="N36" s="174">
        <f t="shared" si="2"/>
        <v>100</v>
      </c>
      <c r="O36" s="175"/>
      <c r="P36" s="173">
        <v>37.5</v>
      </c>
      <c r="Q36" s="173">
        <v>13.2</v>
      </c>
      <c r="R36" s="176">
        <f t="shared" si="3"/>
        <v>50.7</v>
      </c>
      <c r="S36" s="170">
        <v>2</v>
      </c>
      <c r="T36" s="283"/>
      <c r="U36" s="281"/>
      <c r="V36" s="177" t="s">
        <v>554</v>
      </c>
      <c r="W36" s="170" t="s">
        <v>17</v>
      </c>
      <c r="X36" s="170" t="s">
        <v>18</v>
      </c>
      <c r="Y36" s="178">
        <v>37.5</v>
      </c>
      <c r="Z36" s="170" t="s">
        <v>451</v>
      </c>
      <c r="AA36" s="170" t="s">
        <v>20</v>
      </c>
      <c r="AB36" s="170" t="s">
        <v>12</v>
      </c>
      <c r="AC36" s="170">
        <v>13.2</v>
      </c>
      <c r="AD36" s="177"/>
      <c r="AG36" s="178"/>
      <c r="AL36" s="177"/>
      <c r="AO36" s="178"/>
      <c r="AP36" s="177"/>
      <c r="AS36" s="178"/>
      <c r="AW36" s="178"/>
      <c r="BA36" s="179"/>
    </row>
    <row r="37" spans="1:53" s="170" customFormat="1" x14ac:dyDescent="0.15">
      <c r="A37" s="215">
        <v>1974</v>
      </c>
      <c r="B37" s="281"/>
      <c r="C37" s="395" t="s">
        <v>745</v>
      </c>
      <c r="D37" s="395"/>
      <c r="E37" s="170">
        <v>365</v>
      </c>
      <c r="G37" s="171"/>
      <c r="H37" s="116">
        <v>11</v>
      </c>
      <c r="I37" s="116">
        <v>5</v>
      </c>
      <c r="J37" s="172">
        <v>16</v>
      </c>
      <c r="K37" s="173">
        <f t="shared" si="1"/>
        <v>0</v>
      </c>
      <c r="L37" s="173">
        <f t="shared" si="1"/>
        <v>68.75</v>
      </c>
      <c r="M37" s="173">
        <f t="shared" si="1"/>
        <v>31.25</v>
      </c>
      <c r="N37" s="174">
        <f t="shared" si="2"/>
        <v>100</v>
      </c>
      <c r="O37" s="175"/>
      <c r="P37" s="173">
        <v>37.5</v>
      </c>
      <c r="Q37" s="173">
        <v>13.2</v>
      </c>
      <c r="R37" s="176">
        <f t="shared" si="3"/>
        <v>50.7</v>
      </c>
      <c r="S37" s="170">
        <v>2</v>
      </c>
      <c r="T37" s="283"/>
      <c r="U37" s="281"/>
      <c r="V37" s="177" t="s">
        <v>554</v>
      </c>
      <c r="W37" s="170" t="s">
        <v>17</v>
      </c>
      <c r="X37" s="170" t="s">
        <v>18</v>
      </c>
      <c r="Y37" s="178">
        <v>37.5</v>
      </c>
      <c r="Z37" s="170" t="s">
        <v>451</v>
      </c>
      <c r="AA37" s="170" t="s">
        <v>20</v>
      </c>
      <c r="AB37" s="170" t="s">
        <v>12</v>
      </c>
      <c r="AC37" s="170">
        <v>13.2</v>
      </c>
      <c r="AD37" s="177"/>
      <c r="AG37" s="178"/>
      <c r="AL37" s="177"/>
      <c r="AO37" s="178"/>
      <c r="AP37" s="177"/>
      <c r="AS37" s="178"/>
      <c r="AW37" s="178"/>
      <c r="BA37" s="179"/>
    </row>
    <row r="38" spans="1:53" s="170" customFormat="1" x14ac:dyDescent="0.15">
      <c r="A38" s="215">
        <v>1975</v>
      </c>
      <c r="B38" s="281"/>
      <c r="C38" s="395" t="s">
        <v>745</v>
      </c>
      <c r="D38" s="395"/>
      <c r="E38" s="170">
        <v>0</v>
      </c>
      <c r="G38" s="171"/>
      <c r="H38" s="116">
        <v>11</v>
      </c>
      <c r="I38" s="116">
        <v>5</v>
      </c>
      <c r="J38" s="172">
        <v>16</v>
      </c>
      <c r="K38" s="173">
        <f t="shared" si="1"/>
        <v>0</v>
      </c>
      <c r="L38" s="173">
        <f t="shared" si="1"/>
        <v>68.75</v>
      </c>
      <c r="M38" s="173">
        <f t="shared" si="1"/>
        <v>31.25</v>
      </c>
      <c r="N38" s="174">
        <f t="shared" si="2"/>
        <v>100</v>
      </c>
      <c r="O38" s="175"/>
      <c r="P38" s="173">
        <v>37.5</v>
      </c>
      <c r="Q38" s="173">
        <v>13.2</v>
      </c>
      <c r="R38" s="176">
        <f t="shared" si="3"/>
        <v>50.7</v>
      </c>
      <c r="S38" s="170">
        <v>2</v>
      </c>
      <c r="T38" s="283"/>
      <c r="U38" s="281"/>
      <c r="V38" s="177" t="s">
        <v>554</v>
      </c>
      <c r="W38" s="170" t="s">
        <v>17</v>
      </c>
      <c r="X38" s="170" t="s">
        <v>18</v>
      </c>
      <c r="Y38" s="178">
        <v>37.5</v>
      </c>
      <c r="Z38" s="170" t="s">
        <v>451</v>
      </c>
      <c r="AA38" s="170" t="s">
        <v>20</v>
      </c>
      <c r="AB38" s="170" t="s">
        <v>12</v>
      </c>
      <c r="AC38" s="170">
        <v>13.2</v>
      </c>
      <c r="AD38" s="177"/>
      <c r="AG38" s="178"/>
      <c r="AL38" s="177"/>
      <c r="AO38" s="178"/>
      <c r="AP38" s="177"/>
      <c r="AS38" s="178"/>
      <c r="AW38" s="178"/>
      <c r="BA38" s="179"/>
    </row>
    <row r="39" spans="1:53" s="170" customFormat="1" x14ac:dyDescent="0.15">
      <c r="A39" s="215">
        <v>1975</v>
      </c>
      <c r="B39" s="281"/>
      <c r="C39" s="395" t="s">
        <v>745</v>
      </c>
      <c r="D39" s="395"/>
      <c r="E39" s="170">
        <v>365</v>
      </c>
      <c r="G39" s="171"/>
      <c r="H39" s="116">
        <v>11</v>
      </c>
      <c r="I39" s="116">
        <v>5</v>
      </c>
      <c r="J39" s="172">
        <v>16</v>
      </c>
      <c r="K39" s="173">
        <f t="shared" si="1"/>
        <v>0</v>
      </c>
      <c r="L39" s="173">
        <f t="shared" si="1"/>
        <v>68.75</v>
      </c>
      <c r="M39" s="173">
        <f t="shared" si="1"/>
        <v>31.25</v>
      </c>
      <c r="N39" s="174">
        <f t="shared" si="2"/>
        <v>100</v>
      </c>
      <c r="O39" s="175"/>
      <c r="P39" s="173">
        <v>37.5</v>
      </c>
      <c r="Q39" s="173">
        <v>13.2</v>
      </c>
      <c r="R39" s="176">
        <f t="shared" si="3"/>
        <v>50.7</v>
      </c>
      <c r="S39" s="170">
        <v>2</v>
      </c>
      <c r="T39" s="283"/>
      <c r="U39" s="281"/>
      <c r="V39" s="177" t="s">
        <v>554</v>
      </c>
      <c r="W39" s="170" t="s">
        <v>17</v>
      </c>
      <c r="X39" s="170" t="s">
        <v>18</v>
      </c>
      <c r="Y39" s="178">
        <v>37.5</v>
      </c>
      <c r="Z39" s="170" t="s">
        <v>451</v>
      </c>
      <c r="AA39" s="170" t="s">
        <v>20</v>
      </c>
      <c r="AB39" s="170" t="s">
        <v>12</v>
      </c>
      <c r="AC39" s="170">
        <v>13.2</v>
      </c>
      <c r="AD39" s="177"/>
      <c r="AG39" s="178"/>
      <c r="AL39" s="177"/>
      <c r="AO39" s="178"/>
      <c r="AP39" s="177"/>
      <c r="AS39" s="178"/>
      <c r="AW39" s="178"/>
      <c r="BA39" s="179"/>
    </row>
    <row r="40" spans="1:53" s="170" customFormat="1" x14ac:dyDescent="0.15">
      <c r="A40" s="215">
        <v>1976</v>
      </c>
      <c r="B40" s="281"/>
      <c r="C40" s="395" t="s">
        <v>745</v>
      </c>
      <c r="D40" s="395"/>
      <c r="E40" s="170">
        <v>0</v>
      </c>
      <c r="G40" s="171"/>
      <c r="H40" s="116">
        <v>11</v>
      </c>
      <c r="I40" s="116">
        <v>5</v>
      </c>
      <c r="J40" s="172">
        <v>16</v>
      </c>
      <c r="K40" s="173">
        <f t="shared" si="1"/>
        <v>0</v>
      </c>
      <c r="L40" s="173">
        <f t="shared" si="1"/>
        <v>68.75</v>
      </c>
      <c r="M40" s="173">
        <f t="shared" si="1"/>
        <v>31.25</v>
      </c>
      <c r="N40" s="174">
        <f t="shared" si="2"/>
        <v>100</v>
      </c>
      <c r="O40" s="175"/>
      <c r="P40" s="173">
        <v>37.5</v>
      </c>
      <c r="Q40" s="173">
        <v>13.2</v>
      </c>
      <c r="R40" s="176">
        <f t="shared" si="3"/>
        <v>50.7</v>
      </c>
      <c r="S40" s="170">
        <v>2</v>
      </c>
      <c r="T40" s="283"/>
      <c r="U40" s="281"/>
      <c r="V40" s="177" t="s">
        <v>554</v>
      </c>
      <c r="W40" s="170" t="s">
        <v>17</v>
      </c>
      <c r="X40" s="170" t="s">
        <v>18</v>
      </c>
      <c r="Y40" s="178">
        <v>37.5</v>
      </c>
      <c r="Z40" s="170" t="s">
        <v>451</v>
      </c>
      <c r="AA40" s="170" t="s">
        <v>20</v>
      </c>
      <c r="AB40" s="170" t="s">
        <v>12</v>
      </c>
      <c r="AC40" s="170">
        <v>13.2</v>
      </c>
      <c r="AD40" s="177"/>
      <c r="AG40" s="178"/>
      <c r="AL40" s="177"/>
      <c r="AO40" s="178"/>
      <c r="AP40" s="177"/>
      <c r="AS40" s="178"/>
      <c r="AW40" s="178"/>
      <c r="BA40" s="179"/>
    </row>
    <row r="41" spans="1:53" s="170" customFormat="1" x14ac:dyDescent="0.15">
      <c r="A41" s="215">
        <v>1976</v>
      </c>
      <c r="B41" s="281"/>
      <c r="C41" s="395" t="s">
        <v>745</v>
      </c>
      <c r="D41" s="395"/>
      <c r="E41" s="170">
        <v>366</v>
      </c>
      <c r="G41" s="171"/>
      <c r="H41" s="116">
        <v>11</v>
      </c>
      <c r="I41" s="116">
        <v>5</v>
      </c>
      <c r="J41" s="172">
        <v>16</v>
      </c>
      <c r="K41" s="173">
        <f t="shared" si="1"/>
        <v>0</v>
      </c>
      <c r="L41" s="173">
        <f t="shared" si="1"/>
        <v>68.75</v>
      </c>
      <c r="M41" s="173">
        <f t="shared" si="1"/>
        <v>31.25</v>
      </c>
      <c r="N41" s="174">
        <f t="shared" si="2"/>
        <v>100</v>
      </c>
      <c r="O41" s="175"/>
      <c r="P41" s="173">
        <v>37.5</v>
      </c>
      <c r="Q41" s="173">
        <v>13.2</v>
      </c>
      <c r="R41" s="176">
        <f t="shared" si="3"/>
        <v>50.7</v>
      </c>
      <c r="S41" s="170">
        <v>2</v>
      </c>
      <c r="T41" s="283"/>
      <c r="U41" s="281"/>
      <c r="V41" s="177" t="s">
        <v>554</v>
      </c>
      <c r="W41" s="170" t="s">
        <v>17</v>
      </c>
      <c r="X41" s="170" t="s">
        <v>18</v>
      </c>
      <c r="Y41" s="178">
        <v>37.5</v>
      </c>
      <c r="Z41" s="170" t="s">
        <v>451</v>
      </c>
      <c r="AA41" s="170" t="s">
        <v>20</v>
      </c>
      <c r="AB41" s="170" t="s">
        <v>12</v>
      </c>
      <c r="AC41" s="170">
        <v>13.2</v>
      </c>
      <c r="AD41" s="177"/>
      <c r="AG41" s="178"/>
      <c r="AL41" s="177"/>
      <c r="AO41" s="178"/>
      <c r="AP41" s="177"/>
      <c r="AS41" s="178"/>
      <c r="AW41" s="178"/>
      <c r="BA41" s="179"/>
    </row>
    <row r="42" spans="1:53" s="170" customFormat="1" x14ac:dyDescent="0.15">
      <c r="A42" s="215">
        <v>1977</v>
      </c>
      <c r="B42" s="281"/>
      <c r="C42" s="395" t="s">
        <v>745</v>
      </c>
      <c r="D42" s="395"/>
      <c r="E42" s="170">
        <v>185</v>
      </c>
      <c r="G42" s="171"/>
      <c r="H42" s="116">
        <v>11</v>
      </c>
      <c r="I42" s="116">
        <v>5</v>
      </c>
      <c r="J42" s="172">
        <v>16</v>
      </c>
      <c r="K42" s="173">
        <f t="shared" si="1"/>
        <v>0</v>
      </c>
      <c r="L42" s="173">
        <f t="shared" si="1"/>
        <v>68.75</v>
      </c>
      <c r="M42" s="173">
        <f t="shared" si="1"/>
        <v>31.25</v>
      </c>
      <c r="N42" s="174">
        <f t="shared" si="2"/>
        <v>100</v>
      </c>
      <c r="O42" s="175"/>
      <c r="P42" s="173">
        <v>37.5</v>
      </c>
      <c r="Q42" s="173">
        <v>13.2</v>
      </c>
      <c r="R42" s="176">
        <f t="shared" si="3"/>
        <v>50.7</v>
      </c>
      <c r="S42" s="170">
        <v>2</v>
      </c>
      <c r="T42" s="283"/>
      <c r="U42" s="281"/>
      <c r="V42" s="177" t="s">
        <v>554</v>
      </c>
      <c r="W42" s="170" t="s">
        <v>17</v>
      </c>
      <c r="X42" s="170" t="s">
        <v>18</v>
      </c>
      <c r="Y42" s="178">
        <v>37.5</v>
      </c>
      <c r="Z42" s="170" t="s">
        <v>451</v>
      </c>
      <c r="AA42" s="170" t="s">
        <v>20</v>
      </c>
      <c r="AB42" s="170" t="s">
        <v>12</v>
      </c>
      <c r="AC42" s="170">
        <v>13.2</v>
      </c>
      <c r="AD42" s="177"/>
      <c r="AG42" s="178"/>
      <c r="AL42" s="177"/>
      <c r="AO42" s="178"/>
      <c r="AP42" s="177"/>
      <c r="AS42" s="178"/>
      <c r="AW42" s="178"/>
      <c r="BA42" s="179"/>
    </row>
    <row r="43" spans="1:53" s="28" customFormat="1" x14ac:dyDescent="0.15">
      <c r="A43" s="51">
        <v>1977</v>
      </c>
      <c r="B43" s="293">
        <v>28311</v>
      </c>
      <c r="C43" s="394" t="s">
        <v>746</v>
      </c>
      <c r="D43" s="394"/>
      <c r="E43" s="28">
        <f>365-E42</f>
        <v>180</v>
      </c>
      <c r="F43" s="28">
        <v>1</v>
      </c>
      <c r="G43" s="29">
        <v>15</v>
      </c>
      <c r="H43" s="30"/>
      <c r="I43" s="30"/>
      <c r="J43" s="31">
        <v>15</v>
      </c>
      <c r="K43" s="32">
        <f t="shared" si="1"/>
        <v>100</v>
      </c>
      <c r="L43" s="32">
        <f t="shared" si="1"/>
        <v>0</v>
      </c>
      <c r="M43" s="32">
        <f t="shared" si="1"/>
        <v>0</v>
      </c>
      <c r="N43" s="33">
        <f t="shared" si="2"/>
        <v>100</v>
      </c>
      <c r="O43" s="34">
        <v>56.8</v>
      </c>
      <c r="P43" s="32"/>
      <c r="Q43" s="32"/>
      <c r="R43" s="35">
        <f t="shared" si="3"/>
        <v>56.8</v>
      </c>
      <c r="S43" s="28">
        <v>1</v>
      </c>
      <c r="T43" s="284">
        <v>28292</v>
      </c>
      <c r="U43" s="293">
        <v>28311</v>
      </c>
      <c r="V43" s="37" t="s">
        <v>553</v>
      </c>
      <c r="W43" s="28" t="s">
        <v>22</v>
      </c>
      <c r="X43" s="28" t="s">
        <v>11</v>
      </c>
      <c r="Y43" s="38">
        <v>56.8</v>
      </c>
      <c r="AD43" s="37"/>
      <c r="AG43" s="38"/>
      <c r="AL43" s="37"/>
      <c r="AO43" s="38"/>
      <c r="AP43" s="37"/>
      <c r="AS43" s="38"/>
      <c r="AW43" s="38"/>
      <c r="BA43" s="39"/>
    </row>
    <row r="44" spans="1:53" s="28" customFormat="1" x14ac:dyDescent="0.15">
      <c r="A44" s="51">
        <v>1978</v>
      </c>
      <c r="B44" s="293"/>
      <c r="C44" s="394" t="s">
        <v>746</v>
      </c>
      <c r="D44" s="394"/>
      <c r="E44" s="28">
        <v>0</v>
      </c>
      <c r="G44" s="29">
        <v>15</v>
      </c>
      <c r="H44" s="30"/>
      <c r="I44" s="30"/>
      <c r="J44" s="31">
        <v>15</v>
      </c>
      <c r="K44" s="32">
        <f t="shared" si="1"/>
        <v>100</v>
      </c>
      <c r="L44" s="32">
        <f t="shared" si="1"/>
        <v>0</v>
      </c>
      <c r="M44" s="32">
        <f t="shared" si="1"/>
        <v>0</v>
      </c>
      <c r="N44" s="33">
        <f t="shared" si="2"/>
        <v>100</v>
      </c>
      <c r="O44" s="34">
        <v>56.8</v>
      </c>
      <c r="P44" s="32"/>
      <c r="Q44" s="32"/>
      <c r="R44" s="35">
        <f t="shared" si="3"/>
        <v>56.8</v>
      </c>
      <c r="S44" s="28">
        <v>1</v>
      </c>
      <c r="T44" s="284"/>
      <c r="U44" s="293"/>
      <c r="V44" s="37" t="s">
        <v>553</v>
      </c>
      <c r="W44" s="28" t="s">
        <v>22</v>
      </c>
      <c r="X44" s="28" t="s">
        <v>11</v>
      </c>
      <c r="Y44" s="38">
        <v>56.8</v>
      </c>
      <c r="AD44" s="37"/>
      <c r="AG44" s="38"/>
      <c r="AL44" s="37"/>
      <c r="AO44" s="38"/>
      <c r="AP44" s="37"/>
      <c r="AS44" s="38"/>
      <c r="AW44" s="38"/>
      <c r="BA44" s="39"/>
    </row>
    <row r="45" spans="1:53" s="28" customFormat="1" x14ac:dyDescent="0.15">
      <c r="A45" s="51">
        <v>1978</v>
      </c>
      <c r="B45" s="293"/>
      <c r="C45" s="394" t="s">
        <v>746</v>
      </c>
      <c r="D45" s="394"/>
      <c r="E45" s="28">
        <v>365</v>
      </c>
      <c r="G45" s="29">
        <v>15</v>
      </c>
      <c r="H45" s="30"/>
      <c r="I45" s="30"/>
      <c r="J45" s="31">
        <v>15</v>
      </c>
      <c r="K45" s="32">
        <f t="shared" si="1"/>
        <v>100</v>
      </c>
      <c r="L45" s="32">
        <f t="shared" si="1"/>
        <v>0</v>
      </c>
      <c r="M45" s="32">
        <f t="shared" si="1"/>
        <v>0</v>
      </c>
      <c r="N45" s="33">
        <f t="shared" si="2"/>
        <v>100</v>
      </c>
      <c r="O45" s="34">
        <v>56.8</v>
      </c>
      <c r="P45" s="32"/>
      <c r="Q45" s="32"/>
      <c r="R45" s="35">
        <f t="shared" si="3"/>
        <v>56.8</v>
      </c>
      <c r="S45" s="28">
        <v>1</v>
      </c>
      <c r="T45" s="284"/>
      <c r="U45" s="293"/>
      <c r="V45" s="37" t="s">
        <v>553</v>
      </c>
      <c r="W45" s="28" t="s">
        <v>22</v>
      </c>
      <c r="X45" s="28" t="s">
        <v>11</v>
      </c>
      <c r="Y45" s="38">
        <v>56.8</v>
      </c>
      <c r="AD45" s="37"/>
      <c r="AG45" s="38"/>
      <c r="AL45" s="37"/>
      <c r="AO45" s="38"/>
      <c r="AP45" s="37"/>
      <c r="AS45" s="38"/>
      <c r="AW45" s="38"/>
      <c r="BA45" s="39"/>
    </row>
    <row r="46" spans="1:53" s="28" customFormat="1" x14ac:dyDescent="0.15">
      <c r="A46" s="51">
        <v>1979</v>
      </c>
      <c r="B46" s="293"/>
      <c r="C46" s="394" t="s">
        <v>746</v>
      </c>
      <c r="D46" s="394"/>
      <c r="E46" s="28">
        <v>344</v>
      </c>
      <c r="G46" s="29">
        <v>15</v>
      </c>
      <c r="H46" s="30"/>
      <c r="I46" s="30"/>
      <c r="J46" s="31">
        <v>15</v>
      </c>
      <c r="K46" s="32">
        <f t="shared" si="1"/>
        <v>100</v>
      </c>
      <c r="L46" s="32">
        <f t="shared" si="1"/>
        <v>0</v>
      </c>
      <c r="M46" s="32">
        <f t="shared" si="1"/>
        <v>0</v>
      </c>
      <c r="N46" s="33">
        <f t="shared" si="2"/>
        <v>100</v>
      </c>
      <c r="O46" s="34">
        <v>56.8</v>
      </c>
      <c r="P46" s="32"/>
      <c r="Q46" s="32"/>
      <c r="R46" s="35">
        <f t="shared" si="3"/>
        <v>56.8</v>
      </c>
      <c r="S46" s="28">
        <v>1</v>
      </c>
      <c r="T46" s="284"/>
      <c r="U46" s="293"/>
      <c r="V46" s="37" t="s">
        <v>553</v>
      </c>
      <c r="W46" s="28" t="s">
        <v>22</v>
      </c>
      <c r="X46" s="28" t="s">
        <v>11</v>
      </c>
      <c r="Y46" s="38">
        <v>56.8</v>
      </c>
      <c r="AD46" s="37"/>
      <c r="AG46" s="38"/>
      <c r="AL46" s="37"/>
      <c r="AO46" s="38"/>
      <c r="AP46" s="37"/>
      <c r="AS46" s="38"/>
      <c r="AW46" s="38"/>
      <c r="BA46" s="39"/>
    </row>
    <row r="47" spans="1:53" s="170" customFormat="1" x14ac:dyDescent="0.15">
      <c r="A47" s="215">
        <v>1979</v>
      </c>
      <c r="B47" s="281">
        <v>29200</v>
      </c>
      <c r="C47" s="395" t="s">
        <v>747</v>
      </c>
      <c r="D47" s="395"/>
      <c r="E47" s="170">
        <f>365-E46</f>
        <v>21</v>
      </c>
      <c r="F47" s="170">
        <v>2</v>
      </c>
      <c r="G47" s="171">
        <v>15</v>
      </c>
      <c r="H47" s="116"/>
      <c r="I47" s="116"/>
      <c r="J47" s="172">
        <v>15</v>
      </c>
      <c r="K47" s="173">
        <f t="shared" si="1"/>
        <v>100</v>
      </c>
      <c r="L47" s="173">
        <f t="shared" si="1"/>
        <v>0</v>
      </c>
      <c r="M47" s="173">
        <f t="shared" si="1"/>
        <v>0</v>
      </c>
      <c r="N47" s="174">
        <f t="shared" si="2"/>
        <v>100</v>
      </c>
      <c r="O47" s="175">
        <v>56.8</v>
      </c>
      <c r="P47" s="173"/>
      <c r="Q47" s="173"/>
      <c r="R47" s="176">
        <f t="shared" si="3"/>
        <v>56.8</v>
      </c>
      <c r="S47" s="170">
        <v>1</v>
      </c>
      <c r="T47" s="283"/>
      <c r="U47" s="281">
        <v>29200</v>
      </c>
      <c r="V47" s="177" t="s">
        <v>553</v>
      </c>
      <c r="W47" s="170" t="s">
        <v>22</v>
      </c>
      <c r="X47" s="170" t="s">
        <v>11</v>
      </c>
      <c r="Y47" s="178">
        <v>56.8</v>
      </c>
      <c r="AD47" s="177"/>
      <c r="AG47" s="178"/>
      <c r="AL47" s="177"/>
      <c r="AO47" s="178"/>
      <c r="AP47" s="177"/>
      <c r="AS47" s="178"/>
      <c r="AW47" s="178"/>
      <c r="BA47" s="179"/>
    </row>
    <row r="48" spans="1:53" s="170" customFormat="1" x14ac:dyDescent="0.15">
      <c r="A48" s="215">
        <v>1980</v>
      </c>
      <c r="B48" s="281"/>
      <c r="C48" s="395" t="s">
        <v>747</v>
      </c>
      <c r="D48" s="395"/>
      <c r="E48" s="170">
        <v>0</v>
      </c>
      <c r="G48" s="171">
        <v>15</v>
      </c>
      <c r="H48" s="116"/>
      <c r="I48" s="116"/>
      <c r="J48" s="172">
        <v>15</v>
      </c>
      <c r="K48" s="173">
        <f t="shared" si="1"/>
        <v>100</v>
      </c>
      <c r="L48" s="173">
        <f t="shared" si="1"/>
        <v>0</v>
      </c>
      <c r="M48" s="173">
        <f t="shared" si="1"/>
        <v>0</v>
      </c>
      <c r="N48" s="174">
        <f t="shared" si="2"/>
        <v>100</v>
      </c>
      <c r="O48" s="175">
        <v>56.8</v>
      </c>
      <c r="P48" s="173"/>
      <c r="Q48" s="173"/>
      <c r="R48" s="176">
        <f t="shared" si="3"/>
        <v>56.8</v>
      </c>
      <c r="S48" s="170">
        <v>1</v>
      </c>
      <c r="T48" s="283"/>
      <c r="U48" s="281"/>
      <c r="V48" s="177" t="s">
        <v>553</v>
      </c>
      <c r="W48" s="170" t="s">
        <v>22</v>
      </c>
      <c r="X48" s="170" t="s">
        <v>11</v>
      </c>
      <c r="Y48" s="178">
        <v>56.8</v>
      </c>
      <c r="AD48" s="177"/>
      <c r="AG48" s="178"/>
      <c r="AL48" s="177"/>
      <c r="AO48" s="178"/>
      <c r="AP48" s="177"/>
      <c r="AS48" s="178"/>
      <c r="AW48" s="178"/>
      <c r="BA48" s="179"/>
    </row>
    <row r="49" spans="1:53" s="170" customFormat="1" x14ac:dyDescent="0.15">
      <c r="A49" s="215">
        <v>1980</v>
      </c>
      <c r="B49" s="281"/>
      <c r="C49" s="395" t="s">
        <v>747</v>
      </c>
      <c r="D49" s="395"/>
      <c r="E49" s="170">
        <v>366</v>
      </c>
      <c r="G49" s="171">
        <v>15</v>
      </c>
      <c r="H49" s="116"/>
      <c r="I49" s="116"/>
      <c r="J49" s="172">
        <v>15</v>
      </c>
      <c r="K49" s="173">
        <f t="shared" si="1"/>
        <v>100</v>
      </c>
      <c r="L49" s="173">
        <f t="shared" si="1"/>
        <v>0</v>
      </c>
      <c r="M49" s="173">
        <f t="shared" si="1"/>
        <v>0</v>
      </c>
      <c r="N49" s="174">
        <f t="shared" si="2"/>
        <v>100</v>
      </c>
      <c r="O49" s="175">
        <v>56.8</v>
      </c>
      <c r="P49" s="173"/>
      <c r="Q49" s="173"/>
      <c r="R49" s="176">
        <f t="shared" si="3"/>
        <v>56.8</v>
      </c>
      <c r="S49" s="170">
        <v>1</v>
      </c>
      <c r="T49" s="283"/>
      <c r="U49" s="281"/>
      <c r="V49" s="177" t="s">
        <v>553</v>
      </c>
      <c r="W49" s="170" t="s">
        <v>22</v>
      </c>
      <c r="X49" s="170" t="s">
        <v>11</v>
      </c>
      <c r="Y49" s="178">
        <v>56.8</v>
      </c>
      <c r="AD49" s="177"/>
      <c r="AG49" s="178"/>
      <c r="AL49" s="177"/>
      <c r="AO49" s="178"/>
      <c r="AP49" s="177"/>
      <c r="AS49" s="178"/>
      <c r="AW49" s="178"/>
      <c r="BA49" s="179"/>
    </row>
    <row r="50" spans="1:53" s="170" customFormat="1" x14ac:dyDescent="0.15">
      <c r="A50" s="215">
        <v>1981</v>
      </c>
      <c r="B50" s="281"/>
      <c r="C50" s="395" t="s">
        <v>747</v>
      </c>
      <c r="D50" s="395"/>
      <c r="E50" s="170">
        <v>180</v>
      </c>
      <c r="G50" s="171">
        <v>15</v>
      </c>
      <c r="H50" s="116"/>
      <c r="I50" s="116"/>
      <c r="J50" s="172">
        <v>15</v>
      </c>
      <c r="K50" s="173">
        <f t="shared" si="1"/>
        <v>100</v>
      </c>
      <c r="L50" s="173">
        <f t="shared" si="1"/>
        <v>0</v>
      </c>
      <c r="M50" s="173">
        <f t="shared" si="1"/>
        <v>0</v>
      </c>
      <c r="N50" s="174">
        <f t="shared" si="2"/>
        <v>100</v>
      </c>
      <c r="O50" s="175">
        <v>56.8</v>
      </c>
      <c r="P50" s="173"/>
      <c r="Q50" s="173"/>
      <c r="R50" s="176">
        <f t="shared" si="3"/>
        <v>56.8</v>
      </c>
      <c r="S50" s="170">
        <v>1</v>
      </c>
      <c r="T50" s="283"/>
      <c r="U50" s="281"/>
      <c r="V50" s="177" t="s">
        <v>553</v>
      </c>
      <c r="W50" s="170" t="s">
        <v>22</v>
      </c>
      <c r="X50" s="170" t="s">
        <v>11</v>
      </c>
      <c r="Y50" s="178">
        <v>56.8</v>
      </c>
      <c r="AD50" s="177"/>
      <c r="AG50" s="178"/>
      <c r="AL50" s="177"/>
      <c r="AO50" s="178"/>
      <c r="AP50" s="177"/>
      <c r="AS50" s="178"/>
      <c r="AW50" s="178"/>
      <c r="BA50" s="179"/>
    </row>
    <row r="51" spans="1:53" s="28" customFormat="1" x14ac:dyDescent="0.15">
      <c r="A51" s="51">
        <v>1981</v>
      </c>
      <c r="B51" s="293">
        <v>29767</v>
      </c>
      <c r="C51" s="394" t="s">
        <v>748</v>
      </c>
      <c r="D51" s="394"/>
      <c r="E51" s="28">
        <f>365-E50</f>
        <v>185</v>
      </c>
      <c r="F51" s="28">
        <v>1</v>
      </c>
      <c r="G51" s="29"/>
      <c r="H51" s="30">
        <v>10</v>
      </c>
      <c r="I51" s="30">
        <v>4</v>
      </c>
      <c r="J51" s="31">
        <v>15</v>
      </c>
      <c r="K51" s="32">
        <f t="shared" si="1"/>
        <v>0</v>
      </c>
      <c r="L51" s="32">
        <f t="shared" si="1"/>
        <v>66.666666666666657</v>
      </c>
      <c r="M51" s="32">
        <f t="shared" si="1"/>
        <v>26.666666666666668</v>
      </c>
      <c r="N51" s="33">
        <f t="shared" si="2"/>
        <v>93.333333333333329</v>
      </c>
      <c r="O51" s="34"/>
      <c r="P51" s="32">
        <v>39.200000000000003</v>
      </c>
      <c r="Q51" s="32">
        <v>9</v>
      </c>
      <c r="R51" s="35">
        <f t="shared" si="3"/>
        <v>48.2</v>
      </c>
      <c r="S51" s="28">
        <v>5</v>
      </c>
      <c r="T51" s="284">
        <v>29748</v>
      </c>
      <c r="U51" s="293">
        <v>29767</v>
      </c>
      <c r="V51" s="37" t="s">
        <v>554</v>
      </c>
      <c r="W51" s="28" t="s">
        <v>17</v>
      </c>
      <c r="X51" s="28" t="s">
        <v>18</v>
      </c>
      <c r="Y51" s="38">
        <v>39.200000000000003</v>
      </c>
      <c r="Z51" s="28" t="s">
        <v>451</v>
      </c>
      <c r="AA51" s="28" t="s">
        <v>20</v>
      </c>
      <c r="AB51" s="28" t="s">
        <v>12</v>
      </c>
      <c r="AC51" s="28">
        <v>9</v>
      </c>
      <c r="AD51" s="37"/>
      <c r="AG51" s="38"/>
      <c r="AL51" s="37"/>
      <c r="AO51" s="38"/>
      <c r="AP51" s="37"/>
      <c r="AS51" s="38"/>
      <c r="AW51" s="38"/>
      <c r="BA51" s="39"/>
    </row>
    <row r="52" spans="1:53" s="28" customFormat="1" x14ac:dyDescent="0.15">
      <c r="A52" s="51">
        <v>1982</v>
      </c>
      <c r="B52" s="293"/>
      <c r="C52" s="394" t="s">
        <v>748</v>
      </c>
      <c r="D52" s="394"/>
      <c r="E52" s="28">
        <v>67</v>
      </c>
      <c r="G52" s="29"/>
      <c r="H52" s="30">
        <v>10</v>
      </c>
      <c r="I52" s="30">
        <v>4</v>
      </c>
      <c r="J52" s="31">
        <v>15</v>
      </c>
      <c r="K52" s="32">
        <f t="shared" si="1"/>
        <v>0</v>
      </c>
      <c r="L52" s="32">
        <f t="shared" si="1"/>
        <v>66.666666666666657</v>
      </c>
      <c r="M52" s="32">
        <f t="shared" si="1"/>
        <v>26.666666666666668</v>
      </c>
      <c r="N52" s="33">
        <f t="shared" si="2"/>
        <v>93.333333333333329</v>
      </c>
      <c r="O52" s="34"/>
      <c r="P52" s="32">
        <v>39.200000000000003</v>
      </c>
      <c r="Q52" s="32">
        <v>9</v>
      </c>
      <c r="R52" s="35">
        <f t="shared" si="3"/>
        <v>48.2</v>
      </c>
      <c r="S52" s="28">
        <v>5</v>
      </c>
      <c r="T52" s="284"/>
      <c r="U52" s="293"/>
      <c r="V52" s="37" t="s">
        <v>554</v>
      </c>
      <c r="W52" s="28" t="s">
        <v>17</v>
      </c>
      <c r="X52" s="28" t="s">
        <v>18</v>
      </c>
      <c r="Y52" s="38">
        <v>39.200000000000003</v>
      </c>
      <c r="Z52" s="28" t="s">
        <v>451</v>
      </c>
      <c r="AA52" s="28" t="s">
        <v>20</v>
      </c>
      <c r="AB52" s="28" t="s">
        <v>12</v>
      </c>
      <c r="AC52" s="28">
        <v>9</v>
      </c>
      <c r="AD52" s="37"/>
      <c r="AG52" s="38"/>
      <c r="AL52" s="37"/>
      <c r="AO52" s="38"/>
      <c r="AP52" s="37"/>
      <c r="AS52" s="38"/>
      <c r="AW52" s="38"/>
      <c r="BA52" s="39"/>
    </row>
    <row r="53" spans="1:53" s="170" customFormat="1" x14ac:dyDescent="0.15">
      <c r="A53" s="215">
        <v>1982</v>
      </c>
      <c r="B53" s="281">
        <v>30019</v>
      </c>
      <c r="C53" s="395" t="s">
        <v>749</v>
      </c>
      <c r="D53" s="395"/>
      <c r="E53" s="170">
        <v>280</v>
      </c>
      <c r="F53" s="170">
        <v>5</v>
      </c>
      <c r="G53" s="171">
        <v>16</v>
      </c>
      <c r="H53" s="116"/>
      <c r="I53" s="116"/>
      <c r="J53" s="172">
        <v>16</v>
      </c>
      <c r="K53" s="173">
        <f t="shared" si="1"/>
        <v>100</v>
      </c>
      <c r="L53" s="173">
        <f t="shared" si="1"/>
        <v>0</v>
      </c>
      <c r="M53" s="173">
        <f t="shared" si="1"/>
        <v>0</v>
      </c>
      <c r="N53" s="174">
        <f t="shared" si="2"/>
        <v>100</v>
      </c>
      <c r="O53" s="175">
        <v>47</v>
      </c>
      <c r="P53" s="173"/>
      <c r="Q53" s="173"/>
      <c r="R53" s="176">
        <f t="shared" si="3"/>
        <v>47</v>
      </c>
      <c r="S53" s="170">
        <v>4</v>
      </c>
      <c r="T53" s="283"/>
      <c r="U53" s="281">
        <v>30019</v>
      </c>
      <c r="V53" s="177" t="s">
        <v>553</v>
      </c>
      <c r="W53" s="170" t="s">
        <v>22</v>
      </c>
      <c r="X53" s="170" t="s">
        <v>11</v>
      </c>
      <c r="Y53" s="178">
        <v>47</v>
      </c>
      <c r="AD53" s="177"/>
      <c r="AG53" s="178"/>
      <c r="AL53" s="177"/>
      <c r="AO53" s="178"/>
      <c r="AP53" s="177"/>
      <c r="AS53" s="178"/>
      <c r="AW53" s="178"/>
      <c r="BA53" s="179"/>
    </row>
    <row r="54" spans="1:53" s="28" customFormat="1" x14ac:dyDescent="0.15">
      <c r="A54" s="51">
        <v>1982</v>
      </c>
      <c r="B54" s="293">
        <v>30299</v>
      </c>
      <c r="C54" s="394" t="s">
        <v>750</v>
      </c>
      <c r="D54" s="394"/>
      <c r="E54" s="28">
        <f>365-E53-E52</f>
        <v>18</v>
      </c>
      <c r="F54" s="28">
        <v>5</v>
      </c>
      <c r="G54" s="29"/>
      <c r="H54" s="30">
        <v>12</v>
      </c>
      <c r="I54" s="30">
        <v>4</v>
      </c>
      <c r="J54" s="31">
        <v>17</v>
      </c>
      <c r="K54" s="32">
        <f t="shared" si="1"/>
        <v>0</v>
      </c>
      <c r="L54" s="32">
        <f t="shared" si="1"/>
        <v>70.588235294117652</v>
      </c>
      <c r="M54" s="32">
        <f t="shared" si="1"/>
        <v>23.52941176470588</v>
      </c>
      <c r="N54" s="33">
        <f t="shared" si="2"/>
        <v>94.117647058823536</v>
      </c>
      <c r="O54" s="34"/>
      <c r="P54" s="32">
        <v>42.2</v>
      </c>
      <c r="Q54" s="32">
        <v>9.6</v>
      </c>
      <c r="R54" s="35">
        <f t="shared" si="3"/>
        <v>51.800000000000004</v>
      </c>
      <c r="S54" s="28">
        <v>2</v>
      </c>
      <c r="T54" s="284">
        <v>30279</v>
      </c>
      <c r="U54" s="293">
        <v>30299</v>
      </c>
      <c r="V54" s="37" t="s">
        <v>554</v>
      </c>
      <c r="W54" s="28" t="s">
        <v>17</v>
      </c>
      <c r="X54" s="28" t="s">
        <v>18</v>
      </c>
      <c r="Y54" s="38">
        <v>42.2</v>
      </c>
      <c r="Z54" s="28" t="s">
        <v>451</v>
      </c>
      <c r="AA54" s="28" t="s">
        <v>20</v>
      </c>
      <c r="AB54" s="28" t="s">
        <v>12</v>
      </c>
      <c r="AC54" s="28">
        <v>9.6</v>
      </c>
      <c r="AD54" s="37"/>
      <c r="AG54" s="38"/>
      <c r="AL54" s="37"/>
      <c r="AO54" s="38"/>
      <c r="AP54" s="37"/>
      <c r="AS54" s="38"/>
      <c r="AW54" s="38"/>
      <c r="BA54" s="39"/>
    </row>
    <row r="55" spans="1:53" s="28" customFormat="1" x14ac:dyDescent="0.15">
      <c r="A55" s="51">
        <v>1983</v>
      </c>
      <c r="B55" s="293"/>
      <c r="C55" s="394" t="s">
        <v>750</v>
      </c>
      <c r="D55" s="394"/>
      <c r="E55" s="28">
        <v>0</v>
      </c>
      <c r="G55" s="29"/>
      <c r="H55" s="30">
        <v>12</v>
      </c>
      <c r="I55" s="30">
        <v>4</v>
      </c>
      <c r="J55" s="31">
        <v>17</v>
      </c>
      <c r="K55" s="32">
        <f t="shared" si="1"/>
        <v>0</v>
      </c>
      <c r="L55" s="32">
        <f t="shared" si="1"/>
        <v>70.588235294117652</v>
      </c>
      <c r="M55" s="32">
        <f t="shared" si="1"/>
        <v>23.52941176470588</v>
      </c>
      <c r="N55" s="33">
        <f t="shared" si="2"/>
        <v>94.117647058823536</v>
      </c>
      <c r="O55" s="34"/>
      <c r="P55" s="32">
        <v>42.2</v>
      </c>
      <c r="Q55" s="32">
        <v>9.6</v>
      </c>
      <c r="R55" s="35">
        <f t="shared" si="3"/>
        <v>51.800000000000004</v>
      </c>
      <c r="S55" s="28">
        <v>2</v>
      </c>
      <c r="T55" s="284"/>
      <c r="U55" s="293"/>
      <c r="V55" s="37" t="s">
        <v>554</v>
      </c>
      <c r="W55" s="28" t="s">
        <v>17</v>
      </c>
      <c r="X55" s="28" t="s">
        <v>18</v>
      </c>
      <c r="Y55" s="38">
        <v>42.2</v>
      </c>
      <c r="Z55" s="28" t="s">
        <v>451</v>
      </c>
      <c r="AA55" s="28" t="s">
        <v>20</v>
      </c>
      <c r="AB55" s="28" t="s">
        <v>12</v>
      </c>
      <c r="AC55" s="28">
        <v>9.6</v>
      </c>
      <c r="AD55" s="37"/>
      <c r="AG55" s="38"/>
      <c r="AL55" s="37"/>
      <c r="AO55" s="38"/>
      <c r="AP55" s="37"/>
      <c r="AS55" s="38"/>
      <c r="AW55" s="38"/>
      <c r="BA55" s="39"/>
    </row>
    <row r="56" spans="1:53" s="28" customFormat="1" x14ac:dyDescent="0.15">
      <c r="A56" s="51">
        <v>1983</v>
      </c>
      <c r="B56" s="293"/>
      <c r="C56" s="394" t="s">
        <v>750</v>
      </c>
      <c r="D56" s="394"/>
      <c r="E56" s="28">
        <v>365</v>
      </c>
      <c r="G56" s="29"/>
      <c r="H56" s="30">
        <v>12</v>
      </c>
      <c r="I56" s="30">
        <v>4</v>
      </c>
      <c r="J56" s="31">
        <v>17</v>
      </c>
      <c r="K56" s="32">
        <f t="shared" si="1"/>
        <v>0</v>
      </c>
      <c r="L56" s="32">
        <f t="shared" si="1"/>
        <v>70.588235294117652</v>
      </c>
      <c r="M56" s="32">
        <f t="shared" si="1"/>
        <v>23.52941176470588</v>
      </c>
      <c r="N56" s="33">
        <f t="shared" si="2"/>
        <v>94.117647058823536</v>
      </c>
      <c r="O56" s="34"/>
      <c r="P56" s="32">
        <v>42.2</v>
      </c>
      <c r="Q56" s="32">
        <v>9.6</v>
      </c>
      <c r="R56" s="35">
        <f t="shared" si="3"/>
        <v>51.800000000000004</v>
      </c>
      <c r="S56" s="28">
        <v>2</v>
      </c>
      <c r="T56" s="284"/>
      <c r="U56" s="293"/>
      <c r="V56" s="37" t="s">
        <v>554</v>
      </c>
      <c r="W56" s="28" t="s">
        <v>17</v>
      </c>
      <c r="X56" s="28" t="s">
        <v>18</v>
      </c>
      <c r="Y56" s="38">
        <v>42.2</v>
      </c>
      <c r="Z56" s="28" t="s">
        <v>451</v>
      </c>
      <c r="AA56" s="28" t="s">
        <v>20</v>
      </c>
      <c r="AB56" s="28" t="s">
        <v>12</v>
      </c>
      <c r="AC56" s="28">
        <v>9.6</v>
      </c>
      <c r="AD56" s="37"/>
      <c r="AG56" s="38"/>
      <c r="AL56" s="37"/>
      <c r="AO56" s="38"/>
      <c r="AP56" s="37"/>
      <c r="AS56" s="38"/>
      <c r="AW56" s="38"/>
      <c r="BA56" s="39"/>
    </row>
    <row r="57" spans="1:53" s="28" customFormat="1" x14ac:dyDescent="0.15">
      <c r="A57" s="51">
        <v>1984</v>
      </c>
      <c r="B57" s="293"/>
      <c r="C57" s="394" t="s">
        <v>750</v>
      </c>
      <c r="D57" s="394"/>
      <c r="E57" s="28">
        <v>0</v>
      </c>
      <c r="G57" s="29"/>
      <c r="H57" s="30">
        <v>12</v>
      </c>
      <c r="I57" s="30">
        <v>4</v>
      </c>
      <c r="J57" s="31">
        <v>17</v>
      </c>
      <c r="K57" s="32">
        <f t="shared" si="1"/>
        <v>0</v>
      </c>
      <c r="L57" s="32">
        <f t="shared" si="1"/>
        <v>70.588235294117652</v>
      </c>
      <c r="M57" s="32">
        <f t="shared" si="1"/>
        <v>23.52941176470588</v>
      </c>
      <c r="N57" s="33">
        <f t="shared" si="2"/>
        <v>94.117647058823536</v>
      </c>
      <c r="O57" s="34"/>
      <c r="P57" s="32">
        <v>42.2</v>
      </c>
      <c r="Q57" s="32">
        <v>9.6</v>
      </c>
      <c r="R57" s="35">
        <f t="shared" si="3"/>
        <v>51.800000000000004</v>
      </c>
      <c r="S57" s="28">
        <v>2</v>
      </c>
      <c r="T57" s="284"/>
      <c r="U57" s="293"/>
      <c r="V57" s="37" t="s">
        <v>554</v>
      </c>
      <c r="W57" s="28" t="s">
        <v>17</v>
      </c>
      <c r="X57" s="28" t="s">
        <v>18</v>
      </c>
      <c r="Y57" s="38">
        <v>42.2</v>
      </c>
      <c r="Z57" s="28" t="s">
        <v>451</v>
      </c>
      <c r="AA57" s="28" t="s">
        <v>20</v>
      </c>
      <c r="AB57" s="28" t="s">
        <v>12</v>
      </c>
      <c r="AC57" s="28">
        <v>9.6</v>
      </c>
      <c r="AD57" s="37"/>
      <c r="AG57" s="38"/>
      <c r="AL57" s="37"/>
      <c r="AO57" s="38"/>
      <c r="AP57" s="37"/>
      <c r="AS57" s="38"/>
      <c r="AW57" s="38"/>
      <c r="BA57" s="39"/>
    </row>
    <row r="58" spans="1:53" s="28" customFormat="1" x14ac:dyDescent="0.15">
      <c r="A58" s="51">
        <v>1984</v>
      </c>
      <c r="B58" s="293"/>
      <c r="C58" s="394" t="s">
        <v>750</v>
      </c>
      <c r="D58" s="394"/>
      <c r="E58" s="28">
        <v>366</v>
      </c>
      <c r="G58" s="29"/>
      <c r="H58" s="30">
        <v>12</v>
      </c>
      <c r="I58" s="30">
        <v>4</v>
      </c>
      <c r="J58" s="31">
        <v>17</v>
      </c>
      <c r="K58" s="32">
        <f t="shared" si="1"/>
        <v>0</v>
      </c>
      <c r="L58" s="32">
        <f t="shared" si="1"/>
        <v>70.588235294117652</v>
      </c>
      <c r="M58" s="32">
        <f t="shared" si="1"/>
        <v>23.52941176470588</v>
      </c>
      <c r="N58" s="33">
        <f t="shared" si="2"/>
        <v>94.117647058823536</v>
      </c>
      <c r="O58" s="34"/>
      <c r="P58" s="32">
        <v>42.2</v>
      </c>
      <c r="Q58" s="32">
        <v>9.6</v>
      </c>
      <c r="R58" s="35">
        <f t="shared" si="3"/>
        <v>51.800000000000004</v>
      </c>
      <c r="S58" s="28">
        <v>2</v>
      </c>
      <c r="T58" s="284"/>
      <c r="U58" s="293"/>
      <c r="V58" s="37" t="s">
        <v>554</v>
      </c>
      <c r="W58" s="28" t="s">
        <v>17</v>
      </c>
      <c r="X58" s="28" t="s">
        <v>18</v>
      </c>
      <c r="Y58" s="38">
        <v>42.2</v>
      </c>
      <c r="Z58" s="28" t="s">
        <v>451</v>
      </c>
      <c r="AA58" s="28" t="s">
        <v>20</v>
      </c>
      <c r="AB58" s="28" t="s">
        <v>12</v>
      </c>
      <c r="AC58" s="28">
        <v>9.6</v>
      </c>
      <c r="AD58" s="37"/>
      <c r="AG58" s="38"/>
      <c r="AL58" s="37"/>
      <c r="AO58" s="38"/>
      <c r="AP58" s="37"/>
      <c r="AS58" s="38"/>
      <c r="AW58" s="38"/>
      <c r="BA58" s="39"/>
    </row>
    <row r="59" spans="1:53" s="28" customFormat="1" x14ac:dyDescent="0.15">
      <c r="A59" s="51">
        <v>1985</v>
      </c>
      <c r="B59" s="293"/>
      <c r="C59" s="394" t="s">
        <v>750</v>
      </c>
      <c r="D59" s="394"/>
      <c r="E59" s="28">
        <v>0</v>
      </c>
      <c r="G59" s="29"/>
      <c r="H59" s="30">
        <v>12</v>
      </c>
      <c r="I59" s="30">
        <v>4</v>
      </c>
      <c r="J59" s="31">
        <v>17</v>
      </c>
      <c r="K59" s="32">
        <f>G59/$J59*100</f>
        <v>0</v>
      </c>
      <c r="L59" s="32">
        <f t="shared" ref="L59:M109" si="4">H59/$J59*100</f>
        <v>70.588235294117652</v>
      </c>
      <c r="M59" s="32">
        <f t="shared" si="4"/>
        <v>23.52941176470588</v>
      </c>
      <c r="N59" s="33">
        <f>K59+L59+M59</f>
        <v>94.117647058823536</v>
      </c>
      <c r="O59" s="34"/>
      <c r="P59" s="32">
        <v>42.2</v>
      </c>
      <c r="Q59" s="32">
        <v>9.6</v>
      </c>
      <c r="R59" s="35">
        <f t="shared" si="3"/>
        <v>51.800000000000004</v>
      </c>
      <c r="S59" s="28">
        <v>2</v>
      </c>
      <c r="T59" s="284"/>
      <c r="U59" s="293"/>
      <c r="V59" s="37" t="s">
        <v>554</v>
      </c>
      <c r="W59" s="28" t="s">
        <v>17</v>
      </c>
      <c r="X59" s="28" t="s">
        <v>18</v>
      </c>
      <c r="Y59" s="38">
        <v>42.2</v>
      </c>
      <c r="Z59" s="28" t="s">
        <v>451</v>
      </c>
      <c r="AA59" s="28" t="s">
        <v>20</v>
      </c>
      <c r="AB59" s="28" t="s">
        <v>12</v>
      </c>
      <c r="AC59" s="28">
        <v>9.6</v>
      </c>
      <c r="AD59" s="37"/>
      <c r="AG59" s="38"/>
      <c r="AL59" s="37"/>
      <c r="AO59" s="38"/>
      <c r="AP59" s="37"/>
      <c r="AS59" s="38"/>
      <c r="AW59" s="38"/>
      <c r="BA59" s="39"/>
    </row>
    <row r="60" spans="1:53" s="28" customFormat="1" x14ac:dyDescent="0.15">
      <c r="A60" s="51">
        <v>1985</v>
      </c>
      <c r="B60" s="293"/>
      <c r="C60" s="394" t="s">
        <v>750</v>
      </c>
      <c r="D60" s="394"/>
      <c r="E60" s="28">
        <v>365</v>
      </c>
      <c r="G60" s="29"/>
      <c r="H60" s="30">
        <v>12</v>
      </c>
      <c r="I60" s="30">
        <v>4</v>
      </c>
      <c r="J60" s="31">
        <v>17</v>
      </c>
      <c r="K60" s="32">
        <f t="shared" ref="K60:K65" si="5">G60/$J60*100</f>
        <v>0</v>
      </c>
      <c r="L60" s="32">
        <f t="shared" si="4"/>
        <v>70.588235294117652</v>
      </c>
      <c r="M60" s="32">
        <f t="shared" si="4"/>
        <v>23.52941176470588</v>
      </c>
      <c r="N60" s="33">
        <f t="shared" ref="N60:N65" si="6">K60+L60+M60</f>
        <v>94.117647058823536</v>
      </c>
      <c r="O60" s="34"/>
      <c r="P60" s="32">
        <v>42.2</v>
      </c>
      <c r="Q60" s="32">
        <v>9.6</v>
      </c>
      <c r="R60" s="35">
        <f t="shared" si="3"/>
        <v>51.800000000000004</v>
      </c>
      <c r="S60" s="28">
        <v>2</v>
      </c>
      <c r="T60" s="284"/>
      <c r="U60" s="293"/>
      <c r="V60" s="37" t="s">
        <v>554</v>
      </c>
      <c r="W60" s="28" t="s">
        <v>17</v>
      </c>
      <c r="X60" s="28" t="s">
        <v>18</v>
      </c>
      <c r="Y60" s="38">
        <v>42.2</v>
      </c>
      <c r="Z60" s="28" t="s">
        <v>451</v>
      </c>
      <c r="AA60" s="28" t="s">
        <v>20</v>
      </c>
      <c r="AB60" s="28" t="s">
        <v>12</v>
      </c>
      <c r="AC60" s="28">
        <v>9.6</v>
      </c>
      <c r="AD60" s="37"/>
      <c r="AG60" s="38"/>
      <c r="AL60" s="37"/>
      <c r="AO60" s="38"/>
      <c r="AP60" s="37"/>
      <c r="AS60" s="38"/>
      <c r="AW60" s="38"/>
      <c r="BA60" s="39"/>
    </row>
    <row r="61" spans="1:53" s="28" customFormat="1" x14ac:dyDescent="0.15">
      <c r="A61" s="51">
        <v>1986</v>
      </c>
      <c r="B61" s="293"/>
      <c r="C61" s="394" t="s">
        <v>750</v>
      </c>
      <c r="D61" s="394"/>
      <c r="E61" s="28">
        <v>0</v>
      </c>
      <c r="G61" s="29"/>
      <c r="H61" s="30">
        <v>12</v>
      </c>
      <c r="I61" s="30">
        <v>4</v>
      </c>
      <c r="J61" s="31">
        <v>17</v>
      </c>
      <c r="K61" s="32">
        <f t="shared" si="5"/>
        <v>0</v>
      </c>
      <c r="L61" s="32">
        <f t="shared" si="4"/>
        <v>70.588235294117652</v>
      </c>
      <c r="M61" s="32">
        <f t="shared" si="4"/>
        <v>23.52941176470588</v>
      </c>
      <c r="N61" s="33">
        <f t="shared" si="6"/>
        <v>94.117647058823536</v>
      </c>
      <c r="O61" s="34"/>
      <c r="P61" s="32">
        <v>42.2</v>
      </c>
      <c r="Q61" s="32">
        <v>9.6</v>
      </c>
      <c r="R61" s="35">
        <f t="shared" si="3"/>
        <v>51.800000000000004</v>
      </c>
      <c r="S61" s="28">
        <v>2</v>
      </c>
      <c r="T61" s="284"/>
      <c r="U61" s="293"/>
      <c r="V61" s="37" t="s">
        <v>554</v>
      </c>
      <c r="W61" s="28" t="s">
        <v>17</v>
      </c>
      <c r="X61" s="28" t="s">
        <v>18</v>
      </c>
      <c r="Y61" s="38">
        <v>42.2</v>
      </c>
      <c r="Z61" s="28" t="s">
        <v>451</v>
      </c>
      <c r="AA61" s="28" t="s">
        <v>20</v>
      </c>
      <c r="AB61" s="28" t="s">
        <v>12</v>
      </c>
      <c r="AC61" s="28">
        <v>9.6</v>
      </c>
      <c r="AD61" s="37"/>
      <c r="AG61" s="38"/>
      <c r="AL61" s="37"/>
      <c r="AO61" s="38"/>
      <c r="AP61" s="37"/>
      <c r="AS61" s="38"/>
      <c r="AW61" s="38"/>
      <c r="BA61" s="39"/>
    </row>
    <row r="62" spans="1:53" s="28" customFormat="1" x14ac:dyDescent="0.15">
      <c r="A62" s="51">
        <v>1986</v>
      </c>
      <c r="B62" s="293"/>
      <c r="C62" s="394" t="s">
        <v>750</v>
      </c>
      <c r="D62" s="394"/>
      <c r="E62" s="28">
        <v>365</v>
      </c>
      <c r="G62" s="29"/>
      <c r="H62" s="30">
        <v>12</v>
      </c>
      <c r="I62" s="30">
        <v>4</v>
      </c>
      <c r="J62" s="31">
        <v>17</v>
      </c>
      <c r="K62" s="32">
        <f t="shared" si="5"/>
        <v>0</v>
      </c>
      <c r="L62" s="32">
        <f t="shared" si="4"/>
        <v>70.588235294117652</v>
      </c>
      <c r="M62" s="32">
        <f t="shared" si="4"/>
        <v>23.52941176470588</v>
      </c>
      <c r="N62" s="33">
        <f t="shared" si="6"/>
        <v>94.117647058823536</v>
      </c>
      <c r="O62" s="34"/>
      <c r="P62" s="32">
        <v>42.2</v>
      </c>
      <c r="Q62" s="32">
        <v>9.6</v>
      </c>
      <c r="R62" s="35">
        <f t="shared" si="3"/>
        <v>51.800000000000004</v>
      </c>
      <c r="S62" s="28">
        <v>2</v>
      </c>
      <c r="T62" s="284"/>
      <c r="U62" s="293"/>
      <c r="V62" s="37" t="s">
        <v>554</v>
      </c>
      <c r="W62" s="28" t="s">
        <v>17</v>
      </c>
      <c r="X62" s="28" t="s">
        <v>18</v>
      </c>
      <c r="Y62" s="38">
        <v>42.2</v>
      </c>
      <c r="Z62" s="28" t="s">
        <v>451</v>
      </c>
      <c r="AA62" s="28" t="s">
        <v>20</v>
      </c>
      <c r="AB62" s="28" t="s">
        <v>12</v>
      </c>
      <c r="AC62" s="28">
        <v>9.6</v>
      </c>
      <c r="AD62" s="37"/>
      <c r="AG62" s="38"/>
      <c r="AL62" s="37"/>
      <c r="AO62" s="38"/>
      <c r="AP62" s="37"/>
      <c r="AS62" s="38"/>
      <c r="AW62" s="38"/>
      <c r="BA62" s="39"/>
    </row>
    <row r="63" spans="1:53" s="28" customFormat="1" x14ac:dyDescent="0.15">
      <c r="A63" s="51">
        <v>1987</v>
      </c>
      <c r="B63" s="293"/>
      <c r="C63" s="394" t="s">
        <v>750</v>
      </c>
      <c r="D63" s="394"/>
      <c r="E63" s="28">
        <v>68</v>
      </c>
      <c r="G63" s="29"/>
      <c r="H63" s="30">
        <v>12</v>
      </c>
      <c r="I63" s="30">
        <v>4</v>
      </c>
      <c r="J63" s="31">
        <v>17</v>
      </c>
      <c r="K63" s="32">
        <f t="shared" si="5"/>
        <v>0</v>
      </c>
      <c r="L63" s="32">
        <f t="shared" si="4"/>
        <v>70.588235294117652</v>
      </c>
      <c r="M63" s="32">
        <f t="shared" si="4"/>
        <v>23.52941176470588</v>
      </c>
      <c r="N63" s="33">
        <f t="shared" si="6"/>
        <v>94.117647058823536</v>
      </c>
      <c r="O63" s="34"/>
      <c r="P63" s="32">
        <v>42.2</v>
      </c>
      <c r="Q63" s="32">
        <v>9.6</v>
      </c>
      <c r="R63" s="35">
        <f t="shared" si="3"/>
        <v>51.800000000000004</v>
      </c>
      <c r="S63" s="28">
        <v>2</v>
      </c>
      <c r="T63" s="284"/>
      <c r="U63" s="293"/>
      <c r="V63" s="37" t="s">
        <v>554</v>
      </c>
      <c r="W63" s="28" t="s">
        <v>17</v>
      </c>
      <c r="X63" s="28" t="s">
        <v>18</v>
      </c>
      <c r="Y63" s="38">
        <v>42.2</v>
      </c>
      <c r="Z63" s="28" t="s">
        <v>451</v>
      </c>
      <c r="AA63" s="28" t="s">
        <v>20</v>
      </c>
      <c r="AB63" s="28" t="s">
        <v>12</v>
      </c>
      <c r="AC63" s="28">
        <v>9.6</v>
      </c>
      <c r="AD63" s="37"/>
      <c r="AG63" s="38"/>
      <c r="AL63" s="37"/>
      <c r="AO63" s="38"/>
      <c r="AP63" s="37"/>
      <c r="AS63" s="38"/>
      <c r="AW63" s="38"/>
      <c r="BA63" s="39"/>
    </row>
    <row r="64" spans="1:53" s="170" customFormat="1" x14ac:dyDescent="0.15">
      <c r="A64" s="215">
        <v>1987</v>
      </c>
      <c r="B64" s="281">
        <v>31846</v>
      </c>
      <c r="C64" s="395" t="s">
        <v>751</v>
      </c>
      <c r="D64" s="395"/>
      <c r="E64" s="170">
        <f>365-E63</f>
        <v>297</v>
      </c>
      <c r="F64" s="170">
        <v>4</v>
      </c>
      <c r="G64" s="171">
        <v>16</v>
      </c>
      <c r="H64" s="116"/>
      <c r="I64" s="116"/>
      <c r="J64" s="172">
        <v>16</v>
      </c>
      <c r="K64" s="173">
        <f t="shared" si="5"/>
        <v>100</v>
      </c>
      <c r="L64" s="173">
        <f t="shared" si="4"/>
        <v>0</v>
      </c>
      <c r="M64" s="173">
        <f t="shared" si="4"/>
        <v>0</v>
      </c>
      <c r="N64" s="174">
        <f t="shared" si="6"/>
        <v>100</v>
      </c>
      <c r="O64" s="175">
        <v>48.8</v>
      </c>
      <c r="P64" s="173"/>
      <c r="Q64" s="173"/>
      <c r="R64" s="176">
        <f t="shared" si="3"/>
        <v>48.8</v>
      </c>
      <c r="S64" s="170">
        <v>4</v>
      </c>
      <c r="T64" s="283">
        <v>31825</v>
      </c>
      <c r="U64" s="281">
        <v>31846</v>
      </c>
      <c r="V64" s="177" t="s">
        <v>553</v>
      </c>
      <c r="W64" s="170" t="s">
        <v>22</v>
      </c>
      <c r="X64" s="170" t="s">
        <v>11</v>
      </c>
      <c r="Y64" s="178">
        <v>48.8</v>
      </c>
      <c r="AD64" s="177"/>
      <c r="AG64" s="178"/>
      <c r="AL64" s="177"/>
      <c r="AO64" s="178"/>
      <c r="AP64" s="177"/>
      <c r="AS64" s="178"/>
      <c r="AW64" s="178"/>
      <c r="BA64" s="179"/>
    </row>
    <row r="65" spans="1:53" s="170" customFormat="1" x14ac:dyDescent="0.15">
      <c r="A65" s="215">
        <v>1988</v>
      </c>
      <c r="B65" s="281"/>
      <c r="C65" s="395" t="s">
        <v>751</v>
      </c>
      <c r="D65" s="395"/>
      <c r="E65" s="170">
        <v>0</v>
      </c>
      <c r="G65" s="171">
        <v>16</v>
      </c>
      <c r="H65" s="116"/>
      <c r="I65" s="116"/>
      <c r="J65" s="172">
        <v>16</v>
      </c>
      <c r="K65" s="173">
        <f t="shared" si="5"/>
        <v>100</v>
      </c>
      <c r="L65" s="173">
        <f t="shared" si="4"/>
        <v>0</v>
      </c>
      <c r="M65" s="173">
        <f t="shared" si="4"/>
        <v>0</v>
      </c>
      <c r="N65" s="174">
        <f t="shared" si="6"/>
        <v>100</v>
      </c>
      <c r="O65" s="175">
        <v>48.8</v>
      </c>
      <c r="P65" s="173"/>
      <c r="Q65" s="173"/>
      <c r="R65" s="176">
        <f t="shared" si="3"/>
        <v>48.8</v>
      </c>
      <c r="S65" s="170">
        <v>4</v>
      </c>
      <c r="T65" s="283"/>
      <c r="U65" s="281"/>
      <c r="V65" s="177" t="s">
        <v>553</v>
      </c>
      <c r="W65" s="170" t="s">
        <v>22</v>
      </c>
      <c r="X65" s="170" t="s">
        <v>11</v>
      </c>
      <c r="Y65" s="178">
        <v>48.8</v>
      </c>
      <c r="AD65" s="177"/>
      <c r="AG65" s="178"/>
      <c r="AL65" s="177"/>
      <c r="AO65" s="178"/>
      <c r="AP65" s="177"/>
      <c r="AS65" s="178"/>
      <c r="AW65" s="178"/>
      <c r="BA65" s="179"/>
    </row>
    <row r="66" spans="1:53" s="170" customFormat="1" x14ac:dyDescent="0.15">
      <c r="A66" s="215">
        <v>1988</v>
      </c>
      <c r="B66" s="281"/>
      <c r="C66" s="395" t="s">
        <v>751</v>
      </c>
      <c r="D66" s="395"/>
      <c r="E66" s="170">
        <v>366</v>
      </c>
      <c r="G66" s="171">
        <v>16</v>
      </c>
      <c r="H66" s="116"/>
      <c r="I66" s="116"/>
      <c r="J66" s="172">
        <v>16</v>
      </c>
      <c r="K66" s="173">
        <f>G66/$J66*100</f>
        <v>100</v>
      </c>
      <c r="L66" s="173">
        <f t="shared" si="4"/>
        <v>0</v>
      </c>
      <c r="M66" s="173">
        <f t="shared" si="4"/>
        <v>0</v>
      </c>
      <c r="N66" s="174">
        <f>K66+L66+M66</f>
        <v>100</v>
      </c>
      <c r="O66" s="175">
        <v>48.8</v>
      </c>
      <c r="P66" s="173"/>
      <c r="Q66" s="173"/>
      <c r="R66" s="176">
        <f t="shared" si="3"/>
        <v>48.8</v>
      </c>
      <c r="S66" s="170">
        <v>4</v>
      </c>
      <c r="T66" s="283"/>
      <c r="U66" s="281"/>
      <c r="V66" s="177" t="s">
        <v>553</v>
      </c>
      <c r="W66" s="170" t="s">
        <v>22</v>
      </c>
      <c r="X66" s="170" t="s">
        <v>11</v>
      </c>
      <c r="Y66" s="178">
        <v>48.8</v>
      </c>
      <c r="AD66" s="177"/>
      <c r="AG66" s="178"/>
      <c r="AL66" s="177"/>
      <c r="AO66" s="178"/>
      <c r="AP66" s="177"/>
      <c r="AS66" s="178"/>
      <c r="AW66" s="178"/>
      <c r="BA66" s="179"/>
    </row>
    <row r="67" spans="1:53" s="170" customFormat="1" x14ac:dyDescent="0.15">
      <c r="A67" s="215">
        <v>1989</v>
      </c>
      <c r="B67" s="281"/>
      <c r="C67" s="395" t="s">
        <v>751</v>
      </c>
      <c r="D67" s="395"/>
      <c r="E67" s="170">
        <v>192</v>
      </c>
      <c r="G67" s="171">
        <v>16</v>
      </c>
      <c r="H67" s="116"/>
      <c r="I67" s="116"/>
      <c r="J67" s="172">
        <v>16</v>
      </c>
      <c r="K67" s="173">
        <f t="shared" ref="K67:K92" si="7">G67/$J67*100</f>
        <v>100</v>
      </c>
      <c r="L67" s="173">
        <f t="shared" si="4"/>
        <v>0</v>
      </c>
      <c r="M67" s="173">
        <f t="shared" si="4"/>
        <v>0</v>
      </c>
      <c r="N67" s="174">
        <f t="shared" ref="N67:N92" si="8">K67+L67+M67</f>
        <v>100</v>
      </c>
      <c r="O67" s="175">
        <v>48.8</v>
      </c>
      <c r="P67" s="173"/>
      <c r="Q67" s="173"/>
      <c r="R67" s="176">
        <f t="shared" si="3"/>
        <v>48.8</v>
      </c>
      <c r="S67" s="170">
        <v>4</v>
      </c>
      <c r="T67" s="283"/>
      <c r="U67" s="281"/>
      <c r="V67" s="177" t="s">
        <v>553</v>
      </c>
      <c r="W67" s="170" t="s">
        <v>22</v>
      </c>
      <c r="X67" s="170" t="s">
        <v>11</v>
      </c>
      <c r="Y67" s="178">
        <v>48.8</v>
      </c>
      <c r="AD67" s="177"/>
      <c r="AG67" s="178"/>
      <c r="AL67" s="177"/>
      <c r="AO67" s="178"/>
      <c r="AP67" s="177"/>
      <c r="AS67" s="178"/>
      <c r="AW67" s="178"/>
      <c r="BA67" s="179"/>
    </row>
    <row r="68" spans="1:53" s="28" customFormat="1" x14ac:dyDescent="0.15">
      <c r="A68" s="51">
        <v>1989</v>
      </c>
      <c r="B68" s="293">
        <v>32701</v>
      </c>
      <c r="C68" s="394" t="s">
        <v>752</v>
      </c>
      <c r="D68" s="394"/>
      <c r="E68" s="28">
        <f>365-E67</f>
        <v>173</v>
      </c>
      <c r="F68" s="28">
        <v>1</v>
      </c>
      <c r="G68" s="29">
        <v>16</v>
      </c>
      <c r="H68" s="30"/>
      <c r="I68" s="30"/>
      <c r="J68" s="31">
        <v>16</v>
      </c>
      <c r="K68" s="32">
        <f t="shared" si="7"/>
        <v>100</v>
      </c>
      <c r="L68" s="32">
        <f t="shared" si="4"/>
        <v>0</v>
      </c>
      <c r="M68" s="32">
        <f t="shared" si="4"/>
        <v>0</v>
      </c>
      <c r="N68" s="33">
        <f t="shared" si="8"/>
        <v>100</v>
      </c>
      <c r="O68" s="34">
        <v>50</v>
      </c>
      <c r="P68" s="32"/>
      <c r="Q68" s="32"/>
      <c r="R68" s="35">
        <f t="shared" si="3"/>
        <v>50</v>
      </c>
      <c r="S68" s="28">
        <v>5</v>
      </c>
      <c r="T68" s="284">
        <v>32674</v>
      </c>
      <c r="U68" s="293">
        <v>32701</v>
      </c>
      <c r="V68" s="37" t="s">
        <v>553</v>
      </c>
      <c r="W68" s="28" t="s">
        <v>22</v>
      </c>
      <c r="X68" s="28" t="s">
        <v>11</v>
      </c>
      <c r="Y68" s="38">
        <v>46.4</v>
      </c>
      <c r="Z68" s="28" t="s">
        <v>555</v>
      </c>
      <c r="AA68" s="28" t="s">
        <v>93</v>
      </c>
      <c r="AB68" s="28" t="s">
        <v>11</v>
      </c>
      <c r="AC68" s="28">
        <v>3.6</v>
      </c>
      <c r="AD68" s="37"/>
      <c r="AG68" s="38"/>
      <c r="AL68" s="37"/>
      <c r="AO68" s="38"/>
      <c r="AP68" s="37"/>
      <c r="AS68" s="38"/>
      <c r="AW68" s="38"/>
      <c r="BA68" s="39"/>
    </row>
    <row r="69" spans="1:53" s="84" customFormat="1" x14ac:dyDescent="0.15">
      <c r="A69" s="84">
        <v>1990</v>
      </c>
      <c r="B69" s="310"/>
      <c r="C69" s="427" t="s">
        <v>752</v>
      </c>
      <c r="D69" s="427"/>
      <c r="E69" s="84">
        <v>0</v>
      </c>
      <c r="G69" s="104">
        <v>16</v>
      </c>
      <c r="H69" s="105"/>
      <c r="I69" s="105"/>
      <c r="J69" s="106">
        <v>16</v>
      </c>
      <c r="K69" s="107">
        <f t="shared" si="7"/>
        <v>100</v>
      </c>
      <c r="L69" s="107">
        <f t="shared" si="4"/>
        <v>0</v>
      </c>
      <c r="M69" s="107">
        <f t="shared" si="4"/>
        <v>0</v>
      </c>
      <c r="N69" s="108">
        <f t="shared" si="8"/>
        <v>100</v>
      </c>
      <c r="O69" s="109">
        <v>50</v>
      </c>
      <c r="P69" s="107"/>
      <c r="Q69" s="107"/>
      <c r="R69" s="110">
        <f t="shared" si="3"/>
        <v>50</v>
      </c>
      <c r="S69" s="84">
        <v>5</v>
      </c>
      <c r="T69" s="311"/>
      <c r="U69" s="310"/>
      <c r="V69" s="100" t="s">
        <v>553</v>
      </c>
      <c r="W69" s="84" t="s">
        <v>22</v>
      </c>
      <c r="X69" s="84" t="s">
        <v>11</v>
      </c>
      <c r="Y69" s="101">
        <v>46.4</v>
      </c>
      <c r="Z69" s="84" t="s">
        <v>555</v>
      </c>
      <c r="AA69" s="84" t="s">
        <v>93</v>
      </c>
      <c r="AB69" s="84" t="s">
        <v>11</v>
      </c>
      <c r="AC69" s="84">
        <v>3.6</v>
      </c>
      <c r="AD69" s="100"/>
      <c r="AG69" s="101"/>
      <c r="AL69" s="100"/>
      <c r="AO69" s="101"/>
      <c r="AP69" s="100"/>
      <c r="AS69" s="101"/>
      <c r="AW69" s="101"/>
      <c r="BA69" s="102"/>
    </row>
    <row r="70" spans="1:53" s="28" customFormat="1" x14ac:dyDescent="0.15">
      <c r="A70" s="28">
        <v>1990</v>
      </c>
      <c r="B70" s="293"/>
      <c r="C70" s="394" t="s">
        <v>752</v>
      </c>
      <c r="D70" s="394"/>
      <c r="E70" s="28">
        <f>365-E69</f>
        <v>365</v>
      </c>
      <c r="G70" s="29">
        <v>16</v>
      </c>
      <c r="H70" s="30"/>
      <c r="I70" s="30"/>
      <c r="J70" s="31">
        <v>16</v>
      </c>
      <c r="K70" s="32">
        <f t="shared" si="7"/>
        <v>100</v>
      </c>
      <c r="L70" s="32">
        <f t="shared" si="4"/>
        <v>0</v>
      </c>
      <c r="M70" s="32">
        <f t="shared" si="4"/>
        <v>0</v>
      </c>
      <c r="N70" s="33">
        <f t="shared" si="8"/>
        <v>100</v>
      </c>
      <c r="O70" s="34">
        <v>50</v>
      </c>
      <c r="P70" s="32"/>
      <c r="Q70" s="32"/>
      <c r="R70" s="35">
        <f t="shared" si="3"/>
        <v>50</v>
      </c>
      <c r="S70" s="28">
        <v>5</v>
      </c>
      <c r="T70" s="284"/>
      <c r="U70" s="293"/>
      <c r="V70" s="37" t="s">
        <v>553</v>
      </c>
      <c r="W70" s="28" t="s">
        <v>22</v>
      </c>
      <c r="X70" s="28" t="s">
        <v>11</v>
      </c>
      <c r="Y70" s="38">
        <v>46.4</v>
      </c>
      <c r="Z70" s="28" t="s">
        <v>555</v>
      </c>
      <c r="AA70" s="28" t="s">
        <v>93</v>
      </c>
      <c r="AB70" s="28" t="s">
        <v>11</v>
      </c>
      <c r="AC70" s="28">
        <v>3.6</v>
      </c>
      <c r="AD70" s="37"/>
      <c r="AG70" s="38"/>
      <c r="AL70" s="37"/>
      <c r="AO70" s="38"/>
      <c r="AP70" s="37"/>
      <c r="AS70" s="38"/>
      <c r="AW70" s="38"/>
      <c r="BA70" s="39"/>
    </row>
    <row r="71" spans="1:53" s="28" customFormat="1" x14ac:dyDescent="0.15">
      <c r="A71" s="28">
        <v>1991</v>
      </c>
      <c r="B71" s="293"/>
      <c r="C71" s="394" t="s">
        <v>752</v>
      </c>
      <c r="D71" s="394"/>
      <c r="E71" s="28">
        <v>0</v>
      </c>
      <c r="G71" s="29">
        <v>16</v>
      </c>
      <c r="H71" s="30"/>
      <c r="I71" s="30"/>
      <c r="J71" s="31">
        <v>16</v>
      </c>
      <c r="K71" s="32">
        <f t="shared" si="7"/>
        <v>100</v>
      </c>
      <c r="L71" s="32">
        <f t="shared" si="4"/>
        <v>0</v>
      </c>
      <c r="M71" s="32">
        <f t="shared" si="4"/>
        <v>0</v>
      </c>
      <c r="N71" s="33">
        <f t="shared" si="8"/>
        <v>100</v>
      </c>
      <c r="O71" s="34">
        <v>50</v>
      </c>
      <c r="P71" s="32"/>
      <c r="Q71" s="32"/>
      <c r="R71" s="35">
        <f t="shared" si="3"/>
        <v>50</v>
      </c>
      <c r="S71" s="28">
        <v>5</v>
      </c>
      <c r="T71" s="284"/>
      <c r="U71" s="293"/>
      <c r="V71" s="37" t="s">
        <v>553</v>
      </c>
      <c r="W71" s="28" t="s">
        <v>22</v>
      </c>
      <c r="X71" s="28" t="s">
        <v>11</v>
      </c>
      <c r="Y71" s="38">
        <v>46.4</v>
      </c>
      <c r="Z71" s="28" t="s">
        <v>555</v>
      </c>
      <c r="AA71" s="28" t="s">
        <v>93</v>
      </c>
      <c r="AB71" s="28" t="s">
        <v>11</v>
      </c>
      <c r="AC71" s="28">
        <v>3.6</v>
      </c>
      <c r="AD71" s="37"/>
      <c r="AG71" s="38"/>
      <c r="AL71" s="37"/>
      <c r="AO71" s="38"/>
      <c r="AP71" s="37"/>
      <c r="AS71" s="38"/>
      <c r="AW71" s="38"/>
      <c r="BA71" s="39"/>
    </row>
    <row r="72" spans="1:53" s="28" customFormat="1" x14ac:dyDescent="0.15">
      <c r="A72" s="28">
        <v>1991</v>
      </c>
      <c r="B72" s="293"/>
      <c r="C72" s="394" t="s">
        <v>752</v>
      </c>
      <c r="D72" s="394"/>
      <c r="E72" s="28">
        <f>365-E71</f>
        <v>365</v>
      </c>
      <c r="G72" s="29">
        <v>16</v>
      </c>
      <c r="H72" s="30"/>
      <c r="I72" s="30"/>
      <c r="J72" s="31">
        <v>16</v>
      </c>
      <c r="K72" s="32">
        <f t="shared" si="7"/>
        <v>100</v>
      </c>
      <c r="L72" s="32">
        <f t="shared" si="4"/>
        <v>0</v>
      </c>
      <c r="M72" s="32">
        <f t="shared" si="4"/>
        <v>0</v>
      </c>
      <c r="N72" s="33">
        <f t="shared" si="8"/>
        <v>100</v>
      </c>
      <c r="O72" s="34">
        <v>50</v>
      </c>
      <c r="P72" s="32"/>
      <c r="Q72" s="32"/>
      <c r="R72" s="35">
        <f t="shared" si="3"/>
        <v>50</v>
      </c>
      <c r="S72" s="28">
        <v>5</v>
      </c>
      <c r="T72" s="284"/>
      <c r="U72" s="293"/>
      <c r="V72" s="37" t="s">
        <v>553</v>
      </c>
      <c r="W72" s="28" t="s">
        <v>22</v>
      </c>
      <c r="X72" s="28" t="s">
        <v>11</v>
      </c>
      <c r="Y72" s="38">
        <v>46.4</v>
      </c>
      <c r="Z72" s="28" t="s">
        <v>555</v>
      </c>
      <c r="AA72" s="28" t="s">
        <v>93</v>
      </c>
      <c r="AB72" s="28" t="s">
        <v>11</v>
      </c>
      <c r="AC72" s="28">
        <v>3.6</v>
      </c>
      <c r="AD72" s="37"/>
      <c r="AG72" s="38"/>
      <c r="AL72" s="37"/>
      <c r="AO72" s="38"/>
      <c r="AP72" s="37"/>
      <c r="AS72" s="38"/>
      <c r="AW72" s="38"/>
      <c r="BA72" s="39"/>
    </row>
    <row r="73" spans="1:53" s="28" customFormat="1" x14ac:dyDescent="0.15">
      <c r="A73" s="28">
        <v>1992</v>
      </c>
      <c r="B73" s="293"/>
      <c r="C73" s="394" t="s">
        <v>752</v>
      </c>
      <c r="D73" s="394"/>
      <c r="E73" s="28">
        <v>41</v>
      </c>
      <c r="G73" s="29">
        <v>16</v>
      </c>
      <c r="H73" s="30"/>
      <c r="I73" s="30"/>
      <c r="J73" s="31">
        <v>16</v>
      </c>
      <c r="K73" s="32">
        <f t="shared" si="7"/>
        <v>100</v>
      </c>
      <c r="L73" s="32">
        <f t="shared" si="4"/>
        <v>0</v>
      </c>
      <c r="M73" s="32">
        <f t="shared" si="4"/>
        <v>0</v>
      </c>
      <c r="N73" s="33">
        <f t="shared" si="8"/>
        <v>100</v>
      </c>
      <c r="O73" s="34">
        <v>50</v>
      </c>
      <c r="P73" s="32"/>
      <c r="Q73" s="32"/>
      <c r="R73" s="35">
        <f t="shared" ref="R73:R117" si="9">O73+P73+Q73</f>
        <v>50</v>
      </c>
      <c r="S73" s="28">
        <v>5</v>
      </c>
      <c r="T73" s="284"/>
      <c r="U73" s="293"/>
      <c r="V73" s="37" t="s">
        <v>553</v>
      </c>
      <c r="W73" s="28" t="s">
        <v>22</v>
      </c>
      <c r="X73" s="28" t="s">
        <v>11</v>
      </c>
      <c r="Y73" s="38">
        <v>46.4</v>
      </c>
      <c r="Z73" s="28" t="s">
        <v>555</v>
      </c>
      <c r="AA73" s="28" t="s">
        <v>93</v>
      </c>
      <c r="AB73" s="28" t="s">
        <v>11</v>
      </c>
      <c r="AC73" s="28">
        <v>3.6</v>
      </c>
      <c r="AD73" s="37"/>
      <c r="AG73" s="38"/>
      <c r="AL73" s="37"/>
      <c r="AO73" s="38"/>
      <c r="AP73" s="37"/>
      <c r="AS73" s="38"/>
      <c r="AW73" s="38"/>
      <c r="BA73" s="39"/>
    </row>
    <row r="74" spans="1:53" s="170" customFormat="1" x14ac:dyDescent="0.15">
      <c r="A74" s="170">
        <v>1992</v>
      </c>
      <c r="B74" s="281">
        <v>33933</v>
      </c>
      <c r="C74" s="395" t="s">
        <v>753</v>
      </c>
      <c r="D74" s="395"/>
      <c r="E74" s="170">
        <f>366-E73</f>
        <v>325</v>
      </c>
      <c r="F74" s="170">
        <v>2</v>
      </c>
      <c r="G74" s="171">
        <v>15</v>
      </c>
      <c r="H74" s="116"/>
      <c r="I74" s="116"/>
      <c r="J74" s="172">
        <v>15</v>
      </c>
      <c r="K74" s="173">
        <f t="shared" si="7"/>
        <v>100</v>
      </c>
      <c r="L74" s="173">
        <f t="shared" si="4"/>
        <v>0</v>
      </c>
      <c r="M74" s="173">
        <f t="shared" si="4"/>
        <v>0</v>
      </c>
      <c r="N74" s="174">
        <f t="shared" si="8"/>
        <v>100</v>
      </c>
      <c r="O74" s="175">
        <v>50</v>
      </c>
      <c r="P74" s="173"/>
      <c r="Q74" s="173"/>
      <c r="R74" s="176">
        <f t="shared" si="9"/>
        <v>50</v>
      </c>
      <c r="S74" s="170">
        <v>5</v>
      </c>
      <c r="T74" s="283">
        <v>33645</v>
      </c>
      <c r="U74" s="296">
        <v>33933</v>
      </c>
      <c r="V74" s="177" t="s">
        <v>553</v>
      </c>
      <c r="W74" s="170" t="s">
        <v>22</v>
      </c>
      <c r="X74" s="170" t="s">
        <v>11</v>
      </c>
      <c r="Y74" s="178">
        <v>46.4</v>
      </c>
      <c r="Z74" s="170" t="s">
        <v>555</v>
      </c>
      <c r="AA74" s="170" t="s">
        <v>93</v>
      </c>
      <c r="AB74" s="170" t="s">
        <v>11</v>
      </c>
      <c r="AC74" s="170">
        <v>3.6</v>
      </c>
      <c r="AD74" s="177"/>
      <c r="AG74" s="178"/>
      <c r="AL74" s="177"/>
      <c r="AO74" s="178"/>
      <c r="AP74" s="177"/>
      <c r="AS74" s="178"/>
      <c r="AW74" s="178"/>
      <c r="BA74" s="179"/>
    </row>
    <row r="75" spans="1:53" s="170" customFormat="1" x14ac:dyDescent="0.15">
      <c r="A75" s="170">
        <v>1993</v>
      </c>
      <c r="B75" s="281"/>
      <c r="C75" s="395" t="s">
        <v>753</v>
      </c>
      <c r="D75" s="395"/>
      <c r="E75" s="170">
        <v>11</v>
      </c>
      <c r="G75" s="171">
        <v>15</v>
      </c>
      <c r="H75" s="116"/>
      <c r="I75" s="116"/>
      <c r="J75" s="172">
        <v>15</v>
      </c>
      <c r="K75" s="173">
        <f t="shared" si="7"/>
        <v>100</v>
      </c>
      <c r="L75" s="173">
        <f t="shared" si="4"/>
        <v>0</v>
      </c>
      <c r="M75" s="173">
        <f t="shared" si="4"/>
        <v>0</v>
      </c>
      <c r="N75" s="174">
        <f t="shared" si="8"/>
        <v>100</v>
      </c>
      <c r="O75" s="175">
        <v>50</v>
      </c>
      <c r="P75" s="173"/>
      <c r="Q75" s="173"/>
      <c r="R75" s="176">
        <f t="shared" si="9"/>
        <v>50</v>
      </c>
      <c r="S75" s="170">
        <v>5</v>
      </c>
      <c r="T75" s="283"/>
      <c r="U75" s="281"/>
      <c r="V75" s="177" t="s">
        <v>553</v>
      </c>
      <c r="W75" s="170" t="s">
        <v>22</v>
      </c>
      <c r="X75" s="170" t="s">
        <v>11</v>
      </c>
      <c r="Y75" s="178">
        <v>46.4</v>
      </c>
      <c r="Z75" s="170" t="s">
        <v>555</v>
      </c>
      <c r="AA75" s="170" t="s">
        <v>93</v>
      </c>
      <c r="AB75" s="170" t="s">
        <v>11</v>
      </c>
      <c r="AC75" s="170">
        <v>3.6</v>
      </c>
      <c r="AD75" s="177"/>
      <c r="AG75" s="178"/>
      <c r="AL75" s="177"/>
      <c r="AO75" s="178"/>
      <c r="AP75" s="177"/>
      <c r="AS75" s="178"/>
      <c r="AW75" s="178"/>
      <c r="BA75" s="179"/>
    </row>
    <row r="76" spans="1:53" s="28" customFormat="1" x14ac:dyDescent="0.15">
      <c r="A76" s="28">
        <v>1993</v>
      </c>
      <c r="B76" s="293">
        <v>33981</v>
      </c>
      <c r="C76" s="394" t="s">
        <v>754</v>
      </c>
      <c r="D76" s="394"/>
      <c r="E76" s="28">
        <f>365-E75</f>
        <v>354</v>
      </c>
      <c r="F76" s="28">
        <v>4</v>
      </c>
      <c r="G76" s="29">
        <v>9</v>
      </c>
      <c r="H76" s="30"/>
      <c r="I76" s="30">
        <v>6</v>
      </c>
      <c r="J76" s="31">
        <v>15</v>
      </c>
      <c r="K76" s="32">
        <f t="shared" si="7"/>
        <v>60</v>
      </c>
      <c r="L76" s="32">
        <f t="shared" si="4"/>
        <v>0</v>
      </c>
      <c r="M76" s="32">
        <f t="shared" si="4"/>
        <v>40</v>
      </c>
      <c r="N76" s="33">
        <f t="shared" si="8"/>
        <v>100</v>
      </c>
      <c r="O76" s="34">
        <v>41</v>
      </c>
      <c r="P76" s="32"/>
      <c r="Q76" s="32">
        <v>19.899999999999999</v>
      </c>
      <c r="R76" s="35">
        <f t="shared" si="9"/>
        <v>60.9</v>
      </c>
      <c r="S76" s="28">
        <v>2</v>
      </c>
      <c r="T76" s="284"/>
      <c r="U76" s="293">
        <v>33981</v>
      </c>
      <c r="V76" s="37" t="s">
        <v>553</v>
      </c>
      <c r="W76" s="28" t="s">
        <v>22</v>
      </c>
      <c r="X76" s="28" t="s">
        <v>11</v>
      </c>
      <c r="Y76" s="38">
        <v>41</v>
      </c>
      <c r="Z76" s="28" t="s">
        <v>451</v>
      </c>
      <c r="AA76" s="28" t="s">
        <v>20</v>
      </c>
      <c r="AB76" s="28" t="s">
        <v>12</v>
      </c>
      <c r="AC76" s="28">
        <v>19.899999999999999</v>
      </c>
      <c r="AD76" s="37"/>
      <c r="AG76" s="38"/>
      <c r="AL76" s="37"/>
      <c r="AO76" s="38"/>
      <c r="AP76" s="37"/>
      <c r="AS76" s="38"/>
      <c r="AW76" s="38"/>
      <c r="BA76" s="39"/>
    </row>
    <row r="77" spans="1:53" s="28" customFormat="1" x14ac:dyDescent="0.15">
      <c r="A77" s="28">
        <v>1994</v>
      </c>
      <c r="B77" s="293"/>
      <c r="C77" s="394" t="s">
        <v>754</v>
      </c>
      <c r="D77" s="394"/>
      <c r="E77" s="28">
        <v>348</v>
      </c>
      <c r="G77" s="29">
        <v>9</v>
      </c>
      <c r="H77" s="30"/>
      <c r="I77" s="30">
        <v>6</v>
      </c>
      <c r="J77" s="31">
        <v>15</v>
      </c>
      <c r="K77" s="32">
        <f t="shared" si="7"/>
        <v>60</v>
      </c>
      <c r="L77" s="32">
        <f t="shared" si="4"/>
        <v>0</v>
      </c>
      <c r="M77" s="32">
        <f t="shared" si="4"/>
        <v>40</v>
      </c>
      <c r="N77" s="33">
        <f t="shared" si="8"/>
        <v>100</v>
      </c>
      <c r="O77" s="34">
        <v>41</v>
      </c>
      <c r="P77" s="32"/>
      <c r="Q77" s="32">
        <v>19.899999999999999</v>
      </c>
      <c r="R77" s="35">
        <f t="shared" si="9"/>
        <v>60.9</v>
      </c>
      <c r="S77" s="28">
        <v>2</v>
      </c>
      <c r="T77" s="284"/>
      <c r="U77" s="293"/>
      <c r="V77" s="37" t="s">
        <v>553</v>
      </c>
      <c r="W77" s="28" t="s">
        <v>22</v>
      </c>
      <c r="X77" s="28" t="s">
        <v>11</v>
      </c>
      <c r="Y77" s="38">
        <v>41</v>
      </c>
      <c r="Z77" s="28" t="s">
        <v>451</v>
      </c>
      <c r="AA77" s="28" t="s">
        <v>20</v>
      </c>
      <c r="AB77" s="28" t="s">
        <v>12</v>
      </c>
      <c r="AC77" s="28">
        <v>19.899999999999999</v>
      </c>
      <c r="AD77" s="37"/>
      <c r="AG77" s="38"/>
      <c r="AL77" s="37"/>
      <c r="AO77" s="38"/>
      <c r="AP77" s="37"/>
      <c r="AS77" s="38"/>
      <c r="AW77" s="38"/>
      <c r="BA77" s="39"/>
    </row>
    <row r="78" spans="1:53" s="170" customFormat="1" x14ac:dyDescent="0.15">
      <c r="A78" s="170">
        <v>1994</v>
      </c>
      <c r="B78" s="281">
        <v>34683</v>
      </c>
      <c r="C78" s="395" t="s">
        <v>755</v>
      </c>
      <c r="D78" s="395"/>
      <c r="E78" s="170">
        <f>365-E77</f>
        <v>17</v>
      </c>
      <c r="F78" s="170">
        <v>4</v>
      </c>
      <c r="G78" s="171"/>
      <c r="H78" s="116">
        <v>8</v>
      </c>
      <c r="I78" s="116">
        <v>7</v>
      </c>
      <c r="J78" s="172">
        <v>15</v>
      </c>
      <c r="K78" s="173">
        <f t="shared" si="7"/>
        <v>0</v>
      </c>
      <c r="L78" s="173">
        <f t="shared" si="4"/>
        <v>53.333333333333336</v>
      </c>
      <c r="M78" s="173">
        <f t="shared" si="4"/>
        <v>46.666666666666664</v>
      </c>
      <c r="N78" s="174">
        <f t="shared" si="8"/>
        <v>100</v>
      </c>
      <c r="O78" s="175"/>
      <c r="P78" s="173">
        <v>27.1</v>
      </c>
      <c r="Q78" s="173">
        <v>22.3</v>
      </c>
      <c r="R78" s="176">
        <f t="shared" si="9"/>
        <v>49.400000000000006</v>
      </c>
      <c r="S78" s="170">
        <v>5</v>
      </c>
      <c r="T78" s="283"/>
      <c r="U78" s="281">
        <v>34683</v>
      </c>
      <c r="V78" s="177" t="s">
        <v>554</v>
      </c>
      <c r="W78" s="170" t="s">
        <v>17</v>
      </c>
      <c r="X78" s="170" t="s">
        <v>18</v>
      </c>
      <c r="Y78" s="178">
        <v>27.1</v>
      </c>
      <c r="Z78" s="170" t="s">
        <v>451</v>
      </c>
      <c r="AA78" s="170" t="s">
        <v>20</v>
      </c>
      <c r="AB78" s="170" t="s">
        <v>12</v>
      </c>
      <c r="AC78" s="170">
        <v>19.899999999999999</v>
      </c>
      <c r="AD78" s="177" t="s">
        <v>556</v>
      </c>
      <c r="AE78" s="170" t="s">
        <v>297</v>
      </c>
      <c r="AF78" s="170" t="s">
        <v>12</v>
      </c>
      <c r="AG78" s="178">
        <v>2.4</v>
      </c>
      <c r="AL78" s="177"/>
      <c r="AO78" s="178"/>
      <c r="AP78" s="177"/>
      <c r="AS78" s="178"/>
      <c r="AW78" s="178"/>
      <c r="BA78" s="179"/>
    </row>
    <row r="79" spans="1:53" s="170" customFormat="1" x14ac:dyDescent="0.15">
      <c r="A79" s="170">
        <v>1995</v>
      </c>
      <c r="B79" s="281"/>
      <c r="C79" s="395" t="s">
        <v>755</v>
      </c>
      <c r="D79" s="395"/>
      <c r="E79" s="170">
        <v>0</v>
      </c>
      <c r="G79" s="171"/>
      <c r="H79" s="116">
        <v>8</v>
      </c>
      <c r="I79" s="116">
        <v>7</v>
      </c>
      <c r="J79" s="172">
        <v>15</v>
      </c>
      <c r="K79" s="173">
        <f t="shared" si="7"/>
        <v>0</v>
      </c>
      <c r="L79" s="173">
        <f t="shared" si="4"/>
        <v>53.333333333333336</v>
      </c>
      <c r="M79" s="173">
        <f t="shared" si="4"/>
        <v>46.666666666666664</v>
      </c>
      <c r="N79" s="174">
        <f t="shared" si="8"/>
        <v>100</v>
      </c>
      <c r="O79" s="175"/>
      <c r="P79" s="173">
        <v>27.1</v>
      </c>
      <c r="Q79" s="173">
        <v>22.3</v>
      </c>
      <c r="R79" s="176">
        <f t="shared" si="9"/>
        <v>49.400000000000006</v>
      </c>
      <c r="S79" s="170">
        <v>5</v>
      </c>
      <c r="T79" s="283"/>
      <c r="U79" s="281"/>
      <c r="V79" s="177" t="s">
        <v>554</v>
      </c>
      <c r="W79" s="170" t="s">
        <v>17</v>
      </c>
      <c r="X79" s="170" t="s">
        <v>18</v>
      </c>
      <c r="Y79" s="178">
        <v>27.1</v>
      </c>
      <c r="Z79" s="170" t="s">
        <v>451</v>
      </c>
      <c r="AA79" s="170" t="s">
        <v>20</v>
      </c>
      <c r="AB79" s="170" t="s">
        <v>12</v>
      </c>
      <c r="AC79" s="170">
        <v>19.899999999999999</v>
      </c>
      <c r="AD79" s="177" t="s">
        <v>556</v>
      </c>
      <c r="AE79" s="170" t="s">
        <v>297</v>
      </c>
      <c r="AF79" s="170" t="s">
        <v>12</v>
      </c>
      <c r="AG79" s="178">
        <v>2.4</v>
      </c>
      <c r="AL79" s="177"/>
      <c r="AO79" s="178"/>
      <c r="AP79" s="177"/>
      <c r="AS79" s="178"/>
      <c r="AW79" s="178"/>
      <c r="BA79" s="179"/>
    </row>
    <row r="80" spans="1:53" s="170" customFormat="1" x14ac:dyDescent="0.15">
      <c r="A80" s="170">
        <v>1995</v>
      </c>
      <c r="B80" s="281"/>
      <c r="C80" s="395" t="s">
        <v>755</v>
      </c>
      <c r="D80" s="395"/>
      <c r="E80" s="170">
        <f>365-E79</f>
        <v>365</v>
      </c>
      <c r="G80" s="171"/>
      <c r="H80" s="116">
        <v>8</v>
      </c>
      <c r="I80" s="116">
        <v>7</v>
      </c>
      <c r="J80" s="172">
        <v>15</v>
      </c>
      <c r="K80" s="173">
        <f t="shared" si="7"/>
        <v>0</v>
      </c>
      <c r="L80" s="173">
        <f t="shared" si="4"/>
        <v>53.333333333333336</v>
      </c>
      <c r="M80" s="173">
        <f t="shared" si="4"/>
        <v>46.666666666666664</v>
      </c>
      <c r="N80" s="174">
        <f t="shared" si="8"/>
        <v>100</v>
      </c>
      <c r="O80" s="175"/>
      <c r="P80" s="173">
        <v>27.1</v>
      </c>
      <c r="Q80" s="173">
        <v>22.3</v>
      </c>
      <c r="R80" s="176">
        <f t="shared" si="9"/>
        <v>49.400000000000006</v>
      </c>
      <c r="S80" s="170">
        <v>5</v>
      </c>
      <c r="T80" s="283"/>
      <c r="U80" s="281"/>
      <c r="V80" s="177" t="s">
        <v>554</v>
      </c>
      <c r="W80" s="170" t="s">
        <v>17</v>
      </c>
      <c r="X80" s="170" t="s">
        <v>18</v>
      </c>
      <c r="Y80" s="178">
        <v>27.1</v>
      </c>
      <c r="Z80" s="170" t="s">
        <v>451</v>
      </c>
      <c r="AA80" s="170" t="s">
        <v>20</v>
      </c>
      <c r="AB80" s="170" t="s">
        <v>12</v>
      </c>
      <c r="AC80" s="170">
        <v>19.899999999999999</v>
      </c>
      <c r="AD80" s="177" t="s">
        <v>556</v>
      </c>
      <c r="AE80" s="170" t="s">
        <v>297</v>
      </c>
      <c r="AF80" s="170" t="s">
        <v>12</v>
      </c>
      <c r="AG80" s="178">
        <v>2.4</v>
      </c>
      <c r="AL80" s="177"/>
      <c r="AO80" s="178"/>
      <c r="AP80" s="177"/>
      <c r="AS80" s="178"/>
      <c r="AW80" s="178"/>
      <c r="BA80" s="179"/>
    </row>
    <row r="81" spans="1:53" s="170" customFormat="1" x14ac:dyDescent="0.15">
      <c r="A81" s="170">
        <v>1996</v>
      </c>
      <c r="B81" s="281"/>
      <c r="C81" s="395" t="s">
        <v>755</v>
      </c>
      <c r="D81" s="395"/>
      <c r="E81" s="170">
        <v>0</v>
      </c>
      <c r="G81" s="171"/>
      <c r="H81" s="116">
        <v>8</v>
      </c>
      <c r="I81" s="116">
        <v>7</v>
      </c>
      <c r="J81" s="172">
        <v>15</v>
      </c>
      <c r="K81" s="173">
        <f t="shared" si="7"/>
        <v>0</v>
      </c>
      <c r="L81" s="173">
        <f t="shared" si="4"/>
        <v>53.333333333333336</v>
      </c>
      <c r="M81" s="173">
        <f t="shared" si="4"/>
        <v>46.666666666666664</v>
      </c>
      <c r="N81" s="174">
        <f t="shared" si="8"/>
        <v>100</v>
      </c>
      <c r="O81" s="175"/>
      <c r="P81" s="173">
        <v>27.1</v>
      </c>
      <c r="Q81" s="173">
        <v>22.3</v>
      </c>
      <c r="R81" s="176">
        <f t="shared" si="9"/>
        <v>49.400000000000006</v>
      </c>
      <c r="S81" s="170">
        <v>5</v>
      </c>
      <c r="T81" s="283"/>
      <c r="U81" s="281"/>
      <c r="V81" s="177" t="s">
        <v>554</v>
      </c>
      <c r="W81" s="170" t="s">
        <v>17</v>
      </c>
      <c r="X81" s="170" t="s">
        <v>18</v>
      </c>
      <c r="Y81" s="178">
        <v>27.1</v>
      </c>
      <c r="Z81" s="170" t="s">
        <v>451</v>
      </c>
      <c r="AA81" s="170" t="s">
        <v>20</v>
      </c>
      <c r="AB81" s="170" t="s">
        <v>12</v>
      </c>
      <c r="AC81" s="170">
        <v>19.899999999999999</v>
      </c>
      <c r="AD81" s="177" t="s">
        <v>556</v>
      </c>
      <c r="AE81" s="170" t="s">
        <v>297</v>
      </c>
      <c r="AF81" s="170" t="s">
        <v>12</v>
      </c>
      <c r="AG81" s="178">
        <v>2.4</v>
      </c>
      <c r="AL81" s="177"/>
      <c r="AO81" s="178"/>
      <c r="AP81" s="177"/>
      <c r="AS81" s="178"/>
      <c r="AW81" s="178"/>
      <c r="BA81" s="179"/>
    </row>
    <row r="82" spans="1:53" s="170" customFormat="1" x14ac:dyDescent="0.15">
      <c r="A82" s="170">
        <v>1996</v>
      </c>
      <c r="B82" s="281"/>
      <c r="C82" s="395" t="s">
        <v>755</v>
      </c>
      <c r="D82" s="395"/>
      <c r="E82" s="170">
        <v>366</v>
      </c>
      <c r="G82" s="171"/>
      <c r="H82" s="116">
        <v>8</v>
      </c>
      <c r="I82" s="116">
        <v>7</v>
      </c>
      <c r="J82" s="172">
        <v>15</v>
      </c>
      <c r="K82" s="173">
        <f t="shared" si="7"/>
        <v>0</v>
      </c>
      <c r="L82" s="173">
        <f t="shared" si="4"/>
        <v>53.333333333333336</v>
      </c>
      <c r="M82" s="173">
        <f t="shared" si="4"/>
        <v>46.666666666666664</v>
      </c>
      <c r="N82" s="174">
        <f t="shared" si="8"/>
        <v>100</v>
      </c>
      <c r="O82" s="175"/>
      <c r="P82" s="173">
        <v>27.1</v>
      </c>
      <c r="Q82" s="173">
        <v>22.3</v>
      </c>
      <c r="R82" s="176">
        <f t="shared" si="9"/>
        <v>49.400000000000006</v>
      </c>
      <c r="S82" s="170">
        <v>5</v>
      </c>
      <c r="T82" s="283"/>
      <c r="U82" s="281"/>
      <c r="V82" s="177" t="s">
        <v>554</v>
      </c>
      <c r="W82" s="170" t="s">
        <v>17</v>
      </c>
      <c r="X82" s="170" t="s">
        <v>18</v>
      </c>
      <c r="Y82" s="178">
        <v>27.1</v>
      </c>
      <c r="Z82" s="170" t="s">
        <v>451</v>
      </c>
      <c r="AA82" s="170" t="s">
        <v>20</v>
      </c>
      <c r="AB82" s="170" t="s">
        <v>12</v>
      </c>
      <c r="AC82" s="170">
        <v>19.899999999999999</v>
      </c>
      <c r="AD82" s="177" t="s">
        <v>556</v>
      </c>
      <c r="AE82" s="170" t="s">
        <v>297</v>
      </c>
      <c r="AF82" s="170" t="s">
        <v>12</v>
      </c>
      <c r="AG82" s="178">
        <v>2.4</v>
      </c>
      <c r="AL82" s="177"/>
      <c r="AO82" s="178"/>
      <c r="AP82" s="177"/>
      <c r="AS82" s="178"/>
      <c r="AW82" s="178"/>
      <c r="BA82" s="179"/>
    </row>
    <row r="83" spans="1:53" s="170" customFormat="1" x14ac:dyDescent="0.15">
      <c r="A83" s="170">
        <v>1997</v>
      </c>
      <c r="B83" s="281"/>
      <c r="C83" s="395" t="s">
        <v>755</v>
      </c>
      <c r="D83" s="395"/>
      <c r="E83" s="170">
        <v>176</v>
      </c>
      <c r="G83" s="171"/>
      <c r="H83" s="116">
        <v>8</v>
      </c>
      <c r="I83" s="116">
        <v>7</v>
      </c>
      <c r="J83" s="172">
        <v>15</v>
      </c>
      <c r="K83" s="173">
        <f t="shared" si="7"/>
        <v>0</v>
      </c>
      <c r="L83" s="173">
        <f t="shared" si="4"/>
        <v>53.333333333333336</v>
      </c>
      <c r="M83" s="173">
        <f t="shared" si="4"/>
        <v>46.666666666666664</v>
      </c>
      <c r="N83" s="174">
        <f t="shared" si="8"/>
        <v>100</v>
      </c>
      <c r="O83" s="175"/>
      <c r="P83" s="173">
        <v>27.1</v>
      </c>
      <c r="Q83" s="173">
        <v>22.3</v>
      </c>
      <c r="R83" s="176">
        <f t="shared" si="9"/>
        <v>49.400000000000006</v>
      </c>
      <c r="S83" s="170">
        <v>5</v>
      </c>
      <c r="T83" s="283"/>
      <c r="U83" s="281"/>
      <c r="V83" s="177" t="s">
        <v>554</v>
      </c>
      <c r="W83" s="170" t="s">
        <v>17</v>
      </c>
      <c r="X83" s="170" t="s">
        <v>18</v>
      </c>
      <c r="Y83" s="178">
        <v>27.1</v>
      </c>
      <c r="Z83" s="170" t="s">
        <v>451</v>
      </c>
      <c r="AA83" s="170" t="s">
        <v>20</v>
      </c>
      <c r="AB83" s="170" t="s">
        <v>12</v>
      </c>
      <c r="AC83" s="170">
        <v>19.899999999999999</v>
      </c>
      <c r="AD83" s="177" t="s">
        <v>556</v>
      </c>
      <c r="AE83" s="170" t="s">
        <v>297</v>
      </c>
      <c r="AF83" s="170" t="s">
        <v>12</v>
      </c>
      <c r="AG83" s="178">
        <v>2.4</v>
      </c>
      <c r="AL83" s="177"/>
      <c r="AO83" s="178"/>
      <c r="AP83" s="177"/>
      <c r="AS83" s="178"/>
      <c r="AW83" s="178"/>
      <c r="BA83" s="179"/>
    </row>
    <row r="84" spans="1:53" s="28" customFormat="1" x14ac:dyDescent="0.15">
      <c r="A84" s="28">
        <v>1997</v>
      </c>
      <c r="B84" s="293">
        <v>35607</v>
      </c>
      <c r="C84" s="394" t="s">
        <v>756</v>
      </c>
      <c r="D84" s="394"/>
      <c r="E84" s="28">
        <f>365-E83</f>
        <v>189</v>
      </c>
      <c r="F84" s="28">
        <v>1</v>
      </c>
      <c r="G84" s="29">
        <v>15</v>
      </c>
      <c r="H84" s="30"/>
      <c r="I84" s="30"/>
      <c r="J84" s="31">
        <v>15</v>
      </c>
      <c r="K84" s="32">
        <f t="shared" si="7"/>
        <v>100</v>
      </c>
      <c r="L84" s="32">
        <f t="shared" si="4"/>
        <v>0</v>
      </c>
      <c r="M84" s="32">
        <f t="shared" si="4"/>
        <v>0</v>
      </c>
      <c r="N84" s="33">
        <f t="shared" si="8"/>
        <v>100</v>
      </c>
      <c r="O84" s="34">
        <v>48.8</v>
      </c>
      <c r="P84" s="32"/>
      <c r="Q84" s="32"/>
      <c r="R84" s="35">
        <f t="shared" si="9"/>
        <v>48.8</v>
      </c>
      <c r="S84" s="28">
        <v>5</v>
      </c>
      <c r="T84" s="284">
        <v>35587</v>
      </c>
      <c r="U84" s="293">
        <v>35607</v>
      </c>
      <c r="V84" s="37" t="s">
        <v>553</v>
      </c>
      <c r="W84" s="28" t="s">
        <v>22</v>
      </c>
      <c r="X84" s="28" t="s">
        <v>11</v>
      </c>
      <c r="Y84" s="38">
        <v>46.4</v>
      </c>
      <c r="Z84" s="28" t="s">
        <v>555</v>
      </c>
      <c r="AA84" s="28" t="s">
        <v>93</v>
      </c>
      <c r="AB84" s="28" t="s">
        <v>11</v>
      </c>
      <c r="AC84" s="28">
        <v>2.4</v>
      </c>
      <c r="AD84" s="37"/>
      <c r="AG84" s="38"/>
      <c r="AL84" s="37"/>
      <c r="AO84" s="38"/>
      <c r="AP84" s="37"/>
      <c r="AS84" s="38"/>
      <c r="AW84" s="38"/>
      <c r="BA84" s="39"/>
    </row>
    <row r="85" spans="1:53" s="28" customFormat="1" x14ac:dyDescent="0.15">
      <c r="A85" s="28">
        <v>1998</v>
      </c>
      <c r="B85" s="293"/>
      <c r="C85" s="394" t="s">
        <v>756</v>
      </c>
      <c r="D85" s="394"/>
      <c r="E85" s="28">
        <v>0</v>
      </c>
      <c r="G85" s="29">
        <v>15</v>
      </c>
      <c r="H85" s="30"/>
      <c r="I85" s="30"/>
      <c r="J85" s="31">
        <v>15</v>
      </c>
      <c r="K85" s="32">
        <f t="shared" si="7"/>
        <v>100</v>
      </c>
      <c r="L85" s="32">
        <f t="shared" si="4"/>
        <v>0</v>
      </c>
      <c r="M85" s="32">
        <f t="shared" si="4"/>
        <v>0</v>
      </c>
      <c r="N85" s="33">
        <f t="shared" si="8"/>
        <v>100</v>
      </c>
      <c r="O85" s="34">
        <v>48.8</v>
      </c>
      <c r="P85" s="32"/>
      <c r="Q85" s="32"/>
      <c r="R85" s="35">
        <f t="shared" si="9"/>
        <v>48.8</v>
      </c>
      <c r="S85" s="28">
        <v>5</v>
      </c>
      <c r="T85" s="284"/>
      <c r="U85" s="293"/>
      <c r="V85" s="37" t="s">
        <v>553</v>
      </c>
      <c r="W85" s="28" t="s">
        <v>22</v>
      </c>
      <c r="X85" s="28" t="s">
        <v>11</v>
      </c>
      <c r="Y85" s="38">
        <v>46.4</v>
      </c>
      <c r="Z85" s="28" t="s">
        <v>555</v>
      </c>
      <c r="AA85" s="28" t="s">
        <v>93</v>
      </c>
      <c r="AB85" s="28" t="s">
        <v>11</v>
      </c>
      <c r="AC85" s="28">
        <v>2.4</v>
      </c>
      <c r="AD85" s="37"/>
      <c r="AG85" s="38"/>
      <c r="AL85" s="37"/>
      <c r="AO85" s="38"/>
      <c r="AP85" s="37"/>
      <c r="AS85" s="38"/>
      <c r="AW85" s="38"/>
      <c r="BA85" s="39"/>
    </row>
    <row r="86" spans="1:53" s="28" customFormat="1" x14ac:dyDescent="0.15">
      <c r="A86" s="28">
        <v>1998</v>
      </c>
      <c r="B86" s="293"/>
      <c r="C86" s="394" t="s">
        <v>756</v>
      </c>
      <c r="D86" s="394"/>
      <c r="E86" s="28">
        <f>365-E85</f>
        <v>365</v>
      </c>
      <c r="G86" s="29">
        <v>15</v>
      </c>
      <c r="H86" s="30"/>
      <c r="I86" s="30"/>
      <c r="J86" s="31">
        <v>15</v>
      </c>
      <c r="K86" s="32">
        <f t="shared" si="7"/>
        <v>100</v>
      </c>
      <c r="L86" s="32">
        <f t="shared" si="4"/>
        <v>0</v>
      </c>
      <c r="M86" s="32">
        <f t="shared" si="4"/>
        <v>0</v>
      </c>
      <c r="N86" s="33">
        <f t="shared" si="8"/>
        <v>100</v>
      </c>
      <c r="O86" s="34">
        <v>48.8</v>
      </c>
      <c r="P86" s="32"/>
      <c r="Q86" s="32"/>
      <c r="R86" s="35">
        <f t="shared" si="9"/>
        <v>48.8</v>
      </c>
      <c r="S86" s="28">
        <v>5</v>
      </c>
      <c r="T86" s="284"/>
      <c r="U86" s="293"/>
      <c r="V86" s="37" t="s">
        <v>553</v>
      </c>
      <c r="W86" s="28" t="s">
        <v>22</v>
      </c>
      <c r="X86" s="28" t="s">
        <v>11</v>
      </c>
      <c r="Y86" s="38">
        <v>46.4</v>
      </c>
      <c r="Z86" s="28" t="s">
        <v>555</v>
      </c>
      <c r="AA86" s="28" t="s">
        <v>93</v>
      </c>
      <c r="AB86" s="28" t="s">
        <v>11</v>
      </c>
      <c r="AC86" s="28">
        <v>2.4</v>
      </c>
      <c r="AD86" s="37"/>
      <c r="AG86" s="38"/>
      <c r="AL86" s="37"/>
      <c r="AO86" s="38"/>
      <c r="AP86" s="37"/>
      <c r="AS86" s="38"/>
      <c r="AW86" s="38"/>
      <c r="BA86" s="39"/>
    </row>
    <row r="87" spans="1:53" s="28" customFormat="1" x14ac:dyDescent="0.15">
      <c r="A87" s="28">
        <v>1999</v>
      </c>
      <c r="B87" s="293"/>
      <c r="C87" s="394" t="s">
        <v>756</v>
      </c>
      <c r="D87" s="394"/>
      <c r="E87" s="28">
        <v>0</v>
      </c>
      <c r="G87" s="29">
        <v>15</v>
      </c>
      <c r="H87" s="30"/>
      <c r="I87" s="30"/>
      <c r="J87" s="31">
        <v>15</v>
      </c>
      <c r="K87" s="32">
        <f t="shared" si="7"/>
        <v>100</v>
      </c>
      <c r="L87" s="32">
        <f t="shared" si="4"/>
        <v>0</v>
      </c>
      <c r="M87" s="32">
        <f t="shared" si="4"/>
        <v>0</v>
      </c>
      <c r="N87" s="33">
        <f t="shared" si="8"/>
        <v>100</v>
      </c>
      <c r="O87" s="34">
        <v>48.8</v>
      </c>
      <c r="P87" s="32"/>
      <c r="Q87" s="32"/>
      <c r="R87" s="35">
        <f t="shared" si="9"/>
        <v>48.8</v>
      </c>
      <c r="S87" s="28">
        <v>5</v>
      </c>
      <c r="T87" s="284"/>
      <c r="U87" s="293"/>
      <c r="V87" s="37" t="s">
        <v>553</v>
      </c>
      <c r="W87" s="28" t="s">
        <v>22</v>
      </c>
      <c r="X87" s="28" t="s">
        <v>11</v>
      </c>
      <c r="Y87" s="38">
        <v>46.4</v>
      </c>
      <c r="Z87" s="28" t="s">
        <v>555</v>
      </c>
      <c r="AA87" s="28" t="s">
        <v>93</v>
      </c>
      <c r="AB87" s="28" t="s">
        <v>11</v>
      </c>
      <c r="AC87" s="28">
        <v>2.4</v>
      </c>
      <c r="AD87" s="37"/>
      <c r="AG87" s="38"/>
      <c r="AL87" s="37"/>
      <c r="AO87" s="38"/>
      <c r="AP87" s="37"/>
      <c r="AS87" s="38"/>
      <c r="AW87" s="38"/>
      <c r="BA87" s="39"/>
    </row>
    <row r="88" spans="1:53" s="28" customFormat="1" x14ac:dyDescent="0.15">
      <c r="A88" s="28">
        <v>1999</v>
      </c>
      <c r="B88" s="293"/>
      <c r="C88" s="394" t="s">
        <v>756</v>
      </c>
      <c r="D88" s="394"/>
      <c r="E88" s="28">
        <f>365-E87</f>
        <v>365</v>
      </c>
      <c r="G88" s="29">
        <v>15</v>
      </c>
      <c r="H88" s="30"/>
      <c r="I88" s="30"/>
      <c r="J88" s="31">
        <v>15</v>
      </c>
      <c r="K88" s="32">
        <f t="shared" si="7"/>
        <v>100</v>
      </c>
      <c r="L88" s="32">
        <f t="shared" si="4"/>
        <v>0</v>
      </c>
      <c r="M88" s="32">
        <f t="shared" si="4"/>
        <v>0</v>
      </c>
      <c r="N88" s="33">
        <f t="shared" si="8"/>
        <v>100</v>
      </c>
      <c r="O88" s="34">
        <v>48.8</v>
      </c>
      <c r="P88" s="32"/>
      <c r="Q88" s="32"/>
      <c r="R88" s="35">
        <f t="shared" si="9"/>
        <v>48.8</v>
      </c>
      <c r="S88" s="28">
        <v>5</v>
      </c>
      <c r="T88" s="284"/>
      <c r="U88" s="293"/>
      <c r="V88" s="37" t="s">
        <v>553</v>
      </c>
      <c r="W88" s="28" t="s">
        <v>22</v>
      </c>
      <c r="X88" s="28" t="s">
        <v>11</v>
      </c>
      <c r="Y88" s="38">
        <v>46.4</v>
      </c>
      <c r="Z88" s="28" t="s">
        <v>555</v>
      </c>
      <c r="AA88" s="28" t="s">
        <v>93</v>
      </c>
      <c r="AB88" s="28" t="s">
        <v>11</v>
      </c>
      <c r="AC88" s="28">
        <v>2.4</v>
      </c>
      <c r="AD88" s="37"/>
      <c r="AG88" s="38"/>
      <c r="AL88" s="37"/>
      <c r="AO88" s="38"/>
      <c r="AP88" s="37"/>
      <c r="AS88" s="38"/>
      <c r="AW88" s="38"/>
      <c r="BA88" s="39"/>
    </row>
    <row r="89" spans="1:53" s="28" customFormat="1" x14ac:dyDescent="0.15">
      <c r="A89" s="28">
        <v>2000</v>
      </c>
      <c r="B89" s="293"/>
      <c r="C89" s="394" t="s">
        <v>756</v>
      </c>
      <c r="D89" s="394"/>
      <c r="E89" s="28">
        <v>0</v>
      </c>
      <c r="G89" s="29">
        <v>15</v>
      </c>
      <c r="H89" s="30"/>
      <c r="I89" s="30"/>
      <c r="J89" s="31">
        <v>15</v>
      </c>
      <c r="K89" s="32">
        <f t="shared" si="7"/>
        <v>100</v>
      </c>
      <c r="L89" s="32">
        <f t="shared" si="4"/>
        <v>0</v>
      </c>
      <c r="M89" s="32">
        <f t="shared" si="4"/>
        <v>0</v>
      </c>
      <c r="N89" s="33">
        <f t="shared" si="8"/>
        <v>100</v>
      </c>
      <c r="O89" s="34">
        <v>48.8</v>
      </c>
      <c r="P89" s="32"/>
      <c r="Q89" s="32"/>
      <c r="R89" s="35">
        <f t="shared" si="9"/>
        <v>48.8</v>
      </c>
      <c r="S89" s="28">
        <v>5</v>
      </c>
      <c r="T89" s="284"/>
      <c r="U89" s="293"/>
      <c r="V89" s="37" t="s">
        <v>553</v>
      </c>
      <c r="W89" s="28" t="s">
        <v>22</v>
      </c>
      <c r="X89" s="28" t="s">
        <v>11</v>
      </c>
      <c r="Y89" s="38">
        <v>46.4</v>
      </c>
      <c r="Z89" s="28" t="s">
        <v>555</v>
      </c>
      <c r="AA89" s="28" t="s">
        <v>93</v>
      </c>
      <c r="AB89" s="28" t="s">
        <v>11</v>
      </c>
      <c r="AC89" s="28">
        <v>2.4</v>
      </c>
      <c r="AD89" s="37"/>
      <c r="AG89" s="38"/>
      <c r="AL89" s="37"/>
      <c r="AO89" s="38"/>
      <c r="AP89" s="37"/>
      <c r="AS89" s="38"/>
      <c r="AW89" s="38"/>
      <c r="BA89" s="39"/>
    </row>
    <row r="90" spans="1:53" s="28" customFormat="1" x14ac:dyDescent="0.15">
      <c r="A90" s="28">
        <v>2000</v>
      </c>
      <c r="B90" s="293"/>
      <c r="C90" s="394" t="s">
        <v>756</v>
      </c>
      <c r="D90" s="394"/>
      <c r="E90" s="28">
        <v>366</v>
      </c>
      <c r="G90" s="29">
        <v>15</v>
      </c>
      <c r="H90" s="30"/>
      <c r="I90" s="30"/>
      <c r="J90" s="31">
        <v>15</v>
      </c>
      <c r="K90" s="32">
        <f t="shared" si="7"/>
        <v>100</v>
      </c>
      <c r="L90" s="32">
        <f t="shared" si="4"/>
        <v>0</v>
      </c>
      <c r="M90" s="32">
        <f t="shared" si="4"/>
        <v>0</v>
      </c>
      <c r="N90" s="33">
        <f t="shared" si="8"/>
        <v>100</v>
      </c>
      <c r="O90" s="34">
        <v>48.8</v>
      </c>
      <c r="P90" s="32"/>
      <c r="Q90" s="32"/>
      <c r="R90" s="35">
        <f t="shared" si="9"/>
        <v>48.8</v>
      </c>
      <c r="S90" s="28">
        <v>5</v>
      </c>
      <c r="T90" s="284"/>
      <c r="U90" s="293"/>
      <c r="V90" s="37" t="s">
        <v>553</v>
      </c>
      <c r="W90" s="28" t="s">
        <v>22</v>
      </c>
      <c r="X90" s="28" t="s">
        <v>11</v>
      </c>
      <c r="Y90" s="38">
        <v>46.4</v>
      </c>
      <c r="Z90" s="28" t="s">
        <v>555</v>
      </c>
      <c r="AA90" s="28" t="s">
        <v>93</v>
      </c>
      <c r="AB90" s="28" t="s">
        <v>11</v>
      </c>
      <c r="AC90" s="28">
        <v>2.4</v>
      </c>
      <c r="AD90" s="37"/>
      <c r="AG90" s="38"/>
      <c r="AL90" s="37"/>
      <c r="AO90" s="38"/>
      <c r="AP90" s="37"/>
      <c r="AS90" s="38"/>
      <c r="AW90" s="38"/>
      <c r="BA90" s="39"/>
    </row>
    <row r="91" spans="1:53" s="28" customFormat="1" x14ac:dyDescent="0.15">
      <c r="A91" s="28">
        <v>2001</v>
      </c>
      <c r="B91" s="293"/>
      <c r="C91" s="394" t="s">
        <v>756</v>
      </c>
      <c r="D91" s="394"/>
      <c r="E91" s="28">
        <v>0</v>
      </c>
      <c r="G91" s="29">
        <v>15</v>
      </c>
      <c r="H91" s="30"/>
      <c r="I91" s="30"/>
      <c r="J91" s="31">
        <v>15</v>
      </c>
      <c r="K91" s="32">
        <f t="shared" si="7"/>
        <v>100</v>
      </c>
      <c r="L91" s="32">
        <f t="shared" si="4"/>
        <v>0</v>
      </c>
      <c r="M91" s="32">
        <f t="shared" si="4"/>
        <v>0</v>
      </c>
      <c r="N91" s="33">
        <f t="shared" si="8"/>
        <v>100</v>
      </c>
      <c r="O91" s="34">
        <v>48.8</v>
      </c>
      <c r="P91" s="32"/>
      <c r="Q91" s="32"/>
      <c r="R91" s="35">
        <f t="shared" si="9"/>
        <v>48.8</v>
      </c>
      <c r="S91" s="28">
        <v>5</v>
      </c>
      <c r="T91" s="284"/>
      <c r="U91" s="293"/>
      <c r="V91" s="37" t="s">
        <v>553</v>
      </c>
      <c r="W91" s="28" t="s">
        <v>22</v>
      </c>
      <c r="X91" s="28" t="s">
        <v>11</v>
      </c>
      <c r="Y91" s="38">
        <v>46.4</v>
      </c>
      <c r="Z91" s="28" t="s">
        <v>555</v>
      </c>
      <c r="AA91" s="28" t="s">
        <v>93</v>
      </c>
      <c r="AB91" s="28" t="s">
        <v>11</v>
      </c>
      <c r="AC91" s="28">
        <v>2.4</v>
      </c>
      <c r="AD91" s="37"/>
      <c r="AG91" s="38"/>
      <c r="AL91" s="37"/>
      <c r="AO91" s="38"/>
      <c r="AP91" s="37"/>
      <c r="AS91" s="38"/>
      <c r="AW91" s="38"/>
      <c r="BA91" s="39"/>
    </row>
    <row r="92" spans="1:53" s="28" customFormat="1" x14ac:dyDescent="0.15">
      <c r="A92" s="28">
        <v>2001</v>
      </c>
      <c r="B92" s="293"/>
      <c r="C92" s="394" t="s">
        <v>756</v>
      </c>
      <c r="D92" s="394"/>
      <c r="E92" s="28">
        <f>365-E91</f>
        <v>365</v>
      </c>
      <c r="G92" s="29">
        <v>15</v>
      </c>
      <c r="H92" s="30"/>
      <c r="I92" s="30"/>
      <c r="J92" s="31">
        <v>15</v>
      </c>
      <c r="K92" s="32">
        <f t="shared" si="7"/>
        <v>100</v>
      </c>
      <c r="L92" s="32">
        <f t="shared" si="4"/>
        <v>0</v>
      </c>
      <c r="M92" s="32">
        <f t="shared" si="4"/>
        <v>0</v>
      </c>
      <c r="N92" s="33">
        <f t="shared" si="8"/>
        <v>100</v>
      </c>
      <c r="O92" s="34">
        <v>48.8</v>
      </c>
      <c r="P92" s="32"/>
      <c r="Q92" s="32"/>
      <c r="R92" s="35">
        <f t="shared" si="9"/>
        <v>48.8</v>
      </c>
      <c r="S92" s="28">
        <v>5</v>
      </c>
      <c r="T92" s="284"/>
      <c r="U92" s="293"/>
      <c r="V92" s="37" t="s">
        <v>553</v>
      </c>
      <c r="W92" s="28" t="s">
        <v>22</v>
      </c>
      <c r="X92" s="28" t="s">
        <v>11</v>
      </c>
      <c r="Y92" s="38">
        <v>46.4</v>
      </c>
      <c r="Z92" s="28" t="s">
        <v>555</v>
      </c>
      <c r="AA92" s="28" t="s">
        <v>93</v>
      </c>
      <c r="AB92" s="28" t="s">
        <v>11</v>
      </c>
      <c r="AC92" s="28">
        <v>2.4</v>
      </c>
      <c r="AD92" s="37"/>
      <c r="AG92" s="38"/>
      <c r="AL92" s="37"/>
      <c r="AO92" s="38"/>
      <c r="AP92" s="37"/>
      <c r="AS92" s="38"/>
      <c r="AW92" s="38"/>
      <c r="BA92" s="39"/>
    </row>
    <row r="93" spans="1:53" s="28" customFormat="1" x14ac:dyDescent="0.15">
      <c r="A93" s="28">
        <v>2002</v>
      </c>
      <c r="B93" s="293"/>
      <c r="C93" s="394" t="s">
        <v>756</v>
      </c>
      <c r="D93" s="394"/>
      <c r="E93" s="28">
        <v>156</v>
      </c>
      <c r="G93" s="29">
        <v>15</v>
      </c>
      <c r="H93" s="30"/>
      <c r="I93" s="30"/>
      <c r="J93" s="31">
        <v>15</v>
      </c>
      <c r="K93" s="32">
        <f>G93/$J93*100</f>
        <v>100</v>
      </c>
      <c r="L93" s="32">
        <f t="shared" si="4"/>
        <v>0</v>
      </c>
      <c r="M93" s="32">
        <f t="shared" si="4"/>
        <v>0</v>
      </c>
      <c r="N93" s="33">
        <f>K93+L93+M93</f>
        <v>100</v>
      </c>
      <c r="O93" s="34">
        <v>48.8</v>
      </c>
      <c r="P93" s="32"/>
      <c r="Q93" s="32"/>
      <c r="R93" s="35">
        <f t="shared" si="9"/>
        <v>48.8</v>
      </c>
      <c r="S93" s="28">
        <v>5</v>
      </c>
      <c r="T93" s="284"/>
      <c r="U93" s="293"/>
      <c r="V93" s="37" t="s">
        <v>553</v>
      </c>
      <c r="W93" s="28" t="s">
        <v>22</v>
      </c>
      <c r="X93" s="28" t="s">
        <v>11</v>
      </c>
      <c r="Y93" s="38">
        <v>46.4</v>
      </c>
      <c r="Z93" s="28" t="s">
        <v>555</v>
      </c>
      <c r="AA93" s="28" t="s">
        <v>93</v>
      </c>
      <c r="AB93" s="28" t="s">
        <v>11</v>
      </c>
      <c r="AC93" s="28">
        <v>2.4</v>
      </c>
      <c r="AD93" s="37"/>
      <c r="AG93" s="38"/>
      <c r="AL93" s="37"/>
      <c r="AO93" s="38"/>
      <c r="AP93" s="37"/>
      <c r="AS93" s="38"/>
      <c r="AW93" s="38"/>
      <c r="BA93" s="39"/>
    </row>
    <row r="94" spans="1:53" s="170" customFormat="1" x14ac:dyDescent="0.15">
      <c r="A94" s="170">
        <v>2002</v>
      </c>
      <c r="B94" s="281">
        <v>37413</v>
      </c>
      <c r="C94" s="395" t="s">
        <v>757</v>
      </c>
      <c r="D94" s="395"/>
      <c r="E94" s="170">
        <f>365-E93</f>
        <v>209</v>
      </c>
      <c r="F94" s="170">
        <v>1</v>
      </c>
      <c r="G94" s="171">
        <v>15</v>
      </c>
      <c r="H94" s="116"/>
      <c r="I94" s="116"/>
      <c r="J94" s="172">
        <v>15</v>
      </c>
      <c r="K94" s="173">
        <f t="shared" ref="K94:M119" si="10">G94/$J94*100</f>
        <v>100</v>
      </c>
      <c r="L94" s="173">
        <f t="shared" si="4"/>
        <v>0</v>
      </c>
      <c r="M94" s="173">
        <f t="shared" si="4"/>
        <v>0</v>
      </c>
      <c r="N94" s="174">
        <f t="shared" ref="N94:N119" si="11">K94+L94+M94</f>
        <v>100</v>
      </c>
      <c r="O94" s="175">
        <v>53.6</v>
      </c>
      <c r="P94" s="173"/>
      <c r="Q94" s="173"/>
      <c r="R94" s="176">
        <f t="shared" si="9"/>
        <v>53.6</v>
      </c>
      <c r="S94" s="170">
        <v>2</v>
      </c>
      <c r="T94" s="283">
        <v>37393</v>
      </c>
      <c r="U94" s="281">
        <v>37413</v>
      </c>
      <c r="V94" s="177" t="s">
        <v>553</v>
      </c>
      <c r="W94" s="170" t="s">
        <v>22</v>
      </c>
      <c r="X94" s="170" t="s">
        <v>11</v>
      </c>
      <c r="Y94" s="178">
        <v>48.8</v>
      </c>
      <c r="Z94" s="170" t="s">
        <v>555</v>
      </c>
      <c r="AA94" s="170" t="s">
        <v>93</v>
      </c>
      <c r="AB94" s="170" t="s">
        <v>11</v>
      </c>
      <c r="AC94" s="170">
        <v>4.8</v>
      </c>
      <c r="AD94" s="177"/>
      <c r="AG94" s="178"/>
      <c r="AL94" s="177"/>
      <c r="AO94" s="178"/>
      <c r="AP94" s="177"/>
      <c r="AS94" s="178"/>
      <c r="AW94" s="178"/>
      <c r="BA94" s="179"/>
    </row>
    <row r="95" spans="1:53" s="170" customFormat="1" x14ac:dyDescent="0.15">
      <c r="A95" s="170">
        <v>2003</v>
      </c>
      <c r="B95" s="281"/>
      <c r="C95" s="395" t="s">
        <v>757</v>
      </c>
      <c r="D95" s="395"/>
      <c r="E95" s="170">
        <v>0</v>
      </c>
      <c r="G95" s="171">
        <v>15</v>
      </c>
      <c r="H95" s="116"/>
      <c r="I95" s="116"/>
      <c r="J95" s="172">
        <v>15</v>
      </c>
      <c r="K95" s="173">
        <f t="shared" si="10"/>
        <v>100</v>
      </c>
      <c r="L95" s="173">
        <f t="shared" si="4"/>
        <v>0</v>
      </c>
      <c r="M95" s="173">
        <f t="shared" si="4"/>
        <v>0</v>
      </c>
      <c r="N95" s="174">
        <f t="shared" si="11"/>
        <v>100</v>
      </c>
      <c r="O95" s="175">
        <v>53.6</v>
      </c>
      <c r="P95" s="173"/>
      <c r="Q95" s="173"/>
      <c r="R95" s="176">
        <f t="shared" si="9"/>
        <v>53.6</v>
      </c>
      <c r="S95" s="170">
        <v>2</v>
      </c>
      <c r="T95" s="283"/>
      <c r="U95" s="281"/>
      <c r="V95" s="177" t="s">
        <v>553</v>
      </c>
      <c r="W95" s="170" t="s">
        <v>22</v>
      </c>
      <c r="X95" s="170" t="s">
        <v>11</v>
      </c>
      <c r="Y95" s="178">
        <v>48.8</v>
      </c>
      <c r="Z95" s="170" t="s">
        <v>555</v>
      </c>
      <c r="AA95" s="170" t="s">
        <v>93</v>
      </c>
      <c r="AB95" s="170" t="s">
        <v>11</v>
      </c>
      <c r="AC95" s="170">
        <v>4.8</v>
      </c>
      <c r="AD95" s="177"/>
      <c r="AG95" s="178"/>
      <c r="AL95" s="177"/>
      <c r="AO95" s="178"/>
      <c r="AP95" s="177"/>
      <c r="AS95" s="178"/>
      <c r="AW95" s="178"/>
      <c r="BA95" s="179"/>
    </row>
    <row r="96" spans="1:53" s="170" customFormat="1" x14ac:dyDescent="0.15">
      <c r="A96" s="170">
        <v>2003</v>
      </c>
      <c r="B96" s="281"/>
      <c r="C96" s="395" t="s">
        <v>757</v>
      </c>
      <c r="D96" s="395"/>
      <c r="E96" s="170">
        <f>365-E95</f>
        <v>365</v>
      </c>
      <c r="G96" s="171">
        <v>15</v>
      </c>
      <c r="H96" s="116"/>
      <c r="I96" s="116"/>
      <c r="J96" s="172">
        <v>15</v>
      </c>
      <c r="K96" s="173">
        <f t="shared" si="10"/>
        <v>100</v>
      </c>
      <c r="L96" s="173">
        <f t="shared" si="4"/>
        <v>0</v>
      </c>
      <c r="M96" s="173">
        <f t="shared" si="4"/>
        <v>0</v>
      </c>
      <c r="N96" s="174">
        <f t="shared" si="11"/>
        <v>100</v>
      </c>
      <c r="O96" s="175">
        <v>53.6</v>
      </c>
      <c r="P96" s="173"/>
      <c r="Q96" s="173"/>
      <c r="R96" s="176">
        <f t="shared" si="9"/>
        <v>53.6</v>
      </c>
      <c r="S96" s="170">
        <v>2</v>
      </c>
      <c r="T96" s="283"/>
      <c r="U96" s="281"/>
      <c r="V96" s="177" t="s">
        <v>553</v>
      </c>
      <c r="W96" s="170" t="s">
        <v>22</v>
      </c>
      <c r="X96" s="170" t="s">
        <v>11</v>
      </c>
      <c r="Y96" s="178">
        <v>48.8</v>
      </c>
      <c r="Z96" s="170" t="s">
        <v>555</v>
      </c>
      <c r="AA96" s="170" t="s">
        <v>93</v>
      </c>
      <c r="AB96" s="170" t="s">
        <v>11</v>
      </c>
      <c r="AC96" s="170">
        <v>4.8</v>
      </c>
      <c r="AD96" s="177"/>
      <c r="AG96" s="178"/>
      <c r="AL96" s="177"/>
      <c r="AO96" s="178"/>
      <c r="AP96" s="177"/>
      <c r="AS96" s="178"/>
      <c r="AW96" s="178"/>
      <c r="BA96" s="179"/>
    </row>
    <row r="97" spans="1:53" s="170" customFormat="1" x14ac:dyDescent="0.15">
      <c r="A97" s="170">
        <v>2004</v>
      </c>
      <c r="B97" s="281"/>
      <c r="C97" s="395" t="s">
        <v>757</v>
      </c>
      <c r="D97" s="395"/>
      <c r="E97" s="170">
        <v>0</v>
      </c>
      <c r="G97" s="171">
        <v>15</v>
      </c>
      <c r="H97" s="116"/>
      <c r="I97" s="116"/>
      <c r="J97" s="172">
        <v>15</v>
      </c>
      <c r="K97" s="173">
        <f t="shared" si="10"/>
        <v>100</v>
      </c>
      <c r="L97" s="173">
        <f t="shared" si="4"/>
        <v>0</v>
      </c>
      <c r="M97" s="173">
        <f t="shared" si="4"/>
        <v>0</v>
      </c>
      <c r="N97" s="174">
        <f t="shared" si="11"/>
        <v>100</v>
      </c>
      <c r="O97" s="175">
        <v>53.6</v>
      </c>
      <c r="P97" s="173"/>
      <c r="Q97" s="173"/>
      <c r="R97" s="176">
        <f t="shared" si="9"/>
        <v>53.6</v>
      </c>
      <c r="S97" s="170">
        <v>2</v>
      </c>
      <c r="T97" s="283"/>
      <c r="U97" s="281"/>
      <c r="V97" s="177" t="s">
        <v>553</v>
      </c>
      <c r="W97" s="170" t="s">
        <v>22</v>
      </c>
      <c r="X97" s="170" t="s">
        <v>11</v>
      </c>
      <c r="Y97" s="178">
        <v>48.8</v>
      </c>
      <c r="Z97" s="170" t="s">
        <v>555</v>
      </c>
      <c r="AA97" s="170" t="s">
        <v>93</v>
      </c>
      <c r="AB97" s="170" t="s">
        <v>11</v>
      </c>
      <c r="AC97" s="170">
        <v>4.8</v>
      </c>
      <c r="AD97" s="177"/>
      <c r="AG97" s="178"/>
      <c r="AL97" s="177"/>
      <c r="AO97" s="178"/>
      <c r="AP97" s="177"/>
      <c r="AS97" s="178"/>
      <c r="AW97" s="178"/>
      <c r="BA97" s="179"/>
    </row>
    <row r="98" spans="1:53" s="170" customFormat="1" x14ac:dyDescent="0.15">
      <c r="A98" s="170">
        <v>2004</v>
      </c>
      <c r="B98" s="281"/>
      <c r="C98" s="395" t="s">
        <v>757</v>
      </c>
      <c r="D98" s="395"/>
      <c r="E98" s="170">
        <v>366</v>
      </c>
      <c r="G98" s="171">
        <v>15</v>
      </c>
      <c r="H98" s="116"/>
      <c r="I98" s="116"/>
      <c r="J98" s="172">
        <v>15</v>
      </c>
      <c r="K98" s="173">
        <f t="shared" si="10"/>
        <v>100</v>
      </c>
      <c r="L98" s="173">
        <f t="shared" si="4"/>
        <v>0</v>
      </c>
      <c r="M98" s="173">
        <f t="shared" si="4"/>
        <v>0</v>
      </c>
      <c r="N98" s="174">
        <f t="shared" si="11"/>
        <v>100</v>
      </c>
      <c r="O98" s="175">
        <v>53.6</v>
      </c>
      <c r="P98" s="173"/>
      <c r="Q98" s="173"/>
      <c r="R98" s="176">
        <f t="shared" si="9"/>
        <v>53.6</v>
      </c>
      <c r="S98" s="170">
        <v>2</v>
      </c>
      <c r="T98" s="283"/>
      <c r="U98" s="281"/>
      <c r="V98" s="177" t="s">
        <v>553</v>
      </c>
      <c r="W98" s="170" t="s">
        <v>22</v>
      </c>
      <c r="X98" s="170" t="s">
        <v>11</v>
      </c>
      <c r="Y98" s="178">
        <v>48.8</v>
      </c>
      <c r="Z98" s="170" t="s">
        <v>555</v>
      </c>
      <c r="AA98" s="170" t="s">
        <v>93</v>
      </c>
      <c r="AB98" s="170" t="s">
        <v>11</v>
      </c>
      <c r="AC98" s="170">
        <v>4.8</v>
      </c>
      <c r="AD98" s="177"/>
      <c r="AG98" s="178"/>
      <c r="AL98" s="177"/>
      <c r="AO98" s="178"/>
      <c r="AP98" s="177"/>
      <c r="AS98" s="178"/>
      <c r="AW98" s="178"/>
      <c r="BA98" s="179"/>
    </row>
    <row r="99" spans="1:53" s="170" customFormat="1" x14ac:dyDescent="0.15">
      <c r="A99" s="170">
        <v>2005</v>
      </c>
      <c r="B99" s="281"/>
      <c r="C99" s="395" t="s">
        <v>757</v>
      </c>
      <c r="D99" s="395"/>
      <c r="E99" s="170">
        <v>0</v>
      </c>
      <c r="G99" s="171">
        <v>15</v>
      </c>
      <c r="H99" s="116"/>
      <c r="I99" s="116"/>
      <c r="J99" s="172">
        <v>15</v>
      </c>
      <c r="K99" s="173">
        <f t="shared" si="10"/>
        <v>100</v>
      </c>
      <c r="L99" s="173">
        <f t="shared" si="4"/>
        <v>0</v>
      </c>
      <c r="M99" s="173">
        <f t="shared" si="4"/>
        <v>0</v>
      </c>
      <c r="N99" s="174">
        <f t="shared" si="11"/>
        <v>100</v>
      </c>
      <c r="O99" s="175">
        <v>53.6</v>
      </c>
      <c r="P99" s="173"/>
      <c r="Q99" s="173"/>
      <c r="R99" s="176">
        <f t="shared" si="9"/>
        <v>53.6</v>
      </c>
      <c r="S99" s="170">
        <v>2</v>
      </c>
      <c r="T99" s="283"/>
      <c r="U99" s="281"/>
      <c r="V99" s="177" t="s">
        <v>553</v>
      </c>
      <c r="W99" s="170" t="s">
        <v>22</v>
      </c>
      <c r="X99" s="170" t="s">
        <v>11</v>
      </c>
      <c r="Y99" s="178">
        <v>48.8</v>
      </c>
      <c r="Z99" s="170" t="s">
        <v>555</v>
      </c>
      <c r="AA99" s="170" t="s">
        <v>93</v>
      </c>
      <c r="AB99" s="170" t="s">
        <v>11</v>
      </c>
      <c r="AC99" s="170">
        <v>4.8</v>
      </c>
      <c r="AD99" s="177"/>
      <c r="AG99" s="178"/>
      <c r="AL99" s="177"/>
      <c r="AO99" s="178"/>
      <c r="AP99" s="177"/>
      <c r="AS99" s="178"/>
      <c r="AW99" s="178"/>
      <c r="BA99" s="179"/>
    </row>
    <row r="100" spans="1:53" s="170" customFormat="1" x14ac:dyDescent="0.15">
      <c r="A100" s="170">
        <v>2005</v>
      </c>
      <c r="B100" s="281"/>
      <c r="C100" s="395" t="s">
        <v>757</v>
      </c>
      <c r="D100" s="395"/>
      <c r="E100" s="170">
        <f>365-E99</f>
        <v>365</v>
      </c>
      <c r="G100" s="171">
        <v>15</v>
      </c>
      <c r="H100" s="116"/>
      <c r="I100" s="116"/>
      <c r="J100" s="172">
        <v>15</v>
      </c>
      <c r="K100" s="173">
        <f t="shared" si="10"/>
        <v>100</v>
      </c>
      <c r="L100" s="173">
        <f t="shared" si="4"/>
        <v>0</v>
      </c>
      <c r="M100" s="173">
        <f t="shared" si="4"/>
        <v>0</v>
      </c>
      <c r="N100" s="174">
        <f t="shared" si="11"/>
        <v>100</v>
      </c>
      <c r="O100" s="175">
        <v>53.6</v>
      </c>
      <c r="P100" s="173"/>
      <c r="Q100" s="173"/>
      <c r="R100" s="176">
        <f t="shared" si="9"/>
        <v>53.6</v>
      </c>
      <c r="S100" s="170">
        <v>2</v>
      </c>
      <c r="T100" s="283"/>
      <c r="U100" s="281"/>
      <c r="V100" s="177" t="s">
        <v>553</v>
      </c>
      <c r="W100" s="170" t="s">
        <v>22</v>
      </c>
      <c r="X100" s="170" t="s">
        <v>11</v>
      </c>
      <c r="Y100" s="178">
        <v>48.8</v>
      </c>
      <c r="Z100" s="170" t="s">
        <v>555</v>
      </c>
      <c r="AA100" s="170" t="s">
        <v>93</v>
      </c>
      <c r="AB100" s="170" t="s">
        <v>11</v>
      </c>
      <c r="AC100" s="170">
        <v>4.8</v>
      </c>
      <c r="AD100" s="177"/>
      <c r="AG100" s="178"/>
      <c r="AL100" s="177"/>
      <c r="AO100" s="178"/>
      <c r="AP100" s="177"/>
      <c r="AS100" s="178"/>
      <c r="AW100" s="178"/>
      <c r="BA100" s="179"/>
    </row>
    <row r="101" spans="1:53" s="170" customFormat="1" x14ac:dyDescent="0.15">
      <c r="A101" s="170">
        <v>2006</v>
      </c>
      <c r="B101" s="281"/>
      <c r="C101" s="395" t="s">
        <v>757</v>
      </c>
      <c r="D101" s="395"/>
      <c r="E101" s="170">
        <v>0</v>
      </c>
      <c r="G101" s="171">
        <v>15</v>
      </c>
      <c r="H101" s="116"/>
      <c r="I101" s="116"/>
      <c r="J101" s="172">
        <v>15</v>
      </c>
      <c r="K101" s="173">
        <f t="shared" si="10"/>
        <v>100</v>
      </c>
      <c r="L101" s="173">
        <f t="shared" si="4"/>
        <v>0</v>
      </c>
      <c r="M101" s="173">
        <f t="shared" si="4"/>
        <v>0</v>
      </c>
      <c r="N101" s="174">
        <f t="shared" si="11"/>
        <v>100</v>
      </c>
      <c r="O101" s="175">
        <v>53.6</v>
      </c>
      <c r="P101" s="173"/>
      <c r="Q101" s="173"/>
      <c r="R101" s="176">
        <f t="shared" si="9"/>
        <v>53.6</v>
      </c>
      <c r="S101" s="170">
        <v>2</v>
      </c>
      <c r="T101" s="283"/>
      <c r="U101" s="281"/>
      <c r="V101" s="177" t="s">
        <v>553</v>
      </c>
      <c r="W101" s="170" t="s">
        <v>22</v>
      </c>
      <c r="X101" s="170" t="s">
        <v>11</v>
      </c>
      <c r="Y101" s="178">
        <v>48.8</v>
      </c>
      <c r="Z101" s="170" t="s">
        <v>555</v>
      </c>
      <c r="AA101" s="170" t="s">
        <v>93</v>
      </c>
      <c r="AB101" s="170" t="s">
        <v>11</v>
      </c>
      <c r="AC101" s="170">
        <v>4.8</v>
      </c>
      <c r="AD101" s="177"/>
      <c r="AG101" s="178"/>
      <c r="AL101" s="177"/>
      <c r="AO101" s="178"/>
      <c r="AP101" s="177"/>
      <c r="AS101" s="178"/>
      <c r="AW101" s="178"/>
      <c r="BA101" s="179"/>
    </row>
    <row r="102" spans="1:53" s="170" customFormat="1" x14ac:dyDescent="0.15">
      <c r="A102" s="170">
        <v>2006</v>
      </c>
      <c r="B102" s="281"/>
      <c r="C102" s="395" t="s">
        <v>757</v>
      </c>
      <c r="D102" s="395"/>
      <c r="E102" s="170">
        <f>365-E101</f>
        <v>365</v>
      </c>
      <c r="G102" s="171">
        <v>15</v>
      </c>
      <c r="H102" s="116"/>
      <c r="I102" s="116"/>
      <c r="J102" s="172">
        <v>15</v>
      </c>
      <c r="K102" s="173">
        <f t="shared" si="10"/>
        <v>100</v>
      </c>
      <c r="L102" s="173">
        <f t="shared" si="4"/>
        <v>0</v>
      </c>
      <c r="M102" s="173">
        <f t="shared" si="4"/>
        <v>0</v>
      </c>
      <c r="N102" s="174">
        <f t="shared" si="11"/>
        <v>100</v>
      </c>
      <c r="O102" s="175">
        <v>53.6</v>
      </c>
      <c r="P102" s="173"/>
      <c r="Q102" s="173"/>
      <c r="R102" s="176">
        <f t="shared" si="9"/>
        <v>53.6</v>
      </c>
      <c r="S102" s="170">
        <v>2</v>
      </c>
      <c r="T102" s="283"/>
      <c r="U102" s="281"/>
      <c r="V102" s="177" t="s">
        <v>553</v>
      </c>
      <c r="W102" s="170" t="s">
        <v>22</v>
      </c>
      <c r="X102" s="170" t="s">
        <v>11</v>
      </c>
      <c r="Y102" s="178">
        <v>48.8</v>
      </c>
      <c r="Z102" s="170" t="s">
        <v>555</v>
      </c>
      <c r="AA102" s="170" t="s">
        <v>93</v>
      </c>
      <c r="AB102" s="170" t="s">
        <v>11</v>
      </c>
      <c r="AC102" s="170">
        <v>4.8</v>
      </c>
      <c r="AD102" s="177"/>
      <c r="AG102" s="178"/>
      <c r="AL102" s="177"/>
      <c r="AO102" s="178"/>
      <c r="AP102" s="177"/>
      <c r="AS102" s="178"/>
      <c r="AW102" s="178"/>
      <c r="BA102" s="179"/>
    </row>
    <row r="103" spans="1:53" s="170" customFormat="1" x14ac:dyDescent="0.15">
      <c r="A103" s="170">
        <v>2007</v>
      </c>
      <c r="B103" s="281"/>
      <c r="C103" s="395" t="s">
        <v>757</v>
      </c>
      <c r="D103" s="395"/>
      <c r="E103" s="170">
        <v>164</v>
      </c>
      <c r="G103" s="171">
        <v>15</v>
      </c>
      <c r="H103" s="116"/>
      <c r="I103" s="116"/>
      <c r="J103" s="172">
        <v>15</v>
      </c>
      <c r="K103" s="173">
        <f t="shared" si="10"/>
        <v>100</v>
      </c>
      <c r="L103" s="173">
        <f t="shared" si="4"/>
        <v>0</v>
      </c>
      <c r="M103" s="173">
        <f t="shared" si="4"/>
        <v>0</v>
      </c>
      <c r="N103" s="174">
        <f t="shared" si="11"/>
        <v>100</v>
      </c>
      <c r="O103" s="175">
        <v>53.6</v>
      </c>
      <c r="P103" s="173"/>
      <c r="Q103" s="173"/>
      <c r="R103" s="176">
        <f t="shared" si="9"/>
        <v>53.6</v>
      </c>
      <c r="S103" s="170">
        <v>2</v>
      </c>
      <c r="T103" s="283"/>
      <c r="U103" s="281"/>
      <c r="V103" s="177" t="s">
        <v>553</v>
      </c>
      <c r="W103" s="170" t="s">
        <v>22</v>
      </c>
      <c r="X103" s="170" t="s">
        <v>11</v>
      </c>
      <c r="Y103" s="178">
        <v>48.8</v>
      </c>
      <c r="Z103" s="170" t="s">
        <v>555</v>
      </c>
      <c r="AA103" s="170" t="s">
        <v>93</v>
      </c>
      <c r="AB103" s="170" t="s">
        <v>11</v>
      </c>
      <c r="AC103" s="170">
        <v>4.8</v>
      </c>
      <c r="AD103" s="177"/>
      <c r="AG103" s="178"/>
      <c r="AL103" s="177"/>
      <c r="AO103" s="178"/>
      <c r="AP103" s="177"/>
      <c r="AS103" s="178"/>
      <c r="AW103" s="178"/>
      <c r="BA103" s="179"/>
    </row>
    <row r="104" spans="1:53" s="28" customFormat="1" x14ac:dyDescent="0.15">
      <c r="A104" s="28">
        <v>2007</v>
      </c>
      <c r="B104" s="293">
        <v>39247</v>
      </c>
      <c r="C104" s="394" t="s">
        <v>758</v>
      </c>
      <c r="D104" s="394"/>
      <c r="E104" s="28">
        <v>201</v>
      </c>
      <c r="F104" s="28">
        <v>1</v>
      </c>
      <c r="G104" s="29">
        <v>13</v>
      </c>
      <c r="H104" s="30"/>
      <c r="I104" s="30">
        <v>2</v>
      </c>
      <c r="J104" s="31">
        <v>15</v>
      </c>
      <c r="K104" s="32">
        <f t="shared" si="10"/>
        <v>86.666666666666671</v>
      </c>
      <c r="L104" s="32">
        <f t="shared" si="4"/>
        <v>0</v>
      </c>
      <c r="M104" s="32">
        <f t="shared" si="4"/>
        <v>13.333333333333334</v>
      </c>
      <c r="N104" s="33">
        <f t="shared" si="11"/>
        <v>100</v>
      </c>
      <c r="O104" s="34">
        <v>48.2</v>
      </c>
      <c r="P104" s="32"/>
      <c r="Q104" s="32">
        <v>3.6</v>
      </c>
      <c r="R104" s="35">
        <f t="shared" si="9"/>
        <v>51.800000000000004</v>
      </c>
      <c r="S104" s="28">
        <v>3</v>
      </c>
      <c r="T104" s="284">
        <v>39226</v>
      </c>
      <c r="U104" s="293">
        <v>39247</v>
      </c>
      <c r="V104" s="37" t="s">
        <v>553</v>
      </c>
      <c r="W104" s="28" t="s">
        <v>22</v>
      </c>
      <c r="X104" s="28" t="s">
        <v>11</v>
      </c>
      <c r="Y104" s="38">
        <v>47</v>
      </c>
      <c r="Z104" s="28" t="s">
        <v>557</v>
      </c>
      <c r="AA104" s="28" t="s">
        <v>216</v>
      </c>
      <c r="AB104" s="28" t="s">
        <v>12</v>
      </c>
      <c r="AC104" s="28">
        <v>3.6</v>
      </c>
      <c r="AD104" s="37" t="s">
        <v>555</v>
      </c>
      <c r="AE104" s="28" t="s">
        <v>93</v>
      </c>
      <c r="AF104" s="28" t="s">
        <v>11</v>
      </c>
      <c r="AG104" s="38">
        <v>1.2</v>
      </c>
      <c r="AL104" s="37"/>
      <c r="AO104" s="38"/>
      <c r="AP104" s="37"/>
      <c r="AS104" s="38"/>
      <c r="AW104" s="38"/>
      <c r="BA104" s="39"/>
    </row>
    <row r="105" spans="1:53" s="28" customFormat="1" x14ac:dyDescent="0.15">
      <c r="A105" s="28">
        <v>2008</v>
      </c>
      <c r="B105" s="293"/>
      <c r="C105" s="394" t="s">
        <v>758</v>
      </c>
      <c r="D105" s="394"/>
      <c r="E105" s="28">
        <v>188</v>
      </c>
      <c r="G105" s="29">
        <v>13</v>
      </c>
      <c r="H105" s="30"/>
      <c r="I105" s="30">
        <v>2</v>
      </c>
      <c r="J105" s="31">
        <v>15</v>
      </c>
      <c r="K105" s="32">
        <f t="shared" si="10"/>
        <v>86.666666666666671</v>
      </c>
      <c r="L105" s="32">
        <f t="shared" si="4"/>
        <v>0</v>
      </c>
      <c r="M105" s="32">
        <f t="shared" si="4"/>
        <v>13.333333333333334</v>
      </c>
      <c r="N105" s="33">
        <f t="shared" si="11"/>
        <v>100</v>
      </c>
      <c r="O105" s="34">
        <v>48.2</v>
      </c>
      <c r="P105" s="32"/>
      <c r="Q105" s="32">
        <v>3.6</v>
      </c>
      <c r="R105" s="35">
        <f t="shared" si="9"/>
        <v>51.800000000000004</v>
      </c>
      <c r="S105" s="28">
        <v>3</v>
      </c>
      <c r="T105" s="284"/>
      <c r="U105" s="293"/>
      <c r="V105" s="37" t="s">
        <v>553</v>
      </c>
      <c r="W105" s="28" t="s">
        <v>22</v>
      </c>
      <c r="X105" s="28" t="s">
        <v>11</v>
      </c>
      <c r="Y105" s="38">
        <v>47</v>
      </c>
      <c r="Z105" s="28" t="s">
        <v>557</v>
      </c>
      <c r="AA105" s="28" t="s">
        <v>216</v>
      </c>
      <c r="AB105" s="28" t="s">
        <v>12</v>
      </c>
      <c r="AC105" s="28">
        <v>3.6</v>
      </c>
      <c r="AD105" s="37" t="s">
        <v>555</v>
      </c>
      <c r="AE105" s="28" t="s">
        <v>93</v>
      </c>
      <c r="AF105" s="28" t="s">
        <v>11</v>
      </c>
      <c r="AG105" s="38">
        <v>1.2</v>
      </c>
      <c r="AL105" s="37"/>
      <c r="AO105" s="38"/>
      <c r="AP105" s="37"/>
      <c r="AS105" s="38"/>
      <c r="AW105" s="38"/>
      <c r="BA105" s="39"/>
    </row>
    <row r="106" spans="1:53" s="170" customFormat="1" x14ac:dyDescent="0.15">
      <c r="A106" s="170">
        <v>2008</v>
      </c>
      <c r="B106" s="281">
        <v>39636</v>
      </c>
      <c r="C106" s="395" t="s">
        <v>288</v>
      </c>
      <c r="D106" s="395"/>
      <c r="E106" s="170">
        <f>366-E105</f>
        <v>178</v>
      </c>
      <c r="F106" s="170">
        <v>2</v>
      </c>
      <c r="G106" s="171">
        <v>13</v>
      </c>
      <c r="H106" s="116"/>
      <c r="I106" s="116">
        <v>2</v>
      </c>
      <c r="J106" s="172">
        <v>15</v>
      </c>
      <c r="K106" s="173">
        <f t="shared" si="10"/>
        <v>86.666666666666671</v>
      </c>
      <c r="L106" s="173">
        <f t="shared" si="4"/>
        <v>0</v>
      </c>
      <c r="M106" s="173">
        <f t="shared" si="4"/>
        <v>13.333333333333334</v>
      </c>
      <c r="N106" s="174">
        <f t="shared" si="11"/>
        <v>100</v>
      </c>
      <c r="O106" s="175">
        <v>48.2</v>
      </c>
      <c r="P106" s="173"/>
      <c r="Q106" s="173">
        <v>3.6</v>
      </c>
      <c r="R106" s="176">
        <f t="shared" si="9"/>
        <v>51.800000000000004</v>
      </c>
      <c r="S106" s="170">
        <v>3</v>
      </c>
      <c r="T106" s="283"/>
      <c r="U106" s="281">
        <v>39636</v>
      </c>
      <c r="V106" s="177" t="s">
        <v>553</v>
      </c>
      <c r="W106" s="170" t="s">
        <v>22</v>
      </c>
      <c r="X106" s="170" t="s">
        <v>11</v>
      </c>
      <c r="Y106" s="178">
        <v>47</v>
      </c>
      <c r="Z106" s="170" t="s">
        <v>557</v>
      </c>
      <c r="AA106" s="170" t="s">
        <v>216</v>
      </c>
      <c r="AB106" s="170" t="s">
        <v>12</v>
      </c>
      <c r="AC106" s="170">
        <v>3.6</v>
      </c>
      <c r="AD106" s="177" t="s">
        <v>555</v>
      </c>
      <c r="AE106" s="170" t="s">
        <v>93</v>
      </c>
      <c r="AF106" s="170" t="s">
        <v>11</v>
      </c>
      <c r="AG106" s="178">
        <v>1.2</v>
      </c>
      <c r="AL106" s="177"/>
      <c r="AO106" s="178"/>
      <c r="AP106" s="177"/>
      <c r="AS106" s="178"/>
      <c r="AW106" s="178"/>
      <c r="BA106" s="179"/>
    </row>
    <row r="107" spans="1:53" s="170" customFormat="1" x14ac:dyDescent="0.15">
      <c r="A107" s="170">
        <v>2009</v>
      </c>
      <c r="B107" s="281"/>
      <c r="C107" s="395" t="s">
        <v>288</v>
      </c>
      <c r="D107" s="395"/>
      <c r="E107" s="170">
        <v>344</v>
      </c>
      <c r="G107" s="171">
        <v>13</v>
      </c>
      <c r="H107" s="116"/>
      <c r="I107" s="116">
        <v>2</v>
      </c>
      <c r="J107" s="172">
        <v>15</v>
      </c>
      <c r="K107" s="173">
        <f t="shared" si="10"/>
        <v>86.666666666666671</v>
      </c>
      <c r="L107" s="173">
        <f t="shared" si="4"/>
        <v>0</v>
      </c>
      <c r="M107" s="173">
        <f t="shared" si="4"/>
        <v>13.333333333333334</v>
      </c>
      <c r="N107" s="174">
        <f t="shared" si="11"/>
        <v>100</v>
      </c>
      <c r="O107" s="175">
        <v>48.2</v>
      </c>
      <c r="P107" s="173"/>
      <c r="Q107" s="173">
        <v>3.6</v>
      </c>
      <c r="R107" s="176">
        <f t="shared" si="9"/>
        <v>51.800000000000004</v>
      </c>
      <c r="S107" s="170">
        <v>3</v>
      </c>
      <c r="T107" s="283"/>
      <c r="U107" s="281"/>
      <c r="V107" s="177" t="s">
        <v>553</v>
      </c>
      <c r="W107" s="170" t="s">
        <v>22</v>
      </c>
      <c r="X107" s="170" t="s">
        <v>11</v>
      </c>
      <c r="Y107" s="178">
        <v>47</v>
      </c>
      <c r="Z107" s="170" t="s">
        <v>557</v>
      </c>
      <c r="AA107" s="170" t="s">
        <v>216</v>
      </c>
      <c r="AB107" s="170" t="s">
        <v>12</v>
      </c>
      <c r="AC107" s="170">
        <v>3.6</v>
      </c>
      <c r="AD107" s="177" t="s">
        <v>555</v>
      </c>
      <c r="AE107" s="170" t="s">
        <v>93</v>
      </c>
      <c r="AF107" s="170" t="s">
        <v>11</v>
      </c>
      <c r="AG107" s="178">
        <v>1.2</v>
      </c>
      <c r="AL107" s="177"/>
      <c r="AO107" s="178"/>
      <c r="AP107" s="177"/>
      <c r="AS107" s="178"/>
      <c r="AW107" s="178"/>
      <c r="BA107" s="179"/>
    </row>
    <row r="108" spans="1:53" s="28" customFormat="1" x14ac:dyDescent="0.15">
      <c r="A108" s="28">
        <v>2009</v>
      </c>
      <c r="B108" s="293">
        <v>40158</v>
      </c>
      <c r="C108" s="394" t="s">
        <v>759</v>
      </c>
      <c r="D108" s="394"/>
      <c r="E108" s="28">
        <v>21</v>
      </c>
      <c r="F108" s="28">
        <v>4</v>
      </c>
      <c r="G108" s="29">
        <v>12</v>
      </c>
      <c r="H108" s="30"/>
      <c r="I108" s="30">
        <v>2</v>
      </c>
      <c r="J108" s="31">
        <v>15</v>
      </c>
      <c r="K108" s="32">
        <f t="shared" si="10"/>
        <v>80</v>
      </c>
      <c r="L108" s="32">
        <f t="shared" si="4"/>
        <v>0</v>
      </c>
      <c r="M108" s="32">
        <f t="shared" si="4"/>
        <v>13.333333333333334</v>
      </c>
      <c r="N108" s="33">
        <f t="shared" si="11"/>
        <v>93.333333333333329</v>
      </c>
      <c r="O108" s="34">
        <v>47</v>
      </c>
      <c r="P108" s="32"/>
      <c r="Q108" s="32">
        <v>3.6</v>
      </c>
      <c r="R108" s="35">
        <f t="shared" si="9"/>
        <v>50.6</v>
      </c>
      <c r="S108" s="28">
        <v>2</v>
      </c>
      <c r="T108" s="284"/>
      <c r="U108" s="293">
        <v>40158</v>
      </c>
      <c r="V108" s="37" t="s">
        <v>553</v>
      </c>
      <c r="W108" s="28" t="s">
        <v>22</v>
      </c>
      <c r="X108" s="28" t="s">
        <v>11</v>
      </c>
      <c r="Y108" s="38">
        <v>47</v>
      </c>
      <c r="Z108" s="28" t="s">
        <v>557</v>
      </c>
      <c r="AA108" s="28" t="s">
        <v>216</v>
      </c>
      <c r="AB108" s="28" t="s">
        <v>12</v>
      </c>
      <c r="AC108" s="28">
        <v>3.6</v>
      </c>
      <c r="AD108" s="37"/>
      <c r="AG108" s="38"/>
      <c r="AL108" s="37"/>
      <c r="AO108" s="38"/>
      <c r="AP108" s="37"/>
      <c r="AS108" s="38"/>
      <c r="AW108" s="38"/>
      <c r="BA108" s="39"/>
    </row>
    <row r="109" spans="1:53" s="28" customFormat="1" x14ac:dyDescent="0.15">
      <c r="A109" s="28">
        <v>2010</v>
      </c>
      <c r="B109" s="293"/>
      <c r="C109" s="394" t="s">
        <v>759</v>
      </c>
      <c r="D109" s="394"/>
      <c r="E109" s="28">
        <v>0</v>
      </c>
      <c r="G109" s="29">
        <v>12</v>
      </c>
      <c r="H109" s="30"/>
      <c r="I109" s="30">
        <v>2</v>
      </c>
      <c r="J109" s="31">
        <v>15</v>
      </c>
      <c r="K109" s="32">
        <f t="shared" si="10"/>
        <v>80</v>
      </c>
      <c r="L109" s="32">
        <f t="shared" si="4"/>
        <v>0</v>
      </c>
      <c r="M109" s="32">
        <f t="shared" si="4"/>
        <v>13.333333333333334</v>
      </c>
      <c r="N109" s="33">
        <f t="shared" si="11"/>
        <v>93.333333333333329</v>
      </c>
      <c r="O109" s="34">
        <v>47</v>
      </c>
      <c r="P109" s="32"/>
      <c r="Q109" s="32">
        <v>3.6</v>
      </c>
      <c r="R109" s="35">
        <f t="shared" si="9"/>
        <v>50.6</v>
      </c>
      <c r="S109" s="28">
        <v>2</v>
      </c>
      <c r="T109" s="284"/>
      <c r="U109" s="293"/>
      <c r="V109" s="37" t="s">
        <v>553</v>
      </c>
      <c r="W109" s="28" t="s">
        <v>22</v>
      </c>
      <c r="X109" s="28" t="s">
        <v>11</v>
      </c>
      <c r="Y109" s="38">
        <v>47</v>
      </c>
      <c r="Z109" s="28" t="s">
        <v>557</v>
      </c>
      <c r="AA109" s="28" t="s">
        <v>216</v>
      </c>
      <c r="AB109" s="28" t="s">
        <v>12</v>
      </c>
      <c r="AC109" s="28">
        <v>3.6</v>
      </c>
      <c r="AD109" s="37"/>
      <c r="AG109" s="38"/>
      <c r="AL109" s="37"/>
      <c r="AO109" s="38"/>
      <c r="AP109" s="37"/>
      <c r="AS109" s="38"/>
      <c r="AW109" s="38"/>
      <c r="BA109" s="39"/>
    </row>
    <row r="110" spans="1:53" s="28" customFormat="1" x14ac:dyDescent="0.15">
      <c r="A110" s="28">
        <v>2010</v>
      </c>
      <c r="B110" s="293"/>
      <c r="C110" s="394" t="s">
        <v>759</v>
      </c>
      <c r="D110" s="394"/>
      <c r="E110" s="28">
        <v>365</v>
      </c>
      <c r="G110" s="29">
        <v>12</v>
      </c>
      <c r="H110" s="30"/>
      <c r="I110" s="30">
        <v>2</v>
      </c>
      <c r="J110" s="31">
        <v>15</v>
      </c>
      <c r="K110" s="32">
        <f t="shared" si="10"/>
        <v>80</v>
      </c>
      <c r="L110" s="32">
        <f t="shared" si="10"/>
        <v>0</v>
      </c>
      <c r="M110" s="32">
        <f t="shared" si="10"/>
        <v>13.333333333333334</v>
      </c>
      <c r="N110" s="33">
        <f t="shared" si="11"/>
        <v>93.333333333333329</v>
      </c>
      <c r="O110" s="34">
        <v>47</v>
      </c>
      <c r="P110" s="32"/>
      <c r="Q110" s="32">
        <v>3.6</v>
      </c>
      <c r="R110" s="35">
        <f t="shared" si="9"/>
        <v>50.6</v>
      </c>
      <c r="S110" s="28">
        <v>2</v>
      </c>
      <c r="T110" s="284"/>
      <c r="U110" s="293"/>
      <c r="V110" s="37" t="s">
        <v>553</v>
      </c>
      <c r="W110" s="28" t="s">
        <v>22</v>
      </c>
      <c r="X110" s="28" t="s">
        <v>11</v>
      </c>
      <c r="Y110" s="38">
        <v>47</v>
      </c>
      <c r="Z110" s="28" t="s">
        <v>557</v>
      </c>
      <c r="AA110" s="28" t="s">
        <v>216</v>
      </c>
      <c r="AB110" s="28" t="s">
        <v>12</v>
      </c>
      <c r="AC110" s="28">
        <v>3.6</v>
      </c>
      <c r="AD110" s="37"/>
      <c r="AG110" s="38"/>
      <c r="AL110" s="37"/>
      <c r="AO110" s="38"/>
      <c r="AP110" s="37"/>
      <c r="AS110" s="38"/>
      <c r="AW110" s="38"/>
      <c r="BA110" s="39"/>
    </row>
    <row r="111" spans="1:53" s="28" customFormat="1" x14ac:dyDescent="0.15">
      <c r="A111" s="28">
        <v>2011</v>
      </c>
      <c r="B111" s="293"/>
      <c r="C111" s="394" t="s">
        <v>759</v>
      </c>
      <c r="D111" s="394"/>
      <c r="E111" s="28">
        <v>18</v>
      </c>
      <c r="G111" s="29">
        <v>12</v>
      </c>
      <c r="H111" s="30"/>
      <c r="I111" s="30">
        <v>2</v>
      </c>
      <c r="J111" s="31">
        <v>15</v>
      </c>
      <c r="K111" s="32">
        <f t="shared" si="10"/>
        <v>80</v>
      </c>
      <c r="L111" s="32">
        <f t="shared" si="10"/>
        <v>0</v>
      </c>
      <c r="M111" s="32">
        <f t="shared" si="10"/>
        <v>13.333333333333334</v>
      </c>
      <c r="N111" s="33">
        <f t="shared" si="11"/>
        <v>93.333333333333329</v>
      </c>
      <c r="O111" s="34">
        <v>47</v>
      </c>
      <c r="P111" s="32"/>
      <c r="Q111" s="32">
        <v>3.6</v>
      </c>
      <c r="R111" s="35">
        <f t="shared" si="9"/>
        <v>50.6</v>
      </c>
      <c r="S111" s="28">
        <v>2</v>
      </c>
      <c r="T111" s="284"/>
      <c r="U111" s="293"/>
      <c r="V111" s="37" t="s">
        <v>553</v>
      </c>
      <c r="W111" s="28" t="s">
        <v>22</v>
      </c>
      <c r="X111" s="28" t="s">
        <v>11</v>
      </c>
      <c r="Y111" s="38">
        <v>47</v>
      </c>
      <c r="Z111" s="28" t="s">
        <v>557</v>
      </c>
      <c r="AA111" s="28" t="s">
        <v>216</v>
      </c>
      <c r="AB111" s="28" t="s">
        <v>12</v>
      </c>
      <c r="AC111" s="28">
        <v>3.6</v>
      </c>
      <c r="AD111" s="37"/>
      <c r="AG111" s="38"/>
      <c r="AL111" s="37"/>
      <c r="AO111" s="38"/>
      <c r="AP111" s="37"/>
      <c r="AS111" s="38"/>
      <c r="AW111" s="38"/>
      <c r="BA111" s="39"/>
    </row>
    <row r="112" spans="1:53" s="28" customFormat="1" x14ac:dyDescent="0.15">
      <c r="A112" s="28">
        <v>2011</v>
      </c>
      <c r="B112" s="301">
        <v>40562</v>
      </c>
      <c r="C112" s="394" t="s">
        <v>759</v>
      </c>
      <c r="D112" s="394"/>
      <c r="E112" s="28">
        <v>1</v>
      </c>
      <c r="F112" s="83">
        <v>0</v>
      </c>
      <c r="G112" s="29">
        <v>11</v>
      </c>
      <c r="H112" s="30"/>
      <c r="I112" s="30">
        <v>2</v>
      </c>
      <c r="J112" s="31">
        <v>14</v>
      </c>
      <c r="K112" s="32">
        <f t="shared" si="10"/>
        <v>78.571428571428569</v>
      </c>
      <c r="L112" s="32">
        <f t="shared" si="10"/>
        <v>0</v>
      </c>
      <c r="M112" s="32">
        <f t="shared" si="10"/>
        <v>14.285714285714285</v>
      </c>
      <c r="N112" s="33">
        <f t="shared" si="11"/>
        <v>92.857142857142861</v>
      </c>
      <c r="O112" s="34">
        <v>47</v>
      </c>
      <c r="P112" s="32"/>
      <c r="Q112" s="32">
        <v>3.6</v>
      </c>
      <c r="R112" s="35">
        <f t="shared" si="9"/>
        <v>50.6</v>
      </c>
      <c r="S112" s="28">
        <v>2</v>
      </c>
      <c r="T112" s="284"/>
      <c r="U112" s="293"/>
      <c r="V112" s="37" t="s">
        <v>553</v>
      </c>
      <c r="W112" s="28" t="s">
        <v>22</v>
      </c>
      <c r="X112" s="28" t="s">
        <v>11</v>
      </c>
      <c r="Y112" s="38">
        <v>47</v>
      </c>
      <c r="Z112" s="28" t="s">
        <v>557</v>
      </c>
      <c r="AA112" s="28" t="s">
        <v>216</v>
      </c>
      <c r="AB112" s="28" t="s">
        <v>12</v>
      </c>
      <c r="AC112" s="28">
        <v>3.6</v>
      </c>
      <c r="AD112" s="37"/>
      <c r="AG112" s="38"/>
      <c r="AL112" s="37"/>
      <c r="AO112" s="38"/>
      <c r="AP112" s="37"/>
      <c r="AS112" s="38"/>
      <c r="AW112" s="38"/>
      <c r="BA112" s="39"/>
    </row>
    <row r="113" spans="1:53" s="28" customFormat="1" x14ac:dyDescent="0.15">
      <c r="A113" s="28">
        <v>2011</v>
      </c>
      <c r="B113" s="301">
        <v>40563</v>
      </c>
      <c r="C113" s="394" t="s">
        <v>759</v>
      </c>
      <c r="D113" s="394"/>
      <c r="E113" s="28">
        <v>3</v>
      </c>
      <c r="F113" s="83">
        <v>0</v>
      </c>
      <c r="G113" s="29">
        <v>7</v>
      </c>
      <c r="H113" s="30"/>
      <c r="I113" s="30">
        <v>2</v>
      </c>
      <c r="J113" s="31">
        <v>9</v>
      </c>
      <c r="K113" s="32">
        <f t="shared" si="10"/>
        <v>77.777777777777786</v>
      </c>
      <c r="L113" s="32">
        <f t="shared" si="10"/>
        <v>0</v>
      </c>
      <c r="M113" s="32">
        <f t="shared" si="10"/>
        <v>22.222222222222221</v>
      </c>
      <c r="N113" s="33">
        <f t="shared" si="11"/>
        <v>100</v>
      </c>
      <c r="O113" s="34">
        <v>47</v>
      </c>
      <c r="P113" s="32"/>
      <c r="Q113" s="32">
        <v>3.6</v>
      </c>
      <c r="R113" s="35">
        <f t="shared" si="9"/>
        <v>50.6</v>
      </c>
      <c r="S113" s="28">
        <v>2</v>
      </c>
      <c r="T113" s="284"/>
      <c r="U113" s="293"/>
      <c r="V113" s="37" t="s">
        <v>553</v>
      </c>
      <c r="W113" s="28" t="s">
        <v>22</v>
      </c>
      <c r="X113" s="28" t="s">
        <v>11</v>
      </c>
      <c r="Y113" s="38">
        <v>47</v>
      </c>
      <c r="Z113" s="28" t="s">
        <v>557</v>
      </c>
      <c r="AA113" s="28" t="s">
        <v>216</v>
      </c>
      <c r="AB113" s="28" t="s">
        <v>12</v>
      </c>
      <c r="AC113" s="28">
        <v>3.6</v>
      </c>
      <c r="AD113" s="37"/>
      <c r="AG113" s="38"/>
      <c r="AL113" s="37"/>
      <c r="AO113" s="38"/>
      <c r="AP113" s="37"/>
      <c r="AS113" s="38"/>
      <c r="AW113" s="38"/>
      <c r="BA113" s="39"/>
    </row>
    <row r="114" spans="1:53" s="170" customFormat="1" x14ac:dyDescent="0.15">
      <c r="A114" s="170">
        <v>2011</v>
      </c>
      <c r="B114" s="281">
        <v>40566</v>
      </c>
      <c r="C114" s="395" t="s">
        <v>760</v>
      </c>
      <c r="D114" s="395"/>
      <c r="E114" s="170">
        <f>365-E111-E112-E113-E115</f>
        <v>45</v>
      </c>
      <c r="F114" s="170">
        <v>4</v>
      </c>
      <c r="G114" s="171">
        <v>7</v>
      </c>
      <c r="H114" s="116"/>
      <c r="I114" s="116"/>
      <c r="J114" s="172">
        <v>7</v>
      </c>
      <c r="K114" s="173">
        <f t="shared" si="10"/>
        <v>100</v>
      </c>
      <c r="L114" s="173">
        <f t="shared" si="10"/>
        <v>0</v>
      </c>
      <c r="M114" s="173">
        <f t="shared" si="10"/>
        <v>0</v>
      </c>
      <c r="N114" s="174">
        <f t="shared" si="11"/>
        <v>100</v>
      </c>
      <c r="O114" s="175">
        <v>47</v>
      </c>
      <c r="P114" s="173"/>
      <c r="Q114" s="173"/>
      <c r="R114" s="176">
        <f t="shared" si="9"/>
        <v>47</v>
      </c>
      <c r="S114" s="170">
        <v>4</v>
      </c>
      <c r="T114" s="283"/>
      <c r="U114" s="281">
        <v>40566</v>
      </c>
      <c r="V114" s="177" t="s">
        <v>553</v>
      </c>
      <c r="W114" s="170" t="s">
        <v>22</v>
      </c>
      <c r="X114" s="170" t="s">
        <v>11</v>
      </c>
      <c r="Y114" s="178">
        <v>47</v>
      </c>
      <c r="AD114" s="177"/>
      <c r="AG114" s="178"/>
      <c r="AL114" s="177"/>
      <c r="AO114" s="178"/>
      <c r="AP114" s="177"/>
      <c r="AS114" s="178"/>
      <c r="AW114" s="178"/>
      <c r="BA114" s="179"/>
    </row>
    <row r="115" spans="1:53" s="28" customFormat="1" x14ac:dyDescent="0.15">
      <c r="A115" s="28">
        <v>2011</v>
      </c>
      <c r="B115" s="293">
        <v>40611</v>
      </c>
      <c r="C115" s="394" t="s">
        <v>289</v>
      </c>
      <c r="D115" s="394"/>
      <c r="E115" s="28">
        <v>298</v>
      </c>
      <c r="F115" s="28">
        <v>1</v>
      </c>
      <c r="G115" s="29"/>
      <c r="H115" s="30">
        <v>10</v>
      </c>
      <c r="I115" s="30">
        <v>5</v>
      </c>
      <c r="J115" s="31">
        <v>15</v>
      </c>
      <c r="K115" s="32">
        <f t="shared" si="10"/>
        <v>0</v>
      </c>
      <c r="L115" s="32">
        <f t="shared" si="10"/>
        <v>66.666666666666657</v>
      </c>
      <c r="M115" s="32">
        <f t="shared" si="10"/>
        <v>33.333333333333329</v>
      </c>
      <c r="N115" s="33">
        <f t="shared" si="11"/>
        <v>99.999999999999986</v>
      </c>
      <c r="O115" s="34"/>
      <c r="P115" s="32">
        <v>45.8</v>
      </c>
      <c r="Q115" s="32">
        <v>22.3</v>
      </c>
      <c r="R115" s="35">
        <f t="shared" si="9"/>
        <v>68.099999999999994</v>
      </c>
      <c r="S115" s="28">
        <v>2</v>
      </c>
      <c r="T115" s="284">
        <v>40599</v>
      </c>
      <c r="U115" s="293">
        <v>40611</v>
      </c>
      <c r="V115" s="37" t="s">
        <v>554</v>
      </c>
      <c r="W115" s="28" t="s">
        <v>17</v>
      </c>
      <c r="X115" s="28" t="s">
        <v>18</v>
      </c>
      <c r="Y115" s="38">
        <v>45.8</v>
      </c>
      <c r="Z115" s="28" t="s">
        <v>451</v>
      </c>
      <c r="AA115" s="28" t="s">
        <v>20</v>
      </c>
      <c r="AB115" s="28" t="s">
        <v>12</v>
      </c>
      <c r="AC115" s="28">
        <v>22.3</v>
      </c>
      <c r="AD115" s="37"/>
      <c r="AG115" s="38"/>
      <c r="AL115" s="37"/>
      <c r="AO115" s="38"/>
      <c r="AP115" s="37"/>
      <c r="AS115" s="38"/>
      <c r="AW115" s="38"/>
      <c r="BA115" s="39"/>
    </row>
    <row r="116" spans="1:53" s="28" customFormat="1" x14ac:dyDescent="0.15">
      <c r="A116" s="28">
        <v>2012</v>
      </c>
      <c r="B116" s="293"/>
      <c r="C116" s="394" t="s">
        <v>289</v>
      </c>
      <c r="D116" s="394"/>
      <c r="E116" s="28">
        <v>0</v>
      </c>
      <c r="G116" s="29"/>
      <c r="H116" s="30">
        <v>10</v>
      </c>
      <c r="I116" s="30">
        <v>5</v>
      </c>
      <c r="J116" s="31">
        <v>15</v>
      </c>
      <c r="K116" s="32">
        <f t="shared" si="10"/>
        <v>0</v>
      </c>
      <c r="L116" s="32">
        <f t="shared" si="10"/>
        <v>66.666666666666657</v>
      </c>
      <c r="M116" s="32">
        <f t="shared" si="10"/>
        <v>33.333333333333329</v>
      </c>
      <c r="N116" s="33">
        <f t="shared" si="11"/>
        <v>99.999999999999986</v>
      </c>
      <c r="O116" s="34"/>
      <c r="P116" s="32">
        <v>45.8</v>
      </c>
      <c r="Q116" s="32">
        <v>22.3</v>
      </c>
      <c r="R116" s="35">
        <f t="shared" si="9"/>
        <v>68.099999999999994</v>
      </c>
      <c r="S116" s="28">
        <v>2</v>
      </c>
      <c r="T116" s="284"/>
      <c r="U116" s="293"/>
      <c r="V116" s="37" t="s">
        <v>554</v>
      </c>
      <c r="W116" s="28" t="s">
        <v>17</v>
      </c>
      <c r="X116" s="28" t="s">
        <v>18</v>
      </c>
      <c r="Y116" s="38">
        <v>45.8</v>
      </c>
      <c r="Z116" s="28" t="s">
        <v>451</v>
      </c>
      <c r="AA116" s="28" t="s">
        <v>20</v>
      </c>
      <c r="AB116" s="28" t="s">
        <v>12</v>
      </c>
      <c r="AC116" s="28">
        <v>22.3</v>
      </c>
      <c r="AD116" s="37"/>
      <c r="AG116" s="38"/>
      <c r="AL116" s="37"/>
      <c r="AO116" s="38"/>
      <c r="AP116" s="37"/>
      <c r="AS116" s="38"/>
      <c r="AW116" s="38"/>
      <c r="BA116" s="39"/>
    </row>
    <row r="117" spans="1:53" s="28" customFormat="1" x14ac:dyDescent="0.15">
      <c r="A117" s="28">
        <v>2012</v>
      </c>
      <c r="B117" s="293"/>
      <c r="C117" s="394" t="s">
        <v>289</v>
      </c>
      <c r="D117" s="394"/>
      <c r="E117" s="28">
        <v>366</v>
      </c>
      <c r="G117" s="29"/>
      <c r="H117" s="30">
        <v>10</v>
      </c>
      <c r="I117" s="30">
        <v>5</v>
      </c>
      <c r="J117" s="31">
        <v>15</v>
      </c>
      <c r="K117" s="32">
        <f t="shared" si="10"/>
        <v>0</v>
      </c>
      <c r="L117" s="32">
        <f t="shared" si="10"/>
        <v>66.666666666666657</v>
      </c>
      <c r="M117" s="32">
        <f t="shared" si="10"/>
        <v>33.333333333333329</v>
      </c>
      <c r="N117" s="33">
        <f t="shared" si="11"/>
        <v>99.999999999999986</v>
      </c>
      <c r="O117" s="34"/>
      <c r="P117" s="32">
        <v>45.8</v>
      </c>
      <c r="Q117" s="32">
        <v>22.3</v>
      </c>
      <c r="R117" s="35">
        <f t="shared" si="9"/>
        <v>68.099999999999994</v>
      </c>
      <c r="S117" s="28">
        <v>2</v>
      </c>
      <c r="T117" s="284"/>
      <c r="U117" s="293"/>
      <c r="V117" s="37" t="s">
        <v>554</v>
      </c>
      <c r="W117" s="28" t="s">
        <v>17</v>
      </c>
      <c r="X117" s="28" t="s">
        <v>18</v>
      </c>
      <c r="Y117" s="38">
        <v>45.8</v>
      </c>
      <c r="Z117" s="28" t="s">
        <v>451</v>
      </c>
      <c r="AA117" s="28" t="s">
        <v>20</v>
      </c>
      <c r="AB117" s="28" t="s">
        <v>12</v>
      </c>
      <c r="AC117" s="28">
        <v>22.3</v>
      </c>
      <c r="AD117" s="37"/>
      <c r="AG117" s="38"/>
      <c r="AL117" s="37"/>
      <c r="AO117" s="38"/>
      <c r="AP117" s="37"/>
      <c r="AS117" s="38"/>
      <c r="AW117" s="38"/>
      <c r="BA117" s="39"/>
    </row>
    <row r="118" spans="1:53" s="28" customFormat="1" x14ac:dyDescent="0.15">
      <c r="A118" s="28">
        <v>2013</v>
      </c>
      <c r="B118" s="293"/>
      <c r="C118" s="394" t="s">
        <v>289</v>
      </c>
      <c r="D118" s="394"/>
      <c r="E118" s="28">
        <v>0</v>
      </c>
      <c r="G118" s="29"/>
      <c r="H118" s="30">
        <v>10</v>
      </c>
      <c r="I118" s="30">
        <v>5</v>
      </c>
      <c r="J118" s="31">
        <v>15</v>
      </c>
      <c r="K118" s="32">
        <f t="shared" si="10"/>
        <v>0</v>
      </c>
      <c r="L118" s="32">
        <f t="shared" si="10"/>
        <v>66.666666666666657</v>
      </c>
      <c r="M118" s="32">
        <f t="shared" si="10"/>
        <v>33.333333333333329</v>
      </c>
      <c r="N118" s="33">
        <f t="shared" si="11"/>
        <v>99.999999999999986</v>
      </c>
      <c r="O118" s="34"/>
      <c r="P118" s="32">
        <v>45.8</v>
      </c>
      <c r="Q118" s="32">
        <v>22.3</v>
      </c>
      <c r="R118" s="35">
        <f>O118+P118+Q118</f>
        <v>68.099999999999994</v>
      </c>
      <c r="S118" s="28">
        <v>2</v>
      </c>
      <c r="T118" s="284"/>
      <c r="U118" s="293"/>
      <c r="V118" s="37" t="s">
        <v>554</v>
      </c>
      <c r="W118" s="28" t="s">
        <v>17</v>
      </c>
      <c r="X118" s="28" t="s">
        <v>18</v>
      </c>
      <c r="Y118" s="38">
        <v>45.8</v>
      </c>
      <c r="Z118" s="28" t="s">
        <v>451</v>
      </c>
      <c r="AA118" s="28" t="s">
        <v>20</v>
      </c>
      <c r="AB118" s="28" t="s">
        <v>12</v>
      </c>
      <c r="AC118" s="28">
        <v>22.3</v>
      </c>
      <c r="AD118" s="37"/>
      <c r="AG118" s="38"/>
      <c r="AL118" s="37"/>
      <c r="AO118" s="38"/>
      <c r="AP118" s="37"/>
      <c r="AS118" s="38"/>
      <c r="AW118" s="38"/>
      <c r="BA118" s="39"/>
    </row>
    <row r="119" spans="1:53" s="28" customFormat="1" x14ac:dyDescent="0.15">
      <c r="A119" s="28">
        <v>2013</v>
      </c>
      <c r="B119" s="293"/>
      <c r="C119" s="394" t="s">
        <v>289</v>
      </c>
      <c r="D119" s="394"/>
      <c r="E119" s="28">
        <v>365</v>
      </c>
      <c r="G119" s="29"/>
      <c r="H119" s="30">
        <v>10</v>
      </c>
      <c r="I119" s="30">
        <v>5</v>
      </c>
      <c r="J119" s="31">
        <v>15</v>
      </c>
      <c r="K119" s="32">
        <f t="shared" si="10"/>
        <v>0</v>
      </c>
      <c r="L119" s="32">
        <f t="shared" si="10"/>
        <v>66.666666666666657</v>
      </c>
      <c r="M119" s="32">
        <f t="shared" si="10"/>
        <v>33.333333333333329</v>
      </c>
      <c r="N119" s="33">
        <f t="shared" si="11"/>
        <v>99.999999999999986</v>
      </c>
      <c r="O119" s="34"/>
      <c r="P119" s="32">
        <v>45.8</v>
      </c>
      <c r="Q119" s="32">
        <v>22.3</v>
      </c>
      <c r="R119" s="35">
        <f>O119+P119+Q119</f>
        <v>68.099999999999994</v>
      </c>
      <c r="S119" s="28">
        <v>2</v>
      </c>
      <c r="T119" s="284"/>
      <c r="U119" s="293"/>
      <c r="V119" s="37" t="s">
        <v>554</v>
      </c>
      <c r="W119" s="28" t="s">
        <v>17</v>
      </c>
      <c r="X119" s="28" t="s">
        <v>18</v>
      </c>
      <c r="Y119" s="38">
        <v>45.8</v>
      </c>
      <c r="Z119" s="28" t="s">
        <v>451</v>
      </c>
      <c r="AA119" s="28" t="s">
        <v>20</v>
      </c>
      <c r="AB119" s="28" t="s">
        <v>12</v>
      </c>
      <c r="AC119" s="28">
        <v>22.3</v>
      </c>
      <c r="AD119" s="37"/>
      <c r="AG119" s="38"/>
      <c r="AL119" s="37"/>
      <c r="AO119" s="38"/>
      <c r="AP119" s="37"/>
      <c r="AS119" s="38"/>
      <c r="AW119" s="38"/>
      <c r="BA119" s="39"/>
    </row>
    <row r="120" spans="1:53" s="28" customFormat="1" x14ac:dyDescent="0.15">
      <c r="A120" s="28">
        <v>2014</v>
      </c>
      <c r="B120" s="301"/>
      <c r="C120" s="394" t="s">
        <v>289</v>
      </c>
      <c r="D120" s="394"/>
      <c r="E120" s="28">
        <v>0</v>
      </c>
      <c r="F120" s="83"/>
      <c r="G120" s="29"/>
      <c r="H120" s="30">
        <v>10</v>
      </c>
      <c r="I120" s="30">
        <v>5</v>
      </c>
      <c r="J120" s="31">
        <v>15</v>
      </c>
      <c r="K120" s="32">
        <f t="shared" ref="K120:M121" si="12">G120/$J120*100</f>
        <v>0</v>
      </c>
      <c r="L120" s="32">
        <f t="shared" si="12"/>
        <v>66.666666666666657</v>
      </c>
      <c r="M120" s="32">
        <f t="shared" si="12"/>
        <v>33.333333333333329</v>
      </c>
      <c r="N120" s="33">
        <f>K120+L120+M120</f>
        <v>99.999999999999986</v>
      </c>
      <c r="O120" s="34"/>
      <c r="P120" s="32">
        <v>45.8</v>
      </c>
      <c r="Q120" s="32">
        <v>22.3</v>
      </c>
      <c r="R120" s="35">
        <f>O120+P120+Q120</f>
        <v>68.099999999999994</v>
      </c>
      <c r="S120" s="28">
        <v>2</v>
      </c>
      <c r="T120" s="284"/>
      <c r="U120" s="293"/>
      <c r="V120" s="37" t="s">
        <v>554</v>
      </c>
      <c r="W120" s="28" t="s">
        <v>17</v>
      </c>
      <c r="X120" s="28" t="s">
        <v>18</v>
      </c>
      <c r="Y120" s="38">
        <v>45.8</v>
      </c>
      <c r="Z120" s="28" t="s">
        <v>451</v>
      </c>
      <c r="AA120" s="28" t="s">
        <v>20</v>
      </c>
      <c r="AB120" s="28" t="s">
        <v>12</v>
      </c>
      <c r="AC120" s="28">
        <v>22.3</v>
      </c>
      <c r="AD120" s="37"/>
      <c r="AG120" s="38"/>
      <c r="AL120" s="37"/>
      <c r="AO120" s="38"/>
      <c r="AP120" s="37"/>
      <c r="AS120" s="38"/>
      <c r="AW120" s="38"/>
      <c r="BA120" s="39"/>
    </row>
    <row r="121" spans="1:53" s="28" customFormat="1" x14ac:dyDescent="0.15">
      <c r="A121" s="28">
        <v>2014</v>
      </c>
      <c r="B121" s="301"/>
      <c r="C121" s="394" t="s">
        <v>289</v>
      </c>
      <c r="D121" s="394"/>
      <c r="E121" s="28">
        <v>365</v>
      </c>
      <c r="F121" s="83"/>
      <c r="G121" s="29"/>
      <c r="H121" s="30">
        <v>10</v>
      </c>
      <c r="I121" s="30">
        <v>5</v>
      </c>
      <c r="J121" s="31">
        <v>15</v>
      </c>
      <c r="K121" s="32">
        <f t="shared" si="12"/>
        <v>0</v>
      </c>
      <c r="L121" s="32">
        <f t="shared" si="12"/>
        <v>66.666666666666657</v>
      </c>
      <c r="M121" s="32">
        <f t="shared" si="12"/>
        <v>33.333333333333329</v>
      </c>
      <c r="N121" s="33">
        <f>K121+L121+M121</f>
        <v>99.999999999999986</v>
      </c>
      <c r="O121" s="34"/>
      <c r="P121" s="32">
        <v>45.8</v>
      </c>
      <c r="Q121" s="32">
        <v>22.3</v>
      </c>
      <c r="R121" s="35">
        <f>O121+P121+Q121</f>
        <v>68.099999999999994</v>
      </c>
      <c r="S121" s="28">
        <v>2</v>
      </c>
      <c r="T121" s="284"/>
      <c r="U121" s="293"/>
      <c r="V121" s="37" t="s">
        <v>554</v>
      </c>
      <c r="W121" s="28" t="s">
        <v>17</v>
      </c>
      <c r="X121" s="28" t="s">
        <v>18</v>
      </c>
      <c r="Y121" s="38">
        <v>45.8</v>
      </c>
      <c r="Z121" s="28" t="s">
        <v>451</v>
      </c>
      <c r="AA121" s="28" t="s">
        <v>20</v>
      </c>
      <c r="AB121" s="28" t="s">
        <v>12</v>
      </c>
      <c r="AC121" s="28">
        <v>22.3</v>
      </c>
      <c r="AD121" s="37"/>
      <c r="AG121" s="38"/>
      <c r="AL121" s="37"/>
      <c r="AO121" s="38"/>
      <c r="AP121" s="37"/>
      <c r="AS121" s="38"/>
      <c r="AW121" s="38"/>
      <c r="BA121" s="39"/>
    </row>
    <row r="122" spans="1:53" s="28" customFormat="1" x14ac:dyDescent="0.15">
      <c r="A122" s="28">
        <v>2015</v>
      </c>
      <c r="B122" s="301"/>
      <c r="C122" s="394" t="s">
        <v>289</v>
      </c>
      <c r="D122" s="394"/>
      <c r="E122" s="28">
        <v>0</v>
      </c>
      <c r="F122" s="83"/>
      <c r="G122" s="29"/>
      <c r="H122" s="30">
        <v>10</v>
      </c>
      <c r="I122" s="30">
        <v>5</v>
      </c>
      <c r="J122" s="31">
        <v>15</v>
      </c>
      <c r="K122" s="32">
        <f t="shared" ref="K122:K129" si="13">G122/$J122*100</f>
        <v>0</v>
      </c>
      <c r="L122" s="32">
        <f t="shared" ref="L122:L129" si="14">H122/$J122*100</f>
        <v>66.666666666666657</v>
      </c>
      <c r="M122" s="32">
        <f t="shared" ref="M122:M129" si="15">I122/$J122*100</f>
        <v>33.333333333333329</v>
      </c>
      <c r="N122" s="33">
        <f t="shared" ref="N122:N129" si="16">K122+L122+M122</f>
        <v>99.999999999999986</v>
      </c>
      <c r="O122" s="34"/>
      <c r="P122" s="32">
        <v>45.8</v>
      </c>
      <c r="Q122" s="32">
        <v>22.3</v>
      </c>
      <c r="R122" s="35">
        <f t="shared" ref="R122:R127" si="17">O122+P122+Q122</f>
        <v>68.099999999999994</v>
      </c>
      <c r="S122" s="28">
        <v>2</v>
      </c>
      <c r="T122" s="284"/>
      <c r="U122" s="293"/>
      <c r="V122" s="37" t="s">
        <v>554</v>
      </c>
      <c r="W122" s="28" t="s">
        <v>17</v>
      </c>
      <c r="X122" s="28" t="s">
        <v>18</v>
      </c>
      <c r="Y122" s="38">
        <v>45.8</v>
      </c>
      <c r="Z122" s="28" t="s">
        <v>451</v>
      </c>
      <c r="AA122" s="28" t="s">
        <v>20</v>
      </c>
      <c r="AB122" s="28" t="s">
        <v>12</v>
      </c>
      <c r="AC122" s="28">
        <v>22.3</v>
      </c>
      <c r="AD122" s="37"/>
      <c r="AG122" s="38"/>
      <c r="AL122" s="37"/>
      <c r="AO122" s="38"/>
      <c r="AP122" s="37"/>
      <c r="AS122" s="38"/>
      <c r="AW122" s="38"/>
      <c r="BA122" s="39"/>
    </row>
    <row r="123" spans="1:53" s="28" customFormat="1" x14ac:dyDescent="0.15">
      <c r="A123" s="28">
        <v>2015</v>
      </c>
      <c r="B123" s="301"/>
      <c r="C123" s="394" t="s">
        <v>289</v>
      </c>
      <c r="D123" s="394"/>
      <c r="E123" s="28">
        <v>365</v>
      </c>
      <c r="F123" s="83"/>
      <c r="G123" s="29"/>
      <c r="H123" s="30">
        <v>10</v>
      </c>
      <c r="I123" s="30">
        <v>5</v>
      </c>
      <c r="J123" s="31">
        <v>15</v>
      </c>
      <c r="K123" s="32">
        <f t="shared" si="13"/>
        <v>0</v>
      </c>
      <c r="L123" s="32">
        <f t="shared" si="14"/>
        <v>66.666666666666657</v>
      </c>
      <c r="M123" s="32">
        <f t="shared" si="15"/>
        <v>33.333333333333329</v>
      </c>
      <c r="N123" s="33">
        <f t="shared" si="16"/>
        <v>99.999999999999986</v>
      </c>
      <c r="O123" s="34"/>
      <c r="P123" s="32">
        <v>45.8</v>
      </c>
      <c r="Q123" s="32">
        <v>22.3</v>
      </c>
      <c r="R123" s="35">
        <f t="shared" si="17"/>
        <v>68.099999999999994</v>
      </c>
      <c r="S123" s="28">
        <v>2</v>
      </c>
      <c r="T123" s="284"/>
      <c r="U123" s="293"/>
      <c r="V123" s="37" t="s">
        <v>554</v>
      </c>
      <c r="W123" s="28" t="s">
        <v>17</v>
      </c>
      <c r="X123" s="28" t="s">
        <v>18</v>
      </c>
      <c r="Y123" s="38">
        <v>45.8</v>
      </c>
      <c r="Z123" s="28" t="s">
        <v>451</v>
      </c>
      <c r="AA123" s="28" t="s">
        <v>20</v>
      </c>
      <c r="AB123" s="28" t="s">
        <v>12</v>
      </c>
      <c r="AC123" s="28">
        <v>22.3</v>
      </c>
      <c r="AD123" s="37"/>
      <c r="AG123" s="38"/>
      <c r="AL123" s="37"/>
      <c r="AO123" s="38"/>
      <c r="AP123" s="37"/>
      <c r="AS123" s="38"/>
      <c r="AW123" s="38"/>
      <c r="BA123" s="39"/>
    </row>
    <row r="124" spans="1:53" s="28" customFormat="1" x14ac:dyDescent="0.15">
      <c r="A124" s="28">
        <v>2016</v>
      </c>
      <c r="B124" s="301"/>
      <c r="C124" s="394" t="s">
        <v>289</v>
      </c>
      <c r="D124" s="394"/>
      <c r="E124" s="28">
        <v>126</v>
      </c>
      <c r="F124" s="83"/>
      <c r="G124" s="29"/>
      <c r="H124" s="30">
        <v>10</v>
      </c>
      <c r="I124" s="30">
        <v>5</v>
      </c>
      <c r="J124" s="31">
        <v>15</v>
      </c>
      <c r="K124" s="32">
        <f t="shared" si="13"/>
        <v>0</v>
      </c>
      <c r="L124" s="32">
        <f t="shared" si="14"/>
        <v>66.666666666666657</v>
      </c>
      <c r="M124" s="32">
        <f t="shared" si="15"/>
        <v>33.333333333333329</v>
      </c>
      <c r="N124" s="33">
        <f t="shared" si="16"/>
        <v>99.999999999999986</v>
      </c>
      <c r="O124" s="34"/>
      <c r="P124" s="32">
        <v>45.8</v>
      </c>
      <c r="Q124" s="32">
        <v>22.3</v>
      </c>
      <c r="R124" s="35">
        <f t="shared" si="17"/>
        <v>68.099999999999994</v>
      </c>
      <c r="S124" s="28">
        <v>2</v>
      </c>
      <c r="T124" s="284"/>
      <c r="U124" s="293"/>
      <c r="V124" s="37" t="s">
        <v>554</v>
      </c>
      <c r="W124" s="28" t="s">
        <v>17</v>
      </c>
      <c r="X124" s="28" t="s">
        <v>18</v>
      </c>
      <c r="Y124" s="38">
        <v>45.8</v>
      </c>
      <c r="Z124" s="28" t="s">
        <v>451</v>
      </c>
      <c r="AA124" s="28" t="s">
        <v>20</v>
      </c>
      <c r="AB124" s="28" t="s">
        <v>12</v>
      </c>
      <c r="AC124" s="28">
        <v>22.3</v>
      </c>
      <c r="AD124" s="37"/>
      <c r="AG124" s="38"/>
      <c r="AL124" s="37"/>
      <c r="AO124" s="38"/>
      <c r="AP124" s="37"/>
      <c r="AS124" s="38"/>
      <c r="AW124" s="38"/>
      <c r="BA124" s="39"/>
    </row>
    <row r="125" spans="1:53" s="170" customFormat="1" x14ac:dyDescent="0.15">
      <c r="A125" s="170">
        <v>2016</v>
      </c>
      <c r="B125" s="281">
        <v>42496</v>
      </c>
      <c r="C125" s="395" t="s">
        <v>1340</v>
      </c>
      <c r="D125" s="395"/>
      <c r="E125" s="170">
        <v>240</v>
      </c>
      <c r="F125" s="170">
        <v>1</v>
      </c>
      <c r="G125" s="171"/>
      <c r="H125" s="116">
        <v>12</v>
      </c>
      <c r="I125" s="116"/>
      <c r="J125" s="172">
        <v>15</v>
      </c>
      <c r="K125" s="173">
        <f t="shared" si="13"/>
        <v>0</v>
      </c>
      <c r="L125" s="173">
        <f t="shared" si="14"/>
        <v>80</v>
      </c>
      <c r="M125" s="173">
        <f t="shared" si="15"/>
        <v>0</v>
      </c>
      <c r="N125" s="174">
        <f t="shared" si="16"/>
        <v>80</v>
      </c>
      <c r="O125" s="175"/>
      <c r="P125" s="173">
        <v>31.6</v>
      </c>
      <c r="Q125" s="173"/>
      <c r="R125" s="176">
        <f t="shared" si="17"/>
        <v>31.6</v>
      </c>
      <c r="S125" s="170">
        <v>4</v>
      </c>
      <c r="T125" s="283">
        <v>42426</v>
      </c>
      <c r="U125" s="281">
        <v>42496</v>
      </c>
      <c r="V125" s="177" t="s">
        <v>554</v>
      </c>
      <c r="W125" s="170" t="s">
        <v>17</v>
      </c>
      <c r="X125" s="170" t="s">
        <v>18</v>
      </c>
      <c r="Y125" s="178">
        <v>31.6</v>
      </c>
      <c r="AD125" s="177"/>
      <c r="AG125" s="178"/>
      <c r="AL125" s="177"/>
      <c r="AO125" s="178"/>
      <c r="AP125" s="177"/>
      <c r="AS125" s="178"/>
      <c r="AW125" s="178"/>
      <c r="BA125" s="179"/>
    </row>
    <row r="126" spans="1:53" s="170" customFormat="1" x14ac:dyDescent="0.15">
      <c r="A126" s="170">
        <v>2017</v>
      </c>
      <c r="B126" s="281"/>
      <c r="C126" s="395" t="s">
        <v>1340</v>
      </c>
      <c r="D126" s="395"/>
      <c r="E126" s="170">
        <v>164</v>
      </c>
      <c r="G126" s="171"/>
      <c r="H126" s="116">
        <v>12</v>
      </c>
      <c r="I126" s="116"/>
      <c r="J126" s="172">
        <v>15</v>
      </c>
      <c r="K126" s="173">
        <f t="shared" si="13"/>
        <v>0</v>
      </c>
      <c r="L126" s="173">
        <f t="shared" si="14"/>
        <v>80</v>
      </c>
      <c r="M126" s="173">
        <f t="shared" si="15"/>
        <v>0</v>
      </c>
      <c r="N126" s="174">
        <f t="shared" si="16"/>
        <v>80</v>
      </c>
      <c r="O126" s="175"/>
      <c r="P126" s="173">
        <v>31.6</v>
      </c>
      <c r="Q126" s="173"/>
      <c r="R126" s="176">
        <f t="shared" si="17"/>
        <v>31.6</v>
      </c>
      <c r="S126" s="170">
        <v>4</v>
      </c>
      <c r="T126" s="283"/>
      <c r="U126" s="281"/>
      <c r="V126" s="177" t="s">
        <v>554</v>
      </c>
      <c r="W126" s="170" t="s">
        <v>17</v>
      </c>
      <c r="X126" s="170" t="s">
        <v>18</v>
      </c>
      <c r="Y126" s="178">
        <v>31.6</v>
      </c>
      <c r="AD126" s="177"/>
      <c r="AG126" s="178"/>
      <c r="AL126" s="177"/>
      <c r="AO126" s="178"/>
      <c r="AP126" s="177"/>
      <c r="AS126" s="178"/>
      <c r="AW126" s="178"/>
      <c r="BA126" s="179"/>
    </row>
    <row r="127" spans="1:53" s="28" customFormat="1" x14ac:dyDescent="0.15">
      <c r="A127" s="28">
        <v>2017</v>
      </c>
      <c r="B127" s="293">
        <v>42900</v>
      </c>
      <c r="C127" s="394" t="s">
        <v>1373</v>
      </c>
      <c r="D127" s="394"/>
      <c r="E127" s="28">
        <v>201</v>
      </c>
      <c r="F127" s="28">
        <v>2</v>
      </c>
      <c r="G127" s="29"/>
      <c r="H127" s="30">
        <v>12</v>
      </c>
      <c r="I127" s="30"/>
      <c r="J127" s="31">
        <v>15</v>
      </c>
      <c r="K127" s="32">
        <f t="shared" si="13"/>
        <v>0</v>
      </c>
      <c r="L127" s="32">
        <f t="shared" si="14"/>
        <v>80</v>
      </c>
      <c r="M127" s="32">
        <f t="shared" si="15"/>
        <v>0</v>
      </c>
      <c r="N127" s="33">
        <f t="shared" si="16"/>
        <v>80</v>
      </c>
      <c r="O127" s="34"/>
      <c r="P127" s="32">
        <v>31.6</v>
      </c>
      <c r="Q127" s="32"/>
      <c r="R127" s="35">
        <f t="shared" si="17"/>
        <v>31.6</v>
      </c>
      <c r="S127" s="28">
        <v>4</v>
      </c>
      <c r="T127" s="284"/>
      <c r="U127" s="293">
        <v>42900</v>
      </c>
      <c r="V127" s="37" t="s">
        <v>554</v>
      </c>
      <c r="W127" s="28" t="s">
        <v>17</v>
      </c>
      <c r="X127" s="28" t="s">
        <v>18</v>
      </c>
      <c r="Y127" s="38">
        <v>31.6</v>
      </c>
      <c r="AD127" s="37"/>
      <c r="AG127" s="38"/>
      <c r="AK127" s="38"/>
      <c r="AO127" s="38"/>
      <c r="AP127" s="37"/>
      <c r="AS127" s="38"/>
      <c r="AW127" s="38"/>
      <c r="BA127" s="39"/>
    </row>
    <row r="128" spans="1:53" s="28" customFormat="1" x14ac:dyDescent="0.15">
      <c r="A128" s="28">
        <v>2018</v>
      </c>
      <c r="B128" s="293"/>
      <c r="C128" s="394" t="s">
        <v>1373</v>
      </c>
      <c r="D128" s="394"/>
      <c r="E128" s="28">
        <v>283</v>
      </c>
      <c r="G128" s="29"/>
      <c r="H128" s="30">
        <v>12</v>
      </c>
      <c r="I128" s="30"/>
      <c r="J128" s="31">
        <v>15</v>
      </c>
      <c r="K128" s="32">
        <f t="shared" si="13"/>
        <v>0</v>
      </c>
      <c r="L128" s="32">
        <f t="shared" si="14"/>
        <v>80</v>
      </c>
      <c r="M128" s="32">
        <f t="shared" si="15"/>
        <v>0</v>
      </c>
      <c r="N128" s="33">
        <f t="shared" si="16"/>
        <v>80</v>
      </c>
      <c r="O128" s="34"/>
      <c r="P128" s="32">
        <v>31.6</v>
      </c>
      <c r="Q128" s="32"/>
      <c r="R128" s="35">
        <f t="shared" ref="R128:R129" si="18">O128+P128+Q128</f>
        <v>31.6</v>
      </c>
      <c r="S128" s="28">
        <v>4</v>
      </c>
      <c r="T128" s="284"/>
      <c r="U128" s="293"/>
      <c r="V128" s="37" t="s">
        <v>554</v>
      </c>
      <c r="W128" s="28" t="s">
        <v>17</v>
      </c>
      <c r="X128" s="28" t="s">
        <v>18</v>
      </c>
      <c r="Y128" s="38">
        <v>31.6</v>
      </c>
      <c r="AD128" s="37"/>
      <c r="AG128" s="38"/>
      <c r="AK128" s="38"/>
      <c r="AO128" s="38"/>
      <c r="AS128" s="38"/>
      <c r="AW128" s="38"/>
      <c r="BA128" s="39"/>
    </row>
    <row r="129" spans="1:53" s="28" customFormat="1" x14ac:dyDescent="0.15">
      <c r="A129" s="28">
        <v>2018</v>
      </c>
      <c r="B129" s="301">
        <v>43384</v>
      </c>
      <c r="C129" s="394" t="s">
        <v>1373</v>
      </c>
      <c r="D129" s="394"/>
      <c r="E129" s="28">
        <v>82</v>
      </c>
      <c r="F129" s="83">
        <v>0</v>
      </c>
      <c r="G129" s="29"/>
      <c r="H129" s="30">
        <v>13</v>
      </c>
      <c r="I129" s="30"/>
      <c r="J129" s="31">
        <v>15</v>
      </c>
      <c r="K129" s="32">
        <f t="shared" si="13"/>
        <v>0</v>
      </c>
      <c r="L129" s="32">
        <f t="shared" si="14"/>
        <v>86.666666666666671</v>
      </c>
      <c r="M129" s="32">
        <f t="shared" si="15"/>
        <v>0</v>
      </c>
      <c r="N129" s="33">
        <f t="shared" si="16"/>
        <v>86.666666666666671</v>
      </c>
      <c r="O129" s="34"/>
      <c r="P129" s="32">
        <v>31.6</v>
      </c>
      <c r="Q129" s="32"/>
      <c r="R129" s="35">
        <f t="shared" si="18"/>
        <v>31.6</v>
      </c>
      <c r="S129" s="28">
        <v>4</v>
      </c>
      <c r="T129" s="284"/>
      <c r="U129" s="293"/>
      <c r="V129" s="37" t="s">
        <v>554</v>
      </c>
      <c r="W129" s="28" t="s">
        <v>17</v>
      </c>
      <c r="X129" s="28" t="s">
        <v>18</v>
      </c>
      <c r="Y129" s="38">
        <v>31.6</v>
      </c>
      <c r="AD129" s="37"/>
      <c r="AG129" s="38"/>
      <c r="AK129" s="38"/>
      <c r="AO129" s="38"/>
      <c r="AS129" s="38"/>
      <c r="AW129" s="38"/>
      <c r="BA129" s="39"/>
    </row>
    <row r="130" spans="1:53" s="28" customFormat="1" x14ac:dyDescent="0.15">
      <c r="A130" s="28">
        <v>2019</v>
      </c>
      <c r="B130" s="293"/>
      <c r="C130" s="394" t="s">
        <v>1373</v>
      </c>
      <c r="D130" s="394"/>
      <c r="E130" s="28">
        <v>0</v>
      </c>
      <c r="F130" s="340"/>
      <c r="G130" s="30"/>
      <c r="H130" s="30">
        <v>13</v>
      </c>
      <c r="I130" s="30"/>
      <c r="J130" s="31">
        <v>15</v>
      </c>
      <c r="K130" s="32">
        <f t="shared" ref="K130:K138" si="19">G130/$J130*100</f>
        <v>0</v>
      </c>
      <c r="L130" s="32">
        <f t="shared" ref="L130:L138" si="20">H130/$J130*100</f>
        <v>86.666666666666671</v>
      </c>
      <c r="M130" s="32">
        <f t="shared" ref="M130:M138" si="21">I130/$J130*100</f>
        <v>0</v>
      </c>
      <c r="N130" s="33">
        <f t="shared" ref="N130:N138" si="22">K130+L130+M130</f>
        <v>86.666666666666671</v>
      </c>
      <c r="O130" s="34"/>
      <c r="P130" s="32">
        <v>31.6</v>
      </c>
      <c r="Q130" s="32"/>
      <c r="R130" s="35">
        <f t="shared" ref="R130:R132" si="23">O130+P130+Q130</f>
        <v>31.6</v>
      </c>
      <c r="S130" s="28">
        <v>4</v>
      </c>
      <c r="T130" s="284"/>
      <c r="U130" s="293"/>
      <c r="V130" s="37" t="s">
        <v>554</v>
      </c>
      <c r="W130" s="28" t="s">
        <v>17</v>
      </c>
      <c r="X130" s="28" t="s">
        <v>18</v>
      </c>
      <c r="Y130" s="38">
        <v>31.6</v>
      </c>
      <c r="AC130" s="38"/>
      <c r="AG130" s="38"/>
      <c r="AK130" s="38"/>
      <c r="AO130" s="38"/>
      <c r="AS130" s="38"/>
      <c r="AW130" s="38"/>
      <c r="BA130" s="39"/>
    </row>
    <row r="131" spans="1:53" s="28" customFormat="1" x14ac:dyDescent="0.15">
      <c r="A131" s="28">
        <v>2019</v>
      </c>
      <c r="B131" s="301"/>
      <c r="C131" s="394" t="s">
        <v>1373</v>
      </c>
      <c r="D131" s="394"/>
      <c r="E131" s="28">
        <v>365</v>
      </c>
      <c r="F131" s="340"/>
      <c r="G131" s="30"/>
      <c r="H131" s="30">
        <v>13</v>
      </c>
      <c r="I131" s="30"/>
      <c r="J131" s="31">
        <v>15</v>
      </c>
      <c r="K131" s="32">
        <f t="shared" si="19"/>
        <v>0</v>
      </c>
      <c r="L131" s="32">
        <f t="shared" si="20"/>
        <v>86.666666666666671</v>
      </c>
      <c r="M131" s="32">
        <f t="shared" si="21"/>
        <v>0</v>
      </c>
      <c r="N131" s="35">
        <f t="shared" si="22"/>
        <v>86.666666666666671</v>
      </c>
      <c r="O131" s="32"/>
      <c r="P131" s="32">
        <v>31.6</v>
      </c>
      <c r="Q131" s="32"/>
      <c r="R131" s="35">
        <f t="shared" si="23"/>
        <v>31.6</v>
      </c>
      <c r="S131" s="355">
        <v>4</v>
      </c>
      <c r="T131" s="284"/>
      <c r="U131" s="290"/>
      <c r="V131" s="28" t="s">
        <v>554</v>
      </c>
      <c r="W131" s="28" t="s">
        <v>17</v>
      </c>
      <c r="X131" s="28" t="s">
        <v>18</v>
      </c>
      <c r="Y131" s="38">
        <v>31.6</v>
      </c>
      <c r="AC131" s="38"/>
      <c r="AG131" s="38"/>
      <c r="AK131" s="38"/>
      <c r="AO131" s="38"/>
      <c r="AS131" s="38"/>
      <c r="AW131" s="38"/>
      <c r="BA131" s="39"/>
    </row>
    <row r="132" spans="1:53" s="28" customFormat="1" x14ac:dyDescent="0.15">
      <c r="A132" s="28">
        <v>2020</v>
      </c>
      <c r="B132" s="301"/>
      <c r="C132" s="394" t="s">
        <v>1373</v>
      </c>
      <c r="D132" s="394"/>
      <c r="E132" s="28">
        <v>50</v>
      </c>
      <c r="F132" s="340"/>
      <c r="G132" s="30"/>
      <c r="H132" s="30">
        <v>13</v>
      </c>
      <c r="I132" s="30"/>
      <c r="J132" s="31">
        <v>15</v>
      </c>
      <c r="K132" s="32">
        <f t="shared" si="19"/>
        <v>0</v>
      </c>
      <c r="L132" s="32">
        <f t="shared" si="20"/>
        <v>86.666666666666671</v>
      </c>
      <c r="M132" s="32">
        <f t="shared" si="21"/>
        <v>0</v>
      </c>
      <c r="N132" s="35">
        <f t="shared" si="22"/>
        <v>86.666666666666671</v>
      </c>
      <c r="O132" s="32"/>
      <c r="P132" s="32">
        <v>31.6</v>
      </c>
      <c r="Q132" s="32"/>
      <c r="R132" s="35">
        <f t="shared" si="23"/>
        <v>31.6</v>
      </c>
      <c r="S132" s="36">
        <v>4</v>
      </c>
      <c r="T132" s="284"/>
      <c r="U132" s="290"/>
      <c r="V132" s="28" t="s">
        <v>554</v>
      </c>
      <c r="W132" s="28" t="s">
        <v>17</v>
      </c>
      <c r="X132" s="28" t="s">
        <v>18</v>
      </c>
      <c r="Y132" s="38">
        <v>31.6</v>
      </c>
      <c r="AC132" s="38"/>
      <c r="AG132" s="38"/>
      <c r="AK132" s="38"/>
      <c r="AO132" s="38"/>
      <c r="AS132" s="38"/>
      <c r="AW132" s="38"/>
      <c r="BA132" s="39"/>
    </row>
    <row r="133" spans="1:53" s="170" customFormat="1" x14ac:dyDescent="0.15">
      <c r="A133" s="170">
        <v>2020</v>
      </c>
      <c r="B133" s="304">
        <v>43881</v>
      </c>
      <c r="C133" s="395" t="s">
        <v>1480</v>
      </c>
      <c r="D133" s="395"/>
      <c r="E133" s="170">
        <v>128</v>
      </c>
      <c r="F133" s="336">
        <v>1</v>
      </c>
      <c r="G133" s="116"/>
      <c r="H133" s="116">
        <v>13</v>
      </c>
      <c r="I133" s="116"/>
      <c r="J133" s="172">
        <v>15</v>
      </c>
      <c r="K133" s="173">
        <f t="shared" ref="K133:K134" si="24">G133/$J133*100</f>
        <v>0</v>
      </c>
      <c r="L133" s="173">
        <f t="shared" ref="L133:L134" si="25">H133/$J133*100</f>
        <v>86.666666666666671</v>
      </c>
      <c r="M133" s="173">
        <f t="shared" ref="M133:M134" si="26">I133/$J133*100</f>
        <v>0</v>
      </c>
      <c r="N133" s="176">
        <f t="shared" ref="N133:N134" si="27">K133+L133+M133</f>
        <v>86.666666666666671</v>
      </c>
      <c r="O133" s="173"/>
      <c r="P133" s="173">
        <v>31.6</v>
      </c>
      <c r="Q133" s="173"/>
      <c r="R133" s="176">
        <f t="shared" ref="R133" si="28">O133+P133+Q133</f>
        <v>31.6</v>
      </c>
      <c r="S133" s="189">
        <v>6</v>
      </c>
      <c r="T133" s="283">
        <v>43869</v>
      </c>
      <c r="U133" s="296">
        <v>43881</v>
      </c>
      <c r="V133" s="170" t="s">
        <v>554</v>
      </c>
      <c r="W133" s="170" t="s">
        <v>17</v>
      </c>
      <c r="X133" s="170" t="s">
        <v>18</v>
      </c>
      <c r="Y133" s="178">
        <v>31.6</v>
      </c>
      <c r="AC133" s="178"/>
      <c r="AG133" s="178"/>
      <c r="AK133" s="178"/>
      <c r="AO133" s="178"/>
      <c r="AS133" s="178"/>
      <c r="AW133" s="178"/>
      <c r="BA133" s="179"/>
    </row>
    <row r="134" spans="1:53" s="28" customFormat="1" x14ac:dyDescent="0.15">
      <c r="A134" s="28">
        <v>2020</v>
      </c>
      <c r="B134" s="293">
        <v>44009</v>
      </c>
      <c r="C134" s="394" t="s">
        <v>1463</v>
      </c>
      <c r="D134" s="394"/>
      <c r="E134" s="28">
        <v>188</v>
      </c>
      <c r="F134" s="39">
        <v>1</v>
      </c>
      <c r="G134" s="30">
        <v>6</v>
      </c>
      <c r="H134" s="30">
        <v>6</v>
      </c>
      <c r="I134" s="30">
        <v>3</v>
      </c>
      <c r="J134" s="31">
        <v>15</v>
      </c>
      <c r="K134" s="32">
        <f t="shared" si="24"/>
        <v>40</v>
      </c>
      <c r="L134" s="32">
        <f t="shared" si="25"/>
        <v>40</v>
      </c>
      <c r="M134" s="32">
        <f t="shared" si="26"/>
        <v>20</v>
      </c>
      <c r="N134" s="35">
        <f t="shared" si="27"/>
        <v>100</v>
      </c>
      <c r="O134" s="32">
        <v>23.1</v>
      </c>
      <c r="P134" s="32">
        <v>21.9</v>
      </c>
      <c r="Q134" s="32">
        <v>7.5</v>
      </c>
      <c r="R134" s="35">
        <v>52.5</v>
      </c>
      <c r="S134" s="36">
        <v>2</v>
      </c>
      <c r="T134" s="284"/>
      <c r="U134" s="290">
        <v>44009</v>
      </c>
      <c r="V134" s="28" t="s">
        <v>553</v>
      </c>
      <c r="W134" s="28" t="s">
        <v>22</v>
      </c>
      <c r="X134" s="28" t="s">
        <v>11</v>
      </c>
      <c r="Y134" s="38">
        <v>23.1</v>
      </c>
      <c r="Z134" s="28" t="s">
        <v>554</v>
      </c>
      <c r="AA134" s="28" t="s">
        <v>17</v>
      </c>
      <c r="AB134" s="28" t="s">
        <v>18</v>
      </c>
      <c r="AC134" s="38">
        <v>21.9</v>
      </c>
      <c r="AD134" s="28" t="s">
        <v>557</v>
      </c>
      <c r="AE134" s="28" t="s">
        <v>216</v>
      </c>
      <c r="AF134" s="28" t="s">
        <v>12</v>
      </c>
      <c r="AG134" s="38">
        <v>7.5</v>
      </c>
      <c r="AK134" s="38"/>
      <c r="AO134" s="38"/>
      <c r="AS134" s="38"/>
      <c r="AW134" s="38"/>
      <c r="BA134" s="39"/>
    </row>
    <row r="135" spans="1:53" s="28" customFormat="1" x14ac:dyDescent="0.15">
      <c r="A135" s="28">
        <v>2021</v>
      </c>
      <c r="B135" s="293"/>
      <c r="C135" s="394" t="s">
        <v>1463</v>
      </c>
      <c r="D135" s="394"/>
      <c r="E135" s="28">
        <v>0</v>
      </c>
      <c r="F135" s="39"/>
      <c r="G135" s="30">
        <v>6</v>
      </c>
      <c r="H135" s="30">
        <v>6</v>
      </c>
      <c r="I135" s="30">
        <v>3</v>
      </c>
      <c r="J135" s="31">
        <v>15</v>
      </c>
      <c r="K135" s="32">
        <f t="shared" si="19"/>
        <v>40</v>
      </c>
      <c r="L135" s="32">
        <f t="shared" si="20"/>
        <v>40</v>
      </c>
      <c r="M135" s="32">
        <f t="shared" si="21"/>
        <v>20</v>
      </c>
      <c r="N135" s="35">
        <f t="shared" si="22"/>
        <v>100</v>
      </c>
      <c r="O135" s="32">
        <v>23.1</v>
      </c>
      <c r="P135" s="32">
        <v>21.9</v>
      </c>
      <c r="Q135" s="32">
        <v>7.5</v>
      </c>
      <c r="R135" s="35">
        <f>SUM(O135:Q135)</f>
        <v>52.5</v>
      </c>
      <c r="S135" s="36">
        <v>2</v>
      </c>
      <c r="T135" s="284"/>
      <c r="U135" s="290"/>
      <c r="V135" s="28" t="s">
        <v>553</v>
      </c>
      <c r="W135" s="28" t="s">
        <v>22</v>
      </c>
      <c r="X135" s="28" t="s">
        <v>11</v>
      </c>
      <c r="Y135" s="38">
        <v>23.1</v>
      </c>
      <c r="Z135" s="28" t="s">
        <v>554</v>
      </c>
      <c r="AA135" s="28" t="s">
        <v>17</v>
      </c>
      <c r="AB135" s="28" t="s">
        <v>18</v>
      </c>
      <c r="AC135" s="38">
        <v>21.9</v>
      </c>
      <c r="AD135" s="28" t="s">
        <v>557</v>
      </c>
      <c r="AE135" s="28" t="s">
        <v>216</v>
      </c>
      <c r="AF135" s="28" t="s">
        <v>12</v>
      </c>
      <c r="AG135" s="38">
        <v>7.5</v>
      </c>
      <c r="AK135" s="38"/>
      <c r="AO135" s="38"/>
      <c r="AS135" s="38"/>
      <c r="AW135" s="38"/>
      <c r="BA135" s="39"/>
    </row>
    <row r="136" spans="1:53" s="28" customFormat="1" x14ac:dyDescent="0.15">
      <c r="A136" s="28">
        <v>2021</v>
      </c>
      <c r="B136" s="293"/>
      <c r="C136" s="394" t="s">
        <v>1463</v>
      </c>
      <c r="D136" s="394"/>
      <c r="E136" s="28">
        <v>365</v>
      </c>
      <c r="F136" s="39"/>
      <c r="G136" s="30">
        <v>6</v>
      </c>
      <c r="H136" s="30">
        <v>6</v>
      </c>
      <c r="I136" s="30">
        <v>3</v>
      </c>
      <c r="J136" s="31">
        <v>15</v>
      </c>
      <c r="K136" s="32">
        <f t="shared" si="19"/>
        <v>40</v>
      </c>
      <c r="L136" s="32">
        <f t="shared" si="20"/>
        <v>40</v>
      </c>
      <c r="M136" s="32">
        <f t="shared" si="21"/>
        <v>20</v>
      </c>
      <c r="N136" s="35">
        <f t="shared" si="22"/>
        <v>100</v>
      </c>
      <c r="O136" s="32">
        <v>23.1</v>
      </c>
      <c r="P136" s="32">
        <v>21.9</v>
      </c>
      <c r="Q136" s="32">
        <v>7.5</v>
      </c>
      <c r="R136" s="35">
        <f>SUM(O136:Q136)</f>
        <v>52.5</v>
      </c>
      <c r="S136" s="36">
        <v>2</v>
      </c>
      <c r="T136" s="284"/>
      <c r="U136" s="290"/>
      <c r="V136" s="28" t="s">
        <v>553</v>
      </c>
      <c r="W136" s="28" t="s">
        <v>22</v>
      </c>
      <c r="X136" s="28" t="s">
        <v>11</v>
      </c>
      <c r="Y136" s="38">
        <v>23.1</v>
      </c>
      <c r="Z136" s="28" t="s">
        <v>554</v>
      </c>
      <c r="AA136" s="28" t="s">
        <v>17</v>
      </c>
      <c r="AB136" s="28" t="s">
        <v>18</v>
      </c>
      <c r="AC136" s="38">
        <v>21.9</v>
      </c>
      <c r="AD136" s="28" t="s">
        <v>557</v>
      </c>
      <c r="AE136" s="28" t="s">
        <v>216</v>
      </c>
      <c r="AF136" s="28" t="s">
        <v>12</v>
      </c>
      <c r="AG136" s="38">
        <v>7.5</v>
      </c>
      <c r="AK136" s="38"/>
      <c r="AO136" s="38"/>
      <c r="AS136" s="38"/>
      <c r="AW136" s="38"/>
      <c r="BA136" s="39"/>
    </row>
    <row r="137" spans="1:53" s="28" customFormat="1" x14ac:dyDescent="0.15">
      <c r="A137" s="28">
        <v>2022</v>
      </c>
      <c r="B137" s="293"/>
      <c r="C137" s="394" t="s">
        <v>1463</v>
      </c>
      <c r="D137" s="394"/>
      <c r="E137" s="28">
        <v>350</v>
      </c>
      <c r="F137" s="39"/>
      <c r="G137" s="30">
        <v>6</v>
      </c>
      <c r="H137" s="30">
        <v>6</v>
      </c>
      <c r="I137" s="30">
        <v>3</v>
      </c>
      <c r="J137" s="31">
        <v>15</v>
      </c>
      <c r="K137" s="32">
        <f t="shared" si="19"/>
        <v>40</v>
      </c>
      <c r="L137" s="32">
        <f t="shared" si="20"/>
        <v>40</v>
      </c>
      <c r="M137" s="32">
        <f t="shared" si="21"/>
        <v>20</v>
      </c>
      <c r="N137" s="35">
        <f t="shared" si="22"/>
        <v>100</v>
      </c>
      <c r="O137" s="32">
        <v>23.1</v>
      </c>
      <c r="P137" s="32">
        <v>21.9</v>
      </c>
      <c r="Q137" s="32">
        <v>7.5</v>
      </c>
      <c r="R137" s="35">
        <v>52.5</v>
      </c>
      <c r="S137" s="36">
        <v>2</v>
      </c>
      <c r="T137" s="284"/>
      <c r="U137" s="290"/>
      <c r="V137" s="28" t="s">
        <v>553</v>
      </c>
      <c r="W137" s="28" t="s">
        <v>22</v>
      </c>
      <c r="X137" s="28" t="s">
        <v>11</v>
      </c>
      <c r="Y137" s="38">
        <v>23.1</v>
      </c>
      <c r="Z137" s="28" t="s">
        <v>554</v>
      </c>
      <c r="AA137" s="28" t="s">
        <v>17</v>
      </c>
      <c r="AB137" s="28" t="s">
        <v>18</v>
      </c>
      <c r="AC137" s="38">
        <v>21.9</v>
      </c>
      <c r="AD137" s="28" t="s">
        <v>557</v>
      </c>
      <c r="AE137" s="28" t="s">
        <v>216</v>
      </c>
      <c r="AF137" s="28" t="s">
        <v>12</v>
      </c>
      <c r="AG137" s="38">
        <v>7.5</v>
      </c>
      <c r="AK137" s="38"/>
      <c r="AO137" s="38"/>
      <c r="AS137" s="38"/>
      <c r="AW137" s="38"/>
      <c r="BA137" s="39"/>
    </row>
    <row r="138" spans="1:53" s="170" customFormat="1" x14ac:dyDescent="0.15">
      <c r="A138" s="170">
        <v>2022</v>
      </c>
      <c r="B138" s="304">
        <v>44912</v>
      </c>
      <c r="C138" s="395" t="s">
        <v>1521</v>
      </c>
      <c r="D138" s="395"/>
      <c r="E138" s="170">
        <v>15</v>
      </c>
      <c r="F138" s="336">
        <v>2</v>
      </c>
      <c r="G138" s="116">
        <v>6</v>
      </c>
      <c r="H138" s="116">
        <v>6</v>
      </c>
      <c r="I138" s="116">
        <v>3</v>
      </c>
      <c r="J138" s="172">
        <v>15</v>
      </c>
      <c r="K138" s="173">
        <f t="shared" si="19"/>
        <v>40</v>
      </c>
      <c r="L138" s="173">
        <f t="shared" si="20"/>
        <v>40</v>
      </c>
      <c r="M138" s="173">
        <f t="shared" si="21"/>
        <v>20</v>
      </c>
      <c r="N138" s="176">
        <f t="shared" si="22"/>
        <v>100</v>
      </c>
      <c r="O138" s="173">
        <v>22.5</v>
      </c>
      <c r="P138" s="173">
        <v>20.6</v>
      </c>
      <c r="Q138" s="173">
        <v>7.5</v>
      </c>
      <c r="R138" s="176">
        <v>50.6</v>
      </c>
      <c r="S138" s="189">
        <v>2</v>
      </c>
      <c r="T138" s="283"/>
      <c r="U138" s="296">
        <v>44912</v>
      </c>
      <c r="V138" s="170" t="s">
        <v>553</v>
      </c>
      <c r="W138" s="170" t="s">
        <v>22</v>
      </c>
      <c r="X138" s="170" t="s">
        <v>11</v>
      </c>
      <c r="Y138" s="178">
        <v>22.5</v>
      </c>
      <c r="Z138" s="170" t="s">
        <v>554</v>
      </c>
      <c r="AA138" s="170" t="s">
        <v>17</v>
      </c>
      <c r="AB138" s="170" t="s">
        <v>18</v>
      </c>
      <c r="AC138" s="178">
        <v>20.6</v>
      </c>
      <c r="AD138" s="170" t="s">
        <v>557</v>
      </c>
      <c r="AE138" s="170" t="s">
        <v>216</v>
      </c>
      <c r="AF138" s="170" t="s">
        <v>12</v>
      </c>
      <c r="AG138" s="178">
        <v>7.5</v>
      </c>
      <c r="AK138" s="178"/>
      <c r="AO138" s="178"/>
      <c r="AS138" s="178"/>
      <c r="AW138" s="178"/>
      <c r="BA138" s="179"/>
    </row>
    <row r="139" spans="1:53" ht="18" customHeight="1" x14ac:dyDescent="0.15">
      <c r="B139" s="15" t="s">
        <v>1262</v>
      </c>
    </row>
    <row r="140" spans="1:53" ht="9" customHeight="1" x14ac:dyDescent="0.15"/>
    <row r="141" spans="1:53" s="194" customFormat="1" ht="9" customHeight="1" x14ac:dyDescent="0.15">
      <c r="A141" s="192"/>
      <c r="B141" s="193" t="s">
        <v>1213</v>
      </c>
      <c r="C141" s="193"/>
      <c r="D141" s="193"/>
      <c r="E141" s="193"/>
      <c r="F141" s="193"/>
      <c r="G141" s="193" t="s">
        <v>1214</v>
      </c>
      <c r="H141" s="193"/>
      <c r="I141" s="193"/>
      <c r="J141" s="193"/>
      <c r="K141" s="193"/>
      <c r="L141" s="193"/>
      <c r="M141" s="193"/>
      <c r="N141" s="193"/>
      <c r="R141" s="386" t="s">
        <v>1215</v>
      </c>
      <c r="S141" s="386"/>
      <c r="T141" s="386"/>
      <c r="U141" s="386"/>
      <c r="V141" s="386"/>
      <c r="W141" s="386"/>
      <c r="X141" s="195"/>
      <c r="Y141" s="195"/>
      <c r="AA141" s="195"/>
      <c r="AB141" s="195"/>
      <c r="AC141" s="195"/>
      <c r="AD141" s="195"/>
    </row>
    <row r="142" spans="1:53" s="199" customFormat="1" ht="9" customHeight="1" x14ac:dyDescent="0.15">
      <c r="A142" s="196"/>
      <c r="B142" s="197" t="s">
        <v>1217</v>
      </c>
      <c r="C142" s="198"/>
      <c r="D142" s="198"/>
      <c r="E142" s="198"/>
      <c r="F142" s="198"/>
      <c r="G142" s="197" t="s">
        <v>1216</v>
      </c>
      <c r="H142" s="198"/>
      <c r="I142" s="198"/>
      <c r="J142" s="198"/>
      <c r="K142" s="198"/>
      <c r="L142" s="198"/>
      <c r="M142" s="198"/>
      <c r="N142" s="198"/>
      <c r="R142" s="200" t="s">
        <v>1218</v>
      </c>
      <c r="S142" s="201"/>
      <c r="T142" s="202"/>
      <c r="U142" s="202"/>
      <c r="V142" s="202"/>
      <c r="W142" s="200" t="s">
        <v>1219</v>
      </c>
      <c r="X142" s="202"/>
      <c r="Y142" s="202"/>
      <c r="AA142" s="202"/>
      <c r="AB142" s="202"/>
      <c r="AC142" s="202"/>
      <c r="AD142" s="202"/>
    </row>
    <row r="143" spans="1:53" s="185" customFormat="1" ht="12" customHeight="1" x14ac:dyDescent="0.15">
      <c r="A143" s="203" t="s">
        <v>3</v>
      </c>
      <c r="B143" s="204" t="s">
        <v>8</v>
      </c>
      <c r="C143" s="204" t="s">
        <v>9</v>
      </c>
      <c r="D143" s="204" t="s">
        <v>10</v>
      </c>
      <c r="E143" s="205" t="s">
        <v>1193</v>
      </c>
      <c r="F143" s="204"/>
      <c r="G143" s="185" t="s">
        <v>3</v>
      </c>
      <c r="H143" s="387" t="s">
        <v>0</v>
      </c>
      <c r="I143" s="387"/>
      <c r="J143" s="387" t="s">
        <v>1</v>
      </c>
      <c r="K143" s="387"/>
      <c r="L143" s="387" t="s">
        <v>2</v>
      </c>
      <c r="M143" s="387"/>
      <c r="N143" s="388" t="s">
        <v>1193</v>
      </c>
      <c r="O143" s="388"/>
      <c r="P143" s="206"/>
      <c r="Q143" s="206"/>
      <c r="R143" s="207" t="s">
        <v>3</v>
      </c>
      <c r="S143" s="208" t="s">
        <v>135</v>
      </c>
      <c r="T143" s="206" t="s">
        <v>133</v>
      </c>
      <c r="U143" s="204" t="s">
        <v>134</v>
      </c>
      <c r="V143" s="206"/>
      <c r="W143" s="209" t="s">
        <v>26</v>
      </c>
    </row>
    <row r="144" spans="1:53" s="139" customFormat="1" x14ac:dyDescent="0.15">
      <c r="A144" s="139">
        <v>1959</v>
      </c>
      <c r="B144" s="142">
        <f>(K6*($E6/365)) + (K7*($E7/365))</f>
        <v>100</v>
      </c>
      <c r="C144" s="142">
        <f>(L6*($E6/365)) + (L7*($E7/365))</f>
        <v>0</v>
      </c>
      <c r="D144" s="142">
        <f>(M6*($E6/365)) + (M7*($E7/365))</f>
        <v>0</v>
      </c>
      <c r="E144" s="143">
        <f>B144+C144+D144</f>
        <v>100</v>
      </c>
      <c r="G144" s="139">
        <v>1959</v>
      </c>
      <c r="H144" s="396">
        <f>(O6/$R6*100*($E6/365))+(O7/$R7*100*($E7/365))</f>
        <v>100</v>
      </c>
      <c r="I144" s="396"/>
      <c r="J144" s="396">
        <f>(P6/$R6*100*($E6/365))+(P7/$R7*100*($E7/365))</f>
        <v>0</v>
      </c>
      <c r="K144" s="396"/>
      <c r="L144" s="396">
        <f>(Q6/$R6*100*($E6/365))+(Q7/$R7*100*($E7/365))</f>
        <v>0</v>
      </c>
      <c r="M144" s="396"/>
      <c r="N144" s="400">
        <f>H144+J144+L144</f>
        <v>100</v>
      </c>
      <c r="O144" s="421"/>
      <c r="P144" s="144"/>
      <c r="Q144" s="144"/>
      <c r="R144" s="139">
        <v>1959</v>
      </c>
      <c r="S144" s="142">
        <f>(O6*($E6/365)) + (O7*($E7/365))</f>
        <v>53.099999999999994</v>
      </c>
      <c r="T144" s="142">
        <f>(P6*($E6/365)) + (P7*($E7/365))</f>
        <v>0</v>
      </c>
      <c r="U144" s="142">
        <f>(Q6*($E6/365)) + (Q7*($E7/365))</f>
        <v>0</v>
      </c>
      <c r="V144" s="152"/>
      <c r="W144" s="142">
        <f>S144+T144+U144</f>
        <v>53.099999999999994</v>
      </c>
    </row>
    <row r="145" spans="1:23" x14ac:dyDescent="0.15">
      <c r="A145" s="1">
        <v>1960</v>
      </c>
      <c r="B145" s="5">
        <f>(K8*($E8/366)) + (K9*($E9/366))</f>
        <v>100</v>
      </c>
      <c r="C145" s="5">
        <f>(L8*($E8/366)) + (L9*($E9/366))</f>
        <v>0</v>
      </c>
      <c r="D145" s="5">
        <f>(M8*($E8/366)) + (M9*($E9/366))</f>
        <v>0</v>
      </c>
      <c r="E145" s="23">
        <f>B145+C145+D145</f>
        <v>100</v>
      </c>
      <c r="G145" s="1">
        <v>1960</v>
      </c>
      <c r="H145" s="392">
        <f>(O8/$R8*100*($E8/366))+(O9/$R9*100*($E9/366))</f>
        <v>100</v>
      </c>
      <c r="I145" s="392"/>
      <c r="J145" s="392">
        <f>(P8/$R8*100*($E8/366))+(P9/$R9*100*($E9/366))</f>
        <v>0</v>
      </c>
      <c r="K145" s="392"/>
      <c r="L145" s="392">
        <f>(Q8/$R8*100*($E8/366))+(Q9/$R9*100*($E9/366))</f>
        <v>0</v>
      </c>
      <c r="M145" s="392"/>
      <c r="N145" s="363">
        <f>H145+J145+L145</f>
        <v>100</v>
      </c>
      <c r="O145" s="420"/>
      <c r="P145" s="4"/>
      <c r="Q145" s="4"/>
      <c r="R145" s="1">
        <v>1960</v>
      </c>
      <c r="S145" s="5">
        <f>(O8*($E8/366)) + (O9*($E9/366))</f>
        <v>53.1</v>
      </c>
      <c r="T145" s="5">
        <f>(P8*($E8/366)) + (P9*($E9/366))</f>
        <v>0</v>
      </c>
      <c r="U145" s="5">
        <f>(Q8*($E8/366)) + (Q9*($E9/366))</f>
        <v>0</v>
      </c>
      <c r="V145" s="9"/>
      <c r="W145" s="5">
        <f>S145+T145+U145</f>
        <v>53.1</v>
      </c>
    </row>
    <row r="146" spans="1:23" x14ac:dyDescent="0.15">
      <c r="A146" s="1">
        <v>1961</v>
      </c>
      <c r="B146" s="5">
        <f>(K10*($E10/365)) + (K11*($E11/365))</f>
        <v>100</v>
      </c>
      <c r="C146" s="5">
        <f>(L10*($E10/365)) + (L11*($E11/365))</f>
        <v>0</v>
      </c>
      <c r="D146" s="5">
        <f>(M10*($E10/365)) + (M11*($E11/365))</f>
        <v>0</v>
      </c>
      <c r="E146" s="23">
        <f>B146+C146+D146</f>
        <v>100</v>
      </c>
      <c r="G146" s="1">
        <v>1961</v>
      </c>
      <c r="H146" s="392">
        <f>(O10/$R10*100*($E10/365))+(O11/$R11*100*($E11/365))</f>
        <v>100</v>
      </c>
      <c r="I146" s="392"/>
      <c r="J146" s="392">
        <f>(P10/$R10*100*($E10/365))+(P11/$R11*100*($E11/365))</f>
        <v>0</v>
      </c>
      <c r="K146" s="392"/>
      <c r="L146" s="392">
        <f>(Q10/$R10*100*($E10/365))+(Q11/$R11*100*($E11/365))</f>
        <v>0</v>
      </c>
      <c r="M146" s="392"/>
      <c r="N146" s="363">
        <f>H146+J146+L146</f>
        <v>100</v>
      </c>
      <c r="O146" s="420"/>
      <c r="P146" s="4"/>
      <c r="Q146" s="4"/>
      <c r="R146" s="1">
        <v>1961</v>
      </c>
      <c r="S146" s="5">
        <f>(O10*($E10/365)) + (O11*($E11/365))</f>
        <v>52.089041095890416</v>
      </c>
      <c r="T146" s="5">
        <f>(P10*($E10/365)) + (P11*($E11/365))</f>
        <v>0</v>
      </c>
      <c r="U146" s="5">
        <f>(Q10*($E10/365)) + (Q11*($E11/365))</f>
        <v>0</v>
      </c>
      <c r="V146" s="9"/>
      <c r="W146" s="5">
        <f t="shared" ref="W146:W198" si="29">S146+T146+U146</f>
        <v>52.089041095890416</v>
      </c>
    </row>
    <row r="147" spans="1:23" x14ac:dyDescent="0.15">
      <c r="A147" s="1">
        <v>1962</v>
      </c>
      <c r="B147" s="5">
        <f>(K12*($E12/365)) + (K13*($E13/365))</f>
        <v>100</v>
      </c>
      <c r="C147" s="5">
        <f>(L12*($E12/365)) + (L13*($E13/365))</f>
        <v>0</v>
      </c>
      <c r="D147" s="5">
        <f>(M12*($E12/365)) + (M13*($E13/365))</f>
        <v>0</v>
      </c>
      <c r="E147" s="23">
        <f t="shared" ref="E147:E198" si="30">B147+C147+D147</f>
        <v>100</v>
      </c>
      <c r="G147" s="1">
        <v>1962</v>
      </c>
      <c r="H147" s="392">
        <f>(O12/$R12*100*($E12/365))+(O13/$R13*100*($E13/365))</f>
        <v>100</v>
      </c>
      <c r="I147" s="392"/>
      <c r="J147" s="392">
        <f>(P12/$R12*100*($E12/365))+(P13/$R13*100*($E13/365))</f>
        <v>0</v>
      </c>
      <c r="K147" s="392"/>
      <c r="L147" s="392">
        <f>(Q12/$R12*100*($E12/365))+(Q13/$R13*100*($E13/365))</f>
        <v>0</v>
      </c>
      <c r="M147" s="392"/>
      <c r="N147" s="363">
        <f t="shared" ref="N147:N196" si="31">H147+J147+L147</f>
        <v>100</v>
      </c>
      <c r="O147" s="420"/>
      <c r="P147" s="4"/>
      <c r="Q147" s="4"/>
      <c r="R147" s="1">
        <v>1962</v>
      </c>
      <c r="S147" s="5">
        <f>(O12*($E12/365)) + (O13*($E13/365))</f>
        <v>48.6</v>
      </c>
      <c r="T147" s="5">
        <f>(P12*($E12/365)) + (P13*($E13/365))</f>
        <v>0</v>
      </c>
      <c r="U147" s="5">
        <f>(Q12*($E12/365)) + (Q13*($E13/365))</f>
        <v>0</v>
      </c>
      <c r="V147" s="9"/>
      <c r="W147" s="5">
        <f t="shared" si="29"/>
        <v>48.6</v>
      </c>
    </row>
    <row r="148" spans="1:23" x14ac:dyDescent="0.15">
      <c r="A148" s="1">
        <v>1963</v>
      </c>
      <c r="B148" s="5">
        <f>(K14*($E14/365)) + (K15*($E15/365))</f>
        <v>100</v>
      </c>
      <c r="C148" s="5">
        <f>(L14*($E14/365)) + (L15*($E15/365))</f>
        <v>0</v>
      </c>
      <c r="D148" s="5">
        <f>(M14*($E14/365)) + (M15*($E15/365))</f>
        <v>0</v>
      </c>
      <c r="E148" s="23">
        <f t="shared" si="30"/>
        <v>100</v>
      </c>
      <c r="G148" s="1">
        <v>1963</v>
      </c>
      <c r="H148" s="392">
        <f>(O14/$R14*100*($E14/365))+(O15/$R15*100*($E15/365))</f>
        <v>100</v>
      </c>
      <c r="I148" s="392"/>
      <c r="J148" s="392">
        <f>(P14/$R14*100*($E14/365))+(P15/$R15*100*($E15/365))</f>
        <v>0</v>
      </c>
      <c r="K148" s="392"/>
      <c r="L148" s="392">
        <f>(Q14/$R14*100*($E14/365))+(Q15/$R15*100*($E15/365))</f>
        <v>0</v>
      </c>
      <c r="M148" s="392"/>
      <c r="N148" s="363">
        <f t="shared" si="31"/>
        <v>100</v>
      </c>
      <c r="O148" s="420"/>
      <c r="P148" s="4"/>
      <c r="Q148" s="4"/>
      <c r="R148" s="1">
        <v>1963</v>
      </c>
      <c r="S148" s="5">
        <f>(O14*($E14/365)) + (O15*($E15/365))</f>
        <v>48.6</v>
      </c>
      <c r="T148" s="5">
        <f>(P14*($E14/365)) + (P15*($E15/365))</f>
        <v>0</v>
      </c>
      <c r="U148" s="5">
        <f>(Q14*($E14/365)) + (Q15*($E15/365))</f>
        <v>0</v>
      </c>
      <c r="V148" s="9"/>
      <c r="W148" s="5">
        <f t="shared" si="29"/>
        <v>48.6</v>
      </c>
    </row>
    <row r="149" spans="1:23" x14ac:dyDescent="0.15">
      <c r="A149" s="1">
        <v>1964</v>
      </c>
      <c r="B149" s="5">
        <f>(K16*($E16/366)) + (K17*($E17/366))</f>
        <v>100</v>
      </c>
      <c r="C149" s="5">
        <f>(L16*($E16/366)) + (L17*($E17/366))</f>
        <v>0</v>
      </c>
      <c r="D149" s="5">
        <f>(M16*($E16/366)) + (M17*($E17/366))</f>
        <v>0</v>
      </c>
      <c r="E149" s="23">
        <f t="shared" si="30"/>
        <v>100</v>
      </c>
      <c r="G149" s="1">
        <v>1964</v>
      </c>
      <c r="H149" s="392">
        <f>(O16/$R16*100*($E16/366))+(O17/$R17*100*($E17/366))</f>
        <v>100</v>
      </c>
      <c r="I149" s="392"/>
      <c r="J149" s="392">
        <f>(P16/$R16*100*($E16/366))+(P17/$R17*100*($E17/366))</f>
        <v>0</v>
      </c>
      <c r="K149" s="392"/>
      <c r="L149" s="392">
        <f>(Q16/$R16*100*($E16/366))+(Q17/$R17*100*($E17/366))</f>
        <v>0</v>
      </c>
      <c r="M149" s="392"/>
      <c r="N149" s="363">
        <f t="shared" si="31"/>
        <v>100</v>
      </c>
      <c r="O149" s="420"/>
      <c r="P149" s="4"/>
      <c r="Q149" s="4"/>
      <c r="R149" s="1">
        <v>1964</v>
      </c>
      <c r="S149" s="5">
        <f>(O16*($E16/366)) + (O17*($E17/366))</f>
        <v>48.6</v>
      </c>
      <c r="T149" s="5">
        <f>(P16*($E16/366)) + (P17*($E17/366))</f>
        <v>0</v>
      </c>
      <c r="U149" s="5">
        <f>(Q16*($E16/366)) + (Q17*($E17/366))</f>
        <v>0</v>
      </c>
      <c r="V149" s="9"/>
      <c r="W149" s="5">
        <f t="shared" si="29"/>
        <v>48.6</v>
      </c>
    </row>
    <row r="150" spans="1:23" x14ac:dyDescent="0.15">
      <c r="A150" s="1">
        <v>1965</v>
      </c>
      <c r="B150" s="5">
        <f>(K18*($E18/365)) + (K19*($E19/365))</f>
        <v>100</v>
      </c>
      <c r="C150" s="5">
        <f>(L18*($E18/365)) + (L19*($E19/365))</f>
        <v>0</v>
      </c>
      <c r="D150" s="5">
        <f>(M18*($E18/365)) + (M19*($E19/365))</f>
        <v>0</v>
      </c>
      <c r="E150" s="23">
        <f t="shared" si="30"/>
        <v>100</v>
      </c>
      <c r="G150" s="1">
        <v>1965</v>
      </c>
      <c r="H150" s="392">
        <f>(O18/$R18*100*($E18/365))+(O19/$R19*100*($E19/365))</f>
        <v>100</v>
      </c>
      <c r="I150" s="392"/>
      <c r="J150" s="392">
        <f>(P18/$R18*100*($E18/365))+(P19/$R19*100*($E19/365))</f>
        <v>0</v>
      </c>
      <c r="K150" s="392"/>
      <c r="L150" s="392">
        <f>(Q18/$R18*100*($E18/365))+(Q19/$R19*100*($E19/365))</f>
        <v>0</v>
      </c>
      <c r="M150" s="392"/>
      <c r="N150" s="363">
        <f t="shared" si="31"/>
        <v>100</v>
      </c>
      <c r="O150" s="420"/>
      <c r="P150" s="4"/>
      <c r="Q150" s="4"/>
      <c r="R150" s="1">
        <v>1965</v>
      </c>
      <c r="S150" s="5">
        <f>(O18*($E18/365)) + (O19*($E19/365))</f>
        <v>49.654794520547945</v>
      </c>
      <c r="T150" s="5">
        <f>(P18*($E18/365)) + (P19*($E19/365))</f>
        <v>0</v>
      </c>
      <c r="U150" s="5">
        <f>(Q18*($E18/365)) + (Q19*($E19/365))</f>
        <v>0</v>
      </c>
      <c r="V150" s="9"/>
      <c r="W150" s="5">
        <f t="shared" si="29"/>
        <v>49.654794520547945</v>
      </c>
    </row>
    <row r="151" spans="1:23" x14ac:dyDescent="0.15">
      <c r="A151" s="1">
        <v>1966</v>
      </c>
      <c r="B151" s="5">
        <f>(K20*($E20/365)) + (K21*($E21/365))</f>
        <v>100</v>
      </c>
      <c r="C151" s="5">
        <f>(L20*($E20/365)) + (L21*($E21/365))</f>
        <v>0</v>
      </c>
      <c r="D151" s="5">
        <f>(M20*($E20/365)) + (M21*($E21/365))</f>
        <v>0</v>
      </c>
      <c r="E151" s="23">
        <f t="shared" si="30"/>
        <v>100</v>
      </c>
      <c r="G151" s="1">
        <v>1966</v>
      </c>
      <c r="H151" s="392">
        <f>(O20/$R20*100*($E20/365))+(O21/$R21*100*($E21/365))</f>
        <v>100</v>
      </c>
      <c r="I151" s="392"/>
      <c r="J151" s="392">
        <f>(P20/$R20*100*($E20/365))+(P21/$R21*100*($E21/365))</f>
        <v>0</v>
      </c>
      <c r="K151" s="392"/>
      <c r="L151" s="392">
        <f>(Q20/$R20*100*($E20/365))+(Q21/$R21*100*($E21/365))</f>
        <v>0</v>
      </c>
      <c r="M151" s="392"/>
      <c r="N151" s="363">
        <f t="shared" si="31"/>
        <v>100</v>
      </c>
      <c r="O151" s="420"/>
      <c r="P151" s="4"/>
      <c r="Q151" s="4"/>
      <c r="R151" s="1">
        <v>1966</v>
      </c>
      <c r="S151" s="5">
        <f>(O20*($E20/365)) + (O21*($E21/365))</f>
        <v>50</v>
      </c>
      <c r="T151" s="5">
        <f>(P20*($E20/365)) + (P21*($E21/365))</f>
        <v>0</v>
      </c>
      <c r="U151" s="5">
        <f>(Q20*($E20/365)) + (Q21*($E21/365))</f>
        <v>0</v>
      </c>
      <c r="V151" s="9"/>
      <c r="W151" s="5">
        <f t="shared" si="29"/>
        <v>50</v>
      </c>
    </row>
    <row r="152" spans="1:23" x14ac:dyDescent="0.15">
      <c r="A152" s="1">
        <v>1967</v>
      </c>
      <c r="B152" s="5">
        <f>(K22*($E22/365)) + (K23*($E23/365))</f>
        <v>100</v>
      </c>
      <c r="C152" s="5">
        <f>(L22*($E22/365)) + (L23*($E23/365))</f>
        <v>0</v>
      </c>
      <c r="D152" s="5">
        <f>(M22*($E22/365)) + (M23*($E23/365))</f>
        <v>0</v>
      </c>
      <c r="E152" s="23">
        <f t="shared" si="30"/>
        <v>100</v>
      </c>
      <c r="G152" s="1">
        <v>1967</v>
      </c>
      <c r="H152" s="392">
        <f>(O22/$R22*100*($E22/365))+(O23/$R23*100*($E23/365))</f>
        <v>100</v>
      </c>
      <c r="I152" s="392"/>
      <c r="J152" s="392">
        <f>(P22/$R22*100*($E22/365))+(P23/$R23*100*($E23/365))</f>
        <v>0</v>
      </c>
      <c r="K152" s="392"/>
      <c r="L152" s="392">
        <f>(Q22/$R22*100*($E22/365))+(Q23/$R23*100*($E23/365))</f>
        <v>0</v>
      </c>
      <c r="M152" s="392"/>
      <c r="N152" s="363">
        <f t="shared" si="31"/>
        <v>100</v>
      </c>
      <c r="O152" s="420"/>
      <c r="P152" s="4"/>
      <c r="Q152" s="4"/>
      <c r="R152" s="1">
        <v>1967</v>
      </c>
      <c r="S152" s="5">
        <f>(O22*($E22/365)) + (O23*($E23/365))</f>
        <v>50</v>
      </c>
      <c r="T152" s="5">
        <f>(P22*($E22/365)) + (P23*($E23/365))</f>
        <v>0</v>
      </c>
      <c r="U152" s="5">
        <f>(Q22*($E22/365)) + (Q23*($E23/365))</f>
        <v>0</v>
      </c>
      <c r="V152" s="9"/>
      <c r="W152" s="5">
        <f t="shared" si="29"/>
        <v>50</v>
      </c>
    </row>
    <row r="153" spans="1:23" x14ac:dyDescent="0.15">
      <c r="A153" s="1">
        <v>1968</v>
      </c>
      <c r="B153" s="5">
        <f>(K24*($E24/366)) + (K25*($E25/366))</f>
        <v>100</v>
      </c>
      <c r="C153" s="5">
        <f>(L24*($E24/366)) + (L25*($E25/366))</f>
        <v>0</v>
      </c>
      <c r="D153" s="5">
        <f>(M24*($E24/366)) + (M25*($E25/366))</f>
        <v>0</v>
      </c>
      <c r="E153" s="23">
        <f t="shared" si="30"/>
        <v>100</v>
      </c>
      <c r="G153" s="1">
        <v>1968</v>
      </c>
      <c r="H153" s="392">
        <f>(O24/$R24*100*($E24/366))+(O25/$R25*100*($E25/366))</f>
        <v>100</v>
      </c>
      <c r="I153" s="392"/>
      <c r="J153" s="392">
        <f>(P24/$R24*100*($E24/366))+(P25/$R25*100*($E25/366))</f>
        <v>0</v>
      </c>
      <c r="K153" s="392"/>
      <c r="L153" s="392">
        <f>(Q24/$R24*100*($E24/366))+(Q25/$R25*100*($E25/366))</f>
        <v>0</v>
      </c>
      <c r="M153" s="392"/>
      <c r="N153" s="363">
        <f t="shared" si="31"/>
        <v>100</v>
      </c>
      <c r="O153" s="420"/>
      <c r="P153" s="4"/>
      <c r="Q153" s="4"/>
      <c r="R153" s="1">
        <v>1968</v>
      </c>
      <c r="S153" s="5">
        <f>(O24*($E24/366)) + (O25*($E25/366))</f>
        <v>50</v>
      </c>
      <c r="T153" s="5">
        <f>(P24*($E24/366)) + (P25*($E25/366))</f>
        <v>0</v>
      </c>
      <c r="U153" s="5">
        <f>(Q24*($E24/366)) + (Q25*($E25/366))</f>
        <v>0</v>
      </c>
      <c r="V153" s="9"/>
      <c r="W153" s="5">
        <f t="shared" si="29"/>
        <v>50</v>
      </c>
    </row>
    <row r="154" spans="1:23" x14ac:dyDescent="0.15">
      <c r="A154" s="1">
        <v>1969</v>
      </c>
      <c r="B154" s="5">
        <f>(K26*($E26/365)) + (K27*($E27/365))</f>
        <v>100</v>
      </c>
      <c r="C154" s="5">
        <f>(L26*($E26/365)) + (L27*($E27/365))</f>
        <v>0</v>
      </c>
      <c r="D154" s="5">
        <f>(M26*($E26/365)) + (M27*($E27/365))</f>
        <v>0</v>
      </c>
      <c r="E154" s="23">
        <f t="shared" si="30"/>
        <v>100</v>
      </c>
      <c r="G154" s="1">
        <v>1969</v>
      </c>
      <c r="H154" s="392">
        <f>(O26/$R26*100*($E26/365))+(O27/$R27*100*($E27/365))</f>
        <v>100</v>
      </c>
      <c r="I154" s="392"/>
      <c r="J154" s="392">
        <f>(P26/$R26*100*($E26/365))+(P27/$R27*100*($E27/365))</f>
        <v>0</v>
      </c>
      <c r="K154" s="392"/>
      <c r="L154" s="392">
        <f>(Q26/$R26*100*($E26/365))+(Q27/$R27*100*($E27/365))</f>
        <v>0</v>
      </c>
      <c r="M154" s="392"/>
      <c r="N154" s="363">
        <f t="shared" si="31"/>
        <v>100</v>
      </c>
      <c r="O154" s="420"/>
      <c r="P154" s="4"/>
      <c r="Q154" s="4"/>
      <c r="R154" s="1">
        <v>1969</v>
      </c>
      <c r="S154" s="5">
        <f>(O26*($E26/365)) + (O27*($E27/365))</f>
        <v>51.052876712328768</v>
      </c>
      <c r="T154" s="5">
        <f>(P26*($E26/365)) + (P27*($E27/365))</f>
        <v>0</v>
      </c>
      <c r="U154" s="5">
        <f>(Q26*($E26/365)) + (Q27*($E27/365))</f>
        <v>0</v>
      </c>
      <c r="V154" s="9"/>
      <c r="W154" s="5">
        <f t="shared" si="29"/>
        <v>51.052876712328768</v>
      </c>
    </row>
    <row r="155" spans="1:23" x14ac:dyDescent="0.15">
      <c r="A155" s="1">
        <v>1970</v>
      </c>
      <c r="B155" s="5">
        <f>(K28*($E28/365)) + (K29*($E29/365))</f>
        <v>100</v>
      </c>
      <c r="C155" s="5">
        <f>(L28*($E28/365)) + (L29*($E29/365))</f>
        <v>0</v>
      </c>
      <c r="D155" s="5">
        <f>(M28*($E28/365)) + (M29*($E29/365))</f>
        <v>0</v>
      </c>
      <c r="E155" s="23">
        <f t="shared" si="30"/>
        <v>100</v>
      </c>
      <c r="G155" s="1">
        <v>1970</v>
      </c>
      <c r="H155" s="392">
        <f>(O28/$R28*100*($E28/365))+(O29/$R29*100*($E29/365))</f>
        <v>100</v>
      </c>
      <c r="I155" s="392"/>
      <c r="J155" s="392">
        <f>(P28/$R28*100*($E28/365))+(P29/$R29*100*($E29/365))</f>
        <v>0</v>
      </c>
      <c r="K155" s="392"/>
      <c r="L155" s="392">
        <f>(Q28/$R28*100*($E28/365))+(Q29/$R29*100*($E29/365))</f>
        <v>0</v>
      </c>
      <c r="M155" s="392"/>
      <c r="N155" s="363">
        <f t="shared" si="31"/>
        <v>100</v>
      </c>
      <c r="O155" s="420"/>
      <c r="P155" s="4"/>
      <c r="Q155" s="4"/>
      <c r="R155" s="1">
        <v>1970</v>
      </c>
      <c r="S155" s="5">
        <f>(O28*($E28/365)) + (O29*($E29/365))</f>
        <v>52.1</v>
      </c>
      <c r="T155" s="5">
        <f>(P28*($E28/365)) + (P29*($E29/365))</f>
        <v>0</v>
      </c>
      <c r="U155" s="5">
        <f>(Q28*($E28/365)) + (Q29*($E29/365))</f>
        <v>0</v>
      </c>
      <c r="V155" s="9"/>
      <c r="W155" s="5">
        <f t="shared" si="29"/>
        <v>52.1</v>
      </c>
    </row>
    <row r="156" spans="1:23" x14ac:dyDescent="0.15">
      <c r="A156" s="1">
        <v>1971</v>
      </c>
      <c r="B156" s="5">
        <f>(K30*($E30/365)) + (K31*($E31/365))</f>
        <v>100</v>
      </c>
      <c r="C156" s="5">
        <f>(L30*($E30/365)) + (L31*($E31/365))</f>
        <v>0</v>
      </c>
      <c r="D156" s="5">
        <f>(M30*($E30/365)) + (M31*($E31/365))</f>
        <v>0</v>
      </c>
      <c r="E156" s="23">
        <f t="shared" si="30"/>
        <v>100</v>
      </c>
      <c r="G156" s="1">
        <v>1971</v>
      </c>
      <c r="H156" s="392">
        <f>(O30/$R30*100*($E30/365))+(O31/$R31*100*($E31/365))</f>
        <v>100</v>
      </c>
      <c r="I156" s="392"/>
      <c r="J156" s="392">
        <f>(P30/$R30*100*($E30/365))+(P31/$R31*100*($E31/365))</f>
        <v>0</v>
      </c>
      <c r="K156" s="392"/>
      <c r="L156" s="392">
        <f>(Q30/$R30*100*($E30/365))+(Q31/$R31*100*($E31/365))</f>
        <v>0</v>
      </c>
      <c r="M156" s="392"/>
      <c r="N156" s="363">
        <f t="shared" si="31"/>
        <v>100</v>
      </c>
      <c r="O156" s="420"/>
      <c r="P156" s="4"/>
      <c r="Q156" s="4"/>
      <c r="R156" s="1">
        <v>1971</v>
      </c>
      <c r="S156" s="5">
        <f>(O30*($E30/365)) + (O31*($E31/365))</f>
        <v>52.1</v>
      </c>
      <c r="T156" s="5">
        <f>(P30*($E30/365)) + (P31*($E31/365))</f>
        <v>0</v>
      </c>
      <c r="U156" s="5">
        <f>(Q30*($E30/365)) + (Q31*($E31/365))</f>
        <v>0</v>
      </c>
      <c r="V156" s="9"/>
      <c r="W156" s="5">
        <f t="shared" si="29"/>
        <v>52.1</v>
      </c>
    </row>
    <row r="157" spans="1:23" x14ac:dyDescent="0.15">
      <c r="A157" s="1">
        <v>1972</v>
      </c>
      <c r="B157" s="5">
        <f>(K32*($E32/366)) + (K33*($E33/366))</f>
        <v>100</v>
      </c>
      <c r="C157" s="5">
        <f>(L32*($E32/366)) + (L33*($E33/366))</f>
        <v>0</v>
      </c>
      <c r="D157" s="5">
        <f>(M32*($E32/366)) + (M33*($E33/366))</f>
        <v>0</v>
      </c>
      <c r="E157" s="23">
        <f t="shared" si="30"/>
        <v>100</v>
      </c>
      <c r="G157" s="1">
        <v>1972</v>
      </c>
      <c r="H157" s="392">
        <f>(O32/$R32*100*($E32/366))+(O33/$R33*100*($E33/366))</f>
        <v>100</v>
      </c>
      <c r="I157" s="392"/>
      <c r="J157" s="392">
        <f>(P32/$R32*100*($E32/366))+(P33/$R33*100*($E33/366))</f>
        <v>0</v>
      </c>
      <c r="K157" s="392"/>
      <c r="L157" s="392">
        <f>(Q32/$R32*100*($E32/366))+(Q33/$R33*100*($E33/366))</f>
        <v>0</v>
      </c>
      <c r="M157" s="392"/>
      <c r="N157" s="363">
        <f t="shared" si="31"/>
        <v>100</v>
      </c>
      <c r="O157" s="420"/>
      <c r="P157" s="4"/>
      <c r="Q157" s="4"/>
      <c r="R157" s="1">
        <v>1972</v>
      </c>
      <c r="S157" s="5">
        <f>(O32*($E32/366)) + (O33*($E33/366))</f>
        <v>52.1</v>
      </c>
      <c r="T157" s="5">
        <f>(P32*($E32/366)) + (P33*($E33/366))</f>
        <v>0</v>
      </c>
      <c r="U157" s="5">
        <f>(Q32*($E32/366)) + (Q33*($E33/366))</f>
        <v>0</v>
      </c>
      <c r="V157" s="9"/>
      <c r="W157" s="5">
        <f t="shared" si="29"/>
        <v>52.1</v>
      </c>
    </row>
    <row r="158" spans="1:23" x14ac:dyDescent="0.15">
      <c r="A158" s="1">
        <v>1973</v>
      </c>
      <c r="B158" s="5">
        <f>(K34*($E34/365)) + (K35*($E35/365))</f>
        <v>19.726027397260275</v>
      </c>
      <c r="C158" s="5">
        <f>(L34*($E34/365)) + (L35*($E35/365))</f>
        <v>55.188356164383563</v>
      </c>
      <c r="D158" s="5">
        <f>(M34*($E34/365)) + (M35*($E35/365))</f>
        <v>25.085616438356166</v>
      </c>
      <c r="E158" s="23">
        <f t="shared" si="30"/>
        <v>100</v>
      </c>
      <c r="G158" s="1">
        <v>1973</v>
      </c>
      <c r="H158" s="392">
        <f>(O34/$R34*100*($E34/365))+(O35/$R35*100*($E35/365))</f>
        <v>19.726027397260275</v>
      </c>
      <c r="I158" s="392"/>
      <c r="J158" s="392">
        <f>(P34/$R34*100*($E34/365))+(P35/$R35*100*($E35/365))</f>
        <v>59.374240090783822</v>
      </c>
      <c r="K158" s="392"/>
      <c r="L158" s="392">
        <f>(Q34/$R34*100*($E34/365))+(Q35/$R35*100*($E35/365))</f>
        <v>20.899732511955907</v>
      </c>
      <c r="M158" s="392"/>
      <c r="N158" s="363">
        <f t="shared" si="31"/>
        <v>100</v>
      </c>
      <c r="O158" s="420"/>
      <c r="P158" s="4"/>
      <c r="Q158" s="4"/>
      <c r="R158" s="1">
        <v>1973</v>
      </c>
      <c r="S158" s="5">
        <f>(O34*($E34/365)) + (O35*($E35/365))</f>
        <v>10.277260273972603</v>
      </c>
      <c r="T158" s="5">
        <f>(P34*($E34/365)) + (P35*($E35/365))</f>
        <v>30.102739726027398</v>
      </c>
      <c r="U158" s="5">
        <f>(Q34*($E34/365)) + (Q35*($E35/365))</f>
        <v>10.596164383561645</v>
      </c>
      <c r="V158" s="9"/>
      <c r="W158" s="5">
        <f t="shared" si="29"/>
        <v>50.976164383561645</v>
      </c>
    </row>
    <row r="159" spans="1:23" x14ac:dyDescent="0.15">
      <c r="A159" s="1">
        <v>1974</v>
      </c>
      <c r="B159" s="5">
        <f>(K36*($E36/365)) + (K37*($E37/365))</f>
        <v>0</v>
      </c>
      <c r="C159" s="5">
        <f>(L36*($E36/365)) + (L37*($E37/365))</f>
        <v>68.75</v>
      </c>
      <c r="D159" s="5">
        <f>(M36*($E36/365)) + (M37*($E37/365))</f>
        <v>31.25</v>
      </c>
      <c r="E159" s="23">
        <f t="shared" si="30"/>
        <v>100</v>
      </c>
      <c r="G159" s="1">
        <v>1974</v>
      </c>
      <c r="H159" s="392">
        <f>(O36/$R36*100*($E36/365))+(O37/$R37*100*($E37/365))</f>
        <v>0</v>
      </c>
      <c r="I159" s="392"/>
      <c r="J159" s="392">
        <f>(P36/$R36*100*($E36/365))+(P37/$R37*100*($E37/365))</f>
        <v>73.964497041420117</v>
      </c>
      <c r="K159" s="392"/>
      <c r="L159" s="392">
        <f>(Q36/$R36*100*($E36/365))+(Q37/$R37*100*($E37/365))</f>
        <v>26.035502958579883</v>
      </c>
      <c r="M159" s="392"/>
      <c r="N159" s="363">
        <f t="shared" si="31"/>
        <v>100</v>
      </c>
      <c r="O159" s="420"/>
      <c r="P159" s="4"/>
      <c r="Q159" s="4"/>
      <c r="R159" s="1">
        <v>1974</v>
      </c>
      <c r="S159" s="5">
        <f>(O36*($E36/365)) + (O37*($E37/365))</f>
        <v>0</v>
      </c>
      <c r="T159" s="5">
        <f>(P36*($E36/365)) + (P37*($E37/365))</f>
        <v>37.5</v>
      </c>
      <c r="U159" s="5">
        <f>(Q36*($E36/365)) + (Q37*($E37/365))</f>
        <v>13.2</v>
      </c>
      <c r="V159" s="9"/>
      <c r="W159" s="5">
        <f t="shared" si="29"/>
        <v>50.7</v>
      </c>
    </row>
    <row r="160" spans="1:23" x14ac:dyDescent="0.15">
      <c r="A160" s="1">
        <v>1975</v>
      </c>
      <c r="B160" s="5">
        <f>(K38*($E38/365)) + (K39*($E39/365))</f>
        <v>0</v>
      </c>
      <c r="C160" s="5">
        <f>(L38*($E38/365)) + (L39*($E39/365))</f>
        <v>68.75</v>
      </c>
      <c r="D160" s="5">
        <f>(M38*($E38/365)) + (M39*($E39/365))</f>
        <v>31.25</v>
      </c>
      <c r="E160" s="23">
        <f t="shared" si="30"/>
        <v>100</v>
      </c>
      <c r="G160" s="1">
        <v>1975</v>
      </c>
      <c r="H160" s="392">
        <f>(O38/$R38*100*($E38/365))+(O39/$R39*100*($E39/365))</f>
        <v>0</v>
      </c>
      <c r="I160" s="392"/>
      <c r="J160" s="392">
        <f>(P38/$R38*100*($E38/365))+(P39/$R39*100*($E39/365))</f>
        <v>73.964497041420117</v>
      </c>
      <c r="K160" s="392"/>
      <c r="L160" s="392">
        <f>(Q38/$R38*100*($E38/365))+(Q39/$R39*100*($E39/365))</f>
        <v>26.035502958579883</v>
      </c>
      <c r="M160" s="392"/>
      <c r="N160" s="363">
        <f t="shared" si="31"/>
        <v>100</v>
      </c>
      <c r="O160" s="420"/>
      <c r="P160" s="4"/>
      <c r="Q160" s="4"/>
      <c r="R160" s="1">
        <v>1975</v>
      </c>
      <c r="S160" s="5">
        <f>(O38*($E38/365)) + (O39*($E39/365))</f>
        <v>0</v>
      </c>
      <c r="T160" s="5">
        <f>(P38*($E38/365)) + (P39*($E39/365))</f>
        <v>37.5</v>
      </c>
      <c r="U160" s="5">
        <f>(Q38*($E38/365)) + (Q39*($E39/365))</f>
        <v>13.2</v>
      </c>
      <c r="V160" s="9"/>
      <c r="W160" s="5">
        <f t="shared" si="29"/>
        <v>50.7</v>
      </c>
    </row>
    <row r="161" spans="1:23" x14ac:dyDescent="0.15">
      <c r="A161" s="1">
        <v>1976</v>
      </c>
      <c r="B161" s="5">
        <f>(K40*($E40/366)) + (K41*($E41/366))</f>
        <v>0</v>
      </c>
      <c r="C161" s="5">
        <f>(L40*($E40/366)) + (L41*($E41/366))</f>
        <v>68.75</v>
      </c>
      <c r="D161" s="5">
        <f>(M40*($E40/366)) + (M41*($E41/366))</f>
        <v>31.25</v>
      </c>
      <c r="E161" s="23">
        <f t="shared" si="30"/>
        <v>100</v>
      </c>
      <c r="G161" s="1">
        <v>1976</v>
      </c>
      <c r="H161" s="392">
        <f>(O40/$R40*100*($E40/366))+(O41/$R41*100*($E41/366))</f>
        <v>0</v>
      </c>
      <c r="I161" s="392"/>
      <c r="J161" s="392">
        <f>(P40/$R40*100*($E40/366))+(P41/$R41*100*($E41/366))</f>
        <v>73.964497041420117</v>
      </c>
      <c r="K161" s="392"/>
      <c r="L161" s="392">
        <f>(Q40/$R40*100*($E40/366))+(Q41/$R41*100*($E41/366))</f>
        <v>26.035502958579883</v>
      </c>
      <c r="M161" s="392"/>
      <c r="N161" s="363">
        <f t="shared" si="31"/>
        <v>100</v>
      </c>
      <c r="O161" s="420"/>
      <c r="P161" s="4"/>
      <c r="Q161" s="4"/>
      <c r="R161" s="1">
        <v>1976</v>
      </c>
      <c r="S161" s="5">
        <f>(O40*($E40/366)) + (O41*($E41/366))</f>
        <v>0</v>
      </c>
      <c r="T161" s="5">
        <f>(P40*($E40/366)) + (P41*($E41/366))</f>
        <v>37.5</v>
      </c>
      <c r="U161" s="5">
        <f>(Q40*($E40/366)) + (Q41*($E41/366))</f>
        <v>13.2</v>
      </c>
      <c r="V161" s="9"/>
      <c r="W161" s="5">
        <f t="shared" si="29"/>
        <v>50.7</v>
      </c>
    </row>
    <row r="162" spans="1:23" x14ac:dyDescent="0.15">
      <c r="A162" s="1">
        <v>1977</v>
      </c>
      <c r="B162" s="5">
        <f>(K42*($E42/365)) + (K43*($E43/365))</f>
        <v>49.315068493150683</v>
      </c>
      <c r="C162" s="5">
        <f>(L42*($E42/365)) + (L43*($E43/365))</f>
        <v>34.845890410958908</v>
      </c>
      <c r="D162" s="5">
        <f>(M42*($E42/365)) + (M43*($E43/365))</f>
        <v>15.839041095890412</v>
      </c>
      <c r="E162" s="23">
        <f t="shared" si="30"/>
        <v>100</v>
      </c>
      <c r="G162" s="1">
        <v>1977</v>
      </c>
      <c r="H162" s="392">
        <f>(O42/$R42*100*($E42/365))+(O43/$R43*100*($E43/365))</f>
        <v>49.315068493150683</v>
      </c>
      <c r="I162" s="392"/>
      <c r="J162" s="392">
        <f>(P42/$R42*100*($E42/365))+(P43/$R43*100*($E43/365))</f>
        <v>37.488854664829375</v>
      </c>
      <c r="K162" s="392"/>
      <c r="L162" s="392">
        <f>(Q42/$R42*100*($E42/365))+(Q43/$R43*100*($E43/365))</f>
        <v>13.196076842019941</v>
      </c>
      <c r="M162" s="392"/>
      <c r="N162" s="363">
        <f t="shared" si="31"/>
        <v>100</v>
      </c>
      <c r="O162" s="420"/>
      <c r="P162" s="4"/>
      <c r="Q162" s="4"/>
      <c r="R162" s="1">
        <v>1977</v>
      </c>
      <c r="S162" s="5">
        <f>(O42*($E42/365)) + (O43*($E43/365))</f>
        <v>28.010958904109586</v>
      </c>
      <c r="T162" s="5">
        <f>(P42*($E42/365)) + (P43*($E43/365))</f>
        <v>19.006849315068493</v>
      </c>
      <c r="U162" s="5">
        <f>(Q42*($E42/365)) + (Q43*($E43/365))</f>
        <v>6.6904109589041099</v>
      </c>
      <c r="V162" s="9"/>
      <c r="W162" s="5">
        <f t="shared" si="29"/>
        <v>53.708219178082189</v>
      </c>
    </row>
    <row r="163" spans="1:23" x14ac:dyDescent="0.15">
      <c r="A163" s="1">
        <v>1978</v>
      </c>
      <c r="B163" s="5">
        <f>(K44*($E44/365)) + (K45*($E45/365))</f>
        <v>100</v>
      </c>
      <c r="C163" s="5">
        <f>(L44*($E44/365)) + (L45*($E45/365))</f>
        <v>0</v>
      </c>
      <c r="D163" s="5">
        <f>(M44*($E44/365)) + (M45*($E45/365))</f>
        <v>0</v>
      </c>
      <c r="E163" s="23">
        <f t="shared" si="30"/>
        <v>100</v>
      </c>
      <c r="G163" s="1">
        <v>1978</v>
      </c>
      <c r="H163" s="392">
        <f>(O44/$R44*100*($E44/365))+(O45/$R45*100*($E45/365))</f>
        <v>100</v>
      </c>
      <c r="I163" s="392"/>
      <c r="J163" s="392">
        <f>(P44/$R44*100*($E44/365))+(P45/$R45*100*($E45/365))</f>
        <v>0</v>
      </c>
      <c r="K163" s="392"/>
      <c r="L163" s="392">
        <f>(Q44/$R44*100*($E44/365))+(Q45/$R45*100*($E45/365))</f>
        <v>0</v>
      </c>
      <c r="M163" s="392"/>
      <c r="N163" s="363">
        <f t="shared" si="31"/>
        <v>100</v>
      </c>
      <c r="O163" s="420"/>
      <c r="P163" s="4"/>
      <c r="Q163" s="4"/>
      <c r="R163" s="1">
        <v>1978</v>
      </c>
      <c r="S163" s="5">
        <f>(O44*($E44/365)) + (O45*($E45/365))</f>
        <v>56.8</v>
      </c>
      <c r="T163" s="5">
        <f>(P44*($E44/365)) + (P45*($E45/365))</f>
        <v>0</v>
      </c>
      <c r="U163" s="5">
        <f>(Q44*($E44/365)) + (Q45*($E45/365))</f>
        <v>0</v>
      </c>
      <c r="V163" s="9"/>
      <c r="W163" s="5">
        <f t="shared" si="29"/>
        <v>56.8</v>
      </c>
    </row>
    <row r="164" spans="1:23" x14ac:dyDescent="0.15">
      <c r="A164" s="1">
        <v>1979</v>
      </c>
      <c r="B164" s="5">
        <f>(K46*($E46/365)) + (K47*($E47/365))</f>
        <v>100</v>
      </c>
      <c r="C164" s="5">
        <f>(L46*($E46/365)) + (L47*($E47/365))</f>
        <v>0</v>
      </c>
      <c r="D164" s="5">
        <f>(M46*($E46/365)) + (M47*($E47/365))</f>
        <v>0</v>
      </c>
      <c r="E164" s="23">
        <f t="shared" si="30"/>
        <v>100</v>
      </c>
      <c r="G164" s="1">
        <v>1979</v>
      </c>
      <c r="H164" s="392">
        <f>(O46/$R46*100*($E46/365))+(O47/$R47*100*($E47/365))</f>
        <v>100</v>
      </c>
      <c r="I164" s="392"/>
      <c r="J164" s="392">
        <f>(P46/$R46*100*($E46/365))+(P47/$R47*100*($E47/365))</f>
        <v>0</v>
      </c>
      <c r="K164" s="392"/>
      <c r="L164" s="392">
        <f>(Q46/$R46*100*($E46/365))+(Q47/$R47*100*($E47/365))</f>
        <v>0</v>
      </c>
      <c r="M164" s="392"/>
      <c r="N164" s="363">
        <f t="shared" si="31"/>
        <v>100</v>
      </c>
      <c r="O164" s="420"/>
      <c r="P164" s="4"/>
      <c r="Q164" s="4"/>
      <c r="R164" s="1">
        <v>1979</v>
      </c>
      <c r="S164" s="5">
        <f>(O46*($E46/365)) + (O47*($E47/365))</f>
        <v>56.8</v>
      </c>
      <c r="T164" s="5">
        <f>(P46*($E46/365)) + (P47*($E47/365))</f>
        <v>0</v>
      </c>
      <c r="U164" s="5">
        <f>(Q46*($E46/365)) + (Q47*($E47/365))</f>
        <v>0</v>
      </c>
      <c r="V164" s="9"/>
      <c r="W164" s="5">
        <f t="shared" si="29"/>
        <v>56.8</v>
      </c>
    </row>
    <row r="165" spans="1:23" x14ac:dyDescent="0.15">
      <c r="A165" s="1">
        <v>1980</v>
      </c>
      <c r="B165" s="5">
        <f>(K48*($E48/366)) + (K49*($E49/366))</f>
        <v>100</v>
      </c>
      <c r="C165" s="5">
        <f>(L48*($E48/366)) + (L49*($E49/366))</f>
        <v>0</v>
      </c>
      <c r="D165" s="5">
        <f>(M48*($E48/366)) + (M49*($E49/366))</f>
        <v>0</v>
      </c>
      <c r="E165" s="23">
        <f t="shared" si="30"/>
        <v>100</v>
      </c>
      <c r="G165" s="1">
        <v>1980</v>
      </c>
      <c r="H165" s="392">
        <f>(O48/$R48*100*($E48/366))+(O49/$R49*100*($E49/366))</f>
        <v>100</v>
      </c>
      <c r="I165" s="392"/>
      <c r="J165" s="392">
        <f>(P48/$R48*100*($E48/366))+(P49/$R49*100*($E49/366))</f>
        <v>0</v>
      </c>
      <c r="K165" s="392"/>
      <c r="L165" s="392">
        <f>(Q48/$R48*100*($E48/366))+(Q49/$R49*100*($E49/366))</f>
        <v>0</v>
      </c>
      <c r="M165" s="392"/>
      <c r="N165" s="363">
        <f t="shared" si="31"/>
        <v>100</v>
      </c>
      <c r="O165" s="420"/>
      <c r="P165" s="4"/>
      <c r="Q165" s="4"/>
      <c r="R165" s="1">
        <v>1980</v>
      </c>
      <c r="S165" s="5">
        <f>(O48*($E48/366)) + (O49*($E49/366))</f>
        <v>56.8</v>
      </c>
      <c r="T165" s="5">
        <f>(P48*($E48/366)) + (P49*($E49/366))</f>
        <v>0</v>
      </c>
      <c r="U165" s="5">
        <f>(Q48*($E48/366)) + (Q49*($E49/366))</f>
        <v>0</v>
      </c>
      <c r="V165" s="9"/>
      <c r="W165" s="5">
        <f t="shared" si="29"/>
        <v>56.8</v>
      </c>
    </row>
    <row r="166" spans="1:23" x14ac:dyDescent="0.15">
      <c r="A166" s="1">
        <v>1981</v>
      </c>
      <c r="B166" s="5">
        <f>(K50*($E50/365)) + (K51*($E51/365))</f>
        <v>49.315068493150683</v>
      </c>
      <c r="C166" s="5">
        <f>(L50*($E50/365)) + (L51*($E51/365))</f>
        <v>33.789954337899538</v>
      </c>
      <c r="D166" s="5">
        <f>(M50*($E50/365)) + (M51*($E51/365))</f>
        <v>13.515981735159819</v>
      </c>
      <c r="E166" s="23">
        <f t="shared" si="30"/>
        <v>96.621004566210047</v>
      </c>
      <c r="G166" s="1">
        <v>1981</v>
      </c>
      <c r="H166" s="392">
        <f>(O50/$R50*100*($E50/365))+(O51/$R51*100*($E51/365))</f>
        <v>49.315068493150683</v>
      </c>
      <c r="I166" s="392"/>
      <c r="J166" s="392">
        <f>(P50/$R50*100*($E50/365))+(P51/$R51*100*($E51/365))</f>
        <v>41.220940146649234</v>
      </c>
      <c r="K166" s="392"/>
      <c r="L166" s="392">
        <f>(Q50/$R50*100*($E50/365))+(Q51/$R51*100*($E51/365))</f>
        <v>9.4639913602000814</v>
      </c>
      <c r="M166" s="392"/>
      <c r="N166" s="363">
        <f t="shared" si="31"/>
        <v>100</v>
      </c>
      <c r="O166" s="420"/>
      <c r="R166" s="1">
        <v>1981</v>
      </c>
      <c r="S166" s="5">
        <f>(O50*($E50/365)) + (O51*($E51/365))</f>
        <v>28.010958904109586</v>
      </c>
      <c r="T166" s="5">
        <f>(P50*($E50/365)) + (P51*($E51/365))</f>
        <v>19.868493150684934</v>
      </c>
      <c r="U166" s="5">
        <f>(Q50*($E50/365)) + (Q51*($E51/365))</f>
        <v>4.5616438356164384</v>
      </c>
      <c r="V166" s="9"/>
      <c r="W166" s="5">
        <f t="shared" si="29"/>
        <v>52.441095890410956</v>
      </c>
    </row>
    <row r="167" spans="1:23" x14ac:dyDescent="0.15">
      <c r="A167" s="1">
        <v>1982</v>
      </c>
      <c r="B167" s="5">
        <f>(K52*($E52/365)) + (K53*($E53/365))+(K54*($E54/365))</f>
        <v>76.712328767123282</v>
      </c>
      <c r="C167" s="5">
        <f>(L52*($E52/365)) + (L53*($E53/365))+(L54*($E54/365))</f>
        <v>15.718506580714475</v>
      </c>
      <c r="D167" s="5">
        <f>(M52*($E52/365)) + (M53*($E53/365))+(M54*($E54/365))</f>
        <v>6.0553317217297877</v>
      </c>
      <c r="E167" s="23">
        <f t="shared" si="30"/>
        <v>98.486167069567543</v>
      </c>
      <c r="G167" s="1">
        <v>1982</v>
      </c>
      <c r="H167" s="392">
        <f>(O52/$R52*100*($E52/365))+(O53/$R53*100*($E53/365))+(O54/$R54*100*($E54/365))</f>
        <v>76.712328767123282</v>
      </c>
      <c r="I167" s="392"/>
      <c r="J167" s="392">
        <f>(P52/$R52*100*($E52/365))+(P53/$R53*100*($E53/365))+(P54/$R54*100*($E54/365))</f>
        <v>18.94622444386555</v>
      </c>
      <c r="K167" s="392"/>
      <c r="L167" s="392">
        <f>(Q52/$R52*100*($E52/365))+(Q53/$R53*100*($E53/365))+(Q54/$R54*100*($E54/365))</f>
        <v>4.3414467890111617</v>
      </c>
      <c r="M167" s="392"/>
      <c r="N167" s="363">
        <f t="shared" si="31"/>
        <v>99.999999999999986</v>
      </c>
      <c r="O167" s="420"/>
      <c r="R167" s="1">
        <v>1982</v>
      </c>
      <c r="S167" s="5">
        <f>(O52*($E52/365)) + (O53*($E53/365))+(O54*($E54/365))</f>
        <v>36.054794520547944</v>
      </c>
      <c r="T167" s="5">
        <f>(P52*($E52/365)) + (P53*($E53/365))+(P54*($E54/365))</f>
        <v>9.2767123287671236</v>
      </c>
      <c r="U167" s="5">
        <f>(Q52*($E52/365)) + (Q53*($E53/365))+(Q54*($E54/365))</f>
        <v>2.1254794520547944</v>
      </c>
      <c r="V167" s="9"/>
      <c r="W167" s="5">
        <f t="shared" si="29"/>
        <v>47.456986301369867</v>
      </c>
    </row>
    <row r="168" spans="1:23" x14ac:dyDescent="0.15">
      <c r="A168" s="1">
        <v>1983</v>
      </c>
      <c r="B168" s="5">
        <f>(K55*($E55/365)) + (K56*($E56/365))</f>
        <v>0</v>
      </c>
      <c r="C168" s="5">
        <f>(L55*($E55/365)) + (L56*($E56/365))</f>
        <v>70.588235294117652</v>
      </c>
      <c r="D168" s="5">
        <f>(M55*($E55/365)) + (M56*($E56/365))</f>
        <v>23.52941176470588</v>
      </c>
      <c r="E168" s="23">
        <f t="shared" si="30"/>
        <v>94.117647058823536</v>
      </c>
      <c r="G168" s="1">
        <v>1983</v>
      </c>
      <c r="H168" s="392">
        <f>(O55/$R55*100*($E55/365))+(O56/$R56*100*($E56/365))</f>
        <v>0</v>
      </c>
      <c r="I168" s="392"/>
      <c r="J168" s="392">
        <f>(P55/$R55*100*($E55/365))+(P56/$R56*100*($E56/365))</f>
        <v>81.467181467181476</v>
      </c>
      <c r="K168" s="392"/>
      <c r="L168" s="392">
        <f>(Q55/$R55*100*($E55/365))+(Q56/$R56*100*($E56/365))</f>
        <v>18.532818532818531</v>
      </c>
      <c r="M168" s="392"/>
      <c r="N168" s="363">
        <f t="shared" si="31"/>
        <v>100</v>
      </c>
      <c r="O168" s="420"/>
      <c r="R168" s="1">
        <v>1983</v>
      </c>
      <c r="S168" s="5">
        <f>(O55*($E55/365)) + (O56*($E56/365))</f>
        <v>0</v>
      </c>
      <c r="T168" s="5">
        <f>(P55*($E55/365)) + (P56*($E56/365))</f>
        <v>42.2</v>
      </c>
      <c r="U168" s="5">
        <f>(Q55*($E55/365)) + (Q56*($E56/365))</f>
        <v>9.6</v>
      </c>
      <c r="V168" s="9"/>
      <c r="W168" s="5">
        <f t="shared" si="29"/>
        <v>51.800000000000004</v>
      </c>
    </row>
    <row r="169" spans="1:23" x14ac:dyDescent="0.15">
      <c r="A169" s="1">
        <v>1984</v>
      </c>
      <c r="B169" s="5">
        <f>(K57*($E57/366)) + (K58*($E58/366))</f>
        <v>0</v>
      </c>
      <c r="C169" s="5">
        <f>(L57*($E57/366)) + (L58*($E58/366))</f>
        <v>70.588235294117652</v>
      </c>
      <c r="D169" s="5">
        <f>(M57*($E57/366)) + (M58*($E58/366))</f>
        <v>23.52941176470588</v>
      </c>
      <c r="E169" s="23">
        <f t="shared" si="30"/>
        <v>94.117647058823536</v>
      </c>
      <c r="G169" s="1">
        <v>1984</v>
      </c>
      <c r="H169" s="392">
        <f>(O57/$R57*100*($E57/366))+(O58/$R58*100*($E58/366))</f>
        <v>0</v>
      </c>
      <c r="I169" s="392"/>
      <c r="J169" s="392">
        <f>(P57/$R57*100*($E57/366))+(P58/$R58*100*($E58/366))</f>
        <v>81.467181467181476</v>
      </c>
      <c r="K169" s="392"/>
      <c r="L169" s="392">
        <f>(Q57/$R57*100*($E57/366))+(Q58/$R58*100*($E58/366))</f>
        <v>18.532818532818531</v>
      </c>
      <c r="M169" s="392"/>
      <c r="N169" s="363">
        <f t="shared" si="31"/>
        <v>100</v>
      </c>
      <c r="O169" s="420"/>
      <c r="R169" s="1">
        <v>1984</v>
      </c>
      <c r="S169" s="5">
        <f>(O57*($E57/366)) + (O58*($E58/366))</f>
        <v>0</v>
      </c>
      <c r="T169" s="5">
        <f>(P57*($E57/366)) + (P58*($E58/366))</f>
        <v>42.2</v>
      </c>
      <c r="U169" s="5">
        <f>(Q57*($E57/366)) + (Q58*($E58/366))</f>
        <v>9.6</v>
      </c>
      <c r="V169" s="9"/>
      <c r="W169" s="5">
        <f t="shared" si="29"/>
        <v>51.800000000000004</v>
      </c>
    </row>
    <row r="170" spans="1:23" x14ac:dyDescent="0.15">
      <c r="A170" s="1">
        <v>1985</v>
      </c>
      <c r="B170" s="5">
        <f>(K59*($E59/365)) + (K60*($E60/365))</f>
        <v>0</v>
      </c>
      <c r="C170" s="5">
        <f>(L59*($E59/365)) + (L60*($E60/365))</f>
        <v>70.588235294117652</v>
      </c>
      <c r="D170" s="5">
        <f>(M59*($E59/365)) + (M60*($E60/365))</f>
        <v>23.52941176470588</v>
      </c>
      <c r="E170" s="23">
        <f t="shared" si="30"/>
        <v>94.117647058823536</v>
      </c>
      <c r="G170" s="1">
        <v>1985</v>
      </c>
      <c r="H170" s="392">
        <f>(O59/$R59*100*($E59/365))+(O60/$R60*100*($E60/365))</f>
        <v>0</v>
      </c>
      <c r="I170" s="392"/>
      <c r="J170" s="392">
        <f>(P59/$R59*100*($E59/365))+(P60/$R60*100*($E60/365))</f>
        <v>81.467181467181476</v>
      </c>
      <c r="K170" s="392"/>
      <c r="L170" s="392">
        <f>(Q59/$R59*100*($E59/365))+(Q60/$R60*100*($E60/365))</f>
        <v>18.532818532818531</v>
      </c>
      <c r="M170" s="392"/>
      <c r="N170" s="363">
        <f t="shared" si="31"/>
        <v>100</v>
      </c>
      <c r="O170" s="420"/>
      <c r="R170" s="1">
        <v>1985</v>
      </c>
      <c r="S170" s="5">
        <f>(O59*($E59/365)) + (O60*($E60/365))</f>
        <v>0</v>
      </c>
      <c r="T170" s="5">
        <f>(P59*($E59/365)) + (P60*($E60/365))</f>
        <v>42.2</v>
      </c>
      <c r="U170" s="5">
        <f>(Q59*($E59/365)) + (Q60*($E60/365))</f>
        <v>9.6</v>
      </c>
      <c r="V170" s="9"/>
      <c r="W170" s="5">
        <f t="shared" si="29"/>
        <v>51.800000000000004</v>
      </c>
    </row>
    <row r="171" spans="1:23" x14ac:dyDescent="0.15">
      <c r="A171" s="1">
        <v>1986</v>
      </c>
      <c r="B171" s="5">
        <f>(K61*($E61/365)) + (K62*($E62/365))</f>
        <v>0</v>
      </c>
      <c r="C171" s="5">
        <f>(L61*($E61/365)) + (L62*($E62/365))</f>
        <v>70.588235294117652</v>
      </c>
      <c r="D171" s="5">
        <f>(M61*($E61/365)) + (M62*($E62/365))</f>
        <v>23.52941176470588</v>
      </c>
      <c r="E171" s="23">
        <f t="shared" si="30"/>
        <v>94.117647058823536</v>
      </c>
      <c r="G171" s="1">
        <v>1986</v>
      </c>
      <c r="H171" s="392">
        <f>(O61/$R61*100*($E61/365))+(O62/$R62*100*($E62/365))</f>
        <v>0</v>
      </c>
      <c r="I171" s="392"/>
      <c r="J171" s="392">
        <f>(P61/$R61*100*($E61/365))+(P62/$R62*100*($E62/365))</f>
        <v>81.467181467181476</v>
      </c>
      <c r="K171" s="392"/>
      <c r="L171" s="392">
        <f>(Q61/$R61*100*($E61/365))+(Q62/$R62*100*($E62/365))</f>
        <v>18.532818532818531</v>
      </c>
      <c r="M171" s="392"/>
      <c r="N171" s="363">
        <f t="shared" si="31"/>
        <v>100</v>
      </c>
      <c r="O171" s="420"/>
      <c r="R171" s="1">
        <v>1986</v>
      </c>
      <c r="S171" s="5">
        <f>(O61*($E61/365)) + (O62*($E62/365))</f>
        <v>0</v>
      </c>
      <c r="T171" s="5">
        <f>(P61*($E61/365)) + (P62*($E62/365))</f>
        <v>42.2</v>
      </c>
      <c r="U171" s="5">
        <f>(Q61*($E61/365)) + (Q62*($E62/365))</f>
        <v>9.6</v>
      </c>
      <c r="V171" s="9"/>
      <c r="W171" s="5">
        <f t="shared" si="29"/>
        <v>51.800000000000004</v>
      </c>
    </row>
    <row r="172" spans="1:23" x14ac:dyDescent="0.15">
      <c r="A172" s="1">
        <v>1987</v>
      </c>
      <c r="B172" s="5">
        <f>(K63*($E63/365)) + (K64*($E64/365))</f>
        <v>81.369863013698634</v>
      </c>
      <c r="C172" s="5">
        <f>(L63*($E63/365)) + (L64*($E64/365))</f>
        <v>13.15068493150685</v>
      </c>
      <c r="D172" s="5">
        <f>(M63*($E63/365)) + (M64*($E64/365))</f>
        <v>4.3835616438356162</v>
      </c>
      <c r="E172" s="23">
        <f t="shared" si="30"/>
        <v>98.904109589041099</v>
      </c>
      <c r="G172" s="1">
        <v>1987</v>
      </c>
      <c r="H172" s="392">
        <f>(O63/$R63*100*($E63/365))+(O64/$R64*100*($E64/365))</f>
        <v>81.369863013698634</v>
      </c>
      <c r="I172" s="392"/>
      <c r="J172" s="392">
        <f>(P63/$R63*100*($E63/365))+(P64/$R64*100*($E64/365))</f>
        <v>15.177447506214632</v>
      </c>
      <c r="K172" s="392"/>
      <c r="L172" s="392">
        <f>(Q63/$R63*100*($E63/365))+(Q64/$R64*100*($E64/365))</f>
        <v>3.4526894800867405</v>
      </c>
      <c r="M172" s="392"/>
      <c r="N172" s="363">
        <f t="shared" si="31"/>
        <v>100.00000000000001</v>
      </c>
      <c r="O172" s="420"/>
      <c r="R172" s="1">
        <v>1987</v>
      </c>
      <c r="S172" s="5">
        <f>(O63*($E63/365)) + (O64*($E64/365))</f>
        <v>39.70849315068493</v>
      </c>
      <c r="T172" s="5">
        <f>(P63*($E63/365)) + (P64*($E64/365))</f>
        <v>7.8619178082191787</v>
      </c>
      <c r="U172" s="5">
        <f>(Q63*($E63/365)) + (Q64*($E64/365))</f>
        <v>1.7884931506849315</v>
      </c>
      <c r="V172" s="9"/>
      <c r="W172" s="5">
        <f t="shared" si="29"/>
        <v>49.358904109589034</v>
      </c>
    </row>
    <row r="173" spans="1:23" x14ac:dyDescent="0.15">
      <c r="A173" s="1">
        <v>1988</v>
      </c>
      <c r="B173" s="5">
        <f>(K65*($E65/366)) + (K66*($E66/366))</f>
        <v>100</v>
      </c>
      <c r="C173" s="5">
        <f>(L65*($E65/366)) + (L66*($E66/366))</f>
        <v>0</v>
      </c>
      <c r="D173" s="5">
        <f>(M65*($E65/366)) + (M66*($E66/366))</f>
        <v>0</v>
      </c>
      <c r="E173" s="23">
        <f t="shared" si="30"/>
        <v>100</v>
      </c>
      <c r="G173" s="1">
        <v>1988</v>
      </c>
      <c r="H173" s="392">
        <f>(O65/$R65*100*($E65/366))+(O66/$R66*100*($E66/366))</f>
        <v>100</v>
      </c>
      <c r="I173" s="392"/>
      <c r="J173" s="392">
        <f>(P65/$R65*100*($E65/366))+(P66/$R66*100*($E66/366))</f>
        <v>0</v>
      </c>
      <c r="K173" s="392"/>
      <c r="L173" s="392">
        <f>(Q65/$R65*100*($E65/366))+(Q66/$R66*100*($E66/366))</f>
        <v>0</v>
      </c>
      <c r="M173" s="392"/>
      <c r="N173" s="363">
        <f t="shared" si="31"/>
        <v>100</v>
      </c>
      <c r="O173" s="420"/>
      <c r="R173" s="1">
        <v>1988</v>
      </c>
      <c r="S173" s="5">
        <f>(O65*($E65/366)) + (O66*($E66/366))</f>
        <v>48.8</v>
      </c>
      <c r="T173" s="5">
        <f>(P65*($E65/366)) + (P66*($E66/366))</f>
        <v>0</v>
      </c>
      <c r="U173" s="5">
        <f>(Q65*($E65/366)) + (Q66*($E66/366))</f>
        <v>0</v>
      </c>
      <c r="V173" s="9"/>
      <c r="W173" s="5">
        <f t="shared" si="29"/>
        <v>48.8</v>
      </c>
    </row>
    <row r="174" spans="1:23" x14ac:dyDescent="0.15">
      <c r="A174" s="1">
        <v>1989</v>
      </c>
      <c r="B174" s="5">
        <f>(K67*($E67/365)) + (K68*($E68/365))</f>
        <v>100</v>
      </c>
      <c r="C174" s="5">
        <f>(L67*($E67/365)) + (L68*($E68/365))</f>
        <v>0</v>
      </c>
      <c r="D174" s="5">
        <f>(M67*($E67/365)) + (M68*($E68/365))</f>
        <v>0</v>
      </c>
      <c r="E174" s="23">
        <f t="shared" si="30"/>
        <v>100</v>
      </c>
      <c r="G174" s="1">
        <v>1989</v>
      </c>
      <c r="H174" s="392">
        <f>(O67/$R67*100*($E67/365))+(O68/$R68*100*($E68/365))</f>
        <v>100</v>
      </c>
      <c r="I174" s="392"/>
      <c r="J174" s="392">
        <f>(P67/$R67*100*($E67/365))+(P68/$R68*100*($E68/365))</f>
        <v>0</v>
      </c>
      <c r="K174" s="392"/>
      <c r="L174" s="392">
        <f>(Q67/$R67*100*($E67/365))+(Q68/$R68*100*($E68/365))</f>
        <v>0</v>
      </c>
      <c r="M174" s="392"/>
      <c r="N174" s="363">
        <f t="shared" si="31"/>
        <v>100</v>
      </c>
      <c r="O174" s="420"/>
      <c r="R174" s="1">
        <v>1989</v>
      </c>
      <c r="S174" s="5">
        <f>(O67*($E67/365)) + (O68*($E68/365))</f>
        <v>49.368767123287668</v>
      </c>
      <c r="T174" s="5">
        <f>(P67*($E67/365)) + (P68*($E68/365))</f>
        <v>0</v>
      </c>
      <c r="U174" s="5">
        <f>(Q67*($E67/365)) + (Q68*($E68/365))</f>
        <v>0</v>
      </c>
      <c r="V174" s="9"/>
      <c r="W174" s="5">
        <f t="shared" si="29"/>
        <v>49.368767123287668</v>
      </c>
    </row>
    <row r="175" spans="1:23" x14ac:dyDescent="0.15">
      <c r="A175" s="1">
        <v>1990</v>
      </c>
      <c r="B175" s="5">
        <f>(K69*($E69/365)) + (K70*($E70/365))</f>
        <v>100</v>
      </c>
      <c r="C175" s="5">
        <f>(L69*($E69/365)) + (L70*($E70/365))</f>
        <v>0</v>
      </c>
      <c r="D175" s="5">
        <f>(M69*($E69/365)) + (M70*($E70/365))</f>
        <v>0</v>
      </c>
      <c r="E175" s="23">
        <f t="shared" si="30"/>
        <v>100</v>
      </c>
      <c r="G175" s="1">
        <v>1990</v>
      </c>
      <c r="H175" s="392">
        <f>(O69/$R69*100*($E69/365))+(O70/$R70*100*($E70/365))</f>
        <v>100</v>
      </c>
      <c r="I175" s="392"/>
      <c r="J175" s="392">
        <f>(P69/$R69*100*($E69/365))+(P70/$R70*100*($E70/365))</f>
        <v>0</v>
      </c>
      <c r="K175" s="392"/>
      <c r="L175" s="392">
        <f>(Q69/$R69*100*($E69/365))+(Q70/$R70*100*($E70/365))</f>
        <v>0</v>
      </c>
      <c r="M175" s="392"/>
      <c r="N175" s="363">
        <f t="shared" si="31"/>
        <v>100</v>
      </c>
      <c r="O175" s="420"/>
      <c r="R175" s="1">
        <v>1990</v>
      </c>
      <c r="S175" s="5">
        <f>(O69*($E69/365)) + (O70*($E70/365))</f>
        <v>50</v>
      </c>
      <c r="T175" s="5">
        <f>(P69*($E69/365)) + (P70*($E70/365))</f>
        <v>0</v>
      </c>
      <c r="U175" s="5">
        <f>(Q69*($E69/365)) + (Q70*($E70/365))</f>
        <v>0</v>
      </c>
      <c r="V175" s="9"/>
      <c r="W175" s="5">
        <f t="shared" si="29"/>
        <v>50</v>
      </c>
    </row>
    <row r="176" spans="1:23" x14ac:dyDescent="0.15">
      <c r="A176" s="1">
        <v>1991</v>
      </c>
      <c r="B176" s="5">
        <f>(K71*($E71/365)) + (K72*($E72/365))</f>
        <v>100</v>
      </c>
      <c r="C176" s="5">
        <f>(L71*($E71/365)) + (L72*($E72/365))</f>
        <v>0</v>
      </c>
      <c r="D176" s="5">
        <f>(M71*($E71/365)) + (M72*($E72/365))</f>
        <v>0</v>
      </c>
      <c r="E176" s="23">
        <f t="shared" si="30"/>
        <v>100</v>
      </c>
      <c r="G176" s="1">
        <v>1991</v>
      </c>
      <c r="H176" s="392">
        <f>(O71/$R71*100*($E71/365))+(O72/$R72*100*($E72/365))</f>
        <v>100</v>
      </c>
      <c r="I176" s="392"/>
      <c r="J176" s="392">
        <f>(P71/$R71*100*($E71/365))+(P72/$R72*100*($E72/365))</f>
        <v>0</v>
      </c>
      <c r="K176" s="392"/>
      <c r="L176" s="392">
        <f>(Q71/$R71*100*($E71/365))+(Q72/$R72*100*($E72/365))</f>
        <v>0</v>
      </c>
      <c r="M176" s="392"/>
      <c r="N176" s="363">
        <f t="shared" si="31"/>
        <v>100</v>
      </c>
      <c r="O176" s="420"/>
      <c r="R176" s="1">
        <v>1991</v>
      </c>
      <c r="S176" s="5">
        <f>(O71*($E71/365)) + (O72*($E72/365))</f>
        <v>50</v>
      </c>
      <c r="T176" s="5">
        <f>(P71*($E71/365)) + (P72*($E72/365))</f>
        <v>0</v>
      </c>
      <c r="U176" s="5">
        <f>(Q71*($E71/365)) + (Q72*($E72/365))</f>
        <v>0</v>
      </c>
      <c r="V176" s="9"/>
      <c r="W176" s="5">
        <f t="shared" si="29"/>
        <v>50</v>
      </c>
    </row>
    <row r="177" spans="1:23" x14ac:dyDescent="0.15">
      <c r="A177" s="1">
        <v>1992</v>
      </c>
      <c r="B177" s="5">
        <f>(K73*($E73/366)) + (K74*($E74/366))</f>
        <v>100</v>
      </c>
      <c r="C177" s="5">
        <f>(L73*($E73/366)) + (L74*($E74/366))</f>
        <v>0</v>
      </c>
      <c r="D177" s="5">
        <f>(M73*($E73/366)) + (M74*($E74/366))</f>
        <v>0</v>
      </c>
      <c r="E177" s="23">
        <f t="shared" si="30"/>
        <v>100</v>
      </c>
      <c r="G177" s="1">
        <v>1992</v>
      </c>
      <c r="H177" s="392">
        <f>(O73/$R73*100*($E73/366))+(O74/$R74*100*($E74/366))</f>
        <v>100</v>
      </c>
      <c r="I177" s="392"/>
      <c r="J177" s="392">
        <f>(P73/$R73*100*($E73/366))+(P74/$R74*100*($E74/366))</f>
        <v>0</v>
      </c>
      <c r="K177" s="392"/>
      <c r="L177" s="392">
        <f>(Q73/$R73*100*($E73/366))+(Q74/$R74*100*($E74/366))</f>
        <v>0</v>
      </c>
      <c r="M177" s="392"/>
      <c r="N177" s="363">
        <f t="shared" si="31"/>
        <v>100</v>
      </c>
      <c r="O177" s="420"/>
      <c r="R177" s="1">
        <v>1992</v>
      </c>
      <c r="S177" s="5">
        <f>(O73*($E73/366)) + (O74*($E74/366))</f>
        <v>50</v>
      </c>
      <c r="T177" s="5">
        <f>(P73*($E73/366)) + (P74*($E74/366))</f>
        <v>0</v>
      </c>
      <c r="U177" s="5">
        <f>(Q73*($E73/366)) + (Q74*($E74/366))</f>
        <v>0</v>
      </c>
      <c r="V177" s="9"/>
      <c r="W177" s="5">
        <f t="shared" si="29"/>
        <v>50</v>
      </c>
    </row>
    <row r="178" spans="1:23" x14ac:dyDescent="0.15">
      <c r="A178" s="1">
        <v>1993</v>
      </c>
      <c r="B178" s="5">
        <f>(K75*($E75/365)) + (K76*($E76/365))</f>
        <v>61.205479452054796</v>
      </c>
      <c r="C178" s="5">
        <f>(L75*($E75/365)) + (L76*($E76/365))</f>
        <v>0</v>
      </c>
      <c r="D178" s="5">
        <f>(M75*($E75/365)) + (M76*($E76/365))</f>
        <v>38.794520547945204</v>
      </c>
      <c r="E178" s="23">
        <f t="shared" si="30"/>
        <v>100</v>
      </c>
      <c r="G178" s="1">
        <v>1993</v>
      </c>
      <c r="H178" s="392">
        <f>(O75/$R75*100*($E75/365))+(O76/$R76*100*($E76/365))</f>
        <v>68.308252918550522</v>
      </c>
      <c r="I178" s="392"/>
      <c r="J178" s="392">
        <f>(P75/$R75*100*($E75/365))+(P76/$R76*100*($E76/365))</f>
        <v>0</v>
      </c>
      <c r="K178" s="392"/>
      <c r="L178" s="392">
        <f>(Q75/$R75*100*($E75/365))+(Q76/$R76*100*($E76/365))</f>
        <v>31.691747081449488</v>
      </c>
      <c r="M178" s="392"/>
      <c r="N178" s="363">
        <f t="shared" si="31"/>
        <v>100.00000000000001</v>
      </c>
      <c r="O178" s="420"/>
      <c r="R178" s="1">
        <v>1993</v>
      </c>
      <c r="S178" s="5">
        <f>(O75*($E75/365)) + (O76*($E76/365))</f>
        <v>41.271232876712332</v>
      </c>
      <c r="T178" s="5">
        <f>(P75*($E75/365)) + (P76*($E76/365))</f>
        <v>0</v>
      </c>
      <c r="U178" s="5">
        <f>(Q75*($E75/365)) + (Q76*($E76/365))</f>
        <v>19.300273972602739</v>
      </c>
      <c r="V178" s="9"/>
      <c r="W178" s="5">
        <f t="shared" si="29"/>
        <v>60.571506849315071</v>
      </c>
    </row>
    <row r="179" spans="1:23" x14ac:dyDescent="0.15">
      <c r="A179" s="1">
        <v>1994</v>
      </c>
      <c r="B179" s="5">
        <f>(K77*($E77/365)) + (K78*($E78/365))</f>
        <v>57.205479452054796</v>
      </c>
      <c r="C179" s="5">
        <f>(L77*($E77/365)) + (L78*($E78/365))</f>
        <v>2.484018264840183</v>
      </c>
      <c r="D179" s="5">
        <f>(M77*($E77/365)) + (M78*($E78/365))</f>
        <v>40.310502283105016</v>
      </c>
      <c r="E179" s="23">
        <f t="shared" si="30"/>
        <v>100</v>
      </c>
      <c r="G179" s="1">
        <v>1994</v>
      </c>
      <c r="H179" s="392">
        <f>(O77/$R77*100*($E77/365))+(O78/$R78*100*($E78/365))</f>
        <v>64.187866927592964</v>
      </c>
      <c r="I179" s="392"/>
      <c r="J179" s="392">
        <f>(P77/$R77*100*($E77/365))+(P78/$R78*100*($E78/365))</f>
        <v>2.5550440907326273</v>
      </c>
      <c r="K179" s="392"/>
      <c r="L179" s="392">
        <f>(Q77/$R77*100*($E77/365))+(Q78/$R78*100*($E78/365))</f>
        <v>33.257088981674414</v>
      </c>
      <c r="M179" s="392"/>
      <c r="N179" s="363">
        <f t="shared" si="31"/>
        <v>100</v>
      </c>
      <c r="O179" s="420"/>
      <c r="R179" s="1">
        <v>1994</v>
      </c>
      <c r="S179" s="5">
        <f>(O77*($E77/365)) + (O78*($E78/365))</f>
        <v>39.090410958904108</v>
      </c>
      <c r="T179" s="5">
        <f>(P77*($E77/365)) + (P78*($E78/365))</f>
        <v>1.2621917808219179</v>
      </c>
      <c r="U179" s="5">
        <f>(Q77*($E77/365)) + (Q78*($E78/365))</f>
        <v>20.011780821917807</v>
      </c>
      <c r="V179" s="9"/>
      <c r="W179" s="5">
        <f t="shared" si="29"/>
        <v>60.364383561643834</v>
      </c>
    </row>
    <row r="180" spans="1:23" x14ac:dyDescent="0.15">
      <c r="A180" s="1">
        <v>1995</v>
      </c>
      <c r="B180" s="5">
        <f>(K79*($E79/365)) + (K80*($E80/365))</f>
        <v>0</v>
      </c>
      <c r="C180" s="5">
        <f>(L79*($E79/365)) + (L80*($E80/365))</f>
        <v>53.333333333333336</v>
      </c>
      <c r="D180" s="5">
        <f>(M79*($E79/365)) + (M80*($E80/365))</f>
        <v>46.666666666666664</v>
      </c>
      <c r="E180" s="23">
        <f t="shared" si="30"/>
        <v>100</v>
      </c>
      <c r="G180" s="1">
        <v>1995</v>
      </c>
      <c r="H180" s="392">
        <f>(O79/$R79*100*($E79/365))+(O80/$R80*100*($E80/365))</f>
        <v>0</v>
      </c>
      <c r="I180" s="392"/>
      <c r="J180" s="392">
        <f>(P79/$R79*100*($E79/365))+(P80/$R80*100*($E80/365))</f>
        <v>54.858299595141702</v>
      </c>
      <c r="K180" s="392"/>
      <c r="L180" s="392">
        <f>(Q79/$R79*100*($E79/365))+(Q80/$R80*100*($E80/365))</f>
        <v>45.141700404858298</v>
      </c>
      <c r="M180" s="392"/>
      <c r="N180" s="363">
        <f t="shared" si="31"/>
        <v>100</v>
      </c>
      <c r="O180" s="420"/>
      <c r="R180" s="1">
        <v>1995</v>
      </c>
      <c r="S180" s="5">
        <f>(O79*($E79/365)) + (O80*($E80/365))</f>
        <v>0</v>
      </c>
      <c r="T180" s="5">
        <f>(P79*($E79/365)) + (P80*($E80/365))</f>
        <v>27.1</v>
      </c>
      <c r="U180" s="5">
        <f>(Q79*($E79/365)) + (Q80*($E80/365))</f>
        <v>22.3</v>
      </c>
      <c r="V180" s="9"/>
      <c r="W180" s="5">
        <f t="shared" si="29"/>
        <v>49.400000000000006</v>
      </c>
    </row>
    <row r="181" spans="1:23" x14ac:dyDescent="0.15">
      <c r="A181" s="1">
        <v>1996</v>
      </c>
      <c r="B181" s="5">
        <f>(K81*($E81/366)) + (K82*($E82/366))</f>
        <v>0</v>
      </c>
      <c r="C181" s="5">
        <f>(L81*($E81/366)) + (L82*($E82/366))</f>
        <v>53.333333333333336</v>
      </c>
      <c r="D181" s="5">
        <f>(M81*($E81/366)) + (M82*($E82/366))</f>
        <v>46.666666666666664</v>
      </c>
      <c r="E181" s="23">
        <f t="shared" si="30"/>
        <v>100</v>
      </c>
      <c r="G181" s="1">
        <v>1996</v>
      </c>
      <c r="H181" s="392">
        <f>(O81/$R81*100*($E81/366))+(O82/$R82*100*($E82/366))</f>
        <v>0</v>
      </c>
      <c r="I181" s="392"/>
      <c r="J181" s="392">
        <f>(P81/$R81*100*($E81/366))+(P82/$R82*100*($E82/366))</f>
        <v>54.858299595141702</v>
      </c>
      <c r="K181" s="392"/>
      <c r="L181" s="392">
        <f>(Q81/$R81*100*($E81/366))+(Q82/$R82*100*($E82/366))</f>
        <v>45.141700404858298</v>
      </c>
      <c r="M181" s="392"/>
      <c r="N181" s="363">
        <f t="shared" si="31"/>
        <v>100</v>
      </c>
      <c r="O181" s="420"/>
      <c r="R181" s="1">
        <v>1996</v>
      </c>
      <c r="S181" s="5">
        <f>(O81*($E81/366)) + (O82*($E82/366))</f>
        <v>0</v>
      </c>
      <c r="T181" s="5">
        <f>(P81*($E81/366)) + (P82*($E82/366))</f>
        <v>27.1</v>
      </c>
      <c r="U181" s="5">
        <f>(Q81*($E81/366)) + (Q82*($E82/366))</f>
        <v>22.3</v>
      </c>
      <c r="V181" s="9"/>
      <c r="W181" s="5">
        <f t="shared" si="29"/>
        <v>49.400000000000006</v>
      </c>
    </row>
    <row r="182" spans="1:23" x14ac:dyDescent="0.15">
      <c r="A182" s="1">
        <v>1997</v>
      </c>
      <c r="B182" s="5">
        <f>(K83*($E83/365)) + (K84*($E84/365))</f>
        <v>51.780821917808218</v>
      </c>
      <c r="C182" s="5">
        <f>(L83*($E83/365)) + (L84*($E84/365))</f>
        <v>25.716894977168952</v>
      </c>
      <c r="D182" s="5">
        <f>(M83*($E83/365)) + (M84*($E84/365))</f>
        <v>22.50228310502283</v>
      </c>
      <c r="E182" s="23">
        <f t="shared" si="30"/>
        <v>100</v>
      </c>
      <c r="G182" s="1">
        <v>1997</v>
      </c>
      <c r="H182" s="392">
        <f>(O83/$R83*100*($E83/365))+(O84/$R84*100*($E84/365))</f>
        <v>51.780821917808218</v>
      </c>
      <c r="I182" s="392"/>
      <c r="J182" s="392">
        <f>(P83/$R83*100*($E83/365))+(P84/$R84*100*($E84/365))</f>
        <v>26.452221174643672</v>
      </c>
      <c r="K182" s="392"/>
      <c r="L182" s="392">
        <f>(Q83/$R83*100*($E83/365))+(Q84/$R84*100*($E84/365))</f>
        <v>21.76695690754811</v>
      </c>
      <c r="M182" s="392"/>
      <c r="N182" s="363">
        <f t="shared" si="31"/>
        <v>100</v>
      </c>
      <c r="O182" s="420"/>
      <c r="R182" s="1">
        <v>1997</v>
      </c>
      <c r="S182" s="5">
        <f>(O83*($E83/365)) + (O84*($E84/365))</f>
        <v>25.269041095890408</v>
      </c>
      <c r="T182" s="5">
        <f>(P83*($E83/365)) + (P84*($E84/365))</f>
        <v>13.067397260273975</v>
      </c>
      <c r="U182" s="5">
        <f>(Q83*($E83/365)) + (Q84*($E84/365))</f>
        <v>10.752876712328767</v>
      </c>
      <c r="V182" s="9"/>
      <c r="W182" s="5">
        <f t="shared" si="29"/>
        <v>49.08931506849315</v>
      </c>
    </row>
    <row r="183" spans="1:23" x14ac:dyDescent="0.15">
      <c r="A183" s="1">
        <v>1998</v>
      </c>
      <c r="B183" s="5">
        <f>(K85*($E85/365)) + (K86*($E86/365))</f>
        <v>100</v>
      </c>
      <c r="C183" s="5">
        <f>(L85*($E85/365)) + (L86*($E86/365))</f>
        <v>0</v>
      </c>
      <c r="D183" s="5">
        <f>(M85*($E85/365)) + (M86*($E86/365))</f>
        <v>0</v>
      </c>
      <c r="E183" s="23">
        <f t="shared" si="30"/>
        <v>100</v>
      </c>
      <c r="G183" s="1">
        <v>1998</v>
      </c>
      <c r="H183" s="392">
        <f>(O85/$R85*100*($E85/365))+(O86/$R86*100*($E86/365))</f>
        <v>100</v>
      </c>
      <c r="I183" s="392"/>
      <c r="J183" s="392">
        <f>(P85/$R85*100*($E85/365))+(P86/$R86*100*($E86/365))</f>
        <v>0</v>
      </c>
      <c r="K183" s="392"/>
      <c r="L183" s="392">
        <f>(Q85/$R85*100*($E85/365))+(Q86/$R86*100*($E86/365))</f>
        <v>0</v>
      </c>
      <c r="M183" s="392"/>
      <c r="N183" s="363">
        <f t="shared" si="31"/>
        <v>100</v>
      </c>
      <c r="O183" s="420"/>
      <c r="R183" s="1">
        <v>1998</v>
      </c>
      <c r="S183" s="5">
        <f>(O85*($E85/365)) + (O86*($E86/365))</f>
        <v>48.8</v>
      </c>
      <c r="T183" s="5">
        <f>(P85*($E85/365)) + (P86*($E86/365))</f>
        <v>0</v>
      </c>
      <c r="U183" s="5">
        <f>(Q85*($E85/365)) + (Q86*($E86/365))</f>
        <v>0</v>
      </c>
      <c r="V183" s="9"/>
      <c r="W183" s="5">
        <f t="shared" si="29"/>
        <v>48.8</v>
      </c>
    </row>
    <row r="184" spans="1:23" x14ac:dyDescent="0.15">
      <c r="A184" s="1">
        <v>1999</v>
      </c>
      <c r="B184" s="5">
        <f>(K87*($E87/365)) + (K88*($E88/365))</f>
        <v>100</v>
      </c>
      <c r="C184" s="5">
        <f>(L87*($E87/365)) + (L88*($E88/365))</f>
        <v>0</v>
      </c>
      <c r="D184" s="5">
        <f>(M87*($E87/365)) + (M88*($E88/365))</f>
        <v>0</v>
      </c>
      <c r="E184" s="23">
        <f t="shared" si="30"/>
        <v>100</v>
      </c>
      <c r="G184" s="1">
        <v>1999</v>
      </c>
      <c r="H184" s="392">
        <f>(O87/$R87*100*($E87/365))+(O88/$R88*100*($E88/365))</f>
        <v>100</v>
      </c>
      <c r="I184" s="392"/>
      <c r="J184" s="392">
        <f>(P87/$R87*100*($E87/365))+(P88/$R88*100*($E88/365))</f>
        <v>0</v>
      </c>
      <c r="K184" s="392"/>
      <c r="L184" s="392">
        <f>(Q87/$R87*100*($E87/365))+(Q88/$R88*100*($E88/365))</f>
        <v>0</v>
      </c>
      <c r="M184" s="392"/>
      <c r="N184" s="363">
        <f t="shared" si="31"/>
        <v>100</v>
      </c>
      <c r="O184" s="420"/>
      <c r="R184" s="1">
        <v>1999</v>
      </c>
      <c r="S184" s="5">
        <f>(O87*($E87/365)) + (O88*($E88/365))</f>
        <v>48.8</v>
      </c>
      <c r="T184" s="5">
        <f>(P87*($E87/365)) + (P88*($E88/365))</f>
        <v>0</v>
      </c>
      <c r="U184" s="5">
        <f>(Q87*($E87/365)) + (Q88*($E88/365))</f>
        <v>0</v>
      </c>
      <c r="V184" s="9"/>
      <c r="W184" s="5">
        <f t="shared" si="29"/>
        <v>48.8</v>
      </c>
    </row>
    <row r="185" spans="1:23" x14ac:dyDescent="0.15">
      <c r="A185" s="1">
        <v>2000</v>
      </c>
      <c r="B185" s="5">
        <f>(K89*($E89/366)) + (K90*($E90/366))</f>
        <v>100</v>
      </c>
      <c r="C185" s="5">
        <f>(L89*($E89/366)) + (L90*($E90/366))</f>
        <v>0</v>
      </c>
      <c r="D185" s="5">
        <f>(M89*($E89/366)) + (M90*($E90/366))</f>
        <v>0</v>
      </c>
      <c r="E185" s="23">
        <f t="shared" si="30"/>
        <v>100</v>
      </c>
      <c r="G185" s="1">
        <v>2000</v>
      </c>
      <c r="H185" s="392">
        <f>(O89/$R89*100*($E89/366))+(O90/$R90*100*($E90/366))</f>
        <v>100</v>
      </c>
      <c r="I185" s="392"/>
      <c r="J185" s="392">
        <f>(P89/$R89*100*($E89/366))+(P90/$R90*100*($E90/366))</f>
        <v>0</v>
      </c>
      <c r="K185" s="392"/>
      <c r="L185" s="392">
        <f>(Q89/$R89*100*($E89/366))+(Q90/$R90*100*($E90/366))</f>
        <v>0</v>
      </c>
      <c r="M185" s="392"/>
      <c r="N185" s="363">
        <f t="shared" si="31"/>
        <v>100</v>
      </c>
      <c r="O185" s="420"/>
      <c r="R185" s="1">
        <v>2000</v>
      </c>
      <c r="S185" s="5">
        <f>(O89*($E89/366)) + (O90*($E90/366))</f>
        <v>48.8</v>
      </c>
      <c r="T185" s="5">
        <f>(P89*($E89/366)) + (P90*($E90/366))</f>
        <v>0</v>
      </c>
      <c r="U185" s="5">
        <f>(Q89*($E89/366)) + (Q90*($E90/366))</f>
        <v>0</v>
      </c>
      <c r="V185" s="9"/>
      <c r="W185" s="5">
        <f t="shared" si="29"/>
        <v>48.8</v>
      </c>
    </row>
    <row r="186" spans="1:23" x14ac:dyDescent="0.15">
      <c r="A186" s="1">
        <v>2001</v>
      </c>
      <c r="B186" s="5">
        <f>(K91*($E91/365)) + (K92*($E92/365))</f>
        <v>100</v>
      </c>
      <c r="C186" s="5">
        <f>(L91*($E91/365)) + (L92*($E92/365))</f>
        <v>0</v>
      </c>
      <c r="D186" s="5">
        <f>(M91*($E91/365)) + (M92*($E92/365))</f>
        <v>0</v>
      </c>
      <c r="E186" s="23">
        <f t="shared" si="30"/>
        <v>100</v>
      </c>
      <c r="G186" s="1">
        <v>2001</v>
      </c>
      <c r="H186" s="392">
        <f>(O91/$R91*100*($E91/365))+(O92/$R92*100*($E92/365))</f>
        <v>100</v>
      </c>
      <c r="I186" s="392"/>
      <c r="J186" s="392">
        <f>(P91/$R91*100*($E91/365))+(P92/$R92*100*($E92/365))</f>
        <v>0</v>
      </c>
      <c r="K186" s="392"/>
      <c r="L186" s="392">
        <f>(Q91/$R91*100*($E91/365))+(Q92/$R92*100*($E92/365))</f>
        <v>0</v>
      </c>
      <c r="M186" s="392"/>
      <c r="N186" s="363">
        <f t="shared" si="31"/>
        <v>100</v>
      </c>
      <c r="O186" s="420"/>
      <c r="R186" s="1">
        <v>2001</v>
      </c>
      <c r="S186" s="5">
        <f>(O91*($E91/365)) + (O92*($E92/365))</f>
        <v>48.8</v>
      </c>
      <c r="T186" s="5">
        <f>(P91*($E91/365)) + (P92*($E92/365))</f>
        <v>0</v>
      </c>
      <c r="U186" s="5">
        <f>(Q91*($E91/365)) + (Q92*($E92/365))</f>
        <v>0</v>
      </c>
      <c r="V186" s="9"/>
      <c r="W186" s="5">
        <f t="shared" si="29"/>
        <v>48.8</v>
      </c>
    </row>
    <row r="187" spans="1:23" x14ac:dyDescent="0.15">
      <c r="A187" s="1">
        <v>2002</v>
      </c>
      <c r="B187" s="5">
        <f>(K93*($E93/365)) + (K94*($E94/365))</f>
        <v>100</v>
      </c>
      <c r="C187" s="5">
        <f>(L93*($E93/365)) + (L94*($E94/365))</f>
        <v>0</v>
      </c>
      <c r="D187" s="5">
        <f>(M93*($E93/365)) + (M94*($E94/365))</f>
        <v>0</v>
      </c>
      <c r="E187" s="23">
        <f t="shared" si="30"/>
        <v>100</v>
      </c>
      <c r="G187" s="1">
        <v>2002</v>
      </c>
      <c r="H187" s="392">
        <f>(O93/$R93*100*($E93/365))+(O94/$R94*100*($E94/365))</f>
        <v>100</v>
      </c>
      <c r="I187" s="392"/>
      <c r="J187" s="392">
        <f>(P93/$R93*100*($E93/365))+(P94/$R94*100*($E94/365))</f>
        <v>0</v>
      </c>
      <c r="K187" s="392"/>
      <c r="L187" s="392">
        <f>(Q93/$R93*100*($E93/365))+(Q94/$R94*100*($E94/365))</f>
        <v>0</v>
      </c>
      <c r="M187" s="392"/>
      <c r="N187" s="363">
        <f t="shared" si="31"/>
        <v>100</v>
      </c>
      <c r="O187" s="420"/>
      <c r="R187" s="1">
        <v>2002</v>
      </c>
      <c r="S187" s="5">
        <f>(O93*($E93/365)) + (O94*($E94/365))</f>
        <v>51.548493150684934</v>
      </c>
      <c r="T187" s="5">
        <f>(P93*($E93/365)) + (P94*($E94/365))</f>
        <v>0</v>
      </c>
      <c r="U187" s="5">
        <f>(Q93*($E93/365)) + (Q94*($E94/365))</f>
        <v>0</v>
      </c>
      <c r="V187" s="9"/>
      <c r="W187" s="5">
        <f t="shared" si="29"/>
        <v>51.548493150684934</v>
      </c>
    </row>
    <row r="188" spans="1:23" x14ac:dyDescent="0.15">
      <c r="A188" s="1">
        <v>2003</v>
      </c>
      <c r="B188" s="5">
        <f>(K95*($E95/365)) + (K96*($E96/365))</f>
        <v>100</v>
      </c>
      <c r="C188" s="5">
        <f>(L95*($E95/365)) + (L96*($E96/365))</f>
        <v>0</v>
      </c>
      <c r="D188" s="5">
        <f>(M95*($E95/365)) + (M96*($E96/365))</f>
        <v>0</v>
      </c>
      <c r="E188" s="23">
        <f t="shared" si="30"/>
        <v>100</v>
      </c>
      <c r="G188" s="1">
        <v>2003</v>
      </c>
      <c r="H188" s="392">
        <f>(O95/$R95*100*($E95/365))+(O96/$R96*100*($E96/365))</f>
        <v>100</v>
      </c>
      <c r="I188" s="392"/>
      <c r="J188" s="392">
        <f>(P95/$R95*100*($E95/365))+(P96/$R96*100*($E96/365))</f>
        <v>0</v>
      </c>
      <c r="K188" s="392"/>
      <c r="L188" s="392">
        <f>(Q95/$R95*100*($E95/365))+(Q96/$R96*100*($E96/365))</f>
        <v>0</v>
      </c>
      <c r="M188" s="392"/>
      <c r="N188" s="363">
        <f t="shared" si="31"/>
        <v>100</v>
      </c>
      <c r="O188" s="420"/>
      <c r="R188" s="1">
        <v>2003</v>
      </c>
      <c r="S188" s="5">
        <f>(O95*($E95/365)) + (O96*($E96/365))</f>
        <v>53.6</v>
      </c>
      <c r="T188" s="5">
        <f>(P95*($E95/365)) + (P96*($E96/365))</f>
        <v>0</v>
      </c>
      <c r="U188" s="5">
        <f>(Q95*($E95/365)) + (Q96*($E96/365))</f>
        <v>0</v>
      </c>
      <c r="V188" s="9"/>
      <c r="W188" s="5">
        <f t="shared" si="29"/>
        <v>53.6</v>
      </c>
    </row>
    <row r="189" spans="1:23" x14ac:dyDescent="0.15">
      <c r="A189" s="1">
        <v>2004</v>
      </c>
      <c r="B189" s="5">
        <f>(K97*($E97/366)) + (K98*($E98/366))</f>
        <v>100</v>
      </c>
      <c r="C189" s="5">
        <f>(L97*($E97/366)) + (L98*($E98/366))</f>
        <v>0</v>
      </c>
      <c r="D189" s="5">
        <f>(M97*($E97/366)) + (M98*($E98/366))</f>
        <v>0</v>
      </c>
      <c r="E189" s="23">
        <f t="shared" si="30"/>
        <v>100</v>
      </c>
      <c r="G189" s="1">
        <v>2004</v>
      </c>
      <c r="H189" s="392">
        <f>(O97/$R97*100*($E97/366))+(O98/$R98*100*($E98/366))</f>
        <v>100</v>
      </c>
      <c r="I189" s="392"/>
      <c r="J189" s="392">
        <f>(P97/$R97*100*($E97/366))+(P98/$R98*100*($E98/366))</f>
        <v>0</v>
      </c>
      <c r="K189" s="392"/>
      <c r="L189" s="392">
        <f>(Q97/$R97*100*($E97/366))+(Q98/$R98*100*($E98/366))</f>
        <v>0</v>
      </c>
      <c r="M189" s="392"/>
      <c r="N189" s="363">
        <f t="shared" si="31"/>
        <v>100</v>
      </c>
      <c r="O189" s="420"/>
      <c r="R189" s="1">
        <v>2004</v>
      </c>
      <c r="S189" s="5">
        <f>(O97*($E97/366)) + (O98*($E98/366))</f>
        <v>53.6</v>
      </c>
      <c r="T189" s="5">
        <f>(P97*($E97/366)) + (P98*($E98/366))</f>
        <v>0</v>
      </c>
      <c r="U189" s="5">
        <f>(Q97*($E97/366)) + (Q98*($E98/366))</f>
        <v>0</v>
      </c>
      <c r="V189" s="9"/>
      <c r="W189" s="5">
        <f t="shared" si="29"/>
        <v>53.6</v>
      </c>
    </row>
    <row r="190" spans="1:23" x14ac:dyDescent="0.15">
      <c r="A190" s="1">
        <v>2005</v>
      </c>
      <c r="B190" s="5">
        <f>(K99*($E99/365)) + (K100*($E100/365))</f>
        <v>100</v>
      </c>
      <c r="C190" s="5">
        <f>(L99*($E99/365)) + (L100*($E100/365))</f>
        <v>0</v>
      </c>
      <c r="D190" s="5">
        <f>(M99*($E99/365)) + (M100*($E100/365))</f>
        <v>0</v>
      </c>
      <c r="E190" s="23">
        <f t="shared" si="30"/>
        <v>100</v>
      </c>
      <c r="G190" s="1">
        <v>2005</v>
      </c>
      <c r="H190" s="392">
        <f>(O99/$R99*100*($E99/365))+(O100/$R100*100*($E100/365))</f>
        <v>100</v>
      </c>
      <c r="I190" s="392"/>
      <c r="J190" s="392">
        <f>(P99/$R99*100*($E99/365))+(P100/$R100*100*($E100/365))</f>
        <v>0</v>
      </c>
      <c r="K190" s="392"/>
      <c r="L190" s="392">
        <f>(Q99/$R99*100*($E99/365))+(Q100/$R100*100*($E100/365))</f>
        <v>0</v>
      </c>
      <c r="M190" s="392"/>
      <c r="N190" s="363">
        <f t="shared" si="31"/>
        <v>100</v>
      </c>
      <c r="O190" s="420"/>
      <c r="R190" s="1">
        <v>2005</v>
      </c>
      <c r="S190" s="5">
        <f>(O99*($E99/365)) + (O100*($E100/365))</f>
        <v>53.6</v>
      </c>
      <c r="T190" s="5">
        <f>(P99*($E99/365)) + (P100*($E100/365))</f>
        <v>0</v>
      </c>
      <c r="U190" s="5">
        <f>(Q99*($E99/365)) + (Q100*($E100/365))</f>
        <v>0</v>
      </c>
      <c r="V190" s="9"/>
      <c r="W190" s="5">
        <f t="shared" si="29"/>
        <v>53.6</v>
      </c>
    </row>
    <row r="191" spans="1:23" x14ac:dyDescent="0.15">
      <c r="A191" s="1">
        <v>2006</v>
      </c>
      <c r="B191" s="5">
        <f>(K101*($E101/365)) + (K102*($E102/365))</f>
        <v>100</v>
      </c>
      <c r="C191" s="5">
        <f>(L101*($E101/365)) + (L102*($E102/365))</f>
        <v>0</v>
      </c>
      <c r="D191" s="5">
        <f>(M101*($E101/365)) + (M102*($E102/365))</f>
        <v>0</v>
      </c>
      <c r="E191" s="23">
        <f t="shared" si="30"/>
        <v>100</v>
      </c>
      <c r="G191" s="1">
        <v>2006</v>
      </c>
      <c r="H191" s="392">
        <f>(O101/$R101*100*($E101/365))+(O102/$R102*100*($E102/365))</f>
        <v>100</v>
      </c>
      <c r="I191" s="392"/>
      <c r="J191" s="392">
        <f>(P101/$R101*100*($E101/365))+(P102/$R102*100*($E102/365))</f>
        <v>0</v>
      </c>
      <c r="K191" s="392"/>
      <c r="L191" s="392">
        <f>(Q101/$R101*100*($E101/365))+(Q102/$R102*100*($E102/365))</f>
        <v>0</v>
      </c>
      <c r="M191" s="392"/>
      <c r="N191" s="363">
        <f t="shared" si="31"/>
        <v>100</v>
      </c>
      <c r="O191" s="420"/>
      <c r="R191" s="1">
        <v>2006</v>
      </c>
      <c r="S191" s="5">
        <f>(O101*($E101/365)) + (O102*($E102/365))</f>
        <v>53.6</v>
      </c>
      <c r="T191" s="5">
        <f>(P101*($E101/365)) + (P102*($E102/365))</f>
        <v>0</v>
      </c>
      <c r="U191" s="5">
        <f>(Q101*($E101/365)) + (Q102*($E102/365))</f>
        <v>0</v>
      </c>
      <c r="V191" s="9"/>
      <c r="W191" s="5">
        <f t="shared" si="29"/>
        <v>53.6</v>
      </c>
    </row>
    <row r="192" spans="1:23" x14ac:dyDescent="0.15">
      <c r="A192" s="1">
        <v>2007</v>
      </c>
      <c r="B192" s="5">
        <f>(K103*($E103/365)) + (K104*($E104/365))</f>
        <v>92.657534246575352</v>
      </c>
      <c r="C192" s="5">
        <f>(L103*($E103/365)) + (L104*($E104/365))</f>
        <v>0</v>
      </c>
      <c r="D192" s="5">
        <f>(M103*($E103/365)) + (M104*($E104/365))</f>
        <v>7.3424657534246576</v>
      </c>
      <c r="E192" s="23">
        <f t="shared" si="30"/>
        <v>100.00000000000001</v>
      </c>
      <c r="G192" s="1">
        <v>2007</v>
      </c>
      <c r="H192" s="392">
        <f>(O103/$R103*100*($E103/365))+(O104/$R104*100*($E104/365))</f>
        <v>96.172846035859735</v>
      </c>
      <c r="I192" s="392"/>
      <c r="J192" s="392">
        <f>(P103/$R103*100*($E103/365))+(P104/$R104*100*($E104/365))</f>
        <v>0</v>
      </c>
      <c r="K192" s="392"/>
      <c r="L192" s="392">
        <f>(Q103/$R103*100*($E103/365))+(Q104/$R104*100*($E104/365))</f>
        <v>3.8271539641402654</v>
      </c>
      <c r="M192" s="392"/>
      <c r="N192" s="363">
        <f t="shared" si="31"/>
        <v>100</v>
      </c>
      <c r="O192" s="420"/>
      <c r="R192" s="1">
        <v>2007</v>
      </c>
      <c r="S192" s="5">
        <f>(O103*($E103/365)) + (O104*($E104/365))</f>
        <v>50.626301369863015</v>
      </c>
      <c r="T192" s="5">
        <f>(P103*($E103/365)) + (P104*($E104/365))</f>
        <v>0</v>
      </c>
      <c r="U192" s="5">
        <f>(Q103*($E103/365)) + (Q104*($E104/365))</f>
        <v>1.9824657534246575</v>
      </c>
      <c r="V192" s="9"/>
      <c r="W192" s="5">
        <f t="shared" si="29"/>
        <v>52.60876712328767</v>
      </c>
    </row>
    <row r="193" spans="1:23" x14ac:dyDescent="0.15">
      <c r="A193" s="1">
        <v>2008</v>
      </c>
      <c r="B193" s="5">
        <f>(K105*($E105/366)) + (K106*($E106/366))</f>
        <v>86.666666666666671</v>
      </c>
      <c r="C193" s="5">
        <f>(L105*($E105/366)) + (L106*($E106/366))</f>
        <v>0</v>
      </c>
      <c r="D193" s="5">
        <f>(M105*($E105/366)) + (M106*($E106/366))</f>
        <v>13.333333333333334</v>
      </c>
      <c r="E193" s="23">
        <f t="shared" si="30"/>
        <v>100</v>
      </c>
      <c r="G193" s="1">
        <v>2008</v>
      </c>
      <c r="H193" s="392">
        <f>(O105/$R105*100*($E105/366))+(O106/$R106*100*($E106/366))</f>
        <v>93.050193050193059</v>
      </c>
      <c r="I193" s="392"/>
      <c r="J193" s="392">
        <f>(P105/$R105*100*($E105/366))+(P106/$R106*100*($E106/366))</f>
        <v>0</v>
      </c>
      <c r="K193" s="392"/>
      <c r="L193" s="392">
        <f>(Q105/$R105*100*($E105/366))+(Q106/$R106*100*($E106/366))</f>
        <v>6.9498069498069501</v>
      </c>
      <c r="M193" s="392"/>
      <c r="N193" s="363">
        <f t="shared" si="31"/>
        <v>100.00000000000001</v>
      </c>
      <c r="O193" s="420"/>
      <c r="R193" s="1">
        <v>2008</v>
      </c>
      <c r="S193" s="5">
        <f>(O105*($E105/366)) + (O106*($E106/366))</f>
        <v>48.2</v>
      </c>
      <c r="T193" s="5">
        <f>(P105*($E105/366)) + (P106*($E106/366))</f>
        <v>0</v>
      </c>
      <c r="U193" s="5">
        <f>(Q105*($E105/366)) + (Q106*($E106/366))</f>
        <v>3.6</v>
      </c>
      <c r="V193" s="9"/>
      <c r="W193" s="5">
        <f t="shared" si="29"/>
        <v>51.800000000000004</v>
      </c>
    </row>
    <row r="194" spans="1:23" x14ac:dyDescent="0.15">
      <c r="A194" s="1">
        <v>2009</v>
      </c>
      <c r="B194" s="5">
        <f>(K107*($E107/365)) + (K108*($E108/365))</f>
        <v>86.283105022831052</v>
      </c>
      <c r="C194" s="5">
        <f>(L107*($E107/365)) + (L108*($E108/365))</f>
        <v>0</v>
      </c>
      <c r="D194" s="5">
        <f>(M107*($E107/365)) + (M108*($E108/365))</f>
        <v>13.333333333333334</v>
      </c>
      <c r="E194" s="23">
        <f t="shared" si="30"/>
        <v>99.61643835616438</v>
      </c>
      <c r="G194" s="1">
        <v>2009</v>
      </c>
      <c r="H194" s="392">
        <f>(O107/$R107*100*($E107/365))+(O108/$R108*100*($E108/365))</f>
        <v>93.040710396279195</v>
      </c>
      <c r="I194" s="392"/>
      <c r="J194" s="392">
        <f>(P107/$R107*100*($E107/365))+(P108/$R108*100*($E108/365))</f>
        <v>0</v>
      </c>
      <c r="K194" s="392"/>
      <c r="L194" s="392">
        <f>(Q107/$R107*100*($E107/365))+(Q108/$R108*100*($E108/365))</f>
        <v>6.959289603720813</v>
      </c>
      <c r="M194" s="392"/>
      <c r="N194" s="363">
        <f t="shared" si="31"/>
        <v>100.00000000000001</v>
      </c>
      <c r="O194" s="420"/>
      <c r="R194" s="1">
        <v>2009</v>
      </c>
      <c r="S194" s="5">
        <f>(O107*($E107/365)) + (O108*($E108/365))</f>
        <v>48.13095890410959</v>
      </c>
      <c r="T194" s="5">
        <f>(P107*($E107/365)) + (P108*($E108/365))</f>
        <v>0</v>
      </c>
      <c r="U194" s="5">
        <f>(Q107*($E107/365)) + (Q108*($E108/365))</f>
        <v>3.6</v>
      </c>
      <c r="V194" s="9"/>
      <c r="W194" s="5">
        <f t="shared" si="29"/>
        <v>51.730958904109592</v>
      </c>
    </row>
    <row r="195" spans="1:23" x14ac:dyDescent="0.15">
      <c r="A195" s="1">
        <v>2010</v>
      </c>
      <c r="B195" s="5">
        <f>(K109*($E109/365)) + (K110*($E110/365))</f>
        <v>80</v>
      </c>
      <c r="C195" s="5">
        <f>(L109*($E109/365)) + (L110*($E110/365))</f>
        <v>0</v>
      </c>
      <c r="D195" s="5">
        <f>(M109*($E109/365)) + (M110*($E110/365))</f>
        <v>13.333333333333334</v>
      </c>
      <c r="E195" s="23">
        <f t="shared" si="30"/>
        <v>93.333333333333329</v>
      </c>
      <c r="G195" s="1">
        <v>2010</v>
      </c>
      <c r="H195" s="392">
        <f>(O109/$R109*100*($E109/365))+(O110/$R110*100*($E110/365))</f>
        <v>92.885375494071141</v>
      </c>
      <c r="I195" s="392"/>
      <c r="J195" s="392">
        <f>(P109/$R109*100*($E109/365))+(P110/$R110*100*($E110/365))</f>
        <v>0</v>
      </c>
      <c r="K195" s="392"/>
      <c r="L195" s="392">
        <f>(Q109/$R109*100*($E109/365))+(Q110/$R110*100*($E110/365))</f>
        <v>7.1146245059288544</v>
      </c>
      <c r="M195" s="392"/>
      <c r="N195" s="363">
        <f t="shared" si="31"/>
        <v>100</v>
      </c>
      <c r="O195" s="420"/>
      <c r="R195" s="1">
        <v>2010</v>
      </c>
      <c r="S195" s="5">
        <f>(O109*($E109/365)) + (O110*($E110/365))</f>
        <v>47</v>
      </c>
      <c r="T195" s="5">
        <f>(P109*($E109/365)) + (P110*($E110/365))</f>
        <v>0</v>
      </c>
      <c r="U195" s="5">
        <f>(Q109*($E109/365)) + (Q110*($E110/365))</f>
        <v>3.6</v>
      </c>
      <c r="V195" s="9"/>
      <c r="W195" s="5">
        <f t="shared" si="29"/>
        <v>50.6</v>
      </c>
    </row>
    <row r="196" spans="1:23" x14ac:dyDescent="0.15">
      <c r="A196" s="1">
        <v>2011</v>
      </c>
      <c r="B196" s="5">
        <f>(K111*($E111/365)) + (K112*($E112/365))+(K113*($E113/365))+(K114*($E114/365))+(K115*($E115/365))</f>
        <v>17.128506196999346</v>
      </c>
      <c r="C196" s="5">
        <f>(L111*($E111/365)) + (L112*($E112/365))+(L113*($E113/365))+(L114*($E114/365))+(L115*($E115/365))</f>
        <v>54.42922374429223</v>
      </c>
      <c r="D196" s="5">
        <f>(M111*($E111/365)) + (M112*($E112/365))+(M113*($E113/365))+(M114*($E114/365))+(M115*($E115/365))</f>
        <v>28.093933463796475</v>
      </c>
      <c r="E196" s="23">
        <f t="shared" si="30"/>
        <v>99.651663405088044</v>
      </c>
      <c r="G196" s="1">
        <v>2011</v>
      </c>
      <c r="H196" s="392">
        <f>(O111/$R111*100*($E111/365))+(O112/$R112*100*($E112/365))+(O113/$R113*100*($E113/365))+(O114/$R114*100*($E114/365))+(O115/$R115*100*($E115/365))</f>
        <v>17.927337701012508</v>
      </c>
      <c r="I196" s="392"/>
      <c r="J196" s="392">
        <f>(P111/$R111*100*($E111/365))+(P112/$R112*100*($E112/365))+(P113/$R113*100*($E113/365))+(P114/$R114*100*($E114/365))+(P115/$R115*100*($E115/365))</f>
        <v>54.908776376400539</v>
      </c>
      <c r="K196" s="392"/>
      <c r="L196" s="392">
        <f>(Q111/$R111*100*($E111/365))+(Q112/$R112*100*($E112/365))+(Q113/$R113*100*($E113/365))+(Q114/$R114*100*($E114/365))+(Q115/$R115*100*($E115/365))</f>
        <v>27.163885922586953</v>
      </c>
      <c r="M196" s="392"/>
      <c r="N196" s="363">
        <f t="shared" si="31"/>
        <v>100</v>
      </c>
      <c r="O196" s="420"/>
      <c r="R196" s="1">
        <v>2011</v>
      </c>
      <c r="S196" s="5">
        <f>(O111*($E111/365)) + (O112*($E112/365))+(O113*($E113/365))+(O114*($E114/365))+(O115*($E115/365))</f>
        <v>8.6273972602739715</v>
      </c>
      <c r="T196" s="5">
        <f>(P111*($E111/365)) + (P112*($E112/365))+(P113*($E113/365))+(P114*($E114/365))+(P115*($E115/365))</f>
        <v>37.392876712328764</v>
      </c>
      <c r="U196" s="5">
        <f>(Q111*($E111/365)) + (Q112*($E112/365))+(Q113*($E113/365))+(Q114*($E114/365))+(Q115*($E115/365))</f>
        <v>18.423561643835619</v>
      </c>
      <c r="V196" s="9"/>
      <c r="W196" s="5">
        <f t="shared" si="29"/>
        <v>64.443835616438349</v>
      </c>
    </row>
    <row r="197" spans="1:23" x14ac:dyDescent="0.15">
      <c r="A197" s="1">
        <v>2012</v>
      </c>
      <c r="B197" s="5">
        <f>(K116*($E116/366))+(K117*($E117/366))</f>
        <v>0</v>
      </c>
      <c r="C197" s="5">
        <f>(L116*($E116/366))+(L117*($E117/366))</f>
        <v>66.666666666666657</v>
      </c>
      <c r="D197" s="5">
        <f>(M116*($E116/366))+(M117*($E117/366))</f>
        <v>33.333333333333329</v>
      </c>
      <c r="E197" s="23">
        <f t="shared" si="30"/>
        <v>99.999999999999986</v>
      </c>
      <c r="G197" s="1">
        <v>2012</v>
      </c>
      <c r="H197" s="392">
        <f>(O116/$R116*100*($E116/366))+(O117/$R117*100*($E117/366))</f>
        <v>0</v>
      </c>
      <c r="I197" s="392"/>
      <c r="J197" s="392">
        <f>(P116/$R116*100*($E116/366))+(P117/$R117*100*($E117/366))</f>
        <v>67.25403817914831</v>
      </c>
      <c r="K197" s="392"/>
      <c r="L197" s="392">
        <f>(Q116/$R116*100*($E116/366))+(Q117/$R117*100*($E117/366))</f>
        <v>32.74596182085169</v>
      </c>
      <c r="M197" s="392"/>
      <c r="N197" s="363">
        <f t="shared" ref="N197:N202" si="32">H197+J197+L197</f>
        <v>100</v>
      </c>
      <c r="O197" s="420"/>
      <c r="R197" s="1">
        <v>2012</v>
      </c>
      <c r="S197" s="5">
        <f>(O116*($E116/366))+(O117*($E117/366))</f>
        <v>0</v>
      </c>
      <c r="T197" s="5">
        <f>(P116*($E116/366))+(P117*($E117/366))</f>
        <v>45.8</v>
      </c>
      <c r="U197" s="5">
        <f>(Q116*($E116/366))+(Q117*($E117/366))</f>
        <v>22.3</v>
      </c>
      <c r="V197" s="9"/>
      <c r="W197" s="5">
        <f t="shared" si="29"/>
        <v>68.099999999999994</v>
      </c>
    </row>
    <row r="198" spans="1:23" x14ac:dyDescent="0.15">
      <c r="A198" s="1">
        <v>2013</v>
      </c>
      <c r="B198" s="5">
        <f>(K118*($E118/365))+(K119*($E119/365))</f>
        <v>0</v>
      </c>
      <c r="C198" s="5">
        <f>(L118*($E118/365))+(L119*($E119/365))</f>
        <v>66.666666666666657</v>
      </c>
      <c r="D198" s="5">
        <f>(M118*($E118/365))+(M119*($E119/365))</f>
        <v>33.333333333333329</v>
      </c>
      <c r="E198" s="23">
        <f t="shared" si="30"/>
        <v>99.999999999999986</v>
      </c>
      <c r="G198" s="1">
        <v>2013</v>
      </c>
      <c r="H198" s="392">
        <f>(O118/$R118*100*($E118/365))+(O119/$R119*100*($E119/365))</f>
        <v>0</v>
      </c>
      <c r="I198" s="392"/>
      <c r="J198" s="392">
        <f>(P118/$R118*100*($E118/365))+(P119/$R119*100*($E119/365))</f>
        <v>67.25403817914831</v>
      </c>
      <c r="K198" s="392"/>
      <c r="L198" s="392">
        <f>(Q118/$R118*100*($E118/365))+(Q119/$R119*100*($E119/365))</f>
        <v>32.74596182085169</v>
      </c>
      <c r="M198" s="392"/>
      <c r="N198" s="363">
        <f t="shared" si="32"/>
        <v>100</v>
      </c>
      <c r="O198" s="420"/>
      <c r="R198" s="1">
        <v>2013</v>
      </c>
      <c r="S198" s="5">
        <f>(O118*($E118/365))+(O119*($E119/365))</f>
        <v>0</v>
      </c>
      <c r="T198" s="5">
        <f>(P118*($E118/365))+(P119*($E119/365))</f>
        <v>45.8</v>
      </c>
      <c r="U198" s="5">
        <f>(Q118*($E118/365))+(Q119*($E119/365))</f>
        <v>22.3</v>
      </c>
      <c r="V198" s="9"/>
      <c r="W198" s="5">
        <f t="shared" si="29"/>
        <v>68.099999999999994</v>
      </c>
    </row>
    <row r="199" spans="1:23" x14ac:dyDescent="0.15">
      <c r="A199" s="1">
        <v>2014</v>
      </c>
      <c r="B199" s="5">
        <f>(K120*($E120/365))+(K121*($E121/365))</f>
        <v>0</v>
      </c>
      <c r="C199" s="5">
        <f>(L120*($E120/365))+(L121*($E121/365))</f>
        <v>66.666666666666657</v>
      </c>
      <c r="D199" s="5">
        <f>(M120*($E120/365))+(M121*($E121/365))</f>
        <v>33.333333333333329</v>
      </c>
      <c r="E199" s="23">
        <f>B199+C199+D199</f>
        <v>99.999999999999986</v>
      </c>
      <c r="G199" s="1">
        <v>2014</v>
      </c>
      <c r="H199" s="392">
        <f>(O120/$R120*100*($E120/365))+(O121/$R121*100*($E121/365))</f>
        <v>0</v>
      </c>
      <c r="I199" s="392"/>
      <c r="J199" s="392">
        <f>(P120/$R120*100*($E120/365))+(P121/$R121*100*($E121/365))</f>
        <v>67.25403817914831</v>
      </c>
      <c r="K199" s="392"/>
      <c r="L199" s="392">
        <f>(Q120/$R120*100*($E120/365))+(Q121/$R121*100*($E121/365))</f>
        <v>32.74596182085169</v>
      </c>
      <c r="M199" s="392"/>
      <c r="N199" s="363">
        <f t="shared" si="32"/>
        <v>100</v>
      </c>
      <c r="O199" s="420"/>
      <c r="R199" s="1">
        <v>2014</v>
      </c>
      <c r="S199" s="5">
        <f>(O120*($E120/365))+(O121*($E121/365))</f>
        <v>0</v>
      </c>
      <c r="T199" s="5">
        <f>(P120*($E120/365))+(P121*($E121/365))</f>
        <v>45.8</v>
      </c>
      <c r="U199" s="5">
        <f>(Q120*($E120/365))+(Q121*($E121/365))</f>
        <v>22.3</v>
      </c>
      <c r="V199" s="9"/>
      <c r="W199" s="5">
        <f>S199+T199+U199</f>
        <v>68.099999999999994</v>
      </c>
    </row>
    <row r="200" spans="1:23" x14ac:dyDescent="0.15">
      <c r="A200" s="1">
        <v>2015</v>
      </c>
      <c r="B200" s="5">
        <f>(K122*($E122/365))+(K123*($E123/365))</f>
        <v>0</v>
      </c>
      <c r="C200" s="5">
        <f>(L122*($E122/365))+(L123*($E123/365))</f>
        <v>66.666666666666657</v>
      </c>
      <c r="D200" s="5">
        <f>(M122*($E122/365))+(M123*($E123/365))</f>
        <v>33.333333333333329</v>
      </c>
      <c r="E200" s="23">
        <f>B200+C200+D200</f>
        <v>99.999999999999986</v>
      </c>
      <c r="G200" s="1">
        <v>2015</v>
      </c>
      <c r="H200" s="392">
        <f>(O122/$R122*100*($E122/365))+(O123/$R123*100*($E123/365))</f>
        <v>0</v>
      </c>
      <c r="I200" s="392"/>
      <c r="J200" s="392">
        <f>(P122/$R122*100*($E122/365))+(P123/$R123*100*($E123/365))</f>
        <v>67.25403817914831</v>
      </c>
      <c r="K200" s="392"/>
      <c r="L200" s="392">
        <f>(Q122/$R122*100*($E122/365))+(Q123/$R123*100*($E123/365))</f>
        <v>32.74596182085169</v>
      </c>
      <c r="M200" s="392"/>
      <c r="N200" s="363">
        <f t="shared" si="32"/>
        <v>100</v>
      </c>
      <c r="O200" s="420"/>
      <c r="R200" s="1">
        <v>2015</v>
      </c>
      <c r="S200" s="5">
        <f>(O122*($E122/365))+(O123*($E123/365))</f>
        <v>0</v>
      </c>
      <c r="T200" s="5">
        <f>(P122*($E122/365))+(P123*($E123/365))</f>
        <v>45.8</v>
      </c>
      <c r="U200" s="5">
        <f>(Q122*($E122/365))+(Q123*($E123/365))</f>
        <v>22.3</v>
      </c>
      <c r="V200" s="9"/>
      <c r="W200" s="5">
        <f>S200+T200+U200</f>
        <v>68.099999999999994</v>
      </c>
    </row>
    <row r="201" spans="1:23" x14ac:dyDescent="0.15">
      <c r="A201" s="1">
        <v>2016</v>
      </c>
      <c r="B201" s="5">
        <f>(K124*($E124/366))+(K125*($E125/366))</f>
        <v>0</v>
      </c>
      <c r="C201" s="5">
        <f>(L124*($E124/366))+(L125*($E125/366))</f>
        <v>75.409836065573757</v>
      </c>
      <c r="D201" s="5">
        <f>(M124*($E124/366))+(M125*($E125/366))</f>
        <v>11.475409836065571</v>
      </c>
      <c r="E201" s="23">
        <f>B201+C201+D201</f>
        <v>86.885245901639323</v>
      </c>
      <c r="G201" s="1">
        <v>2016</v>
      </c>
      <c r="H201" s="392">
        <f>(O124/$R124*100*($E124/366))+(O125/$R125*100*($E125/366))</f>
        <v>0</v>
      </c>
      <c r="I201" s="392"/>
      <c r="J201" s="392">
        <f>(P124/$R124*100*($E124/366))+(P125/$R125*100*($E125/366))</f>
        <v>88.726800028887112</v>
      </c>
      <c r="K201" s="392"/>
      <c r="L201" s="392">
        <f>(Q124/$R124*100*($E124/366))+(Q125/$R125*100*($E125/366))</f>
        <v>11.273199971112877</v>
      </c>
      <c r="M201" s="392"/>
      <c r="N201" s="363">
        <f t="shared" si="32"/>
        <v>99.999999999999986</v>
      </c>
      <c r="O201" s="420"/>
      <c r="R201" s="1">
        <v>2016</v>
      </c>
      <c r="S201" s="5">
        <f>(O124*($E124/366))+(O125*($E125/366))</f>
        <v>0</v>
      </c>
      <c r="T201" s="5">
        <f>(P124*($E124/366))+(P125*($E125/366))</f>
        <v>36.488524590163934</v>
      </c>
      <c r="U201" s="5">
        <f>(Q124*($E124/366))+(Q125*($E125/366))</f>
        <v>7.6770491803278693</v>
      </c>
      <c r="V201" s="9"/>
      <c r="W201" s="5">
        <f>S201+T201+U201</f>
        <v>44.165573770491804</v>
      </c>
    </row>
    <row r="202" spans="1:23" x14ac:dyDescent="0.15">
      <c r="A202" s="1">
        <v>2017</v>
      </c>
      <c r="B202" s="5">
        <f>(K126*($E126/365))+(K127*($E127/365))</f>
        <v>0</v>
      </c>
      <c r="C202" s="5">
        <f>(L126*($E126/365))+(L127*($E127/365))</f>
        <v>80</v>
      </c>
      <c r="D202" s="5">
        <f>(M126*($E126/365))+(M127*($E127/365))</f>
        <v>0</v>
      </c>
      <c r="E202" s="23">
        <f>B202+C202+D202</f>
        <v>80</v>
      </c>
      <c r="G202" s="1">
        <v>2017</v>
      </c>
      <c r="H202" s="392">
        <f>(O126/$R126*100*($E126/365))+(O127/$R127*100*($E127/365))</f>
        <v>0</v>
      </c>
      <c r="I202" s="392"/>
      <c r="J202" s="392">
        <f>(P126/$R126*100*($E126/365))+(P127/$R127*100*($E127/365))</f>
        <v>100</v>
      </c>
      <c r="K202" s="392"/>
      <c r="L202" s="392">
        <f>(Q126/$R126*100*($E126/365))+(Q127/$R127*100*($E127/365))</f>
        <v>0</v>
      </c>
      <c r="M202" s="392"/>
      <c r="N202" s="363">
        <f t="shared" si="32"/>
        <v>100</v>
      </c>
      <c r="O202" s="420"/>
      <c r="R202" s="1">
        <v>2017</v>
      </c>
      <c r="S202" s="5">
        <f>(O126*($E126/365))+(O127*($E127/365))</f>
        <v>0</v>
      </c>
      <c r="T202" s="5">
        <f>(P126*($E126/365))+(P127*($E127/365))</f>
        <v>31.599999999999998</v>
      </c>
      <c r="U202" s="5">
        <f>(Q126*($E126/365))+(Q127*($E127/365))</f>
        <v>0</v>
      </c>
      <c r="V202" s="9"/>
      <c r="W202" s="5">
        <f>S202+T202+U202</f>
        <v>31.599999999999998</v>
      </c>
    </row>
    <row r="203" spans="1:23" x14ac:dyDescent="0.15">
      <c r="A203" s="1">
        <v>2018</v>
      </c>
      <c r="B203" s="5">
        <f>(K128*($E128/365))+(K129*($E129/365))</f>
        <v>0</v>
      </c>
      <c r="C203" s="5">
        <f>(L128*($E128/365))+(L129*($E129/365))</f>
        <v>81.497716894977174</v>
      </c>
      <c r="D203" s="5">
        <f>(M128*($E128/365))+(M129*($E129/365))</f>
        <v>0</v>
      </c>
      <c r="E203" s="23">
        <f t="shared" ref="E203" si="33">B203+C203+D203</f>
        <v>81.497716894977174</v>
      </c>
      <c r="G203" s="1">
        <v>2018</v>
      </c>
      <c r="H203" s="392">
        <f>(O128/$R128*100*($E128/365))+(O129/$R129*100*($E129/365))</f>
        <v>0</v>
      </c>
      <c r="I203" s="392"/>
      <c r="J203" s="392">
        <f>(P128/$R128*100*($E128/365))+(P129/$R129*100*($E129/365))</f>
        <v>100</v>
      </c>
      <c r="K203" s="392"/>
      <c r="L203" s="392">
        <f>(Q128/$R128*100*($E128/365))+(Q129/$R129*100*($E129/365))</f>
        <v>0</v>
      </c>
      <c r="M203" s="392"/>
      <c r="N203" s="363">
        <f t="shared" ref="N203" si="34">H203+J203+L203</f>
        <v>100</v>
      </c>
      <c r="O203" s="420"/>
      <c r="R203" s="1">
        <v>2018</v>
      </c>
      <c r="S203" s="5">
        <f>(O128*($E128/365))+(O129*($E129/365))</f>
        <v>0</v>
      </c>
      <c r="T203" s="5">
        <f>(P128*($E128/365))+(P129*($E129/365))</f>
        <v>31.6</v>
      </c>
      <c r="U203" s="5">
        <f>(Q128*($E128/365))+(Q129*($E129/365))</f>
        <v>0</v>
      </c>
      <c r="V203" s="9"/>
      <c r="W203" s="5">
        <f t="shared" ref="W203" si="35">S203+T203+U203</f>
        <v>31.6</v>
      </c>
    </row>
    <row r="204" spans="1:23" x14ac:dyDescent="0.15">
      <c r="A204" s="1">
        <v>2019</v>
      </c>
      <c r="B204" s="5">
        <f>(K130*($E130/365))+(K131*($E131/365))</f>
        <v>0</v>
      </c>
      <c r="C204" s="5">
        <f>(L130*($E130/365))+(L131*($E131/365))</f>
        <v>86.666666666666671</v>
      </c>
      <c r="D204" s="5">
        <f>(M130*($E130/365))+(M131*($E131/365))</f>
        <v>0</v>
      </c>
      <c r="E204" s="23">
        <f t="shared" ref="E204:E205" si="36">B204+C204+D204</f>
        <v>86.666666666666671</v>
      </c>
      <c r="G204" s="1">
        <v>2019</v>
      </c>
      <c r="H204" s="392">
        <f>(O130/$R130*100*($E130/365))+(O131/$R131*100*($E131/365))</f>
        <v>0</v>
      </c>
      <c r="I204" s="392"/>
      <c r="J204" s="392">
        <f>(P130/$R130*100*($E130/365))+(P131/$R131*100*($E131/365))</f>
        <v>100</v>
      </c>
      <c r="K204" s="392"/>
      <c r="L204" s="392">
        <f>(Q130/$R130*100*($E130/365))+(Q131/$R131*100*($E131/365))</f>
        <v>0</v>
      </c>
      <c r="M204" s="392"/>
      <c r="N204" s="363">
        <f t="shared" ref="N204" si="37">H204+J204+L204</f>
        <v>100</v>
      </c>
      <c r="O204" s="420"/>
      <c r="R204" s="1">
        <v>2019</v>
      </c>
      <c r="S204" s="5">
        <f>(O130*($E130/365))+(O131*($E131/365))</f>
        <v>0</v>
      </c>
      <c r="T204" s="5">
        <f>(P130*($E130/365))+(P131*($E131/365))</f>
        <v>31.6</v>
      </c>
      <c r="U204" s="5">
        <f>(Q130*($E130/365))+(Q131*($E131/365))</f>
        <v>0</v>
      </c>
      <c r="V204" s="9"/>
      <c r="W204" s="5">
        <f t="shared" ref="W204:W205" si="38">S204+T204+U204</f>
        <v>31.6</v>
      </c>
    </row>
    <row r="205" spans="1:23" x14ac:dyDescent="0.15">
      <c r="A205" s="1">
        <v>2020</v>
      </c>
      <c r="B205" s="5">
        <f>(K132*($E132/366))+ (K133*($E133/366))+(K134*($E134/366))</f>
        <v>20.546448087431695</v>
      </c>
      <c r="C205" s="5">
        <f>(L132*($E132/366))+ (L133*($E133/366))+(L134*($E134/366))</f>
        <v>62.695810564663034</v>
      </c>
      <c r="D205" s="5">
        <f>(M132*($E132/366))+ (M133*($E133/366))+(M134*($E134/366))</f>
        <v>10.273224043715848</v>
      </c>
      <c r="E205" s="23">
        <f t="shared" si="36"/>
        <v>93.515482695810576</v>
      </c>
      <c r="G205" s="1">
        <v>2020</v>
      </c>
      <c r="H205" s="392">
        <f>(O132/$R132*100*($E132/366))+(O133/$R133*100*($E133/366))+(O134/$R134*100*($E134/366))</f>
        <v>22.601092896174865</v>
      </c>
      <c r="I205" s="392"/>
      <c r="J205" s="392">
        <f>(P132/$R132*100*($E132/366))+(P133/$R133*100*($E133/366))+(P134/$R134*100*($E134/366))</f>
        <v>70.060889929742387</v>
      </c>
      <c r="K205" s="392"/>
      <c r="L205" s="392">
        <f>(Q132/$R132*100*($E132/366))+(Q133/$R133*100*($E133/366))+(Q134/$R134*100*($E134/366))</f>
        <v>7.3380171740827471</v>
      </c>
      <c r="M205" s="392"/>
      <c r="N205" s="363">
        <f t="shared" ref="N205" si="39">H205+J205+L205</f>
        <v>100</v>
      </c>
      <c r="O205" s="420"/>
      <c r="R205" s="1">
        <v>2020</v>
      </c>
      <c r="S205" s="5">
        <f>(O132*($E132/366))+(O133*($E133/366))+(O134*($E134/366))</f>
        <v>11.865573770491805</v>
      </c>
      <c r="T205" s="5">
        <f>(P132*($E132/366))+(P133*($E133/366))+(P134*($E134/366))</f>
        <v>26.617486338797818</v>
      </c>
      <c r="U205" s="5">
        <f>(Q132*($E132/366))+(Q133*($E133/366))+(Q134*($E134/366))</f>
        <v>3.8524590163934427</v>
      </c>
      <c r="W205" s="5">
        <f t="shared" si="38"/>
        <v>42.335519125683064</v>
      </c>
    </row>
    <row r="206" spans="1:23" x14ac:dyDescent="0.15">
      <c r="A206" s="1">
        <v>2021</v>
      </c>
      <c r="B206" s="5">
        <f>(K135*($E135/365))+(K136*($E136/365))</f>
        <v>40</v>
      </c>
      <c r="C206" s="5">
        <f>(L135*($E135/365))+(L136*($E136/365))</f>
        <v>40</v>
      </c>
      <c r="D206" s="5">
        <f>(M135*($E135/365))+(M136*($E136/365))</f>
        <v>20</v>
      </c>
      <c r="E206" s="23">
        <f>SUM(B206:D206)</f>
        <v>100</v>
      </c>
      <c r="G206" s="1">
        <v>2021</v>
      </c>
      <c r="H206" s="392">
        <f>(O135/$R135*100*($E135/365))+(O136/$R136*100*($E136/365))</f>
        <v>44</v>
      </c>
      <c r="I206" s="392"/>
      <c r="J206" s="392">
        <f>(P135/$R135*100*($E135/365))+(P136/$R136*100*($E136/365))</f>
        <v>41.714285714285708</v>
      </c>
      <c r="K206" s="392"/>
      <c r="L206" s="392">
        <f>(Q135/$R135*100*($E135/365))+(Q136/$R136*100*($E136/365))</f>
        <v>14.285714285714285</v>
      </c>
      <c r="M206" s="392"/>
      <c r="N206" s="363">
        <f>SUM(H206:L206)</f>
        <v>100</v>
      </c>
      <c r="O206" s="420"/>
      <c r="R206" s="1">
        <v>2021</v>
      </c>
      <c r="S206" s="5">
        <f>(O135*($E135/365))+(O136*($E136/365))</f>
        <v>23.1</v>
      </c>
      <c r="T206" s="5">
        <f>(P135*($E135/365))+(P136*($E136/365))</f>
        <v>21.9</v>
      </c>
      <c r="U206" s="5">
        <f>(Q135*($E135/365))+(Q136*($E136/365))</f>
        <v>7.5</v>
      </c>
      <c r="W206" s="5">
        <f>SUM(S206:U206)</f>
        <v>52.5</v>
      </c>
    </row>
    <row r="207" spans="1:23" x14ac:dyDescent="0.15">
      <c r="A207" s="1">
        <v>2022</v>
      </c>
      <c r="B207" s="5">
        <f>(K138*($E138/365))+(K137*($E137/365))</f>
        <v>40</v>
      </c>
      <c r="C207" s="5">
        <f>(L138*($E138/365))+(L137*($E137/365))</f>
        <v>40</v>
      </c>
      <c r="D207" s="5">
        <f>(M138*($E138/365))+(M137*($E137/365))</f>
        <v>20</v>
      </c>
      <c r="E207" s="23">
        <f>SUM(B207:D207)</f>
        <v>100</v>
      </c>
      <c r="G207" s="1">
        <v>2022</v>
      </c>
      <c r="H207" s="392">
        <f>(O138/$R138*100*($E138/365))+(O137/$R137*100*($E137/365))</f>
        <v>44.019167253235146</v>
      </c>
      <c r="I207" s="392"/>
      <c r="J207" s="392">
        <f>(P138/$R138*100*($E138/365))+(P137/$R137*100*($E137/365))</f>
        <v>41.673073799339427</v>
      </c>
      <c r="K207" s="392"/>
      <c r="L207" s="392">
        <f>(Q138/$R138*100*($E138/365))+(Q137/$R137*100*($E137/365))</f>
        <v>14.307758947425413</v>
      </c>
      <c r="M207" s="392"/>
      <c r="N207" s="363">
        <f>SUM(H207:L207)</f>
        <v>99.999999999999986</v>
      </c>
      <c r="O207" s="420"/>
      <c r="R207" s="1">
        <v>2022</v>
      </c>
      <c r="S207" s="5">
        <f>(O138*($E138/365))+(O137*($E137/365))</f>
        <v>23.075342465753423</v>
      </c>
      <c r="T207" s="5">
        <f>(P138*($E138/365))+(P137*($E137/365))</f>
        <v>21.846575342465751</v>
      </c>
      <c r="U207" s="5">
        <f>(Q138*($E138/365))+(Q137*($E137/365))</f>
        <v>7.5</v>
      </c>
      <c r="W207" s="5">
        <f>SUM(S207:U207)</f>
        <v>52.421917808219177</v>
      </c>
    </row>
  </sheetData>
  <mergeCells count="415">
    <mergeCell ref="N186:O186"/>
    <mergeCell ref="N189:O189"/>
    <mergeCell ref="N190:O190"/>
    <mergeCell ref="N191:O191"/>
    <mergeCell ref="L192:M192"/>
    <mergeCell ref="H201:I201"/>
    <mergeCell ref="J201:K201"/>
    <mergeCell ref="L201:M201"/>
    <mergeCell ref="N201:O201"/>
    <mergeCell ref="H200:I200"/>
    <mergeCell ref="J200:K200"/>
    <mergeCell ref="L200:M200"/>
    <mergeCell ref="N200:O200"/>
    <mergeCell ref="L194:M194"/>
    <mergeCell ref="H194:I194"/>
    <mergeCell ref="H197:I197"/>
    <mergeCell ref="J197:K197"/>
    <mergeCell ref="L197:M197"/>
    <mergeCell ref="L191:M191"/>
    <mergeCell ref="H193:I193"/>
    <mergeCell ref="J190:K190"/>
    <mergeCell ref="J191:K191"/>
    <mergeCell ref="J192:K192"/>
    <mergeCell ref="L190:M190"/>
    <mergeCell ref="AT4:AW4"/>
    <mergeCell ref="AX4:BA4"/>
    <mergeCell ref="H198:I198"/>
    <mergeCell ref="J198:K198"/>
    <mergeCell ref="L198:M198"/>
    <mergeCell ref="N198:O198"/>
    <mergeCell ref="N193:O193"/>
    <mergeCell ref="N194:O194"/>
    <mergeCell ref="L193:M193"/>
    <mergeCell ref="N192:O192"/>
    <mergeCell ref="L181:M181"/>
    <mergeCell ref="L184:M184"/>
    <mergeCell ref="L185:M185"/>
    <mergeCell ref="J193:K193"/>
    <mergeCell ref="J194:K194"/>
    <mergeCell ref="J195:K195"/>
    <mergeCell ref="J196:K196"/>
    <mergeCell ref="J187:K187"/>
    <mergeCell ref="N197:O197"/>
    <mergeCell ref="N195:O195"/>
    <mergeCell ref="N196:O196"/>
    <mergeCell ref="L196:M196"/>
    <mergeCell ref="H196:I196"/>
    <mergeCell ref="L195:M195"/>
    <mergeCell ref="J176:K176"/>
    <mergeCell ref="J177:K177"/>
    <mergeCell ref="J178:K178"/>
    <mergeCell ref="J179:K179"/>
    <mergeCell ref="C122:D122"/>
    <mergeCell ref="C123:D123"/>
    <mergeCell ref="C124:D124"/>
    <mergeCell ref="C125:D125"/>
    <mergeCell ref="H178:I178"/>
    <mergeCell ref="H179:I179"/>
    <mergeCell ref="H168:I168"/>
    <mergeCell ref="J168:K168"/>
    <mergeCell ref="H164:I164"/>
    <mergeCell ref="J164:K164"/>
    <mergeCell ref="H160:I160"/>
    <mergeCell ref="J160:K160"/>
    <mergeCell ref="H156:I156"/>
    <mergeCell ref="J156:K156"/>
    <mergeCell ref="H152:I152"/>
    <mergeCell ref="J152:K152"/>
    <mergeCell ref="J155:K155"/>
    <mergeCell ref="H169:I169"/>
    <mergeCell ref="J169:K169"/>
    <mergeCell ref="J162:K162"/>
    <mergeCell ref="H181:I181"/>
    <mergeCell ref="J185:K185"/>
    <mergeCell ref="J186:K186"/>
    <mergeCell ref="J180:K180"/>
    <mergeCell ref="J181:K181"/>
    <mergeCell ref="J182:K182"/>
    <mergeCell ref="J183:K183"/>
    <mergeCell ref="L189:M189"/>
    <mergeCell ref="J189:K189"/>
    <mergeCell ref="L186:M186"/>
    <mergeCell ref="L187:M187"/>
    <mergeCell ref="J188:K188"/>
    <mergeCell ref="L178:M178"/>
    <mergeCell ref="L179:M179"/>
    <mergeCell ref="L180:M180"/>
    <mergeCell ref="C117:D117"/>
    <mergeCell ref="H174:I174"/>
    <mergeCell ref="H175:I175"/>
    <mergeCell ref="H176:I176"/>
    <mergeCell ref="H177:I177"/>
    <mergeCell ref="H170:I170"/>
    <mergeCell ref="J170:K170"/>
    <mergeCell ref="L170:M170"/>
    <mergeCell ref="L173:M173"/>
    <mergeCell ref="L174:M174"/>
    <mergeCell ref="L175:M175"/>
    <mergeCell ref="L176:M176"/>
    <mergeCell ref="L177:M177"/>
    <mergeCell ref="H171:I171"/>
    <mergeCell ref="J171:K171"/>
    <mergeCell ref="L171:M171"/>
    <mergeCell ref="L172:M172"/>
    <mergeCell ref="H180:I180"/>
    <mergeCell ref="J173:K173"/>
    <mergeCell ref="J174:K174"/>
    <mergeCell ref="J175:K175"/>
    <mergeCell ref="R141:W141"/>
    <mergeCell ref="N187:O187"/>
    <mergeCell ref="N188:O188"/>
    <mergeCell ref="N172:O172"/>
    <mergeCell ref="N173:O173"/>
    <mergeCell ref="C118:D118"/>
    <mergeCell ref="N176:O176"/>
    <mergeCell ref="N181:O181"/>
    <mergeCell ref="N182:O182"/>
    <mergeCell ref="N183:O183"/>
    <mergeCell ref="N184:O184"/>
    <mergeCell ref="L188:M188"/>
    <mergeCell ref="L182:M182"/>
    <mergeCell ref="L183:M183"/>
    <mergeCell ref="N177:O177"/>
    <mergeCell ref="N178:O178"/>
    <mergeCell ref="N179:O179"/>
    <mergeCell ref="N180:O180"/>
    <mergeCell ref="N174:O174"/>
    <mergeCell ref="N175:O175"/>
    <mergeCell ref="N185:O185"/>
    <mergeCell ref="J184:K184"/>
    <mergeCell ref="H172:I172"/>
    <mergeCell ref="H173:I173"/>
    <mergeCell ref="H195:I195"/>
    <mergeCell ref="H184:I184"/>
    <mergeCell ref="H185:I185"/>
    <mergeCell ref="H186:I186"/>
    <mergeCell ref="H187:I187"/>
    <mergeCell ref="H188:I188"/>
    <mergeCell ref="H189:I189"/>
    <mergeCell ref="H182:I182"/>
    <mergeCell ref="H183:I183"/>
    <mergeCell ref="H190:I190"/>
    <mergeCell ref="H191:I191"/>
    <mergeCell ref="H192:I192"/>
    <mergeCell ref="L169:M169"/>
    <mergeCell ref="N169:O169"/>
    <mergeCell ref="J172:K172"/>
    <mergeCell ref="H166:I166"/>
    <mergeCell ref="J166:K166"/>
    <mergeCell ref="L166:M166"/>
    <mergeCell ref="N166:O166"/>
    <mergeCell ref="H167:I167"/>
    <mergeCell ref="J167:K167"/>
    <mergeCell ref="L167:M167"/>
    <mergeCell ref="N167:O167"/>
    <mergeCell ref="N170:O170"/>
    <mergeCell ref="N171:O171"/>
    <mergeCell ref="N162:O162"/>
    <mergeCell ref="H163:I163"/>
    <mergeCell ref="J163:K163"/>
    <mergeCell ref="L163:M163"/>
    <mergeCell ref="N163:O163"/>
    <mergeCell ref="L168:M168"/>
    <mergeCell ref="N168:O168"/>
    <mergeCell ref="G3:M3"/>
    <mergeCell ref="O3:Q3"/>
    <mergeCell ref="H145:I145"/>
    <mergeCell ref="J145:K145"/>
    <mergeCell ref="L145:M145"/>
    <mergeCell ref="N145:O145"/>
    <mergeCell ref="H144:I144"/>
    <mergeCell ref="J144:K144"/>
    <mergeCell ref="H150:I150"/>
    <mergeCell ref="J150:K150"/>
    <mergeCell ref="L150:M150"/>
    <mergeCell ref="N150:O150"/>
    <mergeCell ref="H148:I148"/>
    <mergeCell ref="J148:K148"/>
    <mergeCell ref="L148:M148"/>
    <mergeCell ref="N148:O148"/>
    <mergeCell ref="L165:M165"/>
    <mergeCell ref="A4:A5"/>
    <mergeCell ref="B4:B5"/>
    <mergeCell ref="C4:D5"/>
    <mergeCell ref="E4:E5"/>
    <mergeCell ref="H143:I143"/>
    <mergeCell ref="J143:K143"/>
    <mergeCell ref="F4:F5"/>
    <mergeCell ref="G4:J4"/>
    <mergeCell ref="C11:D11"/>
    <mergeCell ref="C12:D12"/>
    <mergeCell ref="C9:D9"/>
    <mergeCell ref="C10:D10"/>
    <mergeCell ref="C13:D13"/>
    <mergeCell ref="C14:D14"/>
    <mergeCell ref="C15:D15"/>
    <mergeCell ref="C16:D16"/>
    <mergeCell ref="C17:D17"/>
    <mergeCell ref="C18:D18"/>
    <mergeCell ref="C19:D19"/>
    <mergeCell ref="C20:D20"/>
    <mergeCell ref="C21:D21"/>
    <mergeCell ref="C22:D22"/>
    <mergeCell ref="C23:D23"/>
    <mergeCell ref="C24:D24"/>
    <mergeCell ref="AH4:AK4"/>
    <mergeCell ref="AL4:AO4"/>
    <mergeCell ref="U4:U5"/>
    <mergeCell ref="V4:Y4"/>
    <mergeCell ref="AP4:AS4"/>
    <mergeCell ref="C8:D8"/>
    <mergeCell ref="K4:N4"/>
    <mergeCell ref="O4:R4"/>
    <mergeCell ref="S4:S5"/>
    <mergeCell ref="T4:T5"/>
    <mergeCell ref="Z4:AC4"/>
    <mergeCell ref="AD4:AG4"/>
    <mergeCell ref="C7:D7"/>
    <mergeCell ref="C6:D6"/>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L162:M162"/>
    <mergeCell ref="C126:D126"/>
    <mergeCell ref="C70:D70"/>
    <mergeCell ref="C71:D71"/>
    <mergeCell ref="C72:D72"/>
    <mergeCell ref="C73:D73"/>
    <mergeCell ref="C74:D74"/>
    <mergeCell ref="C75:D75"/>
    <mergeCell ref="C76:D76"/>
    <mergeCell ref="C77:D77"/>
    <mergeCell ref="C78:D78"/>
    <mergeCell ref="H162:I162"/>
    <mergeCell ref="C97:D97"/>
    <mergeCell ref="C98:D9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114:D114"/>
    <mergeCell ref="J199:K199"/>
    <mergeCell ref="L199:M199"/>
    <mergeCell ref="L144:M144"/>
    <mergeCell ref="N144:O144"/>
    <mergeCell ref="L143:M143"/>
    <mergeCell ref="N143:O143"/>
    <mergeCell ref="H146:I146"/>
    <mergeCell ref="J146:K146"/>
    <mergeCell ref="L146:M146"/>
    <mergeCell ref="N146:O146"/>
    <mergeCell ref="H147:I147"/>
    <mergeCell ref="J147:K147"/>
    <mergeCell ref="L157:M157"/>
    <mergeCell ref="N157:O157"/>
    <mergeCell ref="L154:M154"/>
    <mergeCell ref="N154:O154"/>
    <mergeCell ref="H155:I155"/>
    <mergeCell ref="L164:M164"/>
    <mergeCell ref="N164:O164"/>
    <mergeCell ref="H165:I165"/>
    <mergeCell ref="J165:K165"/>
    <mergeCell ref="N155:O155"/>
    <mergeCell ref="N165:O165"/>
    <mergeCell ref="N199:O199"/>
    <mergeCell ref="H199:I199"/>
    <mergeCell ref="C99:D99"/>
    <mergeCell ref="C100:D100"/>
    <mergeCell ref="C101:D101"/>
    <mergeCell ref="C102:D102"/>
    <mergeCell ref="C103:D103"/>
    <mergeCell ref="C104:D104"/>
    <mergeCell ref="C105:D105"/>
    <mergeCell ref="C127:D127"/>
    <mergeCell ref="C119:D119"/>
    <mergeCell ref="C106:D106"/>
    <mergeCell ref="C107:D107"/>
    <mergeCell ref="C108:D108"/>
    <mergeCell ref="C115:D115"/>
    <mergeCell ref="C116:D116"/>
    <mergeCell ref="C109:D109"/>
    <mergeCell ref="C110:D110"/>
    <mergeCell ref="C111:D111"/>
    <mergeCell ref="C112:D112"/>
    <mergeCell ref="C120:D120"/>
    <mergeCell ref="C121:D121"/>
    <mergeCell ref="H157:I157"/>
    <mergeCell ref="H154:I154"/>
    <mergeCell ref="C128:D128"/>
    <mergeCell ref="L149:M149"/>
    <mergeCell ref="C113:D113"/>
    <mergeCell ref="N149:O149"/>
    <mergeCell ref="L147:M147"/>
    <mergeCell ref="N147:O147"/>
    <mergeCell ref="C137:D137"/>
    <mergeCell ref="C138:D138"/>
    <mergeCell ref="H203:I203"/>
    <mergeCell ref="J203:K203"/>
    <mergeCell ref="L203:M203"/>
    <mergeCell ref="N203:O203"/>
    <mergeCell ref="H202:I202"/>
    <mergeCell ref="J202:K202"/>
    <mergeCell ref="L202:M202"/>
    <mergeCell ref="N202:O202"/>
    <mergeCell ref="N151:O151"/>
    <mergeCell ref="L152:M152"/>
    <mergeCell ref="N152:O152"/>
    <mergeCell ref="H153:I153"/>
    <mergeCell ref="J153:K153"/>
    <mergeCell ref="L153:M153"/>
    <mergeCell ref="N153:O153"/>
    <mergeCell ref="L156:M156"/>
    <mergeCell ref="N156:O156"/>
    <mergeCell ref="C129:D129"/>
    <mergeCell ref="C133:D133"/>
    <mergeCell ref="C132:D132"/>
    <mergeCell ref="C134:D134"/>
    <mergeCell ref="C135:D135"/>
    <mergeCell ref="C136:D136"/>
    <mergeCell ref="H149:I149"/>
    <mergeCell ref="J149:K149"/>
    <mergeCell ref="C130:D130"/>
    <mergeCell ref="C131:D131"/>
    <mergeCell ref="H204:I204"/>
    <mergeCell ref="J204:K204"/>
    <mergeCell ref="L204:M204"/>
    <mergeCell ref="N204:O204"/>
    <mergeCell ref="H151:I151"/>
    <mergeCell ref="J151:K151"/>
    <mergeCell ref="L151:M151"/>
    <mergeCell ref="J154:K154"/>
    <mergeCell ref="L160:M160"/>
    <mergeCell ref="N160:O160"/>
    <mergeCell ref="H161:I161"/>
    <mergeCell ref="J161:K161"/>
    <mergeCell ref="L161:M161"/>
    <mergeCell ref="N161:O161"/>
    <mergeCell ref="H158:I158"/>
    <mergeCell ref="J158:K158"/>
    <mergeCell ref="L158:M158"/>
    <mergeCell ref="N158:O158"/>
    <mergeCell ref="H159:I159"/>
    <mergeCell ref="J159:K159"/>
    <mergeCell ref="L159:M159"/>
    <mergeCell ref="N159:O159"/>
    <mergeCell ref="J157:K157"/>
    <mergeCell ref="L155:M155"/>
    <mergeCell ref="H207:I207"/>
    <mergeCell ref="J207:K207"/>
    <mergeCell ref="L207:M207"/>
    <mergeCell ref="N207:O207"/>
    <mergeCell ref="H206:I206"/>
    <mergeCell ref="J206:K206"/>
    <mergeCell ref="L206:M206"/>
    <mergeCell ref="N206:O206"/>
    <mergeCell ref="H205:I205"/>
    <mergeCell ref="J205:K205"/>
    <mergeCell ref="L205:M205"/>
    <mergeCell ref="N205:O205"/>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XFD229"/>
  <sheetViews>
    <sheetView zoomScale="121" zoomScaleNormal="116" workbookViewId="0">
      <pane xSplit="1" ySplit="5" topLeftCell="AS151"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45" width="5.6640625" style="1" customWidth="1"/>
    <col min="46" max="46" width="5.6640625" style="22" customWidth="1"/>
    <col min="47" max="53" width="5.6640625" style="1" customWidth="1"/>
    <col min="54" max="16384" width="10.6640625" style="1"/>
  </cols>
  <sheetData>
    <row r="1" spans="1:53" ht="15" customHeight="1" x14ac:dyDescent="0.15">
      <c r="B1" s="15" t="s">
        <v>14</v>
      </c>
      <c r="BA1" s="2"/>
    </row>
    <row r="2" spans="1:53" ht="15" customHeight="1" x14ac:dyDescent="0.15">
      <c r="B2" s="15" t="s">
        <v>59</v>
      </c>
      <c r="BA2" s="2"/>
    </row>
    <row r="3" spans="1:53" x14ac:dyDescent="0.15">
      <c r="G3" s="397"/>
      <c r="H3" s="397"/>
      <c r="I3" s="397"/>
      <c r="J3" s="397"/>
      <c r="K3" s="397"/>
      <c r="L3" s="397"/>
      <c r="M3" s="397"/>
      <c r="O3" s="397"/>
      <c r="P3" s="397"/>
      <c r="Q3" s="397"/>
      <c r="BA3" s="2"/>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6" t="s">
        <v>23</v>
      </c>
      <c r="AU5" s="185" t="s">
        <v>24</v>
      </c>
      <c r="AV5" s="185" t="s">
        <v>25</v>
      </c>
      <c r="AW5" s="187" t="s">
        <v>1195</v>
      </c>
      <c r="AX5" s="185" t="s">
        <v>23</v>
      </c>
      <c r="AY5" s="185" t="s">
        <v>24</v>
      </c>
      <c r="AZ5" s="185" t="s">
        <v>25</v>
      </c>
      <c r="BA5" s="188" t="s">
        <v>1195</v>
      </c>
    </row>
    <row r="6" spans="1:53" s="139" customFormat="1" x14ac:dyDescent="0.15">
      <c r="A6" s="145">
        <v>1959</v>
      </c>
      <c r="B6" s="294"/>
      <c r="C6" s="398" t="s">
        <v>1229</v>
      </c>
      <c r="D6" s="398"/>
      <c r="E6" s="139">
        <v>46</v>
      </c>
      <c r="G6" s="147"/>
      <c r="H6" s="139">
        <v>17</v>
      </c>
      <c r="I6" s="139">
        <v>3</v>
      </c>
      <c r="J6" s="153">
        <v>20</v>
      </c>
      <c r="K6" s="133">
        <f t="shared" ref="K6:M8" si="0">G6/$J6*100</f>
        <v>0</v>
      </c>
      <c r="L6" s="133">
        <f t="shared" si="0"/>
        <v>85</v>
      </c>
      <c r="M6" s="133">
        <f t="shared" si="0"/>
        <v>15</v>
      </c>
      <c r="N6" s="149">
        <f>K6+L6+M6</f>
        <v>100</v>
      </c>
      <c r="O6" s="132"/>
      <c r="P6" s="133">
        <v>45.8</v>
      </c>
      <c r="Q6" s="133">
        <v>3.7</v>
      </c>
      <c r="R6" s="134">
        <f>O6+P6+Q6</f>
        <v>49.5</v>
      </c>
      <c r="S6" s="139">
        <v>5</v>
      </c>
      <c r="T6" s="306"/>
      <c r="U6" s="294"/>
      <c r="V6" s="138" t="s">
        <v>503</v>
      </c>
      <c r="W6" s="139" t="s">
        <v>17</v>
      </c>
      <c r="X6" s="139" t="s">
        <v>18</v>
      </c>
      <c r="Y6" s="140">
        <v>45.8</v>
      </c>
      <c r="Z6" s="139" t="s">
        <v>504</v>
      </c>
      <c r="AA6" s="139" t="s">
        <v>96</v>
      </c>
      <c r="AB6" s="139" t="s">
        <v>12</v>
      </c>
      <c r="AC6" s="139">
        <v>3.7</v>
      </c>
      <c r="AD6" s="138"/>
      <c r="AG6" s="140"/>
      <c r="AL6" s="138"/>
      <c r="AO6" s="140"/>
      <c r="AP6" s="138"/>
      <c r="AT6" s="163"/>
      <c r="AU6" s="164"/>
      <c r="AV6" s="164"/>
      <c r="AW6" s="165"/>
      <c r="BA6" s="141"/>
    </row>
    <row r="7" spans="1:53" s="139" customFormat="1" x14ac:dyDescent="0.15">
      <c r="A7" s="145">
        <v>1959</v>
      </c>
      <c r="B7" s="294">
        <v>21597</v>
      </c>
      <c r="C7" s="398" t="s">
        <v>704</v>
      </c>
      <c r="D7" s="398"/>
      <c r="E7" s="139">
        <f xml:space="preserve"> 365-E6</f>
        <v>319</v>
      </c>
      <c r="F7" s="139">
        <v>4</v>
      </c>
      <c r="G7" s="147"/>
      <c r="H7" s="139">
        <v>21</v>
      </c>
      <c r="J7" s="153">
        <v>21</v>
      </c>
      <c r="K7" s="133">
        <f t="shared" si="0"/>
        <v>0</v>
      </c>
      <c r="L7" s="133">
        <f t="shared" si="0"/>
        <v>100</v>
      </c>
      <c r="M7" s="133">
        <f t="shared" si="0"/>
        <v>0</v>
      </c>
      <c r="N7" s="149">
        <f>K7+L7+M7</f>
        <v>100</v>
      </c>
      <c r="O7" s="132"/>
      <c r="P7" s="133">
        <v>45.8</v>
      </c>
      <c r="Q7" s="133"/>
      <c r="R7" s="134">
        <f>O7+P7+Q7</f>
        <v>45.8</v>
      </c>
      <c r="S7" s="139">
        <v>4</v>
      </c>
      <c r="T7" s="306"/>
      <c r="U7" s="294">
        <v>21597</v>
      </c>
      <c r="V7" s="138" t="s">
        <v>503</v>
      </c>
      <c r="W7" s="139" t="s">
        <v>17</v>
      </c>
      <c r="X7" s="139" t="s">
        <v>18</v>
      </c>
      <c r="Y7" s="140">
        <v>45.8</v>
      </c>
      <c r="AD7" s="138"/>
      <c r="AG7" s="140"/>
      <c r="AL7" s="138"/>
      <c r="AO7" s="140"/>
      <c r="AP7" s="138"/>
      <c r="AS7" s="140"/>
      <c r="AT7" s="157"/>
      <c r="AW7" s="140"/>
      <c r="BA7" s="141"/>
    </row>
    <row r="8" spans="1:53" s="28" customFormat="1" x14ac:dyDescent="0.15">
      <c r="A8" s="51">
        <v>1960</v>
      </c>
      <c r="B8" s="293"/>
      <c r="C8" s="394" t="s">
        <v>704</v>
      </c>
      <c r="D8" s="394"/>
      <c r="E8" s="28">
        <v>84</v>
      </c>
      <c r="G8" s="65"/>
      <c r="H8" s="28">
        <v>21</v>
      </c>
      <c r="J8" s="72">
        <v>21</v>
      </c>
      <c r="K8" s="46">
        <f t="shared" si="0"/>
        <v>0</v>
      </c>
      <c r="L8" s="46">
        <f t="shared" si="0"/>
        <v>100</v>
      </c>
      <c r="M8" s="46">
        <f t="shared" si="0"/>
        <v>0</v>
      </c>
      <c r="N8" s="67">
        <f>K8+L8+M8</f>
        <v>100</v>
      </c>
      <c r="O8" s="45"/>
      <c r="P8" s="46">
        <v>45.8</v>
      </c>
      <c r="Q8" s="46"/>
      <c r="R8" s="47">
        <f>O8+P8+Q8</f>
        <v>45.8</v>
      </c>
      <c r="S8" s="28">
        <v>4</v>
      </c>
      <c r="T8" s="284"/>
      <c r="U8" s="293"/>
      <c r="V8" s="37" t="s">
        <v>503</v>
      </c>
      <c r="W8" s="28" t="s">
        <v>17</v>
      </c>
      <c r="X8" s="28" t="s">
        <v>18</v>
      </c>
      <c r="Y8" s="38">
        <v>45.8</v>
      </c>
      <c r="AD8" s="37"/>
      <c r="AG8" s="38"/>
      <c r="AL8" s="37"/>
      <c r="AO8" s="38"/>
      <c r="AP8" s="37"/>
      <c r="AT8" s="90"/>
      <c r="AW8" s="38"/>
      <c r="BA8" s="39"/>
    </row>
    <row r="9" spans="1:53" s="170" customFormat="1" x14ac:dyDescent="0.15">
      <c r="A9" s="215">
        <v>1960</v>
      </c>
      <c r="B9" s="281">
        <v>22000</v>
      </c>
      <c r="C9" s="395" t="s">
        <v>705</v>
      </c>
      <c r="D9" s="395"/>
      <c r="E9" s="170">
        <v>123</v>
      </c>
      <c r="F9" s="170">
        <v>5</v>
      </c>
      <c r="G9" s="232"/>
      <c r="H9" s="170">
        <v>22</v>
      </c>
      <c r="J9" s="240">
        <v>22</v>
      </c>
      <c r="K9" s="213">
        <f t="shared" ref="K9:M24" si="1">G9/$J9*100</f>
        <v>0</v>
      </c>
      <c r="L9" s="213">
        <f t="shared" si="1"/>
        <v>100</v>
      </c>
      <c r="M9" s="213">
        <f t="shared" si="1"/>
        <v>0</v>
      </c>
      <c r="N9" s="234">
        <f t="shared" ref="N9:N72" si="2">K9+L9+M9</f>
        <v>100</v>
      </c>
      <c r="O9" s="212"/>
      <c r="P9" s="213">
        <v>45.8</v>
      </c>
      <c r="Q9" s="213"/>
      <c r="R9" s="214">
        <f t="shared" ref="R9:R72" si="3">O9+P9+Q9</f>
        <v>45.8</v>
      </c>
      <c r="S9" s="170">
        <v>4</v>
      </c>
      <c r="T9" s="283"/>
      <c r="U9" s="281">
        <v>22000</v>
      </c>
      <c r="V9" s="177" t="s">
        <v>503</v>
      </c>
      <c r="W9" s="170" t="s">
        <v>17</v>
      </c>
      <c r="X9" s="170" t="s">
        <v>18</v>
      </c>
      <c r="Y9" s="178">
        <v>45.8</v>
      </c>
      <c r="AD9" s="177"/>
      <c r="AG9" s="178"/>
      <c r="AL9" s="177"/>
      <c r="AO9" s="178"/>
      <c r="AP9" s="177"/>
      <c r="AT9" s="250"/>
      <c r="AW9" s="178"/>
      <c r="BA9" s="179"/>
    </row>
    <row r="10" spans="1:53" s="28" customFormat="1" x14ac:dyDescent="0.15">
      <c r="A10" s="51">
        <v>1960</v>
      </c>
      <c r="B10" s="293">
        <v>22123</v>
      </c>
      <c r="C10" s="394" t="s">
        <v>706</v>
      </c>
      <c r="D10" s="394"/>
      <c r="E10" s="28">
        <f>366-E9-E8</f>
        <v>159</v>
      </c>
      <c r="F10" s="28">
        <v>5</v>
      </c>
      <c r="G10" s="65"/>
      <c r="H10" s="28">
        <v>24</v>
      </c>
      <c r="J10" s="72">
        <v>24</v>
      </c>
      <c r="K10" s="46">
        <f t="shared" si="1"/>
        <v>0</v>
      </c>
      <c r="L10" s="46">
        <f t="shared" si="1"/>
        <v>100</v>
      </c>
      <c r="M10" s="46">
        <f t="shared" si="1"/>
        <v>0</v>
      </c>
      <c r="N10" s="67">
        <f t="shared" si="2"/>
        <v>100</v>
      </c>
      <c r="O10" s="45"/>
      <c r="P10" s="46">
        <v>45.8</v>
      </c>
      <c r="Q10" s="46"/>
      <c r="R10" s="47">
        <f t="shared" si="3"/>
        <v>45.8</v>
      </c>
      <c r="S10" s="28">
        <v>4</v>
      </c>
      <c r="T10" s="284"/>
      <c r="U10" s="293">
        <v>22123</v>
      </c>
      <c r="V10" s="37" t="s">
        <v>503</v>
      </c>
      <c r="W10" s="28" t="s">
        <v>17</v>
      </c>
      <c r="X10" s="28" t="s">
        <v>18</v>
      </c>
      <c r="Y10" s="38">
        <v>45.8</v>
      </c>
      <c r="AD10" s="37"/>
      <c r="AG10" s="38"/>
      <c r="AL10" s="37"/>
      <c r="AO10" s="38"/>
      <c r="AP10" s="37"/>
      <c r="AT10" s="90"/>
      <c r="AW10" s="38"/>
      <c r="BA10" s="39"/>
    </row>
    <row r="11" spans="1:53" s="28" customFormat="1" x14ac:dyDescent="0.15">
      <c r="A11" s="51">
        <v>1961</v>
      </c>
      <c r="B11" s="293"/>
      <c r="C11" s="394" t="s">
        <v>706</v>
      </c>
      <c r="D11" s="394"/>
      <c r="E11" s="28">
        <v>0</v>
      </c>
      <c r="G11" s="65"/>
      <c r="H11" s="28">
        <v>24</v>
      </c>
      <c r="J11" s="72">
        <v>24</v>
      </c>
      <c r="K11" s="46">
        <f t="shared" si="1"/>
        <v>0</v>
      </c>
      <c r="L11" s="46">
        <f t="shared" si="1"/>
        <v>100</v>
      </c>
      <c r="M11" s="46">
        <f t="shared" si="1"/>
        <v>0</v>
      </c>
      <c r="N11" s="67">
        <f t="shared" si="2"/>
        <v>100</v>
      </c>
      <c r="O11" s="45"/>
      <c r="P11" s="46">
        <v>45.8</v>
      </c>
      <c r="Q11" s="46"/>
      <c r="R11" s="47">
        <f t="shared" si="3"/>
        <v>45.8</v>
      </c>
      <c r="S11" s="28">
        <v>4</v>
      </c>
      <c r="T11" s="284"/>
      <c r="U11" s="293"/>
      <c r="V11" s="37" t="s">
        <v>503</v>
      </c>
      <c r="W11" s="28" t="s">
        <v>17</v>
      </c>
      <c r="X11" s="28" t="s">
        <v>18</v>
      </c>
      <c r="Y11" s="38">
        <v>45.8</v>
      </c>
      <c r="AD11" s="37"/>
      <c r="AG11" s="38"/>
      <c r="AL11" s="37"/>
      <c r="AO11" s="38"/>
      <c r="AP11" s="37"/>
      <c r="AT11" s="90"/>
      <c r="AW11" s="38"/>
      <c r="BA11" s="39"/>
    </row>
    <row r="12" spans="1:53" s="28" customFormat="1" x14ac:dyDescent="0.15">
      <c r="A12" s="51">
        <v>1961</v>
      </c>
      <c r="B12" s="293"/>
      <c r="C12" s="394" t="s">
        <v>706</v>
      </c>
      <c r="D12" s="394"/>
      <c r="E12" s="28">
        <v>365</v>
      </c>
      <c r="G12" s="65"/>
      <c r="H12" s="28">
        <v>24</v>
      </c>
      <c r="J12" s="72">
        <v>24</v>
      </c>
      <c r="K12" s="46">
        <f t="shared" si="1"/>
        <v>0</v>
      </c>
      <c r="L12" s="46">
        <f t="shared" si="1"/>
        <v>100</v>
      </c>
      <c r="M12" s="46">
        <f t="shared" si="1"/>
        <v>0</v>
      </c>
      <c r="N12" s="67">
        <f t="shared" si="2"/>
        <v>100</v>
      </c>
      <c r="O12" s="45"/>
      <c r="P12" s="46">
        <v>45.8</v>
      </c>
      <c r="Q12" s="46"/>
      <c r="R12" s="47">
        <f t="shared" si="3"/>
        <v>45.8</v>
      </c>
      <c r="S12" s="28">
        <v>4</v>
      </c>
      <c r="T12" s="284"/>
      <c r="U12" s="293"/>
      <c r="V12" s="37" t="s">
        <v>503</v>
      </c>
      <c r="W12" s="28" t="s">
        <v>17</v>
      </c>
      <c r="X12" s="28" t="s">
        <v>18</v>
      </c>
      <c r="Y12" s="38">
        <v>45.8</v>
      </c>
      <c r="AD12" s="37"/>
      <c r="AG12" s="38"/>
      <c r="AL12" s="37"/>
      <c r="AO12" s="38"/>
      <c r="AP12" s="37"/>
      <c r="AT12" s="90"/>
      <c r="AW12" s="38"/>
      <c r="BA12" s="39"/>
    </row>
    <row r="13" spans="1:53" s="28" customFormat="1" x14ac:dyDescent="0.15">
      <c r="A13" s="51">
        <v>1962</v>
      </c>
      <c r="B13" s="293"/>
      <c r="C13" s="394" t="s">
        <v>706</v>
      </c>
      <c r="D13" s="394"/>
      <c r="E13" s="28">
        <v>51</v>
      </c>
      <c r="G13" s="65"/>
      <c r="H13" s="28">
        <v>24</v>
      </c>
      <c r="J13" s="72">
        <v>24</v>
      </c>
      <c r="K13" s="46">
        <f t="shared" si="1"/>
        <v>0</v>
      </c>
      <c r="L13" s="46">
        <f t="shared" si="1"/>
        <v>100</v>
      </c>
      <c r="M13" s="46">
        <f t="shared" si="1"/>
        <v>0</v>
      </c>
      <c r="N13" s="67">
        <f t="shared" si="2"/>
        <v>100</v>
      </c>
      <c r="O13" s="45"/>
      <c r="P13" s="46">
        <v>45.8</v>
      </c>
      <c r="Q13" s="46"/>
      <c r="R13" s="47">
        <f t="shared" si="3"/>
        <v>45.8</v>
      </c>
      <c r="S13" s="28">
        <v>4</v>
      </c>
      <c r="T13" s="284"/>
      <c r="U13" s="293"/>
      <c r="V13" s="37" t="s">
        <v>503</v>
      </c>
      <c r="W13" s="28" t="s">
        <v>17</v>
      </c>
      <c r="X13" s="28" t="s">
        <v>18</v>
      </c>
      <c r="Y13" s="38">
        <v>45.8</v>
      </c>
      <c r="AD13" s="37"/>
      <c r="AG13" s="38"/>
      <c r="AL13" s="37"/>
      <c r="AO13" s="38"/>
      <c r="AP13" s="37"/>
      <c r="AT13" s="90"/>
      <c r="AW13" s="38"/>
      <c r="BA13" s="39"/>
    </row>
    <row r="14" spans="1:53" s="170" customFormat="1" x14ac:dyDescent="0.15">
      <c r="A14" s="215">
        <v>1962</v>
      </c>
      <c r="B14" s="281">
        <v>22698</v>
      </c>
      <c r="C14" s="395" t="s">
        <v>707</v>
      </c>
      <c r="D14" s="395"/>
      <c r="E14" s="170">
        <f>365-E13</f>
        <v>314</v>
      </c>
      <c r="F14" s="170">
        <v>2</v>
      </c>
      <c r="G14" s="232"/>
      <c r="H14" s="170">
        <v>21</v>
      </c>
      <c r="I14" s="170">
        <v>3</v>
      </c>
      <c r="J14" s="240">
        <v>24</v>
      </c>
      <c r="K14" s="213">
        <f t="shared" si="1"/>
        <v>0</v>
      </c>
      <c r="L14" s="213">
        <f t="shared" si="1"/>
        <v>87.5</v>
      </c>
      <c r="M14" s="213">
        <f t="shared" si="1"/>
        <v>12.5</v>
      </c>
      <c r="N14" s="234">
        <f t="shared" si="2"/>
        <v>100</v>
      </c>
      <c r="O14" s="212"/>
      <c r="P14" s="213">
        <v>46.8</v>
      </c>
      <c r="Q14" s="213">
        <v>3.7</v>
      </c>
      <c r="R14" s="214">
        <f t="shared" si="3"/>
        <v>50.5</v>
      </c>
      <c r="S14" s="170">
        <v>2</v>
      </c>
      <c r="T14" s="283"/>
      <c r="U14" s="281">
        <v>22698</v>
      </c>
      <c r="V14" s="177" t="s">
        <v>503</v>
      </c>
      <c r="W14" s="170" t="s">
        <v>17</v>
      </c>
      <c r="X14" s="170" t="s">
        <v>18</v>
      </c>
      <c r="Y14" s="178">
        <v>45.8</v>
      </c>
      <c r="Z14" s="170" t="s">
        <v>504</v>
      </c>
      <c r="AA14" s="170" t="s">
        <v>96</v>
      </c>
      <c r="AB14" s="170" t="s">
        <v>12</v>
      </c>
      <c r="AC14" s="170">
        <v>3.7</v>
      </c>
      <c r="AD14" s="177" t="s">
        <v>505</v>
      </c>
      <c r="AE14" s="170" t="s">
        <v>87</v>
      </c>
      <c r="AF14" s="170" t="s">
        <v>18</v>
      </c>
      <c r="AG14" s="178">
        <v>1</v>
      </c>
      <c r="AL14" s="177"/>
      <c r="AO14" s="178"/>
      <c r="AP14" s="177"/>
      <c r="AT14" s="250"/>
      <c r="AW14" s="178"/>
      <c r="BA14" s="179"/>
    </row>
    <row r="15" spans="1:53" s="170" customFormat="1" x14ac:dyDescent="0.15">
      <c r="A15" s="215">
        <v>1963</v>
      </c>
      <c r="B15" s="281"/>
      <c r="C15" s="395" t="s">
        <v>707</v>
      </c>
      <c r="D15" s="395"/>
      <c r="E15" s="170">
        <v>171</v>
      </c>
      <c r="G15" s="232"/>
      <c r="H15" s="170">
        <v>21</v>
      </c>
      <c r="I15" s="170">
        <v>3</v>
      </c>
      <c r="J15" s="240">
        <v>24</v>
      </c>
      <c r="K15" s="213">
        <f t="shared" si="1"/>
        <v>0</v>
      </c>
      <c r="L15" s="213">
        <f t="shared" si="1"/>
        <v>87.5</v>
      </c>
      <c r="M15" s="213">
        <f t="shared" si="1"/>
        <v>12.5</v>
      </c>
      <c r="N15" s="234">
        <f t="shared" si="2"/>
        <v>100</v>
      </c>
      <c r="O15" s="212"/>
      <c r="P15" s="213">
        <v>46.8</v>
      </c>
      <c r="Q15" s="213">
        <v>3.7</v>
      </c>
      <c r="R15" s="214">
        <f t="shared" si="3"/>
        <v>50.5</v>
      </c>
      <c r="S15" s="170">
        <v>2</v>
      </c>
      <c r="T15" s="283"/>
      <c r="U15" s="281"/>
      <c r="V15" s="177" t="s">
        <v>503</v>
      </c>
      <c r="W15" s="170" t="s">
        <v>17</v>
      </c>
      <c r="X15" s="170" t="s">
        <v>18</v>
      </c>
      <c r="Y15" s="178">
        <v>45.8</v>
      </c>
      <c r="Z15" s="170" t="s">
        <v>504</v>
      </c>
      <c r="AA15" s="170" t="s">
        <v>96</v>
      </c>
      <c r="AB15" s="170" t="s">
        <v>12</v>
      </c>
      <c r="AC15" s="170">
        <v>3.7</v>
      </c>
      <c r="AD15" s="177" t="s">
        <v>505</v>
      </c>
      <c r="AE15" s="170" t="s">
        <v>87</v>
      </c>
      <c r="AF15" s="170" t="s">
        <v>18</v>
      </c>
      <c r="AG15" s="178">
        <v>1</v>
      </c>
      <c r="AL15" s="177"/>
      <c r="AO15" s="178"/>
      <c r="AP15" s="177"/>
      <c r="AT15" s="250"/>
      <c r="AW15" s="178"/>
      <c r="BA15" s="179"/>
    </row>
    <row r="16" spans="1:53" s="28" customFormat="1" x14ac:dyDescent="0.15">
      <c r="A16" s="51">
        <v>1963</v>
      </c>
      <c r="B16" s="293">
        <v>23183</v>
      </c>
      <c r="C16" s="394" t="s">
        <v>708</v>
      </c>
      <c r="D16" s="394"/>
      <c r="E16" s="28">
        <v>167</v>
      </c>
      <c r="F16" s="28">
        <v>1</v>
      </c>
      <c r="G16" s="65"/>
      <c r="H16" s="28">
        <v>23</v>
      </c>
      <c r="J16" s="72">
        <v>23</v>
      </c>
      <c r="K16" s="46">
        <f t="shared" si="1"/>
        <v>0</v>
      </c>
      <c r="L16" s="46">
        <f t="shared" si="1"/>
        <v>100</v>
      </c>
      <c r="M16" s="46">
        <f t="shared" si="1"/>
        <v>0</v>
      </c>
      <c r="N16" s="67">
        <f t="shared" si="2"/>
        <v>100</v>
      </c>
      <c r="O16" s="45"/>
      <c r="P16" s="46">
        <v>41.3</v>
      </c>
      <c r="Q16" s="46"/>
      <c r="R16" s="47">
        <f t="shared" si="3"/>
        <v>41.3</v>
      </c>
      <c r="S16" s="28">
        <v>6</v>
      </c>
      <c r="T16" s="284">
        <v>23129</v>
      </c>
      <c r="U16" s="293">
        <v>23183</v>
      </c>
      <c r="V16" s="37" t="s">
        <v>503</v>
      </c>
      <c r="W16" s="28" t="s">
        <v>17</v>
      </c>
      <c r="X16" s="28" t="s">
        <v>18</v>
      </c>
      <c r="Y16" s="38">
        <v>41.3</v>
      </c>
      <c r="AD16" s="37"/>
      <c r="AG16" s="38"/>
      <c r="AL16" s="37"/>
      <c r="AO16" s="38"/>
      <c r="AP16" s="37"/>
      <c r="AT16" s="90"/>
      <c r="AW16" s="38"/>
      <c r="BA16" s="39"/>
    </row>
    <row r="17" spans="1:53" s="170" customFormat="1" x14ac:dyDescent="0.15">
      <c r="A17" s="215">
        <v>1963</v>
      </c>
      <c r="B17" s="281">
        <v>23350</v>
      </c>
      <c r="C17" s="395" t="s">
        <v>709</v>
      </c>
      <c r="D17" s="395"/>
      <c r="E17" s="170">
        <f>365-E16-E15</f>
        <v>27</v>
      </c>
      <c r="F17" s="170">
        <v>2</v>
      </c>
      <c r="G17" s="232"/>
      <c r="H17" s="170">
        <v>17</v>
      </c>
      <c r="I17" s="170">
        <v>9</v>
      </c>
      <c r="J17" s="240">
        <v>26</v>
      </c>
      <c r="K17" s="213">
        <f t="shared" si="1"/>
        <v>0</v>
      </c>
      <c r="L17" s="213">
        <f t="shared" si="1"/>
        <v>65.384615384615387</v>
      </c>
      <c r="M17" s="213">
        <f t="shared" si="1"/>
        <v>34.615384615384613</v>
      </c>
      <c r="N17" s="234">
        <f t="shared" si="2"/>
        <v>100</v>
      </c>
      <c r="O17" s="212"/>
      <c r="P17" s="213">
        <v>42.3</v>
      </c>
      <c r="Q17" s="213">
        <v>18.899999999999999</v>
      </c>
      <c r="R17" s="214">
        <f t="shared" si="3"/>
        <v>61.199999999999996</v>
      </c>
      <c r="S17" s="170">
        <v>3</v>
      </c>
      <c r="T17" s="283"/>
      <c r="U17" s="281">
        <v>23350</v>
      </c>
      <c r="V17" s="177" t="s">
        <v>503</v>
      </c>
      <c r="W17" s="170" t="s">
        <v>17</v>
      </c>
      <c r="X17" s="170" t="s">
        <v>18</v>
      </c>
      <c r="Y17" s="178">
        <v>41.3</v>
      </c>
      <c r="Z17" s="170" t="s">
        <v>506</v>
      </c>
      <c r="AA17" s="170" t="s">
        <v>20</v>
      </c>
      <c r="AB17" s="170" t="s">
        <v>12</v>
      </c>
      <c r="AC17" s="170">
        <v>13.8</v>
      </c>
      <c r="AD17" s="177" t="s">
        <v>504</v>
      </c>
      <c r="AE17" s="170" t="s">
        <v>96</v>
      </c>
      <c r="AF17" s="170" t="s">
        <v>12</v>
      </c>
      <c r="AG17" s="170">
        <v>5.0999999999999996</v>
      </c>
      <c r="AH17" s="177" t="s">
        <v>505</v>
      </c>
      <c r="AI17" s="170" t="s">
        <v>87</v>
      </c>
      <c r="AJ17" s="170" t="s">
        <v>18</v>
      </c>
      <c r="AK17" s="170">
        <v>1</v>
      </c>
      <c r="AL17" s="177"/>
      <c r="AO17" s="178"/>
      <c r="AP17" s="177"/>
      <c r="AT17" s="250"/>
      <c r="AW17" s="178"/>
      <c r="BA17" s="179"/>
    </row>
    <row r="18" spans="1:53" s="170" customFormat="1" x14ac:dyDescent="0.15">
      <c r="A18" s="215">
        <v>1964</v>
      </c>
      <c r="B18" s="281"/>
      <c r="C18" s="395" t="s">
        <v>709</v>
      </c>
      <c r="D18" s="395"/>
      <c r="E18" s="170">
        <v>203</v>
      </c>
      <c r="G18" s="232"/>
      <c r="H18" s="170">
        <v>17</v>
      </c>
      <c r="I18" s="170">
        <v>9</v>
      </c>
      <c r="J18" s="240">
        <v>26</v>
      </c>
      <c r="K18" s="213">
        <f t="shared" si="1"/>
        <v>0</v>
      </c>
      <c r="L18" s="213">
        <f t="shared" si="1"/>
        <v>65.384615384615387</v>
      </c>
      <c r="M18" s="213">
        <f t="shared" si="1"/>
        <v>34.615384615384613</v>
      </c>
      <c r="N18" s="234">
        <f t="shared" si="2"/>
        <v>100</v>
      </c>
      <c r="O18" s="212"/>
      <c r="P18" s="213">
        <v>42.3</v>
      </c>
      <c r="Q18" s="213">
        <v>18.899999999999999</v>
      </c>
      <c r="R18" s="214">
        <f t="shared" si="3"/>
        <v>61.199999999999996</v>
      </c>
      <c r="S18" s="170">
        <v>3</v>
      </c>
      <c r="T18" s="283"/>
      <c r="U18" s="281"/>
      <c r="V18" s="177" t="s">
        <v>503</v>
      </c>
      <c r="W18" s="170" t="s">
        <v>17</v>
      </c>
      <c r="X18" s="170" t="s">
        <v>18</v>
      </c>
      <c r="Y18" s="178">
        <v>41.3</v>
      </c>
      <c r="Z18" s="170" t="s">
        <v>506</v>
      </c>
      <c r="AA18" s="170" t="s">
        <v>20</v>
      </c>
      <c r="AB18" s="170" t="s">
        <v>12</v>
      </c>
      <c r="AC18" s="170">
        <v>13.8</v>
      </c>
      <c r="AD18" s="177" t="s">
        <v>504</v>
      </c>
      <c r="AE18" s="170" t="s">
        <v>96</v>
      </c>
      <c r="AF18" s="170" t="s">
        <v>12</v>
      </c>
      <c r="AG18" s="170">
        <v>5.0999999999999996</v>
      </c>
      <c r="AH18" s="177" t="s">
        <v>505</v>
      </c>
      <c r="AI18" s="170" t="s">
        <v>87</v>
      </c>
      <c r="AJ18" s="170" t="s">
        <v>18</v>
      </c>
      <c r="AK18" s="170">
        <v>1</v>
      </c>
      <c r="AL18" s="177"/>
      <c r="AO18" s="178"/>
      <c r="AP18" s="177"/>
      <c r="AT18" s="250"/>
      <c r="AW18" s="178"/>
      <c r="BA18" s="179"/>
    </row>
    <row r="19" spans="1:53" s="28" customFormat="1" x14ac:dyDescent="0.15">
      <c r="A19" s="51">
        <v>1964</v>
      </c>
      <c r="B19" s="293">
        <v>23580</v>
      </c>
      <c r="C19" s="394" t="s">
        <v>710</v>
      </c>
      <c r="D19" s="394"/>
      <c r="E19" s="28">
        <f>366-E18</f>
        <v>163</v>
      </c>
      <c r="F19" s="28">
        <v>5</v>
      </c>
      <c r="G19" s="65"/>
      <c r="H19" s="28">
        <v>17</v>
      </c>
      <c r="I19" s="28">
        <v>9</v>
      </c>
      <c r="J19" s="72">
        <v>26</v>
      </c>
      <c r="K19" s="46">
        <f t="shared" si="1"/>
        <v>0</v>
      </c>
      <c r="L19" s="46">
        <f t="shared" si="1"/>
        <v>65.384615384615387</v>
      </c>
      <c r="M19" s="46">
        <f t="shared" si="1"/>
        <v>34.615384615384613</v>
      </c>
      <c r="N19" s="67">
        <f t="shared" si="2"/>
        <v>100</v>
      </c>
      <c r="O19" s="45"/>
      <c r="P19" s="46">
        <v>42.3</v>
      </c>
      <c r="Q19" s="46">
        <v>18.899999999999999</v>
      </c>
      <c r="R19" s="47">
        <f t="shared" si="3"/>
        <v>61.199999999999996</v>
      </c>
      <c r="S19" s="28">
        <v>3</v>
      </c>
      <c r="T19" s="284"/>
      <c r="U19" s="293">
        <v>23580</v>
      </c>
      <c r="V19" s="37" t="s">
        <v>503</v>
      </c>
      <c r="W19" s="28" t="s">
        <v>17</v>
      </c>
      <c r="X19" s="28" t="s">
        <v>18</v>
      </c>
      <c r="Y19" s="38">
        <v>41.3</v>
      </c>
      <c r="Z19" s="28" t="s">
        <v>506</v>
      </c>
      <c r="AA19" s="28" t="s">
        <v>20</v>
      </c>
      <c r="AB19" s="28" t="s">
        <v>12</v>
      </c>
      <c r="AC19" s="28">
        <v>13.8</v>
      </c>
      <c r="AD19" s="37" t="s">
        <v>504</v>
      </c>
      <c r="AE19" s="28" t="s">
        <v>96</v>
      </c>
      <c r="AF19" s="28" t="s">
        <v>12</v>
      </c>
      <c r="AG19" s="28">
        <v>5.0999999999999996</v>
      </c>
      <c r="AH19" s="37" t="s">
        <v>505</v>
      </c>
      <c r="AI19" s="28" t="s">
        <v>87</v>
      </c>
      <c r="AJ19" s="28" t="s">
        <v>18</v>
      </c>
      <c r="AK19" s="28">
        <v>1</v>
      </c>
      <c r="AL19" s="37"/>
      <c r="AO19" s="38"/>
      <c r="AP19" s="37"/>
      <c r="AT19" s="90"/>
      <c r="AW19" s="38"/>
      <c r="BA19" s="39"/>
    </row>
    <row r="20" spans="1:53" s="28" customFormat="1" x14ac:dyDescent="0.15">
      <c r="A20" s="51">
        <v>1965</v>
      </c>
      <c r="B20" s="293"/>
      <c r="C20" s="394" t="s">
        <v>710</v>
      </c>
      <c r="D20" s="394"/>
      <c r="E20" s="28">
        <v>0</v>
      </c>
      <c r="G20" s="65"/>
      <c r="H20" s="28">
        <v>17</v>
      </c>
      <c r="I20" s="28">
        <v>9</v>
      </c>
      <c r="J20" s="72">
        <v>26</v>
      </c>
      <c r="K20" s="46">
        <f t="shared" si="1"/>
        <v>0</v>
      </c>
      <c r="L20" s="46">
        <f t="shared" si="1"/>
        <v>65.384615384615387</v>
      </c>
      <c r="M20" s="46">
        <f t="shared" si="1"/>
        <v>34.615384615384613</v>
      </c>
      <c r="N20" s="67">
        <f t="shared" si="2"/>
        <v>100</v>
      </c>
      <c r="O20" s="45"/>
      <c r="P20" s="46">
        <v>42.3</v>
      </c>
      <c r="Q20" s="46">
        <v>18.899999999999999</v>
      </c>
      <c r="R20" s="47">
        <f t="shared" si="3"/>
        <v>61.199999999999996</v>
      </c>
      <c r="S20" s="28">
        <v>3</v>
      </c>
      <c r="T20" s="284"/>
      <c r="U20" s="293"/>
      <c r="V20" s="37" t="s">
        <v>503</v>
      </c>
      <c r="W20" s="28" t="s">
        <v>17</v>
      </c>
      <c r="X20" s="28" t="s">
        <v>18</v>
      </c>
      <c r="Y20" s="38">
        <v>41.3</v>
      </c>
      <c r="Z20" s="28" t="s">
        <v>506</v>
      </c>
      <c r="AA20" s="28" t="s">
        <v>20</v>
      </c>
      <c r="AB20" s="28" t="s">
        <v>12</v>
      </c>
      <c r="AC20" s="28">
        <v>13.8</v>
      </c>
      <c r="AD20" s="37" t="s">
        <v>504</v>
      </c>
      <c r="AE20" s="28" t="s">
        <v>96</v>
      </c>
      <c r="AF20" s="28" t="s">
        <v>12</v>
      </c>
      <c r="AG20" s="28">
        <v>5.0999999999999996</v>
      </c>
      <c r="AH20" s="37" t="s">
        <v>505</v>
      </c>
      <c r="AI20" s="28" t="s">
        <v>87</v>
      </c>
      <c r="AJ20" s="28" t="s">
        <v>18</v>
      </c>
      <c r="AK20" s="28">
        <v>1</v>
      </c>
      <c r="AL20" s="37"/>
      <c r="AO20" s="38"/>
      <c r="AP20" s="37"/>
      <c r="AT20" s="90"/>
      <c r="AW20" s="38"/>
      <c r="BA20" s="39"/>
    </row>
    <row r="21" spans="1:53" s="28" customFormat="1" x14ac:dyDescent="0.15">
      <c r="A21" s="51">
        <v>1965</v>
      </c>
      <c r="B21" s="293"/>
      <c r="C21" s="394" t="s">
        <v>710</v>
      </c>
      <c r="D21" s="394"/>
      <c r="E21" s="28">
        <v>365</v>
      </c>
      <c r="G21" s="65"/>
      <c r="H21" s="28">
        <v>17</v>
      </c>
      <c r="I21" s="28">
        <v>9</v>
      </c>
      <c r="J21" s="72">
        <v>26</v>
      </c>
      <c r="K21" s="46">
        <f t="shared" si="1"/>
        <v>0</v>
      </c>
      <c r="L21" s="46">
        <f t="shared" si="1"/>
        <v>65.384615384615387</v>
      </c>
      <c r="M21" s="46">
        <f t="shared" si="1"/>
        <v>34.615384615384613</v>
      </c>
      <c r="N21" s="67">
        <f t="shared" si="2"/>
        <v>100</v>
      </c>
      <c r="O21" s="45"/>
      <c r="P21" s="46">
        <v>42.3</v>
      </c>
      <c r="Q21" s="46">
        <v>18.899999999999999</v>
      </c>
      <c r="R21" s="47">
        <f t="shared" si="3"/>
        <v>61.199999999999996</v>
      </c>
      <c r="S21" s="28">
        <v>3</v>
      </c>
      <c r="T21" s="284"/>
      <c r="U21" s="293"/>
      <c r="V21" s="37" t="s">
        <v>503</v>
      </c>
      <c r="W21" s="28" t="s">
        <v>17</v>
      </c>
      <c r="X21" s="28" t="s">
        <v>18</v>
      </c>
      <c r="Y21" s="38">
        <v>41.3</v>
      </c>
      <c r="Z21" s="28" t="s">
        <v>506</v>
      </c>
      <c r="AA21" s="28" t="s">
        <v>20</v>
      </c>
      <c r="AB21" s="28" t="s">
        <v>12</v>
      </c>
      <c r="AC21" s="28">
        <v>13.8</v>
      </c>
      <c r="AD21" s="37" t="s">
        <v>504</v>
      </c>
      <c r="AE21" s="28" t="s">
        <v>96</v>
      </c>
      <c r="AF21" s="28" t="s">
        <v>12</v>
      </c>
      <c r="AG21" s="28">
        <v>5.0999999999999996</v>
      </c>
      <c r="AH21" s="37" t="s">
        <v>505</v>
      </c>
      <c r="AI21" s="28" t="s">
        <v>87</v>
      </c>
      <c r="AJ21" s="28" t="s">
        <v>18</v>
      </c>
      <c r="AK21" s="28">
        <v>1</v>
      </c>
      <c r="AL21" s="37"/>
      <c r="AO21" s="38"/>
      <c r="AP21" s="37"/>
      <c r="AT21" s="90"/>
      <c r="AW21" s="38"/>
      <c r="BA21" s="39"/>
    </row>
    <row r="22" spans="1:53" s="28" customFormat="1" x14ac:dyDescent="0.15">
      <c r="A22" s="51">
        <v>1966</v>
      </c>
      <c r="B22" s="293"/>
      <c r="C22" s="394" t="s">
        <v>710</v>
      </c>
      <c r="D22" s="394"/>
      <c r="E22" s="28">
        <v>53</v>
      </c>
      <c r="G22" s="65"/>
      <c r="H22" s="28">
        <v>17</v>
      </c>
      <c r="I22" s="28">
        <v>9</v>
      </c>
      <c r="J22" s="72">
        <v>26</v>
      </c>
      <c r="K22" s="46">
        <f t="shared" si="1"/>
        <v>0</v>
      </c>
      <c r="L22" s="46">
        <f t="shared" si="1"/>
        <v>65.384615384615387</v>
      </c>
      <c r="M22" s="46">
        <f t="shared" si="1"/>
        <v>34.615384615384613</v>
      </c>
      <c r="N22" s="67">
        <f t="shared" si="2"/>
        <v>100</v>
      </c>
      <c r="O22" s="45"/>
      <c r="P22" s="46">
        <v>42.3</v>
      </c>
      <c r="Q22" s="46">
        <v>18.899999999999999</v>
      </c>
      <c r="R22" s="47">
        <f t="shared" si="3"/>
        <v>61.199999999999996</v>
      </c>
      <c r="S22" s="28">
        <v>3</v>
      </c>
      <c r="T22" s="284"/>
      <c r="U22" s="293"/>
      <c r="V22" s="37" t="s">
        <v>503</v>
      </c>
      <c r="W22" s="28" t="s">
        <v>17</v>
      </c>
      <c r="X22" s="28" t="s">
        <v>18</v>
      </c>
      <c r="Y22" s="38">
        <v>41.3</v>
      </c>
      <c r="Z22" s="28" t="s">
        <v>506</v>
      </c>
      <c r="AA22" s="28" t="s">
        <v>20</v>
      </c>
      <c r="AB22" s="28" t="s">
        <v>12</v>
      </c>
      <c r="AC22" s="28">
        <v>13.8</v>
      </c>
      <c r="AD22" s="37" t="s">
        <v>504</v>
      </c>
      <c r="AE22" s="28" t="s">
        <v>96</v>
      </c>
      <c r="AF22" s="28" t="s">
        <v>12</v>
      </c>
      <c r="AG22" s="28">
        <v>5.0999999999999996</v>
      </c>
      <c r="AH22" s="37" t="s">
        <v>505</v>
      </c>
      <c r="AI22" s="28" t="s">
        <v>87</v>
      </c>
      <c r="AJ22" s="28" t="s">
        <v>18</v>
      </c>
      <c r="AK22" s="28">
        <v>1</v>
      </c>
      <c r="AL22" s="37"/>
      <c r="AO22" s="38"/>
      <c r="AP22" s="37"/>
      <c r="AT22" s="90"/>
      <c r="AW22" s="38"/>
      <c r="BA22" s="39"/>
    </row>
    <row r="23" spans="1:53" s="170" customFormat="1" x14ac:dyDescent="0.15">
      <c r="A23" s="215">
        <v>1966</v>
      </c>
      <c r="B23" s="281">
        <v>24161</v>
      </c>
      <c r="C23" s="395" t="s">
        <v>711</v>
      </c>
      <c r="D23" s="395"/>
      <c r="E23" s="170">
        <f>365-E22</f>
        <v>312</v>
      </c>
      <c r="F23" s="170">
        <v>5</v>
      </c>
      <c r="G23" s="232"/>
      <c r="H23" s="170">
        <v>17</v>
      </c>
      <c r="I23" s="170">
        <v>9</v>
      </c>
      <c r="J23" s="240">
        <v>26</v>
      </c>
      <c r="K23" s="213">
        <f t="shared" si="1"/>
        <v>0</v>
      </c>
      <c r="L23" s="213">
        <f t="shared" si="1"/>
        <v>65.384615384615387</v>
      </c>
      <c r="M23" s="213">
        <f t="shared" si="1"/>
        <v>34.615384615384613</v>
      </c>
      <c r="N23" s="234">
        <f t="shared" si="2"/>
        <v>100</v>
      </c>
      <c r="O23" s="212"/>
      <c r="P23" s="213">
        <v>42.3</v>
      </c>
      <c r="Q23" s="213">
        <v>18.899999999999999</v>
      </c>
      <c r="R23" s="214">
        <f t="shared" si="3"/>
        <v>61.199999999999996</v>
      </c>
      <c r="S23" s="170">
        <v>3</v>
      </c>
      <c r="T23" s="283"/>
      <c r="U23" s="281">
        <v>24161</v>
      </c>
      <c r="V23" s="177" t="s">
        <v>503</v>
      </c>
      <c r="W23" s="170" t="s">
        <v>17</v>
      </c>
      <c r="X23" s="170" t="s">
        <v>18</v>
      </c>
      <c r="Y23" s="178">
        <v>41.3</v>
      </c>
      <c r="Z23" s="170" t="s">
        <v>506</v>
      </c>
      <c r="AA23" s="170" t="s">
        <v>20</v>
      </c>
      <c r="AB23" s="170" t="s">
        <v>12</v>
      </c>
      <c r="AC23" s="170">
        <v>13.8</v>
      </c>
      <c r="AD23" s="177" t="s">
        <v>504</v>
      </c>
      <c r="AE23" s="170" t="s">
        <v>96</v>
      </c>
      <c r="AF23" s="170" t="s">
        <v>12</v>
      </c>
      <c r="AG23" s="170">
        <v>5.0999999999999996</v>
      </c>
      <c r="AH23" s="177" t="s">
        <v>505</v>
      </c>
      <c r="AI23" s="170" t="s">
        <v>87</v>
      </c>
      <c r="AJ23" s="170" t="s">
        <v>18</v>
      </c>
      <c r="AK23" s="170">
        <v>1</v>
      </c>
      <c r="AL23" s="177"/>
      <c r="AO23" s="178"/>
      <c r="AP23" s="177"/>
      <c r="AT23" s="250"/>
      <c r="AW23" s="178"/>
      <c r="BA23" s="179"/>
    </row>
    <row r="24" spans="1:53" s="170" customFormat="1" x14ac:dyDescent="0.15">
      <c r="A24" s="215">
        <v>1967</v>
      </c>
      <c r="B24" s="281"/>
      <c r="C24" s="395" t="s">
        <v>711</v>
      </c>
      <c r="D24" s="395"/>
      <c r="E24" s="170">
        <v>0</v>
      </c>
      <c r="G24" s="232"/>
      <c r="H24" s="170">
        <v>17</v>
      </c>
      <c r="I24" s="170">
        <v>9</v>
      </c>
      <c r="J24" s="240">
        <v>26</v>
      </c>
      <c r="K24" s="213">
        <f t="shared" si="1"/>
        <v>0</v>
      </c>
      <c r="L24" s="213">
        <f t="shared" si="1"/>
        <v>65.384615384615387</v>
      </c>
      <c r="M24" s="213">
        <f t="shared" si="1"/>
        <v>34.615384615384613</v>
      </c>
      <c r="N24" s="234">
        <f t="shared" si="2"/>
        <v>100</v>
      </c>
      <c r="O24" s="212"/>
      <c r="P24" s="213">
        <v>42.3</v>
      </c>
      <c r="Q24" s="213">
        <v>18.899999999999999</v>
      </c>
      <c r="R24" s="214">
        <f t="shared" si="3"/>
        <v>61.199999999999996</v>
      </c>
      <c r="S24" s="170">
        <v>3</v>
      </c>
      <c r="T24" s="283"/>
      <c r="U24" s="281"/>
      <c r="V24" s="177" t="s">
        <v>503</v>
      </c>
      <c r="W24" s="170" t="s">
        <v>17</v>
      </c>
      <c r="X24" s="170" t="s">
        <v>18</v>
      </c>
      <c r="Y24" s="178">
        <v>41.3</v>
      </c>
      <c r="Z24" s="170" t="s">
        <v>506</v>
      </c>
      <c r="AA24" s="170" t="s">
        <v>20</v>
      </c>
      <c r="AB24" s="170" t="s">
        <v>12</v>
      </c>
      <c r="AC24" s="170">
        <v>13.8</v>
      </c>
      <c r="AD24" s="177" t="s">
        <v>504</v>
      </c>
      <c r="AE24" s="170" t="s">
        <v>96</v>
      </c>
      <c r="AF24" s="170" t="s">
        <v>12</v>
      </c>
      <c r="AG24" s="170">
        <v>5.0999999999999996</v>
      </c>
      <c r="AH24" s="177" t="s">
        <v>505</v>
      </c>
      <c r="AI24" s="170" t="s">
        <v>87</v>
      </c>
      <c r="AJ24" s="170" t="s">
        <v>18</v>
      </c>
      <c r="AK24" s="170">
        <v>1</v>
      </c>
      <c r="AL24" s="177"/>
      <c r="AO24" s="178"/>
      <c r="AP24" s="177"/>
      <c r="AT24" s="250"/>
      <c r="AW24" s="178"/>
      <c r="BA24" s="179"/>
    </row>
    <row r="25" spans="1:53" s="170" customFormat="1" x14ac:dyDescent="0.15">
      <c r="A25" s="215">
        <v>1967</v>
      </c>
      <c r="B25" s="281"/>
      <c r="C25" s="395" t="s">
        <v>711</v>
      </c>
      <c r="D25" s="395"/>
      <c r="E25" s="170">
        <v>365</v>
      </c>
      <c r="G25" s="232"/>
      <c r="H25" s="170">
        <v>17</v>
      </c>
      <c r="I25" s="170">
        <v>9</v>
      </c>
      <c r="J25" s="240">
        <v>26</v>
      </c>
      <c r="K25" s="213">
        <f t="shared" ref="K25:M66" si="4">G25/$J25*100</f>
        <v>0</v>
      </c>
      <c r="L25" s="213">
        <f t="shared" si="4"/>
        <v>65.384615384615387</v>
      </c>
      <c r="M25" s="213">
        <f t="shared" si="4"/>
        <v>34.615384615384613</v>
      </c>
      <c r="N25" s="234">
        <f t="shared" si="2"/>
        <v>100</v>
      </c>
      <c r="O25" s="212"/>
      <c r="P25" s="213">
        <v>42.3</v>
      </c>
      <c r="Q25" s="213">
        <v>18.899999999999999</v>
      </c>
      <c r="R25" s="214">
        <f t="shared" si="3"/>
        <v>61.199999999999996</v>
      </c>
      <c r="S25" s="170">
        <v>3</v>
      </c>
      <c r="T25" s="283"/>
      <c r="U25" s="281"/>
      <c r="V25" s="177" t="s">
        <v>503</v>
      </c>
      <c r="W25" s="170" t="s">
        <v>17</v>
      </c>
      <c r="X25" s="170" t="s">
        <v>18</v>
      </c>
      <c r="Y25" s="178">
        <v>41.3</v>
      </c>
      <c r="Z25" s="170" t="s">
        <v>506</v>
      </c>
      <c r="AA25" s="170" t="s">
        <v>20</v>
      </c>
      <c r="AB25" s="170" t="s">
        <v>12</v>
      </c>
      <c r="AC25" s="170">
        <v>13.8</v>
      </c>
      <c r="AD25" s="177" t="s">
        <v>504</v>
      </c>
      <c r="AE25" s="170" t="s">
        <v>96</v>
      </c>
      <c r="AF25" s="170" t="s">
        <v>12</v>
      </c>
      <c r="AG25" s="170">
        <v>5.0999999999999996</v>
      </c>
      <c r="AH25" s="177" t="s">
        <v>505</v>
      </c>
      <c r="AI25" s="170" t="s">
        <v>87</v>
      </c>
      <c r="AJ25" s="170" t="s">
        <v>18</v>
      </c>
      <c r="AK25" s="170">
        <v>1</v>
      </c>
      <c r="AL25" s="177"/>
      <c r="AO25" s="178"/>
      <c r="AP25" s="177"/>
      <c r="AT25" s="250"/>
      <c r="AW25" s="178"/>
      <c r="BA25" s="179"/>
    </row>
    <row r="26" spans="1:53" s="170" customFormat="1" x14ac:dyDescent="0.15">
      <c r="A26" s="215">
        <v>1968</v>
      </c>
      <c r="B26" s="281"/>
      <c r="C26" s="395" t="s">
        <v>711</v>
      </c>
      <c r="D26" s="395"/>
      <c r="E26" s="170">
        <v>176</v>
      </c>
      <c r="G26" s="232"/>
      <c r="H26" s="170">
        <v>17</v>
      </c>
      <c r="I26" s="170">
        <v>9</v>
      </c>
      <c r="J26" s="240">
        <v>26</v>
      </c>
      <c r="K26" s="213">
        <f t="shared" si="4"/>
        <v>0</v>
      </c>
      <c r="L26" s="213">
        <f t="shared" si="4"/>
        <v>65.384615384615387</v>
      </c>
      <c r="M26" s="213">
        <f t="shared" si="4"/>
        <v>34.615384615384613</v>
      </c>
      <c r="N26" s="234">
        <f t="shared" si="2"/>
        <v>100</v>
      </c>
      <c r="O26" s="212"/>
      <c r="P26" s="213">
        <v>42.3</v>
      </c>
      <c r="Q26" s="213">
        <v>18.899999999999999</v>
      </c>
      <c r="R26" s="214">
        <f t="shared" si="3"/>
        <v>61.199999999999996</v>
      </c>
      <c r="S26" s="170">
        <v>3</v>
      </c>
      <c r="T26" s="283"/>
      <c r="U26" s="281"/>
      <c r="V26" s="177" t="s">
        <v>503</v>
      </c>
      <c r="W26" s="170" t="s">
        <v>17</v>
      </c>
      <c r="X26" s="170" t="s">
        <v>18</v>
      </c>
      <c r="Y26" s="178">
        <v>41.3</v>
      </c>
      <c r="Z26" s="170" t="s">
        <v>506</v>
      </c>
      <c r="AA26" s="170" t="s">
        <v>20</v>
      </c>
      <c r="AB26" s="170" t="s">
        <v>12</v>
      </c>
      <c r="AC26" s="170">
        <v>13.8</v>
      </c>
      <c r="AD26" s="177" t="s">
        <v>504</v>
      </c>
      <c r="AE26" s="170" t="s">
        <v>96</v>
      </c>
      <c r="AF26" s="170" t="s">
        <v>12</v>
      </c>
      <c r="AG26" s="170">
        <v>5.0999999999999996</v>
      </c>
      <c r="AH26" s="177" t="s">
        <v>505</v>
      </c>
      <c r="AI26" s="170" t="s">
        <v>87</v>
      </c>
      <c r="AJ26" s="170" t="s">
        <v>18</v>
      </c>
      <c r="AK26" s="170">
        <v>1</v>
      </c>
      <c r="AL26" s="177"/>
      <c r="AO26" s="178"/>
      <c r="AP26" s="177"/>
      <c r="AT26" s="250"/>
      <c r="AW26" s="178"/>
      <c r="BA26" s="179"/>
    </row>
    <row r="27" spans="1:53" s="28" customFormat="1" x14ac:dyDescent="0.15">
      <c r="A27" s="51">
        <v>1968</v>
      </c>
      <c r="B27" s="293">
        <v>25014</v>
      </c>
      <c r="C27" s="394" t="s">
        <v>712</v>
      </c>
      <c r="D27" s="394"/>
      <c r="E27" s="28">
        <v>170</v>
      </c>
      <c r="F27" s="28">
        <v>1</v>
      </c>
      <c r="G27" s="65"/>
      <c r="H27" s="28">
        <v>23</v>
      </c>
      <c r="J27" s="72">
        <v>23</v>
      </c>
      <c r="K27" s="46">
        <f t="shared" si="4"/>
        <v>0</v>
      </c>
      <c r="L27" s="46">
        <f t="shared" si="4"/>
        <v>100</v>
      </c>
      <c r="M27" s="46">
        <f t="shared" si="4"/>
        <v>0</v>
      </c>
      <c r="N27" s="67">
        <f t="shared" si="2"/>
        <v>100</v>
      </c>
      <c r="O27" s="45"/>
      <c r="P27" s="46">
        <v>42.2</v>
      </c>
      <c r="Q27" s="46"/>
      <c r="R27" s="47">
        <f t="shared" si="3"/>
        <v>42.2</v>
      </c>
      <c r="S27" s="28">
        <v>4</v>
      </c>
      <c r="T27" s="284">
        <v>24977</v>
      </c>
      <c r="U27" s="293">
        <v>25014</v>
      </c>
      <c r="V27" s="37" t="s">
        <v>503</v>
      </c>
      <c r="W27" s="28" t="s">
        <v>17</v>
      </c>
      <c r="X27" s="28" t="s">
        <v>18</v>
      </c>
      <c r="Y27" s="38">
        <v>42.2</v>
      </c>
      <c r="AD27" s="37"/>
      <c r="AG27" s="38"/>
      <c r="AL27" s="37"/>
      <c r="AO27" s="38"/>
      <c r="AP27" s="37"/>
      <c r="AT27" s="90"/>
      <c r="AW27" s="38"/>
      <c r="BA27" s="39"/>
    </row>
    <row r="28" spans="1:53" s="170" customFormat="1" x14ac:dyDescent="0.15">
      <c r="A28" s="215">
        <v>1968</v>
      </c>
      <c r="B28" s="281">
        <v>25184</v>
      </c>
      <c r="C28" s="395" t="s">
        <v>713</v>
      </c>
      <c r="D28" s="395"/>
      <c r="E28" s="170">
        <f>366-E27-E26</f>
        <v>20</v>
      </c>
      <c r="F28" s="170">
        <v>2</v>
      </c>
      <c r="G28" s="232"/>
      <c r="H28" s="170">
        <v>18</v>
      </c>
      <c r="I28" s="170">
        <v>9</v>
      </c>
      <c r="J28" s="240">
        <v>27</v>
      </c>
      <c r="K28" s="213">
        <f t="shared" si="4"/>
        <v>0</v>
      </c>
      <c r="L28" s="213">
        <f t="shared" si="4"/>
        <v>66.666666666666657</v>
      </c>
      <c r="M28" s="213">
        <f t="shared" si="4"/>
        <v>33.333333333333329</v>
      </c>
      <c r="N28" s="234">
        <f t="shared" si="2"/>
        <v>99.999999999999986</v>
      </c>
      <c r="O28" s="212"/>
      <c r="P28" s="213">
        <v>43.6</v>
      </c>
      <c r="Q28" s="213">
        <v>14.4</v>
      </c>
      <c r="R28" s="214">
        <f t="shared" si="3"/>
        <v>58</v>
      </c>
      <c r="S28" s="170">
        <v>3</v>
      </c>
      <c r="T28" s="283"/>
      <c r="U28" s="281">
        <v>25184</v>
      </c>
      <c r="V28" s="177" t="s">
        <v>503</v>
      </c>
      <c r="W28" s="170" t="s">
        <v>17</v>
      </c>
      <c r="X28" s="170" t="s">
        <v>18</v>
      </c>
      <c r="Y28" s="178">
        <v>42.2</v>
      </c>
      <c r="Z28" s="170" t="s">
        <v>507</v>
      </c>
      <c r="AA28" s="170" t="s">
        <v>97</v>
      </c>
      <c r="AB28" s="170" t="s">
        <v>12</v>
      </c>
      <c r="AC28" s="170">
        <v>14.4</v>
      </c>
      <c r="AD28" s="177" t="s">
        <v>505</v>
      </c>
      <c r="AE28" s="170" t="s">
        <v>87</v>
      </c>
      <c r="AF28" s="170" t="s">
        <v>18</v>
      </c>
      <c r="AG28" s="178">
        <v>1.4</v>
      </c>
      <c r="AL28" s="177"/>
      <c r="AO28" s="178"/>
      <c r="AP28" s="177"/>
      <c r="AT28" s="250"/>
      <c r="AW28" s="178"/>
      <c r="BA28" s="179"/>
    </row>
    <row r="29" spans="1:53" s="170" customFormat="1" x14ac:dyDescent="0.15">
      <c r="A29" s="215">
        <v>1969</v>
      </c>
      <c r="B29" s="281"/>
      <c r="C29" s="395" t="s">
        <v>713</v>
      </c>
      <c r="D29" s="395"/>
      <c r="E29" s="170">
        <v>216</v>
      </c>
      <c r="G29" s="232"/>
      <c r="H29" s="170">
        <v>18</v>
      </c>
      <c r="I29" s="170">
        <v>9</v>
      </c>
      <c r="J29" s="240">
        <v>27</v>
      </c>
      <c r="K29" s="213">
        <f t="shared" si="4"/>
        <v>0</v>
      </c>
      <c r="L29" s="213">
        <f t="shared" si="4"/>
        <v>66.666666666666657</v>
      </c>
      <c r="M29" s="213">
        <f t="shared" si="4"/>
        <v>33.333333333333329</v>
      </c>
      <c r="N29" s="234">
        <f t="shared" si="2"/>
        <v>99.999999999999986</v>
      </c>
      <c r="O29" s="212"/>
      <c r="P29" s="213">
        <v>43.6</v>
      </c>
      <c r="Q29" s="213">
        <v>14.4</v>
      </c>
      <c r="R29" s="214">
        <f t="shared" si="3"/>
        <v>58</v>
      </c>
      <c r="S29" s="170">
        <v>3</v>
      </c>
      <c r="T29" s="283"/>
      <c r="U29" s="281"/>
      <c r="V29" s="177" t="s">
        <v>503</v>
      </c>
      <c r="W29" s="170" t="s">
        <v>17</v>
      </c>
      <c r="X29" s="170" t="s">
        <v>18</v>
      </c>
      <c r="Y29" s="178">
        <v>42.2</v>
      </c>
      <c r="Z29" s="170" t="s">
        <v>507</v>
      </c>
      <c r="AA29" s="170" t="s">
        <v>97</v>
      </c>
      <c r="AB29" s="170" t="s">
        <v>12</v>
      </c>
      <c r="AC29" s="170">
        <v>14.4</v>
      </c>
      <c r="AD29" s="177" t="s">
        <v>505</v>
      </c>
      <c r="AE29" s="170" t="s">
        <v>87</v>
      </c>
      <c r="AF29" s="170" t="s">
        <v>18</v>
      </c>
      <c r="AG29" s="178">
        <v>1.4</v>
      </c>
      <c r="AL29" s="177"/>
      <c r="AO29" s="178"/>
      <c r="AP29" s="177"/>
      <c r="AT29" s="250"/>
      <c r="AW29" s="178"/>
      <c r="BA29" s="179"/>
    </row>
    <row r="30" spans="1:53" s="28" customFormat="1" x14ac:dyDescent="0.15">
      <c r="A30" s="51">
        <v>1969</v>
      </c>
      <c r="B30" s="293">
        <v>25420</v>
      </c>
      <c r="C30" s="394" t="s">
        <v>714</v>
      </c>
      <c r="D30" s="394"/>
      <c r="E30" s="28">
        <f>365-E29</f>
        <v>149</v>
      </c>
      <c r="F30" s="28">
        <v>4</v>
      </c>
      <c r="G30" s="65"/>
      <c r="H30" s="28">
        <v>24</v>
      </c>
      <c r="J30" s="72">
        <v>24</v>
      </c>
      <c r="K30" s="46">
        <f t="shared" si="4"/>
        <v>0</v>
      </c>
      <c r="L30" s="46">
        <f t="shared" si="4"/>
        <v>100</v>
      </c>
      <c r="M30" s="46">
        <f t="shared" si="4"/>
        <v>0</v>
      </c>
      <c r="N30" s="67">
        <f t="shared" si="2"/>
        <v>100</v>
      </c>
      <c r="O30" s="45"/>
      <c r="P30" s="46">
        <v>42.2</v>
      </c>
      <c r="Q30" s="46"/>
      <c r="R30" s="47">
        <f t="shared" si="3"/>
        <v>42.2</v>
      </c>
      <c r="S30" s="28">
        <v>4</v>
      </c>
      <c r="T30" s="284"/>
      <c r="U30" s="293">
        <v>25420</v>
      </c>
      <c r="V30" s="37" t="s">
        <v>503</v>
      </c>
      <c r="W30" s="28" t="s">
        <v>17</v>
      </c>
      <c r="X30" s="28" t="s">
        <v>18</v>
      </c>
      <c r="Y30" s="38">
        <v>42.2</v>
      </c>
      <c r="AD30" s="37"/>
      <c r="AG30" s="38"/>
      <c r="AL30" s="37"/>
      <c r="AO30" s="38"/>
      <c r="AP30" s="37"/>
      <c r="AT30" s="90"/>
      <c r="AW30" s="38"/>
      <c r="BA30" s="39"/>
    </row>
    <row r="31" spans="1:53" s="28" customFormat="1" x14ac:dyDescent="0.15">
      <c r="A31" s="51">
        <v>1970</v>
      </c>
      <c r="B31" s="293"/>
      <c r="C31" s="394" t="s">
        <v>714</v>
      </c>
      <c r="D31" s="394"/>
      <c r="E31" s="28">
        <v>85</v>
      </c>
      <c r="G31" s="65"/>
      <c r="H31" s="28">
        <v>24</v>
      </c>
      <c r="J31" s="72">
        <v>24</v>
      </c>
      <c r="K31" s="46">
        <f t="shared" si="4"/>
        <v>0</v>
      </c>
      <c r="L31" s="46">
        <f t="shared" si="4"/>
        <v>100</v>
      </c>
      <c r="M31" s="46">
        <f t="shared" si="4"/>
        <v>0</v>
      </c>
      <c r="N31" s="67">
        <f t="shared" si="2"/>
        <v>100</v>
      </c>
      <c r="O31" s="45"/>
      <c r="P31" s="46">
        <v>42.2</v>
      </c>
      <c r="Q31" s="46"/>
      <c r="R31" s="47">
        <f t="shared" si="3"/>
        <v>42.2</v>
      </c>
      <c r="S31" s="28">
        <v>4</v>
      </c>
      <c r="T31" s="284"/>
      <c r="U31" s="293"/>
      <c r="V31" s="37" t="s">
        <v>503</v>
      </c>
      <c r="W31" s="28" t="s">
        <v>17</v>
      </c>
      <c r="X31" s="28" t="s">
        <v>18</v>
      </c>
      <c r="Y31" s="38">
        <v>42.2</v>
      </c>
      <c r="AD31" s="37"/>
      <c r="AG31" s="38"/>
      <c r="AL31" s="37"/>
      <c r="AO31" s="38"/>
      <c r="AP31" s="37"/>
      <c r="AT31" s="90"/>
      <c r="AW31" s="38"/>
      <c r="BA31" s="39"/>
    </row>
    <row r="32" spans="1:53" s="170" customFormat="1" x14ac:dyDescent="0.15">
      <c r="A32" s="215">
        <v>1970</v>
      </c>
      <c r="B32" s="281">
        <v>25654</v>
      </c>
      <c r="C32" s="395" t="s">
        <v>715</v>
      </c>
      <c r="D32" s="395"/>
      <c r="E32" s="170">
        <v>132</v>
      </c>
      <c r="F32" s="170">
        <v>2</v>
      </c>
      <c r="G32" s="232"/>
      <c r="H32" s="170">
        <v>18</v>
      </c>
      <c r="I32" s="170">
        <v>9</v>
      </c>
      <c r="J32" s="240">
        <v>27</v>
      </c>
      <c r="K32" s="213">
        <f t="shared" si="4"/>
        <v>0</v>
      </c>
      <c r="L32" s="213">
        <f t="shared" si="4"/>
        <v>66.666666666666657</v>
      </c>
      <c r="M32" s="213">
        <f t="shared" si="4"/>
        <v>33.333333333333329</v>
      </c>
      <c r="N32" s="234">
        <f t="shared" si="2"/>
        <v>99.999999999999986</v>
      </c>
      <c r="O32" s="212"/>
      <c r="P32" s="213">
        <v>43.6</v>
      </c>
      <c r="Q32" s="213">
        <v>14.4</v>
      </c>
      <c r="R32" s="214">
        <f t="shared" si="3"/>
        <v>58</v>
      </c>
      <c r="S32" s="170">
        <v>3</v>
      </c>
      <c r="T32" s="283"/>
      <c r="U32" s="281">
        <v>25654</v>
      </c>
      <c r="V32" s="177" t="s">
        <v>503</v>
      </c>
      <c r="W32" s="170" t="s">
        <v>17</v>
      </c>
      <c r="X32" s="170" t="s">
        <v>18</v>
      </c>
      <c r="Y32" s="178">
        <v>42.2</v>
      </c>
      <c r="Z32" s="170" t="s">
        <v>507</v>
      </c>
      <c r="AA32" s="170" t="s">
        <v>97</v>
      </c>
      <c r="AB32" s="170" t="s">
        <v>12</v>
      </c>
      <c r="AC32" s="170">
        <v>14.4</v>
      </c>
      <c r="AD32" s="177" t="s">
        <v>505</v>
      </c>
      <c r="AE32" s="170" t="s">
        <v>87</v>
      </c>
      <c r="AF32" s="170" t="s">
        <v>18</v>
      </c>
      <c r="AG32" s="178">
        <v>1.4</v>
      </c>
      <c r="AL32" s="177"/>
      <c r="AO32" s="178"/>
      <c r="AP32" s="177"/>
      <c r="AT32" s="250"/>
      <c r="AW32" s="178"/>
      <c r="BA32" s="179"/>
    </row>
    <row r="33" spans="1:53" s="28" customFormat="1" x14ac:dyDescent="0.15">
      <c r="A33" s="51">
        <v>1970</v>
      </c>
      <c r="B33" s="293">
        <v>25786</v>
      </c>
      <c r="C33" s="394" t="s">
        <v>716</v>
      </c>
      <c r="D33" s="394"/>
      <c r="E33" s="28">
        <f>365-E32-E31</f>
        <v>148</v>
      </c>
      <c r="F33" s="28">
        <v>4</v>
      </c>
      <c r="G33" s="65"/>
      <c r="H33" s="28">
        <v>18</v>
      </c>
      <c r="I33" s="28">
        <v>10</v>
      </c>
      <c r="J33" s="72">
        <v>28</v>
      </c>
      <c r="K33" s="46">
        <f t="shared" si="4"/>
        <v>0</v>
      </c>
      <c r="L33" s="46">
        <f t="shared" si="4"/>
        <v>64.285714285714292</v>
      </c>
      <c r="M33" s="46">
        <f t="shared" si="4"/>
        <v>35.714285714285715</v>
      </c>
      <c r="N33" s="67">
        <f t="shared" si="2"/>
        <v>100</v>
      </c>
      <c r="O33" s="45"/>
      <c r="P33" s="46">
        <v>43.6</v>
      </c>
      <c r="Q33" s="46">
        <v>14.4</v>
      </c>
      <c r="R33" s="47">
        <f t="shared" si="3"/>
        <v>58</v>
      </c>
      <c r="S33" s="28">
        <v>3</v>
      </c>
      <c r="T33" s="284"/>
      <c r="U33" s="293">
        <v>25786</v>
      </c>
      <c r="V33" s="37" t="s">
        <v>503</v>
      </c>
      <c r="W33" s="28" t="s">
        <v>17</v>
      </c>
      <c r="X33" s="28" t="s">
        <v>18</v>
      </c>
      <c r="Y33" s="38">
        <v>42.2</v>
      </c>
      <c r="Z33" s="28" t="s">
        <v>507</v>
      </c>
      <c r="AA33" s="28" t="s">
        <v>97</v>
      </c>
      <c r="AB33" s="28" t="s">
        <v>12</v>
      </c>
      <c r="AC33" s="28">
        <v>14.4</v>
      </c>
      <c r="AD33" s="37" t="s">
        <v>505</v>
      </c>
      <c r="AE33" s="28" t="s">
        <v>87</v>
      </c>
      <c r="AF33" s="28" t="s">
        <v>18</v>
      </c>
      <c r="AG33" s="38">
        <v>1.4</v>
      </c>
      <c r="AL33" s="37"/>
      <c r="AO33" s="38"/>
      <c r="AP33" s="37"/>
      <c r="AT33" s="90"/>
      <c r="AW33" s="38"/>
      <c r="BA33" s="39"/>
    </row>
    <row r="34" spans="1:53" s="28" customFormat="1" x14ac:dyDescent="0.15">
      <c r="A34" s="51">
        <v>1971</v>
      </c>
      <c r="B34" s="293"/>
      <c r="C34" s="394" t="s">
        <v>716</v>
      </c>
      <c r="D34" s="394"/>
      <c r="E34" s="28">
        <v>57</v>
      </c>
      <c r="G34" s="65"/>
      <c r="H34" s="28">
        <v>18</v>
      </c>
      <c r="I34" s="28">
        <v>10</v>
      </c>
      <c r="J34" s="72">
        <v>28</v>
      </c>
      <c r="K34" s="46">
        <f t="shared" si="4"/>
        <v>0</v>
      </c>
      <c r="L34" s="46">
        <f t="shared" si="4"/>
        <v>64.285714285714292</v>
      </c>
      <c r="M34" s="46">
        <f t="shared" si="4"/>
        <v>35.714285714285715</v>
      </c>
      <c r="N34" s="67">
        <f t="shared" si="2"/>
        <v>100</v>
      </c>
      <c r="O34" s="45"/>
      <c r="P34" s="46">
        <v>43.6</v>
      </c>
      <c r="Q34" s="46">
        <v>14.4</v>
      </c>
      <c r="R34" s="47">
        <f t="shared" si="3"/>
        <v>58</v>
      </c>
      <c r="S34" s="28">
        <v>3</v>
      </c>
      <c r="T34" s="284"/>
      <c r="U34" s="293"/>
      <c r="V34" s="37" t="s">
        <v>503</v>
      </c>
      <c r="W34" s="28" t="s">
        <v>17</v>
      </c>
      <c r="X34" s="28" t="s">
        <v>18</v>
      </c>
      <c r="Y34" s="38">
        <v>42.2</v>
      </c>
      <c r="Z34" s="28" t="s">
        <v>507</v>
      </c>
      <c r="AA34" s="28" t="s">
        <v>97</v>
      </c>
      <c r="AB34" s="28" t="s">
        <v>12</v>
      </c>
      <c r="AC34" s="28">
        <v>14.4</v>
      </c>
      <c r="AD34" s="37" t="s">
        <v>505</v>
      </c>
      <c r="AE34" s="28" t="s">
        <v>87</v>
      </c>
      <c r="AF34" s="28" t="s">
        <v>18</v>
      </c>
      <c r="AG34" s="38">
        <v>1.4</v>
      </c>
      <c r="AL34" s="37"/>
      <c r="AO34" s="38"/>
      <c r="AP34" s="37"/>
      <c r="AT34" s="90"/>
      <c r="AW34" s="38"/>
      <c r="BA34" s="39"/>
    </row>
    <row r="35" spans="1:53" s="170" customFormat="1" x14ac:dyDescent="0.15">
      <c r="A35" s="215">
        <v>1971</v>
      </c>
      <c r="B35" s="281">
        <v>25991</v>
      </c>
      <c r="C35" s="395" t="s">
        <v>717</v>
      </c>
      <c r="D35" s="395"/>
      <c r="E35" s="170">
        <v>308</v>
      </c>
      <c r="F35" s="170">
        <v>4</v>
      </c>
      <c r="G35" s="232"/>
      <c r="H35" s="170">
        <v>17</v>
      </c>
      <c r="I35" s="170">
        <v>10</v>
      </c>
      <c r="J35" s="240">
        <v>27</v>
      </c>
      <c r="K35" s="213">
        <f t="shared" si="4"/>
        <v>0</v>
      </c>
      <c r="L35" s="213">
        <f t="shared" si="4"/>
        <v>62.962962962962962</v>
      </c>
      <c r="M35" s="213">
        <f t="shared" si="4"/>
        <v>37.037037037037038</v>
      </c>
      <c r="N35" s="234">
        <f t="shared" si="2"/>
        <v>100</v>
      </c>
      <c r="O35" s="212"/>
      <c r="P35" s="213">
        <v>42.2</v>
      </c>
      <c r="Q35" s="213">
        <v>14.4</v>
      </c>
      <c r="R35" s="214">
        <f t="shared" si="3"/>
        <v>56.6</v>
      </c>
      <c r="S35" s="170">
        <v>3</v>
      </c>
      <c r="T35" s="283"/>
      <c r="U35" s="281">
        <v>25991</v>
      </c>
      <c r="V35" s="177" t="s">
        <v>503</v>
      </c>
      <c r="W35" s="170" t="s">
        <v>17</v>
      </c>
      <c r="X35" s="170" t="s">
        <v>18</v>
      </c>
      <c r="Y35" s="178">
        <v>42.2</v>
      </c>
      <c r="Z35" s="170" t="s">
        <v>507</v>
      </c>
      <c r="AA35" s="170" t="s">
        <v>97</v>
      </c>
      <c r="AB35" s="170" t="s">
        <v>12</v>
      </c>
      <c r="AC35" s="170">
        <v>14.4</v>
      </c>
      <c r="AD35" s="177"/>
      <c r="AG35" s="178"/>
      <c r="AL35" s="177"/>
      <c r="AO35" s="178"/>
      <c r="AP35" s="177"/>
      <c r="AT35" s="250"/>
      <c r="AW35" s="178"/>
      <c r="BA35" s="179"/>
    </row>
    <row r="36" spans="1:53" s="170" customFormat="1" x14ac:dyDescent="0.15">
      <c r="A36" s="215">
        <v>1972</v>
      </c>
      <c r="B36" s="281"/>
      <c r="C36" s="395" t="s">
        <v>717</v>
      </c>
      <c r="D36" s="395"/>
      <c r="E36" s="170">
        <v>48</v>
      </c>
      <c r="G36" s="232"/>
      <c r="H36" s="170">
        <v>17</v>
      </c>
      <c r="I36" s="170">
        <v>10</v>
      </c>
      <c r="J36" s="240">
        <v>27</v>
      </c>
      <c r="K36" s="213">
        <f t="shared" si="4"/>
        <v>0</v>
      </c>
      <c r="L36" s="213">
        <f t="shared" si="4"/>
        <v>62.962962962962962</v>
      </c>
      <c r="M36" s="213">
        <f t="shared" si="4"/>
        <v>37.037037037037038</v>
      </c>
      <c r="N36" s="234">
        <f t="shared" si="2"/>
        <v>100</v>
      </c>
      <c r="O36" s="212"/>
      <c r="P36" s="213">
        <v>42.2</v>
      </c>
      <c r="Q36" s="213">
        <v>14.4</v>
      </c>
      <c r="R36" s="214">
        <f t="shared" si="3"/>
        <v>56.6</v>
      </c>
      <c r="S36" s="170">
        <v>3</v>
      </c>
      <c r="T36" s="283"/>
      <c r="U36" s="281"/>
      <c r="V36" s="177" t="s">
        <v>503</v>
      </c>
      <c r="W36" s="170" t="s">
        <v>17</v>
      </c>
      <c r="X36" s="170" t="s">
        <v>18</v>
      </c>
      <c r="Y36" s="178">
        <v>42.2</v>
      </c>
      <c r="Z36" s="170" t="s">
        <v>507</v>
      </c>
      <c r="AA36" s="170" t="s">
        <v>97</v>
      </c>
      <c r="AB36" s="170" t="s">
        <v>12</v>
      </c>
      <c r="AC36" s="170">
        <v>14.4</v>
      </c>
      <c r="AD36" s="177"/>
      <c r="AG36" s="178"/>
      <c r="AL36" s="177"/>
      <c r="AO36" s="178"/>
      <c r="AP36" s="177"/>
      <c r="AT36" s="250"/>
      <c r="AW36" s="178"/>
      <c r="BA36" s="179"/>
    </row>
    <row r="37" spans="1:53" s="28" customFormat="1" x14ac:dyDescent="0.15">
      <c r="A37" s="51">
        <v>1972</v>
      </c>
      <c r="B37" s="293">
        <v>26347</v>
      </c>
      <c r="C37" s="394" t="s">
        <v>718</v>
      </c>
      <c r="D37" s="394"/>
      <c r="E37" s="28">
        <v>129</v>
      </c>
      <c r="F37" s="28">
        <v>4</v>
      </c>
      <c r="G37" s="65"/>
      <c r="H37" s="28">
        <v>25</v>
      </c>
      <c r="J37" s="72">
        <v>25</v>
      </c>
      <c r="K37" s="46">
        <f t="shared" si="4"/>
        <v>0</v>
      </c>
      <c r="L37" s="46">
        <f t="shared" si="4"/>
        <v>100</v>
      </c>
      <c r="M37" s="46">
        <f t="shared" si="4"/>
        <v>0</v>
      </c>
      <c r="N37" s="67">
        <f t="shared" si="2"/>
        <v>100</v>
      </c>
      <c r="O37" s="45"/>
      <c r="P37" s="46">
        <v>42.2</v>
      </c>
      <c r="Q37" s="46"/>
      <c r="R37" s="47">
        <f t="shared" si="3"/>
        <v>42.2</v>
      </c>
      <c r="S37" s="28">
        <v>4</v>
      </c>
      <c r="T37" s="284"/>
      <c r="U37" s="293">
        <v>26347</v>
      </c>
      <c r="V37" s="37" t="s">
        <v>503</v>
      </c>
      <c r="W37" s="28" t="s">
        <v>17</v>
      </c>
      <c r="X37" s="28" t="s">
        <v>18</v>
      </c>
      <c r="Y37" s="38">
        <v>42.2</v>
      </c>
      <c r="AD37" s="37"/>
      <c r="AG37" s="38"/>
      <c r="AL37" s="37"/>
      <c r="AO37" s="38"/>
      <c r="AP37" s="37"/>
      <c r="AT37" s="90"/>
      <c r="AW37" s="38"/>
      <c r="BA37" s="39"/>
    </row>
    <row r="38" spans="1:53" s="170" customFormat="1" x14ac:dyDescent="0.15">
      <c r="A38" s="215">
        <v>1972</v>
      </c>
      <c r="B38" s="281">
        <v>26476</v>
      </c>
      <c r="C38" s="395" t="s">
        <v>719</v>
      </c>
      <c r="D38" s="395"/>
      <c r="E38" s="170">
        <f>366-E36-E37</f>
        <v>189</v>
      </c>
      <c r="F38" s="170">
        <v>1</v>
      </c>
      <c r="G38" s="232">
        <v>4</v>
      </c>
      <c r="H38" s="170">
        <v>17</v>
      </c>
      <c r="I38" s="170">
        <v>5</v>
      </c>
      <c r="J38" s="240">
        <v>26</v>
      </c>
      <c r="K38" s="213">
        <f t="shared" si="4"/>
        <v>15.384615384615385</v>
      </c>
      <c r="L38" s="213">
        <f t="shared" si="4"/>
        <v>65.384615384615387</v>
      </c>
      <c r="M38" s="213">
        <f t="shared" si="4"/>
        <v>19.230769230769234</v>
      </c>
      <c r="N38" s="234">
        <f t="shared" si="2"/>
        <v>100</v>
      </c>
      <c r="O38" s="212">
        <v>3.3</v>
      </c>
      <c r="P38" s="213">
        <v>42.4</v>
      </c>
      <c r="Q38" s="213">
        <v>4.5999999999999996</v>
      </c>
      <c r="R38" s="214">
        <f t="shared" si="3"/>
        <v>50.3</v>
      </c>
      <c r="S38" s="170">
        <v>2</v>
      </c>
      <c r="T38" s="283">
        <v>26426</v>
      </c>
      <c r="U38" s="281">
        <v>26476</v>
      </c>
      <c r="V38" s="177" t="s">
        <v>503</v>
      </c>
      <c r="W38" s="170" t="s">
        <v>17</v>
      </c>
      <c r="X38" s="170" t="s">
        <v>18</v>
      </c>
      <c r="Y38" s="178">
        <v>42.4</v>
      </c>
      <c r="Z38" s="170" t="s">
        <v>504</v>
      </c>
      <c r="AA38" s="170" t="s">
        <v>96</v>
      </c>
      <c r="AB38" s="170" t="s">
        <v>12</v>
      </c>
      <c r="AC38" s="170">
        <v>4.5999999999999996</v>
      </c>
      <c r="AD38" s="177" t="s">
        <v>508</v>
      </c>
      <c r="AE38" s="170" t="s">
        <v>22</v>
      </c>
      <c r="AF38" s="170" t="s">
        <v>11</v>
      </c>
      <c r="AG38" s="178">
        <v>3.3</v>
      </c>
      <c r="AL38" s="177"/>
      <c r="AO38" s="178"/>
      <c r="AP38" s="177"/>
      <c r="AT38" s="250"/>
      <c r="AW38" s="178"/>
      <c r="BA38" s="179"/>
    </row>
    <row r="39" spans="1:53" s="170" customFormat="1" x14ac:dyDescent="0.15">
      <c r="A39" s="215">
        <v>1973</v>
      </c>
      <c r="B39" s="281"/>
      <c r="C39" s="395" t="s">
        <v>719</v>
      </c>
      <c r="D39" s="395"/>
      <c r="E39" s="170">
        <v>250</v>
      </c>
      <c r="G39" s="232">
        <v>4</v>
      </c>
      <c r="H39" s="170">
        <v>17</v>
      </c>
      <c r="I39" s="170">
        <v>5</v>
      </c>
      <c r="J39" s="240">
        <v>26</v>
      </c>
      <c r="K39" s="213">
        <f t="shared" si="4"/>
        <v>15.384615384615385</v>
      </c>
      <c r="L39" s="213">
        <f t="shared" si="4"/>
        <v>65.384615384615387</v>
      </c>
      <c r="M39" s="213">
        <f t="shared" si="4"/>
        <v>19.230769230769234</v>
      </c>
      <c r="N39" s="234">
        <f t="shared" si="2"/>
        <v>100</v>
      </c>
      <c r="O39" s="212">
        <v>3.3</v>
      </c>
      <c r="P39" s="213">
        <v>42.4</v>
      </c>
      <c r="Q39" s="213">
        <v>4.5999999999999996</v>
      </c>
      <c r="R39" s="214">
        <f t="shared" si="3"/>
        <v>50.3</v>
      </c>
      <c r="S39" s="170">
        <v>2</v>
      </c>
      <c r="T39" s="283"/>
      <c r="U39" s="281"/>
      <c r="V39" s="177" t="s">
        <v>503</v>
      </c>
      <c r="W39" s="170" t="s">
        <v>17</v>
      </c>
      <c r="X39" s="170" t="s">
        <v>18</v>
      </c>
      <c r="Y39" s="178">
        <v>42.4</v>
      </c>
      <c r="Z39" s="170" t="s">
        <v>504</v>
      </c>
      <c r="AA39" s="170" t="s">
        <v>96</v>
      </c>
      <c r="AB39" s="170" t="s">
        <v>12</v>
      </c>
      <c r="AC39" s="170">
        <v>4.5999999999999996</v>
      </c>
      <c r="AD39" s="177" t="s">
        <v>508</v>
      </c>
      <c r="AE39" s="170" t="s">
        <v>22</v>
      </c>
      <c r="AF39" s="170" t="s">
        <v>11</v>
      </c>
      <c r="AG39" s="178">
        <v>3.3</v>
      </c>
      <c r="AL39" s="177"/>
      <c r="AO39" s="178"/>
      <c r="AP39" s="177"/>
      <c r="AT39" s="250"/>
      <c r="AW39" s="178"/>
      <c r="BA39" s="179"/>
    </row>
    <row r="40" spans="1:53" s="28" customFormat="1" x14ac:dyDescent="0.15">
      <c r="A40" s="51">
        <v>1973</v>
      </c>
      <c r="B40" s="293">
        <v>26915</v>
      </c>
      <c r="C40" s="394" t="s">
        <v>720</v>
      </c>
      <c r="D40" s="394"/>
      <c r="E40" s="28">
        <v>115</v>
      </c>
      <c r="F40" s="28">
        <v>5</v>
      </c>
      <c r="G40" s="65"/>
      <c r="H40" s="28">
        <v>19</v>
      </c>
      <c r="I40" s="28">
        <v>10</v>
      </c>
      <c r="J40" s="72">
        <v>29</v>
      </c>
      <c r="K40" s="46">
        <f t="shared" si="4"/>
        <v>0</v>
      </c>
      <c r="L40" s="46">
        <f t="shared" si="4"/>
        <v>65.517241379310349</v>
      </c>
      <c r="M40" s="46">
        <f t="shared" si="4"/>
        <v>34.482758620689658</v>
      </c>
      <c r="N40" s="67">
        <f t="shared" si="2"/>
        <v>100</v>
      </c>
      <c r="O40" s="45"/>
      <c r="P40" s="46">
        <v>44.6</v>
      </c>
      <c r="Q40" s="46">
        <v>14.3</v>
      </c>
      <c r="R40" s="47">
        <f t="shared" si="3"/>
        <v>58.900000000000006</v>
      </c>
      <c r="S40" s="28">
        <v>3</v>
      </c>
      <c r="T40" s="284"/>
      <c r="U40" s="293">
        <v>26915</v>
      </c>
      <c r="V40" s="37" t="s">
        <v>503</v>
      </c>
      <c r="W40" s="28" t="s">
        <v>17</v>
      </c>
      <c r="X40" s="28" t="s">
        <v>18</v>
      </c>
      <c r="Y40" s="38">
        <v>42.4</v>
      </c>
      <c r="Z40" s="28" t="s">
        <v>506</v>
      </c>
      <c r="AA40" s="28" t="s">
        <v>20</v>
      </c>
      <c r="AB40" s="28" t="s">
        <v>12</v>
      </c>
      <c r="AC40" s="28">
        <v>9.6999999999999993</v>
      </c>
      <c r="AD40" s="37" t="s">
        <v>504</v>
      </c>
      <c r="AE40" s="28" t="s">
        <v>96</v>
      </c>
      <c r="AF40" s="28" t="s">
        <v>12</v>
      </c>
      <c r="AG40" s="38">
        <v>4.5999999999999996</v>
      </c>
      <c r="AH40" s="37" t="s">
        <v>505</v>
      </c>
      <c r="AI40" s="28" t="s">
        <v>87</v>
      </c>
      <c r="AJ40" s="28" t="s">
        <v>18</v>
      </c>
      <c r="AK40" s="28">
        <v>2.2000000000000002</v>
      </c>
      <c r="AL40" s="37"/>
      <c r="AO40" s="38"/>
      <c r="AP40" s="37"/>
      <c r="AT40" s="90"/>
      <c r="AW40" s="38"/>
      <c r="BA40" s="39"/>
    </row>
    <row r="41" spans="1:53" s="28" customFormat="1" x14ac:dyDescent="0.15">
      <c r="A41" s="51">
        <v>1974</v>
      </c>
      <c r="B41" s="293"/>
      <c r="C41" s="394" t="s">
        <v>720</v>
      </c>
      <c r="D41" s="394"/>
      <c r="E41" s="28">
        <v>72</v>
      </c>
      <c r="G41" s="65"/>
      <c r="H41" s="28">
        <v>19</v>
      </c>
      <c r="I41" s="28">
        <v>10</v>
      </c>
      <c r="J41" s="72">
        <v>29</v>
      </c>
      <c r="K41" s="46">
        <f t="shared" si="4"/>
        <v>0</v>
      </c>
      <c r="L41" s="46">
        <f t="shared" si="4"/>
        <v>65.517241379310349</v>
      </c>
      <c r="M41" s="46">
        <f t="shared" si="4"/>
        <v>34.482758620689658</v>
      </c>
      <c r="N41" s="67">
        <f t="shared" si="2"/>
        <v>100</v>
      </c>
      <c r="O41" s="45"/>
      <c r="P41" s="46">
        <v>44.6</v>
      </c>
      <c r="Q41" s="46">
        <v>14.3</v>
      </c>
      <c r="R41" s="47">
        <f t="shared" si="3"/>
        <v>58.900000000000006</v>
      </c>
      <c r="S41" s="28">
        <v>3</v>
      </c>
      <c r="T41" s="284"/>
      <c r="U41" s="293"/>
      <c r="V41" s="37" t="s">
        <v>503</v>
      </c>
      <c r="W41" s="28" t="s">
        <v>17</v>
      </c>
      <c r="X41" s="28" t="s">
        <v>18</v>
      </c>
      <c r="Y41" s="38">
        <v>42.4</v>
      </c>
      <c r="Z41" s="28" t="s">
        <v>506</v>
      </c>
      <c r="AA41" s="28" t="s">
        <v>20</v>
      </c>
      <c r="AB41" s="28" t="s">
        <v>12</v>
      </c>
      <c r="AC41" s="28">
        <v>9.6999999999999993</v>
      </c>
      <c r="AD41" s="37" t="s">
        <v>504</v>
      </c>
      <c r="AE41" s="28" t="s">
        <v>96</v>
      </c>
      <c r="AF41" s="28" t="s">
        <v>12</v>
      </c>
      <c r="AG41" s="38">
        <v>4.5999999999999996</v>
      </c>
      <c r="AH41" s="37" t="s">
        <v>505</v>
      </c>
      <c r="AI41" s="28" t="s">
        <v>87</v>
      </c>
      <c r="AJ41" s="28" t="s">
        <v>18</v>
      </c>
      <c r="AK41" s="28">
        <v>2.2000000000000002</v>
      </c>
      <c r="AL41" s="37"/>
      <c r="AO41" s="38"/>
      <c r="AP41" s="37"/>
      <c r="AT41" s="90"/>
      <c r="AW41" s="38"/>
      <c r="BA41" s="39"/>
    </row>
    <row r="42" spans="1:53" s="170" customFormat="1" x14ac:dyDescent="0.15">
      <c r="A42" s="215">
        <v>1974</v>
      </c>
      <c r="B42" s="281">
        <v>27102</v>
      </c>
      <c r="C42" s="395" t="s">
        <v>721</v>
      </c>
      <c r="D42" s="395"/>
      <c r="E42" s="170">
        <v>254</v>
      </c>
      <c r="F42" s="170">
        <v>4</v>
      </c>
      <c r="G42" s="232"/>
      <c r="H42" s="170">
        <v>16</v>
      </c>
      <c r="I42" s="170">
        <v>10</v>
      </c>
      <c r="J42" s="240">
        <v>26</v>
      </c>
      <c r="K42" s="213">
        <f t="shared" si="4"/>
        <v>0</v>
      </c>
      <c r="L42" s="213">
        <f t="shared" si="4"/>
        <v>61.53846153846154</v>
      </c>
      <c r="M42" s="213">
        <f t="shared" si="4"/>
        <v>38.461538461538467</v>
      </c>
      <c r="N42" s="234">
        <f t="shared" si="2"/>
        <v>100</v>
      </c>
      <c r="O42" s="212"/>
      <c r="P42" s="213">
        <v>42.4</v>
      </c>
      <c r="Q42" s="213">
        <v>14.3</v>
      </c>
      <c r="R42" s="214">
        <f t="shared" si="3"/>
        <v>56.7</v>
      </c>
      <c r="S42" s="170">
        <v>3</v>
      </c>
      <c r="T42" s="283"/>
      <c r="U42" s="281">
        <v>27102</v>
      </c>
      <c r="V42" s="177" t="s">
        <v>503</v>
      </c>
      <c r="W42" s="170" t="s">
        <v>17</v>
      </c>
      <c r="X42" s="170" t="s">
        <v>18</v>
      </c>
      <c r="Y42" s="178">
        <v>42.4</v>
      </c>
      <c r="Z42" s="170" t="s">
        <v>506</v>
      </c>
      <c r="AA42" s="170" t="s">
        <v>20</v>
      </c>
      <c r="AB42" s="170" t="s">
        <v>12</v>
      </c>
      <c r="AC42" s="170">
        <v>9.6999999999999993</v>
      </c>
      <c r="AD42" s="177" t="s">
        <v>504</v>
      </c>
      <c r="AE42" s="170" t="s">
        <v>96</v>
      </c>
      <c r="AF42" s="170" t="s">
        <v>12</v>
      </c>
      <c r="AG42" s="178">
        <v>4.5999999999999996</v>
      </c>
      <c r="AH42" s="177"/>
      <c r="AL42" s="177"/>
      <c r="AO42" s="178"/>
      <c r="AP42" s="177"/>
      <c r="AT42" s="250"/>
      <c r="AW42" s="178"/>
      <c r="BA42" s="179"/>
    </row>
    <row r="43" spans="1:53" s="28" customFormat="1" x14ac:dyDescent="0.15">
      <c r="A43" s="51">
        <v>1974</v>
      </c>
      <c r="B43" s="293">
        <v>27356</v>
      </c>
      <c r="C43" s="394" t="s">
        <v>722</v>
      </c>
      <c r="D43" s="394"/>
      <c r="E43" s="28">
        <f>365-E42-E41</f>
        <v>39</v>
      </c>
      <c r="F43" s="28">
        <v>4</v>
      </c>
      <c r="G43" s="65"/>
      <c r="H43" s="28">
        <v>25</v>
      </c>
      <c r="J43" s="72">
        <v>25</v>
      </c>
      <c r="K43" s="46">
        <f t="shared" si="4"/>
        <v>0</v>
      </c>
      <c r="L43" s="46">
        <f t="shared" si="4"/>
        <v>100</v>
      </c>
      <c r="M43" s="46">
        <f t="shared" si="4"/>
        <v>0</v>
      </c>
      <c r="N43" s="67">
        <f t="shared" si="2"/>
        <v>100</v>
      </c>
      <c r="O43" s="45"/>
      <c r="P43" s="46">
        <v>44.6</v>
      </c>
      <c r="Q43" s="46"/>
      <c r="R43" s="47">
        <f t="shared" si="3"/>
        <v>44.6</v>
      </c>
      <c r="S43" s="28">
        <v>5</v>
      </c>
      <c r="T43" s="284"/>
      <c r="U43" s="293">
        <v>27356</v>
      </c>
      <c r="V43" s="37" t="s">
        <v>503</v>
      </c>
      <c r="W43" s="28" t="s">
        <v>17</v>
      </c>
      <c r="X43" s="28" t="s">
        <v>18</v>
      </c>
      <c r="Y43" s="38">
        <v>42.4</v>
      </c>
      <c r="Z43" s="37" t="s">
        <v>505</v>
      </c>
      <c r="AA43" s="28" t="s">
        <v>87</v>
      </c>
      <c r="AB43" s="28" t="s">
        <v>18</v>
      </c>
      <c r="AC43" s="28">
        <v>2.2000000000000002</v>
      </c>
      <c r="AD43" s="37"/>
      <c r="AG43" s="38"/>
      <c r="AL43" s="37"/>
      <c r="AO43" s="38"/>
      <c r="AP43" s="37"/>
      <c r="AT43" s="90"/>
      <c r="AW43" s="38"/>
      <c r="BA43" s="39"/>
    </row>
    <row r="44" spans="1:53" s="28" customFormat="1" x14ac:dyDescent="0.15">
      <c r="A44" s="51">
        <v>1975</v>
      </c>
      <c r="B44" s="293"/>
      <c r="C44" s="394" t="s">
        <v>722</v>
      </c>
      <c r="D44" s="394"/>
      <c r="E44" s="28">
        <v>0</v>
      </c>
      <c r="G44" s="65"/>
      <c r="H44" s="28">
        <v>25</v>
      </c>
      <c r="J44" s="72">
        <v>25</v>
      </c>
      <c r="K44" s="46">
        <f t="shared" si="4"/>
        <v>0</v>
      </c>
      <c r="L44" s="46">
        <f t="shared" si="4"/>
        <v>100</v>
      </c>
      <c r="M44" s="46">
        <f t="shared" si="4"/>
        <v>0</v>
      </c>
      <c r="N44" s="67">
        <f t="shared" si="2"/>
        <v>100</v>
      </c>
      <c r="O44" s="45"/>
      <c r="P44" s="46">
        <v>44.6</v>
      </c>
      <c r="Q44" s="46"/>
      <c r="R44" s="47">
        <f t="shared" si="3"/>
        <v>44.6</v>
      </c>
      <c r="S44" s="28">
        <v>5</v>
      </c>
      <c r="T44" s="284"/>
      <c r="U44" s="293"/>
      <c r="V44" s="37" t="s">
        <v>503</v>
      </c>
      <c r="W44" s="28" t="s">
        <v>17</v>
      </c>
      <c r="X44" s="28" t="s">
        <v>18</v>
      </c>
      <c r="Y44" s="38">
        <v>42.4</v>
      </c>
      <c r="Z44" s="37" t="s">
        <v>505</v>
      </c>
      <c r="AA44" s="28" t="s">
        <v>87</v>
      </c>
      <c r="AB44" s="28" t="s">
        <v>18</v>
      </c>
      <c r="AC44" s="28">
        <v>2.2000000000000002</v>
      </c>
      <c r="AD44" s="37"/>
      <c r="AG44" s="38"/>
      <c r="AL44" s="37"/>
      <c r="AO44" s="38"/>
      <c r="AP44" s="37"/>
      <c r="AT44" s="90"/>
      <c r="AW44" s="38"/>
      <c r="BA44" s="39"/>
    </row>
    <row r="45" spans="1:53" s="28" customFormat="1" x14ac:dyDescent="0.15">
      <c r="A45" s="51">
        <v>1975</v>
      </c>
      <c r="B45" s="293"/>
      <c r="C45" s="394" t="s">
        <v>722</v>
      </c>
      <c r="D45" s="394"/>
      <c r="E45" s="28">
        <v>365</v>
      </c>
      <c r="G45" s="65"/>
      <c r="H45" s="28">
        <v>25</v>
      </c>
      <c r="J45" s="72">
        <v>25</v>
      </c>
      <c r="K45" s="46">
        <f t="shared" si="4"/>
        <v>0</v>
      </c>
      <c r="L45" s="46">
        <f t="shared" si="4"/>
        <v>100</v>
      </c>
      <c r="M45" s="46">
        <f t="shared" si="4"/>
        <v>0</v>
      </c>
      <c r="N45" s="67">
        <f t="shared" si="2"/>
        <v>100</v>
      </c>
      <c r="O45" s="45"/>
      <c r="P45" s="46">
        <v>44.6</v>
      </c>
      <c r="Q45" s="46"/>
      <c r="R45" s="47">
        <f t="shared" si="3"/>
        <v>44.6</v>
      </c>
      <c r="S45" s="28">
        <v>5</v>
      </c>
      <c r="T45" s="284"/>
      <c r="U45" s="293"/>
      <c r="V45" s="37" t="s">
        <v>503</v>
      </c>
      <c r="W45" s="28" t="s">
        <v>17</v>
      </c>
      <c r="X45" s="28" t="s">
        <v>18</v>
      </c>
      <c r="Y45" s="38">
        <v>42.4</v>
      </c>
      <c r="Z45" s="37" t="s">
        <v>505</v>
      </c>
      <c r="AA45" s="28" t="s">
        <v>87</v>
      </c>
      <c r="AB45" s="28" t="s">
        <v>18</v>
      </c>
      <c r="AC45" s="28">
        <v>2.2000000000000002</v>
      </c>
      <c r="AD45" s="37"/>
      <c r="AG45" s="38"/>
      <c r="AL45" s="37"/>
      <c r="AO45" s="38"/>
      <c r="AP45" s="37"/>
      <c r="AT45" s="90"/>
      <c r="AW45" s="38"/>
      <c r="BA45" s="39"/>
    </row>
    <row r="46" spans="1:53" s="28" customFormat="1" x14ac:dyDescent="0.15">
      <c r="A46" s="51">
        <v>1976</v>
      </c>
      <c r="B46" s="293"/>
      <c r="C46" s="394" t="s">
        <v>722</v>
      </c>
      <c r="D46" s="394"/>
      <c r="E46" s="28">
        <v>43</v>
      </c>
      <c r="G46" s="65"/>
      <c r="H46" s="28">
        <v>25</v>
      </c>
      <c r="J46" s="72">
        <v>25</v>
      </c>
      <c r="K46" s="46">
        <f t="shared" si="4"/>
        <v>0</v>
      </c>
      <c r="L46" s="46">
        <f t="shared" si="4"/>
        <v>100</v>
      </c>
      <c r="M46" s="46">
        <f t="shared" si="4"/>
        <v>0</v>
      </c>
      <c r="N46" s="67">
        <f t="shared" si="2"/>
        <v>100</v>
      </c>
      <c r="O46" s="45"/>
      <c r="P46" s="46">
        <v>44.6</v>
      </c>
      <c r="Q46" s="46"/>
      <c r="R46" s="47">
        <f t="shared" si="3"/>
        <v>44.6</v>
      </c>
      <c r="S46" s="28">
        <v>5</v>
      </c>
      <c r="T46" s="284"/>
      <c r="U46" s="293"/>
      <c r="V46" s="37" t="s">
        <v>503</v>
      </c>
      <c r="W46" s="28" t="s">
        <v>17</v>
      </c>
      <c r="X46" s="28" t="s">
        <v>18</v>
      </c>
      <c r="Y46" s="38">
        <v>42.4</v>
      </c>
      <c r="Z46" s="37" t="s">
        <v>505</v>
      </c>
      <c r="AA46" s="28" t="s">
        <v>87</v>
      </c>
      <c r="AB46" s="28" t="s">
        <v>18</v>
      </c>
      <c r="AC46" s="28">
        <v>2.2000000000000002</v>
      </c>
      <c r="AD46" s="37"/>
      <c r="AG46" s="38"/>
      <c r="AL46" s="37"/>
      <c r="AO46" s="38"/>
      <c r="AP46" s="37"/>
      <c r="AT46" s="90"/>
      <c r="AW46" s="38"/>
      <c r="BA46" s="39"/>
    </row>
    <row r="47" spans="1:53" s="170" customFormat="1" x14ac:dyDescent="0.15">
      <c r="A47" s="215">
        <v>1976</v>
      </c>
      <c r="B47" s="281">
        <v>27803</v>
      </c>
      <c r="C47" s="395" t="s">
        <v>723</v>
      </c>
      <c r="D47" s="395"/>
      <c r="E47" s="170">
        <v>167</v>
      </c>
      <c r="F47" s="170">
        <v>5</v>
      </c>
      <c r="G47" s="232"/>
      <c r="H47" s="170">
        <v>22</v>
      </c>
      <c r="J47" s="240">
        <v>22</v>
      </c>
      <c r="K47" s="213">
        <f t="shared" si="4"/>
        <v>0</v>
      </c>
      <c r="L47" s="213">
        <f t="shared" si="4"/>
        <v>100</v>
      </c>
      <c r="M47" s="213">
        <f t="shared" si="4"/>
        <v>0</v>
      </c>
      <c r="N47" s="234">
        <f t="shared" si="2"/>
        <v>100</v>
      </c>
      <c r="O47" s="212"/>
      <c r="P47" s="213">
        <v>42.4</v>
      </c>
      <c r="Q47" s="213"/>
      <c r="R47" s="214">
        <f t="shared" si="3"/>
        <v>42.4</v>
      </c>
      <c r="S47" s="170">
        <v>6</v>
      </c>
      <c r="T47" s="283"/>
      <c r="U47" s="281">
        <v>27803</v>
      </c>
      <c r="V47" s="177" t="s">
        <v>503</v>
      </c>
      <c r="W47" s="170" t="s">
        <v>17</v>
      </c>
      <c r="X47" s="170" t="s">
        <v>18</v>
      </c>
      <c r="Y47" s="178">
        <v>42.4</v>
      </c>
      <c r="Z47" s="177"/>
      <c r="AD47" s="177"/>
      <c r="AG47" s="178"/>
      <c r="AL47" s="177"/>
      <c r="AO47" s="178"/>
      <c r="AP47" s="177"/>
      <c r="AT47" s="250"/>
      <c r="AW47" s="178"/>
      <c r="BA47" s="179"/>
    </row>
    <row r="48" spans="1:53" s="28" customFormat="1" x14ac:dyDescent="0.15">
      <c r="A48" s="51">
        <v>1976</v>
      </c>
      <c r="B48" s="293">
        <v>27970</v>
      </c>
      <c r="C48" s="394" t="s">
        <v>724</v>
      </c>
      <c r="D48" s="394"/>
      <c r="E48" s="28">
        <f>366-E47-E46</f>
        <v>156</v>
      </c>
      <c r="F48" s="28">
        <v>1</v>
      </c>
      <c r="G48" s="65"/>
      <c r="H48" s="28">
        <v>21</v>
      </c>
      <c r="J48" s="72">
        <v>22</v>
      </c>
      <c r="K48" s="46">
        <f t="shared" si="4"/>
        <v>0</v>
      </c>
      <c r="L48" s="46">
        <f t="shared" si="4"/>
        <v>95.454545454545453</v>
      </c>
      <c r="M48" s="46">
        <f t="shared" si="4"/>
        <v>0</v>
      </c>
      <c r="N48" s="67">
        <f t="shared" si="2"/>
        <v>95.454545454545453</v>
      </c>
      <c r="O48" s="45"/>
      <c r="P48" s="46">
        <v>41.7</v>
      </c>
      <c r="Q48" s="46"/>
      <c r="R48" s="47">
        <f t="shared" si="3"/>
        <v>41.7</v>
      </c>
      <c r="S48" s="28">
        <v>4</v>
      </c>
      <c r="T48" s="284">
        <v>27931</v>
      </c>
      <c r="U48" s="293">
        <v>27970</v>
      </c>
      <c r="V48" s="37" t="s">
        <v>503</v>
      </c>
      <c r="W48" s="28" t="s">
        <v>17</v>
      </c>
      <c r="X48" s="28" t="s">
        <v>18</v>
      </c>
      <c r="Y48" s="38">
        <v>41.7</v>
      </c>
      <c r="AD48" s="37"/>
      <c r="AG48" s="38"/>
      <c r="AL48" s="37"/>
      <c r="AO48" s="38"/>
      <c r="AP48" s="37"/>
      <c r="AT48" s="90"/>
      <c r="AW48" s="38"/>
      <c r="BA48" s="39"/>
    </row>
    <row r="49" spans="1:53" s="28" customFormat="1" x14ac:dyDescent="0.15">
      <c r="A49" s="51">
        <v>1977</v>
      </c>
      <c r="B49" s="293"/>
      <c r="C49" s="394" t="s">
        <v>724</v>
      </c>
      <c r="D49" s="394"/>
      <c r="E49" s="28">
        <v>0</v>
      </c>
      <c r="G49" s="65"/>
      <c r="H49" s="28">
        <v>21</v>
      </c>
      <c r="J49" s="72">
        <v>22</v>
      </c>
      <c r="K49" s="46">
        <f t="shared" si="4"/>
        <v>0</v>
      </c>
      <c r="L49" s="46">
        <f t="shared" si="4"/>
        <v>95.454545454545453</v>
      </c>
      <c r="M49" s="46">
        <f t="shared" si="4"/>
        <v>0</v>
      </c>
      <c r="N49" s="67">
        <f t="shared" si="2"/>
        <v>95.454545454545453</v>
      </c>
      <c r="O49" s="45"/>
      <c r="P49" s="46">
        <v>41.7</v>
      </c>
      <c r="Q49" s="46"/>
      <c r="R49" s="47">
        <f t="shared" si="3"/>
        <v>41.7</v>
      </c>
      <c r="S49" s="28">
        <v>4</v>
      </c>
      <c r="T49" s="284"/>
      <c r="U49" s="293"/>
      <c r="V49" s="37" t="s">
        <v>503</v>
      </c>
      <c r="W49" s="28" t="s">
        <v>17</v>
      </c>
      <c r="X49" s="28" t="s">
        <v>18</v>
      </c>
      <c r="Y49" s="38">
        <v>41.7</v>
      </c>
      <c r="AD49" s="37"/>
      <c r="AG49" s="38"/>
      <c r="AL49" s="37"/>
      <c r="AO49" s="38"/>
      <c r="AP49" s="37"/>
      <c r="AT49" s="90"/>
      <c r="AW49" s="38"/>
      <c r="BA49" s="39"/>
    </row>
    <row r="50" spans="1:53" s="28" customFormat="1" x14ac:dyDescent="0.15">
      <c r="A50" s="51">
        <v>1977</v>
      </c>
      <c r="B50" s="293"/>
      <c r="C50" s="394" t="s">
        <v>724</v>
      </c>
      <c r="D50" s="394"/>
      <c r="E50" s="28">
        <v>365</v>
      </c>
      <c r="G50" s="65"/>
      <c r="H50" s="28">
        <v>21</v>
      </c>
      <c r="J50" s="72">
        <v>22</v>
      </c>
      <c r="K50" s="46">
        <f t="shared" si="4"/>
        <v>0</v>
      </c>
      <c r="L50" s="46">
        <f t="shared" si="4"/>
        <v>95.454545454545453</v>
      </c>
      <c r="M50" s="46">
        <f t="shared" si="4"/>
        <v>0</v>
      </c>
      <c r="N50" s="67">
        <f t="shared" si="2"/>
        <v>95.454545454545453</v>
      </c>
      <c r="O50" s="45"/>
      <c r="P50" s="46">
        <v>41.7</v>
      </c>
      <c r="Q50" s="46"/>
      <c r="R50" s="47">
        <f t="shared" si="3"/>
        <v>41.7</v>
      </c>
      <c r="S50" s="28">
        <v>4</v>
      </c>
      <c r="T50" s="284"/>
      <c r="U50" s="293"/>
      <c r="V50" s="37" t="s">
        <v>503</v>
      </c>
      <c r="W50" s="28" t="s">
        <v>17</v>
      </c>
      <c r="X50" s="28" t="s">
        <v>18</v>
      </c>
      <c r="Y50" s="38">
        <v>41.7</v>
      </c>
      <c r="AD50" s="37"/>
      <c r="AG50" s="38"/>
      <c r="AL50" s="37"/>
      <c r="AO50" s="38"/>
      <c r="AP50" s="37"/>
      <c r="AT50" s="90"/>
      <c r="AW50" s="38"/>
      <c r="BA50" s="39"/>
    </row>
    <row r="51" spans="1:53" s="28" customFormat="1" x14ac:dyDescent="0.15">
      <c r="A51" s="51">
        <v>1978</v>
      </c>
      <c r="B51" s="293"/>
      <c r="C51" s="394" t="s">
        <v>724</v>
      </c>
      <c r="D51" s="394"/>
      <c r="E51" s="28">
        <v>71</v>
      </c>
      <c r="G51" s="65"/>
      <c r="H51" s="28">
        <v>21</v>
      </c>
      <c r="J51" s="72">
        <v>22</v>
      </c>
      <c r="K51" s="46">
        <f t="shared" si="4"/>
        <v>0</v>
      </c>
      <c r="L51" s="46">
        <f t="shared" si="4"/>
        <v>95.454545454545453</v>
      </c>
      <c r="M51" s="46">
        <f t="shared" si="4"/>
        <v>0</v>
      </c>
      <c r="N51" s="67">
        <f t="shared" si="2"/>
        <v>95.454545454545453</v>
      </c>
      <c r="O51" s="45"/>
      <c r="P51" s="46">
        <v>41.7</v>
      </c>
      <c r="Q51" s="46"/>
      <c r="R51" s="47">
        <f t="shared" si="3"/>
        <v>41.7</v>
      </c>
      <c r="S51" s="28">
        <v>4</v>
      </c>
      <c r="T51" s="284"/>
      <c r="U51" s="293"/>
      <c r="V51" s="37" t="s">
        <v>503</v>
      </c>
      <c r="W51" s="28" t="s">
        <v>17</v>
      </c>
      <c r="X51" s="28" t="s">
        <v>18</v>
      </c>
      <c r="Y51" s="38">
        <v>41.7</v>
      </c>
      <c r="AD51" s="37"/>
      <c r="AG51" s="38"/>
      <c r="AL51" s="37"/>
      <c r="AO51" s="38"/>
      <c r="AP51" s="37"/>
      <c r="AT51" s="90"/>
      <c r="AW51" s="38"/>
      <c r="BA51" s="39"/>
    </row>
    <row r="52" spans="1:53" s="170" customFormat="1" x14ac:dyDescent="0.15">
      <c r="A52" s="215">
        <v>1978</v>
      </c>
      <c r="B52" s="281">
        <v>28562</v>
      </c>
      <c r="C52" s="395" t="s">
        <v>725</v>
      </c>
      <c r="D52" s="395"/>
      <c r="E52" s="170">
        <f>365-E51</f>
        <v>294</v>
      </c>
      <c r="F52" s="170">
        <v>5</v>
      </c>
      <c r="G52" s="232"/>
      <c r="H52" s="170">
        <v>20</v>
      </c>
      <c r="J52" s="240">
        <v>21</v>
      </c>
      <c r="K52" s="213">
        <f t="shared" si="4"/>
        <v>0</v>
      </c>
      <c r="L52" s="213">
        <f t="shared" si="4"/>
        <v>95.238095238095227</v>
      </c>
      <c r="M52" s="213">
        <f t="shared" si="4"/>
        <v>0</v>
      </c>
      <c r="N52" s="234">
        <f t="shared" si="2"/>
        <v>95.238095238095227</v>
      </c>
      <c r="O52" s="212"/>
      <c r="P52" s="213">
        <v>41.7</v>
      </c>
      <c r="Q52" s="213"/>
      <c r="R52" s="214">
        <f t="shared" si="3"/>
        <v>41.7</v>
      </c>
      <c r="S52" s="170">
        <v>4</v>
      </c>
      <c r="T52" s="283"/>
      <c r="U52" s="281">
        <v>28562</v>
      </c>
      <c r="V52" s="177" t="s">
        <v>503</v>
      </c>
      <c r="W52" s="170" t="s">
        <v>17</v>
      </c>
      <c r="X52" s="170" t="s">
        <v>18</v>
      </c>
      <c r="Y52" s="178">
        <v>41.7</v>
      </c>
      <c r="AD52" s="177"/>
      <c r="AG52" s="178"/>
      <c r="AL52" s="177"/>
      <c r="AO52" s="178"/>
      <c r="AP52" s="177"/>
      <c r="AT52" s="250"/>
      <c r="AW52" s="178"/>
      <c r="BA52" s="179"/>
    </row>
    <row r="53" spans="1:53" s="170" customFormat="1" x14ac:dyDescent="0.15">
      <c r="A53" s="215">
        <v>1979</v>
      </c>
      <c r="B53" s="281"/>
      <c r="C53" s="395" t="s">
        <v>725</v>
      </c>
      <c r="D53" s="395"/>
      <c r="E53" s="170">
        <v>79</v>
      </c>
      <c r="G53" s="232"/>
      <c r="H53" s="170">
        <v>20</v>
      </c>
      <c r="J53" s="240">
        <v>21</v>
      </c>
      <c r="K53" s="213">
        <f t="shared" si="4"/>
        <v>0</v>
      </c>
      <c r="L53" s="213">
        <f t="shared" si="4"/>
        <v>95.238095238095227</v>
      </c>
      <c r="M53" s="213">
        <f t="shared" si="4"/>
        <v>0</v>
      </c>
      <c r="N53" s="234">
        <f t="shared" si="2"/>
        <v>95.238095238095227</v>
      </c>
      <c r="O53" s="212"/>
      <c r="P53" s="213">
        <v>41.7</v>
      </c>
      <c r="Q53" s="213"/>
      <c r="R53" s="214">
        <f t="shared" si="3"/>
        <v>41.7</v>
      </c>
      <c r="S53" s="170">
        <v>4</v>
      </c>
      <c r="T53" s="283"/>
      <c r="U53" s="281"/>
      <c r="V53" s="177" t="s">
        <v>503</v>
      </c>
      <c r="W53" s="170" t="s">
        <v>17</v>
      </c>
      <c r="X53" s="170" t="s">
        <v>18</v>
      </c>
      <c r="Y53" s="178">
        <v>41.7</v>
      </c>
      <c r="AD53" s="177"/>
      <c r="AG53" s="178"/>
      <c r="AL53" s="177"/>
      <c r="AO53" s="178"/>
      <c r="AP53" s="177"/>
      <c r="AT53" s="250"/>
      <c r="AW53" s="178"/>
      <c r="BA53" s="179"/>
    </row>
    <row r="54" spans="1:53" s="28" customFormat="1" x14ac:dyDescent="0.15">
      <c r="A54" s="51">
        <v>1979</v>
      </c>
      <c r="B54" s="293">
        <v>28935</v>
      </c>
      <c r="C54" s="394" t="s">
        <v>726</v>
      </c>
      <c r="D54" s="394"/>
      <c r="E54" s="28">
        <v>137</v>
      </c>
      <c r="F54" s="28">
        <v>5</v>
      </c>
      <c r="G54" s="65"/>
      <c r="H54" s="28">
        <v>17</v>
      </c>
      <c r="I54" s="28">
        <v>4</v>
      </c>
      <c r="J54" s="72">
        <v>21</v>
      </c>
      <c r="K54" s="46">
        <f t="shared" si="4"/>
        <v>0</v>
      </c>
      <c r="L54" s="46">
        <f t="shared" si="4"/>
        <v>80.952380952380949</v>
      </c>
      <c r="M54" s="46">
        <f t="shared" si="4"/>
        <v>19.047619047619047</v>
      </c>
      <c r="N54" s="67">
        <f t="shared" si="2"/>
        <v>100</v>
      </c>
      <c r="O54" s="45"/>
      <c r="P54" s="46">
        <v>43.9</v>
      </c>
      <c r="Q54" s="46">
        <v>2.4</v>
      </c>
      <c r="R54" s="47">
        <f t="shared" si="3"/>
        <v>46.3</v>
      </c>
      <c r="S54" s="28">
        <v>6</v>
      </c>
      <c r="T54" s="284"/>
      <c r="U54" s="293">
        <v>28935</v>
      </c>
      <c r="V54" s="37" t="s">
        <v>503</v>
      </c>
      <c r="W54" s="28" t="s">
        <v>17</v>
      </c>
      <c r="X54" s="28" t="s">
        <v>18</v>
      </c>
      <c r="Y54" s="38">
        <v>41.7</v>
      </c>
      <c r="Z54" s="28" t="s">
        <v>504</v>
      </c>
      <c r="AA54" s="28" t="s">
        <v>96</v>
      </c>
      <c r="AB54" s="28" t="s">
        <v>12</v>
      </c>
      <c r="AC54" s="28">
        <v>2.4</v>
      </c>
      <c r="AD54" s="37" t="s">
        <v>505</v>
      </c>
      <c r="AE54" s="28" t="s">
        <v>87</v>
      </c>
      <c r="AF54" s="28" t="s">
        <v>18</v>
      </c>
      <c r="AG54" s="38">
        <v>2.2000000000000002</v>
      </c>
      <c r="AL54" s="37"/>
      <c r="AO54" s="38"/>
      <c r="AP54" s="37"/>
      <c r="AT54" s="90"/>
      <c r="AW54" s="38"/>
      <c r="BA54" s="39"/>
    </row>
    <row r="55" spans="1:53" s="170" customFormat="1" x14ac:dyDescent="0.15">
      <c r="A55" s="215">
        <v>1979</v>
      </c>
      <c r="B55" s="281">
        <v>29072</v>
      </c>
      <c r="C55" s="395" t="s">
        <v>727</v>
      </c>
      <c r="D55" s="395"/>
      <c r="E55" s="170">
        <f>365-E54-E53</f>
        <v>149</v>
      </c>
      <c r="F55" s="170">
        <v>1</v>
      </c>
      <c r="G55" s="232">
        <v>2</v>
      </c>
      <c r="H55" s="170">
        <v>17</v>
      </c>
      <c r="I55" s="170">
        <v>4</v>
      </c>
      <c r="J55" s="240">
        <v>25</v>
      </c>
      <c r="K55" s="213">
        <f t="shared" si="4"/>
        <v>8</v>
      </c>
      <c r="L55" s="213">
        <f t="shared" si="4"/>
        <v>68</v>
      </c>
      <c r="M55" s="213">
        <f t="shared" si="4"/>
        <v>16</v>
      </c>
      <c r="N55" s="234">
        <f t="shared" si="2"/>
        <v>92</v>
      </c>
      <c r="O55" s="212">
        <v>1.5</v>
      </c>
      <c r="P55" s="213">
        <v>41.4</v>
      </c>
      <c r="Q55" s="213">
        <v>3.3</v>
      </c>
      <c r="R55" s="214">
        <f t="shared" si="3"/>
        <v>46.199999999999996</v>
      </c>
      <c r="S55" s="170">
        <v>5</v>
      </c>
      <c r="T55" s="283">
        <v>29009</v>
      </c>
      <c r="U55" s="281">
        <v>29072</v>
      </c>
      <c r="V55" s="177" t="s">
        <v>503</v>
      </c>
      <c r="W55" s="170" t="s">
        <v>17</v>
      </c>
      <c r="X55" s="170" t="s">
        <v>18</v>
      </c>
      <c r="Y55" s="178">
        <v>41.4</v>
      </c>
      <c r="Z55" s="170" t="s">
        <v>504</v>
      </c>
      <c r="AA55" s="170" t="s">
        <v>96</v>
      </c>
      <c r="AB55" s="170" t="s">
        <v>12</v>
      </c>
      <c r="AC55" s="170">
        <v>3.3</v>
      </c>
      <c r="AD55" s="177" t="s">
        <v>508</v>
      </c>
      <c r="AE55" s="170" t="s">
        <v>22</v>
      </c>
      <c r="AF55" s="170" t="s">
        <v>11</v>
      </c>
      <c r="AG55" s="178">
        <v>1.5</v>
      </c>
      <c r="AL55" s="177"/>
      <c r="AO55" s="178"/>
      <c r="AP55" s="177"/>
      <c r="AT55" s="250"/>
      <c r="AW55" s="178"/>
      <c r="BA55" s="179"/>
    </row>
    <row r="56" spans="1:53" s="170" customFormat="1" x14ac:dyDescent="0.15">
      <c r="A56" s="215">
        <v>1980</v>
      </c>
      <c r="B56" s="281"/>
      <c r="C56" s="395" t="s">
        <v>727</v>
      </c>
      <c r="D56" s="395"/>
      <c r="E56" s="170">
        <v>94</v>
      </c>
      <c r="G56" s="232">
        <v>2</v>
      </c>
      <c r="H56" s="170">
        <v>17</v>
      </c>
      <c r="I56" s="170">
        <v>4</v>
      </c>
      <c r="J56" s="240">
        <v>25</v>
      </c>
      <c r="K56" s="213">
        <f t="shared" si="4"/>
        <v>8</v>
      </c>
      <c r="L56" s="213">
        <f t="shared" si="4"/>
        <v>68</v>
      </c>
      <c r="M56" s="213">
        <f t="shared" si="4"/>
        <v>16</v>
      </c>
      <c r="N56" s="234">
        <f t="shared" si="2"/>
        <v>92</v>
      </c>
      <c r="O56" s="212">
        <v>1.5</v>
      </c>
      <c r="P56" s="213">
        <v>41.4</v>
      </c>
      <c r="Q56" s="213">
        <v>3.3</v>
      </c>
      <c r="R56" s="214">
        <f t="shared" si="3"/>
        <v>46.199999999999996</v>
      </c>
      <c r="S56" s="170">
        <v>5</v>
      </c>
      <c r="T56" s="283"/>
      <c r="U56" s="281"/>
      <c r="V56" s="177" t="s">
        <v>503</v>
      </c>
      <c r="W56" s="170" t="s">
        <v>17</v>
      </c>
      <c r="X56" s="170" t="s">
        <v>18</v>
      </c>
      <c r="Y56" s="178">
        <v>41.4</v>
      </c>
      <c r="Z56" s="170" t="s">
        <v>504</v>
      </c>
      <c r="AA56" s="170" t="s">
        <v>96</v>
      </c>
      <c r="AB56" s="170" t="s">
        <v>12</v>
      </c>
      <c r="AC56" s="170">
        <v>3.3</v>
      </c>
      <c r="AD56" s="177" t="s">
        <v>508</v>
      </c>
      <c r="AE56" s="170" t="s">
        <v>22</v>
      </c>
      <c r="AF56" s="170" t="s">
        <v>11</v>
      </c>
      <c r="AG56" s="178">
        <v>1.5</v>
      </c>
      <c r="AL56" s="177"/>
      <c r="AO56" s="178"/>
      <c r="AP56" s="177"/>
      <c r="AT56" s="250"/>
      <c r="AW56" s="178"/>
      <c r="BA56" s="179"/>
    </row>
    <row r="57" spans="1:53" s="28" customFormat="1" x14ac:dyDescent="0.15">
      <c r="A57" s="51">
        <v>1980</v>
      </c>
      <c r="B57" s="293">
        <v>29315</v>
      </c>
      <c r="C57" s="394" t="s">
        <v>728</v>
      </c>
      <c r="D57" s="394"/>
      <c r="E57" s="28">
        <v>198</v>
      </c>
      <c r="F57" s="28">
        <v>5</v>
      </c>
      <c r="G57" s="65"/>
      <c r="H57" s="28">
        <v>19</v>
      </c>
      <c r="I57" s="28">
        <v>9</v>
      </c>
      <c r="J57" s="72">
        <v>28</v>
      </c>
      <c r="K57" s="46">
        <f t="shared" si="4"/>
        <v>0</v>
      </c>
      <c r="L57" s="46">
        <f t="shared" si="4"/>
        <v>67.857142857142861</v>
      </c>
      <c r="M57" s="46">
        <f t="shared" si="4"/>
        <v>32.142857142857146</v>
      </c>
      <c r="N57" s="67">
        <f t="shared" si="2"/>
        <v>100</v>
      </c>
      <c r="O57" s="45"/>
      <c r="P57" s="46">
        <v>43.8</v>
      </c>
      <c r="Q57" s="46">
        <v>9.8000000000000007</v>
      </c>
      <c r="R57" s="47">
        <f t="shared" si="3"/>
        <v>53.599999999999994</v>
      </c>
      <c r="S57" s="28">
        <v>3</v>
      </c>
      <c r="T57" s="284"/>
      <c r="U57" s="293">
        <v>29315</v>
      </c>
      <c r="V57" s="37" t="s">
        <v>503</v>
      </c>
      <c r="W57" s="28" t="s">
        <v>17</v>
      </c>
      <c r="X57" s="28" t="s">
        <v>18</v>
      </c>
      <c r="Y57" s="38">
        <v>41.4</v>
      </c>
      <c r="Z57" s="28" t="s">
        <v>506</v>
      </c>
      <c r="AA57" s="28" t="s">
        <v>20</v>
      </c>
      <c r="AB57" s="28" t="s">
        <v>12</v>
      </c>
      <c r="AC57" s="28">
        <v>9.8000000000000007</v>
      </c>
      <c r="AD57" s="37" t="s">
        <v>505</v>
      </c>
      <c r="AE57" s="28" t="s">
        <v>87</v>
      </c>
      <c r="AF57" s="28" t="s">
        <v>18</v>
      </c>
      <c r="AG57" s="38">
        <v>2.4</v>
      </c>
      <c r="AL57" s="37"/>
      <c r="AO57" s="38"/>
      <c r="AP57" s="37"/>
      <c r="AT57" s="90"/>
      <c r="AW57" s="38"/>
      <c r="BA57" s="39"/>
    </row>
    <row r="58" spans="1:53" s="170" customFormat="1" x14ac:dyDescent="0.15">
      <c r="A58" s="215">
        <v>1980</v>
      </c>
      <c r="B58" s="281">
        <v>29513</v>
      </c>
      <c r="C58" s="395" t="s">
        <v>729</v>
      </c>
      <c r="D58" s="395"/>
      <c r="E58" s="170">
        <f>366-E57-E56</f>
        <v>74</v>
      </c>
      <c r="F58" s="170">
        <v>5</v>
      </c>
      <c r="G58" s="232"/>
      <c r="H58" s="170">
        <v>17</v>
      </c>
      <c r="I58" s="170">
        <v>10</v>
      </c>
      <c r="J58" s="240">
        <v>27</v>
      </c>
      <c r="K58" s="213">
        <f>G58/$J58*100</f>
        <v>0</v>
      </c>
      <c r="L58" s="213">
        <f t="shared" si="4"/>
        <v>62.962962962962962</v>
      </c>
      <c r="M58" s="213">
        <f t="shared" si="4"/>
        <v>37.037037037037038</v>
      </c>
      <c r="N58" s="234">
        <f t="shared" si="2"/>
        <v>100</v>
      </c>
      <c r="O58" s="212"/>
      <c r="P58" s="213">
        <v>43.8</v>
      </c>
      <c r="Q58" s="213">
        <v>13.1</v>
      </c>
      <c r="R58" s="214">
        <f>O58+P58+Q58</f>
        <v>56.9</v>
      </c>
      <c r="S58" s="170">
        <v>3</v>
      </c>
      <c r="T58" s="283"/>
      <c r="U58" s="281">
        <v>29513</v>
      </c>
      <c r="V58" s="177" t="s">
        <v>503</v>
      </c>
      <c r="W58" s="170" t="s">
        <v>17</v>
      </c>
      <c r="X58" s="170" t="s">
        <v>18</v>
      </c>
      <c r="Y58" s="178">
        <v>41.4</v>
      </c>
      <c r="Z58" s="170" t="s">
        <v>506</v>
      </c>
      <c r="AA58" s="170" t="s">
        <v>20</v>
      </c>
      <c r="AB58" s="170" t="s">
        <v>12</v>
      </c>
      <c r="AC58" s="170">
        <v>9.8000000000000007</v>
      </c>
      <c r="AD58" s="177" t="s">
        <v>504</v>
      </c>
      <c r="AE58" s="170" t="s">
        <v>96</v>
      </c>
      <c r="AF58" s="170" t="s">
        <v>12</v>
      </c>
      <c r="AG58" s="178">
        <v>3.3</v>
      </c>
      <c r="AH58" s="177" t="s">
        <v>505</v>
      </c>
      <c r="AI58" s="170" t="s">
        <v>87</v>
      </c>
      <c r="AJ58" s="170" t="s">
        <v>18</v>
      </c>
      <c r="AK58" s="170">
        <v>2.4</v>
      </c>
      <c r="AL58" s="177"/>
      <c r="AO58" s="178"/>
      <c r="AP58" s="177"/>
      <c r="AT58" s="250"/>
      <c r="AW58" s="178"/>
      <c r="BA58" s="179"/>
    </row>
    <row r="59" spans="1:53" s="170" customFormat="1" x14ac:dyDescent="0.15">
      <c r="A59" s="215">
        <v>1981</v>
      </c>
      <c r="B59" s="281"/>
      <c r="C59" s="395" t="s">
        <v>729</v>
      </c>
      <c r="D59" s="395"/>
      <c r="E59" s="170">
        <v>178</v>
      </c>
      <c r="G59" s="232"/>
      <c r="H59" s="170">
        <v>17</v>
      </c>
      <c r="I59" s="170">
        <v>10</v>
      </c>
      <c r="J59" s="240">
        <v>27</v>
      </c>
      <c r="K59" s="213">
        <f t="shared" ref="K59:M101" si="5">G59/$J59*100</f>
        <v>0</v>
      </c>
      <c r="L59" s="213">
        <f t="shared" si="4"/>
        <v>62.962962962962962</v>
      </c>
      <c r="M59" s="213">
        <f t="shared" si="4"/>
        <v>37.037037037037038</v>
      </c>
      <c r="N59" s="234">
        <f t="shared" si="2"/>
        <v>100</v>
      </c>
      <c r="O59" s="212"/>
      <c r="P59" s="213">
        <v>43.8</v>
      </c>
      <c r="Q59" s="213">
        <v>13.1</v>
      </c>
      <c r="R59" s="214">
        <f t="shared" si="3"/>
        <v>56.9</v>
      </c>
      <c r="S59" s="170">
        <v>3</v>
      </c>
      <c r="T59" s="283"/>
      <c r="U59" s="281"/>
      <c r="V59" s="177" t="s">
        <v>503</v>
      </c>
      <c r="W59" s="170" t="s">
        <v>17</v>
      </c>
      <c r="X59" s="170" t="s">
        <v>18</v>
      </c>
      <c r="Y59" s="178">
        <v>41.4</v>
      </c>
      <c r="Z59" s="170" t="s">
        <v>506</v>
      </c>
      <c r="AA59" s="170" t="s">
        <v>20</v>
      </c>
      <c r="AB59" s="170" t="s">
        <v>12</v>
      </c>
      <c r="AC59" s="170">
        <v>9.8000000000000007</v>
      </c>
      <c r="AD59" s="177" t="s">
        <v>504</v>
      </c>
      <c r="AE59" s="170" t="s">
        <v>96</v>
      </c>
      <c r="AF59" s="170" t="s">
        <v>12</v>
      </c>
      <c r="AG59" s="178">
        <v>3.3</v>
      </c>
      <c r="AH59" s="177" t="s">
        <v>505</v>
      </c>
      <c r="AI59" s="170" t="s">
        <v>87</v>
      </c>
      <c r="AJ59" s="170" t="s">
        <v>18</v>
      </c>
      <c r="AK59" s="170">
        <v>2.4</v>
      </c>
      <c r="AL59" s="177"/>
      <c r="AO59" s="178"/>
      <c r="AP59" s="177"/>
      <c r="AT59" s="250"/>
      <c r="AW59" s="178"/>
      <c r="BA59" s="179"/>
    </row>
    <row r="60" spans="1:53" s="28" customFormat="1" x14ac:dyDescent="0.15">
      <c r="A60" s="51">
        <v>1981</v>
      </c>
      <c r="B60" s="293">
        <v>29765</v>
      </c>
      <c r="C60" s="394" t="s">
        <v>730</v>
      </c>
      <c r="D60" s="394"/>
      <c r="E60" s="28">
        <f>365-E59</f>
        <v>187</v>
      </c>
      <c r="F60" s="28">
        <v>5</v>
      </c>
      <c r="G60" s="65">
        <v>1</v>
      </c>
      <c r="H60" s="28">
        <v>17</v>
      </c>
      <c r="I60" s="28">
        <v>10</v>
      </c>
      <c r="J60" s="72">
        <v>28</v>
      </c>
      <c r="K60" s="46">
        <f t="shared" si="5"/>
        <v>3.5714285714285712</v>
      </c>
      <c r="L60" s="46">
        <f t="shared" si="4"/>
        <v>60.714285714285708</v>
      </c>
      <c r="M60" s="46">
        <f t="shared" si="4"/>
        <v>35.714285714285715</v>
      </c>
      <c r="N60" s="67">
        <f t="shared" si="2"/>
        <v>100</v>
      </c>
      <c r="O60" s="45">
        <v>1.5</v>
      </c>
      <c r="P60" s="46">
        <v>43.8</v>
      </c>
      <c r="Q60" s="46">
        <v>13.1</v>
      </c>
      <c r="R60" s="47">
        <f t="shared" si="3"/>
        <v>58.4</v>
      </c>
      <c r="S60" s="28">
        <v>3</v>
      </c>
      <c r="T60" s="284"/>
      <c r="U60" s="293">
        <v>29765</v>
      </c>
      <c r="V60" s="37" t="s">
        <v>503</v>
      </c>
      <c r="W60" s="28" t="s">
        <v>17</v>
      </c>
      <c r="X60" s="28" t="s">
        <v>18</v>
      </c>
      <c r="Y60" s="38">
        <v>41.4</v>
      </c>
      <c r="Z60" s="28" t="s">
        <v>506</v>
      </c>
      <c r="AA60" s="28" t="s">
        <v>20</v>
      </c>
      <c r="AB60" s="28" t="s">
        <v>12</v>
      </c>
      <c r="AC60" s="28">
        <v>9.8000000000000007</v>
      </c>
      <c r="AD60" s="37" t="s">
        <v>504</v>
      </c>
      <c r="AE60" s="28" t="s">
        <v>96</v>
      </c>
      <c r="AF60" s="28" t="s">
        <v>12</v>
      </c>
      <c r="AG60" s="38">
        <v>3.3</v>
      </c>
      <c r="AH60" s="37" t="s">
        <v>505</v>
      </c>
      <c r="AI60" s="28" t="s">
        <v>87</v>
      </c>
      <c r="AJ60" s="28" t="s">
        <v>18</v>
      </c>
      <c r="AK60" s="28">
        <v>2.4</v>
      </c>
      <c r="AL60" s="37" t="s">
        <v>508</v>
      </c>
      <c r="AM60" s="28" t="s">
        <v>22</v>
      </c>
      <c r="AN60" s="28" t="s">
        <v>11</v>
      </c>
      <c r="AO60" s="38">
        <v>1.5</v>
      </c>
      <c r="AP60" s="37"/>
      <c r="AT60" s="90"/>
      <c r="AW60" s="38"/>
      <c r="BA60" s="39"/>
    </row>
    <row r="61" spans="1:53" s="28" customFormat="1" x14ac:dyDescent="0.15">
      <c r="A61" s="51">
        <v>1982</v>
      </c>
      <c r="B61" s="293"/>
      <c r="C61" s="394" t="s">
        <v>730</v>
      </c>
      <c r="D61" s="394"/>
      <c r="E61" s="28">
        <v>234</v>
      </c>
      <c r="G61" s="65">
        <v>1</v>
      </c>
      <c r="H61" s="28">
        <v>17</v>
      </c>
      <c r="I61" s="28">
        <v>10</v>
      </c>
      <c r="J61" s="72">
        <v>28</v>
      </c>
      <c r="K61" s="46">
        <f t="shared" si="5"/>
        <v>3.5714285714285712</v>
      </c>
      <c r="L61" s="46">
        <f t="shared" si="4"/>
        <v>60.714285714285708</v>
      </c>
      <c r="M61" s="46">
        <f t="shared" si="4"/>
        <v>35.714285714285715</v>
      </c>
      <c r="N61" s="67">
        <f t="shared" si="2"/>
        <v>100</v>
      </c>
      <c r="O61" s="45">
        <v>1.5</v>
      </c>
      <c r="P61" s="46">
        <v>43.8</v>
      </c>
      <c r="Q61" s="46">
        <v>13.1</v>
      </c>
      <c r="R61" s="47">
        <f t="shared" si="3"/>
        <v>58.4</v>
      </c>
      <c r="S61" s="28">
        <v>3</v>
      </c>
      <c r="T61" s="284"/>
      <c r="U61" s="293"/>
      <c r="V61" s="37" t="s">
        <v>503</v>
      </c>
      <c r="W61" s="28" t="s">
        <v>17</v>
      </c>
      <c r="X61" s="28" t="s">
        <v>18</v>
      </c>
      <c r="Y61" s="38">
        <v>41.4</v>
      </c>
      <c r="Z61" s="28" t="s">
        <v>506</v>
      </c>
      <c r="AA61" s="28" t="s">
        <v>20</v>
      </c>
      <c r="AB61" s="28" t="s">
        <v>12</v>
      </c>
      <c r="AC61" s="28">
        <v>9.8000000000000007</v>
      </c>
      <c r="AD61" s="37" t="s">
        <v>504</v>
      </c>
      <c r="AE61" s="28" t="s">
        <v>96</v>
      </c>
      <c r="AF61" s="28" t="s">
        <v>12</v>
      </c>
      <c r="AG61" s="38">
        <v>3.3</v>
      </c>
      <c r="AH61" s="37" t="s">
        <v>505</v>
      </c>
      <c r="AI61" s="28" t="s">
        <v>87</v>
      </c>
      <c r="AJ61" s="28" t="s">
        <v>18</v>
      </c>
      <c r="AK61" s="28">
        <v>2.4</v>
      </c>
      <c r="AL61" s="37" t="s">
        <v>508</v>
      </c>
      <c r="AM61" s="28" t="s">
        <v>22</v>
      </c>
      <c r="AN61" s="28" t="s">
        <v>11</v>
      </c>
      <c r="AO61" s="38">
        <v>1.5</v>
      </c>
      <c r="AP61" s="37"/>
      <c r="AT61" s="90"/>
      <c r="AW61" s="38"/>
      <c r="BA61" s="39"/>
    </row>
    <row r="62" spans="1:53" s="170" customFormat="1" x14ac:dyDescent="0.15">
      <c r="A62" s="215">
        <v>1982</v>
      </c>
      <c r="B62" s="281">
        <v>30186</v>
      </c>
      <c r="C62" s="395" t="s">
        <v>731</v>
      </c>
      <c r="D62" s="395"/>
      <c r="E62" s="170">
        <v>110</v>
      </c>
      <c r="F62" s="170">
        <v>4</v>
      </c>
      <c r="G62" s="232">
        <v>1</v>
      </c>
      <c r="H62" s="170">
        <v>17</v>
      </c>
      <c r="I62" s="170">
        <v>10</v>
      </c>
      <c r="J62" s="240">
        <v>28</v>
      </c>
      <c r="K62" s="213">
        <f t="shared" si="5"/>
        <v>3.5714285714285712</v>
      </c>
      <c r="L62" s="213">
        <f t="shared" si="4"/>
        <v>60.714285714285708</v>
      </c>
      <c r="M62" s="213">
        <f t="shared" si="4"/>
        <v>35.714285714285715</v>
      </c>
      <c r="N62" s="234">
        <f t="shared" si="2"/>
        <v>100</v>
      </c>
      <c r="O62" s="212">
        <v>1.5</v>
      </c>
      <c r="P62" s="213">
        <v>43.8</v>
      </c>
      <c r="Q62" s="213">
        <v>13.1</v>
      </c>
      <c r="R62" s="214">
        <f t="shared" si="3"/>
        <v>58.4</v>
      </c>
      <c r="S62" s="170">
        <v>3</v>
      </c>
      <c r="T62" s="283"/>
      <c r="U62" s="281">
        <v>30186</v>
      </c>
      <c r="V62" s="177" t="s">
        <v>503</v>
      </c>
      <c r="W62" s="170" t="s">
        <v>17</v>
      </c>
      <c r="X62" s="170" t="s">
        <v>18</v>
      </c>
      <c r="Y62" s="178">
        <v>41.4</v>
      </c>
      <c r="Z62" s="170" t="s">
        <v>506</v>
      </c>
      <c r="AA62" s="170" t="s">
        <v>20</v>
      </c>
      <c r="AB62" s="170" t="s">
        <v>12</v>
      </c>
      <c r="AC62" s="170">
        <v>9.8000000000000007</v>
      </c>
      <c r="AD62" s="177" t="s">
        <v>504</v>
      </c>
      <c r="AE62" s="170" t="s">
        <v>96</v>
      </c>
      <c r="AF62" s="170" t="s">
        <v>12</v>
      </c>
      <c r="AG62" s="178">
        <v>3.3</v>
      </c>
      <c r="AH62" s="177" t="s">
        <v>505</v>
      </c>
      <c r="AI62" s="170" t="s">
        <v>87</v>
      </c>
      <c r="AJ62" s="170" t="s">
        <v>18</v>
      </c>
      <c r="AK62" s="170">
        <v>2.4</v>
      </c>
      <c r="AL62" s="177" t="s">
        <v>508</v>
      </c>
      <c r="AM62" s="170" t="s">
        <v>22</v>
      </c>
      <c r="AN62" s="170" t="s">
        <v>11</v>
      </c>
      <c r="AO62" s="178">
        <v>1.5</v>
      </c>
      <c r="AP62" s="177"/>
      <c r="AT62" s="250"/>
      <c r="AW62" s="178"/>
      <c r="BA62" s="179"/>
    </row>
    <row r="63" spans="1:53" s="28" customFormat="1" x14ac:dyDescent="0.15">
      <c r="A63" s="51">
        <v>1982</v>
      </c>
      <c r="B63" s="293">
        <v>30296</v>
      </c>
      <c r="C63" s="394" t="s">
        <v>732</v>
      </c>
      <c r="D63" s="394"/>
      <c r="E63" s="28">
        <f>365-E62-E61</f>
        <v>21</v>
      </c>
      <c r="F63" s="28">
        <v>4</v>
      </c>
      <c r="G63" s="65">
        <v>2</v>
      </c>
      <c r="H63" s="28">
        <v>14</v>
      </c>
      <c r="I63" s="28">
        <v>12</v>
      </c>
      <c r="J63" s="72">
        <v>28</v>
      </c>
      <c r="K63" s="46">
        <f t="shared" si="5"/>
        <v>7.1428571428571423</v>
      </c>
      <c r="L63" s="46">
        <f t="shared" si="4"/>
        <v>50</v>
      </c>
      <c r="M63" s="46">
        <f t="shared" si="4"/>
        <v>42.857142857142854</v>
      </c>
      <c r="N63" s="67">
        <f t="shared" si="2"/>
        <v>100</v>
      </c>
      <c r="O63" s="45">
        <v>1.5</v>
      </c>
      <c r="P63" s="46">
        <v>41.4</v>
      </c>
      <c r="Q63" s="46">
        <v>13.1</v>
      </c>
      <c r="R63" s="47">
        <f t="shared" si="3"/>
        <v>56</v>
      </c>
      <c r="S63" s="28">
        <v>3</v>
      </c>
      <c r="T63" s="284"/>
      <c r="U63" s="293">
        <v>30296</v>
      </c>
      <c r="V63" s="37" t="s">
        <v>503</v>
      </c>
      <c r="W63" s="28" t="s">
        <v>17</v>
      </c>
      <c r="X63" s="28" t="s">
        <v>18</v>
      </c>
      <c r="Y63" s="38">
        <v>41.4</v>
      </c>
      <c r="Z63" s="28" t="s">
        <v>506</v>
      </c>
      <c r="AA63" s="28" t="s">
        <v>20</v>
      </c>
      <c r="AB63" s="28" t="s">
        <v>12</v>
      </c>
      <c r="AC63" s="28">
        <v>9.8000000000000007</v>
      </c>
      <c r="AD63" s="37" t="s">
        <v>504</v>
      </c>
      <c r="AE63" s="28" t="s">
        <v>96</v>
      </c>
      <c r="AF63" s="28" t="s">
        <v>12</v>
      </c>
      <c r="AG63" s="38">
        <v>3.3</v>
      </c>
      <c r="AH63" s="37" t="s">
        <v>508</v>
      </c>
      <c r="AI63" s="28" t="s">
        <v>22</v>
      </c>
      <c r="AJ63" s="28" t="s">
        <v>11</v>
      </c>
      <c r="AK63" s="28">
        <v>1.5</v>
      </c>
      <c r="AL63" s="37"/>
      <c r="AO63" s="38"/>
      <c r="AP63" s="37"/>
      <c r="AT63" s="90"/>
      <c r="AW63" s="38"/>
      <c r="BA63" s="39"/>
    </row>
    <row r="64" spans="1:53" s="28" customFormat="1" x14ac:dyDescent="0.15">
      <c r="A64" s="51">
        <v>1983</v>
      </c>
      <c r="B64" s="293"/>
      <c r="C64" s="394" t="s">
        <v>732</v>
      </c>
      <c r="D64" s="394"/>
      <c r="E64" s="28">
        <v>215</v>
      </c>
      <c r="G64" s="65">
        <v>2</v>
      </c>
      <c r="H64" s="28">
        <v>14</v>
      </c>
      <c r="I64" s="28">
        <v>12</v>
      </c>
      <c r="J64" s="72">
        <v>28</v>
      </c>
      <c r="K64" s="46">
        <f t="shared" si="5"/>
        <v>7.1428571428571423</v>
      </c>
      <c r="L64" s="46">
        <f t="shared" si="4"/>
        <v>50</v>
      </c>
      <c r="M64" s="46">
        <f t="shared" si="4"/>
        <v>42.857142857142854</v>
      </c>
      <c r="N64" s="67">
        <f t="shared" si="2"/>
        <v>100</v>
      </c>
      <c r="O64" s="45">
        <v>1.5</v>
      </c>
      <c r="P64" s="46">
        <v>41.4</v>
      </c>
      <c r="Q64" s="46">
        <v>13.1</v>
      </c>
      <c r="R64" s="47">
        <f t="shared" si="3"/>
        <v>56</v>
      </c>
      <c r="S64" s="28">
        <v>3</v>
      </c>
      <c r="T64" s="284"/>
      <c r="U64" s="293"/>
      <c r="V64" s="37" t="s">
        <v>503</v>
      </c>
      <c r="W64" s="28" t="s">
        <v>17</v>
      </c>
      <c r="X64" s="28" t="s">
        <v>18</v>
      </c>
      <c r="Y64" s="38">
        <v>41.4</v>
      </c>
      <c r="Z64" s="28" t="s">
        <v>506</v>
      </c>
      <c r="AA64" s="28" t="s">
        <v>20</v>
      </c>
      <c r="AB64" s="28" t="s">
        <v>12</v>
      </c>
      <c r="AC64" s="28">
        <v>9.8000000000000007</v>
      </c>
      <c r="AD64" s="37" t="s">
        <v>504</v>
      </c>
      <c r="AE64" s="28" t="s">
        <v>96</v>
      </c>
      <c r="AF64" s="28" t="s">
        <v>12</v>
      </c>
      <c r="AG64" s="38">
        <v>3.3</v>
      </c>
      <c r="AH64" s="37" t="s">
        <v>508</v>
      </c>
      <c r="AI64" s="28" t="s">
        <v>22</v>
      </c>
      <c r="AJ64" s="28" t="s">
        <v>11</v>
      </c>
      <c r="AK64" s="28">
        <v>1.5</v>
      </c>
      <c r="AL64" s="37"/>
      <c r="AO64" s="38"/>
      <c r="AP64" s="37"/>
      <c r="AT64" s="90"/>
      <c r="AW64" s="38"/>
      <c r="BA64" s="39"/>
    </row>
    <row r="65" spans="1:53" s="170" customFormat="1" x14ac:dyDescent="0.15">
      <c r="A65" s="215">
        <v>1983</v>
      </c>
      <c r="B65" s="281">
        <v>30532</v>
      </c>
      <c r="C65" s="395" t="s">
        <v>733</v>
      </c>
      <c r="D65" s="395"/>
      <c r="E65" s="170">
        <f>365-E64</f>
        <v>150</v>
      </c>
      <c r="F65" s="170">
        <v>1</v>
      </c>
      <c r="G65" s="232">
        <v>2</v>
      </c>
      <c r="H65" s="170">
        <v>19</v>
      </c>
      <c r="I65" s="170">
        <v>9</v>
      </c>
      <c r="J65" s="240">
        <v>30</v>
      </c>
      <c r="K65" s="213">
        <f t="shared" si="5"/>
        <v>6.666666666666667</v>
      </c>
      <c r="L65" s="213">
        <f t="shared" si="4"/>
        <v>63.333333333333329</v>
      </c>
      <c r="M65" s="213">
        <f t="shared" si="4"/>
        <v>30</v>
      </c>
      <c r="N65" s="234">
        <f t="shared" si="2"/>
        <v>100</v>
      </c>
      <c r="O65" s="212">
        <v>2.5</v>
      </c>
      <c r="P65" s="213">
        <v>40.299999999999997</v>
      </c>
      <c r="Q65" s="213">
        <v>15.3</v>
      </c>
      <c r="R65" s="214">
        <f t="shared" si="3"/>
        <v>58.099999999999994</v>
      </c>
      <c r="S65" s="170">
        <v>3</v>
      </c>
      <c r="T65" s="283">
        <v>30493</v>
      </c>
      <c r="U65" s="281">
        <v>30532</v>
      </c>
      <c r="V65" s="177" t="s">
        <v>503</v>
      </c>
      <c r="W65" s="170" t="s">
        <v>17</v>
      </c>
      <c r="X65" s="170" t="s">
        <v>18</v>
      </c>
      <c r="Y65" s="178">
        <v>35.700000000000003</v>
      </c>
      <c r="Z65" s="170" t="s">
        <v>506</v>
      </c>
      <c r="AA65" s="170" t="s">
        <v>20</v>
      </c>
      <c r="AB65" s="170" t="s">
        <v>12</v>
      </c>
      <c r="AC65" s="170">
        <v>11.6</v>
      </c>
      <c r="AD65" s="177" t="s">
        <v>504</v>
      </c>
      <c r="AE65" s="170" t="s">
        <v>96</v>
      </c>
      <c r="AF65" s="170" t="s">
        <v>12</v>
      </c>
      <c r="AG65" s="178">
        <v>3.7</v>
      </c>
      <c r="AH65" s="177" t="s">
        <v>508</v>
      </c>
      <c r="AI65" s="170" t="s">
        <v>22</v>
      </c>
      <c r="AJ65" s="170" t="s">
        <v>11</v>
      </c>
      <c r="AK65" s="170">
        <v>2.5</v>
      </c>
      <c r="AL65" s="177" t="s">
        <v>505</v>
      </c>
      <c r="AM65" s="170" t="s">
        <v>87</v>
      </c>
      <c r="AN65" s="170" t="s">
        <v>18</v>
      </c>
      <c r="AO65" s="178">
        <v>4.5999999999999996</v>
      </c>
      <c r="AP65" s="177"/>
      <c r="AT65" s="250"/>
      <c r="AW65" s="178"/>
      <c r="BA65" s="179"/>
    </row>
    <row r="66" spans="1:53" s="170" customFormat="1" x14ac:dyDescent="0.15">
      <c r="A66" s="215">
        <v>1984</v>
      </c>
      <c r="B66" s="281"/>
      <c r="C66" s="395" t="s">
        <v>733</v>
      </c>
      <c r="D66" s="395"/>
      <c r="E66" s="170">
        <v>0</v>
      </c>
      <c r="G66" s="232">
        <v>2</v>
      </c>
      <c r="H66" s="170">
        <v>19</v>
      </c>
      <c r="I66" s="170">
        <v>9</v>
      </c>
      <c r="J66" s="240">
        <v>30</v>
      </c>
      <c r="K66" s="213">
        <f t="shared" si="5"/>
        <v>6.666666666666667</v>
      </c>
      <c r="L66" s="213">
        <f t="shared" si="4"/>
        <v>63.333333333333329</v>
      </c>
      <c r="M66" s="213">
        <f t="shared" si="4"/>
        <v>30</v>
      </c>
      <c r="N66" s="234">
        <f t="shared" si="2"/>
        <v>100</v>
      </c>
      <c r="O66" s="212">
        <v>2.5</v>
      </c>
      <c r="P66" s="213">
        <v>40.299999999999997</v>
      </c>
      <c r="Q66" s="213">
        <v>15.3</v>
      </c>
      <c r="R66" s="214">
        <f t="shared" si="3"/>
        <v>58.099999999999994</v>
      </c>
      <c r="S66" s="170">
        <v>3</v>
      </c>
      <c r="T66" s="283"/>
      <c r="U66" s="281"/>
      <c r="V66" s="177" t="s">
        <v>503</v>
      </c>
      <c r="W66" s="170" t="s">
        <v>17</v>
      </c>
      <c r="X66" s="170" t="s">
        <v>18</v>
      </c>
      <c r="Y66" s="178">
        <v>35.700000000000003</v>
      </c>
      <c r="Z66" s="170" t="s">
        <v>506</v>
      </c>
      <c r="AA66" s="170" t="s">
        <v>20</v>
      </c>
      <c r="AB66" s="170" t="s">
        <v>12</v>
      </c>
      <c r="AC66" s="170">
        <v>11.6</v>
      </c>
      <c r="AD66" s="177" t="s">
        <v>504</v>
      </c>
      <c r="AE66" s="170" t="s">
        <v>96</v>
      </c>
      <c r="AF66" s="170" t="s">
        <v>12</v>
      </c>
      <c r="AG66" s="178">
        <v>3.7</v>
      </c>
      <c r="AH66" s="177" t="s">
        <v>508</v>
      </c>
      <c r="AI66" s="170" t="s">
        <v>22</v>
      </c>
      <c r="AJ66" s="170" t="s">
        <v>11</v>
      </c>
      <c r="AK66" s="170">
        <v>2.5</v>
      </c>
      <c r="AL66" s="177" t="s">
        <v>505</v>
      </c>
      <c r="AM66" s="170" t="s">
        <v>87</v>
      </c>
      <c r="AN66" s="170" t="s">
        <v>18</v>
      </c>
      <c r="AO66" s="178">
        <v>4.5999999999999996</v>
      </c>
      <c r="AP66" s="177"/>
      <c r="AT66" s="250"/>
      <c r="AW66" s="178"/>
      <c r="BA66" s="179"/>
    </row>
    <row r="67" spans="1:53" s="170" customFormat="1" x14ac:dyDescent="0.15">
      <c r="A67" s="215">
        <v>1984</v>
      </c>
      <c r="B67" s="281"/>
      <c r="C67" s="395" t="s">
        <v>733</v>
      </c>
      <c r="D67" s="395"/>
      <c r="E67" s="170">
        <v>366</v>
      </c>
      <c r="G67" s="232">
        <v>2</v>
      </c>
      <c r="H67" s="170">
        <v>19</v>
      </c>
      <c r="I67" s="170">
        <v>9</v>
      </c>
      <c r="J67" s="240">
        <v>30</v>
      </c>
      <c r="K67" s="213">
        <f t="shared" si="5"/>
        <v>6.666666666666667</v>
      </c>
      <c r="L67" s="213">
        <f t="shared" si="5"/>
        <v>63.333333333333329</v>
      </c>
      <c r="M67" s="213">
        <f t="shared" si="5"/>
        <v>30</v>
      </c>
      <c r="N67" s="234">
        <f t="shared" si="2"/>
        <v>100</v>
      </c>
      <c r="O67" s="212">
        <v>2.5</v>
      </c>
      <c r="P67" s="213">
        <v>40.299999999999997</v>
      </c>
      <c r="Q67" s="213">
        <v>15.3</v>
      </c>
      <c r="R67" s="214">
        <f t="shared" si="3"/>
        <v>58.099999999999994</v>
      </c>
      <c r="S67" s="170">
        <v>3</v>
      </c>
      <c r="T67" s="283"/>
      <c r="U67" s="281"/>
      <c r="V67" s="177" t="s">
        <v>503</v>
      </c>
      <c r="W67" s="170" t="s">
        <v>17</v>
      </c>
      <c r="X67" s="170" t="s">
        <v>18</v>
      </c>
      <c r="Y67" s="178">
        <v>35.700000000000003</v>
      </c>
      <c r="Z67" s="170" t="s">
        <v>506</v>
      </c>
      <c r="AA67" s="170" t="s">
        <v>20</v>
      </c>
      <c r="AB67" s="170" t="s">
        <v>12</v>
      </c>
      <c r="AC67" s="170">
        <v>11.6</v>
      </c>
      <c r="AD67" s="177" t="s">
        <v>504</v>
      </c>
      <c r="AE67" s="170" t="s">
        <v>96</v>
      </c>
      <c r="AF67" s="170" t="s">
        <v>12</v>
      </c>
      <c r="AG67" s="178">
        <v>3.7</v>
      </c>
      <c r="AH67" s="177" t="s">
        <v>508</v>
      </c>
      <c r="AI67" s="170" t="s">
        <v>22</v>
      </c>
      <c r="AJ67" s="170" t="s">
        <v>11</v>
      </c>
      <c r="AK67" s="170">
        <v>2.5</v>
      </c>
      <c r="AL67" s="177" t="s">
        <v>505</v>
      </c>
      <c r="AM67" s="170" t="s">
        <v>87</v>
      </c>
      <c r="AN67" s="170" t="s">
        <v>18</v>
      </c>
      <c r="AO67" s="178">
        <v>4.5999999999999996</v>
      </c>
      <c r="AP67" s="177"/>
      <c r="AT67" s="250"/>
      <c r="AW67" s="178"/>
      <c r="BA67" s="179"/>
    </row>
    <row r="68" spans="1:53" s="170" customFormat="1" x14ac:dyDescent="0.15">
      <c r="A68" s="215">
        <v>1985</v>
      </c>
      <c r="B68" s="281"/>
      <c r="C68" s="395" t="s">
        <v>733</v>
      </c>
      <c r="D68" s="395"/>
      <c r="E68" s="170">
        <v>0</v>
      </c>
      <c r="G68" s="232">
        <v>2</v>
      </c>
      <c r="H68" s="170">
        <v>19</v>
      </c>
      <c r="I68" s="170">
        <v>9</v>
      </c>
      <c r="J68" s="240">
        <v>30</v>
      </c>
      <c r="K68" s="213">
        <f t="shared" si="5"/>
        <v>6.666666666666667</v>
      </c>
      <c r="L68" s="213">
        <f t="shared" si="5"/>
        <v>63.333333333333329</v>
      </c>
      <c r="M68" s="213">
        <f t="shared" si="5"/>
        <v>30</v>
      </c>
      <c r="N68" s="234">
        <f t="shared" si="2"/>
        <v>100</v>
      </c>
      <c r="O68" s="212">
        <v>2.5</v>
      </c>
      <c r="P68" s="213">
        <v>40.299999999999997</v>
      </c>
      <c r="Q68" s="213">
        <v>15.3</v>
      </c>
      <c r="R68" s="214">
        <f t="shared" si="3"/>
        <v>58.099999999999994</v>
      </c>
      <c r="S68" s="170">
        <v>3</v>
      </c>
      <c r="T68" s="283"/>
      <c r="U68" s="281"/>
      <c r="V68" s="177" t="s">
        <v>503</v>
      </c>
      <c r="W68" s="170" t="s">
        <v>17</v>
      </c>
      <c r="X68" s="170" t="s">
        <v>18</v>
      </c>
      <c r="Y68" s="178">
        <v>35.700000000000003</v>
      </c>
      <c r="Z68" s="170" t="s">
        <v>506</v>
      </c>
      <c r="AA68" s="170" t="s">
        <v>20</v>
      </c>
      <c r="AB68" s="170" t="s">
        <v>12</v>
      </c>
      <c r="AC68" s="170">
        <v>11.6</v>
      </c>
      <c r="AD68" s="177" t="s">
        <v>504</v>
      </c>
      <c r="AE68" s="170" t="s">
        <v>96</v>
      </c>
      <c r="AF68" s="170" t="s">
        <v>12</v>
      </c>
      <c r="AG68" s="178">
        <v>3.7</v>
      </c>
      <c r="AH68" s="177" t="s">
        <v>508</v>
      </c>
      <c r="AI68" s="170" t="s">
        <v>22</v>
      </c>
      <c r="AJ68" s="170" t="s">
        <v>11</v>
      </c>
      <c r="AK68" s="170">
        <v>2.5</v>
      </c>
      <c r="AL68" s="177" t="s">
        <v>505</v>
      </c>
      <c r="AM68" s="170" t="s">
        <v>87</v>
      </c>
      <c r="AN68" s="170" t="s">
        <v>18</v>
      </c>
      <c r="AO68" s="178">
        <v>4.5999999999999996</v>
      </c>
      <c r="AP68" s="177"/>
      <c r="AT68" s="250"/>
      <c r="AW68" s="178"/>
      <c r="BA68" s="179"/>
    </row>
    <row r="69" spans="1:53" s="170" customFormat="1" x14ac:dyDescent="0.15">
      <c r="A69" s="215">
        <v>1985</v>
      </c>
      <c r="B69" s="281"/>
      <c r="C69" s="395" t="s">
        <v>733</v>
      </c>
      <c r="D69" s="395"/>
      <c r="E69" s="170">
        <v>365</v>
      </c>
      <c r="G69" s="232">
        <v>2</v>
      </c>
      <c r="H69" s="170">
        <v>19</v>
      </c>
      <c r="I69" s="170">
        <v>9</v>
      </c>
      <c r="J69" s="240">
        <v>30</v>
      </c>
      <c r="K69" s="213">
        <f t="shared" si="5"/>
        <v>6.666666666666667</v>
      </c>
      <c r="L69" s="213">
        <f t="shared" si="5"/>
        <v>63.333333333333329</v>
      </c>
      <c r="M69" s="213">
        <f t="shared" si="5"/>
        <v>30</v>
      </c>
      <c r="N69" s="234">
        <f t="shared" si="2"/>
        <v>100</v>
      </c>
      <c r="O69" s="212">
        <v>2.5</v>
      </c>
      <c r="P69" s="213">
        <v>40.299999999999997</v>
      </c>
      <c r="Q69" s="213">
        <v>15.3</v>
      </c>
      <c r="R69" s="214">
        <f t="shared" si="3"/>
        <v>58.099999999999994</v>
      </c>
      <c r="S69" s="170">
        <v>3</v>
      </c>
      <c r="T69" s="283"/>
      <c r="U69" s="281"/>
      <c r="V69" s="177" t="s">
        <v>503</v>
      </c>
      <c r="W69" s="170" t="s">
        <v>17</v>
      </c>
      <c r="X69" s="170" t="s">
        <v>18</v>
      </c>
      <c r="Y69" s="178">
        <v>35.700000000000003</v>
      </c>
      <c r="Z69" s="170" t="s">
        <v>506</v>
      </c>
      <c r="AA69" s="170" t="s">
        <v>20</v>
      </c>
      <c r="AB69" s="170" t="s">
        <v>12</v>
      </c>
      <c r="AC69" s="170">
        <v>11.6</v>
      </c>
      <c r="AD69" s="177" t="s">
        <v>504</v>
      </c>
      <c r="AE69" s="170" t="s">
        <v>96</v>
      </c>
      <c r="AF69" s="170" t="s">
        <v>12</v>
      </c>
      <c r="AG69" s="178">
        <v>3.7</v>
      </c>
      <c r="AH69" s="177" t="s">
        <v>508</v>
      </c>
      <c r="AI69" s="170" t="s">
        <v>22</v>
      </c>
      <c r="AJ69" s="170" t="s">
        <v>11</v>
      </c>
      <c r="AK69" s="170">
        <v>2.5</v>
      </c>
      <c r="AL69" s="177" t="s">
        <v>505</v>
      </c>
      <c r="AM69" s="170" t="s">
        <v>87</v>
      </c>
      <c r="AN69" s="170" t="s">
        <v>18</v>
      </c>
      <c r="AO69" s="178">
        <v>4.5999999999999996</v>
      </c>
      <c r="AP69" s="177"/>
      <c r="AT69" s="250"/>
      <c r="AW69" s="178"/>
      <c r="BA69" s="179"/>
    </row>
    <row r="70" spans="1:53" s="170" customFormat="1" x14ac:dyDescent="0.15">
      <c r="A70" s="215">
        <v>1986</v>
      </c>
      <c r="B70" s="281"/>
      <c r="C70" s="395" t="s">
        <v>733</v>
      </c>
      <c r="D70" s="395"/>
      <c r="E70" s="170">
        <v>213</v>
      </c>
      <c r="G70" s="232">
        <v>2</v>
      </c>
      <c r="H70" s="170">
        <v>19</v>
      </c>
      <c r="I70" s="170">
        <v>9</v>
      </c>
      <c r="J70" s="240">
        <v>30</v>
      </c>
      <c r="K70" s="213">
        <f t="shared" si="5"/>
        <v>6.666666666666667</v>
      </c>
      <c r="L70" s="213">
        <f t="shared" si="5"/>
        <v>63.333333333333329</v>
      </c>
      <c r="M70" s="213">
        <f t="shared" si="5"/>
        <v>30</v>
      </c>
      <c r="N70" s="234">
        <f t="shared" si="2"/>
        <v>100</v>
      </c>
      <c r="O70" s="212">
        <v>2.5</v>
      </c>
      <c r="P70" s="213">
        <v>40.299999999999997</v>
      </c>
      <c r="Q70" s="213">
        <v>15.3</v>
      </c>
      <c r="R70" s="214">
        <f t="shared" si="3"/>
        <v>58.099999999999994</v>
      </c>
      <c r="S70" s="170">
        <v>3</v>
      </c>
      <c r="T70" s="283"/>
      <c r="U70" s="281"/>
      <c r="V70" s="177" t="s">
        <v>503</v>
      </c>
      <c r="W70" s="170" t="s">
        <v>17</v>
      </c>
      <c r="X70" s="170" t="s">
        <v>18</v>
      </c>
      <c r="Y70" s="178">
        <v>35.700000000000003</v>
      </c>
      <c r="Z70" s="170" t="s">
        <v>506</v>
      </c>
      <c r="AA70" s="170" t="s">
        <v>20</v>
      </c>
      <c r="AB70" s="170" t="s">
        <v>12</v>
      </c>
      <c r="AC70" s="170">
        <v>11.6</v>
      </c>
      <c r="AD70" s="177" t="s">
        <v>504</v>
      </c>
      <c r="AE70" s="170" t="s">
        <v>96</v>
      </c>
      <c r="AF70" s="170" t="s">
        <v>12</v>
      </c>
      <c r="AG70" s="178">
        <v>3.7</v>
      </c>
      <c r="AH70" s="177" t="s">
        <v>508</v>
      </c>
      <c r="AI70" s="170" t="s">
        <v>22</v>
      </c>
      <c r="AJ70" s="170" t="s">
        <v>11</v>
      </c>
      <c r="AK70" s="170">
        <v>2.5</v>
      </c>
      <c r="AL70" s="177" t="s">
        <v>505</v>
      </c>
      <c r="AM70" s="170" t="s">
        <v>87</v>
      </c>
      <c r="AN70" s="170" t="s">
        <v>18</v>
      </c>
      <c r="AO70" s="178">
        <v>4.5999999999999996</v>
      </c>
      <c r="AP70" s="177"/>
      <c r="AT70" s="250"/>
      <c r="AW70" s="178"/>
      <c r="BA70" s="179"/>
    </row>
    <row r="71" spans="1:53" s="28" customFormat="1" x14ac:dyDescent="0.15">
      <c r="A71" s="51">
        <v>1986</v>
      </c>
      <c r="B71" s="293">
        <v>31626</v>
      </c>
      <c r="C71" s="394" t="s">
        <v>734</v>
      </c>
      <c r="D71" s="394"/>
      <c r="E71" s="28">
        <f>365-E70</f>
        <v>152</v>
      </c>
      <c r="F71" s="28">
        <v>5</v>
      </c>
      <c r="G71" s="65">
        <v>2</v>
      </c>
      <c r="H71" s="28">
        <v>19</v>
      </c>
      <c r="I71" s="28">
        <v>9</v>
      </c>
      <c r="J71" s="72">
        <v>30</v>
      </c>
      <c r="K71" s="46">
        <f t="shared" si="5"/>
        <v>6.666666666666667</v>
      </c>
      <c r="L71" s="46">
        <f t="shared" si="5"/>
        <v>63.333333333333329</v>
      </c>
      <c r="M71" s="46">
        <f t="shared" si="5"/>
        <v>30</v>
      </c>
      <c r="N71" s="67">
        <f t="shared" si="2"/>
        <v>100</v>
      </c>
      <c r="O71" s="45">
        <v>2.5</v>
      </c>
      <c r="P71" s="46">
        <v>40.299999999999997</v>
      </c>
      <c r="Q71" s="46">
        <v>15.3</v>
      </c>
      <c r="R71" s="47">
        <f t="shared" si="3"/>
        <v>58.099999999999994</v>
      </c>
      <c r="S71" s="28">
        <v>3</v>
      </c>
      <c r="T71" s="284"/>
      <c r="U71" s="293">
        <v>31626</v>
      </c>
      <c r="V71" s="37" t="s">
        <v>503</v>
      </c>
      <c r="W71" s="28" t="s">
        <v>17</v>
      </c>
      <c r="X71" s="28" t="s">
        <v>18</v>
      </c>
      <c r="Y71" s="38">
        <v>35.700000000000003</v>
      </c>
      <c r="Z71" s="28" t="s">
        <v>506</v>
      </c>
      <c r="AA71" s="28" t="s">
        <v>20</v>
      </c>
      <c r="AB71" s="28" t="s">
        <v>12</v>
      </c>
      <c r="AC71" s="28">
        <v>11.6</v>
      </c>
      <c r="AD71" s="37" t="s">
        <v>504</v>
      </c>
      <c r="AE71" s="28" t="s">
        <v>96</v>
      </c>
      <c r="AF71" s="28" t="s">
        <v>12</v>
      </c>
      <c r="AG71" s="38">
        <v>3.7</v>
      </c>
      <c r="AH71" s="37" t="s">
        <v>508</v>
      </c>
      <c r="AI71" s="28" t="s">
        <v>22</v>
      </c>
      <c r="AJ71" s="28" t="s">
        <v>11</v>
      </c>
      <c r="AK71" s="28">
        <v>2.5</v>
      </c>
      <c r="AL71" s="37" t="s">
        <v>505</v>
      </c>
      <c r="AM71" s="28" t="s">
        <v>87</v>
      </c>
      <c r="AN71" s="28" t="s">
        <v>18</v>
      </c>
      <c r="AO71" s="38">
        <v>4.5999999999999996</v>
      </c>
      <c r="AP71" s="37"/>
      <c r="AT71" s="90"/>
      <c r="AW71" s="38"/>
      <c r="BA71" s="39"/>
    </row>
    <row r="72" spans="1:53" s="28" customFormat="1" x14ac:dyDescent="0.15">
      <c r="A72" s="51">
        <v>1987</v>
      </c>
      <c r="B72" s="293"/>
      <c r="C72" s="394" t="s">
        <v>734</v>
      </c>
      <c r="D72" s="394"/>
      <c r="E72" s="28">
        <v>107</v>
      </c>
      <c r="G72" s="65">
        <v>2</v>
      </c>
      <c r="H72" s="28">
        <v>19</v>
      </c>
      <c r="I72" s="28">
        <v>9</v>
      </c>
      <c r="J72" s="72">
        <v>30</v>
      </c>
      <c r="K72" s="46">
        <f t="shared" si="5"/>
        <v>6.666666666666667</v>
      </c>
      <c r="L72" s="46">
        <f t="shared" si="5"/>
        <v>63.333333333333329</v>
      </c>
      <c r="M72" s="46">
        <f t="shared" si="5"/>
        <v>30</v>
      </c>
      <c r="N72" s="67">
        <f t="shared" si="2"/>
        <v>100</v>
      </c>
      <c r="O72" s="45">
        <v>2.5</v>
      </c>
      <c r="P72" s="46">
        <v>40.299999999999997</v>
      </c>
      <c r="Q72" s="46">
        <v>15.3</v>
      </c>
      <c r="R72" s="47">
        <f t="shared" si="3"/>
        <v>58.099999999999994</v>
      </c>
      <c r="S72" s="28">
        <v>3</v>
      </c>
      <c r="T72" s="284"/>
      <c r="U72" s="293"/>
      <c r="V72" s="37" t="s">
        <v>503</v>
      </c>
      <c r="W72" s="28" t="s">
        <v>17</v>
      </c>
      <c r="X72" s="28" t="s">
        <v>18</v>
      </c>
      <c r="Y72" s="38">
        <v>35.700000000000003</v>
      </c>
      <c r="Z72" s="28" t="s">
        <v>506</v>
      </c>
      <c r="AA72" s="28" t="s">
        <v>20</v>
      </c>
      <c r="AB72" s="28" t="s">
        <v>12</v>
      </c>
      <c r="AC72" s="28">
        <v>11.6</v>
      </c>
      <c r="AD72" s="37" t="s">
        <v>504</v>
      </c>
      <c r="AE72" s="28" t="s">
        <v>96</v>
      </c>
      <c r="AF72" s="28" t="s">
        <v>12</v>
      </c>
      <c r="AG72" s="38">
        <v>3.7</v>
      </c>
      <c r="AH72" s="37" t="s">
        <v>508</v>
      </c>
      <c r="AI72" s="28" t="s">
        <v>22</v>
      </c>
      <c r="AJ72" s="28" t="s">
        <v>11</v>
      </c>
      <c r="AK72" s="28">
        <v>2.5</v>
      </c>
      <c r="AL72" s="37" t="s">
        <v>505</v>
      </c>
      <c r="AM72" s="28" t="s">
        <v>87</v>
      </c>
      <c r="AN72" s="28" t="s">
        <v>18</v>
      </c>
      <c r="AO72" s="38">
        <v>4.5999999999999996</v>
      </c>
      <c r="AP72" s="37"/>
      <c r="AT72" s="90"/>
      <c r="AW72" s="38"/>
      <c r="BA72" s="39"/>
    </row>
    <row r="73" spans="1:53" s="170" customFormat="1" x14ac:dyDescent="0.15">
      <c r="A73" s="215">
        <v>1987</v>
      </c>
      <c r="B73" s="281">
        <v>31885</v>
      </c>
      <c r="C73" s="395" t="s">
        <v>735</v>
      </c>
      <c r="D73" s="395"/>
      <c r="E73" s="170">
        <v>102</v>
      </c>
      <c r="F73" s="170">
        <v>1</v>
      </c>
      <c r="G73" s="232"/>
      <c r="H73" s="170">
        <v>16</v>
      </c>
      <c r="J73" s="240">
        <v>25</v>
      </c>
      <c r="K73" s="213">
        <f t="shared" si="5"/>
        <v>0</v>
      </c>
      <c r="L73" s="213">
        <f t="shared" si="5"/>
        <v>64</v>
      </c>
      <c r="M73" s="213">
        <f t="shared" si="5"/>
        <v>0</v>
      </c>
      <c r="N73" s="234">
        <f t="shared" ref="N73:N133" si="6">K73+L73+M73</f>
        <v>64</v>
      </c>
      <c r="O73" s="212"/>
      <c r="P73" s="213">
        <v>35.700000000000003</v>
      </c>
      <c r="Q73" s="213"/>
      <c r="R73" s="214">
        <f t="shared" ref="R73:R136" si="7">O73+P73+Q73</f>
        <v>35.700000000000003</v>
      </c>
      <c r="S73" s="170">
        <v>4</v>
      </c>
      <c r="T73" s="283"/>
      <c r="U73" s="281">
        <v>31885</v>
      </c>
      <c r="V73" s="177" t="s">
        <v>503</v>
      </c>
      <c r="W73" s="170" t="s">
        <v>17</v>
      </c>
      <c r="X73" s="170" t="s">
        <v>18</v>
      </c>
      <c r="Y73" s="178">
        <v>35.700000000000003</v>
      </c>
      <c r="AD73" s="177"/>
      <c r="AG73" s="178"/>
      <c r="AL73" s="177"/>
      <c r="AO73" s="178"/>
      <c r="AP73" s="177"/>
      <c r="AT73" s="250"/>
      <c r="AW73" s="178"/>
      <c r="BA73" s="179"/>
    </row>
    <row r="74" spans="1:53" s="28" customFormat="1" x14ac:dyDescent="0.15">
      <c r="A74" s="51">
        <v>1987</v>
      </c>
      <c r="B74" s="293">
        <v>31987</v>
      </c>
      <c r="C74" s="394" t="s">
        <v>736</v>
      </c>
      <c r="D74" s="394"/>
      <c r="E74" s="28">
        <f>365-E73-E72</f>
        <v>156</v>
      </c>
      <c r="F74" s="28">
        <v>1</v>
      </c>
      <c r="G74" s="65">
        <v>1</v>
      </c>
      <c r="H74" s="28">
        <v>18</v>
      </c>
      <c r="I74" s="28">
        <v>11</v>
      </c>
      <c r="J74" s="72">
        <v>30</v>
      </c>
      <c r="K74" s="46">
        <f t="shared" si="5"/>
        <v>3.3333333333333335</v>
      </c>
      <c r="L74" s="46">
        <f t="shared" si="5"/>
        <v>60</v>
      </c>
      <c r="M74" s="46">
        <f t="shared" si="5"/>
        <v>36.666666666666664</v>
      </c>
      <c r="N74" s="67">
        <f t="shared" si="6"/>
        <v>100</v>
      </c>
      <c r="O74" s="45">
        <v>1.7</v>
      </c>
      <c r="P74" s="46">
        <v>40.4</v>
      </c>
      <c r="Q74" s="46">
        <v>17.600000000000001</v>
      </c>
      <c r="R74" s="47">
        <f t="shared" si="7"/>
        <v>59.7</v>
      </c>
      <c r="S74" s="28">
        <v>3</v>
      </c>
      <c r="T74" s="284">
        <v>31942</v>
      </c>
      <c r="U74" s="293">
        <v>31987</v>
      </c>
      <c r="V74" s="37" t="s">
        <v>503</v>
      </c>
      <c r="W74" s="28" t="s">
        <v>17</v>
      </c>
      <c r="X74" s="28" t="s">
        <v>18</v>
      </c>
      <c r="Y74" s="38">
        <v>37.1</v>
      </c>
      <c r="Z74" s="28" t="s">
        <v>506</v>
      </c>
      <c r="AA74" s="28" t="s">
        <v>20</v>
      </c>
      <c r="AB74" s="28" t="s">
        <v>12</v>
      </c>
      <c r="AC74" s="28">
        <v>14.9</v>
      </c>
      <c r="AD74" s="37" t="s">
        <v>505</v>
      </c>
      <c r="AE74" s="28" t="s">
        <v>87</v>
      </c>
      <c r="AF74" s="28" t="s">
        <v>18</v>
      </c>
      <c r="AG74" s="38">
        <v>3.3</v>
      </c>
      <c r="AH74" s="28" t="s">
        <v>504</v>
      </c>
      <c r="AI74" s="28" t="s">
        <v>96</v>
      </c>
      <c r="AJ74" s="28" t="s">
        <v>12</v>
      </c>
      <c r="AK74" s="28">
        <v>2.7</v>
      </c>
      <c r="AL74" s="37" t="s">
        <v>508</v>
      </c>
      <c r="AM74" s="28" t="s">
        <v>22</v>
      </c>
      <c r="AN74" s="28" t="s">
        <v>11</v>
      </c>
      <c r="AO74" s="38">
        <v>1.7</v>
      </c>
      <c r="AP74" s="37"/>
      <c r="AT74" s="90"/>
      <c r="AW74" s="38"/>
      <c r="BA74" s="39"/>
    </row>
    <row r="75" spans="1:53" s="28" customFormat="1" x14ac:dyDescent="0.15">
      <c r="A75" s="51">
        <v>1988</v>
      </c>
      <c r="B75" s="293"/>
      <c r="C75" s="394" t="s">
        <v>736</v>
      </c>
      <c r="D75" s="394"/>
      <c r="E75" s="28">
        <v>103</v>
      </c>
      <c r="G75" s="65">
        <v>1</v>
      </c>
      <c r="H75" s="28">
        <v>18</v>
      </c>
      <c r="I75" s="28">
        <v>11</v>
      </c>
      <c r="J75" s="72">
        <v>30</v>
      </c>
      <c r="K75" s="46">
        <f t="shared" si="5"/>
        <v>3.3333333333333335</v>
      </c>
      <c r="L75" s="46">
        <f t="shared" si="5"/>
        <v>60</v>
      </c>
      <c r="M75" s="46">
        <f t="shared" si="5"/>
        <v>36.666666666666664</v>
      </c>
      <c r="N75" s="67">
        <f t="shared" si="6"/>
        <v>100</v>
      </c>
      <c r="O75" s="45">
        <v>1.7</v>
      </c>
      <c r="P75" s="46">
        <v>40.4</v>
      </c>
      <c r="Q75" s="46">
        <v>17.600000000000001</v>
      </c>
      <c r="R75" s="47">
        <f t="shared" si="7"/>
        <v>59.7</v>
      </c>
      <c r="S75" s="28">
        <v>3</v>
      </c>
      <c r="T75" s="284"/>
      <c r="U75" s="293"/>
      <c r="V75" s="37" t="s">
        <v>503</v>
      </c>
      <c r="W75" s="28" t="s">
        <v>17</v>
      </c>
      <c r="X75" s="28" t="s">
        <v>18</v>
      </c>
      <c r="Y75" s="38">
        <v>37.1</v>
      </c>
      <c r="Z75" s="28" t="s">
        <v>506</v>
      </c>
      <c r="AA75" s="28" t="s">
        <v>20</v>
      </c>
      <c r="AB75" s="28" t="s">
        <v>12</v>
      </c>
      <c r="AC75" s="28">
        <v>14.9</v>
      </c>
      <c r="AD75" s="37" t="s">
        <v>505</v>
      </c>
      <c r="AE75" s="28" t="s">
        <v>87</v>
      </c>
      <c r="AF75" s="28" t="s">
        <v>18</v>
      </c>
      <c r="AG75" s="38">
        <v>3.3</v>
      </c>
      <c r="AH75" s="28" t="s">
        <v>504</v>
      </c>
      <c r="AI75" s="28" t="s">
        <v>96</v>
      </c>
      <c r="AJ75" s="28" t="s">
        <v>12</v>
      </c>
      <c r="AK75" s="28">
        <v>2.7</v>
      </c>
      <c r="AL75" s="37" t="s">
        <v>508</v>
      </c>
      <c r="AM75" s="28" t="s">
        <v>22</v>
      </c>
      <c r="AN75" s="28" t="s">
        <v>11</v>
      </c>
      <c r="AO75" s="38">
        <v>1.7</v>
      </c>
      <c r="AP75" s="37"/>
      <c r="AT75" s="90"/>
      <c r="AW75" s="38"/>
      <c r="BA75" s="39"/>
    </row>
    <row r="76" spans="1:53" s="170" customFormat="1" x14ac:dyDescent="0.15">
      <c r="A76" s="215">
        <v>1988</v>
      </c>
      <c r="B76" s="281">
        <v>32246</v>
      </c>
      <c r="C76" s="395" t="s">
        <v>737</v>
      </c>
      <c r="D76" s="395"/>
      <c r="E76" s="170">
        <f>366-E75</f>
        <v>263</v>
      </c>
      <c r="F76" s="170">
        <v>4</v>
      </c>
      <c r="G76" s="232">
        <v>1</v>
      </c>
      <c r="H76" s="170">
        <v>19</v>
      </c>
      <c r="I76" s="170">
        <v>10</v>
      </c>
      <c r="J76" s="240">
        <v>30</v>
      </c>
      <c r="K76" s="213">
        <f t="shared" si="5"/>
        <v>3.3333333333333335</v>
      </c>
      <c r="L76" s="213">
        <f t="shared" si="5"/>
        <v>63.333333333333329</v>
      </c>
      <c r="M76" s="213">
        <f t="shared" si="5"/>
        <v>33.333333333333329</v>
      </c>
      <c r="N76" s="234">
        <f t="shared" si="6"/>
        <v>99.999999999999986</v>
      </c>
      <c r="O76" s="212">
        <v>1.7</v>
      </c>
      <c r="P76" s="213">
        <v>40.4</v>
      </c>
      <c r="Q76" s="213">
        <v>17.600000000000001</v>
      </c>
      <c r="R76" s="214">
        <f t="shared" si="7"/>
        <v>59.7</v>
      </c>
      <c r="S76" s="170">
        <v>3</v>
      </c>
      <c r="T76" s="283"/>
      <c r="U76" s="281">
        <v>32246</v>
      </c>
      <c r="V76" s="177" t="s">
        <v>503</v>
      </c>
      <c r="W76" s="170" t="s">
        <v>17</v>
      </c>
      <c r="X76" s="170" t="s">
        <v>18</v>
      </c>
      <c r="Y76" s="178">
        <v>37.1</v>
      </c>
      <c r="Z76" s="170" t="s">
        <v>506</v>
      </c>
      <c r="AA76" s="170" t="s">
        <v>20</v>
      </c>
      <c r="AB76" s="170" t="s">
        <v>12</v>
      </c>
      <c r="AC76" s="170">
        <v>14.9</v>
      </c>
      <c r="AD76" s="177" t="s">
        <v>505</v>
      </c>
      <c r="AE76" s="170" t="s">
        <v>87</v>
      </c>
      <c r="AF76" s="170" t="s">
        <v>18</v>
      </c>
      <c r="AG76" s="178">
        <v>3.3</v>
      </c>
      <c r="AH76" s="170" t="s">
        <v>504</v>
      </c>
      <c r="AI76" s="170" t="s">
        <v>96</v>
      </c>
      <c r="AJ76" s="170" t="s">
        <v>12</v>
      </c>
      <c r="AK76" s="170">
        <v>2.7</v>
      </c>
      <c r="AL76" s="177" t="s">
        <v>508</v>
      </c>
      <c r="AM76" s="170" t="s">
        <v>22</v>
      </c>
      <c r="AN76" s="170" t="s">
        <v>11</v>
      </c>
      <c r="AO76" s="178">
        <v>1.7</v>
      </c>
      <c r="AP76" s="177"/>
      <c r="AT76" s="250"/>
      <c r="AW76" s="178"/>
      <c r="BA76" s="179"/>
    </row>
    <row r="77" spans="1:53" s="170" customFormat="1" x14ac:dyDescent="0.15">
      <c r="A77" s="215">
        <v>1989</v>
      </c>
      <c r="B77" s="281"/>
      <c r="C77" s="395" t="s">
        <v>737</v>
      </c>
      <c r="D77" s="395"/>
      <c r="E77" s="170">
        <v>203</v>
      </c>
      <c r="G77" s="232">
        <v>1</v>
      </c>
      <c r="H77" s="170">
        <v>19</v>
      </c>
      <c r="I77" s="170">
        <v>10</v>
      </c>
      <c r="J77" s="240">
        <v>30</v>
      </c>
      <c r="K77" s="213">
        <f t="shared" si="5"/>
        <v>3.3333333333333335</v>
      </c>
      <c r="L77" s="213">
        <f t="shared" si="5"/>
        <v>63.333333333333329</v>
      </c>
      <c r="M77" s="213">
        <f t="shared" si="5"/>
        <v>33.333333333333329</v>
      </c>
      <c r="N77" s="234">
        <f t="shared" si="6"/>
        <v>99.999999999999986</v>
      </c>
      <c r="O77" s="212">
        <v>1.7</v>
      </c>
      <c r="P77" s="213">
        <v>40.4</v>
      </c>
      <c r="Q77" s="213">
        <v>17.600000000000001</v>
      </c>
      <c r="R77" s="214">
        <f t="shared" si="7"/>
        <v>59.7</v>
      </c>
      <c r="S77" s="170">
        <v>3</v>
      </c>
      <c r="T77" s="283"/>
      <c r="U77" s="281"/>
      <c r="V77" s="177" t="s">
        <v>503</v>
      </c>
      <c r="W77" s="170" t="s">
        <v>17</v>
      </c>
      <c r="X77" s="170" t="s">
        <v>18</v>
      </c>
      <c r="Y77" s="178">
        <v>37.1</v>
      </c>
      <c r="Z77" s="170" t="s">
        <v>506</v>
      </c>
      <c r="AA77" s="170" t="s">
        <v>20</v>
      </c>
      <c r="AB77" s="170" t="s">
        <v>12</v>
      </c>
      <c r="AC77" s="170">
        <v>14.9</v>
      </c>
      <c r="AD77" s="177" t="s">
        <v>505</v>
      </c>
      <c r="AE77" s="170" t="s">
        <v>87</v>
      </c>
      <c r="AF77" s="170" t="s">
        <v>18</v>
      </c>
      <c r="AG77" s="178">
        <v>3.3</v>
      </c>
      <c r="AH77" s="170" t="s">
        <v>504</v>
      </c>
      <c r="AI77" s="170" t="s">
        <v>96</v>
      </c>
      <c r="AJ77" s="170" t="s">
        <v>12</v>
      </c>
      <c r="AK77" s="170">
        <v>2.7</v>
      </c>
      <c r="AL77" s="177" t="s">
        <v>508</v>
      </c>
      <c r="AM77" s="170" t="s">
        <v>22</v>
      </c>
      <c r="AN77" s="170" t="s">
        <v>11</v>
      </c>
      <c r="AO77" s="178">
        <v>1.7</v>
      </c>
      <c r="AP77" s="177"/>
      <c r="AT77" s="250"/>
      <c r="AW77" s="178"/>
      <c r="BA77" s="179"/>
    </row>
    <row r="78" spans="1:53" s="28" customFormat="1" x14ac:dyDescent="0.15">
      <c r="A78" s="51">
        <v>1989</v>
      </c>
      <c r="B78" s="293">
        <v>32712</v>
      </c>
      <c r="C78" s="394" t="s">
        <v>738</v>
      </c>
      <c r="D78" s="394"/>
      <c r="E78" s="28">
        <f>365-E77</f>
        <v>162</v>
      </c>
      <c r="F78" s="28">
        <v>5</v>
      </c>
      <c r="G78" s="65">
        <v>2</v>
      </c>
      <c r="H78" s="28">
        <v>18</v>
      </c>
      <c r="I78" s="28">
        <v>12</v>
      </c>
      <c r="J78" s="72">
        <v>32</v>
      </c>
      <c r="K78" s="46">
        <f t="shared" si="5"/>
        <v>6.25</v>
      </c>
      <c r="L78" s="46">
        <f t="shared" si="5"/>
        <v>56.25</v>
      </c>
      <c r="M78" s="46">
        <f t="shared" si="5"/>
        <v>37.5</v>
      </c>
      <c r="N78" s="67">
        <f t="shared" si="6"/>
        <v>100</v>
      </c>
      <c r="O78" s="45">
        <v>1.7</v>
      </c>
      <c r="P78" s="46">
        <v>40.4</v>
      </c>
      <c r="Q78" s="46">
        <v>17.600000000000001</v>
      </c>
      <c r="R78" s="47">
        <f t="shared" si="7"/>
        <v>59.7</v>
      </c>
      <c r="S78" s="28">
        <v>3</v>
      </c>
      <c r="T78" s="284"/>
      <c r="U78" s="293">
        <v>32712</v>
      </c>
      <c r="V78" s="37" t="s">
        <v>503</v>
      </c>
      <c r="W78" s="28" t="s">
        <v>17</v>
      </c>
      <c r="X78" s="28" t="s">
        <v>18</v>
      </c>
      <c r="Y78" s="38">
        <v>37.1</v>
      </c>
      <c r="Z78" s="28" t="s">
        <v>506</v>
      </c>
      <c r="AA78" s="28" t="s">
        <v>20</v>
      </c>
      <c r="AB78" s="28" t="s">
        <v>12</v>
      </c>
      <c r="AC78" s="28">
        <v>14.9</v>
      </c>
      <c r="AD78" s="37" t="s">
        <v>505</v>
      </c>
      <c r="AE78" s="28" t="s">
        <v>87</v>
      </c>
      <c r="AF78" s="28" t="s">
        <v>18</v>
      </c>
      <c r="AG78" s="38">
        <v>3.3</v>
      </c>
      <c r="AH78" s="28" t="s">
        <v>504</v>
      </c>
      <c r="AI78" s="28" t="s">
        <v>96</v>
      </c>
      <c r="AJ78" s="28" t="s">
        <v>12</v>
      </c>
      <c r="AK78" s="28">
        <v>2.7</v>
      </c>
      <c r="AL78" s="37" t="s">
        <v>508</v>
      </c>
      <c r="AM78" s="28" t="s">
        <v>22</v>
      </c>
      <c r="AN78" s="28" t="s">
        <v>11</v>
      </c>
      <c r="AO78" s="38">
        <v>1.7</v>
      </c>
      <c r="AP78" s="37"/>
      <c r="AT78" s="90"/>
      <c r="AW78" s="38"/>
      <c r="BA78" s="39"/>
    </row>
    <row r="79" spans="1:53" s="84" customFormat="1" x14ac:dyDescent="0.15">
      <c r="A79" s="84">
        <v>1990</v>
      </c>
      <c r="B79" s="310"/>
      <c r="C79" s="427" t="s">
        <v>738</v>
      </c>
      <c r="D79" s="427"/>
      <c r="E79" s="84">
        <v>0</v>
      </c>
      <c r="G79" s="94">
        <v>2</v>
      </c>
      <c r="H79" s="84">
        <v>17</v>
      </c>
      <c r="I79" s="84">
        <v>11</v>
      </c>
      <c r="J79" s="95">
        <v>30</v>
      </c>
      <c r="K79" s="96">
        <f t="shared" si="5"/>
        <v>6.666666666666667</v>
      </c>
      <c r="L79" s="96">
        <f t="shared" si="5"/>
        <v>56.666666666666664</v>
      </c>
      <c r="M79" s="96">
        <f t="shared" si="5"/>
        <v>36.666666666666664</v>
      </c>
      <c r="N79" s="97">
        <f t="shared" si="6"/>
        <v>100</v>
      </c>
      <c r="O79" s="98">
        <v>1.7</v>
      </c>
      <c r="P79" s="96">
        <v>40.4</v>
      </c>
      <c r="Q79" s="96">
        <v>17.600000000000001</v>
      </c>
      <c r="R79" s="99">
        <f t="shared" si="7"/>
        <v>59.7</v>
      </c>
      <c r="S79" s="84">
        <v>3</v>
      </c>
      <c r="T79" s="311"/>
      <c r="U79" s="310"/>
      <c r="V79" s="100" t="s">
        <v>503</v>
      </c>
      <c r="W79" s="84" t="s">
        <v>17</v>
      </c>
      <c r="X79" s="84" t="s">
        <v>18</v>
      </c>
      <c r="Y79" s="101">
        <v>37.1</v>
      </c>
      <c r="Z79" s="84" t="s">
        <v>506</v>
      </c>
      <c r="AA79" s="84" t="s">
        <v>20</v>
      </c>
      <c r="AB79" s="84" t="s">
        <v>12</v>
      </c>
      <c r="AC79" s="84">
        <v>14.9</v>
      </c>
      <c r="AD79" s="100" t="s">
        <v>505</v>
      </c>
      <c r="AE79" s="84" t="s">
        <v>87</v>
      </c>
      <c r="AF79" s="84" t="s">
        <v>18</v>
      </c>
      <c r="AG79" s="101">
        <v>3.3</v>
      </c>
      <c r="AH79" s="84" t="s">
        <v>504</v>
      </c>
      <c r="AI79" s="84" t="s">
        <v>96</v>
      </c>
      <c r="AJ79" s="84" t="s">
        <v>12</v>
      </c>
      <c r="AK79" s="84">
        <v>2.7</v>
      </c>
      <c r="AL79" s="100" t="s">
        <v>508</v>
      </c>
      <c r="AM79" s="84" t="s">
        <v>22</v>
      </c>
      <c r="AN79" s="84" t="s">
        <v>11</v>
      </c>
      <c r="AO79" s="101">
        <v>1.7</v>
      </c>
      <c r="AP79" s="100"/>
      <c r="AT79" s="111"/>
      <c r="AW79" s="101"/>
      <c r="BA79" s="102"/>
    </row>
    <row r="80" spans="1:53" s="28" customFormat="1" x14ac:dyDescent="0.15">
      <c r="A80" s="28">
        <v>1990</v>
      </c>
      <c r="B80" s="293"/>
      <c r="C80" s="394" t="s">
        <v>738</v>
      </c>
      <c r="D80" s="394"/>
      <c r="E80" s="28">
        <f>365-E79</f>
        <v>365</v>
      </c>
      <c r="G80" s="65">
        <v>2</v>
      </c>
      <c r="H80" s="28">
        <v>17</v>
      </c>
      <c r="I80" s="28">
        <v>11</v>
      </c>
      <c r="J80" s="72">
        <v>30</v>
      </c>
      <c r="K80" s="46">
        <f t="shared" si="5"/>
        <v>6.666666666666667</v>
      </c>
      <c r="L80" s="46">
        <f t="shared" si="5"/>
        <v>56.666666666666664</v>
      </c>
      <c r="M80" s="46">
        <f t="shared" si="5"/>
        <v>36.666666666666664</v>
      </c>
      <c r="N80" s="67">
        <f t="shared" si="6"/>
        <v>100</v>
      </c>
      <c r="O80" s="45">
        <v>1.7</v>
      </c>
      <c r="P80" s="46">
        <v>40.4</v>
      </c>
      <c r="Q80" s="46">
        <v>17.600000000000001</v>
      </c>
      <c r="R80" s="47">
        <f t="shared" si="7"/>
        <v>59.7</v>
      </c>
      <c r="S80" s="28">
        <v>3</v>
      </c>
      <c r="T80" s="284"/>
      <c r="U80" s="293"/>
      <c r="V80" s="37" t="s">
        <v>503</v>
      </c>
      <c r="W80" s="28" t="s">
        <v>17</v>
      </c>
      <c r="X80" s="28" t="s">
        <v>18</v>
      </c>
      <c r="Y80" s="38">
        <v>37.1</v>
      </c>
      <c r="Z80" s="28" t="s">
        <v>506</v>
      </c>
      <c r="AA80" s="28" t="s">
        <v>20</v>
      </c>
      <c r="AB80" s="28" t="s">
        <v>12</v>
      </c>
      <c r="AC80" s="28">
        <v>14.9</v>
      </c>
      <c r="AD80" s="37" t="s">
        <v>505</v>
      </c>
      <c r="AE80" s="28" t="s">
        <v>87</v>
      </c>
      <c r="AF80" s="28" t="s">
        <v>18</v>
      </c>
      <c r="AG80" s="38">
        <v>3.3</v>
      </c>
      <c r="AH80" s="28" t="s">
        <v>504</v>
      </c>
      <c r="AI80" s="28" t="s">
        <v>96</v>
      </c>
      <c r="AJ80" s="28" t="s">
        <v>12</v>
      </c>
      <c r="AK80" s="28">
        <v>2.7</v>
      </c>
      <c r="AL80" s="37" t="s">
        <v>508</v>
      </c>
      <c r="AM80" s="28" t="s">
        <v>22</v>
      </c>
      <c r="AN80" s="28" t="s">
        <v>11</v>
      </c>
      <c r="AO80" s="38">
        <v>1.7</v>
      </c>
      <c r="AP80" s="37"/>
      <c r="AT80" s="90"/>
      <c r="AW80" s="38"/>
      <c r="BA80" s="39"/>
    </row>
    <row r="81" spans="1:53" s="28" customFormat="1" x14ac:dyDescent="0.15">
      <c r="A81" s="28">
        <v>1991</v>
      </c>
      <c r="B81" s="293"/>
      <c r="C81" s="394" t="s">
        <v>738</v>
      </c>
      <c r="D81" s="394"/>
      <c r="E81" s="28">
        <v>108</v>
      </c>
      <c r="G81" s="65">
        <v>2</v>
      </c>
      <c r="H81" s="28">
        <v>17</v>
      </c>
      <c r="I81" s="28">
        <v>11</v>
      </c>
      <c r="J81" s="72">
        <v>30</v>
      </c>
      <c r="K81" s="46">
        <f t="shared" si="5"/>
        <v>6.666666666666667</v>
      </c>
      <c r="L81" s="46">
        <f t="shared" si="5"/>
        <v>56.666666666666664</v>
      </c>
      <c r="M81" s="46">
        <f t="shared" si="5"/>
        <v>36.666666666666664</v>
      </c>
      <c r="N81" s="67">
        <f t="shared" si="6"/>
        <v>100</v>
      </c>
      <c r="O81" s="45">
        <v>1.7</v>
      </c>
      <c r="P81" s="46">
        <v>40.4</v>
      </c>
      <c r="Q81" s="46">
        <v>17.600000000000001</v>
      </c>
      <c r="R81" s="47">
        <f t="shared" si="7"/>
        <v>59.7</v>
      </c>
      <c r="S81" s="28">
        <v>3</v>
      </c>
      <c r="T81" s="284"/>
      <c r="U81" s="293"/>
      <c r="V81" s="37" t="s">
        <v>503</v>
      </c>
      <c r="W81" s="28" t="s">
        <v>17</v>
      </c>
      <c r="X81" s="28" t="s">
        <v>18</v>
      </c>
      <c r="Y81" s="38">
        <v>37.1</v>
      </c>
      <c r="Z81" s="28" t="s">
        <v>506</v>
      </c>
      <c r="AA81" s="28" t="s">
        <v>20</v>
      </c>
      <c r="AB81" s="28" t="s">
        <v>12</v>
      </c>
      <c r="AC81" s="28">
        <v>14.9</v>
      </c>
      <c r="AD81" s="37" t="s">
        <v>505</v>
      </c>
      <c r="AE81" s="28" t="s">
        <v>87</v>
      </c>
      <c r="AF81" s="28" t="s">
        <v>18</v>
      </c>
      <c r="AG81" s="38">
        <v>3.3</v>
      </c>
      <c r="AH81" s="28" t="s">
        <v>504</v>
      </c>
      <c r="AI81" s="28" t="s">
        <v>96</v>
      </c>
      <c r="AJ81" s="28" t="s">
        <v>12</v>
      </c>
      <c r="AK81" s="28">
        <v>2.7</v>
      </c>
      <c r="AL81" s="37" t="s">
        <v>508</v>
      </c>
      <c r="AM81" s="28" t="s">
        <v>22</v>
      </c>
      <c r="AN81" s="28" t="s">
        <v>11</v>
      </c>
      <c r="AO81" s="38">
        <v>1.7</v>
      </c>
      <c r="AP81" s="37"/>
      <c r="AT81" s="90"/>
      <c r="AW81" s="38"/>
      <c r="BA81" s="39"/>
    </row>
    <row r="82" spans="1:53" s="170" customFormat="1" x14ac:dyDescent="0.15">
      <c r="A82" s="170">
        <v>1991</v>
      </c>
      <c r="B82" s="281">
        <v>33347</v>
      </c>
      <c r="C82" s="395" t="s">
        <v>290</v>
      </c>
      <c r="D82" s="395"/>
      <c r="E82" s="170">
        <f>365-E81</f>
        <v>257</v>
      </c>
      <c r="F82" s="170">
        <v>4</v>
      </c>
      <c r="G82" s="232">
        <v>2</v>
      </c>
      <c r="H82" s="170">
        <v>16</v>
      </c>
      <c r="I82" s="170">
        <v>12</v>
      </c>
      <c r="J82" s="240">
        <v>30</v>
      </c>
      <c r="K82" s="213">
        <f t="shared" si="5"/>
        <v>6.666666666666667</v>
      </c>
      <c r="L82" s="213">
        <f t="shared" si="5"/>
        <v>53.333333333333336</v>
      </c>
      <c r="M82" s="213">
        <f t="shared" si="5"/>
        <v>40</v>
      </c>
      <c r="N82" s="234">
        <f t="shared" si="6"/>
        <v>100</v>
      </c>
      <c r="O82" s="212">
        <v>1.7</v>
      </c>
      <c r="P82" s="213">
        <v>37.1</v>
      </c>
      <c r="Q82" s="213">
        <v>17.600000000000001</v>
      </c>
      <c r="R82" s="214">
        <f t="shared" si="7"/>
        <v>56.400000000000006</v>
      </c>
      <c r="S82" s="170">
        <v>3</v>
      </c>
      <c r="T82" s="283"/>
      <c r="U82" s="281">
        <v>33347</v>
      </c>
      <c r="V82" s="177" t="s">
        <v>503</v>
      </c>
      <c r="W82" s="170" t="s">
        <v>17</v>
      </c>
      <c r="X82" s="170" t="s">
        <v>18</v>
      </c>
      <c r="Y82" s="178">
        <v>37.1</v>
      </c>
      <c r="Z82" s="170" t="s">
        <v>506</v>
      </c>
      <c r="AA82" s="170" t="s">
        <v>20</v>
      </c>
      <c r="AB82" s="170" t="s">
        <v>12</v>
      </c>
      <c r="AC82" s="170">
        <v>14.9</v>
      </c>
      <c r="AD82" s="177" t="s">
        <v>504</v>
      </c>
      <c r="AE82" s="170" t="s">
        <v>96</v>
      </c>
      <c r="AF82" s="170" t="s">
        <v>12</v>
      </c>
      <c r="AG82" s="178">
        <v>2.7</v>
      </c>
      <c r="AH82" s="177" t="s">
        <v>508</v>
      </c>
      <c r="AI82" s="170" t="s">
        <v>22</v>
      </c>
      <c r="AJ82" s="170" t="s">
        <v>11</v>
      </c>
      <c r="AK82" s="170">
        <v>1.7</v>
      </c>
      <c r="AL82" s="177"/>
      <c r="AO82" s="178"/>
      <c r="AP82" s="177"/>
      <c r="AT82" s="250"/>
      <c r="AW82" s="178"/>
      <c r="BA82" s="179"/>
    </row>
    <row r="83" spans="1:53" s="170" customFormat="1" x14ac:dyDescent="0.15">
      <c r="A83" s="170">
        <v>1992</v>
      </c>
      <c r="B83" s="281"/>
      <c r="C83" s="395" t="s">
        <v>290</v>
      </c>
      <c r="D83" s="395"/>
      <c r="E83" s="170">
        <v>8</v>
      </c>
      <c r="G83" s="232">
        <v>2</v>
      </c>
      <c r="H83" s="170">
        <v>16</v>
      </c>
      <c r="I83" s="170">
        <v>12</v>
      </c>
      <c r="J83" s="240">
        <v>30</v>
      </c>
      <c r="K83" s="213">
        <f t="shared" si="5"/>
        <v>6.666666666666667</v>
      </c>
      <c r="L83" s="213">
        <f t="shared" si="5"/>
        <v>53.333333333333336</v>
      </c>
      <c r="M83" s="213">
        <f t="shared" si="5"/>
        <v>40</v>
      </c>
      <c r="N83" s="234">
        <f t="shared" si="6"/>
        <v>100</v>
      </c>
      <c r="O83" s="212">
        <v>1.7</v>
      </c>
      <c r="P83" s="213">
        <v>37.1</v>
      </c>
      <c r="Q83" s="213">
        <v>17.600000000000001</v>
      </c>
      <c r="R83" s="214">
        <f t="shared" si="7"/>
        <v>56.400000000000006</v>
      </c>
      <c r="S83" s="170">
        <v>3</v>
      </c>
      <c r="T83" s="283"/>
      <c r="U83" s="281"/>
      <c r="V83" s="177" t="s">
        <v>503</v>
      </c>
      <c r="W83" s="170" t="s">
        <v>17</v>
      </c>
      <c r="X83" s="170" t="s">
        <v>18</v>
      </c>
      <c r="Y83" s="178">
        <v>37.1</v>
      </c>
      <c r="Z83" s="170" t="s">
        <v>506</v>
      </c>
      <c r="AA83" s="170" t="s">
        <v>20</v>
      </c>
      <c r="AB83" s="170" t="s">
        <v>12</v>
      </c>
      <c r="AC83" s="170">
        <v>14.9</v>
      </c>
      <c r="AD83" s="177" t="s">
        <v>504</v>
      </c>
      <c r="AE83" s="170" t="s">
        <v>96</v>
      </c>
      <c r="AF83" s="170" t="s">
        <v>12</v>
      </c>
      <c r="AG83" s="178">
        <v>2.7</v>
      </c>
      <c r="AH83" s="177" t="s">
        <v>508</v>
      </c>
      <c r="AI83" s="170" t="s">
        <v>22</v>
      </c>
      <c r="AJ83" s="170" t="s">
        <v>11</v>
      </c>
      <c r="AK83" s="170">
        <v>1.7</v>
      </c>
      <c r="AL83" s="177"/>
      <c r="AO83" s="178"/>
      <c r="AP83" s="177"/>
      <c r="AT83" s="250"/>
      <c r="AW83" s="178"/>
      <c r="BA83" s="179"/>
    </row>
    <row r="84" spans="1:53" s="28" customFormat="1" x14ac:dyDescent="0.15">
      <c r="A84" s="28">
        <v>1992</v>
      </c>
      <c r="B84" s="293">
        <v>33612</v>
      </c>
      <c r="C84" s="394" t="s">
        <v>739</v>
      </c>
      <c r="D84" s="394"/>
      <c r="E84" s="28">
        <v>171</v>
      </c>
      <c r="F84" s="28">
        <v>2</v>
      </c>
      <c r="G84" s="65">
        <v>2</v>
      </c>
      <c r="H84" s="28">
        <v>16</v>
      </c>
      <c r="I84" s="28">
        <v>12</v>
      </c>
      <c r="J84" s="72">
        <v>30</v>
      </c>
      <c r="K84" s="46">
        <f>G84/$J84*100</f>
        <v>6.666666666666667</v>
      </c>
      <c r="L84" s="46">
        <f>H84/$J84*100</f>
        <v>53.333333333333336</v>
      </c>
      <c r="M84" s="46">
        <f>I84/$J84*100</f>
        <v>40</v>
      </c>
      <c r="N84" s="67">
        <f>K84+L84+M84</f>
        <v>100</v>
      </c>
      <c r="O84" s="45">
        <v>1.7</v>
      </c>
      <c r="P84" s="46">
        <v>37.1</v>
      </c>
      <c r="Q84" s="46">
        <v>17.600000000000001</v>
      </c>
      <c r="R84" s="47">
        <f>O84+P84+Q84</f>
        <v>56.400000000000006</v>
      </c>
      <c r="S84" s="28">
        <v>6</v>
      </c>
      <c r="T84" s="284"/>
      <c r="U84" s="293">
        <v>33612</v>
      </c>
      <c r="V84" s="37" t="s">
        <v>503</v>
      </c>
      <c r="W84" s="28" t="s">
        <v>17</v>
      </c>
      <c r="X84" s="28" t="s">
        <v>18</v>
      </c>
      <c r="Y84" s="38">
        <v>37.1</v>
      </c>
      <c r="Z84" s="28" t="s">
        <v>506</v>
      </c>
      <c r="AA84" s="28" t="s">
        <v>20</v>
      </c>
      <c r="AB84" s="28" t="s">
        <v>12</v>
      </c>
      <c r="AC84" s="28">
        <v>14.9</v>
      </c>
      <c r="AD84" s="37" t="s">
        <v>504</v>
      </c>
      <c r="AE84" s="28" t="s">
        <v>96</v>
      </c>
      <c r="AF84" s="28" t="s">
        <v>12</v>
      </c>
      <c r="AG84" s="38">
        <v>2.7</v>
      </c>
      <c r="AH84" s="37" t="s">
        <v>508</v>
      </c>
      <c r="AI84" s="28" t="s">
        <v>22</v>
      </c>
      <c r="AJ84" s="28" t="s">
        <v>11</v>
      </c>
      <c r="AK84" s="28">
        <v>1.7</v>
      </c>
      <c r="AL84" s="37"/>
      <c r="AO84" s="38"/>
      <c r="AP84" s="37"/>
      <c r="AT84" s="90"/>
      <c r="AW84" s="38"/>
      <c r="BA84" s="39"/>
    </row>
    <row r="85" spans="1:53" s="170" customFormat="1" x14ac:dyDescent="0.15">
      <c r="A85" s="170">
        <v>1992</v>
      </c>
      <c r="B85" s="281">
        <v>33783</v>
      </c>
      <c r="C85" s="395" t="s">
        <v>291</v>
      </c>
      <c r="D85" s="395"/>
      <c r="E85" s="170">
        <f>366-E83-E84</f>
        <v>187</v>
      </c>
      <c r="F85" s="170">
        <v>1</v>
      </c>
      <c r="G85" s="232">
        <v>2</v>
      </c>
      <c r="H85" s="170">
        <v>9</v>
      </c>
      <c r="I85" s="170">
        <v>9</v>
      </c>
      <c r="J85" s="240">
        <v>26</v>
      </c>
      <c r="K85" s="213">
        <f t="shared" si="5"/>
        <v>7.6923076923076925</v>
      </c>
      <c r="L85" s="213">
        <f t="shared" si="5"/>
        <v>34.615384615384613</v>
      </c>
      <c r="M85" s="213">
        <f t="shared" si="5"/>
        <v>34.615384615384613</v>
      </c>
      <c r="N85" s="234">
        <f t="shared" si="6"/>
        <v>76.92307692307692</v>
      </c>
      <c r="O85" s="212">
        <v>2.7</v>
      </c>
      <c r="P85" s="213">
        <v>32.700000000000003</v>
      </c>
      <c r="Q85" s="213">
        <v>17.100000000000001</v>
      </c>
      <c r="R85" s="214">
        <f t="shared" si="7"/>
        <v>52.500000000000007</v>
      </c>
      <c r="S85" s="170">
        <v>2</v>
      </c>
      <c r="T85" s="283">
        <v>33699</v>
      </c>
      <c r="U85" s="281">
        <v>33783</v>
      </c>
      <c r="V85" s="177" t="s">
        <v>503</v>
      </c>
      <c r="W85" s="170" t="s">
        <v>17</v>
      </c>
      <c r="X85" s="170" t="s">
        <v>18</v>
      </c>
      <c r="Y85" s="178">
        <v>32.700000000000003</v>
      </c>
      <c r="Z85" s="170" t="s">
        <v>506</v>
      </c>
      <c r="AA85" s="170" t="s">
        <v>20</v>
      </c>
      <c r="AB85" s="170" t="s">
        <v>12</v>
      </c>
      <c r="AC85" s="170">
        <v>14.6</v>
      </c>
      <c r="AD85" s="177" t="s">
        <v>504</v>
      </c>
      <c r="AE85" s="170" t="s">
        <v>96</v>
      </c>
      <c r="AF85" s="170" t="s">
        <v>12</v>
      </c>
      <c r="AG85" s="178">
        <v>2.5</v>
      </c>
      <c r="AH85" s="177" t="s">
        <v>508</v>
      </c>
      <c r="AI85" s="170" t="s">
        <v>22</v>
      </c>
      <c r="AJ85" s="170" t="s">
        <v>11</v>
      </c>
      <c r="AK85" s="170">
        <v>2.7</v>
      </c>
      <c r="AL85" s="177"/>
      <c r="AO85" s="178"/>
      <c r="AP85" s="177"/>
      <c r="AT85" s="250"/>
      <c r="AW85" s="178"/>
      <c r="BA85" s="179"/>
    </row>
    <row r="86" spans="1:53" s="170" customFormat="1" x14ac:dyDescent="0.15">
      <c r="A86" s="170">
        <v>1993</v>
      </c>
      <c r="B86" s="281"/>
      <c r="C86" s="395" t="s">
        <v>291</v>
      </c>
      <c r="D86" s="395"/>
      <c r="E86" s="170">
        <v>126</v>
      </c>
      <c r="G86" s="232">
        <v>2</v>
      </c>
      <c r="H86" s="170">
        <v>9</v>
      </c>
      <c r="I86" s="170">
        <v>9</v>
      </c>
      <c r="J86" s="240">
        <v>26</v>
      </c>
      <c r="K86" s="213">
        <f t="shared" si="5"/>
        <v>7.6923076923076925</v>
      </c>
      <c r="L86" s="213">
        <f t="shared" si="5"/>
        <v>34.615384615384613</v>
      </c>
      <c r="M86" s="213">
        <f t="shared" si="5"/>
        <v>34.615384615384613</v>
      </c>
      <c r="N86" s="234">
        <f t="shared" si="6"/>
        <v>76.92307692307692</v>
      </c>
      <c r="O86" s="212">
        <v>2.7</v>
      </c>
      <c r="P86" s="213">
        <v>32.700000000000003</v>
      </c>
      <c r="Q86" s="213">
        <v>17.100000000000001</v>
      </c>
      <c r="R86" s="214">
        <f t="shared" si="7"/>
        <v>52.500000000000007</v>
      </c>
      <c r="S86" s="170">
        <v>2</v>
      </c>
      <c r="T86" s="283"/>
      <c r="U86" s="281"/>
      <c r="V86" s="177" t="s">
        <v>503</v>
      </c>
      <c r="W86" s="170" t="s">
        <v>17</v>
      </c>
      <c r="X86" s="170" t="s">
        <v>18</v>
      </c>
      <c r="Y86" s="178">
        <v>32.700000000000003</v>
      </c>
      <c r="Z86" s="170" t="s">
        <v>506</v>
      </c>
      <c r="AA86" s="170" t="s">
        <v>20</v>
      </c>
      <c r="AB86" s="170" t="s">
        <v>12</v>
      </c>
      <c r="AC86" s="170">
        <v>14.6</v>
      </c>
      <c r="AD86" s="177" t="s">
        <v>504</v>
      </c>
      <c r="AE86" s="170" t="s">
        <v>96</v>
      </c>
      <c r="AF86" s="170" t="s">
        <v>12</v>
      </c>
      <c r="AG86" s="178">
        <v>2.5</v>
      </c>
      <c r="AH86" s="177" t="s">
        <v>508</v>
      </c>
      <c r="AI86" s="170" t="s">
        <v>22</v>
      </c>
      <c r="AJ86" s="170" t="s">
        <v>11</v>
      </c>
      <c r="AK86" s="170">
        <v>2.7</v>
      </c>
      <c r="AL86" s="177"/>
      <c r="AO86" s="178"/>
      <c r="AP86" s="177"/>
      <c r="AT86" s="250"/>
      <c r="AW86" s="178"/>
      <c r="BA86" s="179"/>
    </row>
    <row r="87" spans="1:53" s="28" customFormat="1" x14ac:dyDescent="0.15">
      <c r="A87" s="28">
        <v>1993</v>
      </c>
      <c r="B87" s="293">
        <v>34096</v>
      </c>
      <c r="C87" s="394" t="s">
        <v>292</v>
      </c>
      <c r="D87" s="394"/>
      <c r="E87" s="28">
        <f>365-E86</f>
        <v>239</v>
      </c>
      <c r="F87" s="28">
        <v>4</v>
      </c>
      <c r="G87" s="65">
        <v>1</v>
      </c>
      <c r="H87" s="28">
        <v>7</v>
      </c>
      <c r="I87" s="28">
        <v>6</v>
      </c>
      <c r="J87" s="72">
        <v>25</v>
      </c>
      <c r="K87" s="46">
        <f t="shared" si="5"/>
        <v>4</v>
      </c>
      <c r="L87" s="46">
        <f t="shared" si="5"/>
        <v>28.000000000000004</v>
      </c>
      <c r="M87" s="46">
        <f t="shared" si="5"/>
        <v>24</v>
      </c>
      <c r="N87" s="67">
        <f t="shared" si="6"/>
        <v>56</v>
      </c>
      <c r="O87" s="45">
        <v>2.7</v>
      </c>
      <c r="P87" s="46">
        <v>32.700000000000003</v>
      </c>
      <c r="Q87" s="46">
        <v>17.100000000000001</v>
      </c>
      <c r="R87" s="47">
        <f t="shared" si="7"/>
        <v>52.500000000000007</v>
      </c>
      <c r="S87" s="28">
        <v>7</v>
      </c>
      <c r="T87" s="284"/>
      <c r="U87" s="293">
        <v>34096</v>
      </c>
      <c r="V87" s="88" t="s">
        <v>778</v>
      </c>
      <c r="Z87" s="37" t="s">
        <v>503</v>
      </c>
      <c r="AA87" s="28" t="s">
        <v>17</v>
      </c>
      <c r="AB87" s="28" t="s">
        <v>18</v>
      </c>
      <c r="AC87" s="38">
        <v>32.700000000000003</v>
      </c>
      <c r="AD87" s="28" t="s">
        <v>506</v>
      </c>
      <c r="AE87" s="28" t="s">
        <v>20</v>
      </c>
      <c r="AF87" s="28" t="s">
        <v>12</v>
      </c>
      <c r="AG87" s="28">
        <v>14.6</v>
      </c>
      <c r="AH87" s="37" t="s">
        <v>504</v>
      </c>
      <c r="AI87" s="28" t="s">
        <v>96</v>
      </c>
      <c r="AJ87" s="28" t="s">
        <v>12</v>
      </c>
      <c r="AK87" s="38">
        <v>2.5</v>
      </c>
      <c r="AL87" s="37" t="s">
        <v>508</v>
      </c>
      <c r="AM87" s="28" t="s">
        <v>22</v>
      </c>
      <c r="AN87" s="28" t="s">
        <v>11</v>
      </c>
      <c r="AO87" s="38">
        <v>2.7</v>
      </c>
      <c r="AP87" s="37"/>
      <c r="AT87" s="90"/>
      <c r="AW87" s="38"/>
      <c r="BA87" s="39"/>
    </row>
    <row r="88" spans="1:53" s="28" customFormat="1" x14ac:dyDescent="0.15">
      <c r="A88" s="28">
        <v>1994</v>
      </c>
      <c r="B88" s="293"/>
      <c r="C88" s="394" t="s">
        <v>292</v>
      </c>
      <c r="D88" s="394"/>
      <c r="E88" s="28">
        <v>129</v>
      </c>
      <c r="G88" s="65">
        <v>1</v>
      </c>
      <c r="H88" s="28">
        <v>7</v>
      </c>
      <c r="I88" s="28">
        <v>6</v>
      </c>
      <c r="J88" s="72">
        <v>25</v>
      </c>
      <c r="K88" s="46">
        <f t="shared" si="5"/>
        <v>4</v>
      </c>
      <c r="L88" s="46">
        <f t="shared" si="5"/>
        <v>28.000000000000004</v>
      </c>
      <c r="M88" s="46">
        <f t="shared" si="5"/>
        <v>24</v>
      </c>
      <c r="N88" s="67">
        <f t="shared" si="6"/>
        <v>56</v>
      </c>
      <c r="O88" s="45">
        <v>2.7</v>
      </c>
      <c r="P88" s="46">
        <v>32.700000000000003</v>
      </c>
      <c r="Q88" s="46">
        <v>17.100000000000001</v>
      </c>
      <c r="R88" s="47">
        <f t="shared" si="7"/>
        <v>52.500000000000007</v>
      </c>
      <c r="S88" s="28">
        <v>7</v>
      </c>
      <c r="T88" s="284"/>
      <c r="U88" s="293"/>
      <c r="V88" s="88" t="s">
        <v>778</v>
      </c>
      <c r="Z88" s="37" t="s">
        <v>503</v>
      </c>
      <c r="AA88" s="28" t="s">
        <v>17</v>
      </c>
      <c r="AB88" s="28" t="s">
        <v>18</v>
      </c>
      <c r="AC88" s="38">
        <v>32.700000000000003</v>
      </c>
      <c r="AD88" s="28" t="s">
        <v>506</v>
      </c>
      <c r="AE88" s="28" t="s">
        <v>20</v>
      </c>
      <c r="AF88" s="28" t="s">
        <v>12</v>
      </c>
      <c r="AG88" s="28">
        <v>14.6</v>
      </c>
      <c r="AH88" s="37" t="s">
        <v>504</v>
      </c>
      <c r="AI88" s="28" t="s">
        <v>96</v>
      </c>
      <c r="AJ88" s="28" t="s">
        <v>12</v>
      </c>
      <c r="AK88" s="38">
        <v>2.5</v>
      </c>
      <c r="AL88" s="37" t="s">
        <v>508</v>
      </c>
      <c r="AM88" s="28" t="s">
        <v>22</v>
      </c>
      <c r="AN88" s="28" t="s">
        <v>11</v>
      </c>
      <c r="AO88" s="38">
        <v>2.7</v>
      </c>
      <c r="AP88" s="37"/>
      <c r="AT88" s="90"/>
      <c r="AW88" s="38"/>
      <c r="BA88" s="39"/>
    </row>
    <row r="89" spans="1:53" s="170" customFormat="1" x14ac:dyDescent="0.15">
      <c r="A89" s="170">
        <v>1994</v>
      </c>
      <c r="B89" s="281">
        <v>34464</v>
      </c>
      <c r="C89" s="395" t="s">
        <v>293</v>
      </c>
      <c r="D89" s="395"/>
      <c r="E89" s="170">
        <f>365-E88</f>
        <v>236</v>
      </c>
      <c r="F89" s="170">
        <v>1</v>
      </c>
      <c r="G89" s="232">
        <v>19</v>
      </c>
      <c r="H89" s="170">
        <v>4</v>
      </c>
      <c r="J89" s="240">
        <v>26</v>
      </c>
      <c r="K89" s="213">
        <f t="shared" si="5"/>
        <v>73.076923076923066</v>
      </c>
      <c r="L89" s="213">
        <f t="shared" si="5"/>
        <v>15.384615384615385</v>
      </c>
      <c r="M89" s="213">
        <f t="shared" si="5"/>
        <v>0</v>
      </c>
      <c r="N89" s="234">
        <f t="shared" si="6"/>
        <v>88.461538461538453</v>
      </c>
      <c r="O89" s="212">
        <v>51.6</v>
      </c>
      <c r="P89" s="213">
        <v>5.2</v>
      </c>
      <c r="Q89" s="213"/>
      <c r="R89" s="214">
        <f t="shared" si="7"/>
        <v>56.800000000000004</v>
      </c>
      <c r="S89" s="170">
        <v>3</v>
      </c>
      <c r="T89" s="283">
        <v>34420</v>
      </c>
      <c r="U89" s="281">
        <v>34464</v>
      </c>
      <c r="V89" s="177" t="s">
        <v>509</v>
      </c>
      <c r="W89" s="170" t="s">
        <v>74</v>
      </c>
      <c r="X89" s="170" t="s">
        <v>11</v>
      </c>
      <c r="Y89" s="178">
        <v>15.7</v>
      </c>
      <c r="Z89" s="170" t="s">
        <v>510</v>
      </c>
      <c r="AA89" s="170" t="s">
        <v>294</v>
      </c>
      <c r="AB89" s="170" t="s">
        <v>11</v>
      </c>
      <c r="AC89" s="170">
        <v>18.600000000000001</v>
      </c>
      <c r="AD89" s="177" t="s">
        <v>514</v>
      </c>
      <c r="AE89" s="170" t="s">
        <v>27</v>
      </c>
      <c r="AF89" s="170" t="s">
        <v>11</v>
      </c>
      <c r="AG89" s="178">
        <v>17.3</v>
      </c>
      <c r="AH89" s="170" t="s">
        <v>571</v>
      </c>
      <c r="AI89" s="170" t="s">
        <v>327</v>
      </c>
      <c r="AJ89" s="170" t="s">
        <v>18</v>
      </c>
      <c r="AK89" s="170">
        <v>0.6</v>
      </c>
      <c r="AL89" s="177" t="s">
        <v>550</v>
      </c>
      <c r="AM89" s="170" t="s">
        <v>85</v>
      </c>
      <c r="AN89" s="170" t="s">
        <v>18</v>
      </c>
      <c r="AO89" s="178">
        <v>4.5999999999999996</v>
      </c>
      <c r="AP89" s="177"/>
      <c r="AT89" s="250"/>
      <c r="AW89" s="178"/>
      <c r="BA89" s="179"/>
    </row>
    <row r="90" spans="1:53" s="170" customFormat="1" x14ac:dyDescent="0.15">
      <c r="A90" s="170">
        <v>1995</v>
      </c>
      <c r="B90" s="281"/>
      <c r="C90" s="395" t="s">
        <v>293</v>
      </c>
      <c r="D90" s="395"/>
      <c r="E90" s="170">
        <v>16</v>
      </c>
      <c r="G90" s="232">
        <v>19</v>
      </c>
      <c r="H90" s="170">
        <v>4</v>
      </c>
      <c r="J90" s="240">
        <v>26</v>
      </c>
      <c r="K90" s="213">
        <f t="shared" si="5"/>
        <v>73.076923076923066</v>
      </c>
      <c r="L90" s="213">
        <f t="shared" si="5"/>
        <v>15.384615384615385</v>
      </c>
      <c r="M90" s="213">
        <f t="shared" si="5"/>
        <v>0</v>
      </c>
      <c r="N90" s="234">
        <f t="shared" si="6"/>
        <v>88.461538461538453</v>
      </c>
      <c r="O90" s="212">
        <v>51.6</v>
      </c>
      <c r="P90" s="213">
        <v>5.2</v>
      </c>
      <c r="Q90" s="213"/>
      <c r="R90" s="214">
        <f t="shared" si="7"/>
        <v>56.800000000000004</v>
      </c>
      <c r="S90" s="170">
        <v>3</v>
      </c>
      <c r="T90" s="283"/>
      <c r="U90" s="281"/>
      <c r="V90" s="177" t="s">
        <v>509</v>
      </c>
      <c r="W90" s="170" t="s">
        <v>74</v>
      </c>
      <c r="X90" s="170" t="s">
        <v>11</v>
      </c>
      <c r="Y90" s="178">
        <v>15.7</v>
      </c>
      <c r="Z90" s="170" t="s">
        <v>510</v>
      </c>
      <c r="AA90" s="170" t="s">
        <v>294</v>
      </c>
      <c r="AB90" s="170" t="s">
        <v>11</v>
      </c>
      <c r="AC90" s="170">
        <v>18.600000000000001</v>
      </c>
      <c r="AD90" s="177" t="s">
        <v>514</v>
      </c>
      <c r="AE90" s="170" t="s">
        <v>27</v>
      </c>
      <c r="AF90" s="170" t="s">
        <v>11</v>
      </c>
      <c r="AG90" s="178">
        <v>17.3</v>
      </c>
      <c r="AH90" s="170" t="s">
        <v>571</v>
      </c>
      <c r="AI90" s="170" t="s">
        <v>327</v>
      </c>
      <c r="AJ90" s="170" t="s">
        <v>18</v>
      </c>
      <c r="AK90" s="170">
        <v>0.6</v>
      </c>
      <c r="AL90" s="177" t="s">
        <v>550</v>
      </c>
      <c r="AM90" s="170" t="s">
        <v>85</v>
      </c>
      <c r="AN90" s="170" t="s">
        <v>18</v>
      </c>
      <c r="AO90" s="178">
        <v>4.5999999999999996</v>
      </c>
      <c r="AP90" s="177"/>
      <c r="AT90" s="250"/>
      <c r="AW90" s="178"/>
      <c r="BA90" s="179"/>
    </row>
    <row r="91" spans="1:53" s="28" customFormat="1" x14ac:dyDescent="0.15">
      <c r="A91" s="28">
        <v>1995</v>
      </c>
      <c r="B91" s="293">
        <v>34716</v>
      </c>
      <c r="C91" s="394" t="s">
        <v>295</v>
      </c>
      <c r="D91" s="394"/>
      <c r="E91" s="28">
        <f>365-E90</f>
        <v>349</v>
      </c>
      <c r="F91" s="28">
        <v>4</v>
      </c>
      <c r="G91" s="65">
        <v>0</v>
      </c>
      <c r="H91" s="28">
        <v>0</v>
      </c>
      <c r="I91" s="28">
        <v>0</v>
      </c>
      <c r="J91" s="72">
        <v>21</v>
      </c>
      <c r="K91" s="46">
        <f t="shared" si="5"/>
        <v>0</v>
      </c>
      <c r="L91" s="46">
        <f t="shared" si="5"/>
        <v>0</v>
      </c>
      <c r="M91" s="46">
        <f t="shared" si="5"/>
        <v>0</v>
      </c>
      <c r="N91" s="67">
        <f t="shared" si="6"/>
        <v>0</v>
      </c>
      <c r="O91" s="45">
        <v>0</v>
      </c>
      <c r="P91" s="46">
        <v>0</v>
      </c>
      <c r="Q91" s="46">
        <v>0</v>
      </c>
      <c r="R91" s="47">
        <f t="shared" si="7"/>
        <v>0</v>
      </c>
      <c r="S91" s="28">
        <v>7</v>
      </c>
      <c r="T91" s="284"/>
      <c r="U91" s="293">
        <v>34716</v>
      </c>
      <c r="V91" s="88" t="s">
        <v>798</v>
      </c>
      <c r="Y91" s="38"/>
      <c r="AD91" s="37"/>
      <c r="AG91" s="38"/>
      <c r="AL91" s="37"/>
      <c r="AO91" s="38"/>
      <c r="AP91" s="37"/>
      <c r="AT91" s="90"/>
      <c r="AW91" s="38"/>
      <c r="BA91" s="39"/>
    </row>
    <row r="92" spans="1:53" s="28" customFormat="1" x14ac:dyDescent="0.15">
      <c r="A92" s="28">
        <v>1996</v>
      </c>
      <c r="B92" s="293"/>
      <c r="C92" s="394" t="s">
        <v>295</v>
      </c>
      <c r="D92" s="394"/>
      <c r="E92" s="28">
        <v>137</v>
      </c>
      <c r="G92" s="65">
        <v>0</v>
      </c>
      <c r="H92" s="28">
        <v>0</v>
      </c>
      <c r="I92" s="28">
        <v>0</v>
      </c>
      <c r="J92" s="72">
        <v>21</v>
      </c>
      <c r="K92" s="46">
        <f t="shared" si="5"/>
        <v>0</v>
      </c>
      <c r="L92" s="46">
        <f t="shared" si="5"/>
        <v>0</v>
      </c>
      <c r="M92" s="46">
        <f t="shared" si="5"/>
        <v>0</v>
      </c>
      <c r="N92" s="67">
        <f t="shared" si="6"/>
        <v>0</v>
      </c>
      <c r="O92" s="45">
        <v>0</v>
      </c>
      <c r="P92" s="46">
        <v>0</v>
      </c>
      <c r="Q92" s="46">
        <v>0</v>
      </c>
      <c r="R92" s="47">
        <f t="shared" si="7"/>
        <v>0</v>
      </c>
      <c r="S92" s="28">
        <v>7</v>
      </c>
      <c r="T92" s="284"/>
      <c r="U92" s="293"/>
      <c r="V92" s="88" t="s">
        <v>798</v>
      </c>
      <c r="Y92" s="38"/>
      <c r="AD92" s="37"/>
      <c r="AG92" s="38"/>
      <c r="AL92" s="37"/>
      <c r="AO92" s="38"/>
      <c r="AP92" s="37"/>
      <c r="AT92" s="90"/>
      <c r="AW92" s="38"/>
      <c r="BA92" s="39"/>
    </row>
    <row r="93" spans="1:53" s="170" customFormat="1" x14ac:dyDescent="0.15">
      <c r="A93" s="170">
        <v>1996</v>
      </c>
      <c r="B93" s="281">
        <v>35202</v>
      </c>
      <c r="C93" s="395" t="s">
        <v>296</v>
      </c>
      <c r="D93" s="395"/>
      <c r="E93" s="170">
        <f>366-E92</f>
        <v>229</v>
      </c>
      <c r="F93" s="170">
        <v>6</v>
      </c>
      <c r="G93" s="232"/>
      <c r="H93" s="170">
        <v>8</v>
      </c>
      <c r="I93" s="170">
        <v>10</v>
      </c>
      <c r="J93" s="240">
        <v>21</v>
      </c>
      <c r="K93" s="213">
        <f t="shared" si="5"/>
        <v>0</v>
      </c>
      <c r="L93" s="213">
        <f t="shared" si="5"/>
        <v>38.095238095238095</v>
      </c>
      <c r="M93" s="213">
        <f t="shared" si="5"/>
        <v>47.619047619047613</v>
      </c>
      <c r="N93" s="234">
        <f t="shared" si="6"/>
        <v>85.714285714285708</v>
      </c>
      <c r="O93" s="212"/>
      <c r="P93" s="213">
        <v>16.2</v>
      </c>
      <c r="Q93" s="213">
        <v>29.7</v>
      </c>
      <c r="R93" s="214">
        <f t="shared" si="7"/>
        <v>45.9</v>
      </c>
      <c r="S93" s="170">
        <v>5</v>
      </c>
      <c r="T93" s="283">
        <v>35176</v>
      </c>
      <c r="U93" s="281">
        <v>35202</v>
      </c>
      <c r="V93" s="177" t="s">
        <v>512</v>
      </c>
      <c r="W93" s="170" t="s">
        <v>297</v>
      </c>
      <c r="X93" s="170" t="s">
        <v>12</v>
      </c>
      <c r="Y93" s="178">
        <v>27.2</v>
      </c>
      <c r="Z93" s="170" t="s">
        <v>511</v>
      </c>
      <c r="AA93" s="170" t="s">
        <v>17</v>
      </c>
      <c r="AB93" s="170" t="s">
        <v>18</v>
      </c>
      <c r="AC93" s="170">
        <v>11.9</v>
      </c>
      <c r="AD93" s="177" t="s">
        <v>551</v>
      </c>
      <c r="AE93" s="170" t="s">
        <v>327</v>
      </c>
      <c r="AF93" s="170" t="s">
        <v>18</v>
      </c>
      <c r="AG93" s="254">
        <v>11.9</v>
      </c>
      <c r="AH93" s="170" t="s">
        <v>513</v>
      </c>
      <c r="AI93" s="170" t="s">
        <v>106</v>
      </c>
      <c r="AJ93" s="170" t="s">
        <v>18</v>
      </c>
      <c r="AK93" s="170">
        <v>4.3</v>
      </c>
      <c r="AL93" s="177" t="s">
        <v>298</v>
      </c>
      <c r="AM93" s="170" t="s">
        <v>216</v>
      </c>
      <c r="AN93" s="170" t="s">
        <v>12</v>
      </c>
      <c r="AO93" s="178">
        <v>2.5</v>
      </c>
      <c r="AP93" s="177"/>
      <c r="AT93" s="250"/>
      <c r="AW93" s="178"/>
      <c r="BA93" s="179"/>
    </row>
    <row r="94" spans="1:53" s="170" customFormat="1" x14ac:dyDescent="0.15">
      <c r="A94" s="170">
        <v>1997</v>
      </c>
      <c r="B94" s="281"/>
      <c r="C94" s="395" t="s">
        <v>296</v>
      </c>
      <c r="D94" s="395"/>
      <c r="E94" s="170">
        <v>0</v>
      </c>
      <c r="G94" s="232"/>
      <c r="H94" s="170">
        <v>8</v>
      </c>
      <c r="I94" s="170">
        <v>11</v>
      </c>
      <c r="J94" s="240">
        <v>22</v>
      </c>
      <c r="K94" s="213">
        <f t="shared" si="5"/>
        <v>0</v>
      </c>
      <c r="L94" s="213">
        <f t="shared" si="5"/>
        <v>36.363636363636367</v>
      </c>
      <c r="M94" s="213">
        <f t="shared" si="5"/>
        <v>50</v>
      </c>
      <c r="N94" s="234">
        <f t="shared" si="6"/>
        <v>86.363636363636374</v>
      </c>
      <c r="O94" s="212"/>
      <c r="P94" s="213">
        <v>16.2</v>
      </c>
      <c r="Q94" s="213">
        <v>29.7</v>
      </c>
      <c r="R94" s="214">
        <f t="shared" si="7"/>
        <v>45.9</v>
      </c>
      <c r="S94" s="170">
        <v>5</v>
      </c>
      <c r="T94" s="283"/>
      <c r="U94" s="281"/>
      <c r="V94" s="177" t="s">
        <v>512</v>
      </c>
      <c r="W94" s="170" t="s">
        <v>297</v>
      </c>
      <c r="X94" s="170" t="s">
        <v>12</v>
      </c>
      <c r="Y94" s="178">
        <v>27.2</v>
      </c>
      <c r="Z94" s="170" t="s">
        <v>511</v>
      </c>
      <c r="AA94" s="170" t="s">
        <v>17</v>
      </c>
      <c r="AB94" s="170" t="s">
        <v>18</v>
      </c>
      <c r="AC94" s="170">
        <v>11.9</v>
      </c>
      <c r="AD94" s="177" t="s">
        <v>551</v>
      </c>
      <c r="AE94" s="170" t="s">
        <v>327</v>
      </c>
      <c r="AF94" s="170" t="s">
        <v>18</v>
      </c>
      <c r="AG94" s="254">
        <v>11.9</v>
      </c>
      <c r="AH94" s="170" t="s">
        <v>513</v>
      </c>
      <c r="AI94" s="170" t="s">
        <v>106</v>
      </c>
      <c r="AJ94" s="170" t="s">
        <v>18</v>
      </c>
      <c r="AK94" s="170">
        <v>4.3</v>
      </c>
      <c r="AL94" s="177" t="s">
        <v>298</v>
      </c>
      <c r="AM94" s="170" t="s">
        <v>216</v>
      </c>
      <c r="AN94" s="170" t="s">
        <v>12</v>
      </c>
      <c r="AO94" s="178">
        <v>2.5</v>
      </c>
      <c r="AP94" s="177"/>
      <c r="AT94" s="250"/>
      <c r="AW94" s="178"/>
      <c r="BA94" s="179"/>
    </row>
    <row r="95" spans="1:53" s="170" customFormat="1" x14ac:dyDescent="0.15">
      <c r="A95" s="170">
        <v>1997</v>
      </c>
      <c r="B95" s="281"/>
      <c r="C95" s="395" t="s">
        <v>296</v>
      </c>
      <c r="D95" s="395"/>
      <c r="E95" s="170">
        <f>365-E94</f>
        <v>365</v>
      </c>
      <c r="G95" s="232"/>
      <c r="H95" s="170">
        <v>8</v>
      </c>
      <c r="I95" s="170">
        <v>11</v>
      </c>
      <c r="J95" s="240">
        <v>22</v>
      </c>
      <c r="K95" s="213">
        <f t="shared" si="5"/>
        <v>0</v>
      </c>
      <c r="L95" s="213">
        <f t="shared" si="5"/>
        <v>36.363636363636367</v>
      </c>
      <c r="M95" s="213">
        <f t="shared" si="5"/>
        <v>50</v>
      </c>
      <c r="N95" s="234">
        <f t="shared" si="6"/>
        <v>86.363636363636374</v>
      </c>
      <c r="O95" s="212"/>
      <c r="P95" s="213">
        <v>16.2</v>
      </c>
      <c r="Q95" s="213">
        <v>29.7</v>
      </c>
      <c r="R95" s="214">
        <f t="shared" si="7"/>
        <v>45.9</v>
      </c>
      <c r="S95" s="170">
        <v>5</v>
      </c>
      <c r="T95" s="283"/>
      <c r="U95" s="281"/>
      <c r="V95" s="177" t="s">
        <v>512</v>
      </c>
      <c r="W95" s="170" t="s">
        <v>297</v>
      </c>
      <c r="X95" s="170" t="s">
        <v>12</v>
      </c>
      <c r="Y95" s="178">
        <v>27.2</v>
      </c>
      <c r="Z95" s="170" t="s">
        <v>511</v>
      </c>
      <c r="AA95" s="170" t="s">
        <v>17</v>
      </c>
      <c r="AB95" s="170" t="s">
        <v>18</v>
      </c>
      <c r="AC95" s="170">
        <v>11.9</v>
      </c>
      <c r="AD95" s="177" t="s">
        <v>551</v>
      </c>
      <c r="AE95" s="170" t="s">
        <v>327</v>
      </c>
      <c r="AF95" s="170" t="s">
        <v>18</v>
      </c>
      <c r="AG95" s="254">
        <v>11.9</v>
      </c>
      <c r="AH95" s="170" t="s">
        <v>513</v>
      </c>
      <c r="AI95" s="170" t="s">
        <v>106</v>
      </c>
      <c r="AJ95" s="170" t="s">
        <v>18</v>
      </c>
      <c r="AK95" s="170">
        <v>4.3</v>
      </c>
      <c r="AL95" s="177" t="s">
        <v>298</v>
      </c>
      <c r="AM95" s="170" t="s">
        <v>216</v>
      </c>
      <c r="AN95" s="170" t="s">
        <v>12</v>
      </c>
      <c r="AO95" s="178">
        <v>2.5</v>
      </c>
      <c r="AP95" s="177"/>
      <c r="AT95" s="250"/>
      <c r="AW95" s="178"/>
      <c r="BA95" s="179"/>
    </row>
    <row r="96" spans="1:53" s="170" customFormat="1" x14ac:dyDescent="0.15">
      <c r="A96" s="170">
        <v>1998</v>
      </c>
      <c r="B96" s="281"/>
      <c r="C96" s="395" t="s">
        <v>296</v>
      </c>
      <c r="D96" s="395"/>
      <c r="E96" s="170">
        <v>300</v>
      </c>
      <c r="G96" s="232"/>
      <c r="H96" s="170">
        <v>8</v>
      </c>
      <c r="I96" s="170">
        <v>11</v>
      </c>
      <c r="J96" s="240">
        <v>22</v>
      </c>
      <c r="K96" s="213">
        <f t="shared" si="5"/>
        <v>0</v>
      </c>
      <c r="L96" s="213">
        <f t="shared" si="5"/>
        <v>36.363636363636367</v>
      </c>
      <c r="M96" s="213">
        <f t="shared" si="5"/>
        <v>50</v>
      </c>
      <c r="N96" s="234">
        <f t="shared" si="6"/>
        <v>86.363636363636374</v>
      </c>
      <c r="O96" s="212"/>
      <c r="P96" s="213">
        <v>16.2</v>
      </c>
      <c r="Q96" s="213">
        <v>29.7</v>
      </c>
      <c r="R96" s="214">
        <f t="shared" si="7"/>
        <v>45.9</v>
      </c>
      <c r="S96" s="170">
        <v>5</v>
      </c>
      <c r="T96" s="283"/>
      <c r="U96" s="281"/>
      <c r="V96" s="177" t="s">
        <v>512</v>
      </c>
      <c r="W96" s="170" t="s">
        <v>297</v>
      </c>
      <c r="X96" s="170" t="s">
        <v>12</v>
      </c>
      <c r="Y96" s="178">
        <v>27.2</v>
      </c>
      <c r="Z96" s="170" t="s">
        <v>511</v>
      </c>
      <c r="AA96" s="170" t="s">
        <v>17</v>
      </c>
      <c r="AB96" s="170" t="s">
        <v>18</v>
      </c>
      <c r="AC96" s="170">
        <v>11.9</v>
      </c>
      <c r="AD96" s="177" t="s">
        <v>551</v>
      </c>
      <c r="AE96" s="170" t="s">
        <v>327</v>
      </c>
      <c r="AF96" s="170" t="s">
        <v>18</v>
      </c>
      <c r="AG96" s="254">
        <v>11.9</v>
      </c>
      <c r="AH96" s="170" t="s">
        <v>513</v>
      </c>
      <c r="AI96" s="170" t="s">
        <v>106</v>
      </c>
      <c r="AJ96" s="170" t="s">
        <v>18</v>
      </c>
      <c r="AK96" s="170">
        <v>4.3</v>
      </c>
      <c r="AL96" s="177" t="s">
        <v>298</v>
      </c>
      <c r="AM96" s="170" t="s">
        <v>216</v>
      </c>
      <c r="AN96" s="170" t="s">
        <v>12</v>
      </c>
      <c r="AO96" s="178">
        <v>2.5</v>
      </c>
      <c r="AP96" s="177"/>
      <c r="AT96" s="250"/>
      <c r="AW96" s="178"/>
      <c r="BA96" s="179"/>
    </row>
    <row r="97" spans="1:53" s="28" customFormat="1" x14ac:dyDescent="0.15">
      <c r="A97" s="28">
        <v>1998</v>
      </c>
      <c r="B97" s="293">
        <v>36096</v>
      </c>
      <c r="C97" s="394" t="s">
        <v>299</v>
      </c>
      <c r="D97" s="394"/>
      <c r="E97" s="28">
        <f>365-E96</f>
        <v>65</v>
      </c>
      <c r="F97" s="28">
        <v>5</v>
      </c>
      <c r="G97" s="65"/>
      <c r="H97" s="28">
        <v>12</v>
      </c>
      <c r="I97" s="28">
        <v>13</v>
      </c>
      <c r="J97" s="72">
        <v>27</v>
      </c>
      <c r="K97" s="46">
        <f t="shared" si="5"/>
        <v>0</v>
      </c>
      <c r="L97" s="46">
        <f t="shared" si="5"/>
        <v>44.444444444444443</v>
      </c>
      <c r="M97" s="46">
        <f t="shared" si="5"/>
        <v>48.148148148148145</v>
      </c>
      <c r="N97" s="67">
        <f t="shared" si="6"/>
        <v>92.592592592592581</v>
      </c>
      <c r="O97" s="45"/>
      <c r="P97" s="46">
        <v>16.2</v>
      </c>
      <c r="Q97" s="46">
        <v>29.7</v>
      </c>
      <c r="R97" s="47">
        <f t="shared" si="7"/>
        <v>45.9</v>
      </c>
      <c r="S97" s="28">
        <v>5</v>
      </c>
      <c r="T97" s="284"/>
      <c r="U97" s="293">
        <v>36096</v>
      </c>
      <c r="V97" s="37" t="s">
        <v>512</v>
      </c>
      <c r="W97" s="28" t="s">
        <v>297</v>
      </c>
      <c r="X97" s="28" t="s">
        <v>12</v>
      </c>
      <c r="Y97" s="38">
        <v>27.2</v>
      </c>
      <c r="Z97" s="28" t="s">
        <v>511</v>
      </c>
      <c r="AA97" s="28" t="s">
        <v>17</v>
      </c>
      <c r="AB97" s="28" t="s">
        <v>18</v>
      </c>
      <c r="AC97" s="28">
        <v>11.9</v>
      </c>
      <c r="AD97" s="37" t="s">
        <v>517</v>
      </c>
      <c r="AE97" s="28" t="s">
        <v>327</v>
      </c>
      <c r="AF97" s="28" t="s">
        <v>18</v>
      </c>
      <c r="AG97" s="38">
        <v>0</v>
      </c>
      <c r="AH97" s="37" t="s">
        <v>298</v>
      </c>
      <c r="AI97" s="28" t="s">
        <v>216</v>
      </c>
      <c r="AJ97" s="28" t="s">
        <v>12</v>
      </c>
      <c r="AK97" s="38">
        <v>2.5</v>
      </c>
      <c r="AL97" s="37" t="s">
        <v>520</v>
      </c>
      <c r="AM97" s="28" t="s">
        <v>113</v>
      </c>
      <c r="AN97" s="28" t="s">
        <v>12</v>
      </c>
      <c r="AO97" s="38">
        <v>0</v>
      </c>
      <c r="AP97" s="28" t="s">
        <v>513</v>
      </c>
      <c r="AQ97" s="28" t="s">
        <v>106</v>
      </c>
      <c r="AR97" s="28" t="s">
        <v>18</v>
      </c>
      <c r="AS97" s="28">
        <v>4.3</v>
      </c>
      <c r="AT97" s="90" t="s">
        <v>519</v>
      </c>
      <c r="AU97" s="28" t="s">
        <v>327</v>
      </c>
      <c r="AV97" s="28" t="s">
        <v>12</v>
      </c>
      <c r="AW97" s="38">
        <v>0</v>
      </c>
      <c r="BA97" s="39"/>
    </row>
    <row r="98" spans="1:53" s="28" customFormat="1" x14ac:dyDescent="0.15">
      <c r="A98" s="28">
        <v>1999</v>
      </c>
      <c r="B98" s="293"/>
      <c r="C98" s="394" t="s">
        <v>299</v>
      </c>
      <c r="D98" s="394"/>
      <c r="E98" s="28">
        <v>354</v>
      </c>
      <c r="G98" s="65"/>
      <c r="H98" s="28">
        <v>12</v>
      </c>
      <c r="I98" s="28">
        <v>13</v>
      </c>
      <c r="J98" s="72">
        <v>27</v>
      </c>
      <c r="K98" s="46">
        <f t="shared" si="5"/>
        <v>0</v>
      </c>
      <c r="L98" s="46">
        <f t="shared" si="5"/>
        <v>44.444444444444443</v>
      </c>
      <c r="M98" s="46">
        <f t="shared" si="5"/>
        <v>48.148148148148145</v>
      </c>
      <c r="N98" s="67">
        <f t="shared" si="6"/>
        <v>92.592592592592581</v>
      </c>
      <c r="O98" s="45"/>
      <c r="P98" s="46">
        <v>16.2</v>
      </c>
      <c r="Q98" s="46">
        <v>29.7</v>
      </c>
      <c r="R98" s="47">
        <f t="shared" si="7"/>
        <v>45.9</v>
      </c>
      <c r="S98" s="28">
        <v>5</v>
      </c>
      <c r="T98" s="284"/>
      <c r="U98" s="293"/>
      <c r="V98" s="37" t="s">
        <v>512</v>
      </c>
      <c r="W98" s="28" t="s">
        <v>297</v>
      </c>
      <c r="X98" s="28" t="s">
        <v>12</v>
      </c>
      <c r="Y98" s="38">
        <v>27.2</v>
      </c>
      <c r="Z98" s="28" t="s">
        <v>511</v>
      </c>
      <c r="AA98" s="28" t="s">
        <v>17</v>
      </c>
      <c r="AB98" s="28" t="s">
        <v>18</v>
      </c>
      <c r="AC98" s="28">
        <v>11.9</v>
      </c>
      <c r="AD98" s="37" t="s">
        <v>517</v>
      </c>
      <c r="AE98" s="28" t="s">
        <v>327</v>
      </c>
      <c r="AF98" s="28" t="s">
        <v>18</v>
      </c>
      <c r="AG98" s="38">
        <v>0</v>
      </c>
      <c r="AH98" s="28" t="s">
        <v>298</v>
      </c>
      <c r="AI98" s="28" t="s">
        <v>216</v>
      </c>
      <c r="AJ98" s="28" t="s">
        <v>12</v>
      </c>
      <c r="AK98" s="28">
        <v>2.5</v>
      </c>
      <c r="AL98" s="37" t="s">
        <v>520</v>
      </c>
      <c r="AM98" s="28" t="s">
        <v>113</v>
      </c>
      <c r="AN98" s="28" t="s">
        <v>12</v>
      </c>
      <c r="AO98" s="38">
        <v>0</v>
      </c>
      <c r="AP98" s="28" t="s">
        <v>513</v>
      </c>
      <c r="AQ98" s="28" t="s">
        <v>106</v>
      </c>
      <c r="AR98" s="28" t="s">
        <v>18</v>
      </c>
      <c r="AS98" s="28">
        <v>4.3</v>
      </c>
      <c r="AT98" s="90" t="s">
        <v>519</v>
      </c>
      <c r="AU98" s="28" t="s">
        <v>327</v>
      </c>
      <c r="AV98" s="28" t="s">
        <v>12</v>
      </c>
      <c r="AW98" s="38">
        <v>0</v>
      </c>
      <c r="BA98" s="39"/>
    </row>
    <row r="99" spans="1:53" s="170" customFormat="1" x14ac:dyDescent="0.15">
      <c r="A99" s="170">
        <v>1999</v>
      </c>
      <c r="B99" s="281">
        <v>36515</v>
      </c>
      <c r="C99" s="395" t="s">
        <v>300</v>
      </c>
      <c r="D99" s="395"/>
      <c r="E99" s="170">
        <f>365-E98</f>
        <v>11</v>
      </c>
      <c r="F99" s="170">
        <v>4</v>
      </c>
      <c r="G99" s="232"/>
      <c r="H99" s="170">
        <v>8</v>
      </c>
      <c r="I99" s="170">
        <v>14</v>
      </c>
      <c r="J99" s="240">
        <v>24</v>
      </c>
      <c r="K99" s="213">
        <f t="shared" si="5"/>
        <v>0</v>
      </c>
      <c r="L99" s="213">
        <f t="shared" si="5"/>
        <v>33.333333333333329</v>
      </c>
      <c r="M99" s="213">
        <f t="shared" si="5"/>
        <v>58.333333333333336</v>
      </c>
      <c r="N99" s="234">
        <f t="shared" si="6"/>
        <v>91.666666666666657</v>
      </c>
      <c r="O99" s="212"/>
      <c r="P99" s="213">
        <v>16.2</v>
      </c>
      <c r="Q99" s="213">
        <v>29.7</v>
      </c>
      <c r="R99" s="214">
        <f t="shared" si="7"/>
        <v>45.9</v>
      </c>
      <c r="S99" s="170">
        <v>5</v>
      </c>
      <c r="T99" s="283"/>
      <c r="U99" s="281">
        <v>36515</v>
      </c>
      <c r="V99" s="177" t="s">
        <v>512</v>
      </c>
      <c r="W99" s="170" t="s">
        <v>297</v>
      </c>
      <c r="X99" s="170" t="s">
        <v>12</v>
      </c>
      <c r="Y99" s="178">
        <v>27.2</v>
      </c>
      <c r="Z99" s="170" t="s">
        <v>511</v>
      </c>
      <c r="AA99" s="170" t="s">
        <v>17</v>
      </c>
      <c r="AB99" s="170" t="s">
        <v>18</v>
      </c>
      <c r="AC99" s="170">
        <v>11.9</v>
      </c>
      <c r="AD99" s="177" t="s">
        <v>517</v>
      </c>
      <c r="AE99" s="170" t="s">
        <v>327</v>
      </c>
      <c r="AF99" s="170" t="s">
        <v>18</v>
      </c>
      <c r="AG99" s="178">
        <v>0</v>
      </c>
      <c r="AH99" s="170" t="s">
        <v>298</v>
      </c>
      <c r="AI99" s="170" t="s">
        <v>216</v>
      </c>
      <c r="AJ99" s="170" t="s">
        <v>12</v>
      </c>
      <c r="AK99" s="170">
        <v>2.5</v>
      </c>
      <c r="AL99" s="177" t="s">
        <v>520</v>
      </c>
      <c r="AM99" s="170" t="s">
        <v>113</v>
      </c>
      <c r="AN99" s="170" t="s">
        <v>12</v>
      </c>
      <c r="AO99" s="178">
        <v>0</v>
      </c>
      <c r="AP99" s="170" t="s">
        <v>513</v>
      </c>
      <c r="AQ99" s="170" t="s">
        <v>106</v>
      </c>
      <c r="AR99" s="170" t="s">
        <v>18</v>
      </c>
      <c r="AS99" s="170">
        <v>4.3</v>
      </c>
      <c r="AT99" s="250" t="s">
        <v>552</v>
      </c>
      <c r="AU99" s="170" t="s">
        <v>327</v>
      </c>
      <c r="AV99" s="170" t="s">
        <v>12</v>
      </c>
      <c r="AW99" s="178">
        <v>0</v>
      </c>
      <c r="BA99" s="179"/>
    </row>
    <row r="100" spans="1:53" s="170" customFormat="1" x14ac:dyDescent="0.15">
      <c r="A100" s="170">
        <v>2000</v>
      </c>
      <c r="B100" s="281"/>
      <c r="C100" s="395" t="s">
        <v>300</v>
      </c>
      <c r="D100" s="395"/>
      <c r="E100" s="170">
        <v>118</v>
      </c>
      <c r="G100" s="232"/>
      <c r="H100" s="170">
        <v>8</v>
      </c>
      <c r="I100" s="170">
        <v>17</v>
      </c>
      <c r="J100" s="240">
        <v>27</v>
      </c>
      <c r="K100" s="213">
        <f t="shared" si="5"/>
        <v>0</v>
      </c>
      <c r="L100" s="213">
        <f t="shared" si="5"/>
        <v>29.629629629629626</v>
      </c>
      <c r="M100" s="213">
        <f t="shared" si="5"/>
        <v>62.962962962962962</v>
      </c>
      <c r="N100" s="234">
        <f t="shared" si="6"/>
        <v>92.592592592592581</v>
      </c>
      <c r="O100" s="212"/>
      <c r="P100" s="213">
        <v>16.2</v>
      </c>
      <c r="Q100" s="213">
        <v>29.7</v>
      </c>
      <c r="R100" s="214">
        <f t="shared" si="7"/>
        <v>45.9</v>
      </c>
      <c r="S100" s="170">
        <v>5</v>
      </c>
      <c r="T100" s="283"/>
      <c r="U100" s="281"/>
      <c r="V100" s="177" t="s">
        <v>512</v>
      </c>
      <c r="W100" s="170" t="s">
        <v>297</v>
      </c>
      <c r="X100" s="170" t="s">
        <v>12</v>
      </c>
      <c r="Y100" s="178">
        <v>27.2</v>
      </c>
      <c r="Z100" s="170" t="s">
        <v>511</v>
      </c>
      <c r="AA100" s="170" t="s">
        <v>17</v>
      </c>
      <c r="AB100" s="170" t="s">
        <v>18</v>
      </c>
      <c r="AC100" s="170">
        <v>11.9</v>
      </c>
      <c r="AD100" s="177" t="s">
        <v>517</v>
      </c>
      <c r="AE100" s="170" t="s">
        <v>327</v>
      </c>
      <c r="AF100" s="170" t="s">
        <v>18</v>
      </c>
      <c r="AG100" s="178">
        <v>0</v>
      </c>
      <c r="AH100" s="170" t="s">
        <v>298</v>
      </c>
      <c r="AI100" s="170" t="s">
        <v>216</v>
      </c>
      <c r="AJ100" s="170" t="s">
        <v>12</v>
      </c>
      <c r="AK100" s="170">
        <v>2.5</v>
      </c>
      <c r="AL100" s="177" t="s">
        <v>520</v>
      </c>
      <c r="AM100" s="170" t="s">
        <v>113</v>
      </c>
      <c r="AN100" s="170" t="s">
        <v>12</v>
      </c>
      <c r="AO100" s="178">
        <v>0</v>
      </c>
      <c r="AP100" s="170" t="s">
        <v>513</v>
      </c>
      <c r="AQ100" s="170" t="s">
        <v>106</v>
      </c>
      <c r="AR100" s="170" t="s">
        <v>18</v>
      </c>
      <c r="AS100" s="170">
        <v>4.3</v>
      </c>
      <c r="AT100" s="250" t="s">
        <v>552</v>
      </c>
      <c r="AU100" s="170" t="s">
        <v>327</v>
      </c>
      <c r="AV100" s="170" t="s">
        <v>12</v>
      </c>
      <c r="AW100" s="178">
        <v>0</v>
      </c>
      <c r="BA100" s="179"/>
    </row>
    <row r="101" spans="1:53" s="28" customFormat="1" x14ac:dyDescent="0.15">
      <c r="A101" s="28">
        <v>2000</v>
      </c>
      <c r="B101" s="293">
        <v>36644</v>
      </c>
      <c r="C101" s="394" t="s">
        <v>301</v>
      </c>
      <c r="D101" s="394"/>
      <c r="E101" s="28">
        <f>366-E100</f>
        <v>248</v>
      </c>
      <c r="F101" s="28">
        <v>2</v>
      </c>
      <c r="G101" s="65"/>
      <c r="H101" s="28">
        <v>7</v>
      </c>
      <c r="I101" s="28">
        <v>15</v>
      </c>
      <c r="J101" s="72">
        <v>27</v>
      </c>
      <c r="K101" s="46">
        <f t="shared" si="5"/>
        <v>0</v>
      </c>
      <c r="L101" s="46">
        <f t="shared" si="5"/>
        <v>25.925925925925924</v>
      </c>
      <c r="M101" s="46">
        <f t="shared" si="5"/>
        <v>55.555555555555557</v>
      </c>
      <c r="N101" s="67">
        <f t="shared" si="6"/>
        <v>81.481481481481481</v>
      </c>
      <c r="O101" s="45"/>
      <c r="P101" s="46">
        <v>16.2</v>
      </c>
      <c r="Q101" s="46">
        <v>29.7</v>
      </c>
      <c r="R101" s="47">
        <f t="shared" si="7"/>
        <v>45.9</v>
      </c>
      <c r="S101" s="28">
        <v>5</v>
      </c>
      <c r="T101" s="284"/>
      <c r="U101" s="293">
        <v>36644</v>
      </c>
      <c r="V101" s="37" t="s">
        <v>512</v>
      </c>
      <c r="W101" s="28" t="s">
        <v>297</v>
      </c>
      <c r="X101" s="28" t="s">
        <v>12</v>
      </c>
      <c r="Y101" s="38">
        <v>27.2</v>
      </c>
      <c r="Z101" s="28" t="s">
        <v>511</v>
      </c>
      <c r="AA101" s="28" t="s">
        <v>17</v>
      </c>
      <c r="AB101" s="28" t="s">
        <v>18</v>
      </c>
      <c r="AC101" s="28">
        <v>11.9</v>
      </c>
      <c r="AD101" s="37" t="s">
        <v>517</v>
      </c>
      <c r="AE101" s="28" t="s">
        <v>327</v>
      </c>
      <c r="AF101" s="28" t="s">
        <v>18</v>
      </c>
      <c r="AG101" s="38">
        <v>0</v>
      </c>
      <c r="AH101" s="28" t="s">
        <v>298</v>
      </c>
      <c r="AI101" s="28" t="s">
        <v>216</v>
      </c>
      <c r="AJ101" s="28" t="s">
        <v>12</v>
      </c>
      <c r="AK101" s="28">
        <v>2.5</v>
      </c>
      <c r="AL101" s="37" t="s">
        <v>520</v>
      </c>
      <c r="AM101" s="28" t="s">
        <v>113</v>
      </c>
      <c r="AN101" s="28" t="s">
        <v>12</v>
      </c>
      <c r="AO101" s="38">
        <v>0</v>
      </c>
      <c r="AP101" s="28" t="s">
        <v>513</v>
      </c>
      <c r="AQ101" s="28" t="s">
        <v>106</v>
      </c>
      <c r="AR101" s="28" t="s">
        <v>18</v>
      </c>
      <c r="AS101" s="28">
        <v>4.3</v>
      </c>
      <c r="AT101" s="90" t="s">
        <v>552</v>
      </c>
      <c r="AU101" s="28" t="s">
        <v>327</v>
      </c>
      <c r="AV101" s="28" t="s">
        <v>12</v>
      </c>
      <c r="AW101" s="38">
        <v>0</v>
      </c>
      <c r="AX101" s="93" t="s">
        <v>519</v>
      </c>
      <c r="AY101" s="28" t="s">
        <v>327</v>
      </c>
      <c r="AZ101" s="28" t="s">
        <v>12</v>
      </c>
      <c r="BA101" s="39">
        <v>0</v>
      </c>
    </row>
    <row r="102" spans="1:53" s="28" customFormat="1" x14ac:dyDescent="0.15">
      <c r="A102" s="28">
        <v>2001</v>
      </c>
      <c r="B102" s="293"/>
      <c r="C102" s="394" t="s">
        <v>301</v>
      </c>
      <c r="D102" s="394"/>
      <c r="E102" s="28">
        <v>161</v>
      </c>
      <c r="G102" s="65"/>
      <c r="H102" s="28">
        <v>7</v>
      </c>
      <c r="I102" s="28">
        <v>15</v>
      </c>
      <c r="J102" s="72">
        <v>27</v>
      </c>
      <c r="K102" s="46">
        <f>G102/$J102*100</f>
        <v>0</v>
      </c>
      <c r="L102" s="46">
        <f>H102/$J102*100</f>
        <v>25.925925925925924</v>
      </c>
      <c r="M102" s="46">
        <f>I102/$J102*100</f>
        <v>55.555555555555557</v>
      </c>
      <c r="N102" s="67">
        <f t="shared" si="6"/>
        <v>81.481481481481481</v>
      </c>
      <c r="O102" s="45"/>
      <c r="P102" s="46">
        <v>16.2</v>
      </c>
      <c r="Q102" s="46">
        <v>29.7</v>
      </c>
      <c r="R102" s="47">
        <f t="shared" si="7"/>
        <v>45.9</v>
      </c>
      <c r="S102" s="28">
        <v>5</v>
      </c>
      <c r="T102" s="284"/>
      <c r="U102" s="293"/>
      <c r="V102" s="37" t="s">
        <v>512</v>
      </c>
      <c r="W102" s="28" t="s">
        <v>297</v>
      </c>
      <c r="X102" s="28" t="s">
        <v>12</v>
      </c>
      <c r="Y102" s="38">
        <v>27.2</v>
      </c>
      <c r="Z102" s="28" t="s">
        <v>511</v>
      </c>
      <c r="AA102" s="28" t="s">
        <v>17</v>
      </c>
      <c r="AB102" s="28" t="s">
        <v>18</v>
      </c>
      <c r="AC102" s="28">
        <v>11.9</v>
      </c>
      <c r="AD102" s="37" t="s">
        <v>517</v>
      </c>
      <c r="AE102" s="28" t="s">
        <v>327</v>
      </c>
      <c r="AF102" s="28" t="s">
        <v>18</v>
      </c>
      <c r="AG102" s="38">
        <v>0</v>
      </c>
      <c r="AH102" s="28" t="s">
        <v>298</v>
      </c>
      <c r="AI102" s="28" t="s">
        <v>216</v>
      </c>
      <c r="AJ102" s="28" t="s">
        <v>12</v>
      </c>
      <c r="AK102" s="28">
        <v>2.5</v>
      </c>
      <c r="AL102" s="37" t="s">
        <v>520</v>
      </c>
      <c r="AM102" s="28" t="s">
        <v>113</v>
      </c>
      <c r="AN102" s="28" t="s">
        <v>12</v>
      </c>
      <c r="AO102" s="38">
        <v>0</v>
      </c>
      <c r="AP102" s="28" t="s">
        <v>513</v>
      </c>
      <c r="AQ102" s="28" t="s">
        <v>106</v>
      </c>
      <c r="AR102" s="28" t="s">
        <v>18</v>
      </c>
      <c r="AS102" s="28">
        <v>4.3</v>
      </c>
      <c r="AT102" s="90" t="s">
        <v>552</v>
      </c>
      <c r="AU102" s="28" t="s">
        <v>327</v>
      </c>
      <c r="AV102" s="28" t="s">
        <v>12</v>
      </c>
      <c r="AW102" s="38">
        <v>0</v>
      </c>
      <c r="AX102" s="93" t="s">
        <v>519</v>
      </c>
      <c r="AY102" s="28" t="s">
        <v>327</v>
      </c>
      <c r="AZ102" s="28" t="s">
        <v>12</v>
      </c>
      <c r="BA102" s="39">
        <v>0</v>
      </c>
    </row>
    <row r="103" spans="1:53" s="170" customFormat="1" x14ac:dyDescent="0.15">
      <c r="A103" s="170">
        <v>2001</v>
      </c>
      <c r="B103" s="281">
        <v>37053</v>
      </c>
      <c r="C103" s="395" t="s">
        <v>302</v>
      </c>
      <c r="D103" s="395"/>
      <c r="E103" s="170">
        <f>365-E102</f>
        <v>204</v>
      </c>
      <c r="F103" s="170">
        <v>1</v>
      </c>
      <c r="G103" s="232">
        <v>18</v>
      </c>
      <c r="H103" s="170">
        <v>2</v>
      </c>
      <c r="J103" s="240">
        <v>25</v>
      </c>
      <c r="K103" s="213">
        <f t="shared" ref="K103:K129" si="8">G103/$J103*100</f>
        <v>72</v>
      </c>
      <c r="L103" s="213">
        <f t="shared" ref="L103:L133" si="9">H103/$J103*100</f>
        <v>8</v>
      </c>
      <c r="M103" s="213">
        <f t="shared" ref="M103:M133" si="10">I103/$J103*100</f>
        <v>0</v>
      </c>
      <c r="N103" s="234">
        <f t="shared" si="6"/>
        <v>80</v>
      </c>
      <c r="O103" s="212">
        <v>49.9</v>
      </c>
      <c r="P103" s="213">
        <v>6.5</v>
      </c>
      <c r="Q103" s="213"/>
      <c r="R103" s="214">
        <f t="shared" si="7"/>
        <v>56.4</v>
      </c>
      <c r="S103" s="170">
        <v>3</v>
      </c>
      <c r="T103" s="283">
        <v>37024</v>
      </c>
      <c r="U103" s="281">
        <v>37053</v>
      </c>
      <c r="V103" s="177" t="s">
        <v>509</v>
      </c>
      <c r="W103" s="170" t="s">
        <v>74</v>
      </c>
      <c r="X103" s="170" t="s">
        <v>11</v>
      </c>
      <c r="Y103" s="178">
        <v>28.9</v>
      </c>
      <c r="Z103" s="177" t="s">
        <v>514</v>
      </c>
      <c r="AA103" s="170" t="s">
        <v>27</v>
      </c>
      <c r="AB103" s="170" t="s">
        <v>11</v>
      </c>
      <c r="AC103" s="170">
        <v>16.100000000000001</v>
      </c>
      <c r="AD103" s="177" t="s">
        <v>510</v>
      </c>
      <c r="AE103" s="170" t="s">
        <v>294</v>
      </c>
      <c r="AF103" s="170" t="s">
        <v>11</v>
      </c>
      <c r="AG103" s="178">
        <v>4.9000000000000004</v>
      </c>
      <c r="AH103" s="177" t="s">
        <v>550</v>
      </c>
      <c r="AI103" s="170" t="s">
        <v>85</v>
      </c>
      <c r="AJ103" s="170" t="s">
        <v>18</v>
      </c>
      <c r="AK103" s="170">
        <v>6.5</v>
      </c>
      <c r="AL103" s="177"/>
      <c r="AO103" s="178"/>
      <c r="AP103" s="177"/>
      <c r="AT103" s="250"/>
      <c r="AW103" s="178"/>
      <c r="BA103" s="179"/>
    </row>
    <row r="104" spans="1:53" s="170" customFormat="1" x14ac:dyDescent="0.15">
      <c r="A104" s="170">
        <v>2002</v>
      </c>
      <c r="B104" s="281"/>
      <c r="C104" s="395" t="s">
        <v>302</v>
      </c>
      <c r="D104" s="395"/>
      <c r="E104" s="170">
        <v>0</v>
      </c>
      <c r="G104" s="232">
        <v>18</v>
      </c>
      <c r="H104" s="170">
        <v>2</v>
      </c>
      <c r="J104" s="240">
        <v>25</v>
      </c>
      <c r="K104" s="213">
        <f t="shared" si="8"/>
        <v>72</v>
      </c>
      <c r="L104" s="213">
        <f t="shared" si="9"/>
        <v>8</v>
      </c>
      <c r="M104" s="213">
        <f t="shared" si="10"/>
        <v>0</v>
      </c>
      <c r="N104" s="234">
        <f t="shared" si="6"/>
        <v>80</v>
      </c>
      <c r="O104" s="212">
        <v>49.9</v>
      </c>
      <c r="P104" s="213">
        <v>6.5</v>
      </c>
      <c r="Q104" s="213"/>
      <c r="R104" s="214">
        <f t="shared" si="7"/>
        <v>56.4</v>
      </c>
      <c r="S104" s="170">
        <v>3</v>
      </c>
      <c r="T104" s="283"/>
      <c r="U104" s="281"/>
      <c r="V104" s="177" t="s">
        <v>509</v>
      </c>
      <c r="W104" s="170" t="s">
        <v>74</v>
      </c>
      <c r="X104" s="170" t="s">
        <v>11</v>
      </c>
      <c r="Y104" s="178">
        <v>28.9</v>
      </c>
      <c r="Z104" s="177" t="s">
        <v>514</v>
      </c>
      <c r="AA104" s="170" t="s">
        <v>27</v>
      </c>
      <c r="AB104" s="170" t="s">
        <v>11</v>
      </c>
      <c r="AC104" s="170">
        <v>16.100000000000001</v>
      </c>
      <c r="AD104" s="177" t="s">
        <v>510</v>
      </c>
      <c r="AE104" s="170" t="s">
        <v>294</v>
      </c>
      <c r="AF104" s="170" t="s">
        <v>11</v>
      </c>
      <c r="AG104" s="178">
        <v>4.9000000000000004</v>
      </c>
      <c r="AH104" s="177" t="s">
        <v>550</v>
      </c>
      <c r="AI104" s="170" t="s">
        <v>85</v>
      </c>
      <c r="AJ104" s="170" t="s">
        <v>18</v>
      </c>
      <c r="AK104" s="170">
        <v>6.5</v>
      </c>
      <c r="AL104" s="177"/>
      <c r="AO104" s="178"/>
      <c r="AP104" s="177"/>
      <c r="AT104" s="250"/>
      <c r="AW104" s="178"/>
      <c r="BA104" s="179"/>
    </row>
    <row r="105" spans="1:53" s="170" customFormat="1" x14ac:dyDescent="0.15">
      <c r="A105" s="170">
        <v>2002</v>
      </c>
      <c r="B105" s="281"/>
      <c r="C105" s="395" t="s">
        <v>302</v>
      </c>
      <c r="D105" s="395"/>
      <c r="E105" s="170">
        <f>365-E104</f>
        <v>365</v>
      </c>
      <c r="G105" s="232">
        <v>18</v>
      </c>
      <c r="H105" s="170">
        <v>2</v>
      </c>
      <c r="J105" s="240">
        <v>25</v>
      </c>
      <c r="K105" s="213">
        <f t="shared" si="8"/>
        <v>72</v>
      </c>
      <c r="L105" s="213">
        <f t="shared" si="9"/>
        <v>8</v>
      </c>
      <c r="M105" s="213">
        <f t="shared" si="10"/>
        <v>0</v>
      </c>
      <c r="N105" s="234">
        <f t="shared" si="6"/>
        <v>80</v>
      </c>
      <c r="O105" s="212">
        <v>49.9</v>
      </c>
      <c r="P105" s="213">
        <v>6.5</v>
      </c>
      <c r="Q105" s="213"/>
      <c r="R105" s="214">
        <f t="shared" si="7"/>
        <v>56.4</v>
      </c>
      <c r="S105" s="170">
        <v>3</v>
      </c>
      <c r="T105" s="283"/>
      <c r="U105" s="281"/>
      <c r="V105" s="177" t="s">
        <v>509</v>
      </c>
      <c r="W105" s="170" t="s">
        <v>74</v>
      </c>
      <c r="X105" s="170" t="s">
        <v>11</v>
      </c>
      <c r="Y105" s="178">
        <v>28.9</v>
      </c>
      <c r="Z105" s="177" t="s">
        <v>514</v>
      </c>
      <c r="AA105" s="170" t="s">
        <v>27</v>
      </c>
      <c r="AB105" s="170" t="s">
        <v>11</v>
      </c>
      <c r="AC105" s="170">
        <v>16.100000000000001</v>
      </c>
      <c r="AD105" s="177" t="s">
        <v>510</v>
      </c>
      <c r="AE105" s="170" t="s">
        <v>294</v>
      </c>
      <c r="AF105" s="170" t="s">
        <v>11</v>
      </c>
      <c r="AG105" s="178">
        <v>4.9000000000000004</v>
      </c>
      <c r="AH105" s="177" t="s">
        <v>550</v>
      </c>
      <c r="AI105" s="170" t="s">
        <v>85</v>
      </c>
      <c r="AJ105" s="170" t="s">
        <v>18</v>
      </c>
      <c r="AK105" s="170">
        <v>6.5</v>
      </c>
      <c r="AL105" s="177"/>
      <c r="AO105" s="178"/>
      <c r="AP105" s="177"/>
      <c r="AT105" s="250"/>
      <c r="AW105" s="178"/>
      <c r="BA105" s="179"/>
    </row>
    <row r="106" spans="1:53" s="170" customFormat="1" x14ac:dyDescent="0.15">
      <c r="A106" s="170">
        <v>2003</v>
      </c>
      <c r="B106" s="281"/>
      <c r="C106" s="395" t="s">
        <v>302</v>
      </c>
      <c r="D106" s="395"/>
      <c r="E106" s="170">
        <v>0</v>
      </c>
      <c r="G106" s="232">
        <v>18</v>
      </c>
      <c r="H106" s="170">
        <v>2</v>
      </c>
      <c r="J106" s="240">
        <v>25</v>
      </c>
      <c r="K106" s="213">
        <f t="shared" si="8"/>
        <v>72</v>
      </c>
      <c r="L106" s="213">
        <f t="shared" si="9"/>
        <v>8</v>
      </c>
      <c r="M106" s="213">
        <f t="shared" si="10"/>
        <v>0</v>
      </c>
      <c r="N106" s="234">
        <f t="shared" si="6"/>
        <v>80</v>
      </c>
      <c r="O106" s="212">
        <v>49.9</v>
      </c>
      <c r="P106" s="213">
        <v>6.5</v>
      </c>
      <c r="Q106" s="213"/>
      <c r="R106" s="214">
        <f t="shared" si="7"/>
        <v>56.4</v>
      </c>
      <c r="S106" s="170">
        <v>3</v>
      </c>
      <c r="T106" s="283"/>
      <c r="U106" s="281"/>
      <c r="V106" s="177" t="s">
        <v>509</v>
      </c>
      <c r="W106" s="170" t="s">
        <v>74</v>
      </c>
      <c r="X106" s="170" t="s">
        <v>11</v>
      </c>
      <c r="Y106" s="178">
        <v>28.9</v>
      </c>
      <c r="Z106" s="177" t="s">
        <v>514</v>
      </c>
      <c r="AA106" s="170" t="s">
        <v>27</v>
      </c>
      <c r="AB106" s="170" t="s">
        <v>11</v>
      </c>
      <c r="AC106" s="170">
        <v>16.100000000000001</v>
      </c>
      <c r="AD106" s="177" t="s">
        <v>510</v>
      </c>
      <c r="AE106" s="170" t="s">
        <v>294</v>
      </c>
      <c r="AF106" s="170" t="s">
        <v>11</v>
      </c>
      <c r="AG106" s="178">
        <v>4.9000000000000004</v>
      </c>
      <c r="AH106" s="177" t="s">
        <v>550</v>
      </c>
      <c r="AI106" s="170" t="s">
        <v>85</v>
      </c>
      <c r="AJ106" s="170" t="s">
        <v>18</v>
      </c>
      <c r="AK106" s="170">
        <v>6.5</v>
      </c>
      <c r="AL106" s="177"/>
      <c r="AO106" s="178"/>
      <c r="AP106" s="177"/>
      <c r="AT106" s="250"/>
      <c r="AW106" s="178"/>
      <c r="BA106" s="179"/>
    </row>
    <row r="107" spans="1:53" s="170" customFormat="1" x14ac:dyDescent="0.15">
      <c r="A107" s="170">
        <v>2003</v>
      </c>
      <c r="B107" s="281"/>
      <c r="C107" s="395" t="s">
        <v>302</v>
      </c>
      <c r="D107" s="395"/>
      <c r="E107" s="170">
        <f>365-E106</f>
        <v>365</v>
      </c>
      <c r="G107" s="232">
        <v>18</v>
      </c>
      <c r="H107" s="170">
        <v>2</v>
      </c>
      <c r="J107" s="240">
        <v>25</v>
      </c>
      <c r="K107" s="213">
        <f t="shared" si="8"/>
        <v>72</v>
      </c>
      <c r="L107" s="213">
        <f t="shared" si="9"/>
        <v>8</v>
      </c>
      <c r="M107" s="213">
        <f t="shared" si="10"/>
        <v>0</v>
      </c>
      <c r="N107" s="234">
        <f t="shared" si="6"/>
        <v>80</v>
      </c>
      <c r="O107" s="212">
        <v>49.9</v>
      </c>
      <c r="P107" s="213">
        <v>6.5</v>
      </c>
      <c r="Q107" s="213"/>
      <c r="R107" s="214">
        <f t="shared" si="7"/>
        <v>56.4</v>
      </c>
      <c r="S107" s="170">
        <v>3</v>
      </c>
      <c r="T107" s="283"/>
      <c r="U107" s="281"/>
      <c r="V107" s="177" t="s">
        <v>509</v>
      </c>
      <c r="W107" s="170" t="s">
        <v>74</v>
      </c>
      <c r="X107" s="170" t="s">
        <v>11</v>
      </c>
      <c r="Y107" s="178">
        <v>28.9</v>
      </c>
      <c r="Z107" s="177" t="s">
        <v>514</v>
      </c>
      <c r="AA107" s="170" t="s">
        <v>27</v>
      </c>
      <c r="AB107" s="170" t="s">
        <v>11</v>
      </c>
      <c r="AC107" s="170">
        <v>16.100000000000001</v>
      </c>
      <c r="AD107" s="177" t="s">
        <v>510</v>
      </c>
      <c r="AE107" s="170" t="s">
        <v>294</v>
      </c>
      <c r="AF107" s="170" t="s">
        <v>11</v>
      </c>
      <c r="AG107" s="178">
        <v>4.9000000000000004</v>
      </c>
      <c r="AH107" s="177" t="s">
        <v>550</v>
      </c>
      <c r="AI107" s="170" t="s">
        <v>85</v>
      </c>
      <c r="AJ107" s="170" t="s">
        <v>18</v>
      </c>
      <c r="AK107" s="170">
        <v>6.5</v>
      </c>
      <c r="AL107" s="177"/>
      <c r="AO107" s="178"/>
      <c r="AP107" s="177"/>
      <c r="AT107" s="250"/>
      <c r="AW107" s="178"/>
      <c r="BA107" s="179"/>
    </row>
    <row r="108" spans="1:53" s="170" customFormat="1" x14ac:dyDescent="0.15">
      <c r="A108" s="170">
        <v>2004</v>
      </c>
      <c r="B108" s="281"/>
      <c r="C108" s="395" t="s">
        <v>302</v>
      </c>
      <c r="D108" s="395"/>
      <c r="E108" s="170">
        <v>0</v>
      </c>
      <c r="G108" s="232">
        <v>19</v>
      </c>
      <c r="H108" s="170">
        <v>2</v>
      </c>
      <c r="J108" s="240">
        <v>25</v>
      </c>
      <c r="K108" s="213">
        <f t="shared" si="8"/>
        <v>76</v>
      </c>
      <c r="L108" s="213">
        <f t="shared" si="9"/>
        <v>8</v>
      </c>
      <c r="M108" s="213">
        <f t="shared" si="10"/>
        <v>0</v>
      </c>
      <c r="N108" s="234">
        <f t="shared" si="6"/>
        <v>84</v>
      </c>
      <c r="O108" s="212">
        <v>49.9</v>
      </c>
      <c r="P108" s="213">
        <v>6.5</v>
      </c>
      <c r="Q108" s="213"/>
      <c r="R108" s="214">
        <f t="shared" si="7"/>
        <v>56.4</v>
      </c>
      <c r="S108" s="170">
        <v>3</v>
      </c>
      <c r="T108" s="283"/>
      <c r="U108" s="281"/>
      <c r="V108" s="177" t="s">
        <v>509</v>
      </c>
      <c r="W108" s="170" t="s">
        <v>74</v>
      </c>
      <c r="X108" s="170" t="s">
        <v>11</v>
      </c>
      <c r="Y108" s="178">
        <v>28.9</v>
      </c>
      <c r="Z108" s="177" t="s">
        <v>514</v>
      </c>
      <c r="AA108" s="170" t="s">
        <v>27</v>
      </c>
      <c r="AB108" s="170" t="s">
        <v>11</v>
      </c>
      <c r="AC108" s="170">
        <v>16.100000000000001</v>
      </c>
      <c r="AD108" s="177" t="s">
        <v>510</v>
      </c>
      <c r="AE108" s="170" t="s">
        <v>294</v>
      </c>
      <c r="AF108" s="170" t="s">
        <v>11</v>
      </c>
      <c r="AG108" s="178">
        <v>4.9000000000000004</v>
      </c>
      <c r="AH108" s="177" t="s">
        <v>550</v>
      </c>
      <c r="AI108" s="170" t="s">
        <v>85</v>
      </c>
      <c r="AJ108" s="170" t="s">
        <v>18</v>
      </c>
      <c r="AK108" s="170">
        <v>6.5</v>
      </c>
      <c r="AL108" s="177"/>
      <c r="AO108" s="178"/>
      <c r="AP108" s="177"/>
      <c r="AT108" s="250"/>
      <c r="AW108" s="178"/>
      <c r="BA108" s="179"/>
    </row>
    <row r="109" spans="1:53" s="170" customFormat="1" x14ac:dyDescent="0.15">
      <c r="A109" s="170">
        <v>2004</v>
      </c>
      <c r="B109" s="281"/>
      <c r="C109" s="395" t="s">
        <v>302</v>
      </c>
      <c r="D109" s="395"/>
      <c r="E109" s="170">
        <f>366-E108</f>
        <v>366</v>
      </c>
      <c r="G109" s="232">
        <v>19</v>
      </c>
      <c r="H109" s="170">
        <v>2</v>
      </c>
      <c r="J109" s="240">
        <v>25</v>
      </c>
      <c r="K109" s="213">
        <f t="shared" si="8"/>
        <v>76</v>
      </c>
      <c r="L109" s="213">
        <f t="shared" si="9"/>
        <v>8</v>
      </c>
      <c r="M109" s="213">
        <f t="shared" si="10"/>
        <v>0</v>
      </c>
      <c r="N109" s="234">
        <f t="shared" si="6"/>
        <v>84</v>
      </c>
      <c r="O109" s="212">
        <v>49.9</v>
      </c>
      <c r="P109" s="213">
        <v>6.5</v>
      </c>
      <c r="Q109" s="213"/>
      <c r="R109" s="214">
        <f t="shared" si="7"/>
        <v>56.4</v>
      </c>
      <c r="S109" s="170">
        <v>3</v>
      </c>
      <c r="T109" s="283"/>
      <c r="U109" s="281"/>
      <c r="V109" s="177" t="s">
        <v>509</v>
      </c>
      <c r="W109" s="170" t="s">
        <v>74</v>
      </c>
      <c r="X109" s="170" t="s">
        <v>11</v>
      </c>
      <c r="Y109" s="178">
        <v>28.9</v>
      </c>
      <c r="Z109" s="177" t="s">
        <v>514</v>
      </c>
      <c r="AA109" s="170" t="s">
        <v>27</v>
      </c>
      <c r="AB109" s="170" t="s">
        <v>11</v>
      </c>
      <c r="AC109" s="170">
        <v>16.100000000000001</v>
      </c>
      <c r="AD109" s="177" t="s">
        <v>510</v>
      </c>
      <c r="AE109" s="170" t="s">
        <v>294</v>
      </c>
      <c r="AF109" s="170" t="s">
        <v>11</v>
      </c>
      <c r="AG109" s="178">
        <v>4.9000000000000004</v>
      </c>
      <c r="AH109" s="177" t="s">
        <v>550</v>
      </c>
      <c r="AI109" s="170" t="s">
        <v>85</v>
      </c>
      <c r="AJ109" s="170" t="s">
        <v>18</v>
      </c>
      <c r="AK109" s="170">
        <v>6.5</v>
      </c>
      <c r="AL109" s="177"/>
      <c r="AO109" s="178"/>
      <c r="AP109" s="177"/>
      <c r="AT109" s="250"/>
      <c r="AW109" s="178"/>
      <c r="BA109" s="179"/>
    </row>
    <row r="110" spans="1:53" s="170" customFormat="1" x14ac:dyDescent="0.15">
      <c r="A110" s="170">
        <v>2005</v>
      </c>
      <c r="B110" s="281"/>
      <c r="C110" s="395" t="s">
        <v>302</v>
      </c>
      <c r="D110" s="395"/>
      <c r="E110" s="170">
        <v>147</v>
      </c>
      <c r="G110" s="232">
        <v>19</v>
      </c>
      <c r="H110" s="170">
        <v>2</v>
      </c>
      <c r="J110" s="240">
        <v>25</v>
      </c>
      <c r="K110" s="213">
        <f t="shared" si="8"/>
        <v>76</v>
      </c>
      <c r="L110" s="213">
        <f t="shared" si="9"/>
        <v>8</v>
      </c>
      <c r="M110" s="213">
        <f t="shared" si="10"/>
        <v>0</v>
      </c>
      <c r="N110" s="234">
        <f t="shared" si="6"/>
        <v>84</v>
      </c>
      <c r="O110" s="212">
        <v>49.9</v>
      </c>
      <c r="P110" s="213">
        <v>6.5</v>
      </c>
      <c r="Q110" s="213"/>
      <c r="R110" s="214">
        <f t="shared" si="7"/>
        <v>56.4</v>
      </c>
      <c r="S110" s="170">
        <v>3</v>
      </c>
      <c r="T110" s="283"/>
      <c r="U110" s="281"/>
      <c r="V110" s="177" t="s">
        <v>509</v>
      </c>
      <c r="W110" s="170" t="s">
        <v>74</v>
      </c>
      <c r="X110" s="170" t="s">
        <v>11</v>
      </c>
      <c r="Y110" s="178">
        <v>28.9</v>
      </c>
      <c r="Z110" s="177" t="s">
        <v>514</v>
      </c>
      <c r="AA110" s="170" t="s">
        <v>27</v>
      </c>
      <c r="AB110" s="170" t="s">
        <v>11</v>
      </c>
      <c r="AC110" s="170">
        <v>16.100000000000001</v>
      </c>
      <c r="AD110" s="177" t="s">
        <v>510</v>
      </c>
      <c r="AE110" s="170" t="s">
        <v>294</v>
      </c>
      <c r="AF110" s="170" t="s">
        <v>11</v>
      </c>
      <c r="AG110" s="178">
        <v>4.9000000000000004</v>
      </c>
      <c r="AH110" s="177" t="s">
        <v>550</v>
      </c>
      <c r="AI110" s="170" t="s">
        <v>85</v>
      </c>
      <c r="AJ110" s="170" t="s">
        <v>18</v>
      </c>
      <c r="AK110" s="170">
        <v>6.5</v>
      </c>
      <c r="AL110" s="177"/>
      <c r="AO110" s="178"/>
      <c r="AP110" s="177"/>
      <c r="AT110" s="250"/>
      <c r="AW110" s="178"/>
      <c r="BA110" s="179"/>
    </row>
    <row r="111" spans="1:53" s="28" customFormat="1" x14ac:dyDescent="0.15">
      <c r="A111" s="28">
        <v>2005</v>
      </c>
      <c r="B111" s="293">
        <v>38500</v>
      </c>
      <c r="C111" s="394" t="s">
        <v>303</v>
      </c>
      <c r="D111" s="394"/>
      <c r="E111" s="28">
        <f>365-E110</f>
        <v>218</v>
      </c>
      <c r="F111" s="28">
        <v>4</v>
      </c>
      <c r="G111" s="65">
        <v>12</v>
      </c>
      <c r="H111" s="28">
        <v>1</v>
      </c>
      <c r="J111" s="72">
        <v>15</v>
      </c>
      <c r="K111" s="46">
        <f t="shared" si="8"/>
        <v>80</v>
      </c>
      <c r="L111" s="46">
        <f t="shared" si="9"/>
        <v>6.666666666666667</v>
      </c>
      <c r="M111" s="46">
        <f t="shared" si="10"/>
        <v>0</v>
      </c>
      <c r="N111" s="67">
        <f t="shared" si="6"/>
        <v>86.666666666666671</v>
      </c>
      <c r="O111" s="45">
        <v>49.9</v>
      </c>
      <c r="P111" s="46">
        <v>6.5</v>
      </c>
      <c r="Q111" s="46"/>
      <c r="R111" s="47">
        <f t="shared" si="7"/>
        <v>56.4</v>
      </c>
      <c r="S111" s="28">
        <v>3</v>
      </c>
      <c r="T111" s="284"/>
      <c r="U111" s="293">
        <v>38500</v>
      </c>
      <c r="V111" s="37" t="s">
        <v>509</v>
      </c>
      <c r="W111" s="28" t="s">
        <v>74</v>
      </c>
      <c r="X111" s="28" t="s">
        <v>11</v>
      </c>
      <c r="Y111" s="38">
        <v>28.9</v>
      </c>
      <c r="Z111" s="37" t="s">
        <v>514</v>
      </c>
      <c r="AA111" s="28" t="s">
        <v>27</v>
      </c>
      <c r="AB111" s="28" t="s">
        <v>11</v>
      </c>
      <c r="AC111" s="28">
        <v>16.100000000000001</v>
      </c>
      <c r="AD111" s="37" t="s">
        <v>510</v>
      </c>
      <c r="AE111" s="28" t="s">
        <v>294</v>
      </c>
      <c r="AF111" s="28" t="s">
        <v>11</v>
      </c>
      <c r="AG111" s="38">
        <v>4.9000000000000004</v>
      </c>
      <c r="AH111" s="37" t="s">
        <v>550</v>
      </c>
      <c r="AI111" s="28" t="s">
        <v>85</v>
      </c>
      <c r="AJ111" s="28" t="s">
        <v>18</v>
      </c>
      <c r="AK111" s="28">
        <v>6.5</v>
      </c>
      <c r="AL111" s="37" t="s">
        <v>802</v>
      </c>
      <c r="AM111" s="28" t="s">
        <v>327</v>
      </c>
      <c r="AN111" s="28" t="s">
        <v>12</v>
      </c>
      <c r="AO111" s="38">
        <v>0</v>
      </c>
      <c r="AP111" s="37" t="s">
        <v>505</v>
      </c>
      <c r="AQ111" s="28" t="s">
        <v>87</v>
      </c>
      <c r="AR111" s="28" t="s">
        <v>18</v>
      </c>
      <c r="AS111" s="28">
        <v>0</v>
      </c>
      <c r="AT111" s="90"/>
      <c r="AW111" s="38"/>
      <c r="BA111" s="39"/>
    </row>
    <row r="112" spans="1:53" s="28" customFormat="1" x14ac:dyDescent="0.15">
      <c r="A112" s="28">
        <v>2006</v>
      </c>
      <c r="B112" s="293"/>
      <c r="C112" s="394" t="s">
        <v>303</v>
      </c>
      <c r="D112" s="394"/>
      <c r="E112" s="28">
        <v>47</v>
      </c>
      <c r="G112" s="65">
        <v>12</v>
      </c>
      <c r="H112" s="28">
        <v>1</v>
      </c>
      <c r="J112" s="72">
        <v>15</v>
      </c>
      <c r="K112" s="46">
        <f>G112/$J112*100</f>
        <v>80</v>
      </c>
      <c r="L112" s="46">
        <f>H112/$J112*100</f>
        <v>6.666666666666667</v>
      </c>
      <c r="M112" s="46">
        <f>I112/$J112*100</f>
        <v>0</v>
      </c>
      <c r="N112" s="67">
        <f>K112+L112+M112</f>
        <v>86.666666666666671</v>
      </c>
      <c r="O112" s="45">
        <v>49.9</v>
      </c>
      <c r="P112" s="46">
        <v>6.5</v>
      </c>
      <c r="Q112" s="46"/>
      <c r="R112" s="47">
        <f>O112+P112+Q112</f>
        <v>56.4</v>
      </c>
      <c r="S112" s="28">
        <v>3</v>
      </c>
      <c r="T112" s="284"/>
      <c r="U112" s="293"/>
      <c r="V112" s="37" t="s">
        <v>509</v>
      </c>
      <c r="W112" s="28" t="s">
        <v>74</v>
      </c>
      <c r="X112" s="28" t="s">
        <v>11</v>
      </c>
      <c r="Y112" s="38">
        <v>28.9</v>
      </c>
      <c r="Z112" s="37" t="s">
        <v>514</v>
      </c>
      <c r="AA112" s="28" t="s">
        <v>27</v>
      </c>
      <c r="AB112" s="28" t="s">
        <v>11</v>
      </c>
      <c r="AC112" s="28">
        <v>16.100000000000001</v>
      </c>
      <c r="AD112" s="37" t="s">
        <v>510</v>
      </c>
      <c r="AE112" s="28" t="s">
        <v>294</v>
      </c>
      <c r="AF112" s="28" t="s">
        <v>11</v>
      </c>
      <c r="AG112" s="38">
        <v>4.9000000000000004</v>
      </c>
      <c r="AH112" s="37" t="s">
        <v>550</v>
      </c>
      <c r="AI112" s="28" t="s">
        <v>85</v>
      </c>
      <c r="AJ112" s="28" t="s">
        <v>18</v>
      </c>
      <c r="AK112" s="28">
        <v>6.5</v>
      </c>
      <c r="AL112" s="37" t="s">
        <v>802</v>
      </c>
      <c r="AM112" s="28" t="s">
        <v>327</v>
      </c>
      <c r="AN112" s="28" t="s">
        <v>12</v>
      </c>
      <c r="AO112" s="38">
        <v>0</v>
      </c>
      <c r="AP112" s="37" t="s">
        <v>505</v>
      </c>
      <c r="AQ112" s="28" t="s">
        <v>87</v>
      </c>
      <c r="AR112" s="28" t="s">
        <v>18</v>
      </c>
      <c r="AS112" s="28">
        <v>0</v>
      </c>
      <c r="AT112" s="90"/>
      <c r="AW112" s="38"/>
      <c r="BA112" s="39"/>
    </row>
    <row r="113" spans="1:53" s="28" customFormat="1" x14ac:dyDescent="0.15">
      <c r="A113" s="28">
        <v>2006</v>
      </c>
      <c r="B113" s="301">
        <v>38765</v>
      </c>
      <c r="C113" s="394" t="s">
        <v>303</v>
      </c>
      <c r="D113" s="394"/>
      <c r="E113" s="28">
        <v>21</v>
      </c>
      <c r="F113" s="83">
        <v>0</v>
      </c>
      <c r="G113" s="65">
        <v>11</v>
      </c>
      <c r="H113" s="28">
        <v>1</v>
      </c>
      <c r="J113" s="72">
        <v>14</v>
      </c>
      <c r="K113" s="46">
        <f t="shared" si="8"/>
        <v>78.571428571428569</v>
      </c>
      <c r="L113" s="46">
        <f t="shared" si="9"/>
        <v>7.1428571428571423</v>
      </c>
      <c r="M113" s="46">
        <f t="shared" si="10"/>
        <v>0</v>
      </c>
      <c r="N113" s="67">
        <f t="shared" si="6"/>
        <v>85.714285714285708</v>
      </c>
      <c r="O113" s="45">
        <v>49.9</v>
      </c>
      <c r="P113" s="46">
        <v>6.5</v>
      </c>
      <c r="Q113" s="46"/>
      <c r="R113" s="47">
        <f t="shared" si="7"/>
        <v>56.4</v>
      </c>
      <c r="S113" s="28">
        <v>3</v>
      </c>
      <c r="T113" s="284"/>
      <c r="U113" s="293"/>
      <c r="V113" s="37" t="s">
        <v>509</v>
      </c>
      <c r="W113" s="28" t="s">
        <v>74</v>
      </c>
      <c r="X113" s="28" t="s">
        <v>11</v>
      </c>
      <c r="Y113" s="38">
        <v>28.9</v>
      </c>
      <c r="Z113" s="37" t="s">
        <v>514</v>
      </c>
      <c r="AA113" s="28" t="s">
        <v>27</v>
      </c>
      <c r="AB113" s="28" t="s">
        <v>11</v>
      </c>
      <c r="AC113" s="28">
        <v>16.100000000000001</v>
      </c>
      <c r="AD113" s="37" t="s">
        <v>510</v>
      </c>
      <c r="AE113" s="28" t="s">
        <v>294</v>
      </c>
      <c r="AF113" s="28" t="s">
        <v>11</v>
      </c>
      <c r="AG113" s="38">
        <v>4.9000000000000004</v>
      </c>
      <c r="AH113" s="37" t="s">
        <v>550</v>
      </c>
      <c r="AI113" s="28" t="s">
        <v>85</v>
      </c>
      <c r="AJ113" s="28" t="s">
        <v>18</v>
      </c>
      <c r="AK113" s="28">
        <v>6.5</v>
      </c>
      <c r="AL113" s="37" t="s">
        <v>802</v>
      </c>
      <c r="AM113" s="28" t="s">
        <v>327</v>
      </c>
      <c r="AN113" s="28" t="s">
        <v>12</v>
      </c>
      <c r="AO113" s="38">
        <v>0</v>
      </c>
      <c r="AP113" s="37" t="s">
        <v>505</v>
      </c>
      <c r="AQ113" s="28" t="s">
        <v>87</v>
      </c>
      <c r="AR113" s="28" t="s">
        <v>18</v>
      </c>
      <c r="AS113" s="28">
        <v>0</v>
      </c>
      <c r="AT113" s="90"/>
      <c r="AW113" s="38"/>
      <c r="BA113" s="39"/>
    </row>
    <row r="114" spans="1:53" s="28" customFormat="1" x14ac:dyDescent="0.15">
      <c r="A114" s="28">
        <v>2006</v>
      </c>
      <c r="B114" s="301">
        <v>38786</v>
      </c>
      <c r="C114" s="394" t="s">
        <v>303</v>
      </c>
      <c r="D114" s="394"/>
      <c r="E114" s="28">
        <v>68</v>
      </c>
      <c r="F114" s="83">
        <v>0</v>
      </c>
      <c r="G114" s="65">
        <v>10</v>
      </c>
      <c r="H114" s="28">
        <v>1</v>
      </c>
      <c r="J114" s="72">
        <v>13</v>
      </c>
      <c r="K114" s="46">
        <f>G114/$J114*100</f>
        <v>76.923076923076934</v>
      </c>
      <c r="L114" s="46">
        <f>H114/$J114*100</f>
        <v>7.6923076923076925</v>
      </c>
      <c r="M114" s="46">
        <f>I114/$J114*100</f>
        <v>0</v>
      </c>
      <c r="N114" s="67">
        <f>K114+L114+M114</f>
        <v>84.615384615384627</v>
      </c>
      <c r="O114" s="45">
        <v>49.9</v>
      </c>
      <c r="P114" s="46">
        <v>6.5</v>
      </c>
      <c r="Q114" s="46"/>
      <c r="R114" s="47">
        <f>O114+P114+Q114</f>
        <v>56.4</v>
      </c>
      <c r="S114" s="28">
        <v>3</v>
      </c>
      <c r="T114" s="284"/>
      <c r="U114" s="293"/>
      <c r="V114" s="37" t="s">
        <v>509</v>
      </c>
      <c r="W114" s="28" t="s">
        <v>74</v>
      </c>
      <c r="X114" s="28" t="s">
        <v>11</v>
      </c>
      <c r="Y114" s="38">
        <v>28.9</v>
      </c>
      <c r="Z114" s="37" t="s">
        <v>514</v>
      </c>
      <c r="AA114" s="28" t="s">
        <v>27</v>
      </c>
      <c r="AB114" s="28" t="s">
        <v>11</v>
      </c>
      <c r="AC114" s="28">
        <v>16.100000000000001</v>
      </c>
      <c r="AD114" s="37" t="s">
        <v>510</v>
      </c>
      <c r="AE114" s="28" t="s">
        <v>294</v>
      </c>
      <c r="AF114" s="28" t="s">
        <v>11</v>
      </c>
      <c r="AG114" s="38">
        <v>4.9000000000000004</v>
      </c>
      <c r="AH114" s="37" t="s">
        <v>550</v>
      </c>
      <c r="AI114" s="28" t="s">
        <v>85</v>
      </c>
      <c r="AJ114" s="28" t="s">
        <v>18</v>
      </c>
      <c r="AK114" s="28">
        <v>6.5</v>
      </c>
      <c r="AL114" s="37" t="s">
        <v>802</v>
      </c>
      <c r="AM114" s="28" t="s">
        <v>327</v>
      </c>
      <c r="AN114" s="28" t="s">
        <v>12</v>
      </c>
      <c r="AO114" s="38">
        <v>0</v>
      </c>
      <c r="AP114" s="37" t="s">
        <v>505</v>
      </c>
      <c r="AQ114" s="28" t="s">
        <v>87</v>
      </c>
      <c r="AR114" s="28" t="s">
        <v>18</v>
      </c>
      <c r="AS114" s="28">
        <v>0</v>
      </c>
      <c r="AT114" s="90"/>
      <c r="AW114" s="38"/>
      <c r="BA114" s="39"/>
    </row>
    <row r="115" spans="1:53" s="170" customFormat="1" x14ac:dyDescent="0.15">
      <c r="A115" s="170">
        <v>2006</v>
      </c>
      <c r="B115" s="281">
        <v>38854</v>
      </c>
      <c r="C115" s="395" t="s">
        <v>803</v>
      </c>
      <c r="D115" s="395"/>
      <c r="E115" s="170">
        <f>365-E113-E112-E114</f>
        <v>229</v>
      </c>
      <c r="F115" s="170">
        <v>1</v>
      </c>
      <c r="G115" s="232"/>
      <c r="H115" s="170">
        <v>1</v>
      </c>
      <c r="I115" s="170">
        <v>23</v>
      </c>
      <c r="J115" s="240">
        <v>27</v>
      </c>
      <c r="K115" s="213">
        <f t="shared" si="8"/>
        <v>0</v>
      </c>
      <c r="L115" s="213">
        <f t="shared" si="9"/>
        <v>3.7037037037037033</v>
      </c>
      <c r="M115" s="213">
        <f t="shared" si="10"/>
        <v>85.18518518518519</v>
      </c>
      <c r="N115" s="234">
        <f t="shared" si="6"/>
        <v>88.8888888888889</v>
      </c>
      <c r="O115" s="212"/>
      <c r="P115" s="213">
        <v>1.6</v>
      </c>
      <c r="Q115" s="213">
        <v>49.4</v>
      </c>
      <c r="R115" s="214">
        <f t="shared" si="7"/>
        <v>51</v>
      </c>
      <c r="S115" s="170">
        <v>2</v>
      </c>
      <c r="T115" s="283">
        <v>38816</v>
      </c>
      <c r="U115" s="281">
        <v>38854</v>
      </c>
      <c r="V115" s="177" t="s">
        <v>800</v>
      </c>
      <c r="W115" s="170" t="s">
        <v>304</v>
      </c>
      <c r="X115" s="170" t="s">
        <v>12</v>
      </c>
      <c r="Y115" s="178">
        <v>34.9</v>
      </c>
      <c r="Z115" s="177" t="s">
        <v>518</v>
      </c>
      <c r="AA115" s="170" t="s">
        <v>305</v>
      </c>
      <c r="AB115" s="170" t="s">
        <v>12</v>
      </c>
      <c r="AC115" s="178">
        <v>6.5</v>
      </c>
      <c r="AD115" s="170" t="s">
        <v>801</v>
      </c>
      <c r="AE115" s="170" t="s">
        <v>96</v>
      </c>
      <c r="AF115" s="170" t="s">
        <v>12</v>
      </c>
      <c r="AG115" s="170">
        <v>2.9</v>
      </c>
      <c r="AH115" s="177" t="s">
        <v>570</v>
      </c>
      <c r="AI115" s="170" t="s">
        <v>306</v>
      </c>
      <c r="AJ115" s="170" t="s">
        <v>12</v>
      </c>
      <c r="AK115" s="170">
        <v>2.7</v>
      </c>
      <c r="AL115" s="177" t="s">
        <v>298</v>
      </c>
      <c r="AM115" s="170" t="s">
        <v>216</v>
      </c>
      <c r="AN115" s="170" t="s">
        <v>12</v>
      </c>
      <c r="AO115" s="178">
        <v>2.4</v>
      </c>
      <c r="AP115" s="177" t="s">
        <v>517</v>
      </c>
      <c r="AQ115" s="170" t="s">
        <v>327</v>
      </c>
      <c r="AR115" s="170" t="s">
        <v>18</v>
      </c>
      <c r="AS115" s="170">
        <v>1.6</v>
      </c>
      <c r="AT115" s="250"/>
      <c r="AW115" s="178"/>
      <c r="BA115" s="179"/>
    </row>
    <row r="116" spans="1:53" s="170" customFormat="1" x14ac:dyDescent="0.15">
      <c r="A116" s="170">
        <v>2007</v>
      </c>
      <c r="B116" s="281"/>
      <c r="C116" s="395" t="s">
        <v>803</v>
      </c>
      <c r="D116" s="395"/>
      <c r="E116" s="170">
        <v>0</v>
      </c>
      <c r="G116" s="232"/>
      <c r="H116" s="170">
        <v>1</v>
      </c>
      <c r="I116" s="170">
        <v>23</v>
      </c>
      <c r="J116" s="240">
        <v>27</v>
      </c>
      <c r="K116" s="213">
        <f t="shared" si="8"/>
        <v>0</v>
      </c>
      <c r="L116" s="213">
        <f t="shared" si="9"/>
        <v>3.7037037037037033</v>
      </c>
      <c r="M116" s="213">
        <f t="shared" si="10"/>
        <v>85.18518518518519</v>
      </c>
      <c r="N116" s="234">
        <f t="shared" si="6"/>
        <v>88.8888888888889</v>
      </c>
      <c r="O116" s="212"/>
      <c r="P116" s="213">
        <v>1.6</v>
      </c>
      <c r="Q116" s="213">
        <v>49.4</v>
      </c>
      <c r="R116" s="214">
        <f t="shared" si="7"/>
        <v>51</v>
      </c>
      <c r="S116" s="170">
        <v>2</v>
      </c>
      <c r="T116" s="283"/>
      <c r="U116" s="281"/>
      <c r="V116" s="177" t="s">
        <v>800</v>
      </c>
      <c r="W116" s="170" t="s">
        <v>304</v>
      </c>
      <c r="X116" s="170" t="s">
        <v>12</v>
      </c>
      <c r="Y116" s="178">
        <v>34.9</v>
      </c>
      <c r="Z116" s="177" t="s">
        <v>518</v>
      </c>
      <c r="AA116" s="170" t="s">
        <v>305</v>
      </c>
      <c r="AB116" s="170" t="s">
        <v>12</v>
      </c>
      <c r="AC116" s="178">
        <v>6.5</v>
      </c>
      <c r="AD116" s="170" t="s">
        <v>801</v>
      </c>
      <c r="AE116" s="170" t="s">
        <v>96</v>
      </c>
      <c r="AF116" s="170" t="s">
        <v>12</v>
      </c>
      <c r="AG116" s="170">
        <v>2.9</v>
      </c>
      <c r="AH116" s="177" t="s">
        <v>570</v>
      </c>
      <c r="AI116" s="170" t="s">
        <v>306</v>
      </c>
      <c r="AJ116" s="170" t="s">
        <v>12</v>
      </c>
      <c r="AK116" s="170">
        <v>2.7</v>
      </c>
      <c r="AL116" s="177" t="s">
        <v>298</v>
      </c>
      <c r="AM116" s="170" t="s">
        <v>216</v>
      </c>
      <c r="AN116" s="170" t="s">
        <v>12</v>
      </c>
      <c r="AO116" s="178">
        <v>2.4</v>
      </c>
      <c r="AP116" s="177" t="s">
        <v>517</v>
      </c>
      <c r="AQ116" s="170" t="s">
        <v>327</v>
      </c>
      <c r="AR116" s="170" t="s">
        <v>18</v>
      </c>
      <c r="AS116" s="170">
        <v>1.6</v>
      </c>
      <c r="AT116" s="250"/>
      <c r="AW116" s="178"/>
      <c r="BA116" s="179"/>
    </row>
    <row r="117" spans="1:53" s="170" customFormat="1" x14ac:dyDescent="0.15">
      <c r="A117" s="170">
        <v>2007</v>
      </c>
      <c r="B117" s="281"/>
      <c r="C117" s="395" t="s">
        <v>803</v>
      </c>
      <c r="D117" s="395"/>
      <c r="E117" s="170">
        <v>365</v>
      </c>
      <c r="G117" s="232"/>
      <c r="H117" s="170">
        <v>1</v>
      </c>
      <c r="I117" s="170">
        <v>23</v>
      </c>
      <c r="J117" s="240">
        <v>27</v>
      </c>
      <c r="K117" s="213">
        <f t="shared" si="8"/>
        <v>0</v>
      </c>
      <c r="L117" s="213">
        <f t="shared" si="9"/>
        <v>3.7037037037037033</v>
      </c>
      <c r="M117" s="213">
        <f t="shared" si="10"/>
        <v>85.18518518518519</v>
      </c>
      <c r="N117" s="234">
        <f t="shared" si="6"/>
        <v>88.8888888888889</v>
      </c>
      <c r="O117" s="212"/>
      <c r="P117" s="213">
        <v>1.6</v>
      </c>
      <c r="Q117" s="213">
        <v>49.4</v>
      </c>
      <c r="R117" s="214">
        <f t="shared" si="7"/>
        <v>51</v>
      </c>
      <c r="S117" s="170">
        <v>2</v>
      </c>
      <c r="T117" s="283"/>
      <c r="U117" s="281"/>
      <c r="V117" s="177" t="s">
        <v>800</v>
      </c>
      <c r="W117" s="170" t="s">
        <v>304</v>
      </c>
      <c r="X117" s="170" t="s">
        <v>12</v>
      </c>
      <c r="Y117" s="178">
        <v>34.9</v>
      </c>
      <c r="Z117" s="177" t="s">
        <v>518</v>
      </c>
      <c r="AA117" s="170" t="s">
        <v>305</v>
      </c>
      <c r="AB117" s="170" t="s">
        <v>12</v>
      </c>
      <c r="AC117" s="178">
        <v>6.5</v>
      </c>
      <c r="AD117" s="170" t="s">
        <v>801</v>
      </c>
      <c r="AE117" s="170" t="s">
        <v>96</v>
      </c>
      <c r="AF117" s="170" t="s">
        <v>12</v>
      </c>
      <c r="AG117" s="170">
        <v>2.9</v>
      </c>
      <c r="AH117" s="177" t="s">
        <v>570</v>
      </c>
      <c r="AI117" s="170" t="s">
        <v>306</v>
      </c>
      <c r="AJ117" s="170" t="s">
        <v>12</v>
      </c>
      <c r="AK117" s="170">
        <v>2.7</v>
      </c>
      <c r="AL117" s="177" t="s">
        <v>298</v>
      </c>
      <c r="AM117" s="170" t="s">
        <v>216</v>
      </c>
      <c r="AN117" s="170" t="s">
        <v>12</v>
      </c>
      <c r="AO117" s="178">
        <v>2.4</v>
      </c>
      <c r="AP117" s="177" t="s">
        <v>517</v>
      </c>
      <c r="AQ117" s="170" t="s">
        <v>327</v>
      </c>
      <c r="AR117" s="170" t="s">
        <v>18</v>
      </c>
      <c r="AS117" s="170">
        <v>1.6</v>
      </c>
      <c r="AT117" s="250"/>
      <c r="AW117" s="178"/>
      <c r="BA117" s="179"/>
    </row>
    <row r="118" spans="1:53" s="170" customFormat="1" x14ac:dyDescent="0.15">
      <c r="A118" s="170">
        <v>2008</v>
      </c>
      <c r="B118" s="281"/>
      <c r="C118" s="395" t="s">
        <v>803</v>
      </c>
      <c r="D118" s="395"/>
      <c r="E118" s="170">
        <v>128</v>
      </c>
      <c r="G118" s="232"/>
      <c r="H118" s="170">
        <v>1</v>
      </c>
      <c r="I118" s="170">
        <v>23</v>
      </c>
      <c r="J118" s="240">
        <v>27</v>
      </c>
      <c r="K118" s="213">
        <f t="shared" si="8"/>
        <v>0</v>
      </c>
      <c r="L118" s="213">
        <f t="shared" si="9"/>
        <v>3.7037037037037033</v>
      </c>
      <c r="M118" s="213">
        <f t="shared" si="10"/>
        <v>85.18518518518519</v>
      </c>
      <c r="N118" s="234">
        <f t="shared" si="6"/>
        <v>88.8888888888889</v>
      </c>
      <c r="O118" s="212"/>
      <c r="P118" s="213">
        <v>1.6</v>
      </c>
      <c r="Q118" s="213">
        <v>49.4</v>
      </c>
      <c r="R118" s="214">
        <f t="shared" si="7"/>
        <v>51</v>
      </c>
      <c r="S118" s="170">
        <v>2</v>
      </c>
      <c r="T118" s="283"/>
      <c r="U118" s="281"/>
      <c r="V118" s="177" t="s">
        <v>800</v>
      </c>
      <c r="W118" s="170" t="s">
        <v>304</v>
      </c>
      <c r="X118" s="170" t="s">
        <v>12</v>
      </c>
      <c r="Y118" s="178">
        <v>34.9</v>
      </c>
      <c r="Z118" s="177" t="s">
        <v>518</v>
      </c>
      <c r="AA118" s="170" t="s">
        <v>305</v>
      </c>
      <c r="AB118" s="170" t="s">
        <v>12</v>
      </c>
      <c r="AC118" s="178">
        <v>6.5</v>
      </c>
      <c r="AD118" s="170" t="s">
        <v>801</v>
      </c>
      <c r="AE118" s="170" t="s">
        <v>96</v>
      </c>
      <c r="AF118" s="170" t="s">
        <v>12</v>
      </c>
      <c r="AG118" s="170">
        <v>2.9</v>
      </c>
      <c r="AH118" s="177" t="s">
        <v>570</v>
      </c>
      <c r="AI118" s="170" t="s">
        <v>306</v>
      </c>
      <c r="AJ118" s="170" t="s">
        <v>12</v>
      </c>
      <c r="AK118" s="170">
        <v>2.7</v>
      </c>
      <c r="AL118" s="177" t="s">
        <v>298</v>
      </c>
      <c r="AM118" s="170" t="s">
        <v>216</v>
      </c>
      <c r="AN118" s="170" t="s">
        <v>12</v>
      </c>
      <c r="AO118" s="178">
        <v>2.4</v>
      </c>
      <c r="AP118" s="177" t="s">
        <v>517</v>
      </c>
      <c r="AQ118" s="170" t="s">
        <v>327</v>
      </c>
      <c r="AR118" s="170" t="s">
        <v>18</v>
      </c>
      <c r="AS118" s="170">
        <v>1.6</v>
      </c>
      <c r="AT118" s="250"/>
      <c r="AW118" s="178"/>
      <c r="BA118" s="179"/>
    </row>
    <row r="119" spans="1:53" s="28" customFormat="1" x14ac:dyDescent="0.15">
      <c r="A119" s="28">
        <v>2008</v>
      </c>
      <c r="B119" s="293">
        <v>39576</v>
      </c>
      <c r="C119" s="394" t="s">
        <v>307</v>
      </c>
      <c r="D119" s="394"/>
      <c r="E119" s="28">
        <f>366-E118</f>
        <v>238</v>
      </c>
      <c r="F119" s="28">
        <v>1</v>
      </c>
      <c r="G119" s="65">
        <f>13+4+4</f>
        <v>21</v>
      </c>
      <c r="H119" s="28">
        <v>1</v>
      </c>
      <c r="J119" s="72">
        <v>22</v>
      </c>
      <c r="K119" s="46">
        <f t="shared" si="8"/>
        <v>95.454545454545453</v>
      </c>
      <c r="L119" s="46">
        <f t="shared" si="9"/>
        <v>4.5454545454545459</v>
      </c>
      <c r="M119" s="46">
        <f t="shared" si="10"/>
        <v>0</v>
      </c>
      <c r="N119" s="67">
        <f t="shared" si="6"/>
        <v>100</v>
      </c>
      <c r="O119" s="45">
        <f>43.8+9.5</f>
        <v>53.3</v>
      </c>
      <c r="P119" s="46"/>
      <c r="Q119" s="46"/>
      <c r="R119" s="47">
        <f t="shared" si="7"/>
        <v>53.3</v>
      </c>
      <c r="S119" s="28">
        <v>2</v>
      </c>
      <c r="T119" s="284">
        <v>39551</v>
      </c>
      <c r="U119" s="293">
        <v>39576</v>
      </c>
      <c r="V119" s="37" t="s">
        <v>515</v>
      </c>
      <c r="W119" s="28" t="s">
        <v>78</v>
      </c>
      <c r="X119" s="28" t="s">
        <v>11</v>
      </c>
      <c r="Y119" s="38">
        <v>43.8</v>
      </c>
      <c r="Z119" s="28" t="s">
        <v>510</v>
      </c>
      <c r="AA119" s="28" t="s">
        <v>294</v>
      </c>
      <c r="AB119" s="28" t="s">
        <v>11</v>
      </c>
      <c r="AC119" s="38">
        <v>9.5</v>
      </c>
      <c r="AD119" s="28" t="s">
        <v>516</v>
      </c>
      <c r="AE119" s="28" t="s">
        <v>327</v>
      </c>
      <c r="AF119" s="28" t="s">
        <v>18</v>
      </c>
      <c r="AG119" s="28">
        <v>0</v>
      </c>
      <c r="AH119" s="37"/>
      <c r="AL119" s="37"/>
      <c r="AO119" s="38"/>
      <c r="AP119" s="37"/>
      <c r="AT119" s="90"/>
      <c r="AW119" s="38"/>
      <c r="BA119" s="39"/>
    </row>
    <row r="120" spans="1:53" s="28" customFormat="1" x14ac:dyDescent="0.15">
      <c r="A120" s="28">
        <v>2009</v>
      </c>
      <c r="B120" s="293"/>
      <c r="C120" s="394" t="s">
        <v>307</v>
      </c>
      <c r="D120" s="394"/>
      <c r="E120" s="28">
        <v>127</v>
      </c>
      <c r="G120" s="65">
        <v>21</v>
      </c>
      <c r="H120" s="28">
        <v>1</v>
      </c>
      <c r="J120" s="72">
        <v>22</v>
      </c>
      <c r="K120" s="46">
        <f t="shared" si="8"/>
        <v>95.454545454545453</v>
      </c>
      <c r="L120" s="46">
        <f t="shared" si="9"/>
        <v>4.5454545454545459</v>
      </c>
      <c r="M120" s="46">
        <f t="shared" si="10"/>
        <v>0</v>
      </c>
      <c r="N120" s="67">
        <f t="shared" si="6"/>
        <v>100</v>
      </c>
      <c r="O120" s="45">
        <v>53.3</v>
      </c>
      <c r="P120" s="46"/>
      <c r="Q120" s="46"/>
      <c r="R120" s="47">
        <f t="shared" si="7"/>
        <v>53.3</v>
      </c>
      <c r="S120" s="28">
        <v>2</v>
      </c>
      <c r="T120" s="284"/>
      <c r="U120" s="293"/>
      <c r="V120" s="37" t="s">
        <v>515</v>
      </c>
      <c r="W120" s="28" t="s">
        <v>78</v>
      </c>
      <c r="X120" s="28" t="s">
        <v>11</v>
      </c>
      <c r="Y120" s="38">
        <v>43.8</v>
      </c>
      <c r="Z120" s="28" t="s">
        <v>510</v>
      </c>
      <c r="AA120" s="28" t="s">
        <v>294</v>
      </c>
      <c r="AB120" s="28" t="s">
        <v>11</v>
      </c>
      <c r="AC120" s="38">
        <v>9.5</v>
      </c>
      <c r="AD120" s="28" t="s">
        <v>516</v>
      </c>
      <c r="AE120" s="28" t="s">
        <v>327</v>
      </c>
      <c r="AF120" s="28" t="s">
        <v>18</v>
      </c>
      <c r="AG120" s="28">
        <v>0</v>
      </c>
      <c r="AH120" s="37"/>
      <c r="AL120" s="37"/>
      <c r="AO120" s="38"/>
      <c r="AP120" s="37"/>
      <c r="AT120" s="90"/>
      <c r="AW120" s="38"/>
      <c r="BA120" s="39"/>
    </row>
    <row r="121" spans="1:53" s="28" customFormat="1" x14ac:dyDescent="0.15">
      <c r="A121" s="28">
        <v>2009</v>
      </c>
      <c r="B121" s="301">
        <v>39941</v>
      </c>
      <c r="C121" s="394" t="s">
        <v>307</v>
      </c>
      <c r="D121" s="394"/>
      <c r="E121" s="28">
        <v>220</v>
      </c>
      <c r="F121" s="83">
        <v>0</v>
      </c>
      <c r="G121" s="65">
        <v>23</v>
      </c>
      <c r="J121" s="72">
        <v>23</v>
      </c>
      <c r="K121" s="46">
        <f t="shared" si="8"/>
        <v>100</v>
      </c>
      <c r="L121" s="46">
        <f t="shared" si="9"/>
        <v>0</v>
      </c>
      <c r="M121" s="46">
        <f t="shared" si="10"/>
        <v>0</v>
      </c>
      <c r="N121" s="67">
        <f t="shared" si="6"/>
        <v>100</v>
      </c>
      <c r="O121" s="45">
        <v>53.3</v>
      </c>
      <c r="P121" s="46"/>
      <c r="Q121" s="46"/>
      <c r="R121" s="47">
        <f t="shared" si="7"/>
        <v>53.3</v>
      </c>
      <c r="S121" s="28">
        <v>2</v>
      </c>
      <c r="T121" s="284"/>
      <c r="U121" s="293"/>
      <c r="V121" s="37" t="s">
        <v>515</v>
      </c>
      <c r="W121" s="28" t="s">
        <v>78</v>
      </c>
      <c r="X121" s="28" t="s">
        <v>11</v>
      </c>
      <c r="Y121" s="38">
        <v>43.8</v>
      </c>
      <c r="Z121" s="28" t="s">
        <v>510</v>
      </c>
      <c r="AA121" s="28" t="s">
        <v>294</v>
      </c>
      <c r="AB121" s="28" t="s">
        <v>11</v>
      </c>
      <c r="AC121" s="38">
        <v>9.5</v>
      </c>
      <c r="AD121" s="28" t="s">
        <v>516</v>
      </c>
      <c r="AE121" s="28" t="s">
        <v>327</v>
      </c>
      <c r="AF121" s="28" t="s">
        <v>18</v>
      </c>
      <c r="AG121" s="28">
        <v>0</v>
      </c>
      <c r="AH121" s="37"/>
      <c r="AL121" s="37"/>
      <c r="AO121" s="38"/>
      <c r="AP121" s="37"/>
      <c r="AT121" s="90"/>
      <c r="AW121" s="38"/>
      <c r="BA121" s="39"/>
    </row>
    <row r="122" spans="1:53" s="28" customFormat="1" x14ac:dyDescent="0.15">
      <c r="A122" s="28">
        <v>2009</v>
      </c>
      <c r="B122" s="301">
        <v>40161</v>
      </c>
      <c r="C122" s="394" t="s">
        <v>307</v>
      </c>
      <c r="D122" s="394"/>
      <c r="E122" s="28">
        <f>365-E121-E120</f>
        <v>18</v>
      </c>
      <c r="F122" s="83">
        <v>0</v>
      </c>
      <c r="G122" s="65">
        <v>24</v>
      </c>
      <c r="J122" s="72">
        <v>24</v>
      </c>
      <c r="K122" s="46">
        <f t="shared" si="8"/>
        <v>100</v>
      </c>
      <c r="L122" s="46">
        <f t="shared" si="9"/>
        <v>0</v>
      </c>
      <c r="M122" s="46">
        <f t="shared" si="10"/>
        <v>0</v>
      </c>
      <c r="N122" s="67">
        <f t="shared" si="6"/>
        <v>100</v>
      </c>
      <c r="O122" s="45">
        <v>53.3</v>
      </c>
      <c r="P122" s="46"/>
      <c r="Q122" s="46"/>
      <c r="R122" s="47">
        <f t="shared" si="7"/>
        <v>53.3</v>
      </c>
      <c r="S122" s="28">
        <v>2</v>
      </c>
      <c r="T122" s="284"/>
      <c r="U122" s="293"/>
      <c r="V122" s="37" t="s">
        <v>515</v>
      </c>
      <c r="W122" s="28" t="s">
        <v>78</v>
      </c>
      <c r="X122" s="28" t="s">
        <v>11</v>
      </c>
      <c r="Y122" s="38">
        <v>43.8</v>
      </c>
      <c r="Z122" s="28" t="s">
        <v>510</v>
      </c>
      <c r="AA122" s="28" t="s">
        <v>294</v>
      </c>
      <c r="AB122" s="28" t="s">
        <v>11</v>
      </c>
      <c r="AC122" s="38">
        <v>9.5</v>
      </c>
      <c r="AD122" s="28" t="s">
        <v>516</v>
      </c>
      <c r="AE122" s="28" t="s">
        <v>327</v>
      </c>
      <c r="AF122" s="28" t="s">
        <v>18</v>
      </c>
      <c r="AG122" s="28">
        <v>0</v>
      </c>
      <c r="AH122" s="37"/>
      <c r="AL122" s="37"/>
      <c r="AO122" s="38"/>
      <c r="AP122" s="37"/>
      <c r="AT122" s="90"/>
      <c r="AW122" s="38"/>
      <c r="BA122" s="39"/>
    </row>
    <row r="123" spans="1:53" s="28" customFormat="1" x14ac:dyDescent="0.15">
      <c r="A123" s="28">
        <v>2010</v>
      </c>
      <c r="B123" s="301"/>
      <c r="C123" s="394" t="s">
        <v>307</v>
      </c>
      <c r="D123" s="394"/>
      <c r="E123" s="28">
        <v>168</v>
      </c>
      <c r="F123" s="83"/>
      <c r="G123" s="65">
        <v>24</v>
      </c>
      <c r="J123" s="72">
        <v>24</v>
      </c>
      <c r="K123" s="46">
        <f t="shared" si="8"/>
        <v>100</v>
      </c>
      <c r="L123" s="46">
        <f t="shared" si="9"/>
        <v>0</v>
      </c>
      <c r="M123" s="46">
        <f t="shared" si="10"/>
        <v>0</v>
      </c>
      <c r="N123" s="67">
        <f t="shared" si="6"/>
        <v>100</v>
      </c>
      <c r="O123" s="45">
        <v>53.3</v>
      </c>
      <c r="P123" s="46"/>
      <c r="Q123" s="46"/>
      <c r="R123" s="47">
        <f t="shared" si="7"/>
        <v>53.3</v>
      </c>
      <c r="S123" s="28">
        <v>2</v>
      </c>
      <c r="T123" s="284"/>
      <c r="U123" s="293"/>
      <c r="V123" s="37" t="s">
        <v>515</v>
      </c>
      <c r="W123" s="28" t="s">
        <v>78</v>
      </c>
      <c r="X123" s="28" t="s">
        <v>11</v>
      </c>
      <c r="Y123" s="38">
        <v>43.8</v>
      </c>
      <c r="Z123" s="28" t="s">
        <v>510</v>
      </c>
      <c r="AA123" s="28" t="s">
        <v>294</v>
      </c>
      <c r="AB123" s="28" t="s">
        <v>11</v>
      </c>
      <c r="AC123" s="38">
        <v>9.5</v>
      </c>
      <c r="AD123" s="28" t="s">
        <v>516</v>
      </c>
      <c r="AE123" s="28" t="s">
        <v>327</v>
      </c>
      <c r="AF123" s="28" t="s">
        <v>18</v>
      </c>
      <c r="AG123" s="28">
        <v>0</v>
      </c>
      <c r="AH123" s="37"/>
      <c r="AL123" s="37"/>
      <c r="AO123" s="38"/>
      <c r="AP123" s="37"/>
      <c r="AT123" s="90"/>
      <c r="AW123" s="38"/>
      <c r="BA123" s="39"/>
    </row>
    <row r="124" spans="1:53" s="28" customFormat="1" x14ac:dyDescent="0.15">
      <c r="A124" s="28">
        <v>2010</v>
      </c>
      <c r="B124" s="301">
        <v>40347</v>
      </c>
      <c r="C124" s="394" t="s">
        <v>307</v>
      </c>
      <c r="D124" s="394"/>
      <c r="E124" s="28">
        <v>18</v>
      </c>
      <c r="F124" s="83">
        <v>0</v>
      </c>
      <c r="G124" s="65">
        <v>25</v>
      </c>
      <c r="J124" s="72">
        <v>25</v>
      </c>
      <c r="K124" s="46">
        <f t="shared" si="8"/>
        <v>100</v>
      </c>
      <c r="L124" s="46">
        <f t="shared" si="9"/>
        <v>0</v>
      </c>
      <c r="M124" s="46">
        <f t="shared" si="10"/>
        <v>0</v>
      </c>
      <c r="N124" s="67">
        <f t="shared" si="6"/>
        <v>100</v>
      </c>
      <c r="O124" s="45">
        <v>53.3</v>
      </c>
      <c r="P124" s="46"/>
      <c r="Q124" s="46"/>
      <c r="R124" s="47">
        <f t="shared" si="7"/>
        <v>53.3</v>
      </c>
      <c r="S124" s="28">
        <v>2</v>
      </c>
      <c r="T124" s="284"/>
      <c r="U124" s="293"/>
      <c r="V124" s="37" t="s">
        <v>515</v>
      </c>
      <c r="W124" s="28" t="s">
        <v>78</v>
      </c>
      <c r="X124" s="28" t="s">
        <v>11</v>
      </c>
      <c r="Y124" s="38">
        <v>43.8</v>
      </c>
      <c r="Z124" s="28" t="s">
        <v>510</v>
      </c>
      <c r="AA124" s="28" t="s">
        <v>294</v>
      </c>
      <c r="AB124" s="28" t="s">
        <v>11</v>
      </c>
      <c r="AC124" s="38">
        <v>9.5</v>
      </c>
      <c r="AD124" s="28" t="s">
        <v>516</v>
      </c>
      <c r="AE124" s="28" t="s">
        <v>327</v>
      </c>
      <c r="AF124" s="28" t="s">
        <v>18</v>
      </c>
      <c r="AG124" s="28">
        <v>0</v>
      </c>
      <c r="AH124" s="37"/>
      <c r="AL124" s="37"/>
      <c r="AO124" s="38"/>
      <c r="AP124" s="37"/>
      <c r="AT124" s="90"/>
      <c r="AW124" s="38"/>
      <c r="BA124" s="39"/>
    </row>
    <row r="125" spans="1:53" s="28" customFormat="1" x14ac:dyDescent="0.15">
      <c r="A125" s="28">
        <v>2010</v>
      </c>
      <c r="B125" s="301">
        <v>40365</v>
      </c>
      <c r="C125" s="394" t="s">
        <v>307</v>
      </c>
      <c r="D125" s="394"/>
      <c r="E125" s="28">
        <f>365-E124-E123</f>
        <v>179</v>
      </c>
      <c r="F125" s="83">
        <v>0</v>
      </c>
      <c r="G125" s="65">
        <v>24</v>
      </c>
      <c r="J125" s="72">
        <v>24</v>
      </c>
      <c r="K125" s="46">
        <f t="shared" si="8"/>
        <v>100</v>
      </c>
      <c r="L125" s="46">
        <f t="shared" si="9"/>
        <v>0</v>
      </c>
      <c r="M125" s="46">
        <f t="shared" si="10"/>
        <v>0</v>
      </c>
      <c r="N125" s="67">
        <f t="shared" si="6"/>
        <v>100</v>
      </c>
      <c r="O125" s="45">
        <v>53.3</v>
      </c>
      <c r="P125" s="46"/>
      <c r="Q125" s="46"/>
      <c r="R125" s="47">
        <f t="shared" si="7"/>
        <v>53.3</v>
      </c>
      <c r="S125" s="28">
        <v>2</v>
      </c>
      <c r="T125" s="284"/>
      <c r="U125" s="293"/>
      <c r="V125" s="37" t="s">
        <v>515</v>
      </c>
      <c r="W125" s="28" t="s">
        <v>78</v>
      </c>
      <c r="X125" s="28" t="s">
        <v>11</v>
      </c>
      <c r="Y125" s="38">
        <v>43.8</v>
      </c>
      <c r="Z125" s="28" t="s">
        <v>510</v>
      </c>
      <c r="AA125" s="28" t="s">
        <v>294</v>
      </c>
      <c r="AB125" s="28" t="s">
        <v>11</v>
      </c>
      <c r="AC125" s="38">
        <v>9.5</v>
      </c>
      <c r="AD125" s="28" t="s">
        <v>516</v>
      </c>
      <c r="AE125" s="28" t="s">
        <v>327</v>
      </c>
      <c r="AF125" s="28" t="s">
        <v>18</v>
      </c>
      <c r="AG125" s="28">
        <v>0</v>
      </c>
      <c r="AH125" s="37"/>
      <c r="AL125" s="37"/>
      <c r="AO125" s="38"/>
      <c r="AP125" s="37"/>
      <c r="AT125" s="90"/>
      <c r="AW125" s="38"/>
      <c r="BA125" s="39"/>
    </row>
    <row r="126" spans="1:53" s="28" customFormat="1" x14ac:dyDescent="0.15">
      <c r="A126" s="28">
        <v>2011</v>
      </c>
      <c r="B126" s="301"/>
      <c r="C126" s="394" t="s">
        <v>307</v>
      </c>
      <c r="D126" s="394"/>
      <c r="E126" s="28">
        <v>207</v>
      </c>
      <c r="F126" s="83"/>
      <c r="G126" s="65">
        <v>24</v>
      </c>
      <c r="J126" s="72">
        <v>24</v>
      </c>
      <c r="K126" s="46">
        <f t="shared" si="8"/>
        <v>100</v>
      </c>
      <c r="L126" s="46">
        <f t="shared" si="9"/>
        <v>0</v>
      </c>
      <c r="M126" s="46">
        <f t="shared" si="10"/>
        <v>0</v>
      </c>
      <c r="N126" s="67">
        <f t="shared" si="6"/>
        <v>100</v>
      </c>
      <c r="O126" s="45">
        <v>53.3</v>
      </c>
      <c r="P126" s="46"/>
      <c r="Q126" s="46"/>
      <c r="R126" s="47">
        <f t="shared" si="7"/>
        <v>53.3</v>
      </c>
      <c r="S126" s="28">
        <v>2</v>
      </c>
      <c r="T126" s="284"/>
      <c r="U126" s="293"/>
      <c r="V126" s="37" t="s">
        <v>515</v>
      </c>
      <c r="W126" s="28" t="s">
        <v>78</v>
      </c>
      <c r="X126" s="28" t="s">
        <v>11</v>
      </c>
      <c r="Y126" s="38">
        <v>43.8</v>
      </c>
      <c r="Z126" s="28" t="s">
        <v>510</v>
      </c>
      <c r="AA126" s="28" t="s">
        <v>294</v>
      </c>
      <c r="AB126" s="28" t="s">
        <v>11</v>
      </c>
      <c r="AC126" s="38">
        <v>9.5</v>
      </c>
      <c r="AD126" s="28" t="s">
        <v>516</v>
      </c>
      <c r="AE126" s="28" t="s">
        <v>327</v>
      </c>
      <c r="AF126" s="28" t="s">
        <v>18</v>
      </c>
      <c r="AG126" s="28">
        <v>0</v>
      </c>
      <c r="AH126" s="37"/>
      <c r="AL126" s="37"/>
      <c r="AO126" s="38"/>
      <c r="AP126" s="37"/>
      <c r="AT126" s="90"/>
      <c r="AW126" s="38"/>
      <c r="BA126" s="39"/>
    </row>
    <row r="127" spans="1:53" s="28" customFormat="1" x14ac:dyDescent="0.15">
      <c r="A127" s="28">
        <v>2011</v>
      </c>
      <c r="B127" s="301">
        <v>40751</v>
      </c>
      <c r="C127" s="394" t="s">
        <v>307</v>
      </c>
      <c r="D127" s="394"/>
      <c r="E127" s="28">
        <v>114</v>
      </c>
      <c r="F127" s="83">
        <v>0</v>
      </c>
      <c r="G127" s="65">
        <v>25</v>
      </c>
      <c r="J127" s="72">
        <v>25</v>
      </c>
      <c r="K127" s="46">
        <f t="shared" si="8"/>
        <v>100</v>
      </c>
      <c r="L127" s="46">
        <f t="shared" si="9"/>
        <v>0</v>
      </c>
      <c r="M127" s="46">
        <f t="shared" si="10"/>
        <v>0</v>
      </c>
      <c r="N127" s="67">
        <f t="shared" si="6"/>
        <v>100</v>
      </c>
      <c r="O127" s="45">
        <v>53.3</v>
      </c>
      <c r="P127" s="46"/>
      <c r="Q127" s="46"/>
      <c r="R127" s="47">
        <f t="shared" si="7"/>
        <v>53.3</v>
      </c>
      <c r="S127" s="28">
        <v>2</v>
      </c>
      <c r="T127" s="284"/>
      <c r="U127" s="293"/>
      <c r="V127" s="37" t="s">
        <v>515</v>
      </c>
      <c r="W127" s="28" t="s">
        <v>78</v>
      </c>
      <c r="X127" s="28" t="s">
        <v>11</v>
      </c>
      <c r="Y127" s="38">
        <v>43.8</v>
      </c>
      <c r="Z127" s="28" t="s">
        <v>510</v>
      </c>
      <c r="AA127" s="28" t="s">
        <v>294</v>
      </c>
      <c r="AB127" s="28" t="s">
        <v>11</v>
      </c>
      <c r="AC127" s="38">
        <v>9.5</v>
      </c>
      <c r="AD127" s="28" t="s">
        <v>516</v>
      </c>
      <c r="AE127" s="28" t="s">
        <v>327</v>
      </c>
      <c r="AF127" s="28" t="s">
        <v>18</v>
      </c>
      <c r="AG127" s="28">
        <v>0</v>
      </c>
      <c r="AH127" s="37"/>
      <c r="AL127" s="37"/>
      <c r="AO127" s="38"/>
      <c r="AP127" s="37"/>
      <c r="AT127" s="90"/>
      <c r="AW127" s="38"/>
      <c r="BA127" s="39"/>
    </row>
    <row r="128" spans="1:53" s="170" customFormat="1" x14ac:dyDescent="0.15">
      <c r="A128" s="170">
        <v>2011</v>
      </c>
      <c r="B128" s="281">
        <v>40865</v>
      </c>
      <c r="C128" s="425" t="s">
        <v>308</v>
      </c>
      <c r="D128" s="425"/>
      <c r="E128" s="170">
        <v>44</v>
      </c>
      <c r="F128" s="170">
        <v>2</v>
      </c>
      <c r="G128" s="232">
        <v>0</v>
      </c>
      <c r="H128" s="170">
        <v>0</v>
      </c>
      <c r="I128" s="170">
        <v>0</v>
      </c>
      <c r="J128" s="240">
        <v>19</v>
      </c>
      <c r="K128" s="213">
        <f t="shared" si="8"/>
        <v>0</v>
      </c>
      <c r="L128" s="213">
        <f t="shared" si="9"/>
        <v>0</v>
      </c>
      <c r="M128" s="213">
        <f t="shared" si="10"/>
        <v>0</v>
      </c>
      <c r="N128" s="234">
        <f t="shared" si="6"/>
        <v>0</v>
      </c>
      <c r="O128" s="212">
        <v>0</v>
      </c>
      <c r="P128" s="213">
        <v>0</v>
      </c>
      <c r="Q128" s="213">
        <v>0</v>
      </c>
      <c r="R128" s="214">
        <f t="shared" si="7"/>
        <v>0</v>
      </c>
      <c r="S128" s="170">
        <v>7</v>
      </c>
      <c r="T128" s="283"/>
      <c r="U128" s="281">
        <v>40865</v>
      </c>
      <c r="V128" s="241" t="s">
        <v>798</v>
      </c>
      <c r="Y128" s="178"/>
      <c r="AD128" s="177"/>
      <c r="AG128" s="178"/>
      <c r="AL128" s="177"/>
      <c r="AO128" s="178"/>
      <c r="AP128" s="177"/>
      <c r="AT128" s="250"/>
      <c r="AW128" s="178"/>
      <c r="BA128" s="179"/>
    </row>
    <row r="129" spans="1:53" s="170" customFormat="1" x14ac:dyDescent="0.15">
      <c r="A129" s="170">
        <v>2012</v>
      </c>
      <c r="B129" s="281"/>
      <c r="C129" s="425" t="s">
        <v>308</v>
      </c>
      <c r="D129" s="425"/>
      <c r="E129" s="170">
        <v>0</v>
      </c>
      <c r="G129" s="232">
        <v>0</v>
      </c>
      <c r="H129" s="170">
        <v>0</v>
      </c>
      <c r="I129" s="170">
        <v>0</v>
      </c>
      <c r="J129" s="240">
        <v>19</v>
      </c>
      <c r="K129" s="213">
        <f t="shared" si="8"/>
        <v>0</v>
      </c>
      <c r="L129" s="213">
        <f t="shared" si="9"/>
        <v>0</v>
      </c>
      <c r="M129" s="213">
        <f t="shared" si="10"/>
        <v>0</v>
      </c>
      <c r="N129" s="234">
        <f t="shared" si="6"/>
        <v>0</v>
      </c>
      <c r="O129" s="212">
        <v>0</v>
      </c>
      <c r="P129" s="213">
        <v>0</v>
      </c>
      <c r="Q129" s="213">
        <v>0</v>
      </c>
      <c r="R129" s="214">
        <f t="shared" si="7"/>
        <v>0</v>
      </c>
      <c r="S129" s="170">
        <v>7</v>
      </c>
      <c r="T129" s="283"/>
      <c r="U129" s="281"/>
      <c r="V129" s="241" t="s">
        <v>798</v>
      </c>
      <c r="Y129" s="178"/>
      <c r="AD129" s="177"/>
      <c r="AG129" s="178"/>
      <c r="AL129" s="177"/>
      <c r="AO129" s="178"/>
      <c r="AP129" s="177"/>
      <c r="AT129" s="250"/>
      <c r="AW129" s="178"/>
      <c r="BA129" s="179"/>
    </row>
    <row r="130" spans="1:53" s="170" customFormat="1" x14ac:dyDescent="0.15">
      <c r="A130" s="170">
        <v>2012</v>
      </c>
      <c r="B130" s="281"/>
      <c r="C130" s="425" t="s">
        <v>308</v>
      </c>
      <c r="D130" s="425"/>
      <c r="E130" s="170">
        <v>366</v>
      </c>
      <c r="G130" s="232">
        <v>0</v>
      </c>
      <c r="H130" s="170">
        <v>0</v>
      </c>
      <c r="I130" s="170">
        <v>0</v>
      </c>
      <c r="J130" s="240">
        <v>19</v>
      </c>
      <c r="K130" s="213">
        <f t="shared" ref="K130:K136" si="11">G130/$J130*100</f>
        <v>0</v>
      </c>
      <c r="L130" s="213">
        <f t="shared" si="9"/>
        <v>0</v>
      </c>
      <c r="M130" s="213">
        <f t="shared" si="10"/>
        <v>0</v>
      </c>
      <c r="N130" s="234">
        <f t="shared" si="6"/>
        <v>0</v>
      </c>
      <c r="O130" s="212">
        <v>0</v>
      </c>
      <c r="P130" s="213">
        <v>0</v>
      </c>
      <c r="Q130" s="213">
        <v>0</v>
      </c>
      <c r="R130" s="214">
        <f t="shared" si="7"/>
        <v>0</v>
      </c>
      <c r="S130" s="170">
        <v>7</v>
      </c>
      <c r="T130" s="283"/>
      <c r="U130" s="281"/>
      <c r="V130" s="241" t="s">
        <v>798</v>
      </c>
      <c r="Y130" s="178"/>
      <c r="AD130" s="177"/>
      <c r="AG130" s="178"/>
      <c r="AL130" s="177"/>
      <c r="AO130" s="178"/>
      <c r="AP130" s="177"/>
      <c r="AT130" s="250"/>
      <c r="AW130" s="178"/>
      <c r="BA130" s="179"/>
    </row>
    <row r="131" spans="1:53" s="170" customFormat="1" x14ac:dyDescent="0.15">
      <c r="A131" s="170">
        <v>2013</v>
      </c>
      <c r="B131" s="281"/>
      <c r="C131" s="425" t="s">
        <v>308</v>
      </c>
      <c r="D131" s="425"/>
      <c r="E131" s="170">
        <v>117</v>
      </c>
      <c r="G131" s="232">
        <v>0</v>
      </c>
      <c r="H131" s="170">
        <v>0</v>
      </c>
      <c r="I131" s="170">
        <v>0</v>
      </c>
      <c r="J131" s="240">
        <v>19</v>
      </c>
      <c r="K131" s="213">
        <f t="shared" si="11"/>
        <v>0</v>
      </c>
      <c r="L131" s="213">
        <f t="shared" si="9"/>
        <v>0</v>
      </c>
      <c r="M131" s="213">
        <f t="shared" si="10"/>
        <v>0</v>
      </c>
      <c r="N131" s="234">
        <f t="shared" si="6"/>
        <v>0</v>
      </c>
      <c r="O131" s="212">
        <v>0</v>
      </c>
      <c r="P131" s="213">
        <v>0</v>
      </c>
      <c r="Q131" s="213">
        <v>0</v>
      </c>
      <c r="R131" s="214">
        <f t="shared" si="7"/>
        <v>0</v>
      </c>
      <c r="S131" s="170">
        <v>7</v>
      </c>
      <c r="T131" s="283"/>
      <c r="U131" s="281"/>
      <c r="V131" s="241" t="s">
        <v>798</v>
      </c>
      <c r="Y131" s="178"/>
      <c r="AD131" s="177"/>
      <c r="AG131" s="178"/>
      <c r="AL131" s="177"/>
      <c r="AO131" s="178"/>
      <c r="AP131" s="177"/>
      <c r="AT131" s="250"/>
      <c r="AW131" s="178"/>
      <c r="BA131" s="179"/>
    </row>
    <row r="132" spans="1:53" s="28" customFormat="1" x14ac:dyDescent="0.15">
      <c r="A132" s="28">
        <v>2013</v>
      </c>
      <c r="B132" s="293">
        <v>41392</v>
      </c>
      <c r="C132" s="394" t="s">
        <v>1248</v>
      </c>
      <c r="D132" s="394"/>
      <c r="E132" s="28">
        <v>202</v>
      </c>
      <c r="F132" s="166">
        <v>1</v>
      </c>
      <c r="G132" s="65">
        <v>8</v>
      </c>
      <c r="H132" s="28">
        <v>1</v>
      </c>
      <c r="I132" s="28">
        <v>10</v>
      </c>
      <c r="J132" s="72">
        <v>22</v>
      </c>
      <c r="K132" s="46">
        <f t="shared" si="11"/>
        <v>36.363636363636367</v>
      </c>
      <c r="L132" s="46">
        <f t="shared" si="9"/>
        <v>4.5454545454545459</v>
      </c>
      <c r="M132" s="46">
        <f t="shared" si="10"/>
        <v>45.454545454545453</v>
      </c>
      <c r="N132" s="67">
        <f t="shared" si="6"/>
        <v>86.363636363636374</v>
      </c>
      <c r="O132" s="45">
        <v>21.8</v>
      </c>
      <c r="P132" s="46">
        <v>1.3</v>
      </c>
      <c r="Q132" s="46">
        <v>47.1</v>
      </c>
      <c r="R132" s="47">
        <f t="shared" si="7"/>
        <v>70.2</v>
      </c>
      <c r="S132" s="28">
        <v>3</v>
      </c>
      <c r="T132" s="284">
        <v>41329</v>
      </c>
      <c r="U132" s="293">
        <v>41392</v>
      </c>
      <c r="V132" s="37" t="s">
        <v>555</v>
      </c>
      <c r="W132" s="28" t="s">
        <v>304</v>
      </c>
      <c r="X132" s="28" t="s">
        <v>12</v>
      </c>
      <c r="Y132" s="38">
        <v>47.1</v>
      </c>
      <c r="Z132" s="28" t="s">
        <v>515</v>
      </c>
      <c r="AA132" s="28" t="s">
        <v>78</v>
      </c>
      <c r="AB132" s="28" t="s">
        <v>11</v>
      </c>
      <c r="AC132" s="38">
        <v>15.6</v>
      </c>
      <c r="AD132" s="28" t="s">
        <v>1255</v>
      </c>
      <c r="AE132" s="28" t="s">
        <v>892</v>
      </c>
      <c r="AF132" s="28" t="s">
        <v>11</v>
      </c>
      <c r="AG132" s="28">
        <v>6.2</v>
      </c>
      <c r="AH132" s="37" t="s">
        <v>571</v>
      </c>
      <c r="AI132" s="28" t="s">
        <v>327</v>
      </c>
      <c r="AJ132" s="28" t="s">
        <v>18</v>
      </c>
      <c r="AK132" s="28">
        <v>1.3</v>
      </c>
      <c r="AL132" s="37" t="s">
        <v>1254</v>
      </c>
      <c r="AM132" s="28" t="s">
        <v>327</v>
      </c>
      <c r="AN132" s="28" t="s">
        <v>11</v>
      </c>
      <c r="AO132" s="38">
        <v>0</v>
      </c>
      <c r="AP132" s="37"/>
      <c r="AT132" s="90"/>
      <c r="AW132" s="38"/>
      <c r="BA132" s="39"/>
    </row>
    <row r="133" spans="1:53" s="28" customFormat="1" x14ac:dyDescent="0.15">
      <c r="A133" s="28">
        <v>2013</v>
      </c>
      <c r="B133" s="301">
        <v>41594</v>
      </c>
      <c r="C133" s="394" t="s">
        <v>1248</v>
      </c>
      <c r="D133" s="394"/>
      <c r="E133" s="28">
        <v>46</v>
      </c>
      <c r="F133" s="83">
        <v>0</v>
      </c>
      <c r="G133" s="65">
        <v>3</v>
      </c>
      <c r="H133" s="28">
        <v>6</v>
      </c>
      <c r="I133" s="28">
        <v>10</v>
      </c>
      <c r="J133" s="72">
        <v>22</v>
      </c>
      <c r="K133" s="46">
        <f t="shared" si="11"/>
        <v>13.636363636363635</v>
      </c>
      <c r="L133" s="46">
        <f t="shared" si="9"/>
        <v>27.27272727272727</v>
      </c>
      <c r="M133" s="46">
        <f t="shared" si="10"/>
        <v>45.454545454545453</v>
      </c>
      <c r="N133" s="67">
        <f t="shared" si="6"/>
        <v>86.36363636363636</v>
      </c>
      <c r="O133" s="45">
        <v>6.2</v>
      </c>
      <c r="P133" s="46">
        <v>5.9</v>
      </c>
      <c r="Q133" s="46">
        <v>47.1</v>
      </c>
      <c r="R133" s="47">
        <f t="shared" si="7"/>
        <v>59.2</v>
      </c>
      <c r="S133" s="28">
        <v>3</v>
      </c>
      <c r="T133" s="284"/>
      <c r="U133" s="293"/>
      <c r="V133" s="37" t="s">
        <v>555</v>
      </c>
      <c r="W133" s="28" t="s">
        <v>304</v>
      </c>
      <c r="X133" s="28" t="s">
        <v>12</v>
      </c>
      <c r="Y133" s="38">
        <v>47.1</v>
      </c>
      <c r="Z133" s="28" t="s">
        <v>1255</v>
      </c>
      <c r="AA133" s="28" t="s">
        <v>892</v>
      </c>
      <c r="AB133" s="28" t="s">
        <v>11</v>
      </c>
      <c r="AC133" s="28">
        <v>6.2</v>
      </c>
      <c r="AD133" s="37" t="s">
        <v>571</v>
      </c>
      <c r="AE133" s="28" t="s">
        <v>327</v>
      </c>
      <c r="AF133" s="28" t="s">
        <v>18</v>
      </c>
      <c r="AG133" s="28">
        <v>1.3</v>
      </c>
      <c r="AH133" s="37" t="s">
        <v>1254</v>
      </c>
      <c r="AI133" s="28" t="s">
        <v>327</v>
      </c>
      <c r="AJ133" s="28" t="s">
        <v>11</v>
      </c>
      <c r="AK133" s="38">
        <v>0</v>
      </c>
      <c r="AL133" s="37" t="s">
        <v>1293</v>
      </c>
      <c r="AM133" s="28" t="s">
        <v>327</v>
      </c>
      <c r="AN133" s="28" t="s">
        <v>18</v>
      </c>
      <c r="AO133" s="38">
        <v>4.5999999999999996</v>
      </c>
      <c r="AP133" s="37"/>
      <c r="AS133" s="38"/>
      <c r="AT133" s="90"/>
      <c r="AW133" s="38"/>
      <c r="BA133" s="39"/>
    </row>
    <row r="134" spans="1:53" s="28" customFormat="1" x14ac:dyDescent="0.15">
      <c r="A134" s="28">
        <v>2014</v>
      </c>
      <c r="B134" s="293"/>
      <c r="C134" s="394" t="s">
        <v>1248</v>
      </c>
      <c r="D134" s="394"/>
      <c r="E134" s="28">
        <v>26</v>
      </c>
      <c r="G134" s="65">
        <v>3</v>
      </c>
      <c r="H134" s="28">
        <v>6</v>
      </c>
      <c r="I134" s="28">
        <v>10</v>
      </c>
      <c r="J134" s="72">
        <v>22</v>
      </c>
      <c r="K134" s="46">
        <f t="shared" si="11"/>
        <v>13.636363636363635</v>
      </c>
      <c r="L134" s="46">
        <f t="shared" ref="L134:M136" si="12">H134/$J134*100</f>
        <v>27.27272727272727</v>
      </c>
      <c r="M134" s="46">
        <f t="shared" si="12"/>
        <v>45.454545454545453</v>
      </c>
      <c r="N134" s="67">
        <f>K134+L134+M134</f>
        <v>86.36363636363636</v>
      </c>
      <c r="O134" s="45">
        <v>6.2</v>
      </c>
      <c r="P134" s="46">
        <v>5.9</v>
      </c>
      <c r="Q134" s="46">
        <v>47.1</v>
      </c>
      <c r="R134" s="47">
        <f t="shared" si="7"/>
        <v>59.2</v>
      </c>
      <c r="S134" s="28">
        <v>3</v>
      </c>
      <c r="T134" s="284"/>
      <c r="U134" s="293"/>
      <c r="V134" s="37" t="s">
        <v>555</v>
      </c>
      <c r="W134" s="28" t="s">
        <v>304</v>
      </c>
      <c r="X134" s="28" t="s">
        <v>12</v>
      </c>
      <c r="Y134" s="38">
        <v>47.1</v>
      </c>
      <c r="Z134" s="28" t="s">
        <v>1255</v>
      </c>
      <c r="AA134" s="28" t="s">
        <v>892</v>
      </c>
      <c r="AB134" s="28" t="s">
        <v>11</v>
      </c>
      <c r="AC134" s="28">
        <v>6.2</v>
      </c>
      <c r="AD134" s="37" t="s">
        <v>571</v>
      </c>
      <c r="AE134" s="28" t="s">
        <v>327</v>
      </c>
      <c r="AF134" s="28" t="s">
        <v>18</v>
      </c>
      <c r="AG134" s="28">
        <v>1.3</v>
      </c>
      <c r="AH134" s="37" t="s">
        <v>1254</v>
      </c>
      <c r="AI134" s="28" t="s">
        <v>327</v>
      </c>
      <c r="AJ134" s="28" t="s">
        <v>11</v>
      </c>
      <c r="AK134" s="38">
        <v>0</v>
      </c>
      <c r="AL134" s="37" t="s">
        <v>1293</v>
      </c>
      <c r="AM134" s="28" t="s">
        <v>327</v>
      </c>
      <c r="AN134" s="28" t="s">
        <v>18</v>
      </c>
      <c r="AO134" s="38">
        <v>4.5999999999999996</v>
      </c>
      <c r="AP134" s="37"/>
      <c r="AT134" s="90"/>
      <c r="AW134" s="38"/>
      <c r="BA134" s="39"/>
    </row>
    <row r="135" spans="1:53" s="28" customFormat="1" x14ac:dyDescent="0.15">
      <c r="A135" s="28">
        <v>2014</v>
      </c>
      <c r="B135" s="301">
        <v>41666</v>
      </c>
      <c r="C135" s="394" t="s">
        <v>1248</v>
      </c>
      <c r="D135" s="394"/>
      <c r="E135" s="28">
        <v>26</v>
      </c>
      <c r="F135" s="83">
        <v>0</v>
      </c>
      <c r="G135" s="65">
        <v>3</v>
      </c>
      <c r="H135" s="28">
        <v>5</v>
      </c>
      <c r="I135" s="28">
        <v>10</v>
      </c>
      <c r="J135" s="72">
        <v>21</v>
      </c>
      <c r="K135" s="46">
        <f t="shared" si="11"/>
        <v>14.285714285714285</v>
      </c>
      <c r="L135" s="46">
        <f t="shared" si="12"/>
        <v>23.809523809523807</v>
      </c>
      <c r="M135" s="46">
        <f t="shared" si="12"/>
        <v>47.619047619047613</v>
      </c>
      <c r="N135" s="67">
        <f>K135+L135+M135</f>
        <v>85.714285714285694</v>
      </c>
      <c r="O135" s="45">
        <v>6.2</v>
      </c>
      <c r="P135" s="46">
        <v>5.9</v>
      </c>
      <c r="Q135" s="46">
        <v>47.1</v>
      </c>
      <c r="R135" s="47">
        <f t="shared" si="7"/>
        <v>59.2</v>
      </c>
      <c r="S135" s="28">
        <v>3</v>
      </c>
      <c r="T135" s="284"/>
      <c r="U135" s="293"/>
      <c r="V135" s="37" t="s">
        <v>555</v>
      </c>
      <c r="W135" s="28" t="s">
        <v>304</v>
      </c>
      <c r="X135" s="28" t="s">
        <v>12</v>
      </c>
      <c r="Y135" s="38">
        <v>47.1</v>
      </c>
      <c r="Z135" s="28" t="s">
        <v>1255</v>
      </c>
      <c r="AA135" s="28" t="s">
        <v>892</v>
      </c>
      <c r="AB135" s="28" t="s">
        <v>11</v>
      </c>
      <c r="AC135" s="28">
        <v>6.2</v>
      </c>
      <c r="AD135" s="37" t="s">
        <v>571</v>
      </c>
      <c r="AE135" s="28" t="s">
        <v>327</v>
      </c>
      <c r="AF135" s="28" t="s">
        <v>18</v>
      </c>
      <c r="AG135" s="28">
        <v>1.3</v>
      </c>
      <c r="AH135" s="37" t="s">
        <v>1254</v>
      </c>
      <c r="AI135" s="28" t="s">
        <v>327</v>
      </c>
      <c r="AJ135" s="28" t="s">
        <v>11</v>
      </c>
      <c r="AK135" s="38">
        <v>0</v>
      </c>
      <c r="AL135" s="37" t="s">
        <v>1293</v>
      </c>
      <c r="AM135" s="28" t="s">
        <v>327</v>
      </c>
      <c r="AN135" s="28" t="s">
        <v>18</v>
      </c>
      <c r="AO135" s="38">
        <v>4.5999999999999996</v>
      </c>
      <c r="AP135" s="37"/>
      <c r="AT135" s="90"/>
      <c r="AW135" s="38"/>
      <c r="BA135" s="39"/>
    </row>
    <row r="136" spans="1:53" s="170" customFormat="1" x14ac:dyDescent="0.15">
      <c r="A136" s="170">
        <v>2014</v>
      </c>
      <c r="B136" s="281">
        <v>41692</v>
      </c>
      <c r="C136" s="395" t="s">
        <v>1287</v>
      </c>
      <c r="D136" s="395"/>
      <c r="E136" s="170">
        <v>313</v>
      </c>
      <c r="F136" s="170">
        <v>2</v>
      </c>
      <c r="G136" s="232">
        <v>1</v>
      </c>
      <c r="H136" s="170">
        <v>4</v>
      </c>
      <c r="I136" s="170">
        <v>11</v>
      </c>
      <c r="J136" s="240">
        <v>17</v>
      </c>
      <c r="K136" s="213">
        <f t="shared" si="11"/>
        <v>5.8823529411764701</v>
      </c>
      <c r="L136" s="213">
        <f t="shared" si="12"/>
        <v>23.52941176470588</v>
      </c>
      <c r="M136" s="213">
        <f t="shared" si="12"/>
        <v>64.705882352941174</v>
      </c>
      <c r="N136" s="234">
        <f>K136+L136+M136</f>
        <v>94.117647058823522</v>
      </c>
      <c r="O136" s="212">
        <v>4.3</v>
      </c>
      <c r="P136" s="213">
        <v>4.5999999999999996</v>
      </c>
      <c r="Q136" s="213">
        <v>47.3</v>
      </c>
      <c r="R136" s="214">
        <f t="shared" si="7"/>
        <v>56.199999999999996</v>
      </c>
      <c r="S136" s="170">
        <v>3</v>
      </c>
      <c r="T136" s="283"/>
      <c r="U136" s="281">
        <v>41692</v>
      </c>
      <c r="V136" s="177" t="s">
        <v>555</v>
      </c>
      <c r="W136" s="170" t="s">
        <v>304</v>
      </c>
      <c r="X136" s="170" t="s">
        <v>12</v>
      </c>
      <c r="Y136" s="178">
        <v>47.3</v>
      </c>
      <c r="Z136" s="177" t="s">
        <v>1294</v>
      </c>
      <c r="AA136" s="170" t="s">
        <v>327</v>
      </c>
      <c r="AB136" s="170" t="s">
        <v>18</v>
      </c>
      <c r="AC136" s="178">
        <v>4.5999999999999996</v>
      </c>
      <c r="AD136" s="177" t="s">
        <v>1255</v>
      </c>
      <c r="AE136" s="170" t="s">
        <v>892</v>
      </c>
      <c r="AF136" s="170" t="s">
        <v>11</v>
      </c>
      <c r="AG136" s="170">
        <v>4.3</v>
      </c>
      <c r="AH136" s="177"/>
      <c r="AL136" s="177"/>
      <c r="AO136" s="178"/>
      <c r="AP136" s="177"/>
      <c r="AT136" s="250"/>
      <c r="AW136" s="178"/>
      <c r="BA136" s="179"/>
    </row>
    <row r="137" spans="1:53" s="170" customFormat="1" x14ac:dyDescent="0.15">
      <c r="A137" s="170">
        <v>2015</v>
      </c>
      <c r="B137" s="303"/>
      <c r="C137" s="395" t="s">
        <v>1287</v>
      </c>
      <c r="D137" s="395"/>
      <c r="E137" s="170">
        <v>28</v>
      </c>
      <c r="G137" s="232">
        <v>1</v>
      </c>
      <c r="H137" s="170">
        <v>4</v>
      </c>
      <c r="I137" s="170">
        <v>11</v>
      </c>
      <c r="J137" s="240">
        <v>17</v>
      </c>
      <c r="K137" s="213">
        <f t="shared" ref="K137:K140" si="13">G137/$J137*100</f>
        <v>5.8823529411764701</v>
      </c>
      <c r="L137" s="213">
        <f t="shared" ref="L137:L140" si="14">H137/$J137*100</f>
        <v>23.52941176470588</v>
      </c>
      <c r="M137" s="213">
        <f t="shared" ref="M137:M140" si="15">I137/$J137*100</f>
        <v>64.705882352941174</v>
      </c>
      <c r="N137" s="234">
        <f t="shared" ref="N137:N140" si="16">K137+L137+M137</f>
        <v>94.117647058823522</v>
      </c>
      <c r="O137" s="212">
        <v>4.3</v>
      </c>
      <c r="P137" s="213">
        <v>4.5999999999999996</v>
      </c>
      <c r="Q137" s="213">
        <v>47.3</v>
      </c>
      <c r="R137" s="214">
        <f t="shared" ref="R137:R138" si="17">O137+P137+Q137</f>
        <v>56.199999999999996</v>
      </c>
      <c r="S137" s="170">
        <v>3</v>
      </c>
      <c r="T137" s="283"/>
      <c r="U137" s="281"/>
      <c r="V137" s="177" t="s">
        <v>555</v>
      </c>
      <c r="W137" s="170" t="s">
        <v>304</v>
      </c>
      <c r="X137" s="170" t="s">
        <v>12</v>
      </c>
      <c r="Y137" s="178">
        <v>47.3</v>
      </c>
      <c r="Z137" s="177" t="s">
        <v>1294</v>
      </c>
      <c r="AA137" s="170" t="s">
        <v>327</v>
      </c>
      <c r="AB137" s="170" t="s">
        <v>18</v>
      </c>
      <c r="AC137" s="178">
        <v>4.5999999999999996</v>
      </c>
      <c r="AD137" s="177" t="s">
        <v>1255</v>
      </c>
      <c r="AE137" s="170" t="s">
        <v>892</v>
      </c>
      <c r="AF137" s="170" t="s">
        <v>11</v>
      </c>
      <c r="AG137" s="170">
        <v>4.3</v>
      </c>
      <c r="AH137" s="177"/>
      <c r="AL137" s="177"/>
      <c r="AO137" s="178"/>
      <c r="AP137" s="177"/>
      <c r="AT137" s="250"/>
      <c r="AW137" s="178"/>
      <c r="BA137" s="179"/>
    </row>
    <row r="138" spans="1:53" s="170" customFormat="1" x14ac:dyDescent="0.15">
      <c r="A138" s="170">
        <v>2015</v>
      </c>
      <c r="B138" s="303">
        <v>42033</v>
      </c>
      <c r="C138" s="395" t="s">
        <v>1287</v>
      </c>
      <c r="D138" s="395"/>
      <c r="E138" s="170">
        <v>8</v>
      </c>
      <c r="F138" s="243">
        <v>0</v>
      </c>
      <c r="G138" s="232">
        <v>1</v>
      </c>
      <c r="H138" s="170">
        <v>5</v>
      </c>
      <c r="I138" s="170">
        <v>10</v>
      </c>
      <c r="J138" s="240">
        <v>17</v>
      </c>
      <c r="K138" s="213">
        <f t="shared" si="13"/>
        <v>5.8823529411764701</v>
      </c>
      <c r="L138" s="213">
        <f t="shared" si="14"/>
        <v>29.411764705882355</v>
      </c>
      <c r="M138" s="213">
        <f t="shared" si="15"/>
        <v>58.82352941176471</v>
      </c>
      <c r="N138" s="234">
        <f t="shared" si="16"/>
        <v>94.117647058823536</v>
      </c>
      <c r="O138" s="212">
        <v>4.3</v>
      </c>
      <c r="P138" s="213">
        <v>4.5999999999999996</v>
      </c>
      <c r="Q138" s="213">
        <v>47.3</v>
      </c>
      <c r="R138" s="214">
        <f t="shared" si="17"/>
        <v>56.199999999999996</v>
      </c>
      <c r="S138" s="170">
        <v>3</v>
      </c>
      <c r="T138" s="283"/>
      <c r="U138" s="281"/>
      <c r="V138" s="177" t="s">
        <v>555</v>
      </c>
      <c r="W138" s="170" t="s">
        <v>304</v>
      </c>
      <c r="X138" s="170" t="s">
        <v>12</v>
      </c>
      <c r="Y138" s="178">
        <v>47.3</v>
      </c>
      <c r="Z138" s="177" t="s">
        <v>1294</v>
      </c>
      <c r="AA138" s="170" t="s">
        <v>327</v>
      </c>
      <c r="AB138" s="170" t="s">
        <v>18</v>
      </c>
      <c r="AC138" s="178">
        <v>4.5999999999999996</v>
      </c>
      <c r="AD138" s="177" t="s">
        <v>1255</v>
      </c>
      <c r="AE138" s="170" t="s">
        <v>892</v>
      </c>
      <c r="AF138" s="170" t="s">
        <v>11</v>
      </c>
      <c r="AG138" s="170">
        <v>4.3</v>
      </c>
      <c r="AH138" s="177"/>
      <c r="AL138" s="177"/>
      <c r="AO138" s="178"/>
      <c r="AP138" s="177"/>
      <c r="AT138" s="250"/>
      <c r="AW138" s="178"/>
      <c r="BA138" s="179"/>
    </row>
    <row r="139" spans="1:53" s="170" customFormat="1" x14ac:dyDescent="0.15">
      <c r="A139" s="170">
        <v>2015</v>
      </c>
      <c r="B139" s="303">
        <v>42041</v>
      </c>
      <c r="C139" s="395" t="s">
        <v>1287</v>
      </c>
      <c r="D139" s="395"/>
      <c r="E139" s="170">
        <v>55</v>
      </c>
      <c r="F139" s="243">
        <v>0</v>
      </c>
      <c r="G139" s="232"/>
      <c r="H139" s="170">
        <v>5</v>
      </c>
      <c r="I139" s="170">
        <v>11</v>
      </c>
      <c r="J139" s="240">
        <v>17</v>
      </c>
      <c r="K139" s="213">
        <f t="shared" si="13"/>
        <v>0</v>
      </c>
      <c r="L139" s="213">
        <f t="shared" si="14"/>
        <v>29.411764705882355</v>
      </c>
      <c r="M139" s="213">
        <f t="shared" si="15"/>
        <v>64.705882352941174</v>
      </c>
      <c r="N139" s="234">
        <f t="shared" si="16"/>
        <v>94.117647058823536</v>
      </c>
      <c r="O139" s="212"/>
      <c r="P139" s="213">
        <v>4.5999999999999996</v>
      </c>
      <c r="Q139" s="213">
        <v>47.3</v>
      </c>
      <c r="R139" s="214">
        <f t="shared" ref="R139:R142" si="18">O139+P139+Q139</f>
        <v>51.9</v>
      </c>
      <c r="S139" s="170">
        <v>2</v>
      </c>
      <c r="T139" s="283"/>
      <c r="U139" s="281"/>
      <c r="V139" s="177" t="s">
        <v>555</v>
      </c>
      <c r="W139" s="170" t="s">
        <v>304</v>
      </c>
      <c r="X139" s="170" t="s">
        <v>12</v>
      </c>
      <c r="Y139" s="178">
        <v>47.3</v>
      </c>
      <c r="Z139" s="177" t="s">
        <v>1294</v>
      </c>
      <c r="AA139" s="170" t="s">
        <v>327</v>
      </c>
      <c r="AB139" s="170" t="s">
        <v>18</v>
      </c>
      <c r="AC139" s="178">
        <v>4.5999999999999996</v>
      </c>
      <c r="AD139" s="177"/>
      <c r="AG139" s="178"/>
      <c r="AH139" s="177"/>
      <c r="AL139" s="177"/>
      <c r="AO139" s="178"/>
      <c r="AP139" s="177"/>
      <c r="AT139" s="250"/>
      <c r="AW139" s="178"/>
      <c r="BA139" s="179"/>
    </row>
    <row r="140" spans="1:53" s="170" customFormat="1" x14ac:dyDescent="0.15">
      <c r="A140" s="170">
        <v>2015</v>
      </c>
      <c r="B140" s="303">
        <v>42096</v>
      </c>
      <c r="C140" s="395" t="s">
        <v>1287</v>
      </c>
      <c r="D140" s="395"/>
      <c r="E140" s="170">
        <v>274</v>
      </c>
      <c r="F140" s="243">
        <v>0</v>
      </c>
      <c r="G140" s="232"/>
      <c r="H140" s="170">
        <v>4</v>
      </c>
      <c r="I140" s="170">
        <v>12</v>
      </c>
      <c r="J140" s="240">
        <v>17</v>
      </c>
      <c r="K140" s="213">
        <f t="shared" si="13"/>
        <v>0</v>
      </c>
      <c r="L140" s="213">
        <f t="shared" si="14"/>
        <v>23.52941176470588</v>
      </c>
      <c r="M140" s="213">
        <f t="shared" si="15"/>
        <v>70.588235294117652</v>
      </c>
      <c r="N140" s="234">
        <f t="shared" si="16"/>
        <v>94.117647058823536</v>
      </c>
      <c r="O140" s="212"/>
      <c r="P140" s="213">
        <v>4.5999999999999996</v>
      </c>
      <c r="Q140" s="213">
        <v>47.3</v>
      </c>
      <c r="R140" s="214">
        <f t="shared" si="18"/>
        <v>51.9</v>
      </c>
      <c r="S140" s="170">
        <v>2</v>
      </c>
      <c r="T140" s="283"/>
      <c r="U140" s="281"/>
      <c r="V140" s="177" t="s">
        <v>555</v>
      </c>
      <c r="W140" s="170" t="s">
        <v>304</v>
      </c>
      <c r="X140" s="170" t="s">
        <v>12</v>
      </c>
      <c r="Y140" s="178">
        <v>47.3</v>
      </c>
      <c r="Z140" s="177" t="s">
        <v>1294</v>
      </c>
      <c r="AA140" s="170" t="s">
        <v>327</v>
      </c>
      <c r="AB140" s="170" t="s">
        <v>18</v>
      </c>
      <c r="AC140" s="178">
        <v>4.5999999999999996</v>
      </c>
      <c r="AD140" s="177"/>
      <c r="AG140" s="178"/>
      <c r="AH140" s="177"/>
      <c r="AL140" s="177"/>
      <c r="AO140" s="178"/>
      <c r="AP140" s="177"/>
      <c r="AT140" s="250"/>
      <c r="AW140" s="178"/>
      <c r="BA140" s="179"/>
    </row>
    <row r="141" spans="1:53" s="170" customFormat="1" x14ac:dyDescent="0.15">
      <c r="A141" s="170">
        <v>2016</v>
      </c>
      <c r="B141" s="303"/>
      <c r="C141" s="395" t="s">
        <v>1287</v>
      </c>
      <c r="D141" s="395"/>
      <c r="E141" s="170">
        <v>95</v>
      </c>
      <c r="F141" s="243"/>
      <c r="G141" s="232"/>
      <c r="H141" s="170">
        <v>4</v>
      </c>
      <c r="I141" s="170">
        <v>12</v>
      </c>
      <c r="J141" s="240">
        <v>17</v>
      </c>
      <c r="K141" s="213">
        <f t="shared" ref="K141" si="19">G141/$J141*100</f>
        <v>0</v>
      </c>
      <c r="L141" s="213">
        <f t="shared" ref="L141" si="20">H141/$J141*100</f>
        <v>23.52941176470588</v>
      </c>
      <c r="M141" s="213">
        <f t="shared" ref="M141" si="21">I141/$J141*100</f>
        <v>70.588235294117652</v>
      </c>
      <c r="N141" s="234">
        <f t="shared" ref="N141" si="22">K141+L141+M141</f>
        <v>94.117647058823536</v>
      </c>
      <c r="O141" s="212"/>
      <c r="P141" s="213">
        <v>4.5999999999999996</v>
      </c>
      <c r="Q141" s="213">
        <v>47.3</v>
      </c>
      <c r="R141" s="214">
        <f t="shared" si="18"/>
        <v>51.9</v>
      </c>
      <c r="S141" s="170">
        <v>2</v>
      </c>
      <c r="T141" s="283"/>
      <c r="U141" s="281"/>
      <c r="V141" s="177" t="s">
        <v>555</v>
      </c>
      <c r="W141" s="170" t="s">
        <v>304</v>
      </c>
      <c r="X141" s="170" t="s">
        <v>12</v>
      </c>
      <c r="Y141" s="178">
        <v>47.3</v>
      </c>
      <c r="Z141" s="177" t="s">
        <v>1294</v>
      </c>
      <c r="AA141" s="170" t="s">
        <v>327</v>
      </c>
      <c r="AB141" s="170" t="s">
        <v>18</v>
      </c>
      <c r="AC141" s="178">
        <v>4.5999999999999996</v>
      </c>
      <c r="AD141" s="177"/>
      <c r="AG141" s="178"/>
      <c r="AH141" s="177"/>
      <c r="AL141" s="177"/>
      <c r="AO141" s="178"/>
      <c r="AP141" s="177"/>
      <c r="AT141" s="250"/>
      <c r="AW141" s="178"/>
      <c r="BA141" s="179"/>
    </row>
    <row r="142" spans="1:53" s="170" customFormat="1" x14ac:dyDescent="0.15">
      <c r="A142" s="170">
        <v>2016</v>
      </c>
      <c r="B142" s="303">
        <v>42465</v>
      </c>
      <c r="C142" s="395" t="s">
        <v>1287</v>
      </c>
      <c r="D142" s="395"/>
      <c r="E142" s="170">
        <v>251</v>
      </c>
      <c r="F142" s="243">
        <v>0</v>
      </c>
      <c r="G142" s="232"/>
      <c r="H142" s="170">
        <v>3</v>
      </c>
      <c r="I142" s="170">
        <v>12</v>
      </c>
      <c r="J142" s="240">
        <v>16</v>
      </c>
      <c r="K142" s="213">
        <f t="shared" ref="K142" si="23">G142/$J142*100</f>
        <v>0</v>
      </c>
      <c r="L142" s="213">
        <f t="shared" ref="L142" si="24">H142/$J142*100</f>
        <v>18.75</v>
      </c>
      <c r="M142" s="213">
        <f t="shared" ref="M142" si="25">I142/$J142*100</f>
        <v>75</v>
      </c>
      <c r="N142" s="234">
        <f t="shared" ref="N142" si="26">K142+L142+M142</f>
        <v>93.75</v>
      </c>
      <c r="O142" s="212"/>
      <c r="P142" s="213">
        <v>4.5999999999999996</v>
      </c>
      <c r="Q142" s="213">
        <v>47.3</v>
      </c>
      <c r="R142" s="214">
        <f t="shared" si="18"/>
        <v>51.9</v>
      </c>
      <c r="S142" s="170">
        <v>2</v>
      </c>
      <c r="T142" s="283"/>
      <c r="U142" s="281"/>
      <c r="V142" s="177" t="s">
        <v>555</v>
      </c>
      <c r="W142" s="170" t="s">
        <v>304</v>
      </c>
      <c r="X142" s="170" t="s">
        <v>12</v>
      </c>
      <c r="Y142" s="178">
        <v>47.3</v>
      </c>
      <c r="Z142" s="177" t="s">
        <v>1294</v>
      </c>
      <c r="AA142" s="170" t="s">
        <v>327</v>
      </c>
      <c r="AB142" s="170" t="s">
        <v>18</v>
      </c>
      <c r="AC142" s="178">
        <v>4.5999999999999996</v>
      </c>
      <c r="AD142" s="177"/>
      <c r="AG142" s="178"/>
      <c r="AH142" s="177"/>
      <c r="AL142" s="177"/>
      <c r="AO142" s="178"/>
      <c r="AP142" s="177"/>
      <c r="AT142" s="250"/>
      <c r="AW142" s="178"/>
      <c r="BA142" s="179"/>
    </row>
    <row r="143" spans="1:53" s="28" customFormat="1" x14ac:dyDescent="0.15">
      <c r="A143" s="28">
        <v>2016</v>
      </c>
      <c r="B143" s="293">
        <v>42716</v>
      </c>
      <c r="C143" s="394" t="s">
        <v>1341</v>
      </c>
      <c r="D143" s="394"/>
      <c r="E143" s="28">
        <v>20</v>
      </c>
      <c r="F143" s="28">
        <v>2</v>
      </c>
      <c r="G143" s="65"/>
      <c r="H143" s="28">
        <v>4</v>
      </c>
      <c r="I143" s="28">
        <v>13</v>
      </c>
      <c r="J143" s="72">
        <v>19</v>
      </c>
      <c r="K143" s="46">
        <f>G143/$J143*100</f>
        <v>0</v>
      </c>
      <c r="L143" s="46">
        <f>H143/$J143*100</f>
        <v>21.052631578947366</v>
      </c>
      <c r="M143" s="46">
        <f>I143/$J143*100</f>
        <v>68.421052631578945</v>
      </c>
      <c r="N143" s="67">
        <f>K143+L143+M143</f>
        <v>89.473684210526315</v>
      </c>
      <c r="O143" s="45"/>
      <c r="P143" s="46">
        <v>4.0999999999999996</v>
      </c>
      <c r="Q143" s="46">
        <v>48.1</v>
      </c>
      <c r="R143" s="47">
        <f t="shared" ref="R143:R151" si="27">O143+P143+Q143</f>
        <v>52.2</v>
      </c>
      <c r="S143" s="28">
        <v>2</v>
      </c>
      <c r="T143" s="284"/>
      <c r="U143" s="293">
        <v>42716</v>
      </c>
      <c r="V143" s="37" t="s">
        <v>555</v>
      </c>
      <c r="W143" s="28" t="s">
        <v>304</v>
      </c>
      <c r="X143" s="28" t="s">
        <v>12</v>
      </c>
      <c r="Y143" s="38">
        <v>48.1</v>
      </c>
      <c r="Z143" s="37" t="s">
        <v>1293</v>
      </c>
      <c r="AA143" s="28" t="s">
        <v>327</v>
      </c>
      <c r="AB143" s="28" t="s">
        <v>18</v>
      </c>
      <c r="AC143" s="38">
        <v>4.0999999999999996</v>
      </c>
      <c r="AD143" s="37"/>
      <c r="AG143" s="38"/>
      <c r="AH143" s="37"/>
      <c r="AL143" s="37"/>
      <c r="AO143" s="38"/>
      <c r="AP143" s="37"/>
      <c r="AT143" s="90"/>
      <c r="AW143" s="38"/>
      <c r="BA143" s="39"/>
    </row>
    <row r="144" spans="1:53" s="28" customFormat="1" x14ac:dyDescent="0.15">
      <c r="A144" s="28">
        <v>2017</v>
      </c>
      <c r="B144" s="293"/>
      <c r="C144" s="394" t="s">
        <v>1341</v>
      </c>
      <c r="D144" s="394"/>
      <c r="E144" s="28">
        <v>209</v>
      </c>
      <c r="G144" s="65"/>
      <c r="H144" s="28">
        <v>4</v>
      </c>
      <c r="I144" s="28">
        <v>13</v>
      </c>
      <c r="J144" s="72">
        <v>19</v>
      </c>
      <c r="K144" s="46">
        <f t="shared" ref="K144:K146" si="28">G144/$J144*100</f>
        <v>0</v>
      </c>
      <c r="L144" s="46">
        <f t="shared" ref="L144:L146" si="29">H144/$J144*100</f>
        <v>21.052631578947366</v>
      </c>
      <c r="M144" s="46">
        <f t="shared" ref="M144:M146" si="30">I144/$J144*100</f>
        <v>68.421052631578945</v>
      </c>
      <c r="N144" s="67">
        <f t="shared" ref="N144:N146" si="31">K144+L144+M144</f>
        <v>89.473684210526315</v>
      </c>
      <c r="O144" s="45"/>
      <c r="P144" s="46">
        <v>4.0999999999999996</v>
      </c>
      <c r="Q144" s="46">
        <v>48.1</v>
      </c>
      <c r="R144" s="47">
        <f t="shared" si="27"/>
        <v>52.2</v>
      </c>
      <c r="S144" s="28">
        <v>2</v>
      </c>
      <c r="T144" s="284"/>
      <c r="U144" s="293"/>
      <c r="V144" s="37" t="s">
        <v>555</v>
      </c>
      <c r="W144" s="28" t="s">
        <v>304</v>
      </c>
      <c r="X144" s="28" t="s">
        <v>12</v>
      </c>
      <c r="Y144" s="38">
        <v>48.1</v>
      </c>
      <c r="Z144" s="37" t="s">
        <v>1293</v>
      </c>
      <c r="AA144" s="28" t="s">
        <v>327</v>
      </c>
      <c r="AB144" s="28" t="s">
        <v>18</v>
      </c>
      <c r="AC144" s="38">
        <v>4.0999999999999996</v>
      </c>
      <c r="AD144" s="37"/>
      <c r="AG144" s="38"/>
      <c r="AH144" s="37"/>
      <c r="AL144" s="37"/>
      <c r="AO144" s="38"/>
      <c r="AP144" s="37"/>
      <c r="AT144" s="90"/>
      <c r="AW144" s="38"/>
      <c r="BA144" s="39"/>
    </row>
    <row r="145" spans="1:53" s="28" customFormat="1" x14ac:dyDescent="0.15">
      <c r="A145" s="28">
        <v>2017</v>
      </c>
      <c r="B145" s="301">
        <v>42945</v>
      </c>
      <c r="C145" s="394" t="s">
        <v>1341</v>
      </c>
      <c r="D145" s="394"/>
      <c r="E145" s="28">
        <v>156</v>
      </c>
      <c r="F145" s="83">
        <v>0</v>
      </c>
      <c r="G145" s="65"/>
      <c r="H145" s="28">
        <v>3</v>
      </c>
      <c r="I145" s="28">
        <v>14</v>
      </c>
      <c r="J145" s="72">
        <v>19</v>
      </c>
      <c r="K145" s="46">
        <f t="shared" si="28"/>
        <v>0</v>
      </c>
      <c r="L145" s="46">
        <f t="shared" si="29"/>
        <v>15.789473684210526</v>
      </c>
      <c r="M145" s="46">
        <f t="shared" si="30"/>
        <v>73.68421052631578</v>
      </c>
      <c r="N145" s="67">
        <f t="shared" si="31"/>
        <v>89.473684210526301</v>
      </c>
      <c r="O145" s="45"/>
      <c r="P145" s="46">
        <v>4.0999999999999996</v>
      </c>
      <c r="Q145" s="46">
        <v>48.1</v>
      </c>
      <c r="R145" s="47">
        <f t="shared" si="27"/>
        <v>52.2</v>
      </c>
      <c r="S145" s="28">
        <v>2</v>
      </c>
      <c r="T145" s="284"/>
      <c r="U145" s="293"/>
      <c r="V145" s="37" t="s">
        <v>555</v>
      </c>
      <c r="W145" s="28" t="s">
        <v>304</v>
      </c>
      <c r="X145" s="28" t="s">
        <v>12</v>
      </c>
      <c r="Y145" s="38">
        <v>48.1</v>
      </c>
      <c r="Z145" s="37" t="s">
        <v>1293</v>
      </c>
      <c r="AA145" s="28" t="s">
        <v>327</v>
      </c>
      <c r="AB145" s="28" t="s">
        <v>18</v>
      </c>
      <c r="AC145" s="38">
        <v>4.0999999999999996</v>
      </c>
      <c r="AD145" s="37"/>
      <c r="AG145" s="38"/>
      <c r="AH145" s="37"/>
      <c r="AL145" s="37"/>
      <c r="AO145" s="38"/>
      <c r="AP145" s="37"/>
      <c r="AT145" s="90"/>
      <c r="AW145" s="38"/>
      <c r="BA145" s="39"/>
    </row>
    <row r="146" spans="1:53" s="28" customFormat="1" x14ac:dyDescent="0.15">
      <c r="A146" s="28">
        <v>2018</v>
      </c>
      <c r="B146" s="301"/>
      <c r="C146" s="394" t="s">
        <v>1341</v>
      </c>
      <c r="D146" s="394"/>
      <c r="E146" s="28">
        <v>151</v>
      </c>
      <c r="F146" s="83"/>
      <c r="G146" s="65"/>
      <c r="H146" s="28">
        <v>3</v>
      </c>
      <c r="I146" s="28">
        <v>14</v>
      </c>
      <c r="J146" s="72">
        <v>19</v>
      </c>
      <c r="K146" s="46">
        <f t="shared" si="28"/>
        <v>0</v>
      </c>
      <c r="L146" s="46">
        <f t="shared" si="29"/>
        <v>15.789473684210526</v>
      </c>
      <c r="M146" s="46">
        <f t="shared" si="30"/>
        <v>73.68421052631578</v>
      </c>
      <c r="N146" s="67">
        <f t="shared" si="31"/>
        <v>89.473684210526301</v>
      </c>
      <c r="O146" s="45"/>
      <c r="P146" s="46">
        <v>4.0999999999999996</v>
      </c>
      <c r="Q146" s="46">
        <v>48.1</v>
      </c>
      <c r="R146" s="47">
        <f t="shared" si="27"/>
        <v>52.2</v>
      </c>
      <c r="S146" s="28">
        <v>2</v>
      </c>
      <c r="T146" s="284"/>
      <c r="U146" s="293"/>
      <c r="V146" s="37" t="s">
        <v>555</v>
      </c>
      <c r="W146" s="28" t="s">
        <v>304</v>
      </c>
      <c r="X146" s="28" t="s">
        <v>12</v>
      </c>
      <c r="Y146" s="38">
        <v>48.1</v>
      </c>
      <c r="Z146" s="37" t="s">
        <v>1293</v>
      </c>
      <c r="AA146" s="28" t="s">
        <v>327</v>
      </c>
      <c r="AB146" s="28" t="s">
        <v>18</v>
      </c>
      <c r="AC146" s="38">
        <v>4.0999999999999996</v>
      </c>
      <c r="AD146" s="37"/>
      <c r="AG146" s="38"/>
      <c r="AH146" s="37"/>
      <c r="AL146" s="37"/>
      <c r="AO146" s="38"/>
      <c r="AP146" s="37"/>
      <c r="AT146" s="90"/>
      <c r="AW146" s="38"/>
      <c r="BA146" s="39"/>
    </row>
    <row r="147" spans="1:53" s="170" customFormat="1" x14ac:dyDescent="0.15">
      <c r="A147" s="170">
        <v>2018</v>
      </c>
      <c r="B147" s="281">
        <v>43252</v>
      </c>
      <c r="C147" s="395" t="s">
        <v>1393</v>
      </c>
      <c r="D147" s="395"/>
      <c r="E147" s="170">
        <v>214</v>
      </c>
      <c r="F147" s="170">
        <v>1</v>
      </c>
      <c r="G147" s="232">
        <v>5</v>
      </c>
      <c r="H147" s="170">
        <v>8</v>
      </c>
      <c r="J147" s="240">
        <v>19</v>
      </c>
      <c r="K147" s="213">
        <f t="shared" ref="K147:L153" si="32">G147/$J147*100</f>
        <v>26.315789473684209</v>
      </c>
      <c r="L147" s="213">
        <f t="shared" si="32"/>
        <v>42.105263157894733</v>
      </c>
      <c r="M147" s="213">
        <f t="shared" ref="M147" si="33">I147/$J147*100</f>
        <v>0</v>
      </c>
      <c r="N147" s="234">
        <f t="shared" ref="N147" si="34">K147+L147+M147</f>
        <v>68.421052631578945</v>
      </c>
      <c r="O147" s="212">
        <v>19.600000000000001</v>
      </c>
      <c r="P147" s="213">
        <v>35.9</v>
      </c>
      <c r="Q147" s="213"/>
      <c r="R147" s="214">
        <f t="shared" si="27"/>
        <v>55.5</v>
      </c>
      <c r="S147" s="170">
        <v>2</v>
      </c>
      <c r="T147" s="283">
        <v>43252</v>
      </c>
      <c r="U147" s="281">
        <v>43163</v>
      </c>
      <c r="V147" s="177" t="s">
        <v>1394</v>
      </c>
      <c r="W147" s="170" t="s">
        <v>1395</v>
      </c>
      <c r="X147" s="170" t="s">
        <v>18</v>
      </c>
      <c r="Y147" s="178">
        <v>35.9</v>
      </c>
      <c r="Z147" s="177" t="s">
        <v>1396</v>
      </c>
      <c r="AA147" s="170" t="s">
        <v>294</v>
      </c>
      <c r="AB147" s="170" t="s">
        <v>11</v>
      </c>
      <c r="AC147" s="178">
        <v>19.600000000000001</v>
      </c>
      <c r="AD147" s="177"/>
      <c r="AH147" s="177"/>
      <c r="AL147" s="177"/>
      <c r="AO147" s="178"/>
      <c r="AP147" s="177"/>
      <c r="AT147" s="250"/>
      <c r="AW147" s="178"/>
      <c r="BA147" s="179"/>
    </row>
    <row r="148" spans="1:53" s="170" customFormat="1" x14ac:dyDescent="0.15">
      <c r="A148" s="170">
        <v>2019</v>
      </c>
      <c r="B148" s="281"/>
      <c r="C148" s="395" t="s">
        <v>1393</v>
      </c>
      <c r="D148" s="395"/>
      <c r="E148" s="170">
        <v>66</v>
      </c>
      <c r="G148" s="232">
        <v>5</v>
      </c>
      <c r="H148" s="170">
        <v>8</v>
      </c>
      <c r="J148" s="240">
        <v>19</v>
      </c>
      <c r="K148" s="213">
        <f t="shared" si="32"/>
        <v>26.315789473684209</v>
      </c>
      <c r="L148" s="213">
        <f t="shared" si="32"/>
        <v>42.105263157894733</v>
      </c>
      <c r="M148" s="213">
        <f t="shared" ref="M148" si="35">I148/$J148*100</f>
        <v>0</v>
      </c>
      <c r="N148" s="234">
        <f t="shared" ref="N148" si="36">K148+L148+M148</f>
        <v>68.421052631578945</v>
      </c>
      <c r="O148" s="212">
        <v>19.600000000000001</v>
      </c>
      <c r="P148" s="213">
        <v>35.9</v>
      </c>
      <c r="Q148" s="213"/>
      <c r="R148" s="214">
        <f t="shared" si="27"/>
        <v>55.5</v>
      </c>
      <c r="S148" s="170">
        <v>2</v>
      </c>
      <c r="T148" s="283"/>
      <c r="U148" s="281"/>
      <c r="V148" s="177" t="s">
        <v>1394</v>
      </c>
      <c r="W148" s="170" t="s">
        <v>1395</v>
      </c>
      <c r="X148" s="170" t="s">
        <v>18</v>
      </c>
      <c r="Y148" s="178">
        <v>35.9</v>
      </c>
      <c r="Z148" s="177" t="s">
        <v>1396</v>
      </c>
      <c r="AA148" s="170" t="s">
        <v>294</v>
      </c>
      <c r="AB148" s="170" t="s">
        <v>11</v>
      </c>
      <c r="AC148" s="178">
        <v>19.600000000000001</v>
      </c>
      <c r="AD148" s="177"/>
      <c r="AH148" s="177"/>
      <c r="AL148" s="177"/>
      <c r="AO148" s="178"/>
      <c r="AP148" s="177"/>
      <c r="AT148" s="250"/>
      <c r="AW148" s="178"/>
      <c r="BA148" s="179"/>
    </row>
    <row r="149" spans="1:53" s="170" customFormat="1" x14ac:dyDescent="0.15">
      <c r="A149" s="170">
        <v>2019</v>
      </c>
      <c r="B149" s="303">
        <v>43532</v>
      </c>
      <c r="C149" s="395" t="s">
        <v>1393</v>
      </c>
      <c r="D149" s="395"/>
      <c r="E149" s="170">
        <v>181</v>
      </c>
      <c r="F149" s="243">
        <v>0</v>
      </c>
      <c r="G149" s="232">
        <v>6</v>
      </c>
      <c r="H149" s="170">
        <v>8</v>
      </c>
      <c r="J149" s="240">
        <v>19</v>
      </c>
      <c r="K149" s="213">
        <f t="shared" si="32"/>
        <v>31.578947368421051</v>
      </c>
      <c r="L149" s="213">
        <f t="shared" si="32"/>
        <v>42.105263157894733</v>
      </c>
      <c r="M149" s="213">
        <f t="shared" ref="M149" si="37">I149/$J149*100</f>
        <v>0</v>
      </c>
      <c r="N149" s="234">
        <f t="shared" ref="N149" si="38">K149+L149+M149</f>
        <v>73.68421052631578</v>
      </c>
      <c r="O149" s="212">
        <v>19.600000000000001</v>
      </c>
      <c r="P149" s="213">
        <v>35.9</v>
      </c>
      <c r="Q149" s="213"/>
      <c r="R149" s="214">
        <f t="shared" si="27"/>
        <v>55.5</v>
      </c>
      <c r="S149" s="170">
        <v>2</v>
      </c>
      <c r="T149" s="283"/>
      <c r="U149" s="281"/>
      <c r="V149" s="177" t="s">
        <v>1394</v>
      </c>
      <c r="W149" s="170" t="s">
        <v>1395</v>
      </c>
      <c r="X149" s="170" t="s">
        <v>18</v>
      </c>
      <c r="Y149" s="178">
        <v>35.9</v>
      </c>
      <c r="Z149" s="177" t="s">
        <v>1396</v>
      </c>
      <c r="AA149" s="170" t="s">
        <v>294</v>
      </c>
      <c r="AB149" s="170" t="s">
        <v>11</v>
      </c>
      <c r="AC149" s="178">
        <v>19.600000000000001</v>
      </c>
      <c r="AD149" s="177"/>
      <c r="AH149" s="177"/>
      <c r="AL149" s="177"/>
      <c r="AO149" s="178"/>
      <c r="AP149" s="177"/>
      <c r="AT149" s="250"/>
      <c r="AW149" s="178"/>
      <c r="BA149" s="179"/>
    </row>
    <row r="150" spans="1:53" s="28" customFormat="1" x14ac:dyDescent="0.15">
      <c r="A150" s="28">
        <v>2019</v>
      </c>
      <c r="B150" s="293">
        <v>43713</v>
      </c>
      <c r="C150" s="394" t="s">
        <v>1413</v>
      </c>
      <c r="D150" s="394"/>
      <c r="E150" s="28">
        <v>117</v>
      </c>
      <c r="F150" s="1">
        <v>4</v>
      </c>
      <c r="G150" s="65"/>
      <c r="H150" s="28">
        <v>10</v>
      </c>
      <c r="I150" s="28">
        <v>10</v>
      </c>
      <c r="J150" s="72">
        <v>23</v>
      </c>
      <c r="K150" s="46">
        <f t="shared" si="32"/>
        <v>0</v>
      </c>
      <c r="L150" s="46">
        <f t="shared" si="32"/>
        <v>43.478260869565219</v>
      </c>
      <c r="M150" s="46">
        <f t="shared" ref="M150:M158" si="39">I150/$J150*100</f>
        <v>43.478260869565219</v>
      </c>
      <c r="N150" s="67">
        <f t="shared" ref="N150" si="40">K150+L150+M150</f>
        <v>86.956521739130437</v>
      </c>
      <c r="O150" s="45"/>
      <c r="P150" s="46">
        <v>33.9</v>
      </c>
      <c r="Q150" s="46">
        <v>20.5</v>
      </c>
      <c r="R150" s="47">
        <f t="shared" si="27"/>
        <v>54.4</v>
      </c>
      <c r="S150" s="28">
        <v>2</v>
      </c>
      <c r="T150" s="284"/>
      <c r="U150" s="293">
        <v>43713</v>
      </c>
      <c r="V150" s="37" t="s">
        <v>1394</v>
      </c>
      <c r="W150" s="28" t="s">
        <v>1395</v>
      </c>
      <c r="X150" s="28" t="s">
        <v>18</v>
      </c>
      <c r="Y150" s="38">
        <v>33.9</v>
      </c>
      <c r="Z150" s="37" t="s">
        <v>555</v>
      </c>
      <c r="AA150" s="28" t="s">
        <v>304</v>
      </c>
      <c r="AB150" s="28" t="s">
        <v>12</v>
      </c>
      <c r="AC150" s="38">
        <v>14</v>
      </c>
      <c r="AD150" s="37" t="s">
        <v>1414</v>
      </c>
      <c r="AE150" s="28" t="s">
        <v>1415</v>
      </c>
      <c r="AF150" s="28" t="s">
        <v>12</v>
      </c>
      <c r="AG150" s="38">
        <v>1.9</v>
      </c>
      <c r="AH150" s="37" t="s">
        <v>1416</v>
      </c>
      <c r="AI150" s="28" t="s">
        <v>1031</v>
      </c>
      <c r="AJ150" s="28" t="s">
        <v>12</v>
      </c>
      <c r="AK150" s="28">
        <v>4.5999999999999996</v>
      </c>
      <c r="AL150" s="37"/>
      <c r="AO150" s="38"/>
      <c r="AP150" s="37"/>
      <c r="AT150" s="90"/>
      <c r="AW150" s="38"/>
      <c r="BA150" s="39"/>
    </row>
    <row r="151" spans="1:53" s="28" customFormat="1" x14ac:dyDescent="0.15">
      <c r="A151" s="28">
        <v>2019</v>
      </c>
      <c r="B151" s="301">
        <v>43829</v>
      </c>
      <c r="C151" s="394" t="s">
        <v>1413</v>
      </c>
      <c r="D151" s="394"/>
      <c r="E151" s="28">
        <v>1</v>
      </c>
      <c r="F151" s="83">
        <v>0</v>
      </c>
      <c r="G151" s="65"/>
      <c r="H151" s="28">
        <v>10</v>
      </c>
      <c r="I151" s="28">
        <v>10</v>
      </c>
      <c r="J151" s="72">
        <v>24</v>
      </c>
      <c r="K151" s="46">
        <f t="shared" si="32"/>
        <v>0</v>
      </c>
      <c r="L151" s="46">
        <f t="shared" si="32"/>
        <v>41.666666666666671</v>
      </c>
      <c r="M151" s="46">
        <f t="shared" si="39"/>
        <v>41.666666666666671</v>
      </c>
      <c r="N151" s="67">
        <f t="shared" ref="N151:N153" si="41">K151+L151+M151</f>
        <v>83.333333333333343</v>
      </c>
      <c r="O151" s="45"/>
      <c r="P151" s="46">
        <v>33.9</v>
      </c>
      <c r="Q151" s="46">
        <v>20.5</v>
      </c>
      <c r="R151" s="47">
        <f t="shared" si="27"/>
        <v>54.4</v>
      </c>
      <c r="S151" s="28">
        <v>2</v>
      </c>
      <c r="T151" s="284"/>
      <c r="U151" s="293"/>
      <c r="V151" s="37" t="s">
        <v>1394</v>
      </c>
      <c r="W151" s="28" t="s">
        <v>1395</v>
      </c>
      <c r="X151" s="28" t="s">
        <v>18</v>
      </c>
      <c r="Y151" s="38">
        <v>33.9</v>
      </c>
      <c r="Z151" s="37" t="s">
        <v>555</v>
      </c>
      <c r="AA151" s="28" t="s">
        <v>304</v>
      </c>
      <c r="AB151" s="28" t="s">
        <v>12</v>
      </c>
      <c r="AC151" s="38">
        <v>14</v>
      </c>
      <c r="AD151" s="37" t="s">
        <v>1414</v>
      </c>
      <c r="AE151" s="28" t="s">
        <v>1415</v>
      </c>
      <c r="AF151" s="28" t="s">
        <v>12</v>
      </c>
      <c r="AG151" s="38">
        <v>1.9</v>
      </c>
      <c r="AH151" s="37" t="s">
        <v>1416</v>
      </c>
      <c r="AI151" s="28" t="s">
        <v>1031</v>
      </c>
      <c r="AJ151" s="28" t="s">
        <v>12</v>
      </c>
      <c r="AK151" s="28">
        <v>4.5999999999999996</v>
      </c>
      <c r="AL151" s="37"/>
      <c r="AO151" s="38"/>
      <c r="AP151" s="37"/>
      <c r="AT151" s="90"/>
      <c r="AW151" s="38"/>
      <c r="BA151" s="39"/>
    </row>
    <row r="152" spans="1:53" s="28" customFormat="1" x14ac:dyDescent="0.15">
      <c r="A152" s="28">
        <v>2020</v>
      </c>
      <c r="B152" s="301"/>
      <c r="C152" s="394" t="s">
        <v>1413</v>
      </c>
      <c r="D152" s="394"/>
      <c r="E152" s="28">
        <v>0</v>
      </c>
      <c r="F152" s="83"/>
      <c r="G152" s="65"/>
      <c r="H152" s="28">
        <v>10</v>
      </c>
      <c r="I152" s="28">
        <v>10</v>
      </c>
      <c r="J152" s="72">
        <v>24</v>
      </c>
      <c r="K152" s="46">
        <f t="shared" si="32"/>
        <v>0</v>
      </c>
      <c r="L152" s="46">
        <f t="shared" si="32"/>
        <v>41.666666666666671</v>
      </c>
      <c r="M152" s="46">
        <f t="shared" si="39"/>
        <v>41.666666666666671</v>
      </c>
      <c r="N152" s="67">
        <f t="shared" si="41"/>
        <v>83.333333333333343</v>
      </c>
      <c r="O152" s="45"/>
      <c r="P152" s="46">
        <v>33.9</v>
      </c>
      <c r="Q152" s="46">
        <v>20.5</v>
      </c>
      <c r="R152" s="47">
        <v>54.4</v>
      </c>
      <c r="S152" s="28">
        <v>2</v>
      </c>
      <c r="T152" s="284"/>
      <c r="U152" s="293"/>
      <c r="V152" s="37" t="s">
        <v>1394</v>
      </c>
      <c r="W152" s="28" t="s">
        <v>1395</v>
      </c>
      <c r="X152" s="28" t="s">
        <v>18</v>
      </c>
      <c r="Y152" s="38">
        <v>33.9</v>
      </c>
      <c r="Z152" s="37" t="s">
        <v>555</v>
      </c>
      <c r="AA152" s="28" t="s">
        <v>304</v>
      </c>
      <c r="AB152" s="28" t="s">
        <v>12</v>
      </c>
      <c r="AC152" s="38">
        <v>14</v>
      </c>
      <c r="AD152" s="37" t="s">
        <v>1414</v>
      </c>
      <c r="AE152" s="28" t="s">
        <v>1415</v>
      </c>
      <c r="AF152" s="28" t="s">
        <v>12</v>
      </c>
      <c r="AG152" s="38">
        <v>1.9</v>
      </c>
      <c r="AH152" s="37" t="s">
        <v>1416</v>
      </c>
      <c r="AI152" s="28" t="s">
        <v>1031</v>
      </c>
      <c r="AJ152" s="28" t="s">
        <v>12</v>
      </c>
      <c r="AK152" s="28">
        <v>4.5999999999999996</v>
      </c>
      <c r="AL152" s="37"/>
      <c r="AO152" s="38"/>
      <c r="AP152" s="37"/>
      <c r="AT152" s="90"/>
      <c r="AW152" s="38"/>
      <c r="BA152" s="39"/>
    </row>
    <row r="153" spans="1:53" s="28" customFormat="1" x14ac:dyDescent="0.15">
      <c r="A153" s="28">
        <v>2020</v>
      </c>
      <c r="B153" s="301"/>
      <c r="C153" s="394" t="s">
        <v>1413</v>
      </c>
      <c r="D153" s="394"/>
      <c r="E153" s="28">
        <v>366</v>
      </c>
      <c r="F153" s="83"/>
      <c r="G153" s="65"/>
      <c r="H153" s="28">
        <v>10</v>
      </c>
      <c r="I153" s="28">
        <v>10</v>
      </c>
      <c r="J153" s="72">
        <v>24</v>
      </c>
      <c r="K153" s="46">
        <f t="shared" si="32"/>
        <v>0</v>
      </c>
      <c r="L153" s="46">
        <f t="shared" si="32"/>
        <v>41.666666666666671</v>
      </c>
      <c r="M153" s="46">
        <f t="shared" si="39"/>
        <v>41.666666666666671</v>
      </c>
      <c r="N153" s="67">
        <f t="shared" si="41"/>
        <v>83.333333333333343</v>
      </c>
      <c r="O153" s="45"/>
      <c r="P153" s="46">
        <v>33.9</v>
      </c>
      <c r="Q153" s="46">
        <v>20.5</v>
      </c>
      <c r="R153" s="47">
        <v>54.4</v>
      </c>
      <c r="S153" s="28">
        <v>2</v>
      </c>
      <c r="T153" s="284"/>
      <c r="U153" s="293"/>
      <c r="V153" s="37" t="s">
        <v>1394</v>
      </c>
      <c r="W153" s="28" t="s">
        <v>1395</v>
      </c>
      <c r="X153" s="28" t="s">
        <v>18</v>
      </c>
      <c r="Y153" s="38">
        <v>33.9</v>
      </c>
      <c r="Z153" s="37" t="s">
        <v>555</v>
      </c>
      <c r="AA153" s="28" t="s">
        <v>304</v>
      </c>
      <c r="AB153" s="28" t="s">
        <v>12</v>
      </c>
      <c r="AC153" s="38">
        <v>14</v>
      </c>
      <c r="AD153" s="37" t="s">
        <v>1414</v>
      </c>
      <c r="AE153" s="28" t="s">
        <v>1415</v>
      </c>
      <c r="AF153" s="28" t="s">
        <v>12</v>
      </c>
      <c r="AG153" s="38">
        <v>1.9</v>
      </c>
      <c r="AH153" s="37" t="s">
        <v>1416</v>
      </c>
      <c r="AI153" s="28" t="s">
        <v>1031</v>
      </c>
      <c r="AJ153" s="28" t="s">
        <v>12</v>
      </c>
      <c r="AK153" s="28">
        <v>4.5999999999999996</v>
      </c>
      <c r="AL153" s="37"/>
      <c r="AO153" s="38"/>
      <c r="AP153" s="37"/>
      <c r="AT153" s="90"/>
      <c r="AW153" s="38"/>
      <c r="BA153" s="39"/>
    </row>
    <row r="154" spans="1:53" s="28" customFormat="1" x14ac:dyDescent="0.15">
      <c r="A154" s="28">
        <v>2021</v>
      </c>
      <c r="B154" s="301"/>
      <c r="C154" s="394" t="s">
        <v>1413</v>
      </c>
      <c r="D154" s="394"/>
      <c r="E154" s="28">
        <v>14</v>
      </c>
      <c r="F154" s="83"/>
      <c r="G154" s="65"/>
      <c r="H154" s="28">
        <v>10</v>
      </c>
      <c r="I154" s="28">
        <v>10</v>
      </c>
      <c r="J154" s="72">
        <v>24</v>
      </c>
      <c r="K154" s="46">
        <f>G154/$J154*100</f>
        <v>0</v>
      </c>
      <c r="L154" s="46">
        <f t="shared" ref="L154:L158" si="42">H154/$J154*100</f>
        <v>41.666666666666671</v>
      </c>
      <c r="M154" s="46">
        <f t="shared" si="39"/>
        <v>41.666666666666671</v>
      </c>
      <c r="N154" s="67">
        <f t="shared" ref="N154:N158" si="43">K154+L154+M154</f>
        <v>83.333333333333343</v>
      </c>
      <c r="O154" s="45"/>
      <c r="P154" s="46">
        <v>33.9</v>
      </c>
      <c r="Q154" s="46">
        <v>20.5</v>
      </c>
      <c r="R154" s="47">
        <v>54.4</v>
      </c>
      <c r="S154" s="28">
        <v>2</v>
      </c>
      <c r="T154" s="284"/>
      <c r="U154" s="293"/>
      <c r="V154" s="37" t="s">
        <v>1394</v>
      </c>
      <c r="W154" s="28" t="s">
        <v>1395</v>
      </c>
      <c r="X154" s="28" t="s">
        <v>18</v>
      </c>
      <c r="Y154" s="38">
        <v>33.9</v>
      </c>
      <c r="Z154" s="37" t="s">
        <v>555</v>
      </c>
      <c r="AA154" s="28" t="s">
        <v>304</v>
      </c>
      <c r="AB154" s="28" t="s">
        <v>12</v>
      </c>
      <c r="AC154" s="38">
        <v>14</v>
      </c>
      <c r="AD154" s="37" t="s">
        <v>1414</v>
      </c>
      <c r="AE154" s="28" t="s">
        <v>1415</v>
      </c>
      <c r="AF154" s="28" t="s">
        <v>12</v>
      </c>
      <c r="AG154" s="38">
        <v>1.9</v>
      </c>
      <c r="AH154" s="37" t="s">
        <v>1416</v>
      </c>
      <c r="AI154" s="28" t="s">
        <v>1031</v>
      </c>
      <c r="AJ154" s="28" t="s">
        <v>12</v>
      </c>
      <c r="AK154" s="28">
        <v>4.5999999999999996</v>
      </c>
      <c r="AL154" s="37"/>
      <c r="AO154" s="38"/>
      <c r="AP154" s="37"/>
      <c r="AT154" s="90"/>
      <c r="AW154" s="38"/>
      <c r="BA154" s="39"/>
    </row>
    <row r="155" spans="1:53" s="28" customFormat="1" x14ac:dyDescent="0.15">
      <c r="A155" s="28">
        <v>2021</v>
      </c>
      <c r="B155" s="301">
        <v>44210</v>
      </c>
      <c r="C155" s="394" t="s">
        <v>1413</v>
      </c>
      <c r="D155" s="394"/>
      <c r="E155" s="28">
        <v>30</v>
      </c>
      <c r="F155" s="83">
        <v>0</v>
      </c>
      <c r="G155" s="65"/>
      <c r="H155" s="28">
        <v>10</v>
      </c>
      <c r="I155" s="28">
        <v>8</v>
      </c>
      <c r="J155" s="72">
        <v>22</v>
      </c>
      <c r="K155" s="46">
        <f>G155/$J155*100</f>
        <v>0</v>
      </c>
      <c r="L155" s="46">
        <f t="shared" si="42"/>
        <v>45.454545454545453</v>
      </c>
      <c r="M155" s="46">
        <f t="shared" si="39"/>
        <v>36.363636363636367</v>
      </c>
      <c r="N155" s="67">
        <f t="shared" si="43"/>
        <v>81.818181818181813</v>
      </c>
      <c r="O155" s="45"/>
      <c r="P155" s="46">
        <v>33.9</v>
      </c>
      <c r="Q155" s="46">
        <v>20.5</v>
      </c>
      <c r="R155" s="47">
        <v>54.4</v>
      </c>
      <c r="S155" s="28">
        <v>2</v>
      </c>
      <c r="T155" s="284"/>
      <c r="U155" s="293"/>
      <c r="V155" s="37" t="s">
        <v>1394</v>
      </c>
      <c r="W155" s="28" t="s">
        <v>1395</v>
      </c>
      <c r="X155" s="28" t="s">
        <v>18</v>
      </c>
      <c r="Y155" s="38">
        <v>33.9</v>
      </c>
      <c r="Z155" s="37" t="s">
        <v>555</v>
      </c>
      <c r="AA155" s="28" t="s">
        <v>304</v>
      </c>
      <c r="AB155" s="28" t="s">
        <v>12</v>
      </c>
      <c r="AC155" s="38">
        <v>14</v>
      </c>
      <c r="AD155" s="37" t="s">
        <v>1414</v>
      </c>
      <c r="AE155" s="28" t="s">
        <v>1415</v>
      </c>
      <c r="AF155" s="28" t="s">
        <v>12</v>
      </c>
      <c r="AG155" s="38">
        <v>1.9</v>
      </c>
      <c r="AH155" s="37" t="s">
        <v>1416</v>
      </c>
      <c r="AI155" s="28" t="s">
        <v>1031</v>
      </c>
      <c r="AJ155" s="28" t="s">
        <v>12</v>
      </c>
      <c r="AK155" s="28">
        <v>4.5999999999999996</v>
      </c>
      <c r="AL155" s="37"/>
      <c r="AO155" s="38"/>
      <c r="AP155" s="37"/>
      <c r="AT155" s="90"/>
      <c r="AW155" s="38"/>
      <c r="BA155" s="39"/>
    </row>
    <row r="156" spans="1:53" s="170" customFormat="1" x14ac:dyDescent="0.15">
      <c r="A156" s="170">
        <v>2021</v>
      </c>
      <c r="B156" s="281">
        <v>44240</v>
      </c>
      <c r="C156" s="425" t="s">
        <v>1485</v>
      </c>
      <c r="D156" s="425"/>
      <c r="E156" s="170">
        <v>321</v>
      </c>
      <c r="F156" s="170">
        <v>2</v>
      </c>
      <c r="G156" s="232">
        <v>0</v>
      </c>
      <c r="H156" s="170">
        <v>0</v>
      </c>
      <c r="I156" s="170">
        <v>0</v>
      </c>
      <c r="J156" s="240">
        <v>24</v>
      </c>
      <c r="K156" s="213">
        <f>G156/$J156*100</f>
        <v>0</v>
      </c>
      <c r="L156" s="213">
        <f t="shared" si="42"/>
        <v>0</v>
      </c>
      <c r="M156" s="213">
        <f t="shared" si="39"/>
        <v>0</v>
      </c>
      <c r="N156" s="234">
        <f t="shared" si="43"/>
        <v>0</v>
      </c>
      <c r="O156" s="212">
        <v>0</v>
      </c>
      <c r="P156" s="213">
        <v>0</v>
      </c>
      <c r="Q156" s="213">
        <v>0</v>
      </c>
      <c r="R156" s="214">
        <v>0</v>
      </c>
      <c r="S156" s="170">
        <v>7</v>
      </c>
      <c r="T156" s="283"/>
      <c r="U156" s="281">
        <v>44240</v>
      </c>
      <c r="V156" s="241" t="s">
        <v>798</v>
      </c>
      <c r="Y156" s="178"/>
      <c r="AD156" s="177"/>
      <c r="AG156" s="178"/>
      <c r="AL156" s="177"/>
      <c r="AO156" s="178"/>
      <c r="AP156" s="177"/>
      <c r="AT156" s="250"/>
      <c r="AW156" s="178"/>
      <c r="BA156" s="179"/>
    </row>
    <row r="157" spans="1:53" s="170" customFormat="1" x14ac:dyDescent="0.15">
      <c r="A157" s="170">
        <v>2022</v>
      </c>
      <c r="B157" s="281"/>
      <c r="C157" s="425" t="s">
        <v>1485</v>
      </c>
      <c r="D157" s="425"/>
      <c r="E157" s="170">
        <v>294</v>
      </c>
      <c r="G157" s="232">
        <v>0</v>
      </c>
      <c r="H157" s="170">
        <v>0</v>
      </c>
      <c r="I157" s="170">
        <v>0</v>
      </c>
      <c r="J157" s="240">
        <v>24</v>
      </c>
      <c r="K157" s="213">
        <f>G157/$J157*100</f>
        <v>0</v>
      </c>
      <c r="L157" s="213">
        <f t="shared" si="42"/>
        <v>0</v>
      </c>
      <c r="M157" s="213">
        <f t="shared" si="39"/>
        <v>0</v>
      </c>
      <c r="N157" s="234">
        <f t="shared" si="43"/>
        <v>0</v>
      </c>
      <c r="O157" s="212">
        <v>0</v>
      </c>
      <c r="P157" s="213">
        <v>0</v>
      </c>
      <c r="Q157" s="213">
        <v>0</v>
      </c>
      <c r="R157" s="214">
        <v>0</v>
      </c>
      <c r="S157" s="170">
        <v>7</v>
      </c>
      <c r="T157" s="283"/>
      <c r="U157" s="281"/>
      <c r="V157" s="241" t="s">
        <v>798</v>
      </c>
      <c r="Y157" s="178"/>
      <c r="AD157" s="177"/>
      <c r="AG157" s="178"/>
      <c r="AL157" s="177"/>
      <c r="AO157" s="178"/>
      <c r="AP157" s="177"/>
      <c r="AT157" s="250"/>
      <c r="AW157" s="178"/>
      <c r="BA157" s="179"/>
    </row>
    <row r="158" spans="1:53" s="28" customFormat="1" x14ac:dyDescent="0.15">
      <c r="A158" s="28">
        <v>2022</v>
      </c>
      <c r="B158" s="293">
        <v>44856</v>
      </c>
      <c r="C158" s="394" t="s">
        <v>1523</v>
      </c>
      <c r="D158" s="394"/>
      <c r="E158" s="28">
        <v>71</v>
      </c>
      <c r="F158" s="28">
        <v>1</v>
      </c>
      <c r="G158" s="65">
        <v>20</v>
      </c>
      <c r="J158" s="72">
        <v>25</v>
      </c>
      <c r="K158" s="46">
        <f>G158/$J158*100</f>
        <v>80</v>
      </c>
      <c r="L158" s="46">
        <f t="shared" si="42"/>
        <v>0</v>
      </c>
      <c r="M158" s="46">
        <f t="shared" si="39"/>
        <v>0</v>
      </c>
      <c r="N158" s="67">
        <f t="shared" si="43"/>
        <v>80</v>
      </c>
      <c r="O158" s="45">
        <v>55.8</v>
      </c>
      <c r="P158" s="46"/>
      <c r="Q158" s="46"/>
      <c r="R158" s="47">
        <v>55.8</v>
      </c>
      <c r="S158" s="28">
        <v>2</v>
      </c>
      <c r="T158" s="284">
        <v>44829</v>
      </c>
      <c r="U158" s="293">
        <v>44856</v>
      </c>
      <c r="V158" s="37" t="s">
        <v>1522</v>
      </c>
      <c r="W158" s="28" t="s">
        <v>1321</v>
      </c>
      <c r="X158" s="28" t="s">
        <v>11</v>
      </c>
      <c r="Y158" s="38">
        <v>29.9</v>
      </c>
      <c r="Z158" s="37" t="s">
        <v>1396</v>
      </c>
      <c r="AA158" s="28" t="s">
        <v>294</v>
      </c>
      <c r="AB158" s="28" t="s">
        <v>11</v>
      </c>
      <c r="AC158" s="38">
        <v>10.199999999999999</v>
      </c>
      <c r="AD158" s="37" t="s">
        <v>509</v>
      </c>
      <c r="AE158" s="28" t="s">
        <v>74</v>
      </c>
      <c r="AF158" s="28" t="s">
        <v>11</v>
      </c>
      <c r="AG158" s="38">
        <v>15.7</v>
      </c>
      <c r="AH158" s="37"/>
      <c r="AL158" s="37"/>
      <c r="AO158" s="38"/>
      <c r="AP158" s="37"/>
      <c r="AT158" s="90"/>
      <c r="AW158" s="38"/>
      <c r="BA158" s="39"/>
    </row>
    <row r="159" spans="1:53" s="28" customFormat="1" x14ac:dyDescent="0.15">
      <c r="B159" s="301"/>
      <c r="F159" s="83"/>
      <c r="J159" s="71"/>
      <c r="K159" s="46"/>
      <c r="L159" s="46"/>
      <c r="M159" s="46"/>
      <c r="N159" s="67"/>
      <c r="O159" s="46"/>
      <c r="P159" s="46"/>
      <c r="Q159" s="46"/>
      <c r="R159" s="67"/>
      <c r="T159" s="293"/>
      <c r="U159" s="293"/>
      <c r="AT159" s="93"/>
    </row>
    <row r="160" spans="1:53" s="28" customFormat="1" x14ac:dyDescent="0.15">
      <c r="B160" s="301"/>
      <c r="F160" s="83"/>
      <c r="J160" s="71"/>
      <c r="K160" s="46"/>
      <c r="L160" s="46"/>
      <c r="M160" s="46"/>
      <c r="N160" s="67"/>
      <c r="O160" s="46"/>
      <c r="P160" s="46"/>
      <c r="Q160" s="46"/>
      <c r="R160" s="67"/>
      <c r="T160" s="293"/>
      <c r="U160" s="293"/>
      <c r="AT160" s="93"/>
    </row>
    <row r="161" spans="1:54" ht="18" customHeight="1" x14ac:dyDescent="0.15">
      <c r="B161" s="15" t="s">
        <v>1262</v>
      </c>
      <c r="H161" s="4"/>
      <c r="AT161" s="1"/>
    </row>
    <row r="162" spans="1:54" ht="9" customHeight="1" x14ac:dyDescent="0.15">
      <c r="H162" s="4"/>
      <c r="AT162" s="1"/>
    </row>
    <row r="163" spans="1:54" s="194" customFormat="1" ht="9" customHeight="1" x14ac:dyDescent="0.15">
      <c r="A163" s="192"/>
      <c r="B163" s="193" t="s">
        <v>1213</v>
      </c>
      <c r="C163" s="193"/>
      <c r="D163" s="193"/>
      <c r="E163" s="193"/>
      <c r="F163" s="193"/>
      <c r="G163" s="193" t="s">
        <v>1214</v>
      </c>
      <c r="H163" s="193"/>
      <c r="I163" s="193"/>
      <c r="J163" s="193"/>
      <c r="K163" s="193"/>
      <c r="L163" s="193"/>
      <c r="M163" s="193"/>
      <c r="N163" s="193"/>
      <c r="R163" s="386" t="s">
        <v>1215</v>
      </c>
      <c r="S163" s="386"/>
      <c r="T163" s="386"/>
      <c r="U163" s="386"/>
      <c r="V163" s="386"/>
      <c r="W163" s="386"/>
      <c r="X163" s="195"/>
      <c r="Y163" s="195"/>
      <c r="AA163" s="195"/>
      <c r="AB163" s="195"/>
      <c r="AC163" s="195"/>
      <c r="AD163" s="195"/>
    </row>
    <row r="164" spans="1:54" s="199" customFormat="1" ht="9" customHeight="1" x14ac:dyDescent="0.15">
      <c r="A164" s="196"/>
      <c r="B164" s="197" t="s">
        <v>1217</v>
      </c>
      <c r="C164" s="198"/>
      <c r="D164" s="198"/>
      <c r="E164" s="198"/>
      <c r="F164" s="198"/>
      <c r="G164" s="197" t="s">
        <v>1216</v>
      </c>
      <c r="H164" s="198"/>
      <c r="I164" s="198"/>
      <c r="J164" s="198"/>
      <c r="K164" s="198"/>
      <c r="L164" s="198"/>
      <c r="M164" s="198"/>
      <c r="N164" s="198"/>
      <c r="R164" s="200" t="s">
        <v>1218</v>
      </c>
      <c r="S164" s="201"/>
      <c r="T164" s="202"/>
      <c r="U164" s="202"/>
      <c r="V164" s="202"/>
      <c r="W164" s="200" t="s">
        <v>1219</v>
      </c>
      <c r="X164" s="202"/>
      <c r="Y164" s="202"/>
      <c r="AA164" s="202"/>
      <c r="AB164" s="202"/>
      <c r="AC164" s="202"/>
      <c r="AD164" s="202"/>
    </row>
    <row r="165" spans="1:54" s="185" customFormat="1" ht="12" customHeight="1" x14ac:dyDescent="0.15">
      <c r="A165" s="203" t="s">
        <v>3</v>
      </c>
      <c r="B165" s="204" t="s">
        <v>8</v>
      </c>
      <c r="C165" s="204" t="s">
        <v>9</v>
      </c>
      <c r="D165" s="204" t="s">
        <v>10</v>
      </c>
      <c r="E165" s="205" t="s">
        <v>1193</v>
      </c>
      <c r="F165" s="204"/>
      <c r="G165" s="185" t="s">
        <v>3</v>
      </c>
      <c r="H165" s="387" t="s">
        <v>0</v>
      </c>
      <c r="I165" s="387"/>
      <c r="J165" s="387" t="s">
        <v>1</v>
      </c>
      <c r="K165" s="387"/>
      <c r="L165" s="387" t="s">
        <v>2</v>
      </c>
      <c r="M165" s="387"/>
      <c r="N165" s="388" t="s">
        <v>1193</v>
      </c>
      <c r="O165" s="388"/>
      <c r="P165" s="206"/>
      <c r="Q165" s="206"/>
      <c r="R165" s="207" t="s">
        <v>3</v>
      </c>
      <c r="S165" s="208" t="s">
        <v>135</v>
      </c>
      <c r="T165" s="206" t="s">
        <v>133</v>
      </c>
      <c r="U165" s="204" t="s">
        <v>134</v>
      </c>
      <c r="V165" s="206"/>
      <c r="W165" s="209" t="s">
        <v>26</v>
      </c>
    </row>
    <row r="166" spans="1:54" s="139" customFormat="1" x14ac:dyDescent="0.15">
      <c r="A166" s="139">
        <v>1959</v>
      </c>
      <c r="B166" s="142">
        <f>(K6*($E6/365)) + (K7*($E7/365))</f>
        <v>0</v>
      </c>
      <c r="C166" s="142">
        <f>(L6*($E6/365)) + (L7*($E7/365))</f>
        <v>98.109589041095887</v>
      </c>
      <c r="D166" s="142">
        <f>(M6*($E6/365)) + (M7*($E7/365))</f>
        <v>1.8904109589041098</v>
      </c>
      <c r="E166" s="143">
        <f>B166+C166+D166</f>
        <v>100</v>
      </c>
      <c r="G166" s="139">
        <v>1959</v>
      </c>
      <c r="H166" s="396">
        <f>(O6/$R6*100*($E6/365))+(O7/$R7*100*($E7/365))</f>
        <v>0</v>
      </c>
      <c r="I166" s="396"/>
      <c r="J166" s="396">
        <f>(P6/$R6*100*($E6/365))+(P7/$R7*100*($E7/365))</f>
        <v>99.057977030579778</v>
      </c>
      <c r="K166" s="396"/>
      <c r="L166" s="396">
        <f>(Q6/$R6*100*($E6/365))+(Q7/$R7*100*($E7/365))</f>
        <v>0.94202296942022989</v>
      </c>
      <c r="M166" s="396"/>
      <c r="N166" s="400">
        <f>H166+J166+L166</f>
        <v>100.00000000000001</v>
      </c>
      <c r="O166" s="400"/>
      <c r="R166" s="139">
        <v>1959</v>
      </c>
      <c r="S166" s="142">
        <f>(O6*($E6/365)) + (O7*($E7/365))</f>
        <v>0</v>
      </c>
      <c r="T166" s="142">
        <f>(P6*($E6/365)) + (P7*($E7/365))</f>
        <v>45.8</v>
      </c>
      <c r="U166" s="142">
        <f>(Q6*($E6/365)) + (Q7*($E7/365))</f>
        <v>0.46630136986301374</v>
      </c>
      <c r="V166" s="152"/>
      <c r="W166" s="142">
        <f>S166+T166+U166</f>
        <v>46.266301369863008</v>
      </c>
      <c r="AT166" s="157"/>
      <c r="BB166" s="164"/>
    </row>
    <row r="167" spans="1:54" x14ac:dyDescent="0.15">
      <c r="A167" s="1">
        <v>1960</v>
      </c>
      <c r="B167" s="5">
        <f>(K8*($E8/366))+(K9*($E9/366))+(K10*($E10/366))</f>
        <v>0</v>
      </c>
      <c r="C167" s="5">
        <f>(L8*($E8/366))+(L9*($E9/366))+(L10*($E10/366))</f>
        <v>100</v>
      </c>
      <c r="D167" s="5">
        <f>(M8*($E8/366))+(M9*($E9/366))+(M10*($E10/366))</f>
        <v>0</v>
      </c>
      <c r="E167" s="17">
        <f>B167+C167+D167</f>
        <v>100</v>
      </c>
      <c r="G167" s="1">
        <v>1960</v>
      </c>
      <c r="H167" s="392">
        <f>(O8/$R8*100*($E8/366))+(O9/$R9*100*($E9/366))+(O10/$R10*100*($E10/366))</f>
        <v>0</v>
      </c>
      <c r="I167" s="392"/>
      <c r="J167" s="392">
        <f>(P8/$R8*100*($E8/366))+(P9/$R9*100*($E9/366))+(P10/$R10*100*($E10/366))</f>
        <v>100</v>
      </c>
      <c r="K167" s="392"/>
      <c r="L167" s="392">
        <f>(Q8/$R8*100*($E8/366))+(Q9/$R9*100*($E9/366))+(Q10/$R10*100*($E10/366))</f>
        <v>0</v>
      </c>
      <c r="M167" s="392"/>
      <c r="N167" s="363">
        <f>H167+J167+L167</f>
        <v>100</v>
      </c>
      <c r="O167" s="363"/>
      <c r="R167" s="1">
        <v>1960</v>
      </c>
      <c r="S167" s="5">
        <f>(O8*($E8/366))+(O9*($E9/366))+(O10*($E10/366))</f>
        <v>0</v>
      </c>
      <c r="T167" s="5">
        <f>(P8*($E8/366))+(P9*($E9/366))+(P10*($E10/366))</f>
        <v>45.8</v>
      </c>
      <c r="U167" s="5">
        <f>(Q8*($E8/366))+(Q9*($E9/366))+(Q10*($E10/366))</f>
        <v>0</v>
      </c>
      <c r="V167" s="9"/>
      <c r="W167" s="5">
        <f>S167+T167+U167</f>
        <v>45.8</v>
      </c>
    </row>
    <row r="168" spans="1:54" x14ac:dyDescent="0.15">
      <c r="A168" s="1">
        <v>1961</v>
      </c>
      <c r="B168" s="5">
        <f>(K11*($E11/365))+(K12*($E12/365))</f>
        <v>0</v>
      </c>
      <c r="C168" s="5">
        <f>(L11*($E11/365))+(L12*($E12/365))</f>
        <v>100</v>
      </c>
      <c r="D168" s="5">
        <f>(M11*($E11/365))+(M12*($E12/365))</f>
        <v>0</v>
      </c>
      <c r="E168" s="17">
        <f t="shared" ref="E168:E219" si="44">B168+C168+D168</f>
        <v>100</v>
      </c>
      <c r="G168" s="1">
        <v>1961</v>
      </c>
      <c r="H168" s="392">
        <f>(O11/$R11*100*($E11/365))+(O12/$R12*100*($E12/365))</f>
        <v>0</v>
      </c>
      <c r="I168" s="392"/>
      <c r="J168" s="392">
        <f>(P11/$R11*100*($E11/365))+(P12/$R12*100*($E12/365))</f>
        <v>100</v>
      </c>
      <c r="K168" s="392"/>
      <c r="L168" s="392">
        <f>(Q11/$R11*100*($E11/365))+(Q12/$R12*100*($E12/365))</f>
        <v>0</v>
      </c>
      <c r="M168" s="392"/>
      <c r="N168" s="363">
        <f t="shared" ref="N168:N218" si="45">H168+J168+L168</f>
        <v>100</v>
      </c>
      <c r="O168" s="363"/>
      <c r="R168" s="1">
        <v>1961</v>
      </c>
      <c r="S168" s="5">
        <f>(O11*($E11/365))+(O12*($E12/365))</f>
        <v>0</v>
      </c>
      <c r="T168" s="5">
        <f>(P11*($E11/365))+(P12*($E12/365))</f>
        <v>45.8</v>
      </c>
      <c r="U168" s="5">
        <f>(Q11*($E11/365))+(Q12*($E12/365))</f>
        <v>0</v>
      </c>
      <c r="V168" s="9"/>
      <c r="W168" s="5">
        <f t="shared" ref="W168:W219" si="46">S168+T168+U168</f>
        <v>45.8</v>
      </c>
    </row>
    <row r="169" spans="1:54" x14ac:dyDescent="0.15">
      <c r="A169" s="1">
        <v>1962</v>
      </c>
      <c r="B169" s="5">
        <f>(K13*($E13/365))+(K14*($E14/365))</f>
        <v>0</v>
      </c>
      <c r="C169" s="5">
        <f>(L13*($E13/365))+(L14*($E14/365))</f>
        <v>89.246575342465761</v>
      </c>
      <c r="D169" s="5">
        <f>(M13*($E13/365))+(M14*($E14/365))</f>
        <v>10.753424657534246</v>
      </c>
      <c r="E169" s="17">
        <f t="shared" si="44"/>
        <v>100</v>
      </c>
      <c r="G169" s="1">
        <v>1962</v>
      </c>
      <c r="H169" s="392">
        <f>(O13/$R13*100*($E13/365))+(O14/$R14*100*($E14/365))</f>
        <v>0</v>
      </c>
      <c r="I169" s="392"/>
      <c r="J169" s="392">
        <f>(P13/$R13*100*($E13/365))+(P14/$R14*100*($E14/365))</f>
        <v>93.697002576970021</v>
      </c>
      <c r="K169" s="392"/>
      <c r="L169" s="392">
        <f>(Q13/$R13*100*($E13/365))+(Q14/$R14*100*($E14/365))</f>
        <v>6.302997423029975</v>
      </c>
      <c r="M169" s="392"/>
      <c r="N169" s="363">
        <f t="shared" si="45"/>
        <v>100</v>
      </c>
      <c r="O169" s="363"/>
      <c r="R169" s="1">
        <v>1962</v>
      </c>
      <c r="S169" s="5">
        <f>(O13*($E13/365))+(O14*($E14/365))</f>
        <v>0</v>
      </c>
      <c r="T169" s="5">
        <f>(P13*($E13/365))+(P14*($E14/365))</f>
        <v>46.660273972602738</v>
      </c>
      <c r="U169" s="5">
        <f>(Q13*($E13/365))+(Q14*($E14/365))</f>
        <v>3.1830136986301372</v>
      </c>
      <c r="V169" s="9"/>
      <c r="W169" s="5">
        <f t="shared" si="46"/>
        <v>49.843287671232872</v>
      </c>
    </row>
    <row r="170" spans="1:54" x14ac:dyDescent="0.15">
      <c r="A170" s="1">
        <v>1963</v>
      </c>
      <c r="B170" s="5">
        <f>(K15*($E15/365))+(K16*($E16/365))+(K17*($E17/365))</f>
        <v>0</v>
      </c>
      <c r="C170" s="5">
        <f>(L15*($E15/365))+(L16*($E16/365))+(L17*($E17/365))</f>
        <v>91.583245521601683</v>
      </c>
      <c r="D170" s="5">
        <f>(M15*($E15/365))+(M16*($E16/365))+(M17*($E17/365))</f>
        <v>8.4167544783983139</v>
      </c>
      <c r="E170" s="17">
        <f t="shared" si="44"/>
        <v>100</v>
      </c>
      <c r="G170" s="1">
        <v>1963</v>
      </c>
      <c r="H170" s="392">
        <f>(O15/$R15*100*($E15/365))+(O16/$R16*100*($E16/365))+(O17/$R17*100*($E17/365))</f>
        <v>0</v>
      </c>
      <c r="I170" s="392"/>
      <c r="J170" s="392">
        <f>(P15/$R15*100*($E15/365))+(P16/$R16*100*($E16/365))+(P17/$R17*100*($E17/365))</f>
        <v>94.283027899889106</v>
      </c>
      <c r="K170" s="392"/>
      <c r="L170" s="392">
        <f>(Q15/$R15*100*($E15/365))+(Q16/$R16*100*($E16/365))+(Q17/$R17*100*($E17/365))</f>
        <v>5.7169721001108984</v>
      </c>
      <c r="M170" s="392"/>
      <c r="N170" s="363">
        <f t="shared" si="45"/>
        <v>100</v>
      </c>
      <c r="O170" s="363"/>
      <c r="R170" s="1">
        <v>1963</v>
      </c>
      <c r="S170" s="5">
        <f>(O15*($E15/365))+(O16*($E16/365))+(O17*($E17/365))</f>
        <v>0</v>
      </c>
      <c r="T170" s="5">
        <f>(P15*($E15/365))+(P16*($E16/365))+(P17*($E17/365))</f>
        <v>43.950684931506849</v>
      </c>
      <c r="U170" s="5">
        <f>(Q15*($E15/365))+(Q16*($E16/365))+(Q17*($E17/365))</f>
        <v>3.1315068493150688</v>
      </c>
      <c r="V170" s="9"/>
      <c r="W170" s="5">
        <f t="shared" si="46"/>
        <v>47.082191780821915</v>
      </c>
    </row>
    <row r="171" spans="1:54" x14ac:dyDescent="0.15">
      <c r="A171" s="1">
        <v>1964</v>
      </c>
      <c r="B171" s="5">
        <f>(K18*($E18/366))+(K19*($E19/366))</f>
        <v>0</v>
      </c>
      <c r="C171" s="5">
        <f>(L18*($E18/366))+(L19*($E19/366))</f>
        <v>65.384615384615387</v>
      </c>
      <c r="D171" s="5">
        <f>(M18*($E18/366))+(M19*($E19/366))</f>
        <v>34.615384615384613</v>
      </c>
      <c r="E171" s="17">
        <f t="shared" si="44"/>
        <v>100</v>
      </c>
      <c r="G171" s="1">
        <v>1964</v>
      </c>
      <c r="H171" s="392">
        <f>(O18/$R18*100*($E18/366))+(O19/$R19*100*($E19/366))</f>
        <v>0</v>
      </c>
      <c r="I171" s="392"/>
      <c r="J171" s="392">
        <f>(P18/$R18*100*($E18/366))+(P19/$R19*100*($E19/366))</f>
        <v>69.117647058823522</v>
      </c>
      <c r="K171" s="392"/>
      <c r="L171" s="392">
        <f>(Q18/$R18*100*($E18/366))+(Q19/$R19*100*($E19/366))</f>
        <v>30.882352941176471</v>
      </c>
      <c r="M171" s="392"/>
      <c r="N171" s="363">
        <f t="shared" si="45"/>
        <v>100</v>
      </c>
      <c r="O171" s="363"/>
      <c r="R171" s="1">
        <v>1964</v>
      </c>
      <c r="S171" s="5">
        <f>(O18*($E18/366))+(O19*($E19/366))</f>
        <v>0</v>
      </c>
      <c r="T171" s="5">
        <f>(P18*($E18/366))+(P19*($E19/366))</f>
        <v>42.3</v>
      </c>
      <c r="U171" s="5">
        <f>(Q18*($E18/366))+(Q19*($E19/366))</f>
        <v>18.899999999999999</v>
      </c>
      <c r="V171" s="9"/>
      <c r="W171" s="5">
        <f t="shared" si="46"/>
        <v>61.199999999999996</v>
      </c>
    </row>
    <row r="172" spans="1:54" x14ac:dyDescent="0.15">
      <c r="A172" s="1">
        <v>1965</v>
      </c>
      <c r="B172" s="5">
        <f>(K20*($E20/365))+(K21*($E21/365))</f>
        <v>0</v>
      </c>
      <c r="C172" s="5">
        <f>(L20*($E20/365))+(L21*($E21/365))</f>
        <v>65.384615384615387</v>
      </c>
      <c r="D172" s="5">
        <f>(M20*($E20/365))+(M21*($E21/365))</f>
        <v>34.615384615384613</v>
      </c>
      <c r="E172" s="17">
        <f t="shared" si="44"/>
        <v>100</v>
      </c>
      <c r="G172" s="1">
        <v>1965</v>
      </c>
      <c r="H172" s="392">
        <f>(O20/$R20*100*($E20/365))+(O21/$R21*100*($E21/365))</f>
        <v>0</v>
      </c>
      <c r="I172" s="392"/>
      <c r="J172" s="392">
        <f>(P20/$R20*100*($E20/365))+(P21/$R21*100*($E21/365))</f>
        <v>69.117647058823522</v>
      </c>
      <c r="K172" s="392"/>
      <c r="L172" s="392">
        <f>(Q20/$R20*100*($E20/365))+(Q21/$R21*100*($E21/365))</f>
        <v>30.882352941176471</v>
      </c>
      <c r="M172" s="392"/>
      <c r="N172" s="363">
        <f t="shared" si="45"/>
        <v>100</v>
      </c>
      <c r="O172" s="363"/>
      <c r="R172" s="1">
        <v>1965</v>
      </c>
      <c r="S172" s="5">
        <f>(O20*($E20/365))+(O21*($E21/365))</f>
        <v>0</v>
      </c>
      <c r="T172" s="5">
        <f>(P20*($E20/365))+(P21*($E21/365))</f>
        <v>42.3</v>
      </c>
      <c r="U172" s="5">
        <f>(Q20*($E20/365))+(Q21*($E21/365))</f>
        <v>18.899999999999999</v>
      </c>
      <c r="V172" s="9"/>
      <c r="W172" s="5">
        <f t="shared" si="46"/>
        <v>61.199999999999996</v>
      </c>
    </row>
    <row r="173" spans="1:54" x14ac:dyDescent="0.15">
      <c r="A173" s="1">
        <v>1966</v>
      </c>
      <c r="B173" s="5">
        <f>(K22*($E22/365))+(K23*($E23/365))</f>
        <v>0</v>
      </c>
      <c r="C173" s="5">
        <f>(L22*($E22/365))+(L23*($E23/365))</f>
        <v>65.384615384615387</v>
      </c>
      <c r="D173" s="5">
        <f>(M22*($E22/365))+(M23*($E23/365))</f>
        <v>34.615384615384613</v>
      </c>
      <c r="E173" s="17">
        <f t="shared" si="44"/>
        <v>100</v>
      </c>
      <c r="G173" s="1">
        <v>1966</v>
      </c>
      <c r="H173" s="392">
        <f>(O22/$R22*100*($E22/365))+(O23/$R23*100*($E23/365))</f>
        <v>0</v>
      </c>
      <c r="I173" s="392"/>
      <c r="J173" s="392">
        <f>(P22/$R22*100*($E22/365))+(P23/$R23*100*($E23/365))</f>
        <v>69.117647058823522</v>
      </c>
      <c r="K173" s="392"/>
      <c r="L173" s="392">
        <f>(Q22/$R22*100*($E22/365))+(Q23/$R23*100*($E23/365))</f>
        <v>30.882352941176471</v>
      </c>
      <c r="M173" s="392"/>
      <c r="N173" s="363">
        <f t="shared" si="45"/>
        <v>100</v>
      </c>
      <c r="O173" s="363"/>
      <c r="R173" s="1">
        <v>1966</v>
      </c>
      <c r="S173" s="5">
        <f>(O22*($E22/365))+(O23*($E23/365))</f>
        <v>0</v>
      </c>
      <c r="T173" s="5">
        <f>(P22*($E22/365))+(P23*($E23/365))</f>
        <v>42.3</v>
      </c>
      <c r="U173" s="5">
        <f>(Q22*($E22/365))+(Q23*($E23/365))</f>
        <v>18.899999999999999</v>
      </c>
      <c r="V173" s="9"/>
      <c r="W173" s="5">
        <f t="shared" si="46"/>
        <v>61.199999999999996</v>
      </c>
    </row>
    <row r="174" spans="1:54" x14ac:dyDescent="0.15">
      <c r="A174" s="1">
        <v>1967</v>
      </c>
      <c r="B174" s="5">
        <f>(K24*($E24/365))+(K25*($E25/365))</f>
        <v>0</v>
      </c>
      <c r="C174" s="5">
        <f>(L24*($E24/365))+(L25*($E25/365))</f>
        <v>65.384615384615387</v>
      </c>
      <c r="D174" s="5">
        <f>(M24*($E24/365))+(M25*($E25/365))</f>
        <v>34.615384615384613</v>
      </c>
      <c r="E174" s="17">
        <f t="shared" si="44"/>
        <v>100</v>
      </c>
      <c r="G174" s="1">
        <v>1967</v>
      </c>
      <c r="H174" s="392">
        <f>(O24/$R24*100*($E24/365))+(O25/$R25*100*($E25/365))</f>
        <v>0</v>
      </c>
      <c r="I174" s="392"/>
      <c r="J174" s="392">
        <f>(P24/$R24*100*($E24/365))+(P25/$R25*100*($E25/365))</f>
        <v>69.117647058823522</v>
      </c>
      <c r="K174" s="392"/>
      <c r="L174" s="392">
        <f>(Q24/$R24*100*($E24/365))+(Q25/$R25*100*($E25/365))</f>
        <v>30.882352941176471</v>
      </c>
      <c r="M174" s="392"/>
      <c r="N174" s="363">
        <f t="shared" si="45"/>
        <v>100</v>
      </c>
      <c r="O174" s="363"/>
      <c r="R174" s="1">
        <v>1967</v>
      </c>
      <c r="S174" s="5">
        <f>(O24*($E24/365))+(O25*($E25/365))</f>
        <v>0</v>
      </c>
      <c r="T174" s="5">
        <f>(P24*($E24/365))+(P25*($E25/365))</f>
        <v>42.3</v>
      </c>
      <c r="U174" s="5">
        <f>(Q24*($E24/365))+(Q25*($E25/365))</f>
        <v>18.899999999999999</v>
      </c>
      <c r="V174" s="9"/>
      <c r="W174" s="5">
        <f t="shared" si="46"/>
        <v>61.199999999999996</v>
      </c>
    </row>
    <row r="175" spans="1:54" x14ac:dyDescent="0.15">
      <c r="A175" s="1">
        <v>1968</v>
      </c>
      <c r="B175" s="5">
        <f>(K26*($E26/366))+(K27*($E27/366))+(K28*($E28/366))</f>
        <v>0</v>
      </c>
      <c r="C175" s="5">
        <f>(L26*($E26/366))+(L27*($E27/366))+(L28*($E28/366))</f>
        <v>81.532856942693016</v>
      </c>
      <c r="D175" s="5">
        <f>(M26*($E26/366))+(M27*($E27/366))+(M28*($E28/366))</f>
        <v>18.467143057306988</v>
      </c>
      <c r="E175" s="17">
        <f t="shared" si="44"/>
        <v>100</v>
      </c>
      <c r="G175" s="1">
        <v>1968</v>
      </c>
      <c r="H175" s="392">
        <f>(O26/$R26*100*($E26/366))+(O27/$R27*100*($E27/366))+(O28/$R28*100*($E28/366))</f>
        <v>0</v>
      </c>
      <c r="I175" s="392"/>
      <c r="J175" s="392">
        <f>(P26/$R26*100*($E26/366))+(P27/$R27*100*($E27/366))+(P28/$R28*100*($E28/366))</f>
        <v>83.792770924084735</v>
      </c>
      <c r="K175" s="392"/>
      <c r="L175" s="392">
        <f>(Q26/$R26*100*($E26/366))+(Q27/$R27*100*($E27/366))+(Q28/$R28*100*($E28/366))</f>
        <v>16.207229075915272</v>
      </c>
      <c r="M175" s="392"/>
      <c r="N175" s="363">
        <f t="shared" si="45"/>
        <v>100</v>
      </c>
      <c r="O175" s="363"/>
      <c r="R175" s="1">
        <v>1968</v>
      </c>
      <c r="S175" s="5">
        <f>(O26*($E26/366))+(O27*($E27/366))+(O28*($E28/366))</f>
        <v>0</v>
      </c>
      <c r="T175" s="5">
        <f>(P26*($E26/366))+(P27*($E27/366))+(P28*($E28/366))</f>
        <v>42.324590163934431</v>
      </c>
      <c r="U175" s="5">
        <f>(Q26*($E26/366))+(Q27*($E27/366))+(Q28*($E28/366))</f>
        <v>9.8754098360655718</v>
      </c>
      <c r="V175" s="9"/>
      <c r="W175" s="5">
        <f t="shared" si="46"/>
        <v>52.2</v>
      </c>
    </row>
    <row r="176" spans="1:54" x14ac:dyDescent="0.15">
      <c r="A176" s="1">
        <v>1969</v>
      </c>
      <c r="B176" s="5">
        <f>(K29*($E29/365))+(K30*($E30/365))</f>
        <v>0</v>
      </c>
      <c r="C176" s="5">
        <f>(L29*($E29/365))+(L30*($E30/365))</f>
        <v>80.273972602739718</v>
      </c>
      <c r="D176" s="5">
        <f>(M29*($E29/365))+(M30*($E30/365))</f>
        <v>19.726027397260271</v>
      </c>
      <c r="E176" s="17">
        <f t="shared" si="44"/>
        <v>99.999999999999986</v>
      </c>
      <c r="G176" s="1">
        <v>1969</v>
      </c>
      <c r="H176" s="392">
        <f>(O29/$R29*100*($E29/365))+(O30/$R30*100*($E30/365))</f>
        <v>0</v>
      </c>
      <c r="I176" s="392"/>
      <c r="J176" s="392">
        <f>(P29/$R29*100*($E29/365))+(P30/$R30*100*($E30/365))</f>
        <v>85.307510628247528</v>
      </c>
      <c r="K176" s="392"/>
      <c r="L176" s="392">
        <f>(Q29/$R29*100*($E29/365))+(Q30/$R30*100*($E30/365))</f>
        <v>14.69248937175248</v>
      </c>
      <c r="M176" s="392"/>
      <c r="N176" s="363">
        <f t="shared" si="45"/>
        <v>100</v>
      </c>
      <c r="O176" s="363"/>
      <c r="R176" s="1">
        <v>1969</v>
      </c>
      <c r="S176" s="5">
        <f>(O29*($E29/365))+(O30*($E30/365))</f>
        <v>0</v>
      </c>
      <c r="T176" s="5">
        <f>(P29*($E29/365))+(P30*($E30/365))</f>
        <v>43.028493150684938</v>
      </c>
      <c r="U176" s="5">
        <f>(Q29*($E29/365))+(Q30*($E30/365))</f>
        <v>8.5216438356164392</v>
      </c>
      <c r="V176" s="9"/>
      <c r="W176" s="5">
        <f t="shared" si="46"/>
        <v>51.550136986301375</v>
      </c>
    </row>
    <row r="177" spans="1:23" x14ac:dyDescent="0.15">
      <c r="A177" s="1">
        <v>1970</v>
      </c>
      <c r="B177" s="5">
        <f>(K31*($E31/365))+(K32*($E32/365))+(K33*($E33/365))</f>
        <v>0</v>
      </c>
      <c r="C177" s="5">
        <f>(L31*($E31/365))+(L32*($E32/365))+(L33*($E33/365))</f>
        <v>73.463796477495109</v>
      </c>
      <c r="D177" s="5">
        <f>(M31*($E31/365))+(M32*($E32/365))+(M33*($E33/365))</f>
        <v>26.536203522504891</v>
      </c>
      <c r="E177" s="17">
        <f t="shared" si="44"/>
        <v>100</v>
      </c>
      <c r="G177" s="1">
        <v>1970</v>
      </c>
      <c r="H177" s="392">
        <f>(O31/$R31*100*($E31/365))+(O32/$R32*100*($E32/365))+(O33/$R33*100*($E33/365))</f>
        <v>0</v>
      </c>
      <c r="I177" s="392"/>
      <c r="J177" s="392">
        <f>(P31/$R31*100*($E31/365))+(P32/$R32*100*($E32/365))+(P33/$R33*100*($E33/365))</f>
        <v>80.954180444024558</v>
      </c>
      <c r="K177" s="392"/>
      <c r="L177" s="392">
        <f>(Q31/$R31*100*($E31/365))+(Q32/$R32*100*($E32/365))+(Q33/$R33*100*($E33/365))</f>
        <v>19.045819555975438</v>
      </c>
      <c r="M177" s="392"/>
      <c r="N177" s="363">
        <f t="shared" si="45"/>
        <v>100</v>
      </c>
      <c r="O177" s="363"/>
      <c r="R177" s="1">
        <v>1970</v>
      </c>
      <c r="S177" s="5">
        <f>(O31*($E31/365))+(O32*($E32/365))+(O33*($E33/365))</f>
        <v>0</v>
      </c>
      <c r="T177" s="5">
        <f>(P31*($E31/365))+(P32*($E32/365))+(P33*($E33/365))</f>
        <v>43.273972602739725</v>
      </c>
      <c r="U177" s="5">
        <f>(Q31*($E31/365))+(Q32*($E32/365))+(Q33*($E33/365))</f>
        <v>11.046575342465754</v>
      </c>
      <c r="V177" s="9"/>
      <c r="W177" s="5">
        <f t="shared" si="46"/>
        <v>54.320547945205476</v>
      </c>
    </row>
    <row r="178" spans="1:23" x14ac:dyDescent="0.15">
      <c r="A178" s="1">
        <v>1971</v>
      </c>
      <c r="B178" s="5">
        <f>(K34*($E34/365))+(K35*($E35/365))</f>
        <v>0</v>
      </c>
      <c r="C178" s="5">
        <f>(L34*($E34/365))+(L35*($E35/365))</f>
        <v>63.169529607885771</v>
      </c>
      <c r="D178" s="5">
        <f>(M34*($E34/365))+(M35*($E35/365))</f>
        <v>36.830470392114229</v>
      </c>
      <c r="E178" s="17">
        <f t="shared" si="44"/>
        <v>100</v>
      </c>
      <c r="G178" s="1">
        <v>1971</v>
      </c>
      <c r="H178" s="392">
        <f>(O34/$R34*100*($E34/365))+(O35/$R35*100*($E35/365))</f>
        <v>0</v>
      </c>
      <c r="I178" s="392"/>
      <c r="J178" s="392">
        <f>(P34/$R34*100*($E34/365))+(P35/$R35*100*($E35/365))</f>
        <v>74.654205981863129</v>
      </c>
      <c r="K178" s="392"/>
      <c r="L178" s="392">
        <f>(Q34/$R34*100*($E34/365))+(Q35/$R35*100*($E35/365))</f>
        <v>25.345794018136868</v>
      </c>
      <c r="M178" s="392"/>
      <c r="N178" s="363">
        <f t="shared" si="45"/>
        <v>100</v>
      </c>
      <c r="O178" s="363"/>
      <c r="R178" s="1">
        <v>1971</v>
      </c>
      <c r="S178" s="5">
        <f>(O34*($E34/365))+(O35*($E35/365))</f>
        <v>0</v>
      </c>
      <c r="T178" s="5">
        <f>(P34*($E34/365))+(P35*($E35/365))</f>
        <v>42.418630136986302</v>
      </c>
      <c r="U178" s="5">
        <f>(Q34*($E34/365))+(Q35*($E35/365))</f>
        <v>14.399999999999999</v>
      </c>
      <c r="V178" s="9"/>
      <c r="W178" s="5">
        <f t="shared" si="46"/>
        <v>56.8186301369863</v>
      </c>
    </row>
    <row r="179" spans="1:23" x14ac:dyDescent="0.15">
      <c r="A179" s="1">
        <v>1972</v>
      </c>
      <c r="B179" s="5">
        <f>(K36*($E36/366))+(K37*($E37/366))+(K38*($E38/366))</f>
        <v>7.9445145018915513</v>
      </c>
      <c r="C179" s="5">
        <f>(L36*($E36/366))+(L37*($E37/366))+(L38*($E38/366))</f>
        <v>77.267526038017849</v>
      </c>
      <c r="D179" s="5">
        <f>(M36*($E36/366))+(M37*($E37/366))+(M38*($E38/366))</f>
        <v>14.78795946009061</v>
      </c>
      <c r="E179" s="17">
        <f t="shared" si="44"/>
        <v>100</v>
      </c>
      <c r="G179" s="1">
        <v>1972</v>
      </c>
      <c r="H179" s="392">
        <f>(O36/$R36*100*($E36/366))+(O37/$R37*100*($E37/366))+(O38/$R38*100*($E38/366))</f>
        <v>3.3878695042857614</v>
      </c>
      <c r="I179" s="392"/>
      <c r="J179" s="392">
        <f>(P36/$R36*100*($E36/366))+(P37/$R37*100*($E37/366))+(P38/$R38*100*($E38/366))</f>
        <v>88.553029848482538</v>
      </c>
      <c r="K179" s="392"/>
      <c r="L179" s="392">
        <f>(Q36/$R36*100*($E36/366))+(Q37/$R37*100*($E37/366))+(Q38/$R38*100*($E38/366))</f>
        <v>8.0591006472317108</v>
      </c>
      <c r="M179" s="392"/>
      <c r="N179" s="363">
        <f t="shared" si="45"/>
        <v>100.00000000000001</v>
      </c>
      <c r="O179" s="363"/>
      <c r="R179" s="1">
        <v>1972</v>
      </c>
      <c r="S179" s="5">
        <f>(O36*($E36/366))+(O37*($E37/366))+(O38*($E38/366))</f>
        <v>1.7040983606557376</v>
      </c>
      <c r="T179" s="5">
        <f>(P36*($E36/366))+(P37*($E37/366))+(P38*($E38/366))</f>
        <v>42.303278688524593</v>
      </c>
      <c r="U179" s="5">
        <f>(Q36*($E36/366))+(Q37*($E37/366))+(Q38*($E38/366))</f>
        <v>4.2639344262295076</v>
      </c>
      <c r="V179" s="9"/>
      <c r="W179" s="5">
        <f t="shared" si="46"/>
        <v>48.271311475409831</v>
      </c>
    </row>
    <row r="180" spans="1:23" x14ac:dyDescent="0.15">
      <c r="A180" s="1">
        <v>1973</v>
      </c>
      <c r="B180" s="5">
        <f>(K39*($E39/365))+(K40*($E40/365))</f>
        <v>10.537407797681769</v>
      </c>
      <c r="C180" s="5">
        <f>(L39*($E39/365))+(L40*($E40/365))</f>
        <v>65.426401656916539</v>
      </c>
      <c r="D180" s="5">
        <f>(M39*($E39/365))+(M40*($E40/365))</f>
        <v>24.036190545401695</v>
      </c>
      <c r="E180" s="17">
        <f t="shared" si="44"/>
        <v>100</v>
      </c>
      <c r="G180" s="1">
        <v>1973</v>
      </c>
      <c r="H180" s="392">
        <f>(O39/$R39*100*($E39/365))+(O40/$R40*100*($E40/365))</f>
        <v>4.4935864266456065</v>
      </c>
      <c r="I180" s="392"/>
      <c r="J180" s="392">
        <f>(P39/$R39*100*($E39/365))+(P40/$R40*100*($E40/365))</f>
        <v>81.593255546840822</v>
      </c>
      <c r="K180" s="392"/>
      <c r="L180" s="392">
        <f>(Q39/$R39*100*($E39/365))+(Q40/$R40*100*($E40/365))</f>
        <v>13.913158026513569</v>
      </c>
      <c r="M180" s="392"/>
      <c r="N180" s="363">
        <f t="shared" si="45"/>
        <v>100</v>
      </c>
      <c r="O180" s="363"/>
      <c r="R180" s="1">
        <v>1973</v>
      </c>
      <c r="S180" s="5">
        <f>(O39*($E39/365))+(O40*($E40/365))</f>
        <v>2.2602739726027394</v>
      </c>
      <c r="T180" s="5">
        <f>(P39*($E39/365))+(P40*($E40/365))</f>
        <v>43.093150684931501</v>
      </c>
      <c r="U180" s="5">
        <f>(Q39*($E39/365))+(Q40*($E40/365))</f>
        <v>7.6561643835616433</v>
      </c>
      <c r="V180" s="9"/>
      <c r="W180" s="5">
        <f t="shared" si="46"/>
        <v>53.009589041095886</v>
      </c>
    </row>
    <row r="181" spans="1:23" x14ac:dyDescent="0.15">
      <c r="A181" s="1">
        <v>1974</v>
      </c>
      <c r="B181" s="5">
        <f>(K41*($E41/365))+(K42*($E42/365))+(K43*($E43/365))</f>
        <v>0</v>
      </c>
      <c r="C181" s="5">
        <f>(L41*($E41/365))+(L42*($E42/365))+(L43*($E43/365))</f>
        <v>66.432905781039935</v>
      </c>
      <c r="D181" s="5">
        <f>(M41*($E41/365))+(M42*($E42/365))+(M43*($E43/365))</f>
        <v>33.567094218960072</v>
      </c>
      <c r="E181" s="17">
        <f t="shared" si="44"/>
        <v>100</v>
      </c>
      <c r="G181" s="1">
        <v>1974</v>
      </c>
      <c r="H181" s="392">
        <f>(O41/$R41*100*($E41/365))+(O42/$R42*100*($E42/365))+(O43/$R43*100*($E43/365))</f>
        <v>0</v>
      </c>
      <c r="I181" s="392"/>
      <c r="J181" s="392">
        <f>(P41/$R41*100*($E41/365))+(P42/$R42*100*($E42/365))+(P43/$R43*100*($E43/365))</f>
        <v>77.660153394894579</v>
      </c>
      <c r="K181" s="392"/>
      <c r="L181" s="392">
        <f>(Q41/$R41*100*($E41/365))+(Q42/$R42*100*($E42/365))+(Q43/$R43*100*($E43/365))</f>
        <v>22.339846605105421</v>
      </c>
      <c r="M181" s="392"/>
      <c r="N181" s="363">
        <f t="shared" si="45"/>
        <v>100</v>
      </c>
      <c r="O181" s="363"/>
      <c r="R181" s="1">
        <v>1974</v>
      </c>
      <c r="S181" s="5">
        <f>(O41*($E41/365))+(O42*($E42/365))+(O43*($E43/365))</f>
        <v>0</v>
      </c>
      <c r="T181" s="5">
        <f>(P41*($E41/365))+(P42*($E42/365))+(P43*($E43/365))</f>
        <v>43.069041095890412</v>
      </c>
      <c r="U181" s="5">
        <f>(Q41*($E41/365))+(Q42*($E42/365))+(Q43*($E43/365))</f>
        <v>12.77205479452055</v>
      </c>
      <c r="V181" s="9"/>
      <c r="W181" s="5">
        <f t="shared" si="46"/>
        <v>55.841095890410962</v>
      </c>
    </row>
    <row r="182" spans="1:23" x14ac:dyDescent="0.15">
      <c r="A182" s="1">
        <v>1975</v>
      </c>
      <c r="B182" s="5">
        <f>(K44*($E44/365))+(K45*($E45/365))</f>
        <v>0</v>
      </c>
      <c r="C182" s="5">
        <f>(L44*($E44/365))+(L45*($E45/365))</f>
        <v>100</v>
      </c>
      <c r="D182" s="5">
        <f>(M44*($E44/365))+(M45*($E45/365))</f>
        <v>0</v>
      </c>
      <c r="E182" s="17">
        <f t="shared" si="44"/>
        <v>100</v>
      </c>
      <c r="G182" s="1">
        <v>1975</v>
      </c>
      <c r="H182" s="392">
        <f>(O44/$R44*100*($E44/365))+(O45/$R45*100*($E45/365))</f>
        <v>0</v>
      </c>
      <c r="I182" s="392"/>
      <c r="J182" s="392">
        <f>(P44/$R44*100*($E44/365))+(P45/$R45*100*($E45/365))</f>
        <v>100</v>
      </c>
      <c r="K182" s="392"/>
      <c r="L182" s="392">
        <f>(Q44/$R44*100*($E44/365))+(Q45/$R45*100*($E45/365))</f>
        <v>0</v>
      </c>
      <c r="M182" s="392"/>
      <c r="N182" s="363">
        <f t="shared" si="45"/>
        <v>100</v>
      </c>
      <c r="O182" s="363"/>
      <c r="R182" s="1">
        <v>1975</v>
      </c>
      <c r="S182" s="5">
        <f>(O44*($E44/365))+(O45*($E45/365))</f>
        <v>0</v>
      </c>
      <c r="T182" s="5">
        <f>(P44*($E44/365))+(P45*($E45/365))</f>
        <v>44.6</v>
      </c>
      <c r="U182" s="5">
        <f>(Q44*($E44/365))+(Q45*($E45/365))</f>
        <v>0</v>
      </c>
      <c r="V182" s="9"/>
      <c r="W182" s="5">
        <f t="shared" si="46"/>
        <v>44.6</v>
      </c>
    </row>
    <row r="183" spans="1:23" x14ac:dyDescent="0.15">
      <c r="A183" s="1">
        <v>1976</v>
      </c>
      <c r="B183" s="5">
        <f>(K46*($E46/366))+(K47*($E47/366))+(K48*($E48/366))</f>
        <v>0</v>
      </c>
      <c r="C183" s="5">
        <f>(L46*($E46/366))+(L47*($E47/366))+(L48*($E48/366))</f>
        <v>98.062593144560367</v>
      </c>
      <c r="D183" s="5">
        <f>(M46*($E46/366))+(M47*($E47/366))+(M48*($E48/366))</f>
        <v>0</v>
      </c>
      <c r="E183" s="17">
        <f t="shared" si="44"/>
        <v>98.062593144560367</v>
      </c>
      <c r="G183" s="1">
        <v>1976</v>
      </c>
      <c r="H183" s="392">
        <f>(O46/$R46*100*($E46/366))+(O47/$R47*100*($E47/366))+(O48/$R48*100*($E48/366))</f>
        <v>0</v>
      </c>
      <c r="I183" s="392"/>
      <c r="J183" s="392">
        <f>(P46/$R46*100*($E46/366))+(P47/$R47*100*($E47/366))+(P48/$R48*100*($E48/366))</f>
        <v>100</v>
      </c>
      <c r="K183" s="392"/>
      <c r="L183" s="392">
        <f>(Q46/$R46*100*($E46/366))+(Q47/$R47*100*($E47/366))+(Q48/$R48*100*($E48/366))</f>
        <v>0</v>
      </c>
      <c r="M183" s="392"/>
      <c r="N183" s="363">
        <f t="shared" si="45"/>
        <v>100</v>
      </c>
      <c r="O183" s="363"/>
      <c r="R183" s="1">
        <v>1976</v>
      </c>
      <c r="S183" s="5">
        <f>(O46*($E46/366))+(O47*($E47/366))+(O48*($E48/366))</f>
        <v>0</v>
      </c>
      <c r="T183" s="5">
        <f>(P46*($E46/366))+(P47*($E47/366))+(P48*($E48/366))</f>
        <v>42.360109289617483</v>
      </c>
      <c r="U183" s="5">
        <f>(Q46*($E46/366))+(Q47*($E47/366))+(Q48*($E48/366))</f>
        <v>0</v>
      </c>
      <c r="V183" s="9"/>
      <c r="W183" s="5">
        <f t="shared" si="46"/>
        <v>42.360109289617483</v>
      </c>
    </row>
    <row r="184" spans="1:23" x14ac:dyDescent="0.15">
      <c r="A184" s="1">
        <v>1977</v>
      </c>
      <c r="B184" s="5">
        <f>(K49*($E49/365))+(K50*($E50/365))</f>
        <v>0</v>
      </c>
      <c r="C184" s="5">
        <f>(L49*($E49/365))+(L50*($E50/365))</f>
        <v>95.454545454545453</v>
      </c>
      <c r="D184" s="5">
        <f>(M49*($E49/365))+(M50*($E50/365))</f>
        <v>0</v>
      </c>
      <c r="E184" s="17">
        <f t="shared" si="44"/>
        <v>95.454545454545453</v>
      </c>
      <c r="G184" s="1">
        <v>1977</v>
      </c>
      <c r="H184" s="392">
        <f>(O49/$R49*100*($E49/365))+(O50/$R50*100*($E50/365))</f>
        <v>0</v>
      </c>
      <c r="I184" s="392"/>
      <c r="J184" s="392">
        <f>(P49/$R49*100*($E49/365))+(P50/$R50*100*($E50/365))</f>
        <v>100</v>
      </c>
      <c r="K184" s="392"/>
      <c r="L184" s="392">
        <f>(Q49/$R49*100*($E49/365))+(Q50/$R50*100*($E50/365))</f>
        <v>0</v>
      </c>
      <c r="M184" s="392"/>
      <c r="N184" s="363">
        <f t="shared" si="45"/>
        <v>100</v>
      </c>
      <c r="O184" s="363"/>
      <c r="R184" s="1">
        <v>1977</v>
      </c>
      <c r="S184" s="5">
        <f>(O49*($E49/365))+(O50*($E50/365))</f>
        <v>0</v>
      </c>
      <c r="T184" s="5">
        <f>(P49*($E49/365))+(P50*($E50/365))</f>
        <v>41.7</v>
      </c>
      <c r="U184" s="5">
        <f>(Q49*($E49/365))+(Q50*($E50/365))</f>
        <v>0</v>
      </c>
      <c r="V184" s="9"/>
      <c r="W184" s="5">
        <f t="shared" si="46"/>
        <v>41.7</v>
      </c>
    </row>
    <row r="185" spans="1:23" x14ac:dyDescent="0.15">
      <c r="A185" s="1">
        <v>1978</v>
      </c>
      <c r="B185" s="5">
        <f>(K51*($E51/365))+(K52*($E52/365))</f>
        <v>0</v>
      </c>
      <c r="C185" s="5">
        <f>(L51*($E51/365))+(L52*($E52/365))</f>
        <v>95.280199252801992</v>
      </c>
      <c r="D185" s="5">
        <f>(M51*($E51/365))+(M52*($E52/365))</f>
        <v>0</v>
      </c>
      <c r="E185" s="17">
        <f t="shared" si="44"/>
        <v>95.280199252801992</v>
      </c>
      <c r="G185" s="1">
        <v>1978</v>
      </c>
      <c r="H185" s="392">
        <f>(O51/$R51*100*($E51/365))+(O52/$R52*100*($E52/365))</f>
        <v>0</v>
      </c>
      <c r="I185" s="392"/>
      <c r="J185" s="392">
        <f>(P51/$R51*100*($E51/365))+(P52/$R52*100*($E52/365))</f>
        <v>100</v>
      </c>
      <c r="K185" s="392"/>
      <c r="L185" s="392">
        <f>(Q51/$R51*100*($E51/365))+(Q52/$R52*100*($E52/365))</f>
        <v>0</v>
      </c>
      <c r="M185" s="392"/>
      <c r="N185" s="363">
        <f t="shared" si="45"/>
        <v>100</v>
      </c>
      <c r="O185" s="363"/>
      <c r="R185" s="1">
        <v>1978</v>
      </c>
      <c r="S185" s="5">
        <f>(O51*($E51/365))+(O52*($E52/365))</f>
        <v>0</v>
      </c>
      <c r="T185" s="5">
        <f>(P51*($E51/365))+(P52*($E52/365))</f>
        <v>41.7</v>
      </c>
      <c r="U185" s="5">
        <f>(Q51*($E51/365))+(Q52*($E52/365))</f>
        <v>0</v>
      </c>
      <c r="V185" s="9"/>
      <c r="W185" s="5">
        <f t="shared" si="46"/>
        <v>41.7</v>
      </c>
    </row>
    <row r="186" spans="1:23" x14ac:dyDescent="0.15">
      <c r="A186" s="1">
        <v>1979</v>
      </c>
      <c r="B186" s="5">
        <f>(K53*($E53/365))+(K54*($E54/365))+(K55*($E55/365))</f>
        <v>3.2657534246575342</v>
      </c>
      <c r="C186" s="5">
        <f>(L53*($E53/365))+(L54*($E54/365))+(L55*($E55/365))</f>
        <v>78.756947162426613</v>
      </c>
      <c r="D186" s="5">
        <f>(M53*($E53/365))+(M54*($E54/365))+(M55*($E55/365))</f>
        <v>13.6808871493803</v>
      </c>
      <c r="E186" s="17">
        <f t="shared" si="44"/>
        <v>95.703587736464442</v>
      </c>
      <c r="G186" s="1">
        <v>1979</v>
      </c>
      <c r="H186" s="392">
        <f>(O53/$R53*100*($E53/365))+(O54/$R54*100*($E54/365))+(O55/$R55*100*($E55/365))</f>
        <v>1.3253869418252981</v>
      </c>
      <c r="I186" s="392"/>
      <c r="J186" s="392">
        <f>(P53/$R53*100*($E53/365))+(P54/$R54*100*($E54/365))+(P55/$R55*100*($E55/365))</f>
        <v>93.813142093268723</v>
      </c>
      <c r="K186" s="392"/>
      <c r="L186" s="392">
        <f>(Q53/$R53*100*($E53/365))+(Q54/$R54*100*($E54/365))+(Q55/$R55*100*($E55/365))</f>
        <v>4.861470964905978</v>
      </c>
      <c r="M186" s="392"/>
      <c r="N186" s="363">
        <f t="shared" si="45"/>
        <v>100</v>
      </c>
      <c r="O186" s="363"/>
      <c r="R186" s="1">
        <v>1979</v>
      </c>
      <c r="S186" s="5">
        <f>(O53*($E53/365))+(O54*($E54/365))+(O55*($E55/365))</f>
        <v>0.61232876712328765</v>
      </c>
      <c r="T186" s="5">
        <f>(P53*($E53/365))+(P54*($E54/365))+(P55*($E55/365))</f>
        <v>42.403287671232874</v>
      </c>
      <c r="U186" s="5">
        <f>(Q53*($E53/365))+(Q54*($E54/365))+(Q55*($E55/365))</f>
        <v>2.2479452054794518</v>
      </c>
      <c r="V186" s="9"/>
      <c r="W186" s="5">
        <f t="shared" si="46"/>
        <v>45.263561643835615</v>
      </c>
    </row>
    <row r="187" spans="1:23" x14ac:dyDescent="0.15">
      <c r="A187" s="1">
        <v>1980</v>
      </c>
      <c r="B187" s="5">
        <f>(K56*($E56/366))+(K57*($E57/366))+(K58*($E58/366))</f>
        <v>2.0546448087431695</v>
      </c>
      <c r="C187" s="5">
        <f>(L56*($E56/366))+(L57*($E57/366))+(L58*($E58/366))</f>
        <v>66.904299303206415</v>
      </c>
      <c r="D187" s="5">
        <f>(M56*($E56/366))+(M57*($E57/366))+(M58*($E58/366))</f>
        <v>28.986411079307256</v>
      </c>
      <c r="E187" s="17">
        <f t="shared" si="44"/>
        <v>97.945355191256837</v>
      </c>
      <c r="G187" s="1">
        <v>1980</v>
      </c>
      <c r="H187" s="392">
        <f>(O56/$R56*100*($E56/366))+(O57/$R57*100*($E57/366))+(O58/$R58*100*($E58/366))</f>
        <v>0.83386558796394872</v>
      </c>
      <c r="I187" s="392"/>
      <c r="J187" s="392">
        <f>(P56/$R56*100*($E56/366))+(P57/$R57*100*($E57/366))+(P58/$R58*100*($E58/366))</f>
        <v>82.785619355825901</v>
      </c>
      <c r="K187" s="392"/>
      <c r="L187" s="392">
        <f>(Q56/$R56*100*($E56/366))+(Q57/$R57*100*($E57/366))+(Q58/$R58*100*($E58/366))</f>
        <v>16.380515056210164</v>
      </c>
      <c r="M187" s="392"/>
      <c r="N187" s="363">
        <f t="shared" si="45"/>
        <v>100</v>
      </c>
      <c r="O187" s="363"/>
      <c r="R187" s="1">
        <v>1980</v>
      </c>
      <c r="S187" s="5">
        <f>(O56*($E56/366))+(O57*($E57/366))+(O58*($E58/366))</f>
        <v>0.38524590163934425</v>
      </c>
      <c r="T187" s="5">
        <f>(P56*($E56/366))+(P57*($E57/366))+(P58*($E58/366))</f>
        <v>43.183606557377054</v>
      </c>
      <c r="U187" s="5">
        <f>(Q56*($E56/366))+(Q57*($E57/366))+(Q58*($E58/366))</f>
        <v>8.7978142076502746</v>
      </c>
      <c r="V187" s="9"/>
      <c r="W187" s="5">
        <f t="shared" si="46"/>
        <v>52.366666666666674</v>
      </c>
    </row>
    <row r="188" spans="1:23" x14ac:dyDescent="0.15">
      <c r="A188" s="1">
        <v>1981</v>
      </c>
      <c r="B188" s="5">
        <f>(K59*($E59/365))+(K60*($E60/365))</f>
        <v>1.8297455968688845</v>
      </c>
      <c r="C188" s="5">
        <f>(L59*($E59/365))+(L60*($E60/365))</f>
        <v>61.810900920489956</v>
      </c>
      <c r="D188" s="5">
        <f>(M59*($E59/365))+(M60*($E60/365))</f>
        <v>36.359353482641154</v>
      </c>
      <c r="E188" s="17">
        <f t="shared" si="44"/>
        <v>100</v>
      </c>
      <c r="G188" s="1">
        <v>1981</v>
      </c>
      <c r="H188" s="392">
        <f>(O59/$R59*100*($E59/365))+(O60/$R60*100*($E60/365))</f>
        <v>1.3159129292550198</v>
      </c>
      <c r="I188" s="392"/>
      <c r="J188" s="392">
        <f>(P59/$R59*100*($E59/365))+(P60/$R60*100*($E60/365))</f>
        <v>75.96420059224306</v>
      </c>
      <c r="K188" s="392"/>
      <c r="L188" s="392">
        <f>(Q59/$R59*100*($E59/365))+(Q60/$R60*100*($E60/365))</f>
        <v>22.71988647850192</v>
      </c>
      <c r="M188" s="392"/>
      <c r="N188" s="363">
        <f t="shared" si="45"/>
        <v>100</v>
      </c>
      <c r="O188" s="363"/>
      <c r="R188" s="1">
        <v>1981</v>
      </c>
      <c r="S188" s="5">
        <f>(O59*($E59/365))+(O60*($E60/365))</f>
        <v>0.76849315068493151</v>
      </c>
      <c r="T188" s="5">
        <f>(P59*($E59/365))+(P60*($E60/365))</f>
        <v>43.8</v>
      </c>
      <c r="U188" s="5">
        <f>(Q59*($E59/365))+(Q60*($E60/365))</f>
        <v>13.1</v>
      </c>
      <c r="V188" s="9"/>
      <c r="W188" s="5">
        <f t="shared" si="46"/>
        <v>57.668493150684931</v>
      </c>
    </row>
    <row r="189" spans="1:23" x14ac:dyDescent="0.15">
      <c r="A189" s="1">
        <v>1982</v>
      </c>
      <c r="B189" s="5">
        <f>(K61*($E61/365))+(K62*($E62/365))+(K63*($E63/365))</f>
        <v>3.7769080234833652</v>
      </c>
      <c r="C189" s="5">
        <f>(L61*($E61/365))+(L62*($E62/365))+(L63*($E63/365))</f>
        <v>60.097847358121328</v>
      </c>
      <c r="D189" s="5">
        <f>(M61*($E61/365))+(M62*($E62/365))+(M63*($E63/365))</f>
        <v>36.125244618395307</v>
      </c>
      <c r="E189" s="17">
        <f t="shared" si="44"/>
        <v>100</v>
      </c>
      <c r="G189" s="1">
        <v>1982</v>
      </c>
      <c r="H189" s="392">
        <f>(O61/$R61*100*($E61/365))+(O62/$R62*100*($E62/365))+(O63/$R63*100*($E63/365))</f>
        <v>2.5748264214674426</v>
      </c>
      <c r="I189" s="392"/>
      <c r="J189" s="392">
        <f>(P61/$R61*100*($E61/365))+(P62/$R62*100*($E62/365))+(P63/$R63*100*($E63/365))</f>
        <v>74.938356164383563</v>
      </c>
      <c r="K189" s="392"/>
      <c r="L189" s="392">
        <f>(Q61/$R61*100*($E61/365))+(Q62/$R62*100*($E62/365))+(Q63/$R63*100*($E63/365))</f>
        <v>22.486817414148998</v>
      </c>
      <c r="M189" s="392"/>
      <c r="N189" s="363">
        <f t="shared" si="45"/>
        <v>100.00000000000001</v>
      </c>
      <c r="O189" s="363"/>
      <c r="R189" s="1">
        <v>1982</v>
      </c>
      <c r="S189" s="5">
        <f>(O61*($E61/365))+(O62*($E62/365))+(O63*($E63/365))</f>
        <v>1.5</v>
      </c>
      <c r="T189" s="5">
        <f>(P61*($E61/365))+(P62*($E62/365))+(P63*($E63/365))</f>
        <v>43.661917808219179</v>
      </c>
      <c r="U189" s="5">
        <f>(Q61*($E61/365))+(Q62*($E62/365))+(Q63*($E63/365))</f>
        <v>13.1</v>
      </c>
      <c r="V189" s="9"/>
      <c r="W189" s="5">
        <f t="shared" si="46"/>
        <v>58.261917808219181</v>
      </c>
    </row>
    <row r="190" spans="1:23" x14ac:dyDescent="0.15">
      <c r="A190" s="1">
        <v>1983</v>
      </c>
      <c r="B190" s="5">
        <f>(K64*($E64/365))+(K65*($E65/365))</f>
        <v>6.9471624266144811</v>
      </c>
      <c r="C190" s="5">
        <f>(L64*($E64/365))+(L65*($E65/365))</f>
        <v>55.479452054794521</v>
      </c>
      <c r="D190" s="5">
        <f>(M64*($E64/365))+(M65*($E65/365))</f>
        <v>37.573385518590996</v>
      </c>
      <c r="E190" s="17">
        <f t="shared" si="44"/>
        <v>100</v>
      </c>
      <c r="G190" s="1">
        <v>1983</v>
      </c>
      <c r="H190" s="392">
        <f>(O64/$R64*100*($E64/365))+(O65/$R65*100*($E65/365))</f>
        <v>3.346114398887134</v>
      </c>
      <c r="I190" s="392"/>
      <c r="J190" s="392">
        <f>(P64/$R64*100*($E64/365))+(P65/$R65*100*($E65/365))</f>
        <v>72.052377808690721</v>
      </c>
      <c r="K190" s="392"/>
      <c r="L190" s="392">
        <f>(Q64/$R64*100*($E64/365))+(Q65/$R65*100*($E65/365))</f>
        <v>24.601507792422137</v>
      </c>
      <c r="M190" s="392"/>
      <c r="N190" s="363">
        <f t="shared" si="45"/>
        <v>100</v>
      </c>
      <c r="O190" s="363"/>
      <c r="R190" s="1">
        <v>1983</v>
      </c>
      <c r="S190" s="5">
        <f>(O64*($E64/365))+(O65*($E65/365))</f>
        <v>1.9109589041095889</v>
      </c>
      <c r="T190" s="5">
        <f>(P64*($E64/365))+(P65*($E65/365))</f>
        <v>40.947945205479449</v>
      </c>
      <c r="U190" s="5">
        <f>(Q64*($E64/365))+(Q65*($E65/365))</f>
        <v>14.004109589041096</v>
      </c>
      <c r="V190" s="9"/>
      <c r="W190" s="5">
        <f t="shared" si="46"/>
        <v>56.863013698630141</v>
      </c>
    </row>
    <row r="191" spans="1:23" x14ac:dyDescent="0.15">
      <c r="A191" s="1">
        <v>1984</v>
      </c>
      <c r="B191" s="5">
        <f>(K66*($E66/366))+(K67*($E67/366))</f>
        <v>6.666666666666667</v>
      </c>
      <c r="C191" s="5">
        <f>(L66*($E66/366))+(L67*($E67/366))</f>
        <v>63.333333333333329</v>
      </c>
      <c r="D191" s="5">
        <f>(M66*($E66/366))+(M67*($E67/366))</f>
        <v>30</v>
      </c>
      <c r="E191" s="17">
        <f t="shared" si="44"/>
        <v>100</v>
      </c>
      <c r="G191" s="1">
        <v>1984</v>
      </c>
      <c r="H191" s="392">
        <f>(O66/$R66*100*($E66/366))+(O67/$R67*100*($E67/366))</f>
        <v>4.3029259896729783</v>
      </c>
      <c r="I191" s="392"/>
      <c r="J191" s="392">
        <f>(P66/$R66*100*($E66/366))+(P67/$R67*100*($E67/366))</f>
        <v>69.363166953528406</v>
      </c>
      <c r="K191" s="392"/>
      <c r="L191" s="392">
        <f>(Q66/$R66*100*($E66/366))+(Q67/$R67*100*($E67/366))</f>
        <v>26.333907056798626</v>
      </c>
      <c r="M191" s="392"/>
      <c r="N191" s="363">
        <f t="shared" si="45"/>
        <v>100.00000000000001</v>
      </c>
      <c r="O191" s="363"/>
      <c r="R191" s="1">
        <v>1984</v>
      </c>
      <c r="S191" s="5">
        <f>(O66*($E66/366))+(O67*($E67/366))</f>
        <v>2.5</v>
      </c>
      <c r="T191" s="5">
        <f>(P66*($E66/366))+(P67*($E67/366))</f>
        <v>40.299999999999997</v>
      </c>
      <c r="U191" s="5">
        <f>(Q66*($E66/366))+(Q67*($E67/366))</f>
        <v>15.3</v>
      </c>
      <c r="V191" s="9"/>
      <c r="W191" s="5">
        <f t="shared" si="46"/>
        <v>58.099999999999994</v>
      </c>
    </row>
    <row r="192" spans="1:23" x14ac:dyDescent="0.15">
      <c r="A192" s="1">
        <v>1985</v>
      </c>
      <c r="B192" s="5">
        <f>(K68*($E68/365))+(K69*($E69/365))</f>
        <v>6.666666666666667</v>
      </c>
      <c r="C192" s="5">
        <f>(L68*($E68/365))+(L69*($E69/365))</f>
        <v>63.333333333333329</v>
      </c>
      <c r="D192" s="5">
        <f>(M68*($E68/365))+(M69*($E69/365))</f>
        <v>30</v>
      </c>
      <c r="E192" s="17">
        <f t="shared" si="44"/>
        <v>100</v>
      </c>
      <c r="G192" s="1">
        <v>1985</v>
      </c>
      <c r="H192" s="392">
        <f>(O68/$R68*100*($E68/365))+(O69/$R69*100*($E69/365))</f>
        <v>4.3029259896729783</v>
      </c>
      <c r="I192" s="392"/>
      <c r="J192" s="392">
        <f>(P68/$R68*100*($E68/365))+(P69/$R69*100*($E69/365))</f>
        <v>69.363166953528406</v>
      </c>
      <c r="K192" s="392"/>
      <c r="L192" s="392">
        <f>(Q68/$R68*100*($E68/365))+(Q69/$R69*100*($E69/365))</f>
        <v>26.333907056798626</v>
      </c>
      <c r="M192" s="392"/>
      <c r="N192" s="363">
        <f t="shared" si="45"/>
        <v>100.00000000000001</v>
      </c>
      <c r="O192" s="363"/>
      <c r="R192" s="1">
        <v>1985</v>
      </c>
      <c r="S192" s="5">
        <f>(O68*($E68/365))+(O69*($E69/365))</f>
        <v>2.5</v>
      </c>
      <c r="T192" s="5">
        <f>(P68*($E68/365))+(P69*($E69/365))</f>
        <v>40.299999999999997</v>
      </c>
      <c r="U192" s="5">
        <f>(Q68*($E68/365))+(Q69*($E69/365))</f>
        <v>15.3</v>
      </c>
      <c r="V192" s="9"/>
      <c r="W192" s="5">
        <f t="shared" si="46"/>
        <v>58.099999999999994</v>
      </c>
    </row>
    <row r="193" spans="1:25" x14ac:dyDescent="0.15">
      <c r="A193" s="1">
        <v>1986</v>
      </c>
      <c r="B193" s="5">
        <f>(K70*($E70/365))+(K71*($E71/365))</f>
        <v>6.6666666666666679</v>
      </c>
      <c r="C193" s="5">
        <f>(L70*($E70/365))+(L71*($E71/365))</f>
        <v>63.333333333333329</v>
      </c>
      <c r="D193" s="5">
        <f>(M70*($E70/365))+(M71*($E71/365))</f>
        <v>30</v>
      </c>
      <c r="E193" s="17">
        <f t="shared" si="44"/>
        <v>100</v>
      </c>
      <c r="G193" s="1">
        <v>1986</v>
      </c>
      <c r="H193" s="392">
        <f>(O71/$R71*100*($E71/365))+(O70/$R70*100*($E70/365))</f>
        <v>4.3029259896729783</v>
      </c>
      <c r="I193" s="392"/>
      <c r="J193" s="392">
        <f>(P71/$R71*100*($E71/365))+(P70/$R70*100*($E70/365))</f>
        <v>69.363166953528406</v>
      </c>
      <c r="K193" s="392"/>
      <c r="L193" s="392">
        <f>(Q71/$R71*100*($E71/365))+(Q70/$R70*100*($E70/365))</f>
        <v>26.33390705679863</v>
      </c>
      <c r="M193" s="392"/>
      <c r="N193" s="363">
        <f>H193+J193+L193</f>
        <v>100.00000000000003</v>
      </c>
      <c r="O193" s="363"/>
      <c r="R193" s="1">
        <v>1986</v>
      </c>
      <c r="S193" s="5">
        <f>(O70*($E70/365))+(O71*($E71/365))</f>
        <v>2.5</v>
      </c>
      <c r="T193" s="5">
        <f>(P70*($E70/365))+(P71*($E71/365))</f>
        <v>40.299999999999997</v>
      </c>
      <c r="U193" s="5">
        <f>(Q70*($E70/365))+(Q71*($E71/365))</f>
        <v>15.3</v>
      </c>
      <c r="V193" s="9"/>
      <c r="W193" s="5">
        <f t="shared" si="46"/>
        <v>58.099999999999994</v>
      </c>
    </row>
    <row r="194" spans="1:25" x14ac:dyDescent="0.15">
      <c r="A194" s="1">
        <v>1987</v>
      </c>
      <c r="B194" s="5">
        <f>(K72*($E72/365))+(K73*($E73/365))+(K74*($E74/365))</f>
        <v>3.3789954337899548</v>
      </c>
      <c r="C194" s="5">
        <f>(L72*($E72/365))+(L73*($E73/365))+(L74*($E74/365))</f>
        <v>62.094977168949775</v>
      </c>
      <c r="D194" s="5">
        <f>(M72*($E72/365))+(M73*($E73/365))+(M74*($E74/365))</f>
        <v>24.465753424657535</v>
      </c>
      <c r="E194" s="17">
        <f t="shared" si="44"/>
        <v>89.939726027397271</v>
      </c>
      <c r="G194" s="1">
        <v>1987</v>
      </c>
      <c r="H194" s="392">
        <f>(O72/$R72*100*($E72/365))+(O73/$R73*100*($E73/365))+(O74/$R74*100*($E74/365))</f>
        <v>2.478449825815471</v>
      </c>
      <c r="I194" s="392"/>
      <c r="J194" s="392">
        <f>(P72/$R72*100*($E72/365))+(P73/$R73*100*($E73/365))+(P74/$R74*100*($E74/365))</f>
        <v>77.201761051028853</v>
      </c>
      <c r="K194" s="392"/>
      <c r="L194" s="392">
        <f>(Q72/$R72*100*($E72/365))+(Q73/$R73*100*($E73/365))+(Q74/$R74*100*($E74/365))</f>
        <v>20.319789123155687</v>
      </c>
      <c r="M194" s="392"/>
      <c r="N194" s="363">
        <f t="shared" si="45"/>
        <v>100.00000000000001</v>
      </c>
      <c r="O194" s="363"/>
      <c r="R194" s="1">
        <v>1987</v>
      </c>
      <c r="S194" s="5">
        <f>(O72*($E72/365))+(O73*($E73/365))+(O74*($E74/365))</f>
        <v>1.4594520547945207</v>
      </c>
      <c r="T194" s="5">
        <f>(P72*($E72/365))+(P73*($E73/365))+(P74*($E74/365))</f>
        <v>39.057260273972602</v>
      </c>
      <c r="U194" s="5">
        <f>(Q72*($E72/365))+(Q73*($E73/365))+(Q74*($E74/365))</f>
        <v>12.007397260273974</v>
      </c>
      <c r="V194" s="9"/>
      <c r="W194" s="5">
        <f t="shared" si="46"/>
        <v>52.524109589041096</v>
      </c>
    </row>
    <row r="195" spans="1:25" x14ac:dyDescent="0.15">
      <c r="A195" s="1">
        <v>1988</v>
      </c>
      <c r="B195" s="5">
        <f>(K75*($E75/366))+(K76*($E76/366))</f>
        <v>3.3333333333333339</v>
      </c>
      <c r="C195" s="5">
        <f>(L75*($E75/366))+(L76*($E76/366))</f>
        <v>62.395264116575589</v>
      </c>
      <c r="D195" s="5">
        <f>(M75*($E75/366))+(M76*($E76/366))</f>
        <v>34.271402550091068</v>
      </c>
      <c r="E195" s="17">
        <f t="shared" si="44"/>
        <v>99.999999999999986</v>
      </c>
      <c r="G195" s="1">
        <v>1988</v>
      </c>
      <c r="H195" s="392">
        <f>(O75/$R75*100*($E75/366))+(O76/$R76*100*($E76/366))</f>
        <v>2.8475711892797317</v>
      </c>
      <c r="I195" s="392"/>
      <c r="J195" s="392">
        <f>(P75/$R75*100*($E75/366))+(P76/$R76*100*($E76/366))</f>
        <v>67.671691792294794</v>
      </c>
      <c r="K195" s="392"/>
      <c r="L195" s="392">
        <f>(Q75/$R75*100*($E75/366))+(Q76/$R76*100*($E76/366))</f>
        <v>29.480737018425465</v>
      </c>
      <c r="M195" s="392"/>
      <c r="N195" s="363">
        <f t="shared" si="45"/>
        <v>100</v>
      </c>
      <c r="O195" s="363"/>
      <c r="R195" s="1">
        <v>1988</v>
      </c>
      <c r="S195" s="5">
        <f>(O75*($E75/366))+(O76*($E76/366))</f>
        <v>1.7</v>
      </c>
      <c r="T195" s="5">
        <f>(P75*($E75/366))+(P76*($E76/366))</f>
        <v>40.4</v>
      </c>
      <c r="U195" s="5">
        <f>(Q75*($E75/366))+(Q76*($E76/366))</f>
        <v>17.600000000000001</v>
      </c>
      <c r="V195" s="9"/>
      <c r="W195" s="5">
        <f t="shared" si="46"/>
        <v>59.7</v>
      </c>
    </row>
    <row r="196" spans="1:25" x14ac:dyDescent="0.15">
      <c r="A196" s="1">
        <v>1989</v>
      </c>
      <c r="B196" s="5">
        <f>(K77*($E77/365))+(K78*($E78/365))</f>
        <v>4.627853881278539</v>
      </c>
      <c r="C196" s="5">
        <f>(L77*($E77/365))+(L78*($E78/365))</f>
        <v>60.189497716894977</v>
      </c>
      <c r="D196" s="5">
        <f>(M77*($E77/365))+(M78*($E78/365))</f>
        <v>35.182648401826484</v>
      </c>
      <c r="E196" s="17">
        <f t="shared" si="44"/>
        <v>100</v>
      </c>
      <c r="G196" s="1">
        <v>1989</v>
      </c>
      <c r="H196" s="392">
        <f>(O77/$R77*100*($E77/365))+(O78/$R78*100*($E78/365))</f>
        <v>2.8475711892797317</v>
      </c>
      <c r="I196" s="392"/>
      <c r="J196" s="392">
        <f>(P77/$R77*100*($E77/365))+(P78/$R78*100*($E78/365))</f>
        <v>67.671691792294794</v>
      </c>
      <c r="K196" s="392"/>
      <c r="L196" s="392">
        <f>(Q77/$R77*100*($E77/365))+(Q78/$R78*100*($E78/365))</f>
        <v>29.480737018425462</v>
      </c>
      <c r="M196" s="392"/>
      <c r="N196" s="363">
        <f t="shared" si="45"/>
        <v>99.999999999999986</v>
      </c>
      <c r="O196" s="363"/>
      <c r="R196" s="1">
        <v>1989</v>
      </c>
      <c r="S196" s="5">
        <f>(O77*($E77/365))+(O78*($E78/365))</f>
        <v>1.7000000000000002</v>
      </c>
      <c r="T196" s="5">
        <f>(P77*($E77/365))+(P78*($E78/365))</f>
        <v>40.4</v>
      </c>
      <c r="U196" s="5">
        <f>(Q77*($E77/365))+(Q78*($E78/365))</f>
        <v>17.600000000000001</v>
      </c>
      <c r="V196" s="9"/>
      <c r="W196" s="5">
        <f t="shared" si="46"/>
        <v>59.7</v>
      </c>
    </row>
    <row r="197" spans="1:25" x14ac:dyDescent="0.15">
      <c r="A197" s="1">
        <v>1990</v>
      </c>
      <c r="B197" s="5">
        <f>(K79*($E79/365))+(K80*($E80/365))</f>
        <v>6.666666666666667</v>
      </c>
      <c r="C197" s="5">
        <f>(L79*($E79/365))+(L80*($E80/365))</f>
        <v>56.666666666666664</v>
      </c>
      <c r="D197" s="5">
        <f>(M79*($E79/365))+(M80*($E80/365))</f>
        <v>36.666666666666664</v>
      </c>
      <c r="E197" s="17">
        <f t="shared" si="44"/>
        <v>100</v>
      </c>
      <c r="G197" s="1">
        <v>1990</v>
      </c>
      <c r="H197" s="392">
        <f>(O79/$R79*100*($E79/365))+(O80/$R80*100*($E80/365))</f>
        <v>2.8475711892797317</v>
      </c>
      <c r="I197" s="392"/>
      <c r="J197" s="392">
        <f>(P79/$R79*100*($E79/365))+(P80/$R80*100*($E80/365))</f>
        <v>67.671691792294794</v>
      </c>
      <c r="K197" s="392"/>
      <c r="L197" s="392">
        <f>(Q79/$R79*100*($E79/365))+(Q80/$R80*100*($E80/365))</f>
        <v>29.480737018425462</v>
      </c>
      <c r="M197" s="392"/>
      <c r="N197" s="363">
        <f t="shared" si="45"/>
        <v>99.999999999999986</v>
      </c>
      <c r="O197" s="363"/>
      <c r="R197" s="1">
        <v>1990</v>
      </c>
      <c r="S197" s="5">
        <f>(O79*($E79/365))+(O80*($E80/365))</f>
        <v>1.7</v>
      </c>
      <c r="T197" s="5">
        <f>(P79*($E79/365))+(P80*($E80/365))</f>
        <v>40.4</v>
      </c>
      <c r="U197" s="5">
        <f>(Q79*($E79/365))+(Q80*($E80/365))</f>
        <v>17.600000000000001</v>
      </c>
      <c r="V197" s="9"/>
      <c r="W197" s="5">
        <f t="shared" si="46"/>
        <v>59.7</v>
      </c>
      <c r="Y197" s="19"/>
    </row>
    <row r="198" spans="1:25" x14ac:dyDescent="0.15">
      <c r="A198" s="1">
        <v>1991</v>
      </c>
      <c r="B198" s="5">
        <f>(K81*($E81/365))+(K82*($E82/365))</f>
        <v>6.666666666666667</v>
      </c>
      <c r="C198" s="5">
        <f>(L81*($E81/365))+(L82*($E82/365))</f>
        <v>54.31963470319635</v>
      </c>
      <c r="D198" s="5">
        <f>(M81*($E81/365))+(M82*($E82/365))</f>
        <v>39.013698630136986</v>
      </c>
      <c r="E198" s="17">
        <f t="shared" si="44"/>
        <v>100</v>
      </c>
      <c r="G198" s="1">
        <v>1991</v>
      </c>
      <c r="H198" s="392">
        <f>(O82/$R82*100*($E82/365))+(O81/$R81*100*($E81/365))</f>
        <v>2.9648851466113229</v>
      </c>
      <c r="I198" s="392"/>
      <c r="J198" s="392">
        <f>(P82/$R82*100*($E82/365))+(P81/$R81*100*($E81/365))</f>
        <v>66.339833335530273</v>
      </c>
      <c r="K198" s="392"/>
      <c r="L198" s="392">
        <f>(Q82/$R82*100*($E82/365))+(Q81/$R81*100*($E81/365))</f>
        <v>30.695281517858405</v>
      </c>
      <c r="M198" s="392"/>
      <c r="N198" s="363">
        <f t="shared" si="45"/>
        <v>100</v>
      </c>
      <c r="O198" s="363"/>
      <c r="R198" s="1">
        <v>1991</v>
      </c>
      <c r="S198" s="5">
        <f>(O81*($E81/365))+(O82*($E82/365))</f>
        <v>1.7</v>
      </c>
      <c r="T198" s="5">
        <f>(P81*($E81/365))+(P82*($E82/365))</f>
        <v>38.076438356164388</v>
      </c>
      <c r="U198" s="5">
        <f>(Q81*($E81/365))+(Q82*($E82/365))</f>
        <v>17.600000000000001</v>
      </c>
      <c r="V198" s="9"/>
      <c r="W198" s="5">
        <f t="shared" si="46"/>
        <v>57.376438356164392</v>
      </c>
      <c r="Y198" s="19"/>
    </row>
    <row r="199" spans="1:25" x14ac:dyDescent="0.15">
      <c r="A199" s="1">
        <v>1992</v>
      </c>
      <c r="B199" s="5">
        <f>(K83*($E83/366))+(K84*($E84/366))+(K85*($E85/366))</f>
        <v>7.1906963710242406</v>
      </c>
      <c r="C199" s="5">
        <f>(L83*($E83/366))+(L84*($E84/366))+(L85*($E85/366))</f>
        <v>43.76979122880762</v>
      </c>
      <c r="D199" s="5">
        <f>(M83*($E83/366))+(M84*($E84/366))+(M85*($E85/366))</f>
        <v>37.248844052122742</v>
      </c>
      <c r="E199" s="17">
        <f t="shared" si="44"/>
        <v>88.209331651954599</v>
      </c>
      <c r="G199" s="1">
        <v>1992</v>
      </c>
      <c r="H199" s="392">
        <f>(O83/$R83*100*($E83/366))+(O84/$R84*100*($E84/366))+(O85/$R85*100*($E85/366))</f>
        <v>4.1017849530231807</v>
      </c>
      <c r="I199" s="392"/>
      <c r="J199" s="392">
        <f>(P83/$R83*100*($E83/366))+(P84/$R84*100*($E84/366))+(P85/$R85*100*($E85/366))</f>
        <v>63.99473759972539</v>
      </c>
      <c r="K199" s="392"/>
      <c r="L199" s="392">
        <f>(Q83/$R83*100*($E83/366))+(Q84/$R84*100*($E84/366))+(Q85/$R85*100*($E85/366))</f>
        <v>31.903477447251426</v>
      </c>
      <c r="M199" s="392"/>
      <c r="N199" s="363">
        <f t="shared" si="45"/>
        <v>100</v>
      </c>
      <c r="O199" s="363"/>
      <c r="R199" s="1">
        <v>1992</v>
      </c>
      <c r="S199" s="5">
        <f>(O83*($E83/366))+(O84*($E84/366))+(O85*($E85/366))</f>
        <v>2.2109289617486341</v>
      </c>
      <c r="T199" s="5">
        <f>(P83*($E83/366))+(P84*($E84/366))+(P85*($E85/366))</f>
        <v>34.851912568306012</v>
      </c>
      <c r="U199" s="5">
        <f>(Q83*($E83/366))+(Q84*($E84/366))+(Q85*($E85/366))</f>
        <v>17.344535519125685</v>
      </c>
      <c r="V199" s="9"/>
      <c r="W199" s="5">
        <f t="shared" si="46"/>
        <v>54.407377049180333</v>
      </c>
      <c r="Y199" s="19"/>
    </row>
    <row r="200" spans="1:25" x14ac:dyDescent="0.15">
      <c r="A200" s="1">
        <v>1993</v>
      </c>
      <c r="B200" s="5">
        <f>(K86*($E86/365))+(K87*($E87/365))</f>
        <v>5.2746048472075877</v>
      </c>
      <c r="C200" s="5">
        <f>(L86*($E86/365))+(L87*($E87/365))</f>
        <v>30.283667017913597</v>
      </c>
      <c r="D200" s="5">
        <f>(M86*($E86/365))+(M87*($E87/365))</f>
        <v>27.664488935721813</v>
      </c>
      <c r="E200" s="17">
        <f t="shared" si="44"/>
        <v>63.222760800842998</v>
      </c>
      <c r="G200" s="1">
        <v>1993</v>
      </c>
      <c r="H200" s="392">
        <f>(O86/$R86*100*($E86/365))+(O87/$R87*100*($E87/365))</f>
        <v>5.1428571428571423</v>
      </c>
      <c r="I200" s="392"/>
      <c r="J200" s="392">
        <f>(P86/$R86*100*($E86/365))+(P87/$R87*100*($E87/365))</f>
        <v>62.285714285714278</v>
      </c>
      <c r="K200" s="392"/>
      <c r="L200" s="392">
        <f>(Q86/$R86*100*($E86/365))+(Q87/$R87*100*($E87/365))</f>
        <v>32.571428571428569</v>
      </c>
      <c r="M200" s="392"/>
      <c r="N200" s="363">
        <f t="shared" si="45"/>
        <v>99.999999999999986</v>
      </c>
      <c r="O200" s="363"/>
      <c r="R200" s="1">
        <v>1993</v>
      </c>
      <c r="S200" s="5">
        <f>(O86*($E86/365))+(O87*($E87/365))</f>
        <v>2.7</v>
      </c>
      <c r="T200" s="5">
        <f>(P86*($E86/365))+(P87*($E87/365))</f>
        <v>32.700000000000003</v>
      </c>
      <c r="U200" s="5">
        <f>(Q86*($E86/365))+(Q87*($E87/365))</f>
        <v>17.100000000000001</v>
      </c>
      <c r="V200" s="9"/>
      <c r="W200" s="5">
        <f t="shared" si="46"/>
        <v>52.500000000000007</v>
      </c>
      <c r="Y200" s="19"/>
    </row>
    <row r="201" spans="1:25" x14ac:dyDescent="0.15">
      <c r="A201" s="1">
        <v>1994</v>
      </c>
      <c r="B201" s="5">
        <f>(K88*($E88/365))+(K89*($E89/365))</f>
        <v>48.663435194942039</v>
      </c>
      <c r="C201" s="5">
        <f>(L88*($E88/365))+(L89*($E89/365))</f>
        <v>19.843203371970496</v>
      </c>
      <c r="D201" s="5">
        <f>(M88*($E88/365))+(M89*($E89/365))</f>
        <v>8.4821917808219176</v>
      </c>
      <c r="E201" s="17">
        <f t="shared" si="44"/>
        <v>76.988830347734449</v>
      </c>
      <c r="G201" s="1">
        <v>1994</v>
      </c>
      <c r="H201" s="392">
        <f>(O88/$R88*100*($E88/365))+(O89/$R89*100*($E89/365))</f>
        <v>60.555795044238032</v>
      </c>
      <c r="I201" s="392"/>
      <c r="J201" s="392">
        <f>(P88/$R88*100*($E88/365))+(P89/$R89*100*($E89/365))</f>
        <v>27.932658967503652</v>
      </c>
      <c r="K201" s="392"/>
      <c r="L201" s="392">
        <f>(Q88/$R88*100*($E88/365))+(Q89/$R89*100*($E89/365))</f>
        <v>11.511545988258316</v>
      </c>
      <c r="M201" s="392"/>
      <c r="N201" s="363">
        <f t="shared" si="45"/>
        <v>100</v>
      </c>
      <c r="O201" s="363"/>
      <c r="R201" s="1">
        <v>1994</v>
      </c>
      <c r="S201" s="5">
        <f>(O88*($E88/365))+(O89*($E89/365))</f>
        <v>34.317534246575342</v>
      </c>
      <c r="T201" s="5">
        <f>(P88*($E88/365))+(P89*($E89/365))</f>
        <v>14.919178082191783</v>
      </c>
      <c r="U201" s="5">
        <f>(Q88*($E88/365))+(Q89*($E89/365))</f>
        <v>6.0435616438356172</v>
      </c>
      <c r="V201" s="9"/>
      <c r="W201" s="5">
        <f t="shared" si="46"/>
        <v>55.280273972602743</v>
      </c>
      <c r="Y201" s="19"/>
    </row>
    <row r="202" spans="1:25" x14ac:dyDescent="0.15">
      <c r="A202" s="1">
        <v>1995</v>
      </c>
      <c r="B202" s="5">
        <f>(K90*($E90/365))+(K91*($E91/365))</f>
        <v>3.2033719704952577</v>
      </c>
      <c r="C202" s="5">
        <f>(L90*($E90/365))+(L91*($E91/365))</f>
        <v>0.67439409905163328</v>
      </c>
      <c r="D202" s="5">
        <f>(M90*($E90/365))+(M91*($E91/365))</f>
        <v>0</v>
      </c>
      <c r="E202" s="17">
        <f t="shared" si="44"/>
        <v>3.8777660695468912</v>
      </c>
      <c r="G202" s="1">
        <v>1995</v>
      </c>
      <c r="H202" s="392">
        <f>(O90/$R90*100*($E90/365))</f>
        <v>3.9822496623577082</v>
      </c>
      <c r="I202" s="392"/>
      <c r="J202" s="392">
        <f>(P90/$R90*100*($E90/365))</f>
        <v>0.40131198147790859</v>
      </c>
      <c r="K202" s="392"/>
      <c r="L202" s="392">
        <f>(Q90/$R90*100*($E90/365))</f>
        <v>0</v>
      </c>
      <c r="M202" s="392"/>
      <c r="N202" s="363">
        <f t="shared" si="45"/>
        <v>4.3835616438356171</v>
      </c>
      <c r="O202" s="363"/>
      <c r="R202" s="1">
        <v>1995</v>
      </c>
      <c r="S202" s="5">
        <f>(O90*($E90/365))+(O91*($E91/365))</f>
        <v>2.2619178082191782</v>
      </c>
      <c r="T202" s="5">
        <f>(P90*($E90/365))+(P91*($E91/365))</f>
        <v>0.22794520547945207</v>
      </c>
      <c r="U202" s="5">
        <f>(Q90*($E90/365))+(Q91*($E91/365))</f>
        <v>0</v>
      </c>
      <c r="V202" s="9"/>
      <c r="W202" s="5">
        <f t="shared" si="46"/>
        <v>2.4898630136986304</v>
      </c>
      <c r="Y202" s="19"/>
    </row>
    <row r="203" spans="1:25" x14ac:dyDescent="0.15">
      <c r="A203" s="1">
        <v>1996</v>
      </c>
      <c r="B203" s="5">
        <f>(K92*($E92/366))+(K93*($E93/366))</f>
        <v>0</v>
      </c>
      <c r="C203" s="5">
        <f>(L92*($E92/366))+(L93*($E93/366))</f>
        <v>23.835545147020557</v>
      </c>
      <c r="D203" s="5">
        <f>(M92*($E92/366))+(M93*($E93/366))</f>
        <v>29.794431433775692</v>
      </c>
      <c r="E203" s="17">
        <f t="shared" si="44"/>
        <v>53.629976580796253</v>
      </c>
      <c r="G203" s="1">
        <v>1996</v>
      </c>
      <c r="H203" s="392">
        <f>(O93/$R93*100*($E93/366))</f>
        <v>0</v>
      </c>
      <c r="I203" s="392"/>
      <c r="J203" s="392">
        <f>(P93/$R93*100*($E93/366))</f>
        <v>22.082931533269047</v>
      </c>
      <c r="K203" s="392"/>
      <c r="L203" s="392">
        <f>(Q93/$R93*100*($E93/366))</f>
        <v>40.485374477659917</v>
      </c>
      <c r="M203" s="392"/>
      <c r="N203" s="363">
        <f t="shared" si="45"/>
        <v>62.568306010928964</v>
      </c>
      <c r="O203" s="363"/>
      <c r="R203" s="1">
        <v>1996</v>
      </c>
      <c r="S203" s="5">
        <f>(O92*($E92/366))+(O93*($E93/366))</f>
        <v>0</v>
      </c>
      <c r="T203" s="5">
        <f>(P92*($E92/366))+(P93*($E93/366))</f>
        <v>10.136065573770491</v>
      </c>
      <c r="U203" s="5">
        <f>(Q92*($E92/366))+(Q93*($E93/366))</f>
        <v>18.582786885245902</v>
      </c>
      <c r="V203" s="9"/>
      <c r="W203" s="5">
        <f t="shared" si="46"/>
        <v>28.718852459016393</v>
      </c>
      <c r="Y203" s="19"/>
    </row>
    <row r="204" spans="1:25" x14ac:dyDescent="0.15">
      <c r="A204" s="1">
        <v>1997</v>
      </c>
      <c r="B204" s="5">
        <f>(K94*($E94/365))+(K95*($E95/365))</f>
        <v>0</v>
      </c>
      <c r="C204" s="5">
        <f>(L94*($E94/365))+(L95*($E95/365))</f>
        <v>36.363636363636367</v>
      </c>
      <c r="D204" s="5">
        <f>(M94*($E94/365))+(M95*($E95/365))</f>
        <v>50</v>
      </c>
      <c r="E204" s="17">
        <f t="shared" si="44"/>
        <v>86.363636363636374</v>
      </c>
      <c r="G204" s="1">
        <v>1997</v>
      </c>
      <c r="H204" s="392">
        <f>(O94/$R94*100*($E94/365))+(O95/$R95*100*($E95/365))</f>
        <v>0</v>
      </c>
      <c r="I204" s="392"/>
      <c r="J204" s="392">
        <f>(P94/$R94*100*($E94/365))+(P95/$R95*100*($E95/365))</f>
        <v>35.294117647058826</v>
      </c>
      <c r="K204" s="392"/>
      <c r="L204" s="392">
        <f>(Q94/$R94*100*($E94/365))+(Q95/$R95*100*($E95/365))</f>
        <v>64.705882352941174</v>
      </c>
      <c r="M204" s="392"/>
      <c r="N204" s="363">
        <f t="shared" si="45"/>
        <v>100</v>
      </c>
      <c r="O204" s="363"/>
      <c r="R204" s="1">
        <v>1997</v>
      </c>
      <c r="S204" s="5">
        <f>(O94*($E94/365))+(O95*($E95/365))</f>
        <v>0</v>
      </c>
      <c r="T204" s="5">
        <f>(P94*($E94/365))+(P95*($E95/365))</f>
        <v>16.2</v>
      </c>
      <c r="U204" s="5">
        <f>(Q94*($E94/365))+(Q95*($E95/365))</f>
        <v>29.7</v>
      </c>
      <c r="V204" s="9"/>
      <c r="W204" s="5">
        <f t="shared" si="46"/>
        <v>45.9</v>
      </c>
      <c r="Y204" s="19"/>
    </row>
    <row r="205" spans="1:25" x14ac:dyDescent="0.15">
      <c r="A205" s="1">
        <v>1998</v>
      </c>
      <c r="B205" s="5">
        <f>(K96*($E96/365))+(K97*($E97/365))</f>
        <v>0</v>
      </c>
      <c r="C205" s="5">
        <f>(L96*($E96/365))+(L97*($E97/365))</f>
        <v>37.802684378026846</v>
      </c>
      <c r="D205" s="5">
        <f>(M96*($E96/365))+(M97*($E97/365))</f>
        <v>49.670218163368844</v>
      </c>
      <c r="E205" s="17">
        <f t="shared" si="44"/>
        <v>87.472902541395683</v>
      </c>
      <c r="G205" s="1">
        <v>1998</v>
      </c>
      <c r="H205" s="392">
        <f>(O96/$R96*100*($E96/365))+(O97/$R97*100*($E97/365))</f>
        <v>0</v>
      </c>
      <c r="I205" s="392"/>
      <c r="J205" s="392">
        <f>(P96/$R96*100*($E96/365))+(P97/$R97*100*($E97/365))</f>
        <v>35.294117647058826</v>
      </c>
      <c r="K205" s="392"/>
      <c r="L205" s="392">
        <f>(Q96/$R96*100*($E96/365))+(Q97/$R97*100*($E97/365))</f>
        <v>64.70588235294116</v>
      </c>
      <c r="M205" s="392"/>
      <c r="N205" s="363">
        <f t="shared" si="45"/>
        <v>99.999999999999986</v>
      </c>
      <c r="O205" s="363"/>
      <c r="R205" s="1">
        <v>1998</v>
      </c>
      <c r="S205" s="5">
        <f>(O96*($E96/365))+(O97*($E97/365))</f>
        <v>0</v>
      </c>
      <c r="T205" s="5">
        <f>(P96*($E96/365))+(P97*($E97/365))</f>
        <v>16.2</v>
      </c>
      <c r="U205" s="5">
        <f>(Q96*($E96/365))+(Q97*($E97/365))</f>
        <v>29.7</v>
      </c>
      <c r="V205" s="9"/>
      <c r="W205" s="5">
        <f t="shared" si="46"/>
        <v>45.9</v>
      </c>
      <c r="Y205" s="19"/>
    </row>
    <row r="206" spans="1:25" x14ac:dyDescent="0.15">
      <c r="A206" s="1">
        <v>1999</v>
      </c>
      <c r="B206" s="5">
        <f>(K98*($E98/365))+(K99*($E99/365))</f>
        <v>0</v>
      </c>
      <c r="C206" s="5">
        <f>(L98*($E98/365))+(L99*($E99/365))</f>
        <v>44.109589041095887</v>
      </c>
      <c r="D206" s="5">
        <f>(M98*($E98/365))+(M99*($E99/365))</f>
        <v>48.455098934550982</v>
      </c>
      <c r="E206" s="17">
        <f t="shared" si="44"/>
        <v>92.564687975646876</v>
      </c>
      <c r="G206" s="1">
        <v>1999</v>
      </c>
      <c r="H206" s="392">
        <f>(O98/$R98*100*($E98/365))+(O99/$R99*100*($E99/365))</f>
        <v>0</v>
      </c>
      <c r="I206" s="392"/>
      <c r="J206" s="392">
        <f>(P98/$R98*100*($E98/365))+(P99/$R99*100*($E99/365))</f>
        <v>35.294117647058826</v>
      </c>
      <c r="K206" s="392"/>
      <c r="L206" s="392">
        <f>(Q98/$R98*100*($E98/365))+(Q99/$R99*100*($E99/365))</f>
        <v>64.705882352941174</v>
      </c>
      <c r="M206" s="392"/>
      <c r="N206" s="363">
        <f t="shared" si="45"/>
        <v>100</v>
      </c>
      <c r="O206" s="363"/>
      <c r="R206" s="1">
        <v>1999</v>
      </c>
      <c r="S206" s="5">
        <f>(O98*($E98/365))+(O99*($E99/365))</f>
        <v>0</v>
      </c>
      <c r="T206" s="5">
        <f>(P98*($E98/365))+(P99*($E99/365))</f>
        <v>16.2</v>
      </c>
      <c r="U206" s="5">
        <f>(Q98*($E98/365))+(Q99*($E99/365))</f>
        <v>29.7</v>
      </c>
      <c r="V206" s="9"/>
      <c r="W206" s="5">
        <f t="shared" si="46"/>
        <v>45.9</v>
      </c>
      <c r="Y206" s="19"/>
    </row>
    <row r="207" spans="1:25" x14ac:dyDescent="0.15">
      <c r="A207" s="1">
        <v>2000</v>
      </c>
      <c r="B207" s="5">
        <f>(K100*($E100/366))+(K101*($E101/366))</f>
        <v>0</v>
      </c>
      <c r="C207" s="5">
        <f>(L100*($E100/366))+(L101*($E101/366))</f>
        <v>27.12001619105444</v>
      </c>
      <c r="D207" s="5">
        <f>(M100*($E100/366))+(M101*($E101/366))</f>
        <v>57.943736085812588</v>
      </c>
      <c r="E207" s="17">
        <f t="shared" si="44"/>
        <v>85.063752276867035</v>
      </c>
      <c r="G207" s="1">
        <v>2000</v>
      </c>
      <c r="H207" s="392">
        <f>(O100/$R100*100*($E100/366))+(O101/$R101*100*($E101/366))</f>
        <v>0</v>
      </c>
      <c r="I207" s="392"/>
      <c r="J207" s="392">
        <f>(P100/$R100*100*($E100/366))+(P101/$R101*100*($E101/366))</f>
        <v>35.294117647058826</v>
      </c>
      <c r="K207" s="392"/>
      <c r="L207" s="392">
        <f>(Q100/$R100*100*($E100/366))+(Q101/$R101*100*($E101/366))</f>
        <v>64.705882352941174</v>
      </c>
      <c r="M207" s="392"/>
      <c r="N207" s="363">
        <f t="shared" si="45"/>
        <v>100</v>
      </c>
      <c r="O207" s="363"/>
      <c r="R207" s="1">
        <v>2000</v>
      </c>
      <c r="S207" s="5">
        <f>(O100*($E100/366))+(O101*($E101/366))</f>
        <v>0</v>
      </c>
      <c r="T207" s="5">
        <f>(P100*($E100/366))+(P101*($E101/366))</f>
        <v>16.2</v>
      </c>
      <c r="U207" s="5">
        <f>(Q100*($E100/366))+(Q101*($E101/366))</f>
        <v>29.7</v>
      </c>
      <c r="V207" s="9"/>
      <c r="W207" s="5">
        <f t="shared" si="46"/>
        <v>45.9</v>
      </c>
      <c r="Y207" s="19"/>
    </row>
    <row r="208" spans="1:25" x14ac:dyDescent="0.15">
      <c r="A208" s="1">
        <v>2001</v>
      </c>
      <c r="B208" s="5">
        <f>(K102*($E102/365))+(K103*($E103/365))</f>
        <v>40.241095890410961</v>
      </c>
      <c r="C208" s="5">
        <f>(L102*($E102/365))+(L103*($E103/365))</f>
        <v>15.907052257737188</v>
      </c>
      <c r="D208" s="5">
        <f>(M102*($E102/365))+(M103*($E103/365))</f>
        <v>24.505327245053273</v>
      </c>
      <c r="E208" s="17">
        <f t="shared" si="44"/>
        <v>80.653475393201433</v>
      </c>
      <c r="G208" s="1">
        <v>2001</v>
      </c>
      <c r="H208" s="392">
        <f>(O102/$R102*100*($E102/365))+(O103/$R103*100*($E103/365))</f>
        <v>49.449140192363743</v>
      </c>
      <c r="I208" s="392"/>
      <c r="J208" s="392">
        <f>(P102/$R102*100*($E102/365))+(P103/$R103*100*($E103/365))</f>
        <v>22.009361016338918</v>
      </c>
      <c r="K208" s="392"/>
      <c r="L208" s="392">
        <f>(Q102/$R102*100*($E102/365))+(Q103/$R103*100*($E103/365))</f>
        <v>28.541498791297339</v>
      </c>
      <c r="M208" s="392"/>
      <c r="N208" s="363">
        <f t="shared" si="45"/>
        <v>100</v>
      </c>
      <c r="O208" s="363"/>
      <c r="R208" s="1">
        <v>2001</v>
      </c>
      <c r="S208" s="5">
        <f>(O102*($E102/365))+(O103*($E103/365))</f>
        <v>27.889315068493151</v>
      </c>
      <c r="T208" s="5">
        <f>(P102*($E102/365))+(P103*($E103/365))</f>
        <v>10.778630136986301</v>
      </c>
      <c r="U208" s="5">
        <f>(Q102*($E102/365))+(Q103*($E103/365))</f>
        <v>13.100547945205479</v>
      </c>
      <c r="V208" s="9"/>
      <c r="W208" s="5">
        <f t="shared" si="46"/>
        <v>51.768493150684932</v>
      </c>
      <c r="Y208" s="19"/>
    </row>
    <row r="209" spans="1:2047 2049:7168 7172:9215 9219:10240 10243:11262 11266:12287 12290:13309 13313:14334 14337:16384" x14ac:dyDescent="0.15">
      <c r="A209" s="1">
        <v>2002</v>
      </c>
      <c r="B209" s="5">
        <f>(K104*($E104/365))+(K105*($E105/365))</f>
        <v>72</v>
      </c>
      <c r="C209" s="5">
        <f>(L104*($E104/365))+(L105*($E105/365))</f>
        <v>8</v>
      </c>
      <c r="D209" s="5">
        <f>(M104*($E104/365))+(M105*($E105/365))</f>
        <v>0</v>
      </c>
      <c r="E209" s="17">
        <f t="shared" si="44"/>
        <v>80</v>
      </c>
      <c r="G209" s="1">
        <v>2002</v>
      </c>
      <c r="H209" s="392">
        <f>(O104/$R104*100*($E104/365))+(O105/$R105*100*($E105/365))</f>
        <v>88.475177304964532</v>
      </c>
      <c r="I209" s="392"/>
      <c r="J209" s="392">
        <f>(P104/$R104*100*($E104/365))+(P105/$R105*100*($E105/365))</f>
        <v>11.524822695035461</v>
      </c>
      <c r="K209" s="392"/>
      <c r="L209" s="392">
        <f>(Q104/$R104*100*($E104/365))+(Q105/$R105*100*($E105/365))</f>
        <v>0</v>
      </c>
      <c r="M209" s="392"/>
      <c r="N209" s="363">
        <f t="shared" si="45"/>
        <v>100</v>
      </c>
      <c r="O209" s="363"/>
      <c r="R209" s="1">
        <v>2002</v>
      </c>
      <c r="S209" s="5">
        <f>(O104*($E104/365))+(O105*($E105/365))</f>
        <v>49.9</v>
      </c>
      <c r="T209" s="5">
        <f>(P104*($E104/365))+(P105*($E105/365))</f>
        <v>6.5</v>
      </c>
      <c r="U209" s="5">
        <f>(Q104*($E104/365))+(Q105*($E105/365))</f>
        <v>0</v>
      </c>
      <c r="V209" s="9"/>
      <c r="W209" s="5">
        <f t="shared" si="46"/>
        <v>56.4</v>
      </c>
      <c r="Y209" s="19"/>
    </row>
    <row r="210" spans="1:2047 2049:7168 7172:9215 9219:10240 10243:11262 11266:12287 12290:13309 13313:14334 14337:16384" x14ac:dyDescent="0.15">
      <c r="A210" s="1">
        <v>2003</v>
      </c>
      <c r="B210" s="5">
        <f>(K106*($E106/365))+(K107*($E107/365))</f>
        <v>72</v>
      </c>
      <c r="C210" s="5">
        <f>(L106*($E106/365))+(L107*($E107/365))</f>
        <v>8</v>
      </c>
      <c r="D210" s="5">
        <f>(M106*($E106/365))+(M107*($E107/365))</f>
        <v>0</v>
      </c>
      <c r="E210" s="17">
        <f t="shared" si="44"/>
        <v>80</v>
      </c>
      <c r="G210" s="1">
        <v>2003</v>
      </c>
      <c r="H210" s="392">
        <f>(O106/$R106*100*($E106/365))+(O107/$R107*100*($E107/365))</f>
        <v>88.475177304964532</v>
      </c>
      <c r="I210" s="392"/>
      <c r="J210" s="392">
        <f>(P106/$R106*100*($E106/365))+(P107/$R107*100*($E107/365))</f>
        <v>11.524822695035461</v>
      </c>
      <c r="K210" s="392"/>
      <c r="L210" s="392">
        <f>(Q106/$R106*100*($E106/365))+(Q107/$R107*100*($E107/365))</f>
        <v>0</v>
      </c>
      <c r="M210" s="392"/>
      <c r="N210" s="363">
        <f t="shared" si="45"/>
        <v>100</v>
      </c>
      <c r="O210" s="363"/>
      <c r="R210" s="1">
        <v>2003</v>
      </c>
      <c r="S210" s="5">
        <f>(O106*($E106/365))+(O107*($E107/365))</f>
        <v>49.9</v>
      </c>
      <c r="T210" s="5">
        <f>(P106*($E106/365))+(P107*($E107/365))</f>
        <v>6.5</v>
      </c>
      <c r="U210" s="5">
        <f>(Q106*($E106/365))+(Q107*($E107/365))</f>
        <v>0</v>
      </c>
      <c r="V210" s="9"/>
      <c r="W210" s="5">
        <f t="shared" si="46"/>
        <v>56.4</v>
      </c>
      <c r="Y210" s="19"/>
    </row>
    <row r="211" spans="1:2047 2049:7168 7172:9215 9219:10240 10243:11262 11266:12287 12290:13309 13313:14334 14337:16384" x14ac:dyDescent="0.15">
      <c r="A211" s="1">
        <v>2004</v>
      </c>
      <c r="B211" s="5">
        <f>(K108*($E108/366))+(K109*($E109/366))</f>
        <v>76</v>
      </c>
      <c r="C211" s="5">
        <f>(L108*($E108/366))+(L109*($E109/366))</f>
        <v>8</v>
      </c>
      <c r="D211" s="5">
        <f>(M108*($E108/366))+(M109*($E109/366))</f>
        <v>0</v>
      </c>
      <c r="E211" s="17">
        <f t="shared" si="44"/>
        <v>84</v>
      </c>
      <c r="G211" s="1">
        <v>2004</v>
      </c>
      <c r="H211" s="392">
        <f>(O108/$R108*100*($E108/366))+(O109/$R109*100*($E109/366))</f>
        <v>88.475177304964532</v>
      </c>
      <c r="I211" s="392"/>
      <c r="J211" s="392">
        <f>(P108/$R108*100*($E108/366))+(P109/$R109*100*($E109/366))</f>
        <v>11.524822695035461</v>
      </c>
      <c r="K211" s="392"/>
      <c r="L211" s="392">
        <f>(Q108/$R108*100*($E108/366))+(Q109/$R109*100*($E109/366))</f>
        <v>0</v>
      </c>
      <c r="M211" s="392"/>
      <c r="N211" s="363">
        <f t="shared" si="45"/>
        <v>100</v>
      </c>
      <c r="O211" s="363"/>
      <c r="R211" s="1">
        <v>2004</v>
      </c>
      <c r="S211" s="5">
        <f>(O108*($E108/366))+(O109*($E109/366))</f>
        <v>49.9</v>
      </c>
      <c r="T211" s="5">
        <f>(P108*($E108/366))+(P109*($E109/366))</f>
        <v>6.5</v>
      </c>
      <c r="U211" s="5">
        <f>(Q108*($E108/366))+(Q109*($E109/366))</f>
        <v>0</v>
      </c>
      <c r="V211" s="9"/>
      <c r="W211" s="5">
        <f t="shared" si="46"/>
        <v>56.4</v>
      </c>
      <c r="Y211" s="19"/>
    </row>
    <row r="212" spans="1:2047 2049:7168 7172:9215 9219:10240 10243:11262 11266:12287 12290:13309 13313:14334 14337:16384" x14ac:dyDescent="0.15">
      <c r="A212" s="1">
        <v>2005</v>
      </c>
      <c r="B212" s="5">
        <f>(K110*($E110/365))+(K111*($E111/365))</f>
        <v>78.389041095890406</v>
      </c>
      <c r="C212" s="5">
        <f>(L110*($E110/365))+(L111*($E111/365))</f>
        <v>7.20365296803653</v>
      </c>
      <c r="D212" s="5">
        <f>(M110*($E110/365))+(M111*($E111/365))</f>
        <v>0</v>
      </c>
      <c r="E212" s="17">
        <f t="shared" si="44"/>
        <v>85.592694063926942</v>
      </c>
      <c r="G212" s="1">
        <v>2005</v>
      </c>
      <c r="H212" s="392">
        <f>(O110/$R110*100*($E110/365))+(O111/$R111*100*($E111/365))</f>
        <v>88.475177304964532</v>
      </c>
      <c r="I212" s="392"/>
      <c r="J212" s="392">
        <f>(P110/$R110*100*($E110/365))+(P111/$R111*100*($E111/365))</f>
        <v>11.524822695035461</v>
      </c>
      <c r="K212" s="392"/>
      <c r="L212" s="392">
        <f>(Q110/$R110*100*($E110/365))+(Q111/$R111*100*($E111/365))</f>
        <v>0</v>
      </c>
      <c r="M212" s="392"/>
      <c r="N212" s="363">
        <f t="shared" si="45"/>
        <v>100</v>
      </c>
      <c r="O212" s="363"/>
      <c r="R212" s="1">
        <v>2005</v>
      </c>
      <c r="S212" s="5">
        <f>(O110*($E110/365))+(O111*($E111/365))</f>
        <v>49.9</v>
      </c>
      <c r="T212" s="5">
        <f>(P110*($E110/365))+(P111*($E111/365))</f>
        <v>6.5</v>
      </c>
      <c r="U212" s="5">
        <f>(Q110*($E110/365))+(Q111*($E111/365))</f>
        <v>0</v>
      </c>
      <c r="V212" s="9"/>
      <c r="W212" s="5">
        <f t="shared" si="46"/>
        <v>56.4</v>
      </c>
      <c r="Y212" s="19"/>
    </row>
    <row r="213" spans="1:2047 2049:7168 7172:9215 9219:10240 10243:11262 11266:12287 12290:13309 13313:14334 14337:16384" x14ac:dyDescent="0.15">
      <c r="A213" s="1">
        <v>2006</v>
      </c>
      <c r="B213" s="5">
        <f>(K112*($E112/365))+(K114*($E114/365))+(K113*($E113/365))+(K115*($E115/365))</f>
        <v>29.152792413066386</v>
      </c>
      <c r="C213" s="5">
        <f>(L112*($E112/365))+(L114*($E114/365))+(L113*($E113/365))+(L115*($E115/365))</f>
        <v>5.0261874097490526</v>
      </c>
      <c r="D213" s="5">
        <f>(M112*($E112/365))+(M114*($E114/365))+(M113*($E113/365))+(M115*($E115/365))</f>
        <v>53.444951801116183</v>
      </c>
      <c r="E213" s="17">
        <f t="shared" si="44"/>
        <v>87.623931623931611</v>
      </c>
      <c r="G213" s="1">
        <v>2006</v>
      </c>
      <c r="H213" s="392">
        <f>(O113/$R113*100*($E113/365))+(O115/$R115*100*($E115/365))+(O112/$R112*100*($E112/365))+(O114/$R114*100*($E114/365))</f>
        <v>32.966093461575824</v>
      </c>
      <c r="I213" s="392"/>
      <c r="J213" s="392">
        <f>(P113/$R113*100*($E113/365))+(P115/$R115*100*($E115/365))+(P112/$R112*100*($E112/365))+(P114/$R114*100*($E114/365))</f>
        <v>6.2624856412981984</v>
      </c>
      <c r="K213" s="392"/>
      <c r="L213" s="392">
        <f>(Q113/$R113*100*($E113/365))+(Q115/$R115*100*($E115/365))+(Q112/$R112*100*($E112/365))+(Q114/$R114*100*($E114/365))</f>
        <v>60.771420897125971</v>
      </c>
      <c r="M213" s="392"/>
      <c r="N213" s="363">
        <f t="shared" si="45"/>
        <v>100</v>
      </c>
      <c r="O213" s="363"/>
      <c r="R213" s="1">
        <v>2006</v>
      </c>
      <c r="S213" s="5">
        <f>(O112*($E112/365))+(O114*($E114/365))+(O113*($E113/365))+(O115*($E115/365))</f>
        <v>18.592876712328767</v>
      </c>
      <c r="T213" s="5">
        <f>(P112*($E112/365))+(P114*($E114/365))+(P113*($E113/365))+(P115*($E115/365))</f>
        <v>3.4257534246575343</v>
      </c>
      <c r="U213" s="5">
        <f>(Q112*($E112/365))+(Q114*($E114/365))+(Q113*($E113/365))+(Q115*($E115/365))</f>
        <v>30.993424657534245</v>
      </c>
      <c r="V213" s="9"/>
      <c r="W213" s="5">
        <f t="shared" si="46"/>
        <v>53.012054794520552</v>
      </c>
      <c r="Y213" s="19"/>
    </row>
    <row r="214" spans="1:2047 2049:7168 7172:9215 9219:10240 10243:11262 11266:12287 12290:13309 13313:14334 14337:16384" x14ac:dyDescent="0.15">
      <c r="A214" s="1">
        <v>2007</v>
      </c>
      <c r="B214" s="5">
        <f>(K116*($E116/365))+(K117*($E117/365))</f>
        <v>0</v>
      </c>
      <c r="C214" s="5">
        <f>(L116*($E116/365))+(L117*($E117/365))</f>
        <v>3.7037037037037033</v>
      </c>
      <c r="D214" s="5">
        <f>(M116*($E116/365))+(M117*($E117/365))</f>
        <v>85.18518518518519</v>
      </c>
      <c r="E214" s="17">
        <f t="shared" si="44"/>
        <v>88.8888888888889</v>
      </c>
      <c r="G214" s="1">
        <v>2007</v>
      </c>
      <c r="H214" s="392">
        <f>(O116/$R116*100*($E116/365))+(O117/$R117*100*($E117/365))</f>
        <v>0</v>
      </c>
      <c r="I214" s="392"/>
      <c r="J214" s="392">
        <f>(P116/$R116*100*($E116/365))+(P117/$R117*100*($E117/365))</f>
        <v>3.1372549019607843</v>
      </c>
      <c r="K214" s="392"/>
      <c r="L214" s="392">
        <f>(Q116/$R116*100*($E116/365))+(Q117/$R117*100*($E117/365))</f>
        <v>96.862745098039213</v>
      </c>
      <c r="M214" s="392"/>
      <c r="N214" s="363">
        <f t="shared" si="45"/>
        <v>100</v>
      </c>
      <c r="O214" s="363"/>
      <c r="R214" s="1">
        <v>2007</v>
      </c>
      <c r="S214" s="5">
        <f>(O116*($E116/365))+(O117*($E117/365))</f>
        <v>0</v>
      </c>
      <c r="T214" s="5">
        <f>(P116*($E116/365))+(P117*($E117/365))</f>
        <v>1.6</v>
      </c>
      <c r="U214" s="5">
        <f>(Q116*($E116/365))+(Q117*($E117/365))</f>
        <v>49.4</v>
      </c>
      <c r="V214" s="9"/>
      <c r="W214" s="5">
        <f t="shared" si="46"/>
        <v>51</v>
      </c>
      <c r="Y214" s="19"/>
    </row>
    <row r="215" spans="1:2047 2049:7168 7172:9215 9219:10240 10243:11262 11266:12287 12290:13309 13313:14334 14337:16384" x14ac:dyDescent="0.15">
      <c r="A215" s="1">
        <v>2008</v>
      </c>
      <c r="B215" s="5">
        <f>(K118*($E118/366))+(K119*($E119/366))</f>
        <v>62.071535022354688</v>
      </c>
      <c r="C215" s="5">
        <f>(L118*($E118/366))+(L119*($E119/366))</f>
        <v>4.2510717374105349</v>
      </c>
      <c r="D215" s="5">
        <f>(M118*($E118/366))+(M119*($E119/366))</f>
        <v>29.791540174053836</v>
      </c>
      <c r="E215" s="17">
        <f t="shared" si="44"/>
        <v>96.114146933819057</v>
      </c>
      <c r="G215" s="1">
        <v>2008</v>
      </c>
      <c r="H215" s="392">
        <f>(O118/$R118*100*($E118/366))+(O119/$R119*100*($E119/366))</f>
        <v>65.027322404371574</v>
      </c>
      <c r="I215" s="392"/>
      <c r="J215" s="392">
        <f>(P118/$R118*100*($E118/366))+(P119/$R119*100*($E119/366))</f>
        <v>1.0971820422157934</v>
      </c>
      <c r="K215" s="392"/>
      <c r="L215" s="392">
        <f>(Q118/$R118*100*($E118/366))+(Q119/$R119*100*($E119/366))</f>
        <v>33.87549555341262</v>
      </c>
      <c r="M215" s="392"/>
      <c r="N215" s="363">
        <f t="shared" si="45"/>
        <v>99.999999999999986</v>
      </c>
      <c r="O215" s="363"/>
      <c r="R215" s="1">
        <v>2008</v>
      </c>
      <c r="S215" s="5">
        <f>(O118*($E118/366))+(O119*($E119/366))</f>
        <v>34.659562841530047</v>
      </c>
      <c r="T215" s="5">
        <f>(P118*($E118/366))+(P119*($E119/366))</f>
        <v>0.55956284153005464</v>
      </c>
      <c r="U215" s="5">
        <f>(Q118*($E118/366))+(Q119*($E119/366))</f>
        <v>17.276502732240438</v>
      </c>
      <c r="V215" s="9"/>
      <c r="W215" s="5">
        <f t="shared" si="46"/>
        <v>52.495628415300537</v>
      </c>
      <c r="Y215" s="19"/>
    </row>
    <row r="216" spans="1:2047 2049:7168 7172:9215 9219:10240 10243:11262 11266:12287 12290:13309 13313:14334 14337:16384" x14ac:dyDescent="0.15">
      <c r="A216" s="1">
        <v>2009</v>
      </c>
      <c r="B216" s="5">
        <f>(K120*($E120/365))+(K121*($E121/365))+(K122*($E122/365))</f>
        <v>98.418430884184318</v>
      </c>
      <c r="C216" s="5">
        <f>(L120*($E120/365))+(L121*($E121/365))+(L122*($E122/365))</f>
        <v>1.5815691158156913</v>
      </c>
      <c r="D216" s="5">
        <f>(M120*($E120/365))+(M121*($E121/365))+(M122*($E122/365))</f>
        <v>0</v>
      </c>
      <c r="E216" s="17">
        <f>B216+C216+D216</f>
        <v>100.00000000000001</v>
      </c>
      <c r="G216" s="1">
        <v>2009</v>
      </c>
      <c r="H216" s="392">
        <f>(O120/$R120*100*($E120/365))+(O121/$R121*100*(E121/365))+(O122/$R122*100*($E122/365))</f>
        <v>100</v>
      </c>
      <c r="I216" s="392"/>
      <c r="J216" s="392">
        <f>(P120/$R120*100*($E120/365))+(P121/$R121*100*(F121/365))+(P122/$R122*100*($E122/365))</f>
        <v>0</v>
      </c>
      <c r="K216" s="392"/>
      <c r="L216" s="392">
        <f>(Q120/$R120*100*($E120/365))+(Q121/$R121*100*(G121/365))+(Q122/$R122*100*($E122/365))</f>
        <v>0</v>
      </c>
      <c r="M216" s="392"/>
      <c r="N216" s="363">
        <f t="shared" si="45"/>
        <v>100</v>
      </c>
      <c r="O216" s="363"/>
      <c r="R216" s="1">
        <v>2009</v>
      </c>
      <c r="S216" s="5">
        <f>(O120*($E120/365))+(O121*($E121/365))+(O122*($E122/365))</f>
        <v>53.3</v>
      </c>
      <c r="T216" s="5">
        <f>(P120*($E120/365))+(P121*($E121/365))+(P122*($E122/365))</f>
        <v>0</v>
      </c>
      <c r="U216" s="5">
        <f>(Q120*($E120/365))+(Q121*($E121/365))+(Q122*($E122/365))</f>
        <v>0</v>
      </c>
      <c r="V216" s="9"/>
      <c r="W216" s="5">
        <f t="shared" si="46"/>
        <v>53.3</v>
      </c>
      <c r="Y216" s="19"/>
    </row>
    <row r="217" spans="1:2047 2049:7168 7172:9215 9219:10240 10243:11262 11266:12287 12290:13309 13313:14334 14337:16384" x14ac:dyDescent="0.15">
      <c r="A217" s="1">
        <v>2010</v>
      </c>
      <c r="B217" s="5">
        <f>(K123*($E123/365))+(K124*($E124/365))+(K125*($E125/365))</f>
        <v>100</v>
      </c>
      <c r="C217" s="5">
        <f>(L123*($E123/365))+(L124*($E124/365))+(L125*($E125/365))</f>
        <v>0</v>
      </c>
      <c r="D217" s="5">
        <f>(M123*($E123/365))+(M124*($E124/365))+(M125*($E125/365))</f>
        <v>0</v>
      </c>
      <c r="E217" s="17">
        <f t="shared" si="44"/>
        <v>100</v>
      </c>
      <c r="G217" s="1">
        <v>2010</v>
      </c>
      <c r="H217" s="392">
        <f>(O123/$R123*100*($E123/365))+(O124/$R124*100*(E124/365))+(O125/$R125*100*($E125/365))</f>
        <v>100</v>
      </c>
      <c r="I217" s="392"/>
      <c r="J217" s="392">
        <f>(P123/$R123*100*($E123/365))+(P124/$R124*100*(F124/365))+(P125/$R125*100*($E125/365))</f>
        <v>0</v>
      </c>
      <c r="K217" s="392"/>
      <c r="L217" s="392">
        <f>(Q123/$R123*100*($E123/365))+(Q124/$R124*100*(G124/365))+(Q125/$R125*100*($E125/365))</f>
        <v>0</v>
      </c>
      <c r="M217" s="392"/>
      <c r="N217" s="363">
        <f t="shared" si="45"/>
        <v>100</v>
      </c>
      <c r="O217" s="363"/>
      <c r="R217" s="1">
        <v>2010</v>
      </c>
      <c r="S217" s="5">
        <f>(O123*($E123/365))+(O124*($E124/365))+(O125*($E125/365))</f>
        <v>53.3</v>
      </c>
      <c r="T217" s="5">
        <f>(P123*($E123/365))+(P124*($E124/365))+(P125*($E125/365))</f>
        <v>0</v>
      </c>
      <c r="U217" s="5">
        <f>(Q123*($E123/365))+(Q124*($E124/365))+(Q125*($E125/365))</f>
        <v>0</v>
      </c>
      <c r="V217" s="9"/>
      <c r="W217" s="5">
        <f t="shared" si="46"/>
        <v>53.3</v>
      </c>
      <c r="Y217" s="19"/>
    </row>
    <row r="218" spans="1:2047 2049:7168 7172:9215 9219:10240 10243:11262 11266:12287 12290:13309 13313:14334 14337:16384" x14ac:dyDescent="0.15">
      <c r="A218" s="1">
        <v>2011</v>
      </c>
      <c r="B218" s="5">
        <f>(K126*($E126/365))+(K127*($E127/365))+($K128*(E128/365))</f>
        <v>87.945205479452056</v>
      </c>
      <c r="C218" s="5">
        <f>(L126*($E126/365))+(L127*($E127/365))+($K128*(F128/365))</f>
        <v>0</v>
      </c>
      <c r="D218" s="5">
        <f>(M126*($E126/365))+(M127*($E127/365))+($K128*(G128/365))</f>
        <v>0</v>
      </c>
      <c r="E218" s="17">
        <f t="shared" si="44"/>
        <v>87.945205479452056</v>
      </c>
      <c r="G218" s="1">
        <v>2011</v>
      </c>
      <c r="H218" s="392">
        <f>(O126/$R126*100*($E126/365))+(O127/$R127*100*(E127/365))</f>
        <v>87.945205479452056</v>
      </c>
      <c r="I218" s="392"/>
      <c r="J218" s="392">
        <f>(P126/$R126*100*($E126/365))+(P127/$R127*100*(F127/365))</f>
        <v>0</v>
      </c>
      <c r="K218" s="392"/>
      <c r="L218" s="392">
        <f>(Q126/$R126*100*($E126/365))+(Q127/$R127*100*(G127/365))</f>
        <v>0</v>
      </c>
      <c r="M218" s="392"/>
      <c r="N218" s="363">
        <f t="shared" si="45"/>
        <v>87.945205479452056</v>
      </c>
      <c r="O218" s="363"/>
      <c r="R218" s="1">
        <v>2011</v>
      </c>
      <c r="S218" s="5">
        <f>(O126*($E126/365))+(O127*($E127/365))+($K128*(I128/365))</f>
        <v>46.874794520547944</v>
      </c>
      <c r="T218" s="5">
        <f>(P126*($E126/365))+(P127*($E127/365))+($K128*(J128/365))</f>
        <v>0</v>
      </c>
      <c r="U218" s="5">
        <f>(Q126*($E126/365))+(Q127*($E127/365))+($K128*(K128/365))</f>
        <v>0</v>
      </c>
      <c r="V218" s="9"/>
      <c r="W218" s="5">
        <f t="shared" si="46"/>
        <v>46.874794520547944</v>
      </c>
      <c r="Y218" s="19"/>
    </row>
    <row r="219" spans="1:2047 2049:7168 7172:9215 9219:10240 10243:11262 11266:12287 12290:13309 13313:14334 14337:16384" x14ac:dyDescent="0.15">
      <c r="A219" s="1">
        <v>2012</v>
      </c>
      <c r="B219" s="5">
        <f>(K129*($E129/366))+($K130*(E130/366))</f>
        <v>0</v>
      </c>
      <c r="C219" s="5">
        <f>(L129*($E129/366))+($K130*(F130/366))</f>
        <v>0</v>
      </c>
      <c r="D219" s="5">
        <f>(M129*($E129/366))+($K130*(G130/366))</f>
        <v>0</v>
      </c>
      <c r="E219" s="17">
        <f t="shared" si="44"/>
        <v>0</v>
      </c>
      <c r="G219" s="1">
        <v>2012</v>
      </c>
      <c r="H219" s="392">
        <v>0</v>
      </c>
      <c r="I219" s="392"/>
      <c r="J219" s="392">
        <v>0</v>
      </c>
      <c r="K219" s="392"/>
      <c r="L219" s="392">
        <v>0</v>
      </c>
      <c r="M219" s="392"/>
      <c r="N219" s="363">
        <f t="shared" ref="N219:N224" si="47">H219+J219+L219</f>
        <v>0</v>
      </c>
      <c r="O219" s="363"/>
      <c r="R219" s="1">
        <v>2012</v>
      </c>
      <c r="S219" s="5">
        <f>(O129*($E129/366))+($K130*(I130/366))</f>
        <v>0</v>
      </c>
      <c r="T219" s="5">
        <f>(P129*($E129/366))+($K130*(J130/366))</f>
        <v>0</v>
      </c>
      <c r="U219" s="5">
        <f>(Q129*($E129/366))+($K130*(K130/366))</f>
        <v>0</v>
      </c>
      <c r="V219" s="9"/>
      <c r="W219" s="5">
        <f t="shared" si="46"/>
        <v>0</v>
      </c>
      <c r="Y219" s="19"/>
    </row>
    <row r="220" spans="1:2047 2049:7168 7172:9215 9219:10240 10243:11262 11266:12287 12290:13309 13313:14334 14337:16384" x14ac:dyDescent="0.15">
      <c r="A220" s="1">
        <v>2013</v>
      </c>
      <c r="B220" s="5">
        <f>(K131*(E131/365))+(K132*($E132/365))+(K133*($E133/365))</f>
        <v>21.843088418430884</v>
      </c>
      <c r="C220" s="5">
        <f>(L131*($E131/365))+(L132*($E132/365))+(L133*($E133/365))</f>
        <v>5.9526774595267744</v>
      </c>
      <c r="D220" s="5">
        <f>(M131*($E131/365))+(M132*($E132/365))+(M133*($E133/365))</f>
        <v>30.884184308841842</v>
      </c>
      <c r="E220" s="17">
        <f>B220+C220+D220</f>
        <v>58.679950186799502</v>
      </c>
      <c r="G220" s="1">
        <v>2013</v>
      </c>
      <c r="H220" s="392">
        <f>0+(O132/$R132*100*($E132/365))+(O133/$R133*100*($E133/365))</f>
        <v>18.506003369017062</v>
      </c>
      <c r="I220" s="392"/>
      <c r="J220" s="392">
        <f>0+(P132/$R132*100*($E132/365))+(P133/$R133*100*($E133/365))</f>
        <v>2.2808767671781367</v>
      </c>
      <c r="K220" s="392"/>
      <c r="L220" s="392">
        <f>0+(Q132/$R132*100*($E132/365))+(Q133/$R133*100*($E133/365))</f>
        <v>47.158325343256841</v>
      </c>
      <c r="M220" s="392"/>
      <c r="N220" s="363">
        <f t="shared" si="47"/>
        <v>67.945205479452042</v>
      </c>
      <c r="O220" s="363"/>
      <c r="R220" s="1">
        <v>2013</v>
      </c>
      <c r="S220" s="5">
        <f>(O131*($E131/365))+(O132*($E132/365))+(O133*($E133/365))</f>
        <v>12.846027397260274</v>
      </c>
      <c r="T220" s="5">
        <f>(P131*($E131/365))+(P132*($E132/365))+(P133*($E133/365))</f>
        <v>1.463013698630137</v>
      </c>
      <c r="U220" s="5">
        <f>(Q131*($E131/365))+(Q132*($E132/365))+(Q133*($E133/365))</f>
        <v>32.002191780821917</v>
      </c>
      <c r="V220" s="9"/>
      <c r="W220" s="5">
        <f>S220+T220+U220</f>
        <v>46.311232876712324</v>
      </c>
      <c r="Y220" s="19"/>
    </row>
    <row r="221" spans="1:2047 2049:7168 7172:9215 9219:10240 10243:11262 11266:12287 12290:13309 13313:14334 14337:16384" x14ac:dyDescent="0.15">
      <c r="A221" s="1">
        <v>2014</v>
      </c>
      <c r="B221" s="5">
        <f>(K134*(E134/365))+(K135*($E135/365))+(K136*($E136/365))</f>
        <v>7.0332890316774277</v>
      </c>
      <c r="C221" s="5">
        <f>(L134*($E134/365))+(L135*($E135/365))+(L136*($E136/365))</f>
        <v>23.816012083538268</v>
      </c>
      <c r="D221" s="5">
        <f>(M134*($E134/365))+(M135*($E135/365))+(M136*($E136/365))</f>
        <v>62.117409853106878</v>
      </c>
      <c r="E221" s="17">
        <f>B221+C221+D221</f>
        <v>92.966710968322573</v>
      </c>
      <c r="G221" s="1">
        <v>2014</v>
      </c>
      <c r="H221" s="392">
        <f>(O134/$R134*100*($E134/365))+(O135/$R135*100*($E135/365))+(O136/$R136*100*($E136/365))</f>
        <v>8.0532450746461368</v>
      </c>
      <c r="I221" s="392"/>
      <c r="J221" s="392">
        <f>(P134/$R134*100*($E134/365))+(P135/$R135*100*($E135/365))+(P136/$R136*100*($E136/365))</f>
        <v>8.4388080861049222</v>
      </c>
      <c r="K221" s="392"/>
      <c r="L221" s="392">
        <f>(Q134/$R134*100*($E134/365))+(Q135/$R135*100*($E135/365))+(Q136/$R136*100*($E136/365))</f>
        <v>83.507946839248945</v>
      </c>
      <c r="M221" s="392"/>
      <c r="N221" s="363">
        <f t="shared" si="47"/>
        <v>100</v>
      </c>
      <c r="O221" s="363"/>
      <c r="R221" s="1">
        <v>2014</v>
      </c>
      <c r="S221" s="5">
        <f>(O134*($E134/365))+(O135*($E135/365))+(O136*($E136/365))</f>
        <v>4.5706849315068494</v>
      </c>
      <c r="T221" s="5">
        <f>(P134*($E134/365))+(P135*($E135/365))+(P136*($E136/365))</f>
        <v>4.7852054794520544</v>
      </c>
      <c r="U221" s="5">
        <f>(Q134*($E134/365))+(Q135*($E135/365))+(Q136*($E136/365))</f>
        <v>47.271506849315067</v>
      </c>
      <c r="V221" s="9"/>
      <c r="W221" s="5">
        <f>S221+T221+U221</f>
        <v>56.627397260273966</v>
      </c>
      <c r="Y221" s="19"/>
    </row>
    <row r="222" spans="1:2047 2049:7168 7172:9215 9219:10240 10243:11262 11266:12287 12290:13309 13313:14334 14337:16384" x14ac:dyDescent="0.15">
      <c r="A222" s="1">
        <v>2015</v>
      </c>
      <c r="B222" s="5">
        <f>(K137*(E137/365))+(K138*($E138/365))+(K139*($E139/365))+(K140*($E140/365))</f>
        <v>0.58017727639000805</v>
      </c>
      <c r="C222" s="5">
        <f>(L137*($E137/365))+(L138*($E138/365))+(L139*($E139/365))+(L140*($E140/365))</f>
        <v>24.544721998388397</v>
      </c>
      <c r="D222" s="5">
        <f>(M137*($E137/365))+(M138*($E138/365))+(M139*($E139/365))+(M140*($E140/365))</f>
        <v>68.992747784045122</v>
      </c>
      <c r="E222" s="17">
        <f>B222+C222+D222</f>
        <v>94.117647058823522</v>
      </c>
      <c r="G222" s="1">
        <v>2015</v>
      </c>
      <c r="H222" s="392">
        <f>(O137/$R137*100*($E137/365))+(O138/$R138*100*($E138/365))+(O139/$R139*100*($E139/365))+(O140/$R140*100*($E140/365))</f>
        <v>0.75464339687027737</v>
      </c>
      <c r="I222" s="392"/>
      <c r="J222" s="392">
        <f>(P137/$R137*100*($E137/365))+(P138/$R138*100*($E138/365))+(P139/$R139*100*($E139/365))+(P140/$R140*100*($E140/365))</f>
        <v>8.7963129166550438</v>
      </c>
      <c r="K222" s="392"/>
      <c r="L222" s="392">
        <f>(Q137/$R137*100*($E137/365))+(Q138/$R138*100*($E138/365))+(Q139/$R139*100*($E139/365))+(Q140/$R140*100*($E140/365))</f>
        <v>90.449043686474667</v>
      </c>
      <c r="M222" s="392"/>
      <c r="N222" s="363">
        <f t="shared" si="47"/>
        <v>99.999999999999986</v>
      </c>
      <c r="O222" s="363"/>
      <c r="R222" s="1">
        <v>2015</v>
      </c>
      <c r="S222" s="5">
        <f>(O137*($E137/365))+(O138*($E138/365))+(O139*($E139/365))+(O140*($E140/365))</f>
        <v>0.42410958904109586</v>
      </c>
      <c r="T222" s="5">
        <f>(P137*($E137/365))+(P138*($E138/365))+(P139*($E139/365))+(P140*($E140/365))</f>
        <v>4.5999999999999996</v>
      </c>
      <c r="U222" s="5">
        <f>(Q137*($E137/365))+(Q138*($E138/365))+(Q139*($E139/365))+(Q140*($E140/365))</f>
        <v>47.3</v>
      </c>
      <c r="V222" s="9"/>
      <c r="W222" s="5">
        <f t="shared" ref="W222:W223" si="48">S222+T222+U222</f>
        <v>52.324109589041093</v>
      </c>
      <c r="Y222" s="19"/>
    </row>
    <row r="223" spans="1:2047 2049:7168 7172:9215 9219:10240 10243:11262 11266:12287 12290:13309 13313:14334 14337:16384" x14ac:dyDescent="0.15">
      <c r="A223" s="1">
        <v>2016</v>
      </c>
      <c r="B223" s="5">
        <f>(K141*($E141/366))+(K142*($E142/366))+(K143*($E143/366))</f>
        <v>0</v>
      </c>
      <c r="C223" s="5">
        <f>(L141*($E141/366))+(L142*($E142/366))+(L143*($E143/366))</f>
        <v>20.116384560726793</v>
      </c>
      <c r="D223" s="5">
        <f>(M141*($E141/366))+(M142*($E142/366))+(M143*($E143/366))</f>
        <v>73.495364496100422</v>
      </c>
      <c r="E223" s="17">
        <f t="shared" ref="E223" si="49">B223+C223+D223</f>
        <v>93.611749056827222</v>
      </c>
      <c r="G223" s="1">
        <v>2016</v>
      </c>
      <c r="H223" s="392">
        <f>(O141/$R141*100*($E141/366))+(O142/$R142*100*($E142/366))+(O143/$R143*100*($E143/366))</f>
        <v>0</v>
      </c>
      <c r="I223" s="392"/>
      <c r="J223" s="392">
        <f>(P141/$R141*100*($E141/366))+(P142/$R142*100*($E142/366))+(P143/$R143*100*($E143/366))</f>
        <v>8.808073194732323</v>
      </c>
      <c r="K223" s="392"/>
      <c r="L223" s="392">
        <f>(Q141/$R141*100*($E141/366))+(Q142/$R142*100*($E142/366))+(Q143/$R143*100*($E143/366))</f>
        <v>91.191926805267656</v>
      </c>
      <c r="M223" s="392"/>
      <c r="N223" s="363">
        <f t="shared" si="47"/>
        <v>99.999999999999972</v>
      </c>
      <c r="O223" s="363"/>
      <c r="R223" s="1">
        <v>2016</v>
      </c>
      <c r="S223" s="5">
        <f>(O141*($E141/366))+(O142*($E142/366))+(O143*($E143/366))</f>
        <v>0</v>
      </c>
      <c r="T223" s="5">
        <f>(P141*($E141/366))+(P142*($E142/366))+(P143*($E143/366))</f>
        <v>4.5726775956284147</v>
      </c>
      <c r="U223" s="5">
        <f>(Q141*($E141/366))+(Q142*($E142/366))+(Q143*($E143/366))</f>
        <v>47.343715846994542</v>
      </c>
      <c r="W223" s="5">
        <f t="shared" si="48"/>
        <v>51.916393442622955</v>
      </c>
      <c r="X223" s="22"/>
      <c r="AT223" s="1"/>
    </row>
    <row r="224" spans="1:2047 2049:7168 7172:9215 9219:10240 10243:11262 11266:12287 12290:13309 13313:14334 14337:16384" x14ac:dyDescent="0.15">
      <c r="A224" s="1">
        <v>2017</v>
      </c>
      <c r="B224" s="5">
        <f>(K144*($E144/365))+(K145*($E145/365))</f>
        <v>0</v>
      </c>
      <c r="C224" s="5">
        <f>(L144*($E144/365))+(L145*($E145/365))</f>
        <v>18.80317231434751</v>
      </c>
      <c r="D224" s="5">
        <f>(M144*($E144/365))+(M145*($E145/365))</f>
        <v>70.670511896178795</v>
      </c>
      <c r="E224" s="17">
        <f t="shared" ref="E224" si="50">B224+C224+D224</f>
        <v>89.473684210526301</v>
      </c>
      <c r="G224" s="1">
        <v>2017</v>
      </c>
      <c r="H224" s="392">
        <f>(O144/$R144*100*($E144/365))+(O145/$R145*100*($E145/365))</f>
        <v>0</v>
      </c>
      <c r="I224" s="392"/>
      <c r="J224" s="392">
        <f>(P144/$R144*100*($E144/365))+(P145/$R145*100*($E145/365))</f>
        <v>7.8544061302681971</v>
      </c>
      <c r="K224" s="392"/>
      <c r="L224" s="392">
        <f>(Q144/$R144*100*($E144/365))+(Q145/$R145*100*($E145/365))</f>
        <v>92.145593869731798</v>
      </c>
      <c r="M224" s="392"/>
      <c r="N224" s="363">
        <f t="shared" si="47"/>
        <v>100</v>
      </c>
      <c r="O224" s="363"/>
      <c r="R224" s="1">
        <v>2017</v>
      </c>
      <c r="S224" s="5">
        <f>(O144*($E144/365))+(O145*($E145/365))</f>
        <v>0</v>
      </c>
      <c r="T224" s="5">
        <f>(P144*($E144/365))+(P145*($E145/365))</f>
        <v>4.0999999999999996</v>
      </c>
      <c r="U224" s="5">
        <f>(Q144*($E144/365))+(Q145*($E145/365))</f>
        <v>48.1</v>
      </c>
      <c r="V224" s="5"/>
      <c r="W224" s="5">
        <f t="shared" ref="W224" si="51">S224+T224+U224</f>
        <v>52.2</v>
      </c>
      <c r="Y224" s="5"/>
      <c r="Z224" s="5"/>
      <c r="AA224" s="5"/>
      <c r="AB224" s="17"/>
      <c r="AE224" s="392"/>
      <c r="AF224" s="392"/>
      <c r="AG224" s="392"/>
      <c r="AH224" s="392"/>
      <c r="AI224" s="392"/>
      <c r="AJ224" s="392"/>
      <c r="AK224" s="363"/>
      <c r="AL224" s="363"/>
      <c r="AP224" s="5"/>
      <c r="AQ224" s="5"/>
      <c r="AR224" s="5"/>
      <c r="AT224" s="5"/>
      <c r="AV224" s="5"/>
      <c r="AW224" s="5"/>
      <c r="AX224" s="5"/>
      <c r="AY224" s="17"/>
      <c r="BB224" s="392"/>
      <c r="BC224" s="392"/>
      <c r="BD224" s="392"/>
      <c r="BE224" s="392"/>
      <c r="BF224" s="392"/>
      <c r="BG224" s="392"/>
      <c r="BH224" s="363"/>
      <c r="BI224" s="363"/>
      <c r="BM224" s="5"/>
      <c r="BN224" s="5"/>
      <c r="BO224" s="5"/>
      <c r="BQ224" s="5"/>
      <c r="BS224" s="5"/>
      <c r="BT224" s="5"/>
      <c r="BU224" s="5"/>
      <c r="BV224" s="17"/>
      <c r="BY224" s="392"/>
      <c r="BZ224" s="392"/>
      <c r="CA224" s="392"/>
      <c r="CB224" s="392"/>
      <c r="CC224" s="392"/>
      <c r="CD224" s="392"/>
      <c r="CE224" s="363"/>
      <c r="CF224" s="363"/>
      <c r="CJ224" s="5"/>
      <c r="CK224" s="5"/>
      <c r="CL224" s="5"/>
      <c r="CN224" s="5"/>
      <c r="CP224" s="5"/>
      <c r="CQ224" s="5"/>
      <c r="CR224" s="5"/>
      <c r="CS224" s="17"/>
      <c r="CV224" s="392"/>
      <c r="CW224" s="392"/>
      <c r="CX224" s="392"/>
      <c r="CY224" s="392"/>
      <c r="CZ224" s="392"/>
      <c r="DA224" s="392"/>
      <c r="DB224" s="363"/>
      <c r="DC224" s="363"/>
      <c r="DG224" s="5"/>
      <c r="DH224" s="5"/>
      <c r="DI224" s="5"/>
      <c r="DK224" s="5"/>
      <c r="DM224" s="5"/>
      <c r="DN224" s="5"/>
      <c r="DO224" s="5"/>
      <c r="DP224" s="17"/>
      <c r="DS224" s="392"/>
      <c r="DT224" s="392"/>
      <c r="DU224" s="392"/>
      <c r="DV224" s="392"/>
      <c r="DW224" s="392"/>
      <c r="DX224" s="392"/>
      <c r="DY224" s="363"/>
      <c r="DZ224" s="363"/>
      <c r="ED224" s="5"/>
      <c r="EE224" s="5"/>
      <c r="EF224" s="5"/>
      <c r="EH224" s="5"/>
      <c r="EJ224" s="5"/>
      <c r="EK224" s="5"/>
      <c r="EL224" s="5"/>
      <c r="EM224" s="17"/>
      <c r="EP224" s="392"/>
      <c r="EQ224" s="392"/>
      <c r="ER224" s="392"/>
      <c r="ES224" s="392"/>
      <c r="ET224" s="392"/>
      <c r="EU224" s="392"/>
      <c r="EV224" s="363"/>
      <c r="EW224" s="363"/>
      <c r="FA224" s="5"/>
      <c r="FB224" s="5"/>
      <c r="FC224" s="5"/>
      <c r="FE224" s="5"/>
      <c r="FG224" s="5"/>
      <c r="FH224" s="5"/>
      <c r="FI224" s="5"/>
      <c r="FJ224" s="17"/>
      <c r="FM224" s="392"/>
      <c r="FN224" s="392"/>
      <c r="FO224" s="392"/>
      <c r="FP224" s="392"/>
      <c r="FQ224" s="392"/>
      <c r="FR224" s="392"/>
      <c r="FS224" s="363"/>
      <c r="FT224" s="363"/>
      <c r="FX224" s="5"/>
      <c r="FY224" s="5"/>
      <c r="FZ224" s="5"/>
      <c r="GB224" s="5"/>
      <c r="GD224" s="5"/>
      <c r="GE224" s="5"/>
      <c r="GF224" s="5"/>
      <c r="GG224" s="17"/>
      <c r="GJ224" s="392"/>
      <c r="GK224" s="392"/>
      <c r="GL224" s="392"/>
      <c r="GM224" s="392"/>
      <c r="GN224" s="392"/>
      <c r="GO224" s="392"/>
      <c r="GP224" s="363"/>
      <c r="GQ224" s="363"/>
      <c r="GU224" s="5"/>
      <c r="GV224" s="5"/>
      <c r="GW224" s="5"/>
      <c r="GY224" s="5"/>
      <c r="HA224" s="5"/>
      <c r="HB224" s="5"/>
      <c r="HC224" s="5"/>
      <c r="HD224" s="17"/>
      <c r="HG224" s="392"/>
      <c r="HH224" s="392"/>
      <c r="HI224" s="392"/>
      <c r="HJ224" s="392"/>
      <c r="HK224" s="392"/>
      <c r="HL224" s="392"/>
      <c r="HM224" s="363"/>
      <c r="HN224" s="363"/>
      <c r="HR224" s="5"/>
      <c r="HS224" s="5"/>
      <c r="HT224" s="5"/>
      <c r="HV224" s="5"/>
      <c r="HX224" s="5"/>
      <c r="HY224" s="5"/>
      <c r="HZ224" s="5"/>
      <c r="IA224" s="17"/>
      <c r="ID224" s="392"/>
      <c r="IE224" s="392"/>
      <c r="IF224" s="392"/>
      <c r="IG224" s="392"/>
      <c r="IH224" s="392"/>
      <c r="II224" s="392"/>
      <c r="IJ224" s="363"/>
      <c r="IK224" s="363"/>
      <c r="IO224" s="5"/>
      <c r="IP224" s="5"/>
      <c r="IQ224" s="5"/>
      <c r="IS224" s="5"/>
      <c r="IU224" s="5"/>
      <c r="IV224" s="5"/>
      <c r="IW224" s="5"/>
      <c r="IX224" s="17"/>
      <c r="JA224" s="392"/>
      <c r="JB224" s="392"/>
      <c r="JC224" s="392"/>
      <c r="JD224" s="392"/>
      <c r="JE224" s="392"/>
      <c r="JF224" s="392"/>
      <c r="JG224" s="363"/>
      <c r="JH224" s="363"/>
      <c r="JL224" s="5"/>
      <c r="JM224" s="5"/>
      <c r="JN224" s="5"/>
      <c r="JP224" s="5"/>
      <c r="JR224" s="5"/>
      <c r="JS224" s="5"/>
      <c r="JT224" s="5"/>
      <c r="JU224" s="17"/>
      <c r="JX224" s="392"/>
      <c r="JY224" s="392"/>
      <c r="JZ224" s="392"/>
      <c r="KA224" s="392"/>
      <c r="KB224" s="392"/>
      <c r="KC224" s="392"/>
      <c r="KD224" s="363"/>
      <c r="KE224" s="363"/>
      <c r="KI224" s="5"/>
      <c r="KJ224" s="5"/>
      <c r="KK224" s="5"/>
      <c r="KM224" s="5"/>
      <c r="KO224" s="5"/>
      <c r="KP224" s="5"/>
      <c r="KQ224" s="5"/>
      <c r="KR224" s="17"/>
      <c r="KU224" s="392"/>
      <c r="KV224" s="392"/>
      <c r="KW224" s="392"/>
      <c r="KX224" s="392"/>
      <c r="KY224" s="392"/>
      <c r="KZ224" s="392"/>
      <c r="LA224" s="363"/>
      <c r="LB224" s="363"/>
      <c r="LF224" s="5"/>
      <c r="LG224" s="5"/>
      <c r="LH224" s="5"/>
      <c r="LJ224" s="5"/>
      <c r="LL224" s="5"/>
      <c r="LM224" s="5"/>
      <c r="LN224" s="5"/>
      <c r="LO224" s="17"/>
      <c r="LR224" s="392"/>
      <c r="LS224" s="392"/>
      <c r="LT224" s="392"/>
      <c r="LU224" s="392"/>
      <c r="LV224" s="392"/>
      <c r="LW224" s="392"/>
      <c r="LX224" s="363"/>
      <c r="LY224" s="363"/>
      <c r="MC224" s="5"/>
      <c r="MD224" s="5"/>
      <c r="ME224" s="5"/>
      <c r="MG224" s="5"/>
      <c r="MI224" s="5"/>
      <c r="MJ224" s="5"/>
      <c r="MK224" s="5"/>
      <c r="ML224" s="17"/>
      <c r="MO224" s="392"/>
      <c r="MP224" s="392"/>
      <c r="MQ224" s="392"/>
      <c r="MR224" s="392"/>
      <c r="MS224" s="392"/>
      <c r="MT224" s="392"/>
      <c r="MU224" s="363"/>
      <c r="MV224" s="363"/>
      <c r="MZ224" s="5"/>
      <c r="NA224" s="5"/>
      <c r="NB224" s="5"/>
      <c r="ND224" s="5"/>
      <c r="NF224" s="5"/>
      <c r="NG224" s="5"/>
      <c r="NH224" s="5"/>
      <c r="NI224" s="17"/>
      <c r="NL224" s="392"/>
      <c r="NM224" s="392"/>
      <c r="NN224" s="392"/>
      <c r="NO224" s="392"/>
      <c r="NP224" s="392"/>
      <c r="NQ224" s="392"/>
      <c r="NR224" s="363"/>
      <c r="NS224" s="363"/>
      <c r="NW224" s="5"/>
      <c r="NX224" s="5"/>
      <c r="NY224" s="5"/>
      <c r="OA224" s="5"/>
      <c r="OC224" s="5"/>
      <c r="OD224" s="5"/>
      <c r="OE224" s="5"/>
      <c r="OF224" s="17"/>
      <c r="OI224" s="392"/>
      <c r="OJ224" s="392"/>
      <c r="OK224" s="392"/>
      <c r="OL224" s="392"/>
      <c r="OM224" s="392"/>
      <c r="ON224" s="392"/>
      <c r="OO224" s="363"/>
      <c r="OP224" s="363"/>
      <c r="OT224" s="5"/>
      <c r="OU224" s="5"/>
      <c r="OV224" s="5"/>
      <c r="OX224" s="5"/>
      <c r="OZ224" s="5"/>
      <c r="PA224" s="5"/>
      <c r="PB224" s="5"/>
      <c r="PC224" s="17"/>
      <c r="PF224" s="392"/>
      <c r="PG224" s="392"/>
      <c r="PH224" s="392"/>
      <c r="PI224" s="392"/>
      <c r="PJ224" s="392"/>
      <c r="PK224" s="392"/>
      <c r="PL224" s="363"/>
      <c r="PM224" s="363"/>
      <c r="PQ224" s="5"/>
      <c r="PR224" s="5"/>
      <c r="PS224" s="5"/>
      <c r="PU224" s="5"/>
      <c r="PW224" s="5"/>
      <c r="PX224" s="5"/>
      <c r="PY224" s="5"/>
      <c r="PZ224" s="17"/>
      <c r="QC224" s="392"/>
      <c r="QD224" s="392"/>
      <c r="QE224" s="392"/>
      <c r="QF224" s="392"/>
      <c r="QG224" s="392"/>
      <c r="QH224" s="392"/>
      <c r="QI224" s="363"/>
      <c r="QJ224" s="363"/>
      <c r="QN224" s="5"/>
      <c r="QO224" s="5"/>
      <c r="QP224" s="5"/>
      <c r="QR224" s="5"/>
      <c r="QT224" s="5"/>
      <c r="QU224" s="5"/>
      <c r="QV224" s="5"/>
      <c r="QW224" s="17"/>
      <c r="QZ224" s="392"/>
      <c r="RA224" s="392"/>
      <c r="RB224" s="392"/>
      <c r="RC224" s="392"/>
      <c r="RD224" s="392"/>
      <c r="RE224" s="392"/>
      <c r="RF224" s="363"/>
      <c r="RG224" s="363"/>
      <c r="RK224" s="5"/>
      <c r="RL224" s="5"/>
      <c r="RM224" s="5"/>
      <c r="RO224" s="5"/>
      <c r="RQ224" s="5"/>
      <c r="RR224" s="5"/>
      <c r="RS224" s="5"/>
      <c r="RT224" s="17"/>
      <c r="RW224" s="392"/>
      <c r="RX224" s="392"/>
      <c r="RY224" s="392"/>
      <c r="RZ224" s="392"/>
      <c r="SA224" s="392"/>
      <c r="SB224" s="392"/>
      <c r="SC224" s="363"/>
      <c r="SD224" s="363"/>
      <c r="SH224" s="5"/>
      <c r="SI224" s="5"/>
      <c r="SJ224" s="5"/>
      <c r="SL224" s="5"/>
      <c r="SN224" s="5"/>
      <c r="SO224" s="5"/>
      <c r="SP224" s="5"/>
      <c r="SQ224" s="17"/>
      <c r="ST224" s="392"/>
      <c r="SU224" s="392"/>
      <c r="SV224" s="392"/>
      <c r="SW224" s="392"/>
      <c r="SX224" s="392"/>
      <c r="SY224" s="392"/>
      <c r="SZ224" s="363"/>
      <c r="TA224" s="363"/>
      <c r="TE224" s="5"/>
      <c r="TF224" s="5"/>
      <c r="TG224" s="5"/>
      <c r="TI224" s="5"/>
      <c r="TK224" s="5"/>
      <c r="TL224" s="5"/>
      <c r="TM224" s="5"/>
      <c r="TN224" s="17"/>
      <c r="TQ224" s="392"/>
      <c r="TR224" s="392"/>
      <c r="TS224" s="392"/>
      <c r="TT224" s="392"/>
      <c r="TU224" s="392"/>
      <c r="TV224" s="392"/>
      <c r="TW224" s="363"/>
      <c r="TX224" s="363"/>
      <c r="UB224" s="5"/>
      <c r="UC224" s="5"/>
      <c r="UD224" s="5"/>
      <c r="UF224" s="5"/>
      <c r="UH224" s="5"/>
      <c r="UI224" s="5"/>
      <c r="UJ224" s="5"/>
      <c r="UK224" s="17"/>
      <c r="UN224" s="392"/>
      <c r="UO224" s="392"/>
      <c r="UP224" s="392"/>
      <c r="UQ224" s="392"/>
      <c r="UR224" s="392"/>
      <c r="US224" s="392"/>
      <c r="UT224" s="363"/>
      <c r="UU224" s="363"/>
      <c r="UY224" s="5"/>
      <c r="UZ224" s="5"/>
      <c r="VA224" s="5"/>
      <c r="VC224" s="5"/>
      <c r="VE224" s="5"/>
      <c r="VF224" s="5"/>
      <c r="VG224" s="5"/>
      <c r="VH224" s="17"/>
      <c r="VK224" s="392"/>
      <c r="VL224" s="392"/>
      <c r="VM224" s="392"/>
      <c r="VN224" s="392"/>
      <c r="VO224" s="392"/>
      <c r="VP224" s="392"/>
      <c r="VQ224" s="363"/>
      <c r="VR224" s="363"/>
      <c r="VV224" s="5"/>
      <c r="VW224" s="5"/>
      <c r="VX224" s="5"/>
      <c r="VZ224" s="5"/>
      <c r="WB224" s="5"/>
      <c r="WC224" s="5"/>
      <c r="WD224" s="5"/>
      <c r="WE224" s="17"/>
      <c r="WH224" s="392"/>
      <c r="WI224" s="392"/>
      <c r="WJ224" s="392"/>
      <c r="WK224" s="392"/>
      <c r="WL224" s="392"/>
      <c r="WM224" s="392"/>
      <c r="WN224" s="363"/>
      <c r="WO224" s="363"/>
      <c r="WS224" s="5"/>
      <c r="WT224" s="5"/>
      <c r="WU224" s="5"/>
      <c r="WW224" s="5"/>
      <c r="WY224" s="5"/>
      <c r="WZ224" s="5"/>
      <c r="XA224" s="5"/>
      <c r="XB224" s="17"/>
      <c r="XE224" s="392"/>
      <c r="XF224" s="392"/>
      <c r="XG224" s="392"/>
      <c r="XH224" s="392"/>
      <c r="XI224" s="392"/>
      <c r="XJ224" s="392"/>
      <c r="XK224" s="363"/>
      <c r="XL224" s="363"/>
      <c r="XP224" s="5"/>
      <c r="XQ224" s="5"/>
      <c r="XR224" s="5"/>
      <c r="XT224" s="5"/>
      <c r="XV224" s="5"/>
      <c r="XW224" s="5"/>
      <c r="XX224" s="5"/>
      <c r="XY224" s="17"/>
      <c r="YB224" s="392"/>
      <c r="YC224" s="392"/>
      <c r="YD224" s="392"/>
      <c r="YE224" s="392"/>
      <c r="YF224" s="392"/>
      <c r="YG224" s="392"/>
      <c r="YH224" s="363"/>
      <c r="YI224" s="363"/>
      <c r="YM224" s="5"/>
      <c r="YN224" s="5"/>
      <c r="YO224" s="5"/>
      <c r="YQ224" s="5"/>
      <c r="YS224" s="5"/>
      <c r="YT224" s="5"/>
      <c r="YU224" s="5"/>
      <c r="YV224" s="17"/>
      <c r="YY224" s="392"/>
      <c r="YZ224" s="392"/>
      <c r="ZA224" s="392"/>
      <c r="ZB224" s="392"/>
      <c r="ZC224" s="392"/>
      <c r="ZD224" s="392"/>
      <c r="ZE224" s="363"/>
      <c r="ZF224" s="363"/>
      <c r="ZJ224" s="5"/>
      <c r="ZK224" s="5"/>
      <c r="ZL224" s="5"/>
      <c r="ZN224" s="5"/>
      <c r="ZP224" s="5"/>
      <c r="ZQ224" s="5"/>
      <c r="ZR224" s="5"/>
      <c r="ZS224" s="17"/>
      <c r="ZV224" s="392"/>
      <c r="ZW224" s="392"/>
      <c r="ZX224" s="392"/>
      <c r="ZY224" s="392"/>
      <c r="ZZ224" s="392"/>
      <c r="AAA224" s="392"/>
      <c r="AAB224" s="363"/>
      <c r="AAC224" s="363"/>
      <c r="AAG224" s="5"/>
      <c r="AAH224" s="5"/>
      <c r="AAI224" s="5"/>
      <c r="AAK224" s="5"/>
      <c r="AAM224" s="5"/>
      <c r="AAN224" s="5"/>
      <c r="AAO224" s="5"/>
      <c r="AAP224" s="17"/>
      <c r="AAS224" s="392"/>
      <c r="AAT224" s="392"/>
      <c r="AAU224" s="392"/>
      <c r="AAV224" s="392"/>
      <c r="AAW224" s="392"/>
      <c r="AAX224" s="392"/>
      <c r="AAY224" s="363"/>
      <c r="AAZ224" s="363"/>
      <c r="ABD224" s="5"/>
      <c r="ABE224" s="5"/>
      <c r="ABF224" s="5"/>
      <c r="ABH224" s="5"/>
      <c r="ABJ224" s="5"/>
      <c r="ABK224" s="5"/>
      <c r="ABL224" s="5"/>
      <c r="ABM224" s="17"/>
      <c r="ABP224" s="392"/>
      <c r="ABQ224" s="392"/>
      <c r="ABR224" s="392"/>
      <c r="ABS224" s="392"/>
      <c r="ABT224" s="392"/>
      <c r="ABU224" s="392"/>
      <c r="ABV224" s="363"/>
      <c r="ABW224" s="363"/>
      <c r="ACA224" s="5"/>
      <c r="ACB224" s="5"/>
      <c r="ACC224" s="5"/>
      <c r="ACE224" s="5"/>
      <c r="ACG224" s="5"/>
      <c r="ACH224" s="5"/>
      <c r="ACI224" s="5"/>
      <c r="ACJ224" s="17"/>
      <c r="ACM224" s="392"/>
      <c r="ACN224" s="392"/>
      <c r="ACO224" s="392"/>
      <c r="ACP224" s="392"/>
      <c r="ACQ224" s="392"/>
      <c r="ACR224" s="392"/>
      <c r="ACS224" s="363"/>
      <c r="ACT224" s="363"/>
      <c r="ACX224" s="5"/>
      <c r="ACY224" s="5"/>
      <c r="ACZ224" s="5"/>
      <c r="ADB224" s="5"/>
      <c r="ADD224" s="5"/>
      <c r="ADE224" s="5"/>
      <c r="ADF224" s="5"/>
      <c r="ADG224" s="17"/>
      <c r="ADJ224" s="392"/>
      <c r="ADK224" s="392"/>
      <c r="ADL224" s="392"/>
      <c r="ADM224" s="392"/>
      <c r="ADN224" s="392"/>
      <c r="ADO224" s="392"/>
      <c r="ADP224" s="363"/>
      <c r="ADQ224" s="363"/>
      <c r="ADU224" s="5"/>
      <c r="ADV224" s="5"/>
      <c r="ADW224" s="5"/>
      <c r="ADY224" s="5"/>
      <c r="AEA224" s="5"/>
      <c r="AEB224" s="5"/>
      <c r="AEC224" s="5"/>
      <c r="AED224" s="17"/>
      <c r="AEG224" s="392"/>
      <c r="AEH224" s="392"/>
      <c r="AEI224" s="392"/>
      <c r="AEJ224" s="392"/>
      <c r="AEK224" s="392"/>
      <c r="AEL224" s="392"/>
      <c r="AEM224" s="363"/>
      <c r="AEN224" s="363"/>
      <c r="AER224" s="5"/>
      <c r="AES224" s="5"/>
      <c r="AET224" s="5"/>
      <c r="AEV224" s="5"/>
      <c r="AEX224" s="5"/>
      <c r="AEY224" s="5"/>
      <c r="AEZ224" s="5"/>
      <c r="AFA224" s="17"/>
      <c r="AFD224" s="392"/>
      <c r="AFE224" s="392"/>
      <c r="AFF224" s="392"/>
      <c r="AFG224" s="392"/>
      <c r="AFH224" s="392"/>
      <c r="AFI224" s="392"/>
      <c r="AFJ224" s="363"/>
      <c r="AFK224" s="363"/>
      <c r="AFO224" s="5"/>
      <c r="AFP224" s="5"/>
      <c r="AFQ224" s="5"/>
      <c r="AFS224" s="5"/>
      <c r="AFU224" s="5"/>
      <c r="AFV224" s="5"/>
      <c r="AFW224" s="5"/>
      <c r="AFX224" s="17"/>
      <c r="AGA224" s="392"/>
      <c r="AGB224" s="392"/>
      <c r="AGC224" s="392"/>
      <c r="AGD224" s="392"/>
      <c r="AGE224" s="392"/>
      <c r="AGF224" s="392"/>
      <c r="AGG224" s="363"/>
      <c r="AGH224" s="363"/>
      <c r="AGL224" s="5"/>
      <c r="AGM224" s="5"/>
      <c r="AGN224" s="5"/>
      <c r="AGP224" s="5"/>
      <c r="AGR224" s="5"/>
      <c r="AGS224" s="5"/>
      <c r="AGT224" s="5"/>
      <c r="AGU224" s="17"/>
      <c r="AGX224" s="392"/>
      <c r="AGY224" s="392"/>
      <c r="AGZ224" s="392"/>
      <c r="AHA224" s="392"/>
      <c r="AHB224" s="392"/>
      <c r="AHC224" s="392"/>
      <c r="AHD224" s="363"/>
      <c r="AHE224" s="363"/>
      <c r="AHI224" s="5"/>
      <c r="AHJ224" s="5"/>
      <c r="AHK224" s="5"/>
      <c r="AHM224" s="5"/>
      <c r="AHO224" s="5"/>
      <c r="AHP224" s="5"/>
      <c r="AHQ224" s="5"/>
      <c r="AHR224" s="17"/>
      <c r="AHU224" s="392"/>
      <c r="AHV224" s="392"/>
      <c r="AHW224" s="392"/>
      <c r="AHX224" s="392"/>
      <c r="AHY224" s="392"/>
      <c r="AHZ224" s="392"/>
      <c r="AIA224" s="363"/>
      <c r="AIB224" s="363"/>
      <c r="AIF224" s="5"/>
      <c r="AIG224" s="5"/>
      <c r="AIH224" s="5"/>
      <c r="AIJ224" s="5"/>
      <c r="AIL224" s="5"/>
      <c r="AIM224" s="5"/>
      <c r="AIN224" s="5"/>
      <c r="AIO224" s="17"/>
      <c r="AIR224" s="392"/>
      <c r="AIS224" s="392"/>
      <c r="AIT224" s="392"/>
      <c r="AIU224" s="392"/>
      <c r="AIV224" s="392"/>
      <c r="AIW224" s="392"/>
      <c r="AIX224" s="363"/>
      <c r="AIY224" s="363"/>
      <c r="AJC224" s="5"/>
      <c r="AJD224" s="5"/>
      <c r="AJE224" s="5"/>
      <c r="AJG224" s="5"/>
      <c r="AJI224" s="5"/>
      <c r="AJJ224" s="5"/>
      <c r="AJK224" s="5"/>
      <c r="AJL224" s="17"/>
      <c r="AJO224" s="392"/>
      <c r="AJP224" s="392"/>
      <c r="AJQ224" s="392"/>
      <c r="AJR224" s="392"/>
      <c r="AJS224" s="392"/>
      <c r="AJT224" s="392"/>
      <c r="AJU224" s="363"/>
      <c r="AJV224" s="363"/>
      <c r="AJZ224" s="5"/>
      <c r="AKA224" s="5"/>
      <c r="AKB224" s="5"/>
      <c r="AKD224" s="5"/>
      <c r="AKF224" s="5"/>
      <c r="AKG224" s="5"/>
      <c r="AKH224" s="5"/>
      <c r="AKI224" s="17"/>
      <c r="AKL224" s="392"/>
      <c r="AKM224" s="392"/>
      <c r="AKN224" s="392"/>
      <c r="AKO224" s="392"/>
      <c r="AKP224" s="392"/>
      <c r="AKQ224" s="392"/>
      <c r="AKR224" s="363"/>
      <c r="AKS224" s="363"/>
      <c r="AKW224" s="5"/>
      <c r="AKX224" s="5"/>
      <c r="AKY224" s="5"/>
      <c r="ALA224" s="5"/>
      <c r="ALC224" s="5"/>
      <c r="ALD224" s="5"/>
      <c r="ALE224" s="5"/>
      <c r="ALF224" s="17"/>
      <c r="ALI224" s="392"/>
      <c r="ALJ224" s="392"/>
      <c r="ALK224" s="392"/>
      <c r="ALL224" s="392"/>
      <c r="ALM224" s="392"/>
      <c r="ALN224" s="392"/>
      <c r="ALO224" s="363"/>
      <c r="ALP224" s="363"/>
      <c r="ALT224" s="5"/>
      <c r="ALU224" s="5"/>
      <c r="ALV224" s="5"/>
      <c r="ALX224" s="5"/>
      <c r="ALZ224" s="5"/>
      <c r="AMA224" s="5"/>
      <c r="AMB224" s="5"/>
      <c r="AMC224" s="17"/>
      <c r="AMF224" s="392"/>
      <c r="AMG224" s="392"/>
      <c r="AMH224" s="392"/>
      <c r="AMI224" s="392"/>
      <c r="AMJ224" s="392"/>
      <c r="AMK224" s="392"/>
      <c r="AML224" s="363"/>
      <c r="AMM224" s="363"/>
      <c r="AMQ224" s="5"/>
      <c r="AMR224" s="5"/>
      <c r="AMS224" s="5"/>
      <c r="AMU224" s="5"/>
      <c r="AMW224" s="5"/>
      <c r="AMX224" s="5"/>
      <c r="AMY224" s="5"/>
      <c r="AMZ224" s="17"/>
      <c r="ANC224" s="392"/>
      <c r="AND224" s="392"/>
      <c r="ANE224" s="392"/>
      <c r="ANF224" s="392"/>
      <c r="ANG224" s="392"/>
      <c r="ANH224" s="392"/>
      <c r="ANI224" s="363"/>
      <c r="ANJ224" s="363"/>
      <c r="ANN224" s="5"/>
      <c r="ANO224" s="5"/>
      <c r="ANP224" s="5"/>
      <c r="ANR224" s="5"/>
      <c r="ANT224" s="5"/>
      <c r="ANU224" s="5"/>
      <c r="ANV224" s="5"/>
      <c r="ANW224" s="17"/>
      <c r="ANZ224" s="392"/>
      <c r="AOA224" s="392"/>
      <c r="AOB224" s="392"/>
      <c r="AOC224" s="392"/>
      <c r="AOD224" s="392"/>
      <c r="AOE224" s="392"/>
      <c r="AOF224" s="363"/>
      <c r="AOG224" s="363"/>
      <c r="AOK224" s="5"/>
      <c r="AOL224" s="5"/>
      <c r="AOM224" s="5"/>
      <c r="AOO224" s="5"/>
      <c r="AOQ224" s="5"/>
      <c r="AOR224" s="5"/>
      <c r="AOS224" s="5"/>
      <c r="AOT224" s="17"/>
      <c r="AOW224" s="392"/>
      <c r="AOX224" s="392"/>
      <c r="AOY224" s="392"/>
      <c r="AOZ224" s="392"/>
      <c r="APA224" s="392"/>
      <c r="APB224" s="392"/>
      <c r="APC224" s="363"/>
      <c r="APD224" s="363"/>
      <c r="APH224" s="5"/>
      <c r="API224" s="5"/>
      <c r="APJ224" s="5"/>
      <c r="APL224" s="5"/>
      <c r="APN224" s="5"/>
      <c r="APO224" s="5"/>
      <c r="APP224" s="5"/>
      <c r="APQ224" s="17"/>
      <c r="APT224" s="392"/>
      <c r="APU224" s="392"/>
      <c r="APV224" s="392"/>
      <c r="APW224" s="392"/>
      <c r="APX224" s="392"/>
      <c r="APY224" s="392"/>
      <c r="APZ224" s="363"/>
      <c r="AQA224" s="363"/>
      <c r="AQE224" s="5"/>
      <c r="AQF224" s="5"/>
      <c r="AQG224" s="5"/>
      <c r="AQI224" s="5"/>
      <c r="AQK224" s="5"/>
      <c r="AQL224" s="5"/>
      <c r="AQM224" s="5"/>
      <c r="AQN224" s="17"/>
      <c r="AQQ224" s="392"/>
      <c r="AQR224" s="392"/>
      <c r="AQS224" s="392"/>
      <c r="AQT224" s="392"/>
      <c r="AQU224" s="392"/>
      <c r="AQV224" s="392"/>
      <c r="AQW224" s="363"/>
      <c r="AQX224" s="363"/>
      <c r="ARB224" s="5"/>
      <c r="ARC224" s="5"/>
      <c r="ARD224" s="5"/>
      <c r="ARF224" s="5"/>
      <c r="ARH224" s="5"/>
      <c r="ARI224" s="5"/>
      <c r="ARJ224" s="5"/>
      <c r="ARK224" s="17"/>
      <c r="ARN224" s="392"/>
      <c r="ARO224" s="392"/>
      <c r="ARP224" s="392"/>
      <c r="ARQ224" s="392"/>
      <c r="ARR224" s="392"/>
      <c r="ARS224" s="392"/>
      <c r="ART224" s="363"/>
      <c r="ARU224" s="363"/>
      <c r="ARY224" s="5"/>
      <c r="ARZ224" s="5"/>
      <c r="ASA224" s="5"/>
      <c r="ASC224" s="5"/>
      <c r="ASE224" s="5"/>
      <c r="ASF224" s="5"/>
      <c r="ASG224" s="5"/>
      <c r="ASH224" s="17"/>
      <c r="ASK224" s="392"/>
      <c r="ASL224" s="392"/>
      <c r="ASM224" s="392"/>
      <c r="ASN224" s="392"/>
      <c r="ASO224" s="392"/>
      <c r="ASP224" s="392"/>
      <c r="ASQ224" s="363"/>
      <c r="ASR224" s="363"/>
      <c r="ASV224" s="5"/>
      <c r="ASW224" s="5"/>
      <c r="ASX224" s="5"/>
      <c r="ASZ224" s="5"/>
      <c r="ATB224" s="5"/>
      <c r="ATC224" s="5"/>
      <c r="ATD224" s="5"/>
      <c r="ATE224" s="17"/>
      <c r="ATH224" s="392"/>
      <c r="ATI224" s="392"/>
      <c r="ATJ224" s="392"/>
      <c r="ATK224" s="392"/>
      <c r="ATL224" s="392"/>
      <c r="ATM224" s="392"/>
      <c r="ATN224" s="363"/>
      <c r="ATO224" s="363"/>
      <c r="ATS224" s="5"/>
      <c r="ATT224" s="5"/>
      <c r="ATU224" s="5"/>
      <c r="ATW224" s="5"/>
      <c r="ATY224" s="5"/>
      <c r="ATZ224" s="5"/>
      <c r="AUA224" s="5"/>
      <c r="AUB224" s="17"/>
      <c r="AUE224" s="392"/>
      <c r="AUF224" s="392"/>
      <c r="AUG224" s="392"/>
      <c r="AUH224" s="392"/>
      <c r="AUI224" s="392"/>
      <c r="AUJ224" s="392"/>
      <c r="AUK224" s="363"/>
      <c r="AUL224" s="363"/>
      <c r="AUP224" s="5"/>
      <c r="AUQ224" s="5"/>
      <c r="AUR224" s="5"/>
      <c r="AUT224" s="5"/>
      <c r="AUV224" s="5"/>
      <c r="AUW224" s="5"/>
      <c r="AUX224" s="5"/>
      <c r="AUY224" s="17"/>
      <c r="AVB224" s="392"/>
      <c r="AVC224" s="392"/>
      <c r="AVD224" s="392"/>
      <c r="AVE224" s="392"/>
      <c r="AVF224" s="392"/>
      <c r="AVG224" s="392"/>
      <c r="AVH224" s="363"/>
      <c r="AVI224" s="363"/>
      <c r="AVM224" s="5"/>
      <c r="AVN224" s="5"/>
      <c r="AVO224" s="5"/>
      <c r="AVQ224" s="5"/>
      <c r="AVS224" s="5"/>
      <c r="AVT224" s="5"/>
      <c r="AVU224" s="5"/>
      <c r="AVV224" s="17"/>
      <c r="AVY224" s="392"/>
      <c r="AVZ224" s="392"/>
      <c r="AWA224" s="392"/>
      <c r="AWB224" s="392"/>
      <c r="AWC224" s="392"/>
      <c r="AWD224" s="392"/>
      <c r="AWE224" s="363"/>
      <c r="AWF224" s="363"/>
      <c r="AWJ224" s="5"/>
      <c r="AWK224" s="5"/>
      <c r="AWL224" s="5"/>
      <c r="AWN224" s="5"/>
      <c r="AWP224" s="5"/>
      <c r="AWQ224" s="5"/>
      <c r="AWR224" s="5"/>
      <c r="AWS224" s="17"/>
      <c r="AWV224" s="392"/>
      <c r="AWW224" s="392"/>
      <c r="AWX224" s="392"/>
      <c r="AWY224" s="392"/>
      <c r="AWZ224" s="392"/>
      <c r="AXA224" s="392"/>
      <c r="AXB224" s="363"/>
      <c r="AXC224" s="363"/>
      <c r="AXG224" s="5"/>
      <c r="AXH224" s="5"/>
      <c r="AXI224" s="5"/>
      <c r="AXK224" s="5"/>
      <c r="AXM224" s="5"/>
      <c r="AXN224" s="5"/>
      <c r="AXO224" s="5"/>
      <c r="AXP224" s="17"/>
      <c r="AXS224" s="392"/>
      <c r="AXT224" s="392"/>
      <c r="AXU224" s="392"/>
      <c r="AXV224" s="392"/>
      <c r="AXW224" s="392"/>
      <c r="AXX224" s="392"/>
      <c r="AXY224" s="363"/>
      <c r="AXZ224" s="363"/>
      <c r="AYD224" s="5"/>
      <c r="AYE224" s="5"/>
      <c r="AYF224" s="5"/>
      <c r="AYH224" s="5"/>
      <c r="AYJ224" s="5"/>
      <c r="AYK224" s="5"/>
      <c r="AYL224" s="5"/>
      <c r="AYM224" s="17"/>
      <c r="AYP224" s="392"/>
      <c r="AYQ224" s="392"/>
      <c r="AYR224" s="392"/>
      <c r="AYS224" s="392"/>
      <c r="AYT224" s="392"/>
      <c r="AYU224" s="392"/>
      <c r="AYV224" s="363"/>
      <c r="AYW224" s="363"/>
      <c r="AZA224" s="5"/>
      <c r="AZB224" s="5"/>
      <c r="AZC224" s="5"/>
      <c r="AZE224" s="5"/>
      <c r="AZG224" s="5"/>
      <c r="AZH224" s="5"/>
      <c r="AZI224" s="5"/>
      <c r="AZJ224" s="17"/>
      <c r="AZM224" s="392"/>
      <c r="AZN224" s="392"/>
      <c r="AZO224" s="392"/>
      <c r="AZP224" s="392"/>
      <c r="AZQ224" s="392"/>
      <c r="AZR224" s="392"/>
      <c r="AZS224" s="363"/>
      <c r="AZT224" s="363"/>
      <c r="AZX224" s="5"/>
      <c r="AZY224" s="5"/>
      <c r="AZZ224" s="5"/>
      <c r="BAB224" s="5"/>
      <c r="BAD224" s="5"/>
      <c r="BAE224" s="5"/>
      <c r="BAF224" s="5"/>
      <c r="BAG224" s="17"/>
      <c r="BAJ224" s="392"/>
      <c r="BAK224" s="392"/>
      <c r="BAL224" s="392"/>
      <c r="BAM224" s="392"/>
      <c r="BAN224" s="392"/>
      <c r="BAO224" s="392"/>
      <c r="BAP224" s="363"/>
      <c r="BAQ224" s="363"/>
      <c r="BAU224" s="5"/>
      <c r="BAV224" s="5"/>
      <c r="BAW224" s="5"/>
      <c r="BAY224" s="5"/>
      <c r="BBA224" s="5"/>
      <c r="BBB224" s="5"/>
      <c r="BBC224" s="5"/>
      <c r="BBD224" s="17"/>
      <c r="BBG224" s="392"/>
      <c r="BBH224" s="392"/>
      <c r="BBI224" s="392"/>
      <c r="BBJ224" s="392"/>
      <c r="BBK224" s="392"/>
      <c r="BBL224" s="392"/>
      <c r="BBM224" s="363"/>
      <c r="BBN224" s="363"/>
      <c r="BBR224" s="5"/>
      <c r="BBS224" s="5"/>
      <c r="BBT224" s="5"/>
      <c r="BBV224" s="5"/>
      <c r="BBX224" s="5"/>
      <c r="BBY224" s="5"/>
      <c r="BBZ224" s="5"/>
      <c r="BCA224" s="17"/>
      <c r="BCD224" s="392"/>
      <c r="BCE224" s="392"/>
      <c r="BCF224" s="392"/>
      <c r="BCG224" s="392"/>
      <c r="BCH224" s="392"/>
      <c r="BCI224" s="392"/>
      <c r="BCJ224" s="363"/>
      <c r="BCK224" s="363"/>
      <c r="BCO224" s="5"/>
      <c r="BCP224" s="5"/>
      <c r="BCQ224" s="5"/>
      <c r="BCS224" s="5"/>
      <c r="BCU224" s="5"/>
      <c r="BCV224" s="5"/>
      <c r="BCW224" s="5"/>
      <c r="BCX224" s="17"/>
      <c r="BDA224" s="392"/>
      <c r="BDB224" s="392"/>
      <c r="BDC224" s="392"/>
      <c r="BDD224" s="392"/>
      <c r="BDE224" s="392"/>
      <c r="BDF224" s="392"/>
      <c r="BDG224" s="363"/>
      <c r="BDH224" s="363"/>
      <c r="BDL224" s="5"/>
      <c r="BDM224" s="5"/>
      <c r="BDN224" s="5"/>
      <c r="BDP224" s="5"/>
      <c r="BDR224" s="5"/>
      <c r="BDS224" s="5"/>
      <c r="BDT224" s="5"/>
      <c r="BDU224" s="17"/>
      <c r="BDX224" s="392"/>
      <c r="BDY224" s="392"/>
      <c r="BDZ224" s="392"/>
      <c r="BEA224" s="392"/>
      <c r="BEB224" s="392"/>
      <c r="BEC224" s="392"/>
      <c r="BED224" s="363"/>
      <c r="BEE224" s="363"/>
      <c r="BEI224" s="5"/>
      <c r="BEJ224" s="5"/>
      <c r="BEK224" s="5"/>
      <c r="BEM224" s="5"/>
      <c r="BEO224" s="5"/>
      <c r="BEP224" s="5"/>
      <c r="BEQ224" s="5"/>
      <c r="BER224" s="17"/>
      <c r="BEU224" s="392"/>
      <c r="BEV224" s="392"/>
      <c r="BEW224" s="392"/>
      <c r="BEX224" s="392"/>
      <c r="BEY224" s="392"/>
      <c r="BEZ224" s="392"/>
      <c r="BFA224" s="363"/>
      <c r="BFB224" s="363"/>
      <c r="BFF224" s="5"/>
      <c r="BFG224" s="5"/>
      <c r="BFH224" s="5"/>
      <c r="BFJ224" s="5"/>
      <c r="BFL224" s="5"/>
      <c r="BFM224" s="5"/>
      <c r="BFN224" s="5"/>
      <c r="BFO224" s="17"/>
      <c r="BFR224" s="392"/>
      <c r="BFS224" s="392"/>
      <c r="BFT224" s="392"/>
      <c r="BFU224" s="392"/>
      <c r="BFV224" s="392"/>
      <c r="BFW224" s="392"/>
      <c r="BFX224" s="363"/>
      <c r="BFY224" s="363"/>
      <c r="BGC224" s="5"/>
      <c r="BGD224" s="5"/>
      <c r="BGE224" s="5"/>
      <c r="BGG224" s="5"/>
      <c r="BGI224" s="5"/>
      <c r="BGJ224" s="5"/>
      <c r="BGK224" s="5"/>
      <c r="BGL224" s="17"/>
      <c r="BGO224" s="392"/>
      <c r="BGP224" s="392"/>
      <c r="BGQ224" s="392"/>
      <c r="BGR224" s="392"/>
      <c r="BGS224" s="392"/>
      <c r="BGT224" s="392"/>
      <c r="BGU224" s="363"/>
      <c r="BGV224" s="363"/>
      <c r="BGZ224" s="5"/>
      <c r="BHA224" s="5"/>
      <c r="BHB224" s="5"/>
      <c r="BHD224" s="5"/>
      <c r="BHF224" s="5"/>
      <c r="BHG224" s="5"/>
      <c r="BHH224" s="5"/>
      <c r="BHI224" s="17"/>
      <c r="BHL224" s="392"/>
      <c r="BHM224" s="392"/>
      <c r="BHN224" s="392"/>
      <c r="BHO224" s="392"/>
      <c r="BHP224" s="392"/>
      <c r="BHQ224" s="392"/>
      <c r="BHR224" s="363"/>
      <c r="BHS224" s="363"/>
      <c r="BHW224" s="5"/>
      <c r="BHX224" s="5"/>
      <c r="BHY224" s="5"/>
      <c r="BIA224" s="5"/>
      <c r="BIC224" s="5"/>
      <c r="BID224" s="5"/>
      <c r="BIE224" s="5"/>
      <c r="BIF224" s="17"/>
      <c r="BII224" s="392"/>
      <c r="BIJ224" s="392"/>
      <c r="BIK224" s="392"/>
      <c r="BIL224" s="392"/>
      <c r="BIM224" s="392"/>
      <c r="BIN224" s="392"/>
      <c r="BIO224" s="363"/>
      <c r="BIP224" s="363"/>
      <c r="BIT224" s="5"/>
      <c r="BIU224" s="5"/>
      <c r="BIV224" s="5"/>
      <c r="BIX224" s="5"/>
      <c r="BIZ224" s="5"/>
      <c r="BJA224" s="5"/>
      <c r="BJB224" s="5"/>
      <c r="BJC224" s="17"/>
      <c r="BJF224" s="392"/>
      <c r="BJG224" s="392"/>
      <c r="BJH224" s="392"/>
      <c r="BJI224" s="392"/>
      <c r="BJJ224" s="392"/>
      <c r="BJK224" s="392"/>
      <c r="BJL224" s="363"/>
      <c r="BJM224" s="363"/>
      <c r="BJQ224" s="5"/>
      <c r="BJR224" s="5"/>
      <c r="BJS224" s="5"/>
      <c r="BJU224" s="5"/>
      <c r="BJW224" s="5"/>
      <c r="BJX224" s="5"/>
      <c r="BJY224" s="5"/>
      <c r="BJZ224" s="17"/>
      <c r="BKC224" s="392"/>
      <c r="BKD224" s="392"/>
      <c r="BKE224" s="392"/>
      <c r="BKF224" s="392"/>
      <c r="BKG224" s="392"/>
      <c r="BKH224" s="392"/>
      <c r="BKI224" s="363"/>
      <c r="BKJ224" s="363"/>
      <c r="BKN224" s="5"/>
      <c r="BKO224" s="5"/>
      <c r="BKP224" s="5"/>
      <c r="BKR224" s="5"/>
      <c r="BKT224" s="5"/>
      <c r="BKU224" s="5"/>
      <c r="BKV224" s="5"/>
      <c r="BKW224" s="17"/>
      <c r="BKZ224" s="392"/>
      <c r="BLA224" s="392"/>
      <c r="BLB224" s="392"/>
      <c r="BLC224" s="392"/>
      <c r="BLD224" s="392"/>
      <c r="BLE224" s="392"/>
      <c r="BLF224" s="363"/>
      <c r="BLG224" s="363"/>
      <c r="BLK224" s="5"/>
      <c r="BLL224" s="5"/>
      <c r="BLM224" s="5"/>
      <c r="BLO224" s="5"/>
      <c r="BLQ224" s="5"/>
      <c r="BLR224" s="5"/>
      <c r="BLS224" s="5"/>
      <c r="BLT224" s="17"/>
      <c r="BLW224" s="392"/>
      <c r="BLX224" s="392"/>
      <c r="BLY224" s="392"/>
      <c r="BLZ224" s="392"/>
      <c r="BMA224" s="392"/>
      <c r="BMB224" s="392"/>
      <c r="BMC224" s="363"/>
      <c r="BMD224" s="363"/>
      <c r="BMH224" s="5"/>
      <c r="BMI224" s="5"/>
      <c r="BMJ224" s="5"/>
      <c r="BML224" s="5"/>
      <c r="BMN224" s="5"/>
      <c r="BMO224" s="5"/>
      <c r="BMP224" s="5"/>
      <c r="BMQ224" s="17"/>
      <c r="BMT224" s="392"/>
      <c r="BMU224" s="392"/>
      <c r="BMV224" s="392"/>
      <c r="BMW224" s="392"/>
      <c r="BMX224" s="392"/>
      <c r="BMY224" s="392"/>
      <c r="BMZ224" s="363"/>
      <c r="BNA224" s="363"/>
      <c r="BNE224" s="5"/>
      <c r="BNF224" s="5"/>
      <c r="BNG224" s="5"/>
      <c r="BNI224" s="5"/>
      <c r="BNK224" s="5"/>
      <c r="BNL224" s="5"/>
      <c r="BNM224" s="5"/>
      <c r="BNN224" s="17"/>
      <c r="BNQ224" s="392"/>
      <c r="BNR224" s="392"/>
      <c r="BNS224" s="392"/>
      <c r="BNT224" s="392"/>
      <c r="BNU224" s="392"/>
      <c r="BNV224" s="392"/>
      <c r="BNW224" s="363"/>
      <c r="BNX224" s="363"/>
      <c r="BOB224" s="5"/>
      <c r="BOC224" s="5"/>
      <c r="BOD224" s="5"/>
      <c r="BOF224" s="5"/>
      <c r="BOH224" s="5"/>
      <c r="BOI224" s="5"/>
      <c r="BOJ224" s="5"/>
      <c r="BOK224" s="17"/>
      <c r="BON224" s="392"/>
      <c r="BOO224" s="392"/>
      <c r="BOP224" s="392"/>
      <c r="BOQ224" s="392"/>
      <c r="BOR224" s="392"/>
      <c r="BOS224" s="392"/>
      <c r="BOT224" s="363"/>
      <c r="BOU224" s="363"/>
      <c r="BOY224" s="5"/>
      <c r="BOZ224" s="5"/>
      <c r="BPA224" s="5"/>
      <c r="BPC224" s="5"/>
      <c r="BPE224" s="5"/>
      <c r="BPF224" s="5"/>
      <c r="BPG224" s="5"/>
      <c r="BPH224" s="17"/>
      <c r="BPK224" s="392"/>
      <c r="BPL224" s="392"/>
      <c r="BPM224" s="392"/>
      <c r="BPN224" s="392"/>
      <c r="BPO224" s="392"/>
      <c r="BPP224" s="392"/>
      <c r="BPQ224" s="363"/>
      <c r="BPR224" s="363"/>
      <c r="BPV224" s="5"/>
      <c r="BPW224" s="5"/>
      <c r="BPX224" s="5"/>
      <c r="BPZ224" s="5"/>
      <c r="BQB224" s="5"/>
      <c r="BQC224" s="5"/>
      <c r="BQD224" s="5"/>
      <c r="BQE224" s="17"/>
      <c r="BQH224" s="392"/>
      <c r="BQI224" s="392"/>
      <c r="BQJ224" s="392"/>
      <c r="BQK224" s="392"/>
      <c r="BQL224" s="392"/>
      <c r="BQM224" s="392"/>
      <c r="BQN224" s="363"/>
      <c r="BQO224" s="363"/>
      <c r="BQS224" s="5"/>
      <c r="BQT224" s="5"/>
      <c r="BQU224" s="5"/>
      <c r="BQW224" s="5"/>
      <c r="BQY224" s="5"/>
      <c r="BQZ224" s="5"/>
      <c r="BRA224" s="5"/>
      <c r="BRB224" s="17"/>
      <c r="BRE224" s="392"/>
      <c r="BRF224" s="392"/>
      <c r="BRG224" s="392"/>
      <c r="BRH224" s="392"/>
      <c r="BRI224" s="392"/>
      <c r="BRJ224" s="392"/>
      <c r="BRK224" s="363"/>
      <c r="BRL224" s="363"/>
      <c r="BRP224" s="5"/>
      <c r="BRQ224" s="5"/>
      <c r="BRR224" s="5"/>
      <c r="BRT224" s="5"/>
      <c r="BRV224" s="5"/>
      <c r="BRW224" s="5"/>
      <c r="BRX224" s="5"/>
      <c r="BRY224" s="17"/>
      <c r="BSB224" s="392"/>
      <c r="BSC224" s="392"/>
      <c r="BSD224" s="392"/>
      <c r="BSE224" s="392"/>
      <c r="BSF224" s="392"/>
      <c r="BSG224" s="392"/>
      <c r="BSH224" s="363"/>
      <c r="BSI224" s="363"/>
      <c r="BSM224" s="5"/>
      <c r="BSN224" s="5"/>
      <c r="BSO224" s="5"/>
      <c r="BSQ224" s="5"/>
      <c r="BSS224" s="5"/>
      <c r="BST224" s="5"/>
      <c r="BSU224" s="5"/>
      <c r="BSV224" s="17"/>
      <c r="BSY224" s="392"/>
      <c r="BSZ224" s="392"/>
      <c r="BTA224" s="392"/>
      <c r="BTB224" s="392"/>
      <c r="BTC224" s="392"/>
      <c r="BTD224" s="392"/>
      <c r="BTE224" s="363"/>
      <c r="BTF224" s="363"/>
      <c r="BTJ224" s="5"/>
      <c r="BTK224" s="5"/>
      <c r="BTL224" s="5"/>
      <c r="BTN224" s="5"/>
      <c r="BTP224" s="5"/>
      <c r="BTQ224" s="5"/>
      <c r="BTR224" s="5"/>
      <c r="BTS224" s="17"/>
      <c r="BTV224" s="392"/>
      <c r="BTW224" s="392"/>
      <c r="BTX224" s="392"/>
      <c r="BTY224" s="392"/>
      <c r="BTZ224" s="392"/>
      <c r="BUA224" s="392"/>
      <c r="BUB224" s="363"/>
      <c r="BUC224" s="363"/>
      <c r="BUG224" s="5"/>
      <c r="BUH224" s="5"/>
      <c r="BUI224" s="5"/>
      <c r="BUK224" s="5"/>
      <c r="BUM224" s="5"/>
      <c r="BUN224" s="5"/>
      <c r="BUO224" s="5"/>
      <c r="BUP224" s="17"/>
      <c r="BUS224" s="392"/>
      <c r="BUT224" s="392"/>
      <c r="BUU224" s="392"/>
      <c r="BUV224" s="392"/>
      <c r="BUW224" s="392"/>
      <c r="BUX224" s="392"/>
      <c r="BUY224" s="363"/>
      <c r="BUZ224" s="363"/>
      <c r="BVD224" s="5"/>
      <c r="BVE224" s="5"/>
      <c r="BVF224" s="5"/>
      <c r="BVH224" s="5"/>
      <c r="BVJ224" s="5"/>
      <c r="BVK224" s="5"/>
      <c r="BVL224" s="5"/>
      <c r="BVM224" s="17"/>
      <c r="BVP224" s="392"/>
      <c r="BVQ224" s="392"/>
      <c r="BVR224" s="392"/>
      <c r="BVS224" s="392"/>
      <c r="BVT224" s="392"/>
      <c r="BVU224" s="392"/>
      <c r="BVV224" s="363"/>
      <c r="BVW224" s="363"/>
      <c r="BWA224" s="5"/>
      <c r="BWB224" s="5"/>
      <c r="BWC224" s="5"/>
      <c r="BWE224" s="5"/>
      <c r="BWG224" s="5"/>
      <c r="BWH224" s="5"/>
      <c r="BWI224" s="5"/>
      <c r="BWJ224" s="17"/>
      <c r="BWM224" s="392"/>
      <c r="BWN224" s="392"/>
      <c r="BWO224" s="392"/>
      <c r="BWP224" s="392"/>
      <c r="BWQ224" s="392"/>
      <c r="BWR224" s="392"/>
      <c r="BWS224" s="363"/>
      <c r="BWT224" s="363"/>
      <c r="BWX224" s="5"/>
      <c r="BWY224" s="5"/>
      <c r="BWZ224" s="5"/>
      <c r="BXB224" s="5"/>
      <c r="BXD224" s="5"/>
      <c r="BXE224" s="5"/>
      <c r="BXF224" s="5"/>
      <c r="BXG224" s="17"/>
      <c r="BXJ224" s="392"/>
      <c r="BXK224" s="392"/>
      <c r="BXL224" s="392"/>
      <c r="BXM224" s="392"/>
      <c r="BXN224" s="392"/>
      <c r="BXO224" s="392"/>
      <c r="BXP224" s="363"/>
      <c r="BXQ224" s="363"/>
      <c r="BXU224" s="5"/>
      <c r="BXV224" s="5"/>
      <c r="BXW224" s="5"/>
      <c r="BXY224" s="5"/>
      <c r="BYA224" s="5"/>
      <c r="BYB224" s="5"/>
      <c r="BYC224" s="5"/>
      <c r="BYD224" s="17"/>
      <c r="BYG224" s="392"/>
      <c r="BYH224" s="392"/>
      <c r="BYI224" s="392"/>
      <c r="BYJ224" s="392"/>
      <c r="BYK224" s="392"/>
      <c r="BYL224" s="392"/>
      <c r="BYM224" s="363"/>
      <c r="BYN224" s="363"/>
      <c r="BYR224" s="5"/>
      <c r="BYS224" s="5"/>
      <c r="BYT224" s="5"/>
      <c r="BYV224" s="5"/>
      <c r="BYX224" s="5"/>
      <c r="BYY224" s="5"/>
      <c r="BYZ224" s="5"/>
      <c r="BZA224" s="17"/>
      <c r="BZD224" s="392"/>
      <c r="BZE224" s="392"/>
      <c r="BZF224" s="392"/>
      <c r="BZG224" s="392"/>
      <c r="BZH224" s="392"/>
      <c r="BZI224" s="392"/>
      <c r="BZJ224" s="363"/>
      <c r="BZK224" s="363"/>
      <c r="BZO224" s="5"/>
      <c r="BZP224" s="5"/>
      <c r="BZQ224" s="5"/>
      <c r="BZS224" s="5"/>
      <c r="BZU224" s="5"/>
      <c r="BZV224" s="5"/>
      <c r="BZW224" s="5"/>
      <c r="BZX224" s="17"/>
      <c r="CAA224" s="392"/>
      <c r="CAB224" s="392"/>
      <c r="CAC224" s="392"/>
      <c r="CAD224" s="392"/>
      <c r="CAE224" s="392"/>
      <c r="CAF224" s="392"/>
      <c r="CAG224" s="363"/>
      <c r="CAH224" s="363"/>
      <c r="CAL224" s="5"/>
      <c r="CAM224" s="5"/>
      <c r="CAN224" s="5"/>
      <c r="CAP224" s="5"/>
      <c r="CAR224" s="5"/>
      <c r="CAS224" s="5"/>
      <c r="CAT224" s="5"/>
      <c r="CAU224" s="17"/>
      <c r="CAX224" s="392"/>
      <c r="CAY224" s="392"/>
      <c r="CAZ224" s="392"/>
      <c r="CBA224" s="392"/>
      <c r="CBB224" s="392"/>
      <c r="CBC224" s="392"/>
      <c r="CBD224" s="363"/>
      <c r="CBE224" s="363"/>
      <c r="CBI224" s="5"/>
      <c r="CBJ224" s="5"/>
      <c r="CBK224" s="5"/>
      <c r="CBM224" s="5"/>
      <c r="CBO224" s="5"/>
      <c r="CBP224" s="5"/>
      <c r="CBQ224" s="5"/>
      <c r="CBR224" s="17"/>
      <c r="CBU224" s="392"/>
      <c r="CBV224" s="392"/>
      <c r="CBW224" s="392"/>
      <c r="CBX224" s="392"/>
      <c r="CBY224" s="392"/>
      <c r="CBZ224" s="392"/>
      <c r="CCA224" s="363"/>
      <c r="CCB224" s="363"/>
      <c r="CCF224" s="5"/>
      <c r="CCG224" s="5"/>
      <c r="CCH224" s="5"/>
      <c r="CCJ224" s="5"/>
      <c r="CCL224" s="5"/>
      <c r="CCM224" s="5"/>
      <c r="CCN224" s="5"/>
      <c r="CCO224" s="17"/>
      <c r="CCR224" s="392"/>
      <c r="CCS224" s="392"/>
      <c r="CCT224" s="392"/>
      <c r="CCU224" s="392"/>
      <c r="CCV224" s="392"/>
      <c r="CCW224" s="392"/>
      <c r="CCX224" s="363"/>
      <c r="CCY224" s="363"/>
      <c r="CDC224" s="5"/>
      <c r="CDD224" s="5"/>
      <c r="CDE224" s="5"/>
      <c r="CDG224" s="5"/>
      <c r="CDI224" s="5"/>
      <c r="CDJ224" s="5"/>
      <c r="CDK224" s="5"/>
      <c r="CDL224" s="17"/>
      <c r="CDO224" s="392"/>
      <c r="CDP224" s="392"/>
      <c r="CDQ224" s="392"/>
      <c r="CDR224" s="392"/>
      <c r="CDS224" s="392"/>
      <c r="CDT224" s="392"/>
      <c r="CDU224" s="363"/>
      <c r="CDV224" s="363"/>
      <c r="CDZ224" s="5"/>
      <c r="CEA224" s="5"/>
      <c r="CEB224" s="5"/>
      <c r="CED224" s="5"/>
      <c r="CEF224" s="5"/>
      <c r="CEG224" s="5"/>
      <c r="CEH224" s="5"/>
      <c r="CEI224" s="17"/>
      <c r="CEL224" s="392"/>
      <c r="CEM224" s="392"/>
      <c r="CEN224" s="392"/>
      <c r="CEO224" s="392"/>
      <c r="CEP224" s="392"/>
      <c r="CEQ224" s="392"/>
      <c r="CER224" s="363"/>
      <c r="CES224" s="363"/>
      <c r="CEW224" s="5"/>
      <c r="CEX224" s="5"/>
      <c r="CEY224" s="5"/>
      <c r="CFA224" s="5"/>
      <c r="CFC224" s="5"/>
      <c r="CFD224" s="5"/>
      <c r="CFE224" s="5"/>
      <c r="CFF224" s="17"/>
      <c r="CFI224" s="392"/>
      <c r="CFJ224" s="392"/>
      <c r="CFK224" s="392"/>
      <c r="CFL224" s="392"/>
      <c r="CFM224" s="392"/>
      <c r="CFN224" s="392"/>
      <c r="CFO224" s="363"/>
      <c r="CFP224" s="363"/>
      <c r="CFT224" s="5"/>
      <c r="CFU224" s="5"/>
      <c r="CFV224" s="5"/>
      <c r="CFX224" s="5"/>
      <c r="CFZ224" s="5"/>
      <c r="CGA224" s="5"/>
      <c r="CGB224" s="5"/>
      <c r="CGC224" s="17"/>
      <c r="CGF224" s="392"/>
      <c r="CGG224" s="392"/>
      <c r="CGH224" s="392"/>
      <c r="CGI224" s="392"/>
      <c r="CGJ224" s="392"/>
      <c r="CGK224" s="392"/>
      <c r="CGL224" s="363"/>
      <c r="CGM224" s="363"/>
      <c r="CGQ224" s="5"/>
      <c r="CGR224" s="5"/>
      <c r="CGS224" s="5"/>
      <c r="CGU224" s="5"/>
      <c r="CGW224" s="5"/>
      <c r="CGX224" s="5"/>
      <c r="CGY224" s="5"/>
      <c r="CGZ224" s="17"/>
      <c r="CHC224" s="392"/>
      <c r="CHD224" s="392"/>
      <c r="CHE224" s="392"/>
      <c r="CHF224" s="392"/>
      <c r="CHG224" s="392"/>
      <c r="CHH224" s="392"/>
      <c r="CHI224" s="363"/>
      <c r="CHJ224" s="363"/>
      <c r="CHN224" s="5"/>
      <c r="CHO224" s="5"/>
      <c r="CHP224" s="5"/>
      <c r="CHR224" s="5"/>
      <c r="CHT224" s="5"/>
      <c r="CHU224" s="5"/>
      <c r="CHV224" s="5"/>
      <c r="CHW224" s="17"/>
      <c r="CHZ224" s="392"/>
      <c r="CIA224" s="392"/>
      <c r="CIB224" s="392"/>
      <c r="CIC224" s="392"/>
      <c r="CID224" s="392"/>
      <c r="CIE224" s="392"/>
      <c r="CIF224" s="363"/>
      <c r="CIG224" s="363"/>
      <c r="CIK224" s="5"/>
      <c r="CIL224" s="5"/>
      <c r="CIM224" s="5"/>
      <c r="CIO224" s="5"/>
      <c r="CIQ224" s="5"/>
      <c r="CIR224" s="5"/>
      <c r="CIS224" s="5"/>
      <c r="CIT224" s="17"/>
      <c r="CIW224" s="392"/>
      <c r="CIX224" s="392"/>
      <c r="CIY224" s="392"/>
      <c r="CIZ224" s="392"/>
      <c r="CJA224" s="392"/>
      <c r="CJB224" s="392"/>
      <c r="CJC224" s="363"/>
      <c r="CJD224" s="363"/>
      <c r="CJH224" s="5"/>
      <c r="CJI224" s="5"/>
      <c r="CJJ224" s="5"/>
      <c r="CJL224" s="5"/>
      <c r="CJN224" s="5"/>
      <c r="CJO224" s="5"/>
      <c r="CJP224" s="5"/>
      <c r="CJQ224" s="17"/>
      <c r="CJT224" s="392"/>
      <c r="CJU224" s="392"/>
      <c r="CJV224" s="392"/>
      <c r="CJW224" s="392"/>
      <c r="CJX224" s="392"/>
      <c r="CJY224" s="392"/>
      <c r="CJZ224" s="363"/>
      <c r="CKA224" s="363"/>
      <c r="CKE224" s="5"/>
      <c r="CKF224" s="5"/>
      <c r="CKG224" s="5"/>
      <c r="CKI224" s="5"/>
      <c r="CKK224" s="5"/>
      <c r="CKL224" s="5"/>
      <c r="CKM224" s="5"/>
      <c r="CKN224" s="17"/>
      <c r="CKQ224" s="392"/>
      <c r="CKR224" s="392"/>
      <c r="CKS224" s="392"/>
      <c r="CKT224" s="392"/>
      <c r="CKU224" s="392"/>
      <c r="CKV224" s="392"/>
      <c r="CKW224" s="363"/>
      <c r="CKX224" s="363"/>
      <c r="CLB224" s="5"/>
      <c r="CLC224" s="5"/>
      <c r="CLD224" s="5"/>
      <c r="CLF224" s="5"/>
      <c r="CLH224" s="5"/>
      <c r="CLI224" s="5"/>
      <c r="CLJ224" s="5"/>
      <c r="CLK224" s="17"/>
      <c r="CLN224" s="392"/>
      <c r="CLO224" s="392"/>
      <c r="CLP224" s="392"/>
      <c r="CLQ224" s="392"/>
      <c r="CLR224" s="392"/>
      <c r="CLS224" s="392"/>
      <c r="CLT224" s="363"/>
      <c r="CLU224" s="363"/>
      <c r="CLY224" s="5"/>
      <c r="CLZ224" s="5"/>
      <c r="CMA224" s="5"/>
      <c r="CMC224" s="5"/>
      <c r="CME224" s="5"/>
      <c r="CMF224" s="5"/>
      <c r="CMG224" s="5"/>
      <c r="CMH224" s="17"/>
      <c r="CMK224" s="392"/>
      <c r="CML224" s="392"/>
      <c r="CMM224" s="392"/>
      <c r="CMN224" s="392"/>
      <c r="CMO224" s="392"/>
      <c r="CMP224" s="392"/>
      <c r="CMQ224" s="363"/>
      <c r="CMR224" s="363"/>
      <c r="CMV224" s="5"/>
      <c r="CMW224" s="5"/>
      <c r="CMX224" s="5"/>
      <c r="CMZ224" s="5"/>
      <c r="CNB224" s="5"/>
      <c r="CNC224" s="5"/>
      <c r="CND224" s="5"/>
      <c r="CNE224" s="17"/>
      <c r="CNH224" s="392"/>
      <c r="CNI224" s="392"/>
      <c r="CNJ224" s="392"/>
      <c r="CNK224" s="392"/>
      <c r="CNL224" s="392"/>
      <c r="CNM224" s="392"/>
      <c r="CNN224" s="363"/>
      <c r="CNO224" s="363"/>
      <c r="CNS224" s="5"/>
      <c r="CNT224" s="5"/>
      <c r="CNU224" s="5"/>
      <c r="CNW224" s="5"/>
      <c r="CNY224" s="5"/>
      <c r="CNZ224" s="5"/>
      <c r="COA224" s="5"/>
      <c r="COB224" s="17"/>
      <c r="COE224" s="392"/>
      <c r="COF224" s="392"/>
      <c r="COG224" s="392"/>
      <c r="COH224" s="392"/>
      <c r="COI224" s="392"/>
      <c r="COJ224" s="392"/>
      <c r="COK224" s="363"/>
      <c r="COL224" s="363"/>
      <c r="COP224" s="5"/>
      <c r="COQ224" s="5"/>
      <c r="COR224" s="5"/>
      <c r="COT224" s="5"/>
      <c r="COV224" s="5"/>
      <c r="COW224" s="5"/>
      <c r="COX224" s="5"/>
      <c r="COY224" s="17"/>
      <c r="CPB224" s="392"/>
      <c r="CPC224" s="392"/>
      <c r="CPD224" s="392"/>
      <c r="CPE224" s="392"/>
      <c r="CPF224" s="392"/>
      <c r="CPG224" s="392"/>
      <c r="CPH224" s="363"/>
      <c r="CPI224" s="363"/>
      <c r="CPM224" s="5"/>
      <c r="CPN224" s="5"/>
      <c r="CPO224" s="5"/>
      <c r="CPQ224" s="5"/>
      <c r="CPS224" s="5"/>
      <c r="CPT224" s="5"/>
      <c r="CPU224" s="5"/>
      <c r="CPV224" s="17"/>
      <c r="CPY224" s="392"/>
      <c r="CPZ224" s="392"/>
      <c r="CQA224" s="392"/>
      <c r="CQB224" s="392"/>
      <c r="CQC224" s="392"/>
      <c r="CQD224" s="392"/>
      <c r="CQE224" s="363"/>
      <c r="CQF224" s="363"/>
      <c r="CQJ224" s="5"/>
      <c r="CQK224" s="5"/>
      <c r="CQL224" s="5"/>
      <c r="CQN224" s="5"/>
      <c r="CQP224" s="5"/>
      <c r="CQQ224" s="5"/>
      <c r="CQR224" s="5"/>
      <c r="CQS224" s="17"/>
      <c r="CQV224" s="392"/>
      <c r="CQW224" s="392"/>
      <c r="CQX224" s="392"/>
      <c r="CQY224" s="392"/>
      <c r="CQZ224" s="392"/>
      <c r="CRA224" s="392"/>
      <c r="CRB224" s="363"/>
      <c r="CRC224" s="363"/>
      <c r="CRG224" s="5"/>
      <c r="CRH224" s="5"/>
      <c r="CRI224" s="5"/>
      <c r="CRK224" s="5"/>
      <c r="CRM224" s="5"/>
      <c r="CRN224" s="5"/>
      <c r="CRO224" s="5"/>
      <c r="CRP224" s="17"/>
      <c r="CRS224" s="392"/>
      <c r="CRT224" s="392"/>
      <c r="CRU224" s="392"/>
      <c r="CRV224" s="392"/>
      <c r="CRW224" s="392"/>
      <c r="CRX224" s="392"/>
      <c r="CRY224" s="363"/>
      <c r="CRZ224" s="363"/>
      <c r="CSD224" s="5"/>
      <c r="CSE224" s="5"/>
      <c r="CSF224" s="5"/>
      <c r="CSH224" s="5"/>
      <c r="CSJ224" s="5"/>
      <c r="CSK224" s="5"/>
      <c r="CSL224" s="5"/>
      <c r="CSM224" s="17"/>
      <c r="CSP224" s="392"/>
      <c r="CSQ224" s="392"/>
      <c r="CSR224" s="392"/>
      <c r="CSS224" s="392"/>
      <c r="CST224" s="392"/>
      <c r="CSU224" s="392"/>
      <c r="CSV224" s="363"/>
      <c r="CSW224" s="363"/>
      <c r="CTA224" s="5"/>
      <c r="CTB224" s="5"/>
      <c r="CTC224" s="5"/>
      <c r="CTE224" s="5"/>
      <c r="CTG224" s="5"/>
      <c r="CTH224" s="5"/>
      <c r="CTI224" s="5"/>
      <c r="CTJ224" s="17"/>
      <c r="CTM224" s="392"/>
      <c r="CTN224" s="392"/>
      <c r="CTO224" s="392"/>
      <c r="CTP224" s="392"/>
      <c r="CTQ224" s="392"/>
      <c r="CTR224" s="392"/>
      <c r="CTS224" s="363"/>
      <c r="CTT224" s="363"/>
      <c r="CTX224" s="5"/>
      <c r="CTY224" s="5"/>
      <c r="CTZ224" s="5"/>
      <c r="CUB224" s="5"/>
      <c r="CUD224" s="5"/>
      <c r="CUE224" s="5"/>
      <c r="CUF224" s="5"/>
      <c r="CUG224" s="17"/>
      <c r="CUJ224" s="392"/>
      <c r="CUK224" s="392"/>
      <c r="CUL224" s="392"/>
      <c r="CUM224" s="392"/>
      <c r="CUN224" s="392"/>
      <c r="CUO224" s="392"/>
      <c r="CUP224" s="363"/>
      <c r="CUQ224" s="363"/>
      <c r="CUU224" s="5"/>
      <c r="CUV224" s="5"/>
      <c r="CUW224" s="5"/>
      <c r="CUY224" s="5"/>
      <c r="CVA224" s="5"/>
      <c r="CVB224" s="5"/>
      <c r="CVC224" s="5"/>
      <c r="CVD224" s="17"/>
      <c r="CVG224" s="392"/>
      <c r="CVH224" s="392"/>
      <c r="CVI224" s="392"/>
      <c r="CVJ224" s="392"/>
      <c r="CVK224" s="392"/>
      <c r="CVL224" s="392"/>
      <c r="CVM224" s="363"/>
      <c r="CVN224" s="363"/>
      <c r="CVR224" s="5"/>
      <c r="CVS224" s="5"/>
      <c r="CVT224" s="5"/>
      <c r="CVV224" s="5"/>
      <c r="CVX224" s="5"/>
      <c r="CVY224" s="5"/>
      <c r="CVZ224" s="5"/>
      <c r="CWA224" s="17"/>
      <c r="CWD224" s="392"/>
      <c r="CWE224" s="392"/>
      <c r="CWF224" s="392"/>
      <c r="CWG224" s="392"/>
      <c r="CWH224" s="392"/>
      <c r="CWI224" s="392"/>
      <c r="CWJ224" s="363"/>
      <c r="CWK224" s="363"/>
      <c r="CWO224" s="5"/>
      <c r="CWP224" s="5"/>
      <c r="CWQ224" s="5"/>
      <c r="CWS224" s="5"/>
      <c r="CWU224" s="5"/>
      <c r="CWV224" s="5"/>
      <c r="CWW224" s="5"/>
      <c r="CWX224" s="17"/>
      <c r="CXA224" s="392"/>
      <c r="CXB224" s="392"/>
      <c r="CXC224" s="392"/>
      <c r="CXD224" s="392"/>
      <c r="CXE224" s="392"/>
      <c r="CXF224" s="392"/>
      <c r="CXG224" s="363"/>
      <c r="CXH224" s="363"/>
      <c r="CXL224" s="5"/>
      <c r="CXM224" s="5"/>
      <c r="CXN224" s="5"/>
      <c r="CXP224" s="5"/>
      <c r="CXR224" s="5"/>
      <c r="CXS224" s="5"/>
      <c r="CXT224" s="5"/>
      <c r="CXU224" s="17"/>
      <c r="CXX224" s="392"/>
      <c r="CXY224" s="392"/>
      <c r="CXZ224" s="392"/>
      <c r="CYA224" s="392"/>
      <c r="CYB224" s="392"/>
      <c r="CYC224" s="392"/>
      <c r="CYD224" s="363"/>
      <c r="CYE224" s="363"/>
      <c r="CYI224" s="5"/>
      <c r="CYJ224" s="5"/>
      <c r="CYK224" s="5"/>
      <c r="CYM224" s="5"/>
      <c r="CYO224" s="5"/>
      <c r="CYP224" s="5"/>
      <c r="CYQ224" s="5"/>
      <c r="CYR224" s="17"/>
      <c r="CYU224" s="392"/>
      <c r="CYV224" s="392"/>
      <c r="CYW224" s="392"/>
      <c r="CYX224" s="392"/>
      <c r="CYY224" s="392"/>
      <c r="CYZ224" s="392"/>
      <c r="CZA224" s="363"/>
      <c r="CZB224" s="363"/>
      <c r="CZF224" s="5"/>
      <c r="CZG224" s="5"/>
      <c r="CZH224" s="5"/>
      <c r="CZJ224" s="5"/>
      <c r="CZL224" s="5"/>
      <c r="CZM224" s="5"/>
      <c r="CZN224" s="5"/>
      <c r="CZO224" s="17"/>
      <c r="CZR224" s="392"/>
      <c r="CZS224" s="392"/>
      <c r="CZT224" s="392"/>
      <c r="CZU224" s="392"/>
      <c r="CZV224" s="392"/>
      <c r="CZW224" s="392"/>
      <c r="CZX224" s="363"/>
      <c r="CZY224" s="363"/>
      <c r="DAC224" s="5"/>
      <c r="DAD224" s="5"/>
      <c r="DAE224" s="5"/>
      <c r="DAG224" s="5"/>
      <c r="DAI224" s="5"/>
      <c r="DAJ224" s="5"/>
      <c r="DAK224" s="5"/>
      <c r="DAL224" s="17"/>
      <c r="DAO224" s="392"/>
      <c r="DAP224" s="392"/>
      <c r="DAQ224" s="392"/>
      <c r="DAR224" s="392"/>
      <c r="DAS224" s="392"/>
      <c r="DAT224" s="392"/>
      <c r="DAU224" s="363"/>
      <c r="DAV224" s="363"/>
      <c r="DAZ224" s="5"/>
      <c r="DBA224" s="5"/>
      <c r="DBB224" s="5"/>
      <c r="DBD224" s="5"/>
      <c r="DBF224" s="5"/>
      <c r="DBG224" s="5"/>
      <c r="DBH224" s="5"/>
      <c r="DBI224" s="17"/>
      <c r="DBL224" s="392"/>
      <c r="DBM224" s="392"/>
      <c r="DBN224" s="392"/>
      <c r="DBO224" s="392"/>
      <c r="DBP224" s="392"/>
      <c r="DBQ224" s="392"/>
      <c r="DBR224" s="363"/>
      <c r="DBS224" s="363"/>
      <c r="DBW224" s="5"/>
      <c r="DBX224" s="5"/>
      <c r="DBY224" s="5"/>
      <c r="DCA224" s="5"/>
      <c r="DCC224" s="5"/>
      <c r="DCD224" s="5"/>
      <c r="DCE224" s="5"/>
      <c r="DCF224" s="17"/>
      <c r="DCI224" s="392"/>
      <c r="DCJ224" s="392"/>
      <c r="DCK224" s="392"/>
      <c r="DCL224" s="392"/>
      <c r="DCM224" s="392"/>
      <c r="DCN224" s="392"/>
      <c r="DCO224" s="363"/>
      <c r="DCP224" s="363"/>
      <c r="DCT224" s="5"/>
      <c r="DCU224" s="5"/>
      <c r="DCV224" s="5"/>
      <c r="DCX224" s="5"/>
      <c r="DCZ224" s="5"/>
      <c r="DDA224" s="5"/>
      <c r="DDB224" s="5"/>
      <c r="DDC224" s="17"/>
      <c r="DDF224" s="392"/>
      <c r="DDG224" s="392"/>
      <c r="DDH224" s="392"/>
      <c r="DDI224" s="392"/>
      <c r="DDJ224" s="392"/>
      <c r="DDK224" s="392"/>
      <c r="DDL224" s="363"/>
      <c r="DDM224" s="363"/>
      <c r="DDQ224" s="5"/>
      <c r="DDR224" s="5"/>
      <c r="DDS224" s="5"/>
      <c r="DDU224" s="5"/>
      <c r="DDW224" s="5"/>
      <c r="DDX224" s="5"/>
      <c r="DDY224" s="5"/>
      <c r="DDZ224" s="17"/>
      <c r="DEC224" s="392"/>
      <c r="DED224" s="392"/>
      <c r="DEE224" s="392"/>
      <c r="DEF224" s="392"/>
      <c r="DEG224" s="392"/>
      <c r="DEH224" s="392"/>
      <c r="DEI224" s="363"/>
      <c r="DEJ224" s="363"/>
      <c r="DEN224" s="5"/>
      <c r="DEO224" s="5"/>
      <c r="DEP224" s="5"/>
      <c r="DER224" s="5"/>
      <c r="DET224" s="5"/>
      <c r="DEU224" s="5"/>
      <c r="DEV224" s="5"/>
      <c r="DEW224" s="17"/>
      <c r="DEZ224" s="392"/>
      <c r="DFA224" s="392"/>
      <c r="DFB224" s="392"/>
      <c r="DFC224" s="392"/>
      <c r="DFD224" s="392"/>
      <c r="DFE224" s="392"/>
      <c r="DFF224" s="363"/>
      <c r="DFG224" s="363"/>
      <c r="DFK224" s="5"/>
      <c r="DFL224" s="5"/>
      <c r="DFM224" s="5"/>
      <c r="DFO224" s="5"/>
      <c r="DFQ224" s="5"/>
      <c r="DFR224" s="5"/>
      <c r="DFS224" s="5"/>
      <c r="DFT224" s="17"/>
      <c r="DFW224" s="392"/>
      <c r="DFX224" s="392"/>
      <c r="DFY224" s="392"/>
      <c r="DFZ224" s="392"/>
      <c r="DGA224" s="392"/>
      <c r="DGB224" s="392"/>
      <c r="DGC224" s="363"/>
      <c r="DGD224" s="363"/>
      <c r="DGH224" s="5"/>
      <c r="DGI224" s="5"/>
      <c r="DGJ224" s="5"/>
      <c r="DGL224" s="5"/>
      <c r="DGN224" s="5"/>
      <c r="DGO224" s="5"/>
      <c r="DGP224" s="5"/>
      <c r="DGQ224" s="17"/>
      <c r="DGT224" s="392"/>
      <c r="DGU224" s="392"/>
      <c r="DGV224" s="392"/>
      <c r="DGW224" s="392"/>
      <c r="DGX224" s="392"/>
      <c r="DGY224" s="392"/>
      <c r="DGZ224" s="363"/>
      <c r="DHA224" s="363"/>
      <c r="DHE224" s="5"/>
      <c r="DHF224" s="5"/>
      <c r="DHG224" s="5"/>
      <c r="DHI224" s="5"/>
      <c r="DHK224" s="5"/>
      <c r="DHL224" s="5"/>
      <c r="DHM224" s="5"/>
      <c r="DHN224" s="17"/>
      <c r="DHQ224" s="392"/>
      <c r="DHR224" s="392"/>
      <c r="DHS224" s="392"/>
      <c r="DHT224" s="392"/>
      <c r="DHU224" s="392"/>
      <c r="DHV224" s="392"/>
      <c r="DHW224" s="363"/>
      <c r="DHX224" s="363"/>
      <c r="DIB224" s="5"/>
      <c r="DIC224" s="5"/>
      <c r="DID224" s="5"/>
      <c r="DIF224" s="5"/>
      <c r="DIH224" s="5"/>
      <c r="DII224" s="5"/>
      <c r="DIJ224" s="5"/>
      <c r="DIK224" s="17"/>
      <c r="DIN224" s="392"/>
      <c r="DIO224" s="392"/>
      <c r="DIP224" s="392"/>
      <c r="DIQ224" s="392"/>
      <c r="DIR224" s="392"/>
      <c r="DIS224" s="392"/>
      <c r="DIT224" s="363"/>
      <c r="DIU224" s="363"/>
      <c r="DIY224" s="5"/>
      <c r="DIZ224" s="5"/>
      <c r="DJA224" s="5"/>
      <c r="DJC224" s="5"/>
      <c r="DJE224" s="5"/>
      <c r="DJF224" s="5"/>
      <c r="DJG224" s="5"/>
      <c r="DJH224" s="17"/>
      <c r="DJK224" s="392"/>
      <c r="DJL224" s="392"/>
      <c r="DJM224" s="392"/>
      <c r="DJN224" s="392"/>
      <c r="DJO224" s="392"/>
      <c r="DJP224" s="392"/>
      <c r="DJQ224" s="363"/>
      <c r="DJR224" s="363"/>
      <c r="DJV224" s="5"/>
      <c r="DJW224" s="5"/>
      <c r="DJX224" s="5"/>
      <c r="DJZ224" s="5"/>
      <c r="DKB224" s="5"/>
      <c r="DKC224" s="5"/>
      <c r="DKD224" s="5"/>
      <c r="DKE224" s="17"/>
      <c r="DKH224" s="392"/>
      <c r="DKI224" s="392"/>
      <c r="DKJ224" s="392"/>
      <c r="DKK224" s="392"/>
      <c r="DKL224" s="392"/>
      <c r="DKM224" s="392"/>
      <c r="DKN224" s="363"/>
      <c r="DKO224" s="363"/>
      <c r="DKS224" s="5"/>
      <c r="DKT224" s="5"/>
      <c r="DKU224" s="5"/>
      <c r="DKW224" s="5"/>
      <c r="DKY224" s="5"/>
      <c r="DKZ224" s="5"/>
      <c r="DLA224" s="5"/>
      <c r="DLB224" s="17"/>
      <c r="DLE224" s="392"/>
      <c r="DLF224" s="392"/>
      <c r="DLG224" s="392"/>
      <c r="DLH224" s="392"/>
      <c r="DLI224" s="392"/>
      <c r="DLJ224" s="392"/>
      <c r="DLK224" s="363"/>
      <c r="DLL224" s="363"/>
      <c r="DLP224" s="5"/>
      <c r="DLQ224" s="5"/>
      <c r="DLR224" s="5"/>
      <c r="DLT224" s="5"/>
      <c r="DLV224" s="5"/>
      <c r="DLW224" s="5"/>
      <c r="DLX224" s="5"/>
      <c r="DLY224" s="17"/>
      <c r="DMB224" s="392"/>
      <c r="DMC224" s="392"/>
      <c r="DMD224" s="392"/>
      <c r="DME224" s="392"/>
      <c r="DMF224" s="392"/>
      <c r="DMG224" s="392"/>
      <c r="DMH224" s="363"/>
      <c r="DMI224" s="363"/>
      <c r="DMM224" s="5"/>
      <c r="DMN224" s="5"/>
      <c r="DMO224" s="5"/>
      <c r="DMQ224" s="5"/>
      <c r="DMS224" s="5"/>
      <c r="DMT224" s="5"/>
      <c r="DMU224" s="5"/>
      <c r="DMV224" s="17"/>
      <c r="DMY224" s="392"/>
      <c r="DMZ224" s="392"/>
      <c r="DNA224" s="392"/>
      <c r="DNB224" s="392"/>
      <c r="DNC224" s="392"/>
      <c r="DND224" s="392"/>
      <c r="DNE224" s="363"/>
      <c r="DNF224" s="363"/>
      <c r="DNJ224" s="5"/>
      <c r="DNK224" s="5"/>
      <c r="DNL224" s="5"/>
      <c r="DNN224" s="5"/>
      <c r="DNP224" s="5"/>
      <c r="DNQ224" s="5"/>
      <c r="DNR224" s="5"/>
      <c r="DNS224" s="17"/>
      <c r="DNV224" s="392"/>
      <c r="DNW224" s="392"/>
      <c r="DNX224" s="392"/>
      <c r="DNY224" s="392"/>
      <c r="DNZ224" s="392"/>
      <c r="DOA224" s="392"/>
      <c r="DOB224" s="363"/>
      <c r="DOC224" s="363"/>
      <c r="DOG224" s="5"/>
      <c r="DOH224" s="5"/>
      <c r="DOI224" s="5"/>
      <c r="DOK224" s="5"/>
      <c r="DOM224" s="5"/>
      <c r="DON224" s="5"/>
      <c r="DOO224" s="5"/>
      <c r="DOP224" s="17"/>
      <c r="DOS224" s="392"/>
      <c r="DOT224" s="392"/>
      <c r="DOU224" s="392"/>
      <c r="DOV224" s="392"/>
      <c r="DOW224" s="392"/>
      <c r="DOX224" s="392"/>
      <c r="DOY224" s="363"/>
      <c r="DOZ224" s="363"/>
      <c r="DPD224" s="5"/>
      <c r="DPE224" s="5"/>
      <c r="DPF224" s="5"/>
      <c r="DPH224" s="5"/>
      <c r="DPJ224" s="5"/>
      <c r="DPK224" s="5"/>
      <c r="DPL224" s="5"/>
      <c r="DPM224" s="17"/>
      <c r="DPP224" s="392"/>
      <c r="DPQ224" s="392"/>
      <c r="DPR224" s="392"/>
      <c r="DPS224" s="392"/>
      <c r="DPT224" s="392"/>
      <c r="DPU224" s="392"/>
      <c r="DPV224" s="363"/>
      <c r="DPW224" s="363"/>
      <c r="DQA224" s="5"/>
      <c r="DQB224" s="5"/>
      <c r="DQC224" s="5"/>
      <c r="DQE224" s="5"/>
      <c r="DQG224" s="5"/>
      <c r="DQH224" s="5"/>
      <c r="DQI224" s="5"/>
      <c r="DQJ224" s="17"/>
      <c r="DQM224" s="392"/>
      <c r="DQN224" s="392"/>
      <c r="DQO224" s="392"/>
      <c r="DQP224" s="392"/>
      <c r="DQQ224" s="392"/>
      <c r="DQR224" s="392"/>
      <c r="DQS224" s="363"/>
      <c r="DQT224" s="363"/>
      <c r="DQX224" s="5"/>
      <c r="DQY224" s="5"/>
      <c r="DQZ224" s="5"/>
      <c r="DRB224" s="5"/>
      <c r="DRD224" s="5"/>
      <c r="DRE224" s="5"/>
      <c r="DRF224" s="5"/>
      <c r="DRG224" s="17"/>
      <c r="DRJ224" s="392"/>
      <c r="DRK224" s="392"/>
      <c r="DRL224" s="392"/>
      <c r="DRM224" s="392"/>
      <c r="DRN224" s="392"/>
      <c r="DRO224" s="392"/>
      <c r="DRP224" s="363"/>
      <c r="DRQ224" s="363"/>
      <c r="DRU224" s="5"/>
      <c r="DRV224" s="5"/>
      <c r="DRW224" s="5"/>
      <c r="DRY224" s="5"/>
      <c r="DSA224" s="5"/>
      <c r="DSB224" s="5"/>
      <c r="DSC224" s="5"/>
      <c r="DSD224" s="17"/>
      <c r="DSG224" s="392"/>
      <c r="DSH224" s="392"/>
      <c r="DSI224" s="392"/>
      <c r="DSJ224" s="392"/>
      <c r="DSK224" s="392"/>
      <c r="DSL224" s="392"/>
      <c r="DSM224" s="363"/>
      <c r="DSN224" s="363"/>
      <c r="DSR224" s="5"/>
      <c r="DSS224" s="5"/>
      <c r="DST224" s="5"/>
      <c r="DSV224" s="5"/>
      <c r="DSX224" s="5"/>
      <c r="DSY224" s="5"/>
      <c r="DSZ224" s="5"/>
      <c r="DTA224" s="17"/>
      <c r="DTD224" s="392"/>
      <c r="DTE224" s="392"/>
      <c r="DTF224" s="392"/>
      <c r="DTG224" s="392"/>
      <c r="DTH224" s="392"/>
      <c r="DTI224" s="392"/>
      <c r="DTJ224" s="363"/>
      <c r="DTK224" s="363"/>
      <c r="DTO224" s="5"/>
      <c r="DTP224" s="5"/>
      <c r="DTQ224" s="5"/>
      <c r="DTS224" s="5"/>
      <c r="DTU224" s="5"/>
      <c r="DTV224" s="5"/>
      <c r="DTW224" s="5"/>
      <c r="DTX224" s="17"/>
      <c r="DUA224" s="392"/>
      <c r="DUB224" s="392"/>
      <c r="DUC224" s="392"/>
      <c r="DUD224" s="392"/>
      <c r="DUE224" s="392"/>
      <c r="DUF224" s="392"/>
      <c r="DUG224" s="363"/>
      <c r="DUH224" s="363"/>
      <c r="DUL224" s="5"/>
      <c r="DUM224" s="5"/>
      <c r="DUN224" s="5"/>
      <c r="DUP224" s="5"/>
      <c r="DUR224" s="5"/>
      <c r="DUS224" s="5"/>
      <c r="DUT224" s="5"/>
      <c r="DUU224" s="17"/>
      <c r="DUX224" s="392"/>
      <c r="DUY224" s="392"/>
      <c r="DUZ224" s="392"/>
      <c r="DVA224" s="392"/>
      <c r="DVB224" s="392"/>
      <c r="DVC224" s="392"/>
      <c r="DVD224" s="363"/>
      <c r="DVE224" s="363"/>
      <c r="DVI224" s="5"/>
      <c r="DVJ224" s="5"/>
      <c r="DVK224" s="5"/>
      <c r="DVM224" s="5"/>
      <c r="DVO224" s="5"/>
      <c r="DVP224" s="5"/>
      <c r="DVQ224" s="5"/>
      <c r="DVR224" s="17"/>
      <c r="DVU224" s="392"/>
      <c r="DVV224" s="392"/>
      <c r="DVW224" s="392"/>
      <c r="DVX224" s="392"/>
      <c r="DVY224" s="392"/>
      <c r="DVZ224" s="392"/>
      <c r="DWA224" s="363"/>
      <c r="DWB224" s="363"/>
      <c r="DWF224" s="5"/>
      <c r="DWG224" s="5"/>
      <c r="DWH224" s="5"/>
      <c r="DWJ224" s="5"/>
      <c r="DWL224" s="5"/>
      <c r="DWM224" s="5"/>
      <c r="DWN224" s="5"/>
      <c r="DWO224" s="17"/>
      <c r="DWR224" s="392"/>
      <c r="DWS224" s="392"/>
      <c r="DWT224" s="392"/>
      <c r="DWU224" s="392"/>
      <c r="DWV224" s="392"/>
      <c r="DWW224" s="392"/>
      <c r="DWX224" s="363"/>
      <c r="DWY224" s="363"/>
      <c r="DXC224" s="5"/>
      <c r="DXD224" s="5"/>
      <c r="DXE224" s="5"/>
      <c r="DXG224" s="5"/>
      <c r="DXI224" s="5"/>
      <c r="DXJ224" s="5"/>
      <c r="DXK224" s="5"/>
      <c r="DXL224" s="17"/>
      <c r="DXO224" s="392"/>
      <c r="DXP224" s="392"/>
      <c r="DXQ224" s="392"/>
      <c r="DXR224" s="392"/>
      <c r="DXS224" s="392"/>
      <c r="DXT224" s="392"/>
      <c r="DXU224" s="363"/>
      <c r="DXV224" s="363"/>
      <c r="DXZ224" s="5"/>
      <c r="DYA224" s="5"/>
      <c r="DYB224" s="5"/>
      <c r="DYD224" s="5"/>
      <c r="DYF224" s="5"/>
      <c r="DYG224" s="5"/>
      <c r="DYH224" s="5"/>
      <c r="DYI224" s="17"/>
      <c r="DYL224" s="392"/>
      <c r="DYM224" s="392"/>
      <c r="DYN224" s="392"/>
      <c r="DYO224" s="392"/>
      <c r="DYP224" s="392"/>
      <c r="DYQ224" s="392"/>
      <c r="DYR224" s="363"/>
      <c r="DYS224" s="363"/>
      <c r="DYW224" s="5"/>
      <c r="DYX224" s="5"/>
      <c r="DYY224" s="5"/>
      <c r="DZA224" s="5"/>
      <c r="DZC224" s="5"/>
      <c r="DZD224" s="5"/>
      <c r="DZE224" s="5"/>
      <c r="DZF224" s="17"/>
      <c r="DZI224" s="392"/>
      <c r="DZJ224" s="392"/>
      <c r="DZK224" s="392"/>
      <c r="DZL224" s="392"/>
      <c r="DZM224" s="392"/>
      <c r="DZN224" s="392"/>
      <c r="DZO224" s="363"/>
      <c r="DZP224" s="363"/>
      <c r="DZT224" s="5"/>
      <c r="DZU224" s="5"/>
      <c r="DZV224" s="5"/>
      <c r="DZX224" s="5"/>
      <c r="DZZ224" s="5"/>
      <c r="EAA224" s="5"/>
      <c r="EAB224" s="5"/>
      <c r="EAC224" s="17"/>
      <c r="EAF224" s="392"/>
      <c r="EAG224" s="392"/>
      <c r="EAH224" s="392"/>
      <c r="EAI224" s="392"/>
      <c r="EAJ224" s="392"/>
      <c r="EAK224" s="392"/>
      <c r="EAL224" s="363"/>
      <c r="EAM224" s="363"/>
      <c r="EAQ224" s="5"/>
      <c r="EAR224" s="5"/>
      <c r="EAS224" s="5"/>
      <c r="EAU224" s="5"/>
      <c r="EAW224" s="5"/>
      <c r="EAX224" s="5"/>
      <c r="EAY224" s="5"/>
      <c r="EAZ224" s="17"/>
      <c r="EBC224" s="392"/>
      <c r="EBD224" s="392"/>
      <c r="EBE224" s="392"/>
      <c r="EBF224" s="392"/>
      <c r="EBG224" s="392"/>
      <c r="EBH224" s="392"/>
      <c r="EBI224" s="363"/>
      <c r="EBJ224" s="363"/>
      <c r="EBN224" s="5"/>
      <c r="EBO224" s="5"/>
      <c r="EBP224" s="5"/>
      <c r="EBR224" s="5"/>
      <c r="EBT224" s="5"/>
      <c r="EBU224" s="5"/>
      <c r="EBV224" s="5"/>
      <c r="EBW224" s="17"/>
      <c r="EBZ224" s="392"/>
      <c r="ECA224" s="392"/>
      <c r="ECB224" s="392"/>
      <c r="ECC224" s="392"/>
      <c r="ECD224" s="392"/>
      <c r="ECE224" s="392"/>
      <c r="ECF224" s="363"/>
      <c r="ECG224" s="363"/>
      <c r="ECK224" s="5"/>
      <c r="ECL224" s="5"/>
      <c r="ECM224" s="5"/>
      <c r="ECO224" s="5"/>
      <c r="ECQ224" s="5"/>
      <c r="ECR224" s="5"/>
      <c r="ECS224" s="5"/>
      <c r="ECT224" s="17"/>
      <c r="ECW224" s="392"/>
      <c r="ECX224" s="392"/>
      <c r="ECY224" s="392"/>
      <c r="ECZ224" s="392"/>
      <c r="EDA224" s="392"/>
      <c r="EDB224" s="392"/>
      <c r="EDC224" s="363"/>
      <c r="EDD224" s="363"/>
      <c r="EDH224" s="5"/>
      <c r="EDI224" s="5"/>
      <c r="EDJ224" s="5"/>
      <c r="EDL224" s="5"/>
      <c r="EDN224" s="5"/>
      <c r="EDO224" s="5"/>
      <c r="EDP224" s="5"/>
      <c r="EDQ224" s="17"/>
      <c r="EDT224" s="392"/>
      <c r="EDU224" s="392"/>
      <c r="EDV224" s="392"/>
      <c r="EDW224" s="392"/>
      <c r="EDX224" s="392"/>
      <c r="EDY224" s="392"/>
      <c r="EDZ224" s="363"/>
      <c r="EEA224" s="363"/>
      <c r="EEE224" s="5"/>
      <c r="EEF224" s="5"/>
      <c r="EEG224" s="5"/>
      <c r="EEI224" s="5"/>
      <c r="EEK224" s="5"/>
      <c r="EEL224" s="5"/>
      <c r="EEM224" s="5"/>
      <c r="EEN224" s="17"/>
      <c r="EEQ224" s="392"/>
      <c r="EER224" s="392"/>
      <c r="EES224" s="392"/>
      <c r="EET224" s="392"/>
      <c r="EEU224" s="392"/>
      <c r="EEV224" s="392"/>
      <c r="EEW224" s="363"/>
      <c r="EEX224" s="363"/>
      <c r="EFB224" s="5"/>
      <c r="EFC224" s="5"/>
      <c r="EFD224" s="5"/>
      <c r="EFF224" s="5"/>
      <c r="EFH224" s="5"/>
      <c r="EFI224" s="5"/>
      <c r="EFJ224" s="5"/>
      <c r="EFK224" s="17"/>
      <c r="EFN224" s="392"/>
      <c r="EFO224" s="392"/>
      <c r="EFP224" s="392"/>
      <c r="EFQ224" s="392"/>
      <c r="EFR224" s="392"/>
      <c r="EFS224" s="392"/>
      <c r="EFT224" s="363"/>
      <c r="EFU224" s="363"/>
      <c r="EFY224" s="5"/>
      <c r="EFZ224" s="5"/>
      <c r="EGA224" s="5"/>
      <c r="EGC224" s="5"/>
      <c r="EGE224" s="5"/>
      <c r="EGF224" s="5"/>
      <c r="EGG224" s="5"/>
      <c r="EGH224" s="17"/>
      <c r="EGK224" s="392"/>
      <c r="EGL224" s="392"/>
      <c r="EGM224" s="392"/>
      <c r="EGN224" s="392"/>
      <c r="EGO224" s="392"/>
      <c r="EGP224" s="392"/>
      <c r="EGQ224" s="363"/>
      <c r="EGR224" s="363"/>
      <c r="EGV224" s="5"/>
      <c r="EGW224" s="5"/>
      <c r="EGX224" s="5"/>
      <c r="EGZ224" s="5"/>
      <c r="EHB224" s="5"/>
      <c r="EHC224" s="5"/>
      <c r="EHD224" s="5"/>
      <c r="EHE224" s="17"/>
      <c r="EHH224" s="392"/>
      <c r="EHI224" s="392"/>
      <c r="EHJ224" s="392"/>
      <c r="EHK224" s="392"/>
      <c r="EHL224" s="392"/>
      <c r="EHM224" s="392"/>
      <c r="EHN224" s="363"/>
      <c r="EHO224" s="363"/>
      <c r="EHS224" s="5"/>
      <c r="EHT224" s="5"/>
      <c r="EHU224" s="5"/>
      <c r="EHW224" s="5"/>
      <c r="EHY224" s="5"/>
      <c r="EHZ224" s="5"/>
      <c r="EIA224" s="5"/>
      <c r="EIB224" s="17"/>
      <c r="EIE224" s="392"/>
      <c r="EIF224" s="392"/>
      <c r="EIG224" s="392"/>
      <c r="EIH224" s="392"/>
      <c r="EII224" s="392"/>
      <c r="EIJ224" s="392"/>
      <c r="EIK224" s="363"/>
      <c r="EIL224" s="363"/>
      <c r="EIP224" s="5"/>
      <c r="EIQ224" s="5"/>
      <c r="EIR224" s="5"/>
      <c r="EIT224" s="5"/>
      <c r="EIV224" s="5"/>
      <c r="EIW224" s="5"/>
      <c r="EIX224" s="5"/>
      <c r="EIY224" s="17"/>
      <c r="EJB224" s="392"/>
      <c r="EJC224" s="392"/>
      <c r="EJD224" s="392"/>
      <c r="EJE224" s="392"/>
      <c r="EJF224" s="392"/>
      <c r="EJG224" s="392"/>
      <c r="EJH224" s="363"/>
      <c r="EJI224" s="363"/>
      <c r="EJM224" s="5"/>
      <c r="EJN224" s="5"/>
      <c r="EJO224" s="5"/>
      <c r="EJQ224" s="5"/>
      <c r="EJS224" s="5"/>
      <c r="EJT224" s="5"/>
      <c r="EJU224" s="5"/>
      <c r="EJV224" s="17"/>
      <c r="EJY224" s="392"/>
      <c r="EJZ224" s="392"/>
      <c r="EKA224" s="392"/>
      <c r="EKB224" s="392"/>
      <c r="EKC224" s="392"/>
      <c r="EKD224" s="392"/>
      <c r="EKE224" s="363"/>
      <c r="EKF224" s="363"/>
      <c r="EKJ224" s="5"/>
      <c r="EKK224" s="5"/>
      <c r="EKL224" s="5"/>
      <c r="EKN224" s="5"/>
      <c r="EKP224" s="5"/>
      <c r="EKQ224" s="5"/>
      <c r="EKR224" s="5"/>
      <c r="EKS224" s="17"/>
      <c r="EKV224" s="392"/>
      <c r="EKW224" s="392"/>
      <c r="EKX224" s="392"/>
      <c r="EKY224" s="392"/>
      <c r="EKZ224" s="392"/>
      <c r="ELA224" s="392"/>
      <c r="ELB224" s="363"/>
      <c r="ELC224" s="363"/>
      <c r="ELG224" s="5"/>
      <c r="ELH224" s="5"/>
      <c r="ELI224" s="5"/>
      <c r="ELK224" s="5"/>
      <c r="ELM224" s="5"/>
      <c r="ELN224" s="5"/>
      <c r="ELO224" s="5"/>
      <c r="ELP224" s="17"/>
      <c r="ELS224" s="392"/>
      <c r="ELT224" s="392"/>
      <c r="ELU224" s="392"/>
      <c r="ELV224" s="392"/>
      <c r="ELW224" s="392"/>
      <c r="ELX224" s="392"/>
      <c r="ELY224" s="363"/>
      <c r="ELZ224" s="363"/>
      <c r="EMD224" s="5"/>
      <c r="EME224" s="5"/>
      <c r="EMF224" s="5"/>
      <c r="EMH224" s="5"/>
      <c r="EMJ224" s="5"/>
      <c r="EMK224" s="5"/>
      <c r="EML224" s="5"/>
      <c r="EMM224" s="17"/>
      <c r="EMP224" s="392"/>
      <c r="EMQ224" s="392"/>
      <c r="EMR224" s="392"/>
      <c r="EMS224" s="392"/>
      <c r="EMT224" s="392"/>
      <c r="EMU224" s="392"/>
      <c r="EMV224" s="363"/>
      <c r="EMW224" s="363"/>
      <c r="ENA224" s="5"/>
      <c r="ENB224" s="5"/>
      <c r="ENC224" s="5"/>
      <c r="ENE224" s="5"/>
      <c r="ENG224" s="5"/>
      <c r="ENH224" s="5"/>
      <c r="ENI224" s="5"/>
      <c r="ENJ224" s="17"/>
      <c r="ENM224" s="392"/>
      <c r="ENN224" s="392"/>
      <c r="ENO224" s="392"/>
      <c r="ENP224" s="392"/>
      <c r="ENQ224" s="392"/>
      <c r="ENR224" s="392"/>
      <c r="ENS224" s="363"/>
      <c r="ENT224" s="363"/>
      <c r="ENX224" s="5"/>
      <c r="ENY224" s="5"/>
      <c r="ENZ224" s="5"/>
      <c r="EOB224" s="5"/>
      <c r="EOD224" s="5"/>
      <c r="EOE224" s="5"/>
      <c r="EOF224" s="5"/>
      <c r="EOG224" s="17"/>
      <c r="EOJ224" s="392"/>
      <c r="EOK224" s="392"/>
      <c r="EOL224" s="392"/>
      <c r="EOM224" s="392"/>
      <c r="EON224" s="392"/>
      <c r="EOO224" s="392"/>
      <c r="EOP224" s="363"/>
      <c r="EOQ224" s="363"/>
      <c r="EOU224" s="5"/>
      <c r="EOV224" s="5"/>
      <c r="EOW224" s="5"/>
      <c r="EOY224" s="5"/>
      <c r="EPA224" s="5"/>
      <c r="EPB224" s="5"/>
      <c r="EPC224" s="5"/>
      <c r="EPD224" s="17"/>
      <c r="EPG224" s="392"/>
      <c r="EPH224" s="392"/>
      <c r="EPI224" s="392"/>
      <c r="EPJ224" s="392"/>
      <c r="EPK224" s="392"/>
      <c r="EPL224" s="392"/>
      <c r="EPM224" s="363"/>
      <c r="EPN224" s="363"/>
      <c r="EPR224" s="5"/>
      <c r="EPS224" s="5"/>
      <c r="EPT224" s="5"/>
      <c r="EPV224" s="5"/>
      <c r="EPX224" s="5"/>
      <c r="EPY224" s="5"/>
      <c r="EPZ224" s="5"/>
      <c r="EQA224" s="17"/>
      <c r="EQD224" s="392"/>
      <c r="EQE224" s="392"/>
      <c r="EQF224" s="392"/>
      <c r="EQG224" s="392"/>
      <c r="EQH224" s="392"/>
      <c r="EQI224" s="392"/>
      <c r="EQJ224" s="363"/>
      <c r="EQK224" s="363"/>
      <c r="EQO224" s="5"/>
      <c r="EQP224" s="5"/>
      <c r="EQQ224" s="5"/>
      <c r="EQS224" s="5"/>
      <c r="EQU224" s="5"/>
      <c r="EQV224" s="5"/>
      <c r="EQW224" s="5"/>
      <c r="EQX224" s="17"/>
      <c r="ERA224" s="392"/>
      <c r="ERB224" s="392"/>
      <c r="ERC224" s="392"/>
      <c r="ERD224" s="392"/>
      <c r="ERE224" s="392"/>
      <c r="ERF224" s="392"/>
      <c r="ERG224" s="363"/>
      <c r="ERH224" s="363"/>
      <c r="ERL224" s="5"/>
      <c r="ERM224" s="5"/>
      <c r="ERN224" s="5"/>
      <c r="ERP224" s="5"/>
      <c r="ERR224" s="5"/>
      <c r="ERS224" s="5"/>
      <c r="ERT224" s="5"/>
      <c r="ERU224" s="17"/>
      <c r="ERX224" s="392"/>
      <c r="ERY224" s="392"/>
      <c r="ERZ224" s="392"/>
      <c r="ESA224" s="392"/>
      <c r="ESB224" s="392"/>
      <c r="ESC224" s="392"/>
      <c r="ESD224" s="363"/>
      <c r="ESE224" s="363"/>
      <c r="ESI224" s="5"/>
      <c r="ESJ224" s="5"/>
      <c r="ESK224" s="5"/>
      <c r="ESM224" s="5"/>
      <c r="ESO224" s="5"/>
      <c r="ESP224" s="5"/>
      <c r="ESQ224" s="5"/>
      <c r="ESR224" s="17"/>
      <c r="ESU224" s="392"/>
      <c r="ESV224" s="392"/>
      <c r="ESW224" s="392"/>
      <c r="ESX224" s="392"/>
      <c r="ESY224" s="392"/>
      <c r="ESZ224" s="392"/>
      <c r="ETA224" s="363"/>
      <c r="ETB224" s="363"/>
      <c r="ETF224" s="5"/>
      <c r="ETG224" s="5"/>
      <c r="ETH224" s="5"/>
      <c r="ETJ224" s="5"/>
      <c r="ETL224" s="5"/>
      <c r="ETM224" s="5"/>
      <c r="ETN224" s="5"/>
      <c r="ETO224" s="17"/>
      <c r="ETR224" s="392"/>
      <c r="ETS224" s="392"/>
      <c r="ETT224" s="392"/>
      <c r="ETU224" s="392"/>
      <c r="ETV224" s="392"/>
      <c r="ETW224" s="392"/>
      <c r="ETX224" s="363"/>
      <c r="ETY224" s="363"/>
      <c r="EUC224" s="5"/>
      <c r="EUD224" s="5"/>
      <c r="EUE224" s="5"/>
      <c r="EUG224" s="5"/>
      <c r="EUI224" s="5"/>
      <c r="EUJ224" s="5"/>
      <c r="EUK224" s="5"/>
      <c r="EUL224" s="17"/>
      <c r="EUO224" s="392"/>
      <c r="EUP224" s="392"/>
      <c r="EUQ224" s="392"/>
      <c r="EUR224" s="392"/>
      <c r="EUS224" s="392"/>
      <c r="EUT224" s="392"/>
      <c r="EUU224" s="363"/>
      <c r="EUV224" s="363"/>
      <c r="EUZ224" s="5"/>
      <c r="EVA224" s="5"/>
      <c r="EVB224" s="5"/>
      <c r="EVD224" s="5"/>
      <c r="EVF224" s="5"/>
      <c r="EVG224" s="5"/>
      <c r="EVH224" s="5"/>
      <c r="EVI224" s="17"/>
      <c r="EVL224" s="392"/>
      <c r="EVM224" s="392"/>
      <c r="EVN224" s="392"/>
      <c r="EVO224" s="392"/>
      <c r="EVP224" s="392"/>
      <c r="EVQ224" s="392"/>
      <c r="EVR224" s="363"/>
      <c r="EVS224" s="363"/>
      <c r="EVW224" s="5"/>
      <c r="EVX224" s="5"/>
      <c r="EVY224" s="5"/>
      <c r="EWA224" s="5"/>
      <c r="EWC224" s="5"/>
      <c r="EWD224" s="5"/>
      <c r="EWE224" s="5"/>
      <c r="EWF224" s="17"/>
      <c r="EWI224" s="392"/>
      <c r="EWJ224" s="392"/>
      <c r="EWK224" s="392"/>
      <c r="EWL224" s="392"/>
      <c r="EWM224" s="392"/>
      <c r="EWN224" s="392"/>
      <c r="EWO224" s="363"/>
      <c r="EWP224" s="363"/>
      <c r="EWT224" s="5"/>
      <c r="EWU224" s="5"/>
      <c r="EWV224" s="5"/>
      <c r="EWX224" s="5"/>
      <c r="EWZ224" s="5"/>
      <c r="EXA224" s="5"/>
      <c r="EXB224" s="5"/>
      <c r="EXC224" s="17"/>
      <c r="EXF224" s="392"/>
      <c r="EXG224" s="392"/>
      <c r="EXH224" s="392"/>
      <c r="EXI224" s="392"/>
      <c r="EXJ224" s="392"/>
      <c r="EXK224" s="392"/>
      <c r="EXL224" s="363"/>
      <c r="EXM224" s="363"/>
      <c r="EXQ224" s="5"/>
      <c r="EXR224" s="5"/>
      <c r="EXS224" s="5"/>
      <c r="EXU224" s="5"/>
      <c r="EXW224" s="5"/>
      <c r="EXX224" s="5"/>
      <c r="EXY224" s="5"/>
      <c r="EXZ224" s="17"/>
      <c r="EYC224" s="392"/>
      <c r="EYD224" s="392"/>
      <c r="EYE224" s="392"/>
      <c r="EYF224" s="392"/>
      <c r="EYG224" s="392"/>
      <c r="EYH224" s="392"/>
      <c r="EYI224" s="363"/>
      <c r="EYJ224" s="363"/>
      <c r="EYN224" s="5"/>
      <c r="EYO224" s="5"/>
      <c r="EYP224" s="5"/>
      <c r="EYR224" s="5"/>
      <c r="EYT224" s="5"/>
      <c r="EYU224" s="5"/>
      <c r="EYV224" s="5"/>
      <c r="EYW224" s="17"/>
      <c r="EYZ224" s="392"/>
      <c r="EZA224" s="392"/>
      <c r="EZB224" s="392"/>
      <c r="EZC224" s="392"/>
      <c r="EZD224" s="392"/>
      <c r="EZE224" s="392"/>
      <c r="EZF224" s="363"/>
      <c r="EZG224" s="363"/>
      <c r="EZK224" s="5"/>
      <c r="EZL224" s="5"/>
      <c r="EZM224" s="5"/>
      <c r="EZO224" s="5"/>
      <c r="EZQ224" s="5"/>
      <c r="EZR224" s="5"/>
      <c r="EZS224" s="5"/>
      <c r="EZT224" s="17"/>
      <c r="EZW224" s="392"/>
      <c r="EZX224" s="392"/>
      <c r="EZY224" s="392"/>
      <c r="EZZ224" s="392"/>
      <c r="FAA224" s="392"/>
      <c r="FAB224" s="392"/>
      <c r="FAC224" s="363"/>
      <c r="FAD224" s="363"/>
      <c r="FAH224" s="5"/>
      <c r="FAI224" s="5"/>
      <c r="FAJ224" s="5"/>
      <c r="FAL224" s="5"/>
      <c r="FAN224" s="5"/>
      <c r="FAO224" s="5"/>
      <c r="FAP224" s="5"/>
      <c r="FAQ224" s="17"/>
      <c r="FAT224" s="392"/>
      <c r="FAU224" s="392"/>
      <c r="FAV224" s="392"/>
      <c r="FAW224" s="392"/>
      <c r="FAX224" s="392"/>
      <c r="FAY224" s="392"/>
      <c r="FAZ224" s="363"/>
      <c r="FBA224" s="363"/>
      <c r="FBE224" s="5"/>
      <c r="FBF224" s="5"/>
      <c r="FBG224" s="5"/>
      <c r="FBI224" s="5"/>
      <c r="FBK224" s="5"/>
      <c r="FBL224" s="5"/>
      <c r="FBM224" s="5"/>
      <c r="FBN224" s="17"/>
      <c r="FBQ224" s="392"/>
      <c r="FBR224" s="392"/>
      <c r="FBS224" s="392"/>
      <c r="FBT224" s="392"/>
      <c r="FBU224" s="392"/>
      <c r="FBV224" s="392"/>
      <c r="FBW224" s="363"/>
      <c r="FBX224" s="363"/>
      <c r="FCB224" s="5"/>
      <c r="FCC224" s="5"/>
      <c r="FCD224" s="5"/>
      <c r="FCF224" s="5"/>
      <c r="FCH224" s="5"/>
      <c r="FCI224" s="5"/>
      <c r="FCJ224" s="5"/>
      <c r="FCK224" s="17"/>
      <c r="FCN224" s="392"/>
      <c r="FCO224" s="392"/>
      <c r="FCP224" s="392"/>
      <c r="FCQ224" s="392"/>
      <c r="FCR224" s="392"/>
      <c r="FCS224" s="392"/>
      <c r="FCT224" s="363"/>
      <c r="FCU224" s="363"/>
      <c r="FCY224" s="5"/>
      <c r="FCZ224" s="5"/>
      <c r="FDA224" s="5"/>
      <c r="FDC224" s="5"/>
      <c r="FDE224" s="5"/>
      <c r="FDF224" s="5"/>
      <c r="FDG224" s="5"/>
      <c r="FDH224" s="17"/>
      <c r="FDK224" s="392"/>
      <c r="FDL224" s="392"/>
      <c r="FDM224" s="392"/>
      <c r="FDN224" s="392"/>
      <c r="FDO224" s="392"/>
      <c r="FDP224" s="392"/>
      <c r="FDQ224" s="363"/>
      <c r="FDR224" s="363"/>
      <c r="FDV224" s="5"/>
      <c r="FDW224" s="5"/>
      <c r="FDX224" s="5"/>
      <c r="FDZ224" s="5"/>
      <c r="FEB224" s="5"/>
      <c r="FEC224" s="5"/>
      <c r="FED224" s="5"/>
      <c r="FEE224" s="17"/>
      <c r="FEH224" s="392"/>
      <c r="FEI224" s="392"/>
      <c r="FEJ224" s="392"/>
      <c r="FEK224" s="392"/>
      <c r="FEL224" s="392"/>
      <c r="FEM224" s="392"/>
      <c r="FEN224" s="363"/>
      <c r="FEO224" s="363"/>
      <c r="FES224" s="5"/>
      <c r="FET224" s="5"/>
      <c r="FEU224" s="5"/>
      <c r="FEW224" s="5"/>
      <c r="FEY224" s="5"/>
      <c r="FEZ224" s="5"/>
      <c r="FFA224" s="5"/>
      <c r="FFB224" s="17"/>
      <c r="FFE224" s="392"/>
      <c r="FFF224" s="392"/>
      <c r="FFG224" s="392"/>
      <c r="FFH224" s="392"/>
      <c r="FFI224" s="392"/>
      <c r="FFJ224" s="392"/>
      <c r="FFK224" s="363"/>
      <c r="FFL224" s="363"/>
      <c r="FFP224" s="5"/>
      <c r="FFQ224" s="5"/>
      <c r="FFR224" s="5"/>
      <c r="FFT224" s="5"/>
      <c r="FFV224" s="5"/>
      <c r="FFW224" s="5"/>
      <c r="FFX224" s="5"/>
      <c r="FFY224" s="17"/>
      <c r="FGB224" s="392"/>
      <c r="FGC224" s="392"/>
      <c r="FGD224" s="392"/>
      <c r="FGE224" s="392"/>
      <c r="FGF224" s="392"/>
      <c r="FGG224" s="392"/>
      <c r="FGH224" s="363"/>
      <c r="FGI224" s="363"/>
      <c r="FGM224" s="5"/>
      <c r="FGN224" s="5"/>
      <c r="FGO224" s="5"/>
      <c r="FGQ224" s="5"/>
      <c r="FGS224" s="5"/>
      <c r="FGT224" s="5"/>
      <c r="FGU224" s="5"/>
      <c r="FGV224" s="17"/>
      <c r="FGY224" s="392"/>
      <c r="FGZ224" s="392"/>
      <c r="FHA224" s="392"/>
      <c r="FHB224" s="392"/>
      <c r="FHC224" s="392"/>
      <c r="FHD224" s="392"/>
      <c r="FHE224" s="363"/>
      <c r="FHF224" s="363"/>
      <c r="FHJ224" s="5"/>
      <c r="FHK224" s="5"/>
      <c r="FHL224" s="5"/>
      <c r="FHN224" s="5"/>
      <c r="FHP224" s="5"/>
      <c r="FHQ224" s="5"/>
      <c r="FHR224" s="5"/>
      <c r="FHS224" s="17"/>
      <c r="FHV224" s="392"/>
      <c r="FHW224" s="392"/>
      <c r="FHX224" s="392"/>
      <c r="FHY224" s="392"/>
      <c r="FHZ224" s="392"/>
      <c r="FIA224" s="392"/>
      <c r="FIB224" s="363"/>
      <c r="FIC224" s="363"/>
      <c r="FIG224" s="5"/>
      <c r="FIH224" s="5"/>
      <c r="FII224" s="5"/>
      <c r="FIK224" s="5"/>
      <c r="FIM224" s="5"/>
      <c r="FIN224" s="5"/>
      <c r="FIO224" s="5"/>
      <c r="FIP224" s="17"/>
      <c r="FIS224" s="392"/>
      <c r="FIT224" s="392"/>
      <c r="FIU224" s="392"/>
      <c r="FIV224" s="392"/>
      <c r="FIW224" s="392"/>
      <c r="FIX224" s="392"/>
      <c r="FIY224" s="363"/>
      <c r="FIZ224" s="363"/>
      <c r="FJD224" s="5"/>
      <c r="FJE224" s="5"/>
      <c r="FJF224" s="5"/>
      <c r="FJH224" s="5"/>
      <c r="FJJ224" s="5"/>
      <c r="FJK224" s="5"/>
      <c r="FJL224" s="5"/>
      <c r="FJM224" s="17"/>
      <c r="FJP224" s="392"/>
      <c r="FJQ224" s="392"/>
      <c r="FJR224" s="392"/>
      <c r="FJS224" s="392"/>
      <c r="FJT224" s="392"/>
      <c r="FJU224" s="392"/>
      <c r="FJV224" s="363"/>
      <c r="FJW224" s="363"/>
      <c r="FKA224" s="5"/>
      <c r="FKB224" s="5"/>
      <c r="FKC224" s="5"/>
      <c r="FKE224" s="5"/>
      <c r="FKG224" s="5"/>
      <c r="FKH224" s="5"/>
      <c r="FKI224" s="5"/>
      <c r="FKJ224" s="17"/>
      <c r="FKM224" s="392"/>
      <c r="FKN224" s="392"/>
      <c r="FKO224" s="392"/>
      <c r="FKP224" s="392"/>
      <c r="FKQ224" s="392"/>
      <c r="FKR224" s="392"/>
      <c r="FKS224" s="363"/>
      <c r="FKT224" s="363"/>
      <c r="FKX224" s="5"/>
      <c r="FKY224" s="5"/>
      <c r="FKZ224" s="5"/>
      <c r="FLB224" s="5"/>
      <c r="FLD224" s="5"/>
      <c r="FLE224" s="5"/>
      <c r="FLF224" s="5"/>
      <c r="FLG224" s="17"/>
      <c r="FLJ224" s="392"/>
      <c r="FLK224" s="392"/>
      <c r="FLL224" s="392"/>
      <c r="FLM224" s="392"/>
      <c r="FLN224" s="392"/>
      <c r="FLO224" s="392"/>
      <c r="FLP224" s="363"/>
      <c r="FLQ224" s="363"/>
      <c r="FLU224" s="5"/>
      <c r="FLV224" s="5"/>
      <c r="FLW224" s="5"/>
      <c r="FLY224" s="5"/>
      <c r="FMA224" s="5"/>
      <c r="FMB224" s="5"/>
      <c r="FMC224" s="5"/>
      <c r="FMD224" s="17"/>
      <c r="FMG224" s="392"/>
      <c r="FMH224" s="392"/>
      <c r="FMI224" s="392"/>
      <c r="FMJ224" s="392"/>
      <c r="FMK224" s="392"/>
      <c r="FML224" s="392"/>
      <c r="FMM224" s="363"/>
      <c r="FMN224" s="363"/>
      <c r="FMR224" s="5"/>
      <c r="FMS224" s="5"/>
      <c r="FMT224" s="5"/>
      <c r="FMV224" s="5"/>
      <c r="FMX224" s="5"/>
      <c r="FMY224" s="5"/>
      <c r="FMZ224" s="5"/>
      <c r="FNA224" s="17"/>
      <c r="FND224" s="392"/>
      <c r="FNE224" s="392"/>
      <c r="FNF224" s="392"/>
      <c r="FNG224" s="392"/>
      <c r="FNH224" s="392"/>
      <c r="FNI224" s="392"/>
      <c r="FNJ224" s="363"/>
      <c r="FNK224" s="363"/>
      <c r="FNO224" s="5"/>
      <c r="FNP224" s="5"/>
      <c r="FNQ224" s="5"/>
      <c r="FNS224" s="5"/>
      <c r="FNU224" s="5"/>
      <c r="FNV224" s="5"/>
      <c r="FNW224" s="5"/>
      <c r="FNX224" s="17"/>
      <c r="FOA224" s="392"/>
      <c r="FOB224" s="392"/>
      <c r="FOC224" s="392"/>
      <c r="FOD224" s="392"/>
      <c r="FOE224" s="392"/>
      <c r="FOF224" s="392"/>
      <c r="FOG224" s="363"/>
      <c r="FOH224" s="363"/>
      <c r="FOL224" s="5"/>
      <c r="FOM224" s="5"/>
      <c r="FON224" s="5"/>
      <c r="FOP224" s="5"/>
      <c r="FOR224" s="5"/>
      <c r="FOS224" s="5"/>
      <c r="FOT224" s="5"/>
      <c r="FOU224" s="17"/>
      <c r="FOX224" s="392"/>
      <c r="FOY224" s="392"/>
      <c r="FOZ224" s="392"/>
      <c r="FPA224" s="392"/>
      <c r="FPB224" s="392"/>
      <c r="FPC224" s="392"/>
      <c r="FPD224" s="363"/>
      <c r="FPE224" s="363"/>
      <c r="FPI224" s="5"/>
      <c r="FPJ224" s="5"/>
      <c r="FPK224" s="5"/>
      <c r="FPM224" s="5"/>
      <c r="FPO224" s="5"/>
      <c r="FPP224" s="5"/>
      <c r="FPQ224" s="5"/>
      <c r="FPR224" s="17"/>
      <c r="FPU224" s="392"/>
      <c r="FPV224" s="392"/>
      <c r="FPW224" s="392"/>
      <c r="FPX224" s="392"/>
      <c r="FPY224" s="392"/>
      <c r="FPZ224" s="392"/>
      <c r="FQA224" s="363"/>
      <c r="FQB224" s="363"/>
      <c r="FQF224" s="5"/>
      <c r="FQG224" s="5"/>
      <c r="FQH224" s="5"/>
      <c r="FQJ224" s="5"/>
      <c r="FQL224" s="5"/>
      <c r="FQM224" s="5"/>
      <c r="FQN224" s="5"/>
      <c r="FQO224" s="17"/>
      <c r="FQR224" s="392"/>
      <c r="FQS224" s="392"/>
      <c r="FQT224" s="392"/>
      <c r="FQU224" s="392"/>
      <c r="FQV224" s="392"/>
      <c r="FQW224" s="392"/>
      <c r="FQX224" s="363"/>
      <c r="FQY224" s="363"/>
      <c r="FRC224" s="5"/>
      <c r="FRD224" s="5"/>
      <c r="FRE224" s="5"/>
      <c r="FRG224" s="5"/>
      <c r="FRI224" s="5"/>
      <c r="FRJ224" s="5"/>
      <c r="FRK224" s="5"/>
      <c r="FRL224" s="17"/>
      <c r="FRO224" s="392"/>
      <c r="FRP224" s="392"/>
      <c r="FRQ224" s="392"/>
      <c r="FRR224" s="392"/>
      <c r="FRS224" s="392"/>
      <c r="FRT224" s="392"/>
      <c r="FRU224" s="363"/>
      <c r="FRV224" s="363"/>
      <c r="FRZ224" s="5"/>
      <c r="FSA224" s="5"/>
      <c r="FSB224" s="5"/>
      <c r="FSD224" s="5"/>
      <c r="FSF224" s="5"/>
      <c r="FSG224" s="5"/>
      <c r="FSH224" s="5"/>
      <c r="FSI224" s="17"/>
      <c r="FSL224" s="392"/>
      <c r="FSM224" s="392"/>
      <c r="FSN224" s="392"/>
      <c r="FSO224" s="392"/>
      <c r="FSP224" s="392"/>
      <c r="FSQ224" s="392"/>
      <c r="FSR224" s="363"/>
      <c r="FSS224" s="363"/>
      <c r="FSW224" s="5"/>
      <c r="FSX224" s="5"/>
      <c r="FSY224" s="5"/>
      <c r="FTA224" s="5"/>
      <c r="FTC224" s="5"/>
      <c r="FTD224" s="5"/>
      <c r="FTE224" s="5"/>
      <c r="FTF224" s="17"/>
      <c r="FTI224" s="392"/>
      <c r="FTJ224" s="392"/>
      <c r="FTK224" s="392"/>
      <c r="FTL224" s="392"/>
      <c r="FTM224" s="392"/>
      <c r="FTN224" s="392"/>
      <c r="FTO224" s="363"/>
      <c r="FTP224" s="363"/>
      <c r="FTT224" s="5"/>
      <c r="FTU224" s="5"/>
      <c r="FTV224" s="5"/>
      <c r="FTX224" s="5"/>
      <c r="FTZ224" s="5"/>
      <c r="FUA224" s="5"/>
      <c r="FUB224" s="5"/>
      <c r="FUC224" s="17"/>
      <c r="FUF224" s="392"/>
      <c r="FUG224" s="392"/>
      <c r="FUH224" s="392"/>
      <c r="FUI224" s="392"/>
      <c r="FUJ224" s="392"/>
      <c r="FUK224" s="392"/>
      <c r="FUL224" s="363"/>
      <c r="FUM224" s="363"/>
      <c r="FUQ224" s="5"/>
      <c r="FUR224" s="5"/>
      <c r="FUS224" s="5"/>
      <c r="FUU224" s="5"/>
      <c r="FUW224" s="5"/>
      <c r="FUX224" s="5"/>
      <c r="FUY224" s="5"/>
      <c r="FUZ224" s="17"/>
      <c r="FVC224" s="392"/>
      <c r="FVD224" s="392"/>
      <c r="FVE224" s="392"/>
      <c r="FVF224" s="392"/>
      <c r="FVG224" s="392"/>
      <c r="FVH224" s="392"/>
      <c r="FVI224" s="363"/>
      <c r="FVJ224" s="363"/>
      <c r="FVN224" s="5"/>
      <c r="FVO224" s="5"/>
      <c r="FVP224" s="5"/>
      <c r="FVR224" s="5"/>
      <c r="FVT224" s="5"/>
      <c r="FVU224" s="5"/>
      <c r="FVV224" s="5"/>
      <c r="FVW224" s="17"/>
      <c r="FVZ224" s="392"/>
      <c r="FWA224" s="392"/>
      <c r="FWB224" s="392"/>
      <c r="FWC224" s="392"/>
      <c r="FWD224" s="392"/>
      <c r="FWE224" s="392"/>
      <c r="FWF224" s="363"/>
      <c r="FWG224" s="363"/>
      <c r="FWK224" s="5"/>
      <c r="FWL224" s="5"/>
      <c r="FWM224" s="5"/>
      <c r="FWO224" s="5"/>
      <c r="FWQ224" s="5"/>
      <c r="FWR224" s="5"/>
      <c r="FWS224" s="5"/>
      <c r="FWT224" s="17"/>
      <c r="FWW224" s="392"/>
      <c r="FWX224" s="392"/>
      <c r="FWY224" s="392"/>
      <c r="FWZ224" s="392"/>
      <c r="FXA224" s="392"/>
      <c r="FXB224" s="392"/>
      <c r="FXC224" s="363"/>
      <c r="FXD224" s="363"/>
      <c r="FXH224" s="5"/>
      <c r="FXI224" s="5"/>
      <c r="FXJ224" s="5"/>
      <c r="FXL224" s="5"/>
      <c r="FXN224" s="5"/>
      <c r="FXO224" s="5"/>
      <c r="FXP224" s="5"/>
      <c r="FXQ224" s="17"/>
      <c r="FXT224" s="392"/>
      <c r="FXU224" s="392"/>
      <c r="FXV224" s="392"/>
      <c r="FXW224" s="392"/>
      <c r="FXX224" s="392"/>
      <c r="FXY224" s="392"/>
      <c r="FXZ224" s="363"/>
      <c r="FYA224" s="363"/>
      <c r="FYE224" s="5"/>
      <c r="FYF224" s="5"/>
      <c r="FYG224" s="5"/>
      <c r="FYI224" s="5"/>
      <c r="FYK224" s="5"/>
      <c r="FYL224" s="5"/>
      <c r="FYM224" s="5"/>
      <c r="FYN224" s="17"/>
      <c r="FYQ224" s="392"/>
      <c r="FYR224" s="392"/>
      <c r="FYS224" s="392"/>
      <c r="FYT224" s="392"/>
      <c r="FYU224" s="392"/>
      <c r="FYV224" s="392"/>
      <c r="FYW224" s="363"/>
      <c r="FYX224" s="363"/>
      <c r="FZB224" s="5"/>
      <c r="FZC224" s="5"/>
      <c r="FZD224" s="5"/>
      <c r="FZF224" s="5"/>
      <c r="FZH224" s="5"/>
      <c r="FZI224" s="5"/>
      <c r="FZJ224" s="5"/>
      <c r="FZK224" s="17"/>
      <c r="FZN224" s="392"/>
      <c r="FZO224" s="392"/>
      <c r="FZP224" s="392"/>
      <c r="FZQ224" s="392"/>
      <c r="FZR224" s="392"/>
      <c r="FZS224" s="392"/>
      <c r="FZT224" s="363"/>
      <c r="FZU224" s="363"/>
      <c r="FZY224" s="5"/>
      <c r="FZZ224" s="5"/>
      <c r="GAA224" s="5"/>
      <c r="GAC224" s="5"/>
      <c r="GAE224" s="5"/>
      <c r="GAF224" s="5"/>
      <c r="GAG224" s="5"/>
      <c r="GAH224" s="17"/>
      <c r="GAK224" s="392"/>
      <c r="GAL224" s="392"/>
      <c r="GAM224" s="392"/>
      <c r="GAN224" s="392"/>
      <c r="GAO224" s="392"/>
      <c r="GAP224" s="392"/>
      <c r="GAQ224" s="363"/>
      <c r="GAR224" s="363"/>
      <c r="GAV224" s="5"/>
      <c r="GAW224" s="5"/>
      <c r="GAX224" s="5"/>
      <c r="GAZ224" s="5"/>
      <c r="GBB224" s="5"/>
      <c r="GBC224" s="5"/>
      <c r="GBD224" s="5"/>
      <c r="GBE224" s="17"/>
      <c r="GBH224" s="392"/>
      <c r="GBI224" s="392"/>
      <c r="GBJ224" s="392"/>
      <c r="GBK224" s="392"/>
      <c r="GBL224" s="392"/>
      <c r="GBM224" s="392"/>
      <c r="GBN224" s="363"/>
      <c r="GBO224" s="363"/>
      <c r="GBS224" s="5"/>
      <c r="GBT224" s="5"/>
      <c r="GBU224" s="5"/>
      <c r="GBW224" s="5"/>
      <c r="GBY224" s="5"/>
      <c r="GBZ224" s="5"/>
      <c r="GCA224" s="5"/>
      <c r="GCB224" s="17"/>
      <c r="GCE224" s="392"/>
      <c r="GCF224" s="392"/>
      <c r="GCG224" s="392"/>
      <c r="GCH224" s="392"/>
      <c r="GCI224" s="392"/>
      <c r="GCJ224" s="392"/>
      <c r="GCK224" s="363"/>
      <c r="GCL224" s="363"/>
      <c r="GCP224" s="5"/>
      <c r="GCQ224" s="5"/>
      <c r="GCR224" s="5"/>
      <c r="GCT224" s="5"/>
      <c r="GCV224" s="5"/>
      <c r="GCW224" s="5"/>
      <c r="GCX224" s="5"/>
      <c r="GCY224" s="17"/>
      <c r="GDB224" s="392"/>
      <c r="GDC224" s="392"/>
      <c r="GDD224" s="392"/>
      <c r="GDE224" s="392"/>
      <c r="GDF224" s="392"/>
      <c r="GDG224" s="392"/>
      <c r="GDH224" s="363"/>
      <c r="GDI224" s="363"/>
      <c r="GDM224" s="5"/>
      <c r="GDN224" s="5"/>
      <c r="GDO224" s="5"/>
      <c r="GDQ224" s="5"/>
      <c r="GDS224" s="5"/>
      <c r="GDT224" s="5"/>
      <c r="GDU224" s="5"/>
      <c r="GDV224" s="17"/>
      <c r="GDY224" s="392"/>
      <c r="GDZ224" s="392"/>
      <c r="GEA224" s="392"/>
      <c r="GEB224" s="392"/>
      <c r="GEC224" s="392"/>
      <c r="GED224" s="392"/>
      <c r="GEE224" s="363"/>
      <c r="GEF224" s="363"/>
      <c r="GEJ224" s="5"/>
      <c r="GEK224" s="5"/>
      <c r="GEL224" s="5"/>
      <c r="GEN224" s="5"/>
      <c r="GEP224" s="5"/>
      <c r="GEQ224" s="5"/>
      <c r="GER224" s="5"/>
      <c r="GES224" s="17"/>
      <c r="GEV224" s="392"/>
      <c r="GEW224" s="392"/>
      <c r="GEX224" s="392"/>
      <c r="GEY224" s="392"/>
      <c r="GEZ224" s="392"/>
      <c r="GFA224" s="392"/>
      <c r="GFB224" s="363"/>
      <c r="GFC224" s="363"/>
      <c r="GFG224" s="5"/>
      <c r="GFH224" s="5"/>
      <c r="GFI224" s="5"/>
      <c r="GFK224" s="5"/>
      <c r="GFM224" s="5"/>
      <c r="GFN224" s="5"/>
      <c r="GFO224" s="5"/>
      <c r="GFP224" s="17"/>
      <c r="GFS224" s="392"/>
      <c r="GFT224" s="392"/>
      <c r="GFU224" s="392"/>
      <c r="GFV224" s="392"/>
      <c r="GFW224" s="392"/>
      <c r="GFX224" s="392"/>
      <c r="GFY224" s="363"/>
      <c r="GFZ224" s="363"/>
      <c r="GGD224" s="5"/>
      <c r="GGE224" s="5"/>
      <c r="GGF224" s="5"/>
      <c r="GGH224" s="5"/>
      <c r="GGJ224" s="5"/>
      <c r="GGK224" s="5"/>
      <c r="GGL224" s="5"/>
      <c r="GGM224" s="17"/>
      <c r="GGP224" s="392"/>
      <c r="GGQ224" s="392"/>
      <c r="GGR224" s="392"/>
      <c r="GGS224" s="392"/>
      <c r="GGT224" s="392"/>
      <c r="GGU224" s="392"/>
      <c r="GGV224" s="363"/>
      <c r="GGW224" s="363"/>
      <c r="GHA224" s="5"/>
      <c r="GHB224" s="5"/>
      <c r="GHC224" s="5"/>
      <c r="GHE224" s="5"/>
      <c r="GHG224" s="5"/>
      <c r="GHH224" s="5"/>
      <c r="GHI224" s="5"/>
      <c r="GHJ224" s="17"/>
      <c r="GHM224" s="392"/>
      <c r="GHN224" s="392"/>
      <c r="GHO224" s="392"/>
      <c r="GHP224" s="392"/>
      <c r="GHQ224" s="392"/>
      <c r="GHR224" s="392"/>
      <c r="GHS224" s="363"/>
      <c r="GHT224" s="363"/>
      <c r="GHX224" s="5"/>
      <c r="GHY224" s="5"/>
      <c r="GHZ224" s="5"/>
      <c r="GIB224" s="5"/>
      <c r="GID224" s="5"/>
      <c r="GIE224" s="5"/>
      <c r="GIF224" s="5"/>
      <c r="GIG224" s="17"/>
      <c r="GIJ224" s="392"/>
      <c r="GIK224" s="392"/>
      <c r="GIL224" s="392"/>
      <c r="GIM224" s="392"/>
      <c r="GIN224" s="392"/>
      <c r="GIO224" s="392"/>
      <c r="GIP224" s="363"/>
      <c r="GIQ224" s="363"/>
      <c r="GIU224" s="5"/>
      <c r="GIV224" s="5"/>
      <c r="GIW224" s="5"/>
      <c r="GIY224" s="5"/>
      <c r="GJA224" s="5"/>
      <c r="GJB224" s="5"/>
      <c r="GJC224" s="5"/>
      <c r="GJD224" s="17"/>
      <c r="GJG224" s="392"/>
      <c r="GJH224" s="392"/>
      <c r="GJI224" s="392"/>
      <c r="GJJ224" s="392"/>
      <c r="GJK224" s="392"/>
      <c r="GJL224" s="392"/>
      <c r="GJM224" s="363"/>
      <c r="GJN224" s="363"/>
      <c r="GJR224" s="5"/>
      <c r="GJS224" s="5"/>
      <c r="GJT224" s="5"/>
      <c r="GJV224" s="5"/>
      <c r="GJX224" s="5"/>
      <c r="GJY224" s="5"/>
      <c r="GJZ224" s="5"/>
      <c r="GKA224" s="17"/>
      <c r="GKD224" s="392"/>
      <c r="GKE224" s="392"/>
      <c r="GKF224" s="392"/>
      <c r="GKG224" s="392"/>
      <c r="GKH224" s="392"/>
      <c r="GKI224" s="392"/>
      <c r="GKJ224" s="363"/>
      <c r="GKK224" s="363"/>
      <c r="GKO224" s="5"/>
      <c r="GKP224" s="5"/>
      <c r="GKQ224" s="5"/>
      <c r="GKS224" s="5"/>
      <c r="GKU224" s="5"/>
      <c r="GKV224" s="5"/>
      <c r="GKW224" s="5"/>
      <c r="GKX224" s="17"/>
      <c r="GLA224" s="392"/>
      <c r="GLB224" s="392"/>
      <c r="GLC224" s="392"/>
      <c r="GLD224" s="392"/>
      <c r="GLE224" s="392"/>
      <c r="GLF224" s="392"/>
      <c r="GLG224" s="363"/>
      <c r="GLH224" s="363"/>
      <c r="GLL224" s="5"/>
      <c r="GLM224" s="5"/>
      <c r="GLN224" s="5"/>
      <c r="GLP224" s="5"/>
      <c r="GLR224" s="5"/>
      <c r="GLS224" s="5"/>
      <c r="GLT224" s="5"/>
      <c r="GLU224" s="17"/>
      <c r="GLX224" s="392"/>
      <c r="GLY224" s="392"/>
      <c r="GLZ224" s="392"/>
      <c r="GMA224" s="392"/>
      <c r="GMB224" s="392"/>
      <c r="GMC224" s="392"/>
      <c r="GMD224" s="363"/>
      <c r="GME224" s="363"/>
      <c r="GMI224" s="5"/>
      <c r="GMJ224" s="5"/>
      <c r="GMK224" s="5"/>
      <c r="GMM224" s="5"/>
      <c r="GMO224" s="5"/>
      <c r="GMP224" s="5"/>
      <c r="GMQ224" s="5"/>
      <c r="GMR224" s="17"/>
      <c r="GMU224" s="392"/>
      <c r="GMV224" s="392"/>
      <c r="GMW224" s="392"/>
      <c r="GMX224" s="392"/>
      <c r="GMY224" s="392"/>
      <c r="GMZ224" s="392"/>
      <c r="GNA224" s="363"/>
      <c r="GNB224" s="363"/>
      <c r="GNF224" s="5"/>
      <c r="GNG224" s="5"/>
      <c r="GNH224" s="5"/>
      <c r="GNJ224" s="5"/>
      <c r="GNL224" s="5"/>
      <c r="GNM224" s="5"/>
      <c r="GNN224" s="5"/>
      <c r="GNO224" s="17"/>
      <c r="GNR224" s="392"/>
      <c r="GNS224" s="392"/>
      <c r="GNT224" s="392"/>
      <c r="GNU224" s="392"/>
      <c r="GNV224" s="392"/>
      <c r="GNW224" s="392"/>
      <c r="GNX224" s="363"/>
      <c r="GNY224" s="363"/>
      <c r="GOC224" s="5"/>
      <c r="GOD224" s="5"/>
      <c r="GOE224" s="5"/>
      <c r="GOG224" s="5"/>
      <c r="GOI224" s="5"/>
      <c r="GOJ224" s="5"/>
      <c r="GOK224" s="5"/>
      <c r="GOL224" s="17"/>
      <c r="GOO224" s="392"/>
      <c r="GOP224" s="392"/>
      <c r="GOQ224" s="392"/>
      <c r="GOR224" s="392"/>
      <c r="GOS224" s="392"/>
      <c r="GOT224" s="392"/>
      <c r="GOU224" s="363"/>
      <c r="GOV224" s="363"/>
      <c r="GOZ224" s="5"/>
      <c r="GPA224" s="5"/>
      <c r="GPB224" s="5"/>
      <c r="GPD224" s="5"/>
      <c r="GPF224" s="5"/>
      <c r="GPG224" s="5"/>
      <c r="GPH224" s="5"/>
      <c r="GPI224" s="17"/>
      <c r="GPL224" s="392"/>
      <c r="GPM224" s="392"/>
      <c r="GPN224" s="392"/>
      <c r="GPO224" s="392"/>
      <c r="GPP224" s="392"/>
      <c r="GPQ224" s="392"/>
      <c r="GPR224" s="363"/>
      <c r="GPS224" s="363"/>
      <c r="GPW224" s="5"/>
      <c r="GPX224" s="5"/>
      <c r="GPY224" s="5"/>
      <c r="GQA224" s="5"/>
      <c r="GQC224" s="5"/>
      <c r="GQD224" s="5"/>
      <c r="GQE224" s="5"/>
      <c r="GQF224" s="17"/>
      <c r="GQI224" s="392"/>
      <c r="GQJ224" s="392"/>
      <c r="GQK224" s="392"/>
      <c r="GQL224" s="392"/>
      <c r="GQM224" s="392"/>
      <c r="GQN224" s="392"/>
      <c r="GQO224" s="363"/>
      <c r="GQP224" s="363"/>
      <c r="GQT224" s="5"/>
      <c r="GQU224" s="5"/>
      <c r="GQV224" s="5"/>
      <c r="GQX224" s="5"/>
      <c r="GQZ224" s="5"/>
      <c r="GRA224" s="5"/>
      <c r="GRB224" s="5"/>
      <c r="GRC224" s="17"/>
      <c r="GRF224" s="392"/>
      <c r="GRG224" s="392"/>
      <c r="GRH224" s="392"/>
      <c r="GRI224" s="392"/>
      <c r="GRJ224" s="392"/>
      <c r="GRK224" s="392"/>
      <c r="GRL224" s="363"/>
      <c r="GRM224" s="363"/>
      <c r="GRQ224" s="5"/>
      <c r="GRR224" s="5"/>
      <c r="GRS224" s="5"/>
      <c r="GRU224" s="5"/>
      <c r="GRW224" s="5"/>
      <c r="GRX224" s="5"/>
      <c r="GRY224" s="5"/>
      <c r="GRZ224" s="17"/>
      <c r="GSC224" s="392"/>
      <c r="GSD224" s="392"/>
      <c r="GSE224" s="392"/>
      <c r="GSF224" s="392"/>
      <c r="GSG224" s="392"/>
      <c r="GSH224" s="392"/>
      <c r="GSI224" s="363"/>
      <c r="GSJ224" s="363"/>
      <c r="GSN224" s="5"/>
      <c r="GSO224" s="5"/>
      <c r="GSP224" s="5"/>
      <c r="GSR224" s="5"/>
      <c r="GST224" s="5"/>
      <c r="GSU224" s="5"/>
      <c r="GSV224" s="5"/>
      <c r="GSW224" s="17"/>
      <c r="GSZ224" s="392"/>
      <c r="GTA224" s="392"/>
      <c r="GTB224" s="392"/>
      <c r="GTC224" s="392"/>
      <c r="GTD224" s="392"/>
      <c r="GTE224" s="392"/>
      <c r="GTF224" s="363"/>
      <c r="GTG224" s="363"/>
      <c r="GTK224" s="5"/>
      <c r="GTL224" s="5"/>
      <c r="GTM224" s="5"/>
      <c r="GTO224" s="5"/>
      <c r="GTQ224" s="5"/>
      <c r="GTR224" s="5"/>
      <c r="GTS224" s="5"/>
      <c r="GTT224" s="17"/>
      <c r="GTW224" s="392"/>
      <c r="GTX224" s="392"/>
      <c r="GTY224" s="392"/>
      <c r="GTZ224" s="392"/>
      <c r="GUA224" s="392"/>
      <c r="GUB224" s="392"/>
      <c r="GUC224" s="363"/>
      <c r="GUD224" s="363"/>
      <c r="GUH224" s="5"/>
      <c r="GUI224" s="5"/>
      <c r="GUJ224" s="5"/>
      <c r="GUL224" s="5"/>
      <c r="GUN224" s="5"/>
      <c r="GUO224" s="5"/>
      <c r="GUP224" s="5"/>
      <c r="GUQ224" s="17"/>
      <c r="GUT224" s="392"/>
      <c r="GUU224" s="392"/>
      <c r="GUV224" s="392"/>
      <c r="GUW224" s="392"/>
      <c r="GUX224" s="392"/>
      <c r="GUY224" s="392"/>
      <c r="GUZ224" s="363"/>
      <c r="GVA224" s="363"/>
      <c r="GVE224" s="5"/>
      <c r="GVF224" s="5"/>
      <c r="GVG224" s="5"/>
      <c r="GVI224" s="5"/>
      <c r="GVK224" s="5"/>
      <c r="GVL224" s="5"/>
      <c r="GVM224" s="5"/>
      <c r="GVN224" s="17"/>
      <c r="GVQ224" s="392"/>
      <c r="GVR224" s="392"/>
      <c r="GVS224" s="392"/>
      <c r="GVT224" s="392"/>
      <c r="GVU224" s="392"/>
      <c r="GVV224" s="392"/>
      <c r="GVW224" s="363"/>
      <c r="GVX224" s="363"/>
      <c r="GWB224" s="5"/>
      <c r="GWC224" s="5"/>
      <c r="GWD224" s="5"/>
      <c r="GWF224" s="5"/>
      <c r="GWH224" s="5"/>
      <c r="GWI224" s="5"/>
      <c r="GWJ224" s="5"/>
      <c r="GWK224" s="17"/>
      <c r="GWN224" s="392"/>
      <c r="GWO224" s="392"/>
      <c r="GWP224" s="392"/>
      <c r="GWQ224" s="392"/>
      <c r="GWR224" s="392"/>
      <c r="GWS224" s="392"/>
      <c r="GWT224" s="363"/>
      <c r="GWU224" s="363"/>
      <c r="GWY224" s="5"/>
      <c r="GWZ224" s="5"/>
      <c r="GXA224" s="5"/>
      <c r="GXC224" s="5"/>
      <c r="GXE224" s="5"/>
      <c r="GXF224" s="5"/>
      <c r="GXG224" s="5"/>
      <c r="GXH224" s="17"/>
      <c r="GXK224" s="392"/>
      <c r="GXL224" s="392"/>
      <c r="GXM224" s="392"/>
      <c r="GXN224" s="392"/>
      <c r="GXO224" s="392"/>
      <c r="GXP224" s="392"/>
      <c r="GXQ224" s="363"/>
      <c r="GXR224" s="363"/>
      <c r="GXV224" s="5"/>
      <c r="GXW224" s="5"/>
      <c r="GXX224" s="5"/>
      <c r="GXZ224" s="5"/>
      <c r="GYB224" s="5"/>
      <c r="GYC224" s="5"/>
      <c r="GYD224" s="5"/>
      <c r="GYE224" s="17"/>
      <c r="GYH224" s="392"/>
      <c r="GYI224" s="392"/>
      <c r="GYJ224" s="392"/>
      <c r="GYK224" s="392"/>
      <c r="GYL224" s="392"/>
      <c r="GYM224" s="392"/>
      <c r="GYN224" s="363"/>
      <c r="GYO224" s="363"/>
      <c r="GYS224" s="5"/>
      <c r="GYT224" s="5"/>
      <c r="GYU224" s="5"/>
      <c r="GYW224" s="5"/>
      <c r="GYY224" s="5"/>
      <c r="GYZ224" s="5"/>
      <c r="GZA224" s="5"/>
      <c r="GZB224" s="17"/>
      <c r="GZE224" s="392"/>
      <c r="GZF224" s="392"/>
      <c r="GZG224" s="392"/>
      <c r="GZH224" s="392"/>
      <c r="GZI224" s="392"/>
      <c r="GZJ224" s="392"/>
      <c r="GZK224" s="363"/>
      <c r="GZL224" s="363"/>
      <c r="GZP224" s="5"/>
      <c r="GZQ224" s="5"/>
      <c r="GZR224" s="5"/>
      <c r="GZT224" s="5"/>
      <c r="GZV224" s="5"/>
      <c r="GZW224" s="5"/>
      <c r="GZX224" s="5"/>
      <c r="GZY224" s="17"/>
      <c r="HAB224" s="392"/>
      <c r="HAC224" s="392"/>
      <c r="HAD224" s="392"/>
      <c r="HAE224" s="392"/>
      <c r="HAF224" s="392"/>
      <c r="HAG224" s="392"/>
      <c r="HAH224" s="363"/>
      <c r="HAI224" s="363"/>
      <c r="HAM224" s="5"/>
      <c r="HAN224" s="5"/>
      <c r="HAO224" s="5"/>
      <c r="HAQ224" s="5"/>
      <c r="HAS224" s="5"/>
      <c r="HAT224" s="5"/>
      <c r="HAU224" s="5"/>
      <c r="HAV224" s="17"/>
      <c r="HAY224" s="392"/>
      <c r="HAZ224" s="392"/>
      <c r="HBA224" s="392"/>
      <c r="HBB224" s="392"/>
      <c r="HBC224" s="392"/>
      <c r="HBD224" s="392"/>
      <c r="HBE224" s="363"/>
      <c r="HBF224" s="363"/>
      <c r="HBJ224" s="5"/>
      <c r="HBK224" s="5"/>
      <c r="HBL224" s="5"/>
      <c r="HBN224" s="5"/>
      <c r="HBP224" s="5"/>
      <c r="HBQ224" s="5"/>
      <c r="HBR224" s="5"/>
      <c r="HBS224" s="17"/>
      <c r="HBV224" s="392"/>
      <c r="HBW224" s="392"/>
      <c r="HBX224" s="392"/>
      <c r="HBY224" s="392"/>
      <c r="HBZ224" s="392"/>
      <c r="HCA224" s="392"/>
      <c r="HCB224" s="363"/>
      <c r="HCC224" s="363"/>
      <c r="HCG224" s="5"/>
      <c r="HCH224" s="5"/>
      <c r="HCI224" s="5"/>
      <c r="HCK224" s="5"/>
      <c r="HCM224" s="5"/>
      <c r="HCN224" s="5"/>
      <c r="HCO224" s="5"/>
      <c r="HCP224" s="17"/>
      <c r="HCS224" s="392"/>
      <c r="HCT224" s="392"/>
      <c r="HCU224" s="392"/>
      <c r="HCV224" s="392"/>
      <c r="HCW224" s="392"/>
      <c r="HCX224" s="392"/>
      <c r="HCY224" s="363"/>
      <c r="HCZ224" s="363"/>
      <c r="HDD224" s="5"/>
      <c r="HDE224" s="5"/>
      <c r="HDF224" s="5"/>
      <c r="HDH224" s="5"/>
      <c r="HDJ224" s="5"/>
      <c r="HDK224" s="5"/>
      <c r="HDL224" s="5"/>
      <c r="HDM224" s="17"/>
      <c r="HDP224" s="392"/>
      <c r="HDQ224" s="392"/>
      <c r="HDR224" s="392"/>
      <c r="HDS224" s="392"/>
      <c r="HDT224" s="392"/>
      <c r="HDU224" s="392"/>
      <c r="HDV224" s="363"/>
      <c r="HDW224" s="363"/>
      <c r="HEA224" s="5"/>
      <c r="HEB224" s="5"/>
      <c r="HEC224" s="5"/>
      <c r="HEE224" s="5"/>
      <c r="HEG224" s="5"/>
      <c r="HEH224" s="5"/>
      <c r="HEI224" s="5"/>
      <c r="HEJ224" s="17"/>
      <c r="HEM224" s="392"/>
      <c r="HEN224" s="392"/>
      <c r="HEO224" s="392"/>
      <c r="HEP224" s="392"/>
      <c r="HEQ224" s="392"/>
      <c r="HER224" s="392"/>
      <c r="HES224" s="363"/>
      <c r="HET224" s="363"/>
      <c r="HEX224" s="5"/>
      <c r="HEY224" s="5"/>
      <c r="HEZ224" s="5"/>
      <c r="HFB224" s="5"/>
      <c r="HFD224" s="5"/>
      <c r="HFE224" s="5"/>
      <c r="HFF224" s="5"/>
      <c r="HFG224" s="17"/>
      <c r="HFJ224" s="392"/>
      <c r="HFK224" s="392"/>
      <c r="HFL224" s="392"/>
      <c r="HFM224" s="392"/>
      <c r="HFN224" s="392"/>
      <c r="HFO224" s="392"/>
      <c r="HFP224" s="363"/>
      <c r="HFQ224" s="363"/>
      <c r="HFU224" s="5"/>
      <c r="HFV224" s="5"/>
      <c r="HFW224" s="5"/>
      <c r="HFY224" s="5"/>
      <c r="HGA224" s="5"/>
      <c r="HGB224" s="5"/>
      <c r="HGC224" s="5"/>
      <c r="HGD224" s="17"/>
      <c r="HGG224" s="392"/>
      <c r="HGH224" s="392"/>
      <c r="HGI224" s="392"/>
      <c r="HGJ224" s="392"/>
      <c r="HGK224" s="392"/>
      <c r="HGL224" s="392"/>
      <c r="HGM224" s="363"/>
      <c r="HGN224" s="363"/>
      <c r="HGR224" s="5"/>
      <c r="HGS224" s="5"/>
      <c r="HGT224" s="5"/>
      <c r="HGV224" s="5"/>
      <c r="HGX224" s="5"/>
      <c r="HGY224" s="5"/>
      <c r="HGZ224" s="5"/>
      <c r="HHA224" s="17"/>
      <c r="HHD224" s="392"/>
      <c r="HHE224" s="392"/>
      <c r="HHF224" s="392"/>
      <c r="HHG224" s="392"/>
      <c r="HHH224" s="392"/>
      <c r="HHI224" s="392"/>
      <c r="HHJ224" s="363"/>
      <c r="HHK224" s="363"/>
      <c r="HHO224" s="5"/>
      <c r="HHP224" s="5"/>
      <c r="HHQ224" s="5"/>
      <c r="HHS224" s="5"/>
      <c r="HHU224" s="5"/>
      <c r="HHV224" s="5"/>
      <c r="HHW224" s="5"/>
      <c r="HHX224" s="17"/>
      <c r="HIA224" s="392"/>
      <c r="HIB224" s="392"/>
      <c r="HIC224" s="392"/>
      <c r="HID224" s="392"/>
      <c r="HIE224" s="392"/>
      <c r="HIF224" s="392"/>
      <c r="HIG224" s="363"/>
      <c r="HIH224" s="363"/>
      <c r="HIL224" s="5"/>
      <c r="HIM224" s="5"/>
      <c r="HIN224" s="5"/>
      <c r="HIP224" s="5"/>
      <c r="HIR224" s="5"/>
      <c r="HIS224" s="5"/>
      <c r="HIT224" s="5"/>
      <c r="HIU224" s="17"/>
      <c r="HIX224" s="392"/>
      <c r="HIY224" s="392"/>
      <c r="HIZ224" s="392"/>
      <c r="HJA224" s="392"/>
      <c r="HJB224" s="392"/>
      <c r="HJC224" s="392"/>
      <c r="HJD224" s="363"/>
      <c r="HJE224" s="363"/>
      <c r="HJI224" s="5"/>
      <c r="HJJ224" s="5"/>
      <c r="HJK224" s="5"/>
      <c r="HJM224" s="5"/>
      <c r="HJO224" s="5"/>
      <c r="HJP224" s="5"/>
      <c r="HJQ224" s="5"/>
      <c r="HJR224" s="17"/>
      <c r="HJU224" s="392"/>
      <c r="HJV224" s="392"/>
      <c r="HJW224" s="392"/>
      <c r="HJX224" s="392"/>
      <c r="HJY224" s="392"/>
      <c r="HJZ224" s="392"/>
      <c r="HKA224" s="363"/>
      <c r="HKB224" s="363"/>
      <c r="HKF224" s="5"/>
      <c r="HKG224" s="5"/>
      <c r="HKH224" s="5"/>
      <c r="HKJ224" s="5"/>
      <c r="HKL224" s="5"/>
      <c r="HKM224" s="5"/>
      <c r="HKN224" s="5"/>
      <c r="HKO224" s="17"/>
      <c r="HKR224" s="392"/>
      <c r="HKS224" s="392"/>
      <c r="HKT224" s="392"/>
      <c r="HKU224" s="392"/>
      <c r="HKV224" s="392"/>
      <c r="HKW224" s="392"/>
      <c r="HKX224" s="363"/>
      <c r="HKY224" s="363"/>
      <c r="HLC224" s="5"/>
      <c r="HLD224" s="5"/>
      <c r="HLE224" s="5"/>
      <c r="HLG224" s="5"/>
      <c r="HLI224" s="5"/>
      <c r="HLJ224" s="5"/>
      <c r="HLK224" s="5"/>
      <c r="HLL224" s="17"/>
      <c r="HLO224" s="392"/>
      <c r="HLP224" s="392"/>
      <c r="HLQ224" s="392"/>
      <c r="HLR224" s="392"/>
      <c r="HLS224" s="392"/>
      <c r="HLT224" s="392"/>
      <c r="HLU224" s="363"/>
      <c r="HLV224" s="363"/>
      <c r="HLZ224" s="5"/>
      <c r="HMA224" s="5"/>
      <c r="HMB224" s="5"/>
      <c r="HMD224" s="5"/>
      <c r="HMF224" s="5"/>
      <c r="HMG224" s="5"/>
      <c r="HMH224" s="5"/>
      <c r="HMI224" s="17"/>
      <c r="HML224" s="392"/>
      <c r="HMM224" s="392"/>
      <c r="HMN224" s="392"/>
      <c r="HMO224" s="392"/>
      <c r="HMP224" s="392"/>
      <c r="HMQ224" s="392"/>
      <c r="HMR224" s="363"/>
      <c r="HMS224" s="363"/>
      <c r="HMW224" s="5"/>
      <c r="HMX224" s="5"/>
      <c r="HMY224" s="5"/>
      <c r="HNA224" s="5"/>
      <c r="HNC224" s="5"/>
      <c r="HND224" s="5"/>
      <c r="HNE224" s="5"/>
      <c r="HNF224" s="17"/>
      <c r="HNI224" s="392"/>
      <c r="HNJ224" s="392"/>
      <c r="HNK224" s="392"/>
      <c r="HNL224" s="392"/>
      <c r="HNM224" s="392"/>
      <c r="HNN224" s="392"/>
      <c r="HNO224" s="363"/>
      <c r="HNP224" s="363"/>
      <c r="HNT224" s="5"/>
      <c r="HNU224" s="5"/>
      <c r="HNV224" s="5"/>
      <c r="HNX224" s="5"/>
      <c r="HNZ224" s="5"/>
      <c r="HOA224" s="5"/>
      <c r="HOB224" s="5"/>
      <c r="HOC224" s="17"/>
      <c r="HOF224" s="392"/>
      <c r="HOG224" s="392"/>
      <c r="HOH224" s="392"/>
      <c r="HOI224" s="392"/>
      <c r="HOJ224" s="392"/>
      <c r="HOK224" s="392"/>
      <c r="HOL224" s="363"/>
      <c r="HOM224" s="363"/>
      <c r="HOQ224" s="5"/>
      <c r="HOR224" s="5"/>
      <c r="HOS224" s="5"/>
      <c r="HOU224" s="5"/>
      <c r="HOW224" s="5"/>
      <c r="HOX224" s="5"/>
      <c r="HOY224" s="5"/>
      <c r="HOZ224" s="17"/>
      <c r="HPC224" s="392"/>
      <c r="HPD224" s="392"/>
      <c r="HPE224" s="392"/>
      <c r="HPF224" s="392"/>
      <c r="HPG224" s="392"/>
      <c r="HPH224" s="392"/>
      <c r="HPI224" s="363"/>
      <c r="HPJ224" s="363"/>
      <c r="HPN224" s="5"/>
      <c r="HPO224" s="5"/>
      <c r="HPP224" s="5"/>
      <c r="HPR224" s="5"/>
      <c r="HPT224" s="5"/>
      <c r="HPU224" s="5"/>
      <c r="HPV224" s="5"/>
      <c r="HPW224" s="17"/>
      <c r="HPZ224" s="392"/>
      <c r="HQA224" s="392"/>
      <c r="HQB224" s="392"/>
      <c r="HQC224" s="392"/>
      <c r="HQD224" s="392"/>
      <c r="HQE224" s="392"/>
      <c r="HQF224" s="363"/>
      <c r="HQG224" s="363"/>
      <c r="HQK224" s="5"/>
      <c r="HQL224" s="5"/>
      <c r="HQM224" s="5"/>
      <c r="HQO224" s="5"/>
      <c r="HQQ224" s="5"/>
      <c r="HQR224" s="5"/>
      <c r="HQS224" s="5"/>
      <c r="HQT224" s="17"/>
      <c r="HQW224" s="392"/>
      <c r="HQX224" s="392"/>
      <c r="HQY224" s="392"/>
      <c r="HQZ224" s="392"/>
      <c r="HRA224" s="392"/>
      <c r="HRB224" s="392"/>
      <c r="HRC224" s="363"/>
      <c r="HRD224" s="363"/>
      <c r="HRH224" s="5"/>
      <c r="HRI224" s="5"/>
      <c r="HRJ224" s="5"/>
      <c r="HRL224" s="5"/>
      <c r="HRN224" s="5"/>
      <c r="HRO224" s="5"/>
      <c r="HRP224" s="5"/>
      <c r="HRQ224" s="17"/>
      <c r="HRT224" s="392"/>
      <c r="HRU224" s="392"/>
      <c r="HRV224" s="392"/>
      <c r="HRW224" s="392"/>
      <c r="HRX224" s="392"/>
      <c r="HRY224" s="392"/>
      <c r="HRZ224" s="363"/>
      <c r="HSA224" s="363"/>
      <c r="HSE224" s="5"/>
      <c r="HSF224" s="5"/>
      <c r="HSG224" s="5"/>
      <c r="HSI224" s="5"/>
      <c r="HSK224" s="5"/>
      <c r="HSL224" s="5"/>
      <c r="HSM224" s="5"/>
      <c r="HSN224" s="17"/>
      <c r="HSQ224" s="392"/>
      <c r="HSR224" s="392"/>
      <c r="HSS224" s="392"/>
      <c r="HST224" s="392"/>
      <c r="HSU224" s="392"/>
      <c r="HSV224" s="392"/>
      <c r="HSW224" s="363"/>
      <c r="HSX224" s="363"/>
      <c r="HTB224" s="5"/>
      <c r="HTC224" s="5"/>
      <c r="HTD224" s="5"/>
      <c r="HTF224" s="5"/>
      <c r="HTH224" s="5"/>
      <c r="HTI224" s="5"/>
      <c r="HTJ224" s="5"/>
      <c r="HTK224" s="17"/>
      <c r="HTN224" s="392"/>
      <c r="HTO224" s="392"/>
      <c r="HTP224" s="392"/>
      <c r="HTQ224" s="392"/>
      <c r="HTR224" s="392"/>
      <c r="HTS224" s="392"/>
      <c r="HTT224" s="363"/>
      <c r="HTU224" s="363"/>
      <c r="HTY224" s="5"/>
      <c r="HTZ224" s="5"/>
      <c r="HUA224" s="5"/>
      <c r="HUC224" s="5"/>
      <c r="HUE224" s="5"/>
      <c r="HUF224" s="5"/>
      <c r="HUG224" s="5"/>
      <c r="HUH224" s="17"/>
      <c r="HUK224" s="392"/>
      <c r="HUL224" s="392"/>
      <c r="HUM224" s="392"/>
      <c r="HUN224" s="392"/>
      <c r="HUO224" s="392"/>
      <c r="HUP224" s="392"/>
      <c r="HUQ224" s="363"/>
      <c r="HUR224" s="363"/>
      <c r="HUV224" s="5"/>
      <c r="HUW224" s="5"/>
      <c r="HUX224" s="5"/>
      <c r="HUZ224" s="5"/>
      <c r="HVB224" s="5"/>
      <c r="HVC224" s="5"/>
      <c r="HVD224" s="5"/>
      <c r="HVE224" s="17"/>
      <c r="HVH224" s="392"/>
      <c r="HVI224" s="392"/>
      <c r="HVJ224" s="392"/>
      <c r="HVK224" s="392"/>
      <c r="HVL224" s="392"/>
      <c r="HVM224" s="392"/>
      <c r="HVN224" s="363"/>
      <c r="HVO224" s="363"/>
      <c r="HVS224" s="5"/>
      <c r="HVT224" s="5"/>
      <c r="HVU224" s="5"/>
      <c r="HVW224" s="5"/>
      <c r="HVY224" s="5"/>
      <c r="HVZ224" s="5"/>
      <c r="HWA224" s="5"/>
      <c r="HWB224" s="17"/>
      <c r="HWE224" s="392"/>
      <c r="HWF224" s="392"/>
      <c r="HWG224" s="392"/>
      <c r="HWH224" s="392"/>
      <c r="HWI224" s="392"/>
      <c r="HWJ224" s="392"/>
      <c r="HWK224" s="363"/>
      <c r="HWL224" s="363"/>
      <c r="HWP224" s="5"/>
      <c r="HWQ224" s="5"/>
      <c r="HWR224" s="5"/>
      <c r="HWT224" s="5"/>
      <c r="HWV224" s="5"/>
      <c r="HWW224" s="5"/>
      <c r="HWX224" s="5"/>
      <c r="HWY224" s="17"/>
      <c r="HXB224" s="392"/>
      <c r="HXC224" s="392"/>
      <c r="HXD224" s="392"/>
      <c r="HXE224" s="392"/>
      <c r="HXF224" s="392"/>
      <c r="HXG224" s="392"/>
      <c r="HXH224" s="363"/>
      <c r="HXI224" s="363"/>
      <c r="HXM224" s="5"/>
      <c r="HXN224" s="5"/>
      <c r="HXO224" s="5"/>
      <c r="HXQ224" s="5"/>
      <c r="HXS224" s="5"/>
      <c r="HXT224" s="5"/>
      <c r="HXU224" s="5"/>
      <c r="HXV224" s="17"/>
      <c r="HXY224" s="392"/>
      <c r="HXZ224" s="392"/>
      <c r="HYA224" s="392"/>
      <c r="HYB224" s="392"/>
      <c r="HYC224" s="392"/>
      <c r="HYD224" s="392"/>
      <c r="HYE224" s="363"/>
      <c r="HYF224" s="363"/>
      <c r="HYJ224" s="5"/>
      <c r="HYK224" s="5"/>
      <c r="HYL224" s="5"/>
      <c r="HYN224" s="5"/>
      <c r="HYP224" s="5"/>
      <c r="HYQ224" s="5"/>
      <c r="HYR224" s="5"/>
      <c r="HYS224" s="17"/>
      <c r="HYV224" s="392"/>
      <c r="HYW224" s="392"/>
      <c r="HYX224" s="392"/>
      <c r="HYY224" s="392"/>
      <c r="HYZ224" s="392"/>
      <c r="HZA224" s="392"/>
      <c r="HZB224" s="363"/>
      <c r="HZC224" s="363"/>
      <c r="HZG224" s="5"/>
      <c r="HZH224" s="5"/>
      <c r="HZI224" s="5"/>
      <c r="HZK224" s="5"/>
      <c r="HZM224" s="5"/>
      <c r="HZN224" s="5"/>
      <c r="HZO224" s="5"/>
      <c r="HZP224" s="17"/>
      <c r="HZS224" s="392"/>
      <c r="HZT224" s="392"/>
      <c r="HZU224" s="392"/>
      <c r="HZV224" s="392"/>
      <c r="HZW224" s="392"/>
      <c r="HZX224" s="392"/>
      <c r="HZY224" s="363"/>
      <c r="HZZ224" s="363"/>
      <c r="IAD224" s="5"/>
      <c r="IAE224" s="5"/>
      <c r="IAF224" s="5"/>
      <c r="IAH224" s="5"/>
      <c r="IAJ224" s="5"/>
      <c r="IAK224" s="5"/>
      <c r="IAL224" s="5"/>
      <c r="IAM224" s="17"/>
      <c r="IAP224" s="392"/>
      <c r="IAQ224" s="392"/>
      <c r="IAR224" s="392"/>
      <c r="IAS224" s="392"/>
      <c r="IAT224" s="392"/>
      <c r="IAU224" s="392"/>
      <c r="IAV224" s="363"/>
      <c r="IAW224" s="363"/>
      <c r="IBA224" s="5"/>
      <c r="IBB224" s="5"/>
      <c r="IBC224" s="5"/>
      <c r="IBE224" s="5"/>
      <c r="IBG224" s="5"/>
      <c r="IBH224" s="5"/>
      <c r="IBI224" s="5"/>
      <c r="IBJ224" s="17"/>
      <c r="IBM224" s="392"/>
      <c r="IBN224" s="392"/>
      <c r="IBO224" s="392"/>
      <c r="IBP224" s="392"/>
      <c r="IBQ224" s="392"/>
      <c r="IBR224" s="392"/>
      <c r="IBS224" s="363"/>
      <c r="IBT224" s="363"/>
      <c r="IBX224" s="5"/>
      <c r="IBY224" s="5"/>
      <c r="IBZ224" s="5"/>
      <c r="ICB224" s="5"/>
      <c r="ICD224" s="5"/>
      <c r="ICE224" s="5"/>
      <c r="ICF224" s="5"/>
      <c r="ICG224" s="17"/>
      <c r="ICJ224" s="392"/>
      <c r="ICK224" s="392"/>
      <c r="ICL224" s="392"/>
      <c r="ICM224" s="392"/>
      <c r="ICN224" s="392"/>
      <c r="ICO224" s="392"/>
      <c r="ICP224" s="363"/>
      <c r="ICQ224" s="363"/>
      <c r="ICU224" s="5"/>
      <c r="ICV224" s="5"/>
      <c r="ICW224" s="5"/>
      <c r="ICY224" s="5"/>
      <c r="IDA224" s="5"/>
      <c r="IDB224" s="5"/>
      <c r="IDC224" s="5"/>
      <c r="IDD224" s="17"/>
      <c r="IDG224" s="392"/>
      <c r="IDH224" s="392"/>
      <c r="IDI224" s="392"/>
      <c r="IDJ224" s="392"/>
      <c r="IDK224" s="392"/>
      <c r="IDL224" s="392"/>
      <c r="IDM224" s="363"/>
      <c r="IDN224" s="363"/>
      <c r="IDR224" s="5"/>
      <c r="IDS224" s="5"/>
      <c r="IDT224" s="5"/>
      <c r="IDV224" s="5"/>
      <c r="IDX224" s="5"/>
      <c r="IDY224" s="5"/>
      <c r="IDZ224" s="5"/>
      <c r="IEA224" s="17"/>
      <c r="IED224" s="392"/>
      <c r="IEE224" s="392"/>
      <c r="IEF224" s="392"/>
      <c r="IEG224" s="392"/>
      <c r="IEH224" s="392"/>
      <c r="IEI224" s="392"/>
      <c r="IEJ224" s="363"/>
      <c r="IEK224" s="363"/>
      <c r="IEO224" s="5"/>
      <c r="IEP224" s="5"/>
      <c r="IEQ224" s="5"/>
      <c r="IES224" s="5"/>
      <c r="IEU224" s="5"/>
      <c r="IEV224" s="5"/>
      <c r="IEW224" s="5"/>
      <c r="IEX224" s="17"/>
      <c r="IFA224" s="392"/>
      <c r="IFB224" s="392"/>
      <c r="IFC224" s="392"/>
      <c r="IFD224" s="392"/>
      <c r="IFE224" s="392"/>
      <c r="IFF224" s="392"/>
      <c r="IFG224" s="363"/>
      <c r="IFH224" s="363"/>
      <c r="IFL224" s="5"/>
      <c r="IFM224" s="5"/>
      <c r="IFN224" s="5"/>
      <c r="IFP224" s="5"/>
      <c r="IFR224" s="5"/>
      <c r="IFS224" s="5"/>
      <c r="IFT224" s="5"/>
      <c r="IFU224" s="17"/>
      <c r="IFX224" s="392"/>
      <c r="IFY224" s="392"/>
      <c r="IFZ224" s="392"/>
      <c r="IGA224" s="392"/>
      <c r="IGB224" s="392"/>
      <c r="IGC224" s="392"/>
      <c r="IGD224" s="363"/>
      <c r="IGE224" s="363"/>
      <c r="IGI224" s="5"/>
      <c r="IGJ224" s="5"/>
      <c r="IGK224" s="5"/>
      <c r="IGM224" s="5"/>
      <c r="IGO224" s="5"/>
      <c r="IGP224" s="5"/>
      <c r="IGQ224" s="5"/>
      <c r="IGR224" s="17"/>
      <c r="IGU224" s="392"/>
      <c r="IGV224" s="392"/>
      <c r="IGW224" s="392"/>
      <c r="IGX224" s="392"/>
      <c r="IGY224" s="392"/>
      <c r="IGZ224" s="392"/>
      <c r="IHA224" s="363"/>
      <c r="IHB224" s="363"/>
      <c r="IHF224" s="5"/>
      <c r="IHG224" s="5"/>
      <c r="IHH224" s="5"/>
      <c r="IHJ224" s="5"/>
      <c r="IHL224" s="5"/>
      <c r="IHM224" s="5"/>
      <c r="IHN224" s="5"/>
      <c r="IHO224" s="17"/>
      <c r="IHR224" s="392"/>
      <c r="IHS224" s="392"/>
      <c r="IHT224" s="392"/>
      <c r="IHU224" s="392"/>
      <c r="IHV224" s="392"/>
      <c r="IHW224" s="392"/>
      <c r="IHX224" s="363"/>
      <c r="IHY224" s="363"/>
      <c r="IIC224" s="5"/>
      <c r="IID224" s="5"/>
      <c r="IIE224" s="5"/>
      <c r="IIG224" s="5"/>
      <c r="III224" s="5"/>
      <c r="IIJ224" s="5"/>
      <c r="IIK224" s="5"/>
      <c r="IIL224" s="17"/>
      <c r="IIO224" s="392"/>
      <c r="IIP224" s="392"/>
      <c r="IIQ224" s="392"/>
      <c r="IIR224" s="392"/>
      <c r="IIS224" s="392"/>
      <c r="IIT224" s="392"/>
      <c r="IIU224" s="363"/>
      <c r="IIV224" s="363"/>
      <c r="IIZ224" s="5"/>
      <c r="IJA224" s="5"/>
      <c r="IJB224" s="5"/>
      <c r="IJD224" s="5"/>
      <c r="IJF224" s="5"/>
      <c r="IJG224" s="5"/>
      <c r="IJH224" s="5"/>
      <c r="IJI224" s="17"/>
      <c r="IJL224" s="392"/>
      <c r="IJM224" s="392"/>
      <c r="IJN224" s="392"/>
      <c r="IJO224" s="392"/>
      <c r="IJP224" s="392"/>
      <c r="IJQ224" s="392"/>
      <c r="IJR224" s="363"/>
      <c r="IJS224" s="363"/>
      <c r="IJW224" s="5"/>
      <c r="IJX224" s="5"/>
      <c r="IJY224" s="5"/>
      <c r="IKA224" s="5"/>
      <c r="IKC224" s="5"/>
      <c r="IKD224" s="5"/>
      <c r="IKE224" s="5"/>
      <c r="IKF224" s="17"/>
      <c r="IKI224" s="392"/>
      <c r="IKJ224" s="392"/>
      <c r="IKK224" s="392"/>
      <c r="IKL224" s="392"/>
      <c r="IKM224" s="392"/>
      <c r="IKN224" s="392"/>
      <c r="IKO224" s="363"/>
      <c r="IKP224" s="363"/>
      <c r="IKT224" s="5"/>
      <c r="IKU224" s="5"/>
      <c r="IKV224" s="5"/>
      <c r="IKX224" s="5"/>
      <c r="IKZ224" s="5"/>
      <c r="ILA224" s="5"/>
      <c r="ILB224" s="5"/>
      <c r="ILC224" s="17"/>
      <c r="ILF224" s="392"/>
      <c r="ILG224" s="392"/>
      <c r="ILH224" s="392"/>
      <c r="ILI224" s="392"/>
      <c r="ILJ224" s="392"/>
      <c r="ILK224" s="392"/>
      <c r="ILL224" s="363"/>
      <c r="ILM224" s="363"/>
      <c r="ILQ224" s="5"/>
      <c r="ILR224" s="5"/>
      <c r="ILS224" s="5"/>
      <c r="ILU224" s="5"/>
      <c r="ILW224" s="5"/>
      <c r="ILX224" s="5"/>
      <c r="ILY224" s="5"/>
      <c r="ILZ224" s="17"/>
      <c r="IMC224" s="392"/>
      <c r="IMD224" s="392"/>
      <c r="IME224" s="392"/>
      <c r="IMF224" s="392"/>
      <c r="IMG224" s="392"/>
      <c r="IMH224" s="392"/>
      <c r="IMI224" s="363"/>
      <c r="IMJ224" s="363"/>
      <c r="IMN224" s="5"/>
      <c r="IMO224" s="5"/>
      <c r="IMP224" s="5"/>
      <c r="IMR224" s="5"/>
      <c r="IMT224" s="5"/>
      <c r="IMU224" s="5"/>
      <c r="IMV224" s="5"/>
      <c r="IMW224" s="17"/>
      <c r="IMZ224" s="392"/>
      <c r="INA224" s="392"/>
      <c r="INB224" s="392"/>
      <c r="INC224" s="392"/>
      <c r="IND224" s="392"/>
      <c r="INE224" s="392"/>
      <c r="INF224" s="363"/>
      <c r="ING224" s="363"/>
      <c r="INK224" s="5"/>
      <c r="INL224" s="5"/>
      <c r="INM224" s="5"/>
      <c r="INO224" s="5"/>
      <c r="INQ224" s="5"/>
      <c r="INR224" s="5"/>
      <c r="INS224" s="5"/>
      <c r="INT224" s="17"/>
      <c r="INW224" s="392"/>
      <c r="INX224" s="392"/>
      <c r="INY224" s="392"/>
      <c r="INZ224" s="392"/>
      <c r="IOA224" s="392"/>
      <c r="IOB224" s="392"/>
      <c r="IOC224" s="363"/>
      <c r="IOD224" s="363"/>
      <c r="IOH224" s="5"/>
      <c r="IOI224" s="5"/>
      <c r="IOJ224" s="5"/>
      <c r="IOL224" s="5"/>
      <c r="ION224" s="5"/>
      <c r="IOO224" s="5"/>
      <c r="IOP224" s="5"/>
      <c r="IOQ224" s="17"/>
      <c r="IOT224" s="392"/>
      <c r="IOU224" s="392"/>
      <c r="IOV224" s="392"/>
      <c r="IOW224" s="392"/>
      <c r="IOX224" s="392"/>
      <c r="IOY224" s="392"/>
      <c r="IOZ224" s="363"/>
      <c r="IPA224" s="363"/>
      <c r="IPE224" s="5"/>
      <c r="IPF224" s="5"/>
      <c r="IPG224" s="5"/>
      <c r="IPI224" s="5"/>
      <c r="IPK224" s="5"/>
      <c r="IPL224" s="5"/>
      <c r="IPM224" s="5"/>
      <c r="IPN224" s="17"/>
      <c r="IPQ224" s="392"/>
      <c r="IPR224" s="392"/>
      <c r="IPS224" s="392"/>
      <c r="IPT224" s="392"/>
      <c r="IPU224" s="392"/>
      <c r="IPV224" s="392"/>
      <c r="IPW224" s="363"/>
      <c r="IPX224" s="363"/>
      <c r="IQB224" s="5"/>
      <c r="IQC224" s="5"/>
      <c r="IQD224" s="5"/>
      <c r="IQF224" s="5"/>
      <c r="IQH224" s="5"/>
      <c r="IQI224" s="5"/>
      <c r="IQJ224" s="5"/>
      <c r="IQK224" s="17"/>
      <c r="IQN224" s="392"/>
      <c r="IQO224" s="392"/>
      <c r="IQP224" s="392"/>
      <c r="IQQ224" s="392"/>
      <c r="IQR224" s="392"/>
      <c r="IQS224" s="392"/>
      <c r="IQT224" s="363"/>
      <c r="IQU224" s="363"/>
      <c r="IQY224" s="5"/>
      <c r="IQZ224" s="5"/>
      <c r="IRA224" s="5"/>
      <c r="IRC224" s="5"/>
      <c r="IRE224" s="5"/>
      <c r="IRF224" s="5"/>
      <c r="IRG224" s="5"/>
      <c r="IRH224" s="17"/>
      <c r="IRK224" s="392"/>
      <c r="IRL224" s="392"/>
      <c r="IRM224" s="392"/>
      <c r="IRN224" s="392"/>
      <c r="IRO224" s="392"/>
      <c r="IRP224" s="392"/>
      <c r="IRQ224" s="363"/>
      <c r="IRR224" s="363"/>
      <c r="IRV224" s="5"/>
      <c r="IRW224" s="5"/>
      <c r="IRX224" s="5"/>
      <c r="IRZ224" s="5"/>
      <c r="ISB224" s="5"/>
      <c r="ISC224" s="5"/>
      <c r="ISD224" s="5"/>
      <c r="ISE224" s="17"/>
      <c r="ISH224" s="392"/>
      <c r="ISI224" s="392"/>
      <c r="ISJ224" s="392"/>
      <c r="ISK224" s="392"/>
      <c r="ISL224" s="392"/>
      <c r="ISM224" s="392"/>
      <c r="ISN224" s="363"/>
      <c r="ISO224" s="363"/>
      <c r="ISS224" s="5"/>
      <c r="IST224" s="5"/>
      <c r="ISU224" s="5"/>
      <c r="ISW224" s="5"/>
      <c r="ISY224" s="5"/>
      <c r="ISZ224" s="5"/>
      <c r="ITA224" s="5"/>
      <c r="ITB224" s="17"/>
      <c r="ITE224" s="392"/>
      <c r="ITF224" s="392"/>
      <c r="ITG224" s="392"/>
      <c r="ITH224" s="392"/>
      <c r="ITI224" s="392"/>
      <c r="ITJ224" s="392"/>
      <c r="ITK224" s="363"/>
      <c r="ITL224" s="363"/>
      <c r="ITP224" s="5"/>
      <c r="ITQ224" s="5"/>
      <c r="ITR224" s="5"/>
      <c r="ITT224" s="5"/>
      <c r="ITV224" s="5"/>
      <c r="ITW224" s="5"/>
      <c r="ITX224" s="5"/>
      <c r="ITY224" s="17"/>
      <c r="IUB224" s="392"/>
      <c r="IUC224" s="392"/>
      <c r="IUD224" s="392"/>
      <c r="IUE224" s="392"/>
      <c r="IUF224" s="392"/>
      <c r="IUG224" s="392"/>
      <c r="IUH224" s="363"/>
      <c r="IUI224" s="363"/>
      <c r="IUM224" s="5"/>
      <c r="IUN224" s="5"/>
      <c r="IUO224" s="5"/>
      <c r="IUQ224" s="5"/>
      <c r="IUS224" s="5"/>
      <c r="IUT224" s="5"/>
      <c r="IUU224" s="5"/>
      <c r="IUV224" s="17"/>
      <c r="IUY224" s="392"/>
      <c r="IUZ224" s="392"/>
      <c r="IVA224" s="392"/>
      <c r="IVB224" s="392"/>
      <c r="IVC224" s="392"/>
      <c r="IVD224" s="392"/>
      <c r="IVE224" s="363"/>
      <c r="IVF224" s="363"/>
      <c r="IVJ224" s="5"/>
      <c r="IVK224" s="5"/>
      <c r="IVL224" s="5"/>
      <c r="IVN224" s="5"/>
      <c r="IVP224" s="5"/>
      <c r="IVQ224" s="5"/>
      <c r="IVR224" s="5"/>
      <c r="IVS224" s="17"/>
      <c r="IVV224" s="392"/>
      <c r="IVW224" s="392"/>
      <c r="IVX224" s="392"/>
      <c r="IVY224" s="392"/>
      <c r="IVZ224" s="392"/>
      <c r="IWA224" s="392"/>
      <c r="IWB224" s="363"/>
      <c r="IWC224" s="363"/>
      <c r="IWG224" s="5"/>
      <c r="IWH224" s="5"/>
      <c r="IWI224" s="5"/>
      <c r="IWK224" s="5"/>
      <c r="IWM224" s="5"/>
      <c r="IWN224" s="5"/>
      <c r="IWO224" s="5"/>
      <c r="IWP224" s="17"/>
      <c r="IWS224" s="392"/>
      <c r="IWT224" s="392"/>
      <c r="IWU224" s="392"/>
      <c r="IWV224" s="392"/>
      <c r="IWW224" s="392"/>
      <c r="IWX224" s="392"/>
      <c r="IWY224" s="363"/>
      <c r="IWZ224" s="363"/>
      <c r="IXD224" s="5"/>
      <c r="IXE224" s="5"/>
      <c r="IXF224" s="5"/>
      <c r="IXH224" s="5"/>
      <c r="IXJ224" s="5"/>
      <c r="IXK224" s="5"/>
      <c r="IXL224" s="5"/>
      <c r="IXM224" s="17"/>
      <c r="IXP224" s="392"/>
      <c r="IXQ224" s="392"/>
      <c r="IXR224" s="392"/>
      <c r="IXS224" s="392"/>
      <c r="IXT224" s="392"/>
      <c r="IXU224" s="392"/>
      <c r="IXV224" s="363"/>
      <c r="IXW224" s="363"/>
      <c r="IYA224" s="5"/>
      <c r="IYB224" s="5"/>
      <c r="IYC224" s="5"/>
      <c r="IYE224" s="5"/>
      <c r="IYG224" s="5"/>
      <c r="IYH224" s="5"/>
      <c r="IYI224" s="5"/>
      <c r="IYJ224" s="17"/>
      <c r="IYM224" s="392"/>
      <c r="IYN224" s="392"/>
      <c r="IYO224" s="392"/>
      <c r="IYP224" s="392"/>
      <c r="IYQ224" s="392"/>
      <c r="IYR224" s="392"/>
      <c r="IYS224" s="363"/>
      <c r="IYT224" s="363"/>
      <c r="IYX224" s="5"/>
      <c r="IYY224" s="5"/>
      <c r="IYZ224" s="5"/>
      <c r="IZB224" s="5"/>
      <c r="IZD224" s="5"/>
      <c r="IZE224" s="5"/>
      <c r="IZF224" s="5"/>
      <c r="IZG224" s="17"/>
      <c r="IZJ224" s="392"/>
      <c r="IZK224" s="392"/>
      <c r="IZL224" s="392"/>
      <c r="IZM224" s="392"/>
      <c r="IZN224" s="392"/>
      <c r="IZO224" s="392"/>
      <c r="IZP224" s="363"/>
      <c r="IZQ224" s="363"/>
      <c r="IZU224" s="5"/>
      <c r="IZV224" s="5"/>
      <c r="IZW224" s="5"/>
      <c r="IZY224" s="5"/>
      <c r="JAA224" s="5"/>
      <c r="JAB224" s="5"/>
      <c r="JAC224" s="5"/>
      <c r="JAD224" s="17"/>
      <c r="JAG224" s="392"/>
      <c r="JAH224" s="392"/>
      <c r="JAI224" s="392"/>
      <c r="JAJ224" s="392"/>
      <c r="JAK224" s="392"/>
      <c r="JAL224" s="392"/>
      <c r="JAM224" s="363"/>
      <c r="JAN224" s="363"/>
      <c r="JAR224" s="5"/>
      <c r="JAS224" s="5"/>
      <c r="JAT224" s="5"/>
      <c r="JAV224" s="5"/>
      <c r="JAX224" s="5"/>
      <c r="JAY224" s="5"/>
      <c r="JAZ224" s="5"/>
      <c r="JBA224" s="17"/>
      <c r="JBD224" s="392"/>
      <c r="JBE224" s="392"/>
      <c r="JBF224" s="392"/>
      <c r="JBG224" s="392"/>
      <c r="JBH224" s="392"/>
      <c r="JBI224" s="392"/>
      <c r="JBJ224" s="363"/>
      <c r="JBK224" s="363"/>
      <c r="JBO224" s="5"/>
      <c r="JBP224" s="5"/>
      <c r="JBQ224" s="5"/>
      <c r="JBS224" s="5"/>
      <c r="JBU224" s="5"/>
      <c r="JBV224" s="5"/>
      <c r="JBW224" s="5"/>
      <c r="JBX224" s="17"/>
      <c r="JCA224" s="392"/>
      <c r="JCB224" s="392"/>
      <c r="JCC224" s="392"/>
      <c r="JCD224" s="392"/>
      <c r="JCE224" s="392"/>
      <c r="JCF224" s="392"/>
      <c r="JCG224" s="363"/>
      <c r="JCH224" s="363"/>
      <c r="JCL224" s="5"/>
      <c r="JCM224" s="5"/>
      <c r="JCN224" s="5"/>
      <c r="JCP224" s="5"/>
      <c r="JCR224" s="5"/>
      <c r="JCS224" s="5"/>
      <c r="JCT224" s="5"/>
      <c r="JCU224" s="17"/>
      <c r="JCX224" s="392"/>
      <c r="JCY224" s="392"/>
      <c r="JCZ224" s="392"/>
      <c r="JDA224" s="392"/>
      <c r="JDB224" s="392"/>
      <c r="JDC224" s="392"/>
      <c r="JDD224" s="363"/>
      <c r="JDE224" s="363"/>
      <c r="JDI224" s="5"/>
      <c r="JDJ224" s="5"/>
      <c r="JDK224" s="5"/>
      <c r="JDM224" s="5"/>
      <c r="JDO224" s="5"/>
      <c r="JDP224" s="5"/>
      <c r="JDQ224" s="5"/>
      <c r="JDR224" s="17"/>
      <c r="JDU224" s="392"/>
      <c r="JDV224" s="392"/>
      <c r="JDW224" s="392"/>
      <c r="JDX224" s="392"/>
      <c r="JDY224" s="392"/>
      <c r="JDZ224" s="392"/>
      <c r="JEA224" s="363"/>
      <c r="JEB224" s="363"/>
      <c r="JEF224" s="5"/>
      <c r="JEG224" s="5"/>
      <c r="JEH224" s="5"/>
      <c r="JEJ224" s="5"/>
      <c r="JEL224" s="5"/>
      <c r="JEM224" s="5"/>
      <c r="JEN224" s="5"/>
      <c r="JEO224" s="17"/>
      <c r="JER224" s="392"/>
      <c r="JES224" s="392"/>
      <c r="JET224" s="392"/>
      <c r="JEU224" s="392"/>
      <c r="JEV224" s="392"/>
      <c r="JEW224" s="392"/>
      <c r="JEX224" s="363"/>
      <c r="JEY224" s="363"/>
      <c r="JFC224" s="5"/>
      <c r="JFD224" s="5"/>
      <c r="JFE224" s="5"/>
      <c r="JFG224" s="5"/>
      <c r="JFI224" s="5"/>
      <c r="JFJ224" s="5"/>
      <c r="JFK224" s="5"/>
      <c r="JFL224" s="17"/>
      <c r="JFO224" s="392"/>
      <c r="JFP224" s="392"/>
      <c r="JFQ224" s="392"/>
      <c r="JFR224" s="392"/>
      <c r="JFS224" s="392"/>
      <c r="JFT224" s="392"/>
      <c r="JFU224" s="363"/>
      <c r="JFV224" s="363"/>
      <c r="JFZ224" s="5"/>
      <c r="JGA224" s="5"/>
      <c r="JGB224" s="5"/>
      <c r="JGD224" s="5"/>
      <c r="JGF224" s="5"/>
      <c r="JGG224" s="5"/>
      <c r="JGH224" s="5"/>
      <c r="JGI224" s="17"/>
      <c r="JGL224" s="392"/>
      <c r="JGM224" s="392"/>
      <c r="JGN224" s="392"/>
      <c r="JGO224" s="392"/>
      <c r="JGP224" s="392"/>
      <c r="JGQ224" s="392"/>
      <c r="JGR224" s="363"/>
      <c r="JGS224" s="363"/>
      <c r="JGW224" s="5"/>
      <c r="JGX224" s="5"/>
      <c r="JGY224" s="5"/>
      <c r="JHA224" s="5"/>
      <c r="JHC224" s="5"/>
      <c r="JHD224" s="5"/>
      <c r="JHE224" s="5"/>
      <c r="JHF224" s="17"/>
      <c r="JHI224" s="392"/>
      <c r="JHJ224" s="392"/>
      <c r="JHK224" s="392"/>
      <c r="JHL224" s="392"/>
      <c r="JHM224" s="392"/>
      <c r="JHN224" s="392"/>
      <c r="JHO224" s="363"/>
      <c r="JHP224" s="363"/>
      <c r="JHT224" s="5"/>
      <c r="JHU224" s="5"/>
      <c r="JHV224" s="5"/>
      <c r="JHX224" s="5"/>
      <c r="JHZ224" s="5"/>
      <c r="JIA224" s="5"/>
      <c r="JIB224" s="5"/>
      <c r="JIC224" s="17"/>
      <c r="JIF224" s="392"/>
      <c r="JIG224" s="392"/>
      <c r="JIH224" s="392"/>
      <c r="JII224" s="392"/>
      <c r="JIJ224" s="392"/>
      <c r="JIK224" s="392"/>
      <c r="JIL224" s="363"/>
      <c r="JIM224" s="363"/>
      <c r="JIQ224" s="5"/>
      <c r="JIR224" s="5"/>
      <c r="JIS224" s="5"/>
      <c r="JIU224" s="5"/>
      <c r="JIW224" s="5"/>
      <c r="JIX224" s="5"/>
      <c r="JIY224" s="5"/>
      <c r="JIZ224" s="17"/>
      <c r="JJC224" s="392"/>
      <c r="JJD224" s="392"/>
      <c r="JJE224" s="392"/>
      <c r="JJF224" s="392"/>
      <c r="JJG224" s="392"/>
      <c r="JJH224" s="392"/>
      <c r="JJI224" s="363"/>
      <c r="JJJ224" s="363"/>
      <c r="JJN224" s="5"/>
      <c r="JJO224" s="5"/>
      <c r="JJP224" s="5"/>
      <c r="JJR224" s="5"/>
      <c r="JJT224" s="5"/>
      <c r="JJU224" s="5"/>
      <c r="JJV224" s="5"/>
      <c r="JJW224" s="17"/>
      <c r="JJZ224" s="392"/>
      <c r="JKA224" s="392"/>
      <c r="JKB224" s="392"/>
      <c r="JKC224" s="392"/>
      <c r="JKD224" s="392"/>
      <c r="JKE224" s="392"/>
      <c r="JKF224" s="363"/>
      <c r="JKG224" s="363"/>
      <c r="JKK224" s="5"/>
      <c r="JKL224" s="5"/>
      <c r="JKM224" s="5"/>
      <c r="JKO224" s="5"/>
      <c r="JKQ224" s="5"/>
      <c r="JKR224" s="5"/>
      <c r="JKS224" s="5"/>
      <c r="JKT224" s="17"/>
      <c r="JKW224" s="392"/>
      <c r="JKX224" s="392"/>
      <c r="JKY224" s="392"/>
      <c r="JKZ224" s="392"/>
      <c r="JLA224" s="392"/>
      <c r="JLB224" s="392"/>
      <c r="JLC224" s="363"/>
      <c r="JLD224" s="363"/>
      <c r="JLH224" s="5"/>
      <c r="JLI224" s="5"/>
      <c r="JLJ224" s="5"/>
      <c r="JLL224" s="5"/>
      <c r="JLN224" s="5"/>
      <c r="JLO224" s="5"/>
      <c r="JLP224" s="5"/>
      <c r="JLQ224" s="17"/>
      <c r="JLT224" s="392"/>
      <c r="JLU224" s="392"/>
      <c r="JLV224" s="392"/>
      <c r="JLW224" s="392"/>
      <c r="JLX224" s="392"/>
      <c r="JLY224" s="392"/>
      <c r="JLZ224" s="363"/>
      <c r="JMA224" s="363"/>
      <c r="JME224" s="5"/>
      <c r="JMF224" s="5"/>
      <c r="JMG224" s="5"/>
      <c r="JMI224" s="5"/>
      <c r="JMK224" s="5"/>
      <c r="JML224" s="5"/>
      <c r="JMM224" s="5"/>
      <c r="JMN224" s="17"/>
      <c r="JMQ224" s="392"/>
      <c r="JMR224" s="392"/>
      <c r="JMS224" s="392"/>
      <c r="JMT224" s="392"/>
      <c r="JMU224" s="392"/>
      <c r="JMV224" s="392"/>
      <c r="JMW224" s="363"/>
      <c r="JMX224" s="363"/>
      <c r="JNB224" s="5"/>
      <c r="JNC224" s="5"/>
      <c r="JND224" s="5"/>
      <c r="JNF224" s="5"/>
      <c r="JNH224" s="5"/>
      <c r="JNI224" s="5"/>
      <c r="JNJ224" s="5"/>
      <c r="JNK224" s="17"/>
      <c r="JNN224" s="392"/>
      <c r="JNO224" s="392"/>
      <c r="JNP224" s="392"/>
      <c r="JNQ224" s="392"/>
      <c r="JNR224" s="392"/>
      <c r="JNS224" s="392"/>
      <c r="JNT224" s="363"/>
      <c r="JNU224" s="363"/>
      <c r="JNY224" s="5"/>
      <c r="JNZ224" s="5"/>
      <c r="JOA224" s="5"/>
      <c r="JOC224" s="5"/>
      <c r="JOE224" s="5"/>
      <c r="JOF224" s="5"/>
      <c r="JOG224" s="5"/>
      <c r="JOH224" s="17"/>
      <c r="JOK224" s="392"/>
      <c r="JOL224" s="392"/>
      <c r="JOM224" s="392"/>
      <c r="JON224" s="392"/>
      <c r="JOO224" s="392"/>
      <c r="JOP224" s="392"/>
      <c r="JOQ224" s="363"/>
      <c r="JOR224" s="363"/>
      <c r="JOV224" s="5"/>
      <c r="JOW224" s="5"/>
      <c r="JOX224" s="5"/>
      <c r="JOZ224" s="5"/>
      <c r="JPB224" s="5"/>
      <c r="JPC224" s="5"/>
      <c r="JPD224" s="5"/>
      <c r="JPE224" s="17"/>
      <c r="JPH224" s="392"/>
      <c r="JPI224" s="392"/>
      <c r="JPJ224" s="392"/>
      <c r="JPK224" s="392"/>
      <c r="JPL224" s="392"/>
      <c r="JPM224" s="392"/>
      <c r="JPN224" s="363"/>
      <c r="JPO224" s="363"/>
      <c r="JPS224" s="5"/>
      <c r="JPT224" s="5"/>
      <c r="JPU224" s="5"/>
      <c r="JPW224" s="5"/>
      <c r="JPY224" s="5"/>
      <c r="JPZ224" s="5"/>
      <c r="JQA224" s="5"/>
      <c r="JQB224" s="17"/>
      <c r="JQE224" s="392"/>
      <c r="JQF224" s="392"/>
      <c r="JQG224" s="392"/>
      <c r="JQH224" s="392"/>
      <c r="JQI224" s="392"/>
      <c r="JQJ224" s="392"/>
      <c r="JQK224" s="363"/>
      <c r="JQL224" s="363"/>
      <c r="JQP224" s="5"/>
      <c r="JQQ224" s="5"/>
      <c r="JQR224" s="5"/>
      <c r="JQT224" s="5"/>
      <c r="JQV224" s="5"/>
      <c r="JQW224" s="5"/>
      <c r="JQX224" s="5"/>
      <c r="JQY224" s="17"/>
      <c r="JRB224" s="392"/>
      <c r="JRC224" s="392"/>
      <c r="JRD224" s="392"/>
      <c r="JRE224" s="392"/>
      <c r="JRF224" s="392"/>
      <c r="JRG224" s="392"/>
      <c r="JRH224" s="363"/>
      <c r="JRI224" s="363"/>
      <c r="JRM224" s="5"/>
      <c r="JRN224" s="5"/>
      <c r="JRO224" s="5"/>
      <c r="JRQ224" s="5"/>
      <c r="JRS224" s="5"/>
      <c r="JRT224" s="5"/>
      <c r="JRU224" s="5"/>
      <c r="JRV224" s="17"/>
      <c r="JRY224" s="392"/>
      <c r="JRZ224" s="392"/>
      <c r="JSA224" s="392"/>
      <c r="JSB224" s="392"/>
      <c r="JSC224" s="392"/>
      <c r="JSD224" s="392"/>
      <c r="JSE224" s="363"/>
      <c r="JSF224" s="363"/>
      <c r="JSJ224" s="5"/>
      <c r="JSK224" s="5"/>
      <c r="JSL224" s="5"/>
      <c r="JSN224" s="5"/>
      <c r="JSP224" s="5"/>
      <c r="JSQ224" s="5"/>
      <c r="JSR224" s="5"/>
      <c r="JSS224" s="17"/>
      <c r="JSV224" s="392"/>
      <c r="JSW224" s="392"/>
      <c r="JSX224" s="392"/>
      <c r="JSY224" s="392"/>
      <c r="JSZ224" s="392"/>
      <c r="JTA224" s="392"/>
      <c r="JTB224" s="363"/>
      <c r="JTC224" s="363"/>
      <c r="JTG224" s="5"/>
      <c r="JTH224" s="5"/>
      <c r="JTI224" s="5"/>
      <c r="JTK224" s="5"/>
      <c r="JTM224" s="5"/>
      <c r="JTN224" s="5"/>
      <c r="JTO224" s="5"/>
      <c r="JTP224" s="17"/>
      <c r="JTS224" s="392"/>
      <c r="JTT224" s="392"/>
      <c r="JTU224" s="392"/>
      <c r="JTV224" s="392"/>
      <c r="JTW224" s="392"/>
      <c r="JTX224" s="392"/>
      <c r="JTY224" s="363"/>
      <c r="JTZ224" s="363"/>
      <c r="JUD224" s="5"/>
      <c r="JUE224" s="5"/>
      <c r="JUF224" s="5"/>
      <c r="JUH224" s="5"/>
      <c r="JUJ224" s="5"/>
      <c r="JUK224" s="5"/>
      <c r="JUL224" s="5"/>
      <c r="JUM224" s="17"/>
      <c r="JUP224" s="392"/>
      <c r="JUQ224" s="392"/>
      <c r="JUR224" s="392"/>
      <c r="JUS224" s="392"/>
      <c r="JUT224" s="392"/>
      <c r="JUU224" s="392"/>
      <c r="JUV224" s="363"/>
      <c r="JUW224" s="363"/>
      <c r="JVA224" s="5"/>
      <c r="JVB224" s="5"/>
      <c r="JVC224" s="5"/>
      <c r="JVE224" s="5"/>
      <c r="JVG224" s="5"/>
      <c r="JVH224" s="5"/>
      <c r="JVI224" s="5"/>
      <c r="JVJ224" s="17"/>
      <c r="JVM224" s="392"/>
      <c r="JVN224" s="392"/>
      <c r="JVO224" s="392"/>
      <c r="JVP224" s="392"/>
      <c r="JVQ224" s="392"/>
      <c r="JVR224" s="392"/>
      <c r="JVS224" s="363"/>
      <c r="JVT224" s="363"/>
      <c r="JVX224" s="5"/>
      <c r="JVY224" s="5"/>
      <c r="JVZ224" s="5"/>
      <c r="JWB224" s="5"/>
      <c r="JWD224" s="5"/>
      <c r="JWE224" s="5"/>
      <c r="JWF224" s="5"/>
      <c r="JWG224" s="17"/>
      <c r="JWJ224" s="392"/>
      <c r="JWK224" s="392"/>
      <c r="JWL224" s="392"/>
      <c r="JWM224" s="392"/>
      <c r="JWN224" s="392"/>
      <c r="JWO224" s="392"/>
      <c r="JWP224" s="363"/>
      <c r="JWQ224" s="363"/>
      <c r="JWU224" s="5"/>
      <c r="JWV224" s="5"/>
      <c r="JWW224" s="5"/>
      <c r="JWY224" s="5"/>
      <c r="JXA224" s="5"/>
      <c r="JXB224" s="5"/>
      <c r="JXC224" s="5"/>
      <c r="JXD224" s="17"/>
      <c r="JXG224" s="392"/>
      <c r="JXH224" s="392"/>
      <c r="JXI224" s="392"/>
      <c r="JXJ224" s="392"/>
      <c r="JXK224" s="392"/>
      <c r="JXL224" s="392"/>
      <c r="JXM224" s="363"/>
      <c r="JXN224" s="363"/>
      <c r="JXR224" s="5"/>
      <c r="JXS224" s="5"/>
      <c r="JXT224" s="5"/>
      <c r="JXV224" s="5"/>
      <c r="JXX224" s="5"/>
      <c r="JXY224" s="5"/>
      <c r="JXZ224" s="5"/>
      <c r="JYA224" s="17"/>
      <c r="JYD224" s="392"/>
      <c r="JYE224" s="392"/>
      <c r="JYF224" s="392"/>
      <c r="JYG224" s="392"/>
      <c r="JYH224" s="392"/>
      <c r="JYI224" s="392"/>
      <c r="JYJ224" s="363"/>
      <c r="JYK224" s="363"/>
      <c r="JYO224" s="5"/>
      <c r="JYP224" s="5"/>
      <c r="JYQ224" s="5"/>
      <c r="JYS224" s="5"/>
      <c r="JYU224" s="5"/>
      <c r="JYV224" s="5"/>
      <c r="JYW224" s="5"/>
      <c r="JYX224" s="17"/>
      <c r="JZA224" s="392"/>
      <c r="JZB224" s="392"/>
      <c r="JZC224" s="392"/>
      <c r="JZD224" s="392"/>
      <c r="JZE224" s="392"/>
      <c r="JZF224" s="392"/>
      <c r="JZG224" s="363"/>
      <c r="JZH224" s="363"/>
      <c r="JZL224" s="5"/>
      <c r="JZM224" s="5"/>
      <c r="JZN224" s="5"/>
      <c r="JZP224" s="5"/>
      <c r="JZR224" s="5"/>
      <c r="JZS224" s="5"/>
      <c r="JZT224" s="5"/>
      <c r="JZU224" s="17"/>
      <c r="JZX224" s="392"/>
      <c r="JZY224" s="392"/>
      <c r="JZZ224" s="392"/>
      <c r="KAA224" s="392"/>
      <c r="KAB224" s="392"/>
      <c r="KAC224" s="392"/>
      <c r="KAD224" s="363"/>
      <c r="KAE224" s="363"/>
      <c r="KAI224" s="5"/>
      <c r="KAJ224" s="5"/>
      <c r="KAK224" s="5"/>
      <c r="KAM224" s="5"/>
      <c r="KAO224" s="5"/>
      <c r="KAP224" s="5"/>
      <c r="KAQ224" s="5"/>
      <c r="KAR224" s="17"/>
      <c r="KAU224" s="392"/>
      <c r="KAV224" s="392"/>
      <c r="KAW224" s="392"/>
      <c r="KAX224" s="392"/>
      <c r="KAY224" s="392"/>
      <c r="KAZ224" s="392"/>
      <c r="KBA224" s="363"/>
      <c r="KBB224" s="363"/>
      <c r="KBF224" s="5"/>
      <c r="KBG224" s="5"/>
      <c r="KBH224" s="5"/>
      <c r="KBJ224" s="5"/>
      <c r="KBL224" s="5"/>
      <c r="KBM224" s="5"/>
      <c r="KBN224" s="5"/>
      <c r="KBO224" s="17"/>
      <c r="KBR224" s="392"/>
      <c r="KBS224" s="392"/>
      <c r="KBT224" s="392"/>
      <c r="KBU224" s="392"/>
      <c r="KBV224" s="392"/>
      <c r="KBW224" s="392"/>
      <c r="KBX224" s="363"/>
      <c r="KBY224" s="363"/>
      <c r="KCC224" s="5"/>
      <c r="KCD224" s="5"/>
      <c r="KCE224" s="5"/>
      <c r="KCG224" s="5"/>
      <c r="KCI224" s="5"/>
      <c r="KCJ224" s="5"/>
      <c r="KCK224" s="5"/>
      <c r="KCL224" s="17"/>
      <c r="KCO224" s="392"/>
      <c r="KCP224" s="392"/>
      <c r="KCQ224" s="392"/>
      <c r="KCR224" s="392"/>
      <c r="KCS224" s="392"/>
      <c r="KCT224" s="392"/>
      <c r="KCU224" s="363"/>
      <c r="KCV224" s="363"/>
      <c r="KCZ224" s="5"/>
      <c r="KDA224" s="5"/>
      <c r="KDB224" s="5"/>
      <c r="KDD224" s="5"/>
      <c r="KDF224" s="5"/>
      <c r="KDG224" s="5"/>
      <c r="KDH224" s="5"/>
      <c r="KDI224" s="17"/>
      <c r="KDL224" s="392"/>
      <c r="KDM224" s="392"/>
      <c r="KDN224" s="392"/>
      <c r="KDO224" s="392"/>
      <c r="KDP224" s="392"/>
      <c r="KDQ224" s="392"/>
      <c r="KDR224" s="363"/>
      <c r="KDS224" s="363"/>
      <c r="KDW224" s="5"/>
      <c r="KDX224" s="5"/>
      <c r="KDY224" s="5"/>
      <c r="KEA224" s="5"/>
      <c r="KEC224" s="5"/>
      <c r="KED224" s="5"/>
      <c r="KEE224" s="5"/>
      <c r="KEF224" s="17"/>
      <c r="KEI224" s="392"/>
      <c r="KEJ224" s="392"/>
      <c r="KEK224" s="392"/>
      <c r="KEL224" s="392"/>
      <c r="KEM224" s="392"/>
      <c r="KEN224" s="392"/>
      <c r="KEO224" s="363"/>
      <c r="KEP224" s="363"/>
      <c r="KET224" s="5"/>
      <c r="KEU224" s="5"/>
      <c r="KEV224" s="5"/>
      <c r="KEX224" s="5"/>
      <c r="KEZ224" s="5"/>
      <c r="KFA224" s="5"/>
      <c r="KFB224" s="5"/>
      <c r="KFC224" s="17"/>
      <c r="KFF224" s="392"/>
      <c r="KFG224" s="392"/>
      <c r="KFH224" s="392"/>
      <c r="KFI224" s="392"/>
      <c r="KFJ224" s="392"/>
      <c r="KFK224" s="392"/>
      <c r="KFL224" s="363"/>
      <c r="KFM224" s="363"/>
      <c r="KFQ224" s="5"/>
      <c r="KFR224" s="5"/>
      <c r="KFS224" s="5"/>
      <c r="KFU224" s="5"/>
      <c r="KFW224" s="5"/>
      <c r="KFX224" s="5"/>
      <c r="KFY224" s="5"/>
      <c r="KFZ224" s="17"/>
      <c r="KGC224" s="392"/>
      <c r="KGD224" s="392"/>
      <c r="KGE224" s="392"/>
      <c r="KGF224" s="392"/>
      <c r="KGG224" s="392"/>
      <c r="KGH224" s="392"/>
      <c r="KGI224" s="363"/>
      <c r="KGJ224" s="363"/>
      <c r="KGN224" s="5"/>
      <c r="KGO224" s="5"/>
      <c r="KGP224" s="5"/>
      <c r="KGR224" s="5"/>
      <c r="KGT224" s="5"/>
      <c r="KGU224" s="5"/>
      <c r="KGV224" s="5"/>
      <c r="KGW224" s="17"/>
      <c r="KGZ224" s="392"/>
      <c r="KHA224" s="392"/>
      <c r="KHB224" s="392"/>
      <c r="KHC224" s="392"/>
      <c r="KHD224" s="392"/>
      <c r="KHE224" s="392"/>
      <c r="KHF224" s="363"/>
      <c r="KHG224" s="363"/>
      <c r="KHK224" s="5"/>
      <c r="KHL224" s="5"/>
      <c r="KHM224" s="5"/>
      <c r="KHO224" s="5"/>
      <c r="KHQ224" s="5"/>
      <c r="KHR224" s="5"/>
      <c r="KHS224" s="5"/>
      <c r="KHT224" s="17"/>
      <c r="KHW224" s="392"/>
      <c r="KHX224" s="392"/>
      <c r="KHY224" s="392"/>
      <c r="KHZ224" s="392"/>
      <c r="KIA224" s="392"/>
      <c r="KIB224" s="392"/>
      <c r="KIC224" s="363"/>
      <c r="KID224" s="363"/>
      <c r="KIH224" s="5"/>
      <c r="KII224" s="5"/>
      <c r="KIJ224" s="5"/>
      <c r="KIL224" s="5"/>
      <c r="KIN224" s="5"/>
      <c r="KIO224" s="5"/>
      <c r="KIP224" s="5"/>
      <c r="KIQ224" s="17"/>
      <c r="KIT224" s="392"/>
      <c r="KIU224" s="392"/>
      <c r="KIV224" s="392"/>
      <c r="KIW224" s="392"/>
      <c r="KIX224" s="392"/>
      <c r="KIY224" s="392"/>
      <c r="KIZ224" s="363"/>
      <c r="KJA224" s="363"/>
      <c r="KJE224" s="5"/>
      <c r="KJF224" s="5"/>
      <c r="KJG224" s="5"/>
      <c r="KJI224" s="5"/>
      <c r="KJK224" s="5"/>
      <c r="KJL224" s="5"/>
      <c r="KJM224" s="5"/>
      <c r="KJN224" s="17"/>
      <c r="KJQ224" s="392"/>
      <c r="KJR224" s="392"/>
      <c r="KJS224" s="392"/>
      <c r="KJT224" s="392"/>
      <c r="KJU224" s="392"/>
      <c r="KJV224" s="392"/>
      <c r="KJW224" s="363"/>
      <c r="KJX224" s="363"/>
      <c r="KKB224" s="5"/>
      <c r="KKC224" s="5"/>
      <c r="KKD224" s="5"/>
      <c r="KKF224" s="5"/>
      <c r="KKH224" s="5"/>
      <c r="KKI224" s="5"/>
      <c r="KKJ224" s="5"/>
      <c r="KKK224" s="17"/>
      <c r="KKN224" s="392"/>
      <c r="KKO224" s="392"/>
      <c r="KKP224" s="392"/>
      <c r="KKQ224" s="392"/>
      <c r="KKR224" s="392"/>
      <c r="KKS224" s="392"/>
      <c r="KKT224" s="363"/>
      <c r="KKU224" s="363"/>
      <c r="KKY224" s="5"/>
      <c r="KKZ224" s="5"/>
      <c r="KLA224" s="5"/>
      <c r="KLC224" s="5"/>
      <c r="KLE224" s="5"/>
      <c r="KLF224" s="5"/>
      <c r="KLG224" s="5"/>
      <c r="KLH224" s="17"/>
      <c r="KLK224" s="392"/>
      <c r="KLL224" s="392"/>
      <c r="KLM224" s="392"/>
      <c r="KLN224" s="392"/>
      <c r="KLO224" s="392"/>
      <c r="KLP224" s="392"/>
      <c r="KLQ224" s="363"/>
      <c r="KLR224" s="363"/>
      <c r="KLV224" s="5"/>
      <c r="KLW224" s="5"/>
      <c r="KLX224" s="5"/>
      <c r="KLZ224" s="5"/>
      <c r="KMB224" s="5"/>
      <c r="KMC224" s="5"/>
      <c r="KMD224" s="5"/>
      <c r="KME224" s="17"/>
      <c r="KMH224" s="392"/>
      <c r="KMI224" s="392"/>
      <c r="KMJ224" s="392"/>
      <c r="KMK224" s="392"/>
      <c r="KML224" s="392"/>
      <c r="KMM224" s="392"/>
      <c r="KMN224" s="363"/>
      <c r="KMO224" s="363"/>
      <c r="KMS224" s="5"/>
      <c r="KMT224" s="5"/>
      <c r="KMU224" s="5"/>
      <c r="KMW224" s="5"/>
      <c r="KMY224" s="5"/>
      <c r="KMZ224" s="5"/>
      <c r="KNA224" s="5"/>
      <c r="KNB224" s="17"/>
      <c r="KNE224" s="392"/>
      <c r="KNF224" s="392"/>
      <c r="KNG224" s="392"/>
      <c r="KNH224" s="392"/>
      <c r="KNI224" s="392"/>
      <c r="KNJ224" s="392"/>
      <c r="KNK224" s="363"/>
      <c r="KNL224" s="363"/>
      <c r="KNP224" s="5"/>
      <c r="KNQ224" s="5"/>
      <c r="KNR224" s="5"/>
      <c r="KNT224" s="5"/>
      <c r="KNV224" s="5"/>
      <c r="KNW224" s="5"/>
      <c r="KNX224" s="5"/>
      <c r="KNY224" s="17"/>
      <c r="KOB224" s="392"/>
      <c r="KOC224" s="392"/>
      <c r="KOD224" s="392"/>
      <c r="KOE224" s="392"/>
      <c r="KOF224" s="392"/>
      <c r="KOG224" s="392"/>
      <c r="KOH224" s="363"/>
      <c r="KOI224" s="363"/>
      <c r="KOM224" s="5"/>
      <c r="KON224" s="5"/>
      <c r="KOO224" s="5"/>
      <c r="KOQ224" s="5"/>
      <c r="KOS224" s="5"/>
      <c r="KOT224" s="5"/>
      <c r="KOU224" s="5"/>
      <c r="KOV224" s="17"/>
      <c r="KOY224" s="392"/>
      <c r="KOZ224" s="392"/>
      <c r="KPA224" s="392"/>
      <c r="KPB224" s="392"/>
      <c r="KPC224" s="392"/>
      <c r="KPD224" s="392"/>
      <c r="KPE224" s="363"/>
      <c r="KPF224" s="363"/>
      <c r="KPJ224" s="5"/>
      <c r="KPK224" s="5"/>
      <c r="KPL224" s="5"/>
      <c r="KPN224" s="5"/>
      <c r="KPP224" s="5"/>
      <c r="KPQ224" s="5"/>
      <c r="KPR224" s="5"/>
      <c r="KPS224" s="17"/>
      <c r="KPV224" s="392"/>
      <c r="KPW224" s="392"/>
      <c r="KPX224" s="392"/>
      <c r="KPY224" s="392"/>
      <c r="KPZ224" s="392"/>
      <c r="KQA224" s="392"/>
      <c r="KQB224" s="363"/>
      <c r="KQC224" s="363"/>
      <c r="KQG224" s="5"/>
      <c r="KQH224" s="5"/>
      <c r="KQI224" s="5"/>
      <c r="KQK224" s="5"/>
      <c r="KQM224" s="5"/>
      <c r="KQN224" s="5"/>
      <c r="KQO224" s="5"/>
      <c r="KQP224" s="17"/>
      <c r="KQS224" s="392"/>
      <c r="KQT224" s="392"/>
      <c r="KQU224" s="392"/>
      <c r="KQV224" s="392"/>
      <c r="KQW224" s="392"/>
      <c r="KQX224" s="392"/>
      <c r="KQY224" s="363"/>
      <c r="KQZ224" s="363"/>
      <c r="KRD224" s="5"/>
      <c r="KRE224" s="5"/>
      <c r="KRF224" s="5"/>
      <c r="KRH224" s="5"/>
      <c r="KRJ224" s="5"/>
      <c r="KRK224" s="5"/>
      <c r="KRL224" s="5"/>
      <c r="KRM224" s="17"/>
      <c r="KRP224" s="392"/>
      <c r="KRQ224" s="392"/>
      <c r="KRR224" s="392"/>
      <c r="KRS224" s="392"/>
      <c r="KRT224" s="392"/>
      <c r="KRU224" s="392"/>
      <c r="KRV224" s="363"/>
      <c r="KRW224" s="363"/>
      <c r="KSA224" s="5"/>
      <c r="KSB224" s="5"/>
      <c r="KSC224" s="5"/>
      <c r="KSE224" s="5"/>
      <c r="KSG224" s="5"/>
      <c r="KSH224" s="5"/>
      <c r="KSI224" s="5"/>
      <c r="KSJ224" s="17"/>
      <c r="KSM224" s="392"/>
      <c r="KSN224" s="392"/>
      <c r="KSO224" s="392"/>
      <c r="KSP224" s="392"/>
      <c r="KSQ224" s="392"/>
      <c r="KSR224" s="392"/>
      <c r="KSS224" s="363"/>
      <c r="KST224" s="363"/>
      <c r="KSX224" s="5"/>
      <c r="KSY224" s="5"/>
      <c r="KSZ224" s="5"/>
      <c r="KTB224" s="5"/>
      <c r="KTD224" s="5"/>
      <c r="KTE224" s="5"/>
      <c r="KTF224" s="5"/>
      <c r="KTG224" s="17"/>
      <c r="KTJ224" s="392"/>
      <c r="KTK224" s="392"/>
      <c r="KTL224" s="392"/>
      <c r="KTM224" s="392"/>
      <c r="KTN224" s="392"/>
      <c r="KTO224" s="392"/>
      <c r="KTP224" s="363"/>
      <c r="KTQ224" s="363"/>
      <c r="KTU224" s="5"/>
      <c r="KTV224" s="5"/>
      <c r="KTW224" s="5"/>
      <c r="KTY224" s="5"/>
      <c r="KUA224" s="5"/>
      <c r="KUB224" s="5"/>
      <c r="KUC224" s="5"/>
      <c r="KUD224" s="17"/>
      <c r="KUG224" s="392"/>
      <c r="KUH224" s="392"/>
      <c r="KUI224" s="392"/>
      <c r="KUJ224" s="392"/>
      <c r="KUK224" s="392"/>
      <c r="KUL224" s="392"/>
      <c r="KUM224" s="363"/>
      <c r="KUN224" s="363"/>
      <c r="KUR224" s="5"/>
      <c r="KUS224" s="5"/>
      <c r="KUT224" s="5"/>
      <c r="KUV224" s="5"/>
      <c r="KUX224" s="5"/>
      <c r="KUY224" s="5"/>
      <c r="KUZ224" s="5"/>
      <c r="KVA224" s="17"/>
      <c r="KVD224" s="392"/>
      <c r="KVE224" s="392"/>
      <c r="KVF224" s="392"/>
      <c r="KVG224" s="392"/>
      <c r="KVH224" s="392"/>
      <c r="KVI224" s="392"/>
      <c r="KVJ224" s="363"/>
      <c r="KVK224" s="363"/>
      <c r="KVO224" s="5"/>
      <c r="KVP224" s="5"/>
      <c r="KVQ224" s="5"/>
      <c r="KVS224" s="5"/>
      <c r="KVU224" s="5"/>
      <c r="KVV224" s="5"/>
      <c r="KVW224" s="5"/>
      <c r="KVX224" s="17"/>
      <c r="KWA224" s="392"/>
      <c r="KWB224" s="392"/>
      <c r="KWC224" s="392"/>
      <c r="KWD224" s="392"/>
      <c r="KWE224" s="392"/>
      <c r="KWF224" s="392"/>
      <c r="KWG224" s="363"/>
      <c r="KWH224" s="363"/>
      <c r="KWL224" s="5"/>
      <c r="KWM224" s="5"/>
      <c r="KWN224" s="5"/>
      <c r="KWP224" s="5"/>
      <c r="KWR224" s="5"/>
      <c r="KWS224" s="5"/>
      <c r="KWT224" s="5"/>
      <c r="KWU224" s="17"/>
      <c r="KWX224" s="392"/>
      <c r="KWY224" s="392"/>
      <c r="KWZ224" s="392"/>
      <c r="KXA224" s="392"/>
      <c r="KXB224" s="392"/>
      <c r="KXC224" s="392"/>
      <c r="KXD224" s="363"/>
      <c r="KXE224" s="363"/>
      <c r="KXI224" s="5"/>
      <c r="KXJ224" s="5"/>
      <c r="KXK224" s="5"/>
      <c r="KXM224" s="5"/>
      <c r="KXO224" s="5"/>
      <c r="KXP224" s="5"/>
      <c r="KXQ224" s="5"/>
      <c r="KXR224" s="17"/>
      <c r="KXU224" s="392"/>
      <c r="KXV224" s="392"/>
      <c r="KXW224" s="392"/>
      <c r="KXX224" s="392"/>
      <c r="KXY224" s="392"/>
      <c r="KXZ224" s="392"/>
      <c r="KYA224" s="363"/>
      <c r="KYB224" s="363"/>
      <c r="KYF224" s="5"/>
      <c r="KYG224" s="5"/>
      <c r="KYH224" s="5"/>
      <c r="KYJ224" s="5"/>
      <c r="KYL224" s="5"/>
      <c r="KYM224" s="5"/>
      <c r="KYN224" s="5"/>
      <c r="KYO224" s="17"/>
      <c r="KYR224" s="392"/>
      <c r="KYS224" s="392"/>
      <c r="KYT224" s="392"/>
      <c r="KYU224" s="392"/>
      <c r="KYV224" s="392"/>
      <c r="KYW224" s="392"/>
      <c r="KYX224" s="363"/>
      <c r="KYY224" s="363"/>
      <c r="KZC224" s="5"/>
      <c r="KZD224" s="5"/>
      <c r="KZE224" s="5"/>
      <c r="KZG224" s="5"/>
      <c r="KZI224" s="5"/>
      <c r="KZJ224" s="5"/>
      <c r="KZK224" s="5"/>
      <c r="KZL224" s="17"/>
      <c r="KZO224" s="392"/>
      <c r="KZP224" s="392"/>
      <c r="KZQ224" s="392"/>
      <c r="KZR224" s="392"/>
      <c r="KZS224" s="392"/>
      <c r="KZT224" s="392"/>
      <c r="KZU224" s="363"/>
      <c r="KZV224" s="363"/>
      <c r="KZZ224" s="5"/>
      <c r="LAA224" s="5"/>
      <c r="LAB224" s="5"/>
      <c r="LAD224" s="5"/>
      <c r="LAF224" s="5"/>
      <c r="LAG224" s="5"/>
      <c r="LAH224" s="5"/>
      <c r="LAI224" s="17"/>
      <c r="LAL224" s="392"/>
      <c r="LAM224" s="392"/>
      <c r="LAN224" s="392"/>
      <c r="LAO224" s="392"/>
      <c r="LAP224" s="392"/>
      <c r="LAQ224" s="392"/>
      <c r="LAR224" s="363"/>
      <c r="LAS224" s="363"/>
      <c r="LAW224" s="5"/>
      <c r="LAX224" s="5"/>
      <c r="LAY224" s="5"/>
      <c r="LBA224" s="5"/>
      <c r="LBC224" s="5"/>
      <c r="LBD224" s="5"/>
      <c r="LBE224" s="5"/>
      <c r="LBF224" s="17"/>
      <c r="LBI224" s="392"/>
      <c r="LBJ224" s="392"/>
      <c r="LBK224" s="392"/>
      <c r="LBL224" s="392"/>
      <c r="LBM224" s="392"/>
      <c r="LBN224" s="392"/>
      <c r="LBO224" s="363"/>
      <c r="LBP224" s="363"/>
      <c r="LBT224" s="5"/>
      <c r="LBU224" s="5"/>
      <c r="LBV224" s="5"/>
      <c r="LBX224" s="5"/>
      <c r="LBZ224" s="5"/>
      <c r="LCA224" s="5"/>
      <c r="LCB224" s="5"/>
      <c r="LCC224" s="17"/>
      <c r="LCF224" s="392"/>
      <c r="LCG224" s="392"/>
      <c r="LCH224" s="392"/>
      <c r="LCI224" s="392"/>
      <c r="LCJ224" s="392"/>
      <c r="LCK224" s="392"/>
      <c r="LCL224" s="363"/>
      <c r="LCM224" s="363"/>
      <c r="LCQ224" s="5"/>
      <c r="LCR224" s="5"/>
      <c r="LCS224" s="5"/>
      <c r="LCU224" s="5"/>
      <c r="LCW224" s="5"/>
      <c r="LCX224" s="5"/>
      <c r="LCY224" s="5"/>
      <c r="LCZ224" s="17"/>
      <c r="LDC224" s="392"/>
      <c r="LDD224" s="392"/>
      <c r="LDE224" s="392"/>
      <c r="LDF224" s="392"/>
      <c r="LDG224" s="392"/>
      <c r="LDH224" s="392"/>
      <c r="LDI224" s="363"/>
      <c r="LDJ224" s="363"/>
      <c r="LDN224" s="5"/>
      <c r="LDO224" s="5"/>
      <c r="LDP224" s="5"/>
      <c r="LDR224" s="5"/>
      <c r="LDT224" s="5"/>
      <c r="LDU224" s="5"/>
      <c r="LDV224" s="5"/>
      <c r="LDW224" s="17"/>
      <c r="LDZ224" s="392"/>
      <c r="LEA224" s="392"/>
      <c r="LEB224" s="392"/>
      <c r="LEC224" s="392"/>
      <c r="LED224" s="392"/>
      <c r="LEE224" s="392"/>
      <c r="LEF224" s="363"/>
      <c r="LEG224" s="363"/>
      <c r="LEK224" s="5"/>
      <c r="LEL224" s="5"/>
      <c r="LEM224" s="5"/>
      <c r="LEO224" s="5"/>
      <c r="LEQ224" s="5"/>
      <c r="LER224" s="5"/>
      <c r="LES224" s="5"/>
      <c r="LET224" s="17"/>
      <c r="LEW224" s="392"/>
      <c r="LEX224" s="392"/>
      <c r="LEY224" s="392"/>
      <c r="LEZ224" s="392"/>
      <c r="LFA224" s="392"/>
      <c r="LFB224" s="392"/>
      <c r="LFC224" s="363"/>
      <c r="LFD224" s="363"/>
      <c r="LFH224" s="5"/>
      <c r="LFI224" s="5"/>
      <c r="LFJ224" s="5"/>
      <c r="LFL224" s="5"/>
      <c r="LFN224" s="5"/>
      <c r="LFO224" s="5"/>
      <c r="LFP224" s="5"/>
      <c r="LFQ224" s="17"/>
      <c r="LFT224" s="392"/>
      <c r="LFU224" s="392"/>
      <c r="LFV224" s="392"/>
      <c r="LFW224" s="392"/>
      <c r="LFX224" s="392"/>
      <c r="LFY224" s="392"/>
      <c r="LFZ224" s="363"/>
      <c r="LGA224" s="363"/>
      <c r="LGE224" s="5"/>
      <c r="LGF224" s="5"/>
      <c r="LGG224" s="5"/>
      <c r="LGI224" s="5"/>
      <c r="LGK224" s="5"/>
      <c r="LGL224" s="5"/>
      <c r="LGM224" s="5"/>
      <c r="LGN224" s="17"/>
      <c r="LGQ224" s="392"/>
      <c r="LGR224" s="392"/>
      <c r="LGS224" s="392"/>
      <c r="LGT224" s="392"/>
      <c r="LGU224" s="392"/>
      <c r="LGV224" s="392"/>
      <c r="LGW224" s="363"/>
      <c r="LGX224" s="363"/>
      <c r="LHB224" s="5"/>
      <c r="LHC224" s="5"/>
      <c r="LHD224" s="5"/>
      <c r="LHF224" s="5"/>
      <c r="LHH224" s="5"/>
      <c r="LHI224" s="5"/>
      <c r="LHJ224" s="5"/>
      <c r="LHK224" s="17"/>
      <c r="LHN224" s="392"/>
      <c r="LHO224" s="392"/>
      <c r="LHP224" s="392"/>
      <c r="LHQ224" s="392"/>
      <c r="LHR224" s="392"/>
      <c r="LHS224" s="392"/>
      <c r="LHT224" s="363"/>
      <c r="LHU224" s="363"/>
      <c r="LHY224" s="5"/>
      <c r="LHZ224" s="5"/>
      <c r="LIA224" s="5"/>
      <c r="LIC224" s="5"/>
      <c r="LIE224" s="5"/>
      <c r="LIF224" s="5"/>
      <c r="LIG224" s="5"/>
      <c r="LIH224" s="17"/>
      <c r="LIK224" s="392"/>
      <c r="LIL224" s="392"/>
      <c r="LIM224" s="392"/>
      <c r="LIN224" s="392"/>
      <c r="LIO224" s="392"/>
      <c r="LIP224" s="392"/>
      <c r="LIQ224" s="363"/>
      <c r="LIR224" s="363"/>
      <c r="LIV224" s="5"/>
      <c r="LIW224" s="5"/>
      <c r="LIX224" s="5"/>
      <c r="LIZ224" s="5"/>
      <c r="LJB224" s="5"/>
      <c r="LJC224" s="5"/>
      <c r="LJD224" s="5"/>
      <c r="LJE224" s="17"/>
      <c r="LJH224" s="392"/>
      <c r="LJI224" s="392"/>
      <c r="LJJ224" s="392"/>
      <c r="LJK224" s="392"/>
      <c r="LJL224" s="392"/>
      <c r="LJM224" s="392"/>
      <c r="LJN224" s="363"/>
      <c r="LJO224" s="363"/>
      <c r="LJS224" s="5"/>
      <c r="LJT224" s="5"/>
      <c r="LJU224" s="5"/>
      <c r="LJW224" s="5"/>
      <c r="LJY224" s="5"/>
      <c r="LJZ224" s="5"/>
      <c r="LKA224" s="5"/>
      <c r="LKB224" s="17"/>
      <c r="LKE224" s="392"/>
      <c r="LKF224" s="392"/>
      <c r="LKG224" s="392"/>
      <c r="LKH224" s="392"/>
      <c r="LKI224" s="392"/>
      <c r="LKJ224" s="392"/>
      <c r="LKK224" s="363"/>
      <c r="LKL224" s="363"/>
      <c r="LKP224" s="5"/>
      <c r="LKQ224" s="5"/>
      <c r="LKR224" s="5"/>
      <c r="LKT224" s="5"/>
      <c r="LKV224" s="5"/>
      <c r="LKW224" s="5"/>
      <c r="LKX224" s="5"/>
      <c r="LKY224" s="17"/>
      <c r="LLB224" s="392"/>
      <c r="LLC224" s="392"/>
      <c r="LLD224" s="392"/>
      <c r="LLE224" s="392"/>
      <c r="LLF224" s="392"/>
      <c r="LLG224" s="392"/>
      <c r="LLH224" s="363"/>
      <c r="LLI224" s="363"/>
      <c r="LLM224" s="5"/>
      <c r="LLN224" s="5"/>
      <c r="LLO224" s="5"/>
      <c r="LLQ224" s="5"/>
      <c r="LLS224" s="5"/>
      <c r="LLT224" s="5"/>
      <c r="LLU224" s="5"/>
      <c r="LLV224" s="17"/>
      <c r="LLY224" s="392"/>
      <c r="LLZ224" s="392"/>
      <c r="LMA224" s="392"/>
      <c r="LMB224" s="392"/>
      <c r="LMC224" s="392"/>
      <c r="LMD224" s="392"/>
      <c r="LME224" s="363"/>
      <c r="LMF224" s="363"/>
      <c r="LMJ224" s="5"/>
      <c r="LMK224" s="5"/>
      <c r="LML224" s="5"/>
      <c r="LMN224" s="5"/>
      <c r="LMP224" s="5"/>
      <c r="LMQ224" s="5"/>
      <c r="LMR224" s="5"/>
      <c r="LMS224" s="17"/>
      <c r="LMV224" s="392"/>
      <c r="LMW224" s="392"/>
      <c r="LMX224" s="392"/>
      <c r="LMY224" s="392"/>
      <c r="LMZ224" s="392"/>
      <c r="LNA224" s="392"/>
      <c r="LNB224" s="363"/>
      <c r="LNC224" s="363"/>
      <c r="LNG224" s="5"/>
      <c r="LNH224" s="5"/>
      <c r="LNI224" s="5"/>
      <c r="LNK224" s="5"/>
      <c r="LNM224" s="5"/>
      <c r="LNN224" s="5"/>
      <c r="LNO224" s="5"/>
      <c r="LNP224" s="17"/>
      <c r="LNS224" s="392"/>
      <c r="LNT224" s="392"/>
      <c r="LNU224" s="392"/>
      <c r="LNV224" s="392"/>
      <c r="LNW224" s="392"/>
      <c r="LNX224" s="392"/>
      <c r="LNY224" s="363"/>
      <c r="LNZ224" s="363"/>
      <c r="LOD224" s="5"/>
      <c r="LOE224" s="5"/>
      <c r="LOF224" s="5"/>
      <c r="LOH224" s="5"/>
      <c r="LOJ224" s="5"/>
      <c r="LOK224" s="5"/>
      <c r="LOL224" s="5"/>
      <c r="LOM224" s="17"/>
      <c r="LOP224" s="392"/>
      <c r="LOQ224" s="392"/>
      <c r="LOR224" s="392"/>
      <c r="LOS224" s="392"/>
      <c r="LOT224" s="392"/>
      <c r="LOU224" s="392"/>
      <c r="LOV224" s="363"/>
      <c r="LOW224" s="363"/>
      <c r="LPA224" s="5"/>
      <c r="LPB224" s="5"/>
      <c r="LPC224" s="5"/>
      <c r="LPE224" s="5"/>
      <c r="LPG224" s="5"/>
      <c r="LPH224" s="5"/>
      <c r="LPI224" s="5"/>
      <c r="LPJ224" s="17"/>
      <c r="LPM224" s="392"/>
      <c r="LPN224" s="392"/>
      <c r="LPO224" s="392"/>
      <c r="LPP224" s="392"/>
      <c r="LPQ224" s="392"/>
      <c r="LPR224" s="392"/>
      <c r="LPS224" s="363"/>
      <c r="LPT224" s="363"/>
      <c r="LPX224" s="5"/>
      <c r="LPY224" s="5"/>
      <c r="LPZ224" s="5"/>
      <c r="LQB224" s="5"/>
      <c r="LQD224" s="5"/>
      <c r="LQE224" s="5"/>
      <c r="LQF224" s="5"/>
      <c r="LQG224" s="17"/>
      <c r="LQJ224" s="392"/>
      <c r="LQK224" s="392"/>
      <c r="LQL224" s="392"/>
      <c r="LQM224" s="392"/>
      <c r="LQN224" s="392"/>
      <c r="LQO224" s="392"/>
      <c r="LQP224" s="363"/>
      <c r="LQQ224" s="363"/>
      <c r="LQU224" s="5"/>
      <c r="LQV224" s="5"/>
      <c r="LQW224" s="5"/>
      <c r="LQY224" s="5"/>
      <c r="LRA224" s="5"/>
      <c r="LRB224" s="5"/>
      <c r="LRC224" s="5"/>
      <c r="LRD224" s="17"/>
      <c r="LRG224" s="392"/>
      <c r="LRH224" s="392"/>
      <c r="LRI224" s="392"/>
      <c r="LRJ224" s="392"/>
      <c r="LRK224" s="392"/>
      <c r="LRL224" s="392"/>
      <c r="LRM224" s="363"/>
      <c r="LRN224" s="363"/>
      <c r="LRR224" s="5"/>
      <c r="LRS224" s="5"/>
      <c r="LRT224" s="5"/>
      <c r="LRV224" s="5"/>
      <c r="LRX224" s="5"/>
      <c r="LRY224" s="5"/>
      <c r="LRZ224" s="5"/>
      <c r="LSA224" s="17"/>
      <c r="LSD224" s="392"/>
      <c r="LSE224" s="392"/>
      <c r="LSF224" s="392"/>
      <c r="LSG224" s="392"/>
      <c r="LSH224" s="392"/>
      <c r="LSI224" s="392"/>
      <c r="LSJ224" s="363"/>
      <c r="LSK224" s="363"/>
      <c r="LSO224" s="5"/>
      <c r="LSP224" s="5"/>
      <c r="LSQ224" s="5"/>
      <c r="LSS224" s="5"/>
      <c r="LSU224" s="5"/>
      <c r="LSV224" s="5"/>
      <c r="LSW224" s="5"/>
      <c r="LSX224" s="17"/>
      <c r="LTA224" s="392"/>
      <c r="LTB224" s="392"/>
      <c r="LTC224" s="392"/>
      <c r="LTD224" s="392"/>
      <c r="LTE224" s="392"/>
      <c r="LTF224" s="392"/>
      <c r="LTG224" s="363"/>
      <c r="LTH224" s="363"/>
      <c r="LTL224" s="5"/>
      <c r="LTM224" s="5"/>
      <c r="LTN224" s="5"/>
      <c r="LTP224" s="5"/>
      <c r="LTR224" s="5"/>
      <c r="LTS224" s="5"/>
      <c r="LTT224" s="5"/>
      <c r="LTU224" s="17"/>
      <c r="LTX224" s="392"/>
      <c r="LTY224" s="392"/>
      <c r="LTZ224" s="392"/>
      <c r="LUA224" s="392"/>
      <c r="LUB224" s="392"/>
      <c r="LUC224" s="392"/>
      <c r="LUD224" s="363"/>
      <c r="LUE224" s="363"/>
      <c r="LUI224" s="5"/>
      <c r="LUJ224" s="5"/>
      <c r="LUK224" s="5"/>
      <c r="LUM224" s="5"/>
      <c r="LUO224" s="5"/>
      <c r="LUP224" s="5"/>
      <c r="LUQ224" s="5"/>
      <c r="LUR224" s="17"/>
      <c r="LUU224" s="392"/>
      <c r="LUV224" s="392"/>
      <c r="LUW224" s="392"/>
      <c r="LUX224" s="392"/>
      <c r="LUY224" s="392"/>
      <c r="LUZ224" s="392"/>
      <c r="LVA224" s="363"/>
      <c r="LVB224" s="363"/>
      <c r="LVF224" s="5"/>
      <c r="LVG224" s="5"/>
      <c r="LVH224" s="5"/>
      <c r="LVJ224" s="5"/>
      <c r="LVL224" s="5"/>
      <c r="LVM224" s="5"/>
      <c r="LVN224" s="5"/>
      <c r="LVO224" s="17"/>
      <c r="LVR224" s="392"/>
      <c r="LVS224" s="392"/>
      <c r="LVT224" s="392"/>
      <c r="LVU224" s="392"/>
      <c r="LVV224" s="392"/>
      <c r="LVW224" s="392"/>
      <c r="LVX224" s="363"/>
      <c r="LVY224" s="363"/>
      <c r="LWC224" s="5"/>
      <c r="LWD224" s="5"/>
      <c r="LWE224" s="5"/>
      <c r="LWG224" s="5"/>
      <c r="LWI224" s="5"/>
      <c r="LWJ224" s="5"/>
      <c r="LWK224" s="5"/>
      <c r="LWL224" s="17"/>
      <c r="LWO224" s="392"/>
      <c r="LWP224" s="392"/>
      <c r="LWQ224" s="392"/>
      <c r="LWR224" s="392"/>
      <c r="LWS224" s="392"/>
      <c r="LWT224" s="392"/>
      <c r="LWU224" s="363"/>
      <c r="LWV224" s="363"/>
      <c r="LWZ224" s="5"/>
      <c r="LXA224" s="5"/>
      <c r="LXB224" s="5"/>
      <c r="LXD224" s="5"/>
      <c r="LXF224" s="5"/>
      <c r="LXG224" s="5"/>
      <c r="LXH224" s="5"/>
      <c r="LXI224" s="17"/>
      <c r="LXL224" s="392"/>
      <c r="LXM224" s="392"/>
      <c r="LXN224" s="392"/>
      <c r="LXO224" s="392"/>
      <c r="LXP224" s="392"/>
      <c r="LXQ224" s="392"/>
      <c r="LXR224" s="363"/>
      <c r="LXS224" s="363"/>
      <c r="LXW224" s="5"/>
      <c r="LXX224" s="5"/>
      <c r="LXY224" s="5"/>
      <c r="LYA224" s="5"/>
      <c r="LYC224" s="5"/>
      <c r="LYD224" s="5"/>
      <c r="LYE224" s="5"/>
      <c r="LYF224" s="17"/>
      <c r="LYI224" s="392"/>
      <c r="LYJ224" s="392"/>
      <c r="LYK224" s="392"/>
      <c r="LYL224" s="392"/>
      <c r="LYM224" s="392"/>
      <c r="LYN224" s="392"/>
      <c r="LYO224" s="363"/>
      <c r="LYP224" s="363"/>
      <c r="LYT224" s="5"/>
      <c r="LYU224" s="5"/>
      <c r="LYV224" s="5"/>
      <c r="LYX224" s="5"/>
      <c r="LYZ224" s="5"/>
      <c r="LZA224" s="5"/>
      <c r="LZB224" s="5"/>
      <c r="LZC224" s="17"/>
      <c r="LZF224" s="392"/>
      <c r="LZG224" s="392"/>
      <c r="LZH224" s="392"/>
      <c r="LZI224" s="392"/>
      <c r="LZJ224" s="392"/>
      <c r="LZK224" s="392"/>
      <c r="LZL224" s="363"/>
      <c r="LZM224" s="363"/>
      <c r="LZQ224" s="5"/>
      <c r="LZR224" s="5"/>
      <c r="LZS224" s="5"/>
      <c r="LZU224" s="5"/>
      <c r="LZW224" s="5"/>
      <c r="LZX224" s="5"/>
      <c r="LZY224" s="5"/>
      <c r="LZZ224" s="17"/>
      <c r="MAC224" s="392"/>
      <c r="MAD224" s="392"/>
      <c r="MAE224" s="392"/>
      <c r="MAF224" s="392"/>
      <c r="MAG224" s="392"/>
      <c r="MAH224" s="392"/>
      <c r="MAI224" s="363"/>
      <c r="MAJ224" s="363"/>
      <c r="MAN224" s="5"/>
      <c r="MAO224" s="5"/>
      <c r="MAP224" s="5"/>
      <c r="MAR224" s="5"/>
      <c r="MAT224" s="5"/>
      <c r="MAU224" s="5"/>
      <c r="MAV224" s="5"/>
      <c r="MAW224" s="17"/>
      <c r="MAZ224" s="392"/>
      <c r="MBA224" s="392"/>
      <c r="MBB224" s="392"/>
      <c r="MBC224" s="392"/>
      <c r="MBD224" s="392"/>
      <c r="MBE224" s="392"/>
      <c r="MBF224" s="363"/>
      <c r="MBG224" s="363"/>
      <c r="MBK224" s="5"/>
      <c r="MBL224" s="5"/>
      <c r="MBM224" s="5"/>
      <c r="MBO224" s="5"/>
      <c r="MBQ224" s="5"/>
      <c r="MBR224" s="5"/>
      <c r="MBS224" s="5"/>
      <c r="MBT224" s="17"/>
      <c r="MBW224" s="392"/>
      <c r="MBX224" s="392"/>
      <c r="MBY224" s="392"/>
      <c r="MBZ224" s="392"/>
      <c r="MCA224" s="392"/>
      <c r="MCB224" s="392"/>
      <c r="MCC224" s="363"/>
      <c r="MCD224" s="363"/>
      <c r="MCH224" s="5"/>
      <c r="MCI224" s="5"/>
      <c r="MCJ224" s="5"/>
      <c r="MCL224" s="5"/>
      <c r="MCN224" s="5"/>
      <c r="MCO224" s="5"/>
      <c r="MCP224" s="5"/>
      <c r="MCQ224" s="17"/>
      <c r="MCT224" s="392"/>
      <c r="MCU224" s="392"/>
      <c r="MCV224" s="392"/>
      <c r="MCW224" s="392"/>
      <c r="MCX224" s="392"/>
      <c r="MCY224" s="392"/>
      <c r="MCZ224" s="363"/>
      <c r="MDA224" s="363"/>
      <c r="MDE224" s="5"/>
      <c r="MDF224" s="5"/>
      <c r="MDG224" s="5"/>
      <c r="MDI224" s="5"/>
      <c r="MDK224" s="5"/>
      <c r="MDL224" s="5"/>
      <c r="MDM224" s="5"/>
      <c r="MDN224" s="17"/>
      <c r="MDQ224" s="392"/>
      <c r="MDR224" s="392"/>
      <c r="MDS224" s="392"/>
      <c r="MDT224" s="392"/>
      <c r="MDU224" s="392"/>
      <c r="MDV224" s="392"/>
      <c r="MDW224" s="363"/>
      <c r="MDX224" s="363"/>
      <c r="MEB224" s="5"/>
      <c r="MEC224" s="5"/>
      <c r="MED224" s="5"/>
      <c r="MEF224" s="5"/>
      <c r="MEH224" s="5"/>
      <c r="MEI224" s="5"/>
      <c r="MEJ224" s="5"/>
      <c r="MEK224" s="17"/>
      <c r="MEN224" s="392"/>
      <c r="MEO224" s="392"/>
      <c r="MEP224" s="392"/>
      <c r="MEQ224" s="392"/>
      <c r="MER224" s="392"/>
      <c r="MES224" s="392"/>
      <c r="MET224" s="363"/>
      <c r="MEU224" s="363"/>
      <c r="MEY224" s="5"/>
      <c r="MEZ224" s="5"/>
      <c r="MFA224" s="5"/>
      <c r="MFC224" s="5"/>
      <c r="MFE224" s="5"/>
      <c r="MFF224" s="5"/>
      <c r="MFG224" s="5"/>
      <c r="MFH224" s="17"/>
      <c r="MFK224" s="392"/>
      <c r="MFL224" s="392"/>
      <c r="MFM224" s="392"/>
      <c r="MFN224" s="392"/>
      <c r="MFO224" s="392"/>
      <c r="MFP224" s="392"/>
      <c r="MFQ224" s="363"/>
      <c r="MFR224" s="363"/>
      <c r="MFV224" s="5"/>
      <c r="MFW224" s="5"/>
      <c r="MFX224" s="5"/>
      <c r="MFZ224" s="5"/>
      <c r="MGB224" s="5"/>
      <c r="MGC224" s="5"/>
      <c r="MGD224" s="5"/>
      <c r="MGE224" s="17"/>
      <c r="MGH224" s="392"/>
      <c r="MGI224" s="392"/>
      <c r="MGJ224" s="392"/>
      <c r="MGK224" s="392"/>
      <c r="MGL224" s="392"/>
      <c r="MGM224" s="392"/>
      <c r="MGN224" s="363"/>
      <c r="MGO224" s="363"/>
      <c r="MGS224" s="5"/>
      <c r="MGT224" s="5"/>
      <c r="MGU224" s="5"/>
      <c r="MGW224" s="5"/>
      <c r="MGY224" s="5"/>
      <c r="MGZ224" s="5"/>
      <c r="MHA224" s="5"/>
      <c r="MHB224" s="17"/>
      <c r="MHE224" s="392"/>
      <c r="MHF224" s="392"/>
      <c r="MHG224" s="392"/>
      <c r="MHH224" s="392"/>
      <c r="MHI224" s="392"/>
      <c r="MHJ224" s="392"/>
      <c r="MHK224" s="363"/>
      <c r="MHL224" s="363"/>
      <c r="MHP224" s="5"/>
      <c r="MHQ224" s="5"/>
      <c r="MHR224" s="5"/>
      <c r="MHT224" s="5"/>
      <c r="MHV224" s="5"/>
      <c r="MHW224" s="5"/>
      <c r="MHX224" s="5"/>
      <c r="MHY224" s="17"/>
      <c r="MIB224" s="392"/>
      <c r="MIC224" s="392"/>
      <c r="MID224" s="392"/>
      <c r="MIE224" s="392"/>
      <c r="MIF224" s="392"/>
      <c r="MIG224" s="392"/>
      <c r="MIH224" s="363"/>
      <c r="MII224" s="363"/>
      <c r="MIM224" s="5"/>
      <c r="MIN224" s="5"/>
      <c r="MIO224" s="5"/>
      <c r="MIQ224" s="5"/>
      <c r="MIS224" s="5"/>
      <c r="MIT224" s="5"/>
      <c r="MIU224" s="5"/>
      <c r="MIV224" s="17"/>
      <c r="MIY224" s="392"/>
      <c r="MIZ224" s="392"/>
      <c r="MJA224" s="392"/>
      <c r="MJB224" s="392"/>
      <c r="MJC224" s="392"/>
      <c r="MJD224" s="392"/>
      <c r="MJE224" s="363"/>
      <c r="MJF224" s="363"/>
      <c r="MJJ224" s="5"/>
      <c r="MJK224" s="5"/>
      <c r="MJL224" s="5"/>
      <c r="MJN224" s="5"/>
      <c r="MJP224" s="5"/>
      <c r="MJQ224" s="5"/>
      <c r="MJR224" s="5"/>
      <c r="MJS224" s="17"/>
      <c r="MJV224" s="392"/>
      <c r="MJW224" s="392"/>
      <c r="MJX224" s="392"/>
      <c r="MJY224" s="392"/>
      <c r="MJZ224" s="392"/>
      <c r="MKA224" s="392"/>
      <c r="MKB224" s="363"/>
      <c r="MKC224" s="363"/>
      <c r="MKG224" s="5"/>
      <c r="MKH224" s="5"/>
      <c r="MKI224" s="5"/>
      <c r="MKK224" s="5"/>
      <c r="MKM224" s="5"/>
      <c r="MKN224" s="5"/>
      <c r="MKO224" s="5"/>
      <c r="MKP224" s="17"/>
      <c r="MKS224" s="392"/>
      <c r="MKT224" s="392"/>
      <c r="MKU224" s="392"/>
      <c r="MKV224" s="392"/>
      <c r="MKW224" s="392"/>
      <c r="MKX224" s="392"/>
      <c r="MKY224" s="363"/>
      <c r="MKZ224" s="363"/>
      <c r="MLD224" s="5"/>
      <c r="MLE224" s="5"/>
      <c r="MLF224" s="5"/>
      <c r="MLH224" s="5"/>
      <c r="MLJ224" s="5"/>
      <c r="MLK224" s="5"/>
      <c r="MLL224" s="5"/>
      <c r="MLM224" s="17"/>
      <c r="MLP224" s="392"/>
      <c r="MLQ224" s="392"/>
      <c r="MLR224" s="392"/>
      <c r="MLS224" s="392"/>
      <c r="MLT224" s="392"/>
      <c r="MLU224" s="392"/>
      <c r="MLV224" s="363"/>
      <c r="MLW224" s="363"/>
      <c r="MMA224" s="5"/>
      <c r="MMB224" s="5"/>
      <c r="MMC224" s="5"/>
      <c r="MME224" s="5"/>
      <c r="MMG224" s="5"/>
      <c r="MMH224" s="5"/>
      <c r="MMI224" s="5"/>
      <c r="MMJ224" s="17"/>
      <c r="MMM224" s="392"/>
      <c r="MMN224" s="392"/>
      <c r="MMO224" s="392"/>
      <c r="MMP224" s="392"/>
      <c r="MMQ224" s="392"/>
      <c r="MMR224" s="392"/>
      <c r="MMS224" s="363"/>
      <c r="MMT224" s="363"/>
      <c r="MMX224" s="5"/>
      <c r="MMY224" s="5"/>
      <c r="MMZ224" s="5"/>
      <c r="MNB224" s="5"/>
      <c r="MND224" s="5"/>
      <c r="MNE224" s="5"/>
      <c r="MNF224" s="5"/>
      <c r="MNG224" s="17"/>
      <c r="MNJ224" s="392"/>
      <c r="MNK224" s="392"/>
      <c r="MNL224" s="392"/>
      <c r="MNM224" s="392"/>
      <c r="MNN224" s="392"/>
      <c r="MNO224" s="392"/>
      <c r="MNP224" s="363"/>
      <c r="MNQ224" s="363"/>
      <c r="MNU224" s="5"/>
      <c r="MNV224" s="5"/>
      <c r="MNW224" s="5"/>
      <c r="MNY224" s="5"/>
      <c r="MOA224" s="5"/>
      <c r="MOB224" s="5"/>
      <c r="MOC224" s="5"/>
      <c r="MOD224" s="17"/>
      <c r="MOG224" s="392"/>
      <c r="MOH224" s="392"/>
      <c r="MOI224" s="392"/>
      <c r="MOJ224" s="392"/>
      <c r="MOK224" s="392"/>
      <c r="MOL224" s="392"/>
      <c r="MOM224" s="363"/>
      <c r="MON224" s="363"/>
      <c r="MOR224" s="5"/>
      <c r="MOS224" s="5"/>
      <c r="MOT224" s="5"/>
      <c r="MOV224" s="5"/>
      <c r="MOX224" s="5"/>
      <c r="MOY224" s="5"/>
      <c r="MOZ224" s="5"/>
      <c r="MPA224" s="17"/>
      <c r="MPD224" s="392"/>
      <c r="MPE224" s="392"/>
      <c r="MPF224" s="392"/>
      <c r="MPG224" s="392"/>
      <c r="MPH224" s="392"/>
      <c r="MPI224" s="392"/>
      <c r="MPJ224" s="363"/>
      <c r="MPK224" s="363"/>
      <c r="MPO224" s="5"/>
      <c r="MPP224" s="5"/>
      <c r="MPQ224" s="5"/>
      <c r="MPS224" s="5"/>
      <c r="MPU224" s="5"/>
      <c r="MPV224" s="5"/>
      <c r="MPW224" s="5"/>
      <c r="MPX224" s="17"/>
      <c r="MQA224" s="392"/>
      <c r="MQB224" s="392"/>
      <c r="MQC224" s="392"/>
      <c r="MQD224" s="392"/>
      <c r="MQE224" s="392"/>
      <c r="MQF224" s="392"/>
      <c r="MQG224" s="363"/>
      <c r="MQH224" s="363"/>
      <c r="MQL224" s="5"/>
      <c r="MQM224" s="5"/>
      <c r="MQN224" s="5"/>
      <c r="MQP224" s="5"/>
      <c r="MQR224" s="5"/>
      <c r="MQS224" s="5"/>
      <c r="MQT224" s="5"/>
      <c r="MQU224" s="17"/>
      <c r="MQX224" s="392"/>
      <c r="MQY224" s="392"/>
      <c r="MQZ224" s="392"/>
      <c r="MRA224" s="392"/>
      <c r="MRB224" s="392"/>
      <c r="MRC224" s="392"/>
      <c r="MRD224" s="363"/>
      <c r="MRE224" s="363"/>
      <c r="MRI224" s="5"/>
      <c r="MRJ224" s="5"/>
      <c r="MRK224" s="5"/>
      <c r="MRM224" s="5"/>
      <c r="MRO224" s="5"/>
      <c r="MRP224" s="5"/>
      <c r="MRQ224" s="5"/>
      <c r="MRR224" s="17"/>
      <c r="MRU224" s="392"/>
      <c r="MRV224" s="392"/>
      <c r="MRW224" s="392"/>
      <c r="MRX224" s="392"/>
      <c r="MRY224" s="392"/>
      <c r="MRZ224" s="392"/>
      <c r="MSA224" s="363"/>
      <c r="MSB224" s="363"/>
      <c r="MSF224" s="5"/>
      <c r="MSG224" s="5"/>
      <c r="MSH224" s="5"/>
      <c r="MSJ224" s="5"/>
      <c r="MSL224" s="5"/>
      <c r="MSM224" s="5"/>
      <c r="MSN224" s="5"/>
      <c r="MSO224" s="17"/>
      <c r="MSR224" s="392"/>
      <c r="MSS224" s="392"/>
      <c r="MST224" s="392"/>
      <c r="MSU224" s="392"/>
      <c r="MSV224" s="392"/>
      <c r="MSW224" s="392"/>
      <c r="MSX224" s="363"/>
      <c r="MSY224" s="363"/>
      <c r="MTC224" s="5"/>
      <c r="MTD224" s="5"/>
      <c r="MTE224" s="5"/>
      <c r="MTG224" s="5"/>
      <c r="MTI224" s="5"/>
      <c r="MTJ224" s="5"/>
      <c r="MTK224" s="5"/>
      <c r="MTL224" s="17"/>
      <c r="MTO224" s="392"/>
      <c r="MTP224" s="392"/>
      <c r="MTQ224" s="392"/>
      <c r="MTR224" s="392"/>
      <c r="MTS224" s="392"/>
      <c r="MTT224" s="392"/>
      <c r="MTU224" s="363"/>
      <c r="MTV224" s="363"/>
      <c r="MTZ224" s="5"/>
      <c r="MUA224" s="5"/>
      <c r="MUB224" s="5"/>
      <c r="MUD224" s="5"/>
      <c r="MUF224" s="5"/>
      <c r="MUG224" s="5"/>
      <c r="MUH224" s="5"/>
      <c r="MUI224" s="17"/>
      <c r="MUL224" s="392"/>
      <c r="MUM224" s="392"/>
      <c r="MUN224" s="392"/>
      <c r="MUO224" s="392"/>
      <c r="MUP224" s="392"/>
      <c r="MUQ224" s="392"/>
      <c r="MUR224" s="363"/>
      <c r="MUS224" s="363"/>
      <c r="MUW224" s="5"/>
      <c r="MUX224" s="5"/>
      <c r="MUY224" s="5"/>
      <c r="MVA224" s="5"/>
      <c r="MVC224" s="5"/>
      <c r="MVD224" s="5"/>
      <c r="MVE224" s="5"/>
      <c r="MVF224" s="17"/>
      <c r="MVI224" s="392"/>
      <c r="MVJ224" s="392"/>
      <c r="MVK224" s="392"/>
      <c r="MVL224" s="392"/>
      <c r="MVM224" s="392"/>
      <c r="MVN224" s="392"/>
      <c r="MVO224" s="363"/>
      <c r="MVP224" s="363"/>
      <c r="MVT224" s="5"/>
      <c r="MVU224" s="5"/>
      <c r="MVV224" s="5"/>
      <c r="MVX224" s="5"/>
      <c r="MVZ224" s="5"/>
      <c r="MWA224" s="5"/>
      <c r="MWB224" s="5"/>
      <c r="MWC224" s="17"/>
      <c r="MWF224" s="392"/>
      <c r="MWG224" s="392"/>
      <c r="MWH224" s="392"/>
      <c r="MWI224" s="392"/>
      <c r="MWJ224" s="392"/>
      <c r="MWK224" s="392"/>
      <c r="MWL224" s="363"/>
      <c r="MWM224" s="363"/>
      <c r="MWQ224" s="5"/>
      <c r="MWR224" s="5"/>
      <c r="MWS224" s="5"/>
      <c r="MWU224" s="5"/>
      <c r="MWW224" s="5"/>
      <c r="MWX224" s="5"/>
      <c r="MWY224" s="5"/>
      <c r="MWZ224" s="17"/>
      <c r="MXC224" s="392"/>
      <c r="MXD224" s="392"/>
      <c r="MXE224" s="392"/>
      <c r="MXF224" s="392"/>
      <c r="MXG224" s="392"/>
      <c r="MXH224" s="392"/>
      <c r="MXI224" s="363"/>
      <c r="MXJ224" s="363"/>
      <c r="MXN224" s="5"/>
      <c r="MXO224" s="5"/>
      <c r="MXP224" s="5"/>
      <c r="MXR224" s="5"/>
      <c r="MXT224" s="5"/>
      <c r="MXU224" s="5"/>
      <c r="MXV224" s="5"/>
      <c r="MXW224" s="17"/>
      <c r="MXZ224" s="392"/>
      <c r="MYA224" s="392"/>
      <c r="MYB224" s="392"/>
      <c r="MYC224" s="392"/>
      <c r="MYD224" s="392"/>
      <c r="MYE224" s="392"/>
      <c r="MYF224" s="363"/>
      <c r="MYG224" s="363"/>
      <c r="MYK224" s="5"/>
      <c r="MYL224" s="5"/>
      <c r="MYM224" s="5"/>
      <c r="MYO224" s="5"/>
      <c r="MYQ224" s="5"/>
      <c r="MYR224" s="5"/>
      <c r="MYS224" s="5"/>
      <c r="MYT224" s="17"/>
      <c r="MYW224" s="392"/>
      <c r="MYX224" s="392"/>
      <c r="MYY224" s="392"/>
      <c r="MYZ224" s="392"/>
      <c r="MZA224" s="392"/>
      <c r="MZB224" s="392"/>
      <c r="MZC224" s="363"/>
      <c r="MZD224" s="363"/>
      <c r="MZH224" s="5"/>
      <c r="MZI224" s="5"/>
      <c r="MZJ224" s="5"/>
      <c r="MZL224" s="5"/>
      <c r="MZN224" s="5"/>
      <c r="MZO224" s="5"/>
      <c r="MZP224" s="5"/>
      <c r="MZQ224" s="17"/>
      <c r="MZT224" s="392"/>
      <c r="MZU224" s="392"/>
      <c r="MZV224" s="392"/>
      <c r="MZW224" s="392"/>
      <c r="MZX224" s="392"/>
      <c r="MZY224" s="392"/>
      <c r="MZZ224" s="363"/>
      <c r="NAA224" s="363"/>
      <c r="NAE224" s="5"/>
      <c r="NAF224" s="5"/>
      <c r="NAG224" s="5"/>
      <c r="NAI224" s="5"/>
      <c r="NAK224" s="5"/>
      <c r="NAL224" s="5"/>
      <c r="NAM224" s="5"/>
      <c r="NAN224" s="17"/>
      <c r="NAQ224" s="392"/>
      <c r="NAR224" s="392"/>
      <c r="NAS224" s="392"/>
      <c r="NAT224" s="392"/>
      <c r="NAU224" s="392"/>
      <c r="NAV224" s="392"/>
      <c r="NAW224" s="363"/>
      <c r="NAX224" s="363"/>
      <c r="NBB224" s="5"/>
      <c r="NBC224" s="5"/>
      <c r="NBD224" s="5"/>
      <c r="NBF224" s="5"/>
      <c r="NBH224" s="5"/>
      <c r="NBI224" s="5"/>
      <c r="NBJ224" s="5"/>
      <c r="NBK224" s="17"/>
      <c r="NBN224" s="392"/>
      <c r="NBO224" s="392"/>
      <c r="NBP224" s="392"/>
      <c r="NBQ224" s="392"/>
      <c r="NBR224" s="392"/>
      <c r="NBS224" s="392"/>
      <c r="NBT224" s="363"/>
      <c r="NBU224" s="363"/>
      <c r="NBY224" s="5"/>
      <c r="NBZ224" s="5"/>
      <c r="NCA224" s="5"/>
      <c r="NCC224" s="5"/>
      <c r="NCE224" s="5"/>
      <c r="NCF224" s="5"/>
      <c r="NCG224" s="5"/>
      <c r="NCH224" s="17"/>
      <c r="NCK224" s="392"/>
      <c r="NCL224" s="392"/>
      <c r="NCM224" s="392"/>
      <c r="NCN224" s="392"/>
      <c r="NCO224" s="392"/>
      <c r="NCP224" s="392"/>
      <c r="NCQ224" s="363"/>
      <c r="NCR224" s="363"/>
      <c r="NCV224" s="5"/>
      <c r="NCW224" s="5"/>
      <c r="NCX224" s="5"/>
      <c r="NCZ224" s="5"/>
      <c r="NDB224" s="5"/>
      <c r="NDC224" s="5"/>
      <c r="NDD224" s="5"/>
      <c r="NDE224" s="17"/>
      <c r="NDH224" s="392"/>
      <c r="NDI224" s="392"/>
      <c r="NDJ224" s="392"/>
      <c r="NDK224" s="392"/>
      <c r="NDL224" s="392"/>
      <c r="NDM224" s="392"/>
      <c r="NDN224" s="363"/>
      <c r="NDO224" s="363"/>
      <c r="NDS224" s="5"/>
      <c r="NDT224" s="5"/>
      <c r="NDU224" s="5"/>
      <c r="NDW224" s="5"/>
      <c r="NDY224" s="5"/>
      <c r="NDZ224" s="5"/>
      <c r="NEA224" s="5"/>
      <c r="NEB224" s="17"/>
      <c r="NEE224" s="392"/>
      <c r="NEF224" s="392"/>
      <c r="NEG224" s="392"/>
      <c r="NEH224" s="392"/>
      <c r="NEI224" s="392"/>
      <c r="NEJ224" s="392"/>
      <c r="NEK224" s="363"/>
      <c r="NEL224" s="363"/>
      <c r="NEP224" s="5"/>
      <c r="NEQ224" s="5"/>
      <c r="NER224" s="5"/>
      <c r="NET224" s="5"/>
      <c r="NEV224" s="5"/>
      <c r="NEW224" s="5"/>
      <c r="NEX224" s="5"/>
      <c r="NEY224" s="17"/>
      <c r="NFB224" s="392"/>
      <c r="NFC224" s="392"/>
      <c r="NFD224" s="392"/>
      <c r="NFE224" s="392"/>
      <c r="NFF224" s="392"/>
      <c r="NFG224" s="392"/>
      <c r="NFH224" s="363"/>
      <c r="NFI224" s="363"/>
      <c r="NFM224" s="5"/>
      <c r="NFN224" s="5"/>
      <c r="NFO224" s="5"/>
      <c r="NFQ224" s="5"/>
      <c r="NFS224" s="5"/>
      <c r="NFT224" s="5"/>
      <c r="NFU224" s="5"/>
      <c r="NFV224" s="17"/>
      <c r="NFY224" s="392"/>
      <c r="NFZ224" s="392"/>
      <c r="NGA224" s="392"/>
      <c r="NGB224" s="392"/>
      <c r="NGC224" s="392"/>
      <c r="NGD224" s="392"/>
      <c r="NGE224" s="363"/>
      <c r="NGF224" s="363"/>
      <c r="NGJ224" s="5"/>
      <c r="NGK224" s="5"/>
      <c r="NGL224" s="5"/>
      <c r="NGN224" s="5"/>
      <c r="NGP224" s="5"/>
      <c r="NGQ224" s="5"/>
      <c r="NGR224" s="5"/>
      <c r="NGS224" s="17"/>
      <c r="NGV224" s="392"/>
      <c r="NGW224" s="392"/>
      <c r="NGX224" s="392"/>
      <c r="NGY224" s="392"/>
      <c r="NGZ224" s="392"/>
      <c r="NHA224" s="392"/>
      <c r="NHB224" s="363"/>
      <c r="NHC224" s="363"/>
      <c r="NHG224" s="5"/>
      <c r="NHH224" s="5"/>
      <c r="NHI224" s="5"/>
      <c r="NHK224" s="5"/>
      <c r="NHM224" s="5"/>
      <c r="NHN224" s="5"/>
      <c r="NHO224" s="5"/>
      <c r="NHP224" s="17"/>
      <c r="NHS224" s="392"/>
      <c r="NHT224" s="392"/>
      <c r="NHU224" s="392"/>
      <c r="NHV224" s="392"/>
      <c r="NHW224" s="392"/>
      <c r="NHX224" s="392"/>
      <c r="NHY224" s="363"/>
      <c r="NHZ224" s="363"/>
      <c r="NID224" s="5"/>
      <c r="NIE224" s="5"/>
      <c r="NIF224" s="5"/>
      <c r="NIH224" s="5"/>
      <c r="NIJ224" s="5"/>
      <c r="NIK224" s="5"/>
      <c r="NIL224" s="5"/>
      <c r="NIM224" s="17"/>
      <c r="NIP224" s="392"/>
      <c r="NIQ224" s="392"/>
      <c r="NIR224" s="392"/>
      <c r="NIS224" s="392"/>
      <c r="NIT224" s="392"/>
      <c r="NIU224" s="392"/>
      <c r="NIV224" s="363"/>
      <c r="NIW224" s="363"/>
      <c r="NJA224" s="5"/>
      <c r="NJB224" s="5"/>
      <c r="NJC224" s="5"/>
      <c r="NJE224" s="5"/>
      <c r="NJG224" s="5"/>
      <c r="NJH224" s="5"/>
      <c r="NJI224" s="5"/>
      <c r="NJJ224" s="17"/>
      <c r="NJM224" s="392"/>
      <c r="NJN224" s="392"/>
      <c r="NJO224" s="392"/>
      <c r="NJP224" s="392"/>
      <c r="NJQ224" s="392"/>
      <c r="NJR224" s="392"/>
      <c r="NJS224" s="363"/>
      <c r="NJT224" s="363"/>
      <c r="NJX224" s="5"/>
      <c r="NJY224" s="5"/>
      <c r="NJZ224" s="5"/>
      <c r="NKB224" s="5"/>
      <c r="NKD224" s="5"/>
      <c r="NKE224" s="5"/>
      <c r="NKF224" s="5"/>
      <c r="NKG224" s="17"/>
      <c r="NKJ224" s="392"/>
      <c r="NKK224" s="392"/>
      <c r="NKL224" s="392"/>
      <c r="NKM224" s="392"/>
      <c r="NKN224" s="392"/>
      <c r="NKO224" s="392"/>
      <c r="NKP224" s="363"/>
      <c r="NKQ224" s="363"/>
      <c r="NKU224" s="5"/>
      <c r="NKV224" s="5"/>
      <c r="NKW224" s="5"/>
      <c r="NKY224" s="5"/>
      <c r="NLA224" s="5"/>
      <c r="NLB224" s="5"/>
      <c r="NLC224" s="5"/>
      <c r="NLD224" s="17"/>
      <c r="NLG224" s="392"/>
      <c r="NLH224" s="392"/>
      <c r="NLI224" s="392"/>
      <c r="NLJ224" s="392"/>
      <c r="NLK224" s="392"/>
      <c r="NLL224" s="392"/>
      <c r="NLM224" s="363"/>
      <c r="NLN224" s="363"/>
      <c r="NLR224" s="5"/>
      <c r="NLS224" s="5"/>
      <c r="NLT224" s="5"/>
      <c r="NLV224" s="5"/>
      <c r="NLX224" s="5"/>
      <c r="NLY224" s="5"/>
      <c r="NLZ224" s="5"/>
      <c r="NMA224" s="17"/>
      <c r="NMD224" s="392"/>
      <c r="NME224" s="392"/>
      <c r="NMF224" s="392"/>
      <c r="NMG224" s="392"/>
      <c r="NMH224" s="392"/>
      <c r="NMI224" s="392"/>
      <c r="NMJ224" s="363"/>
      <c r="NMK224" s="363"/>
      <c r="NMO224" s="5"/>
      <c r="NMP224" s="5"/>
      <c r="NMQ224" s="5"/>
      <c r="NMS224" s="5"/>
      <c r="NMU224" s="5"/>
      <c r="NMV224" s="5"/>
      <c r="NMW224" s="5"/>
      <c r="NMX224" s="17"/>
      <c r="NNA224" s="392"/>
      <c r="NNB224" s="392"/>
      <c r="NNC224" s="392"/>
      <c r="NND224" s="392"/>
      <c r="NNE224" s="392"/>
      <c r="NNF224" s="392"/>
      <c r="NNG224" s="363"/>
      <c r="NNH224" s="363"/>
      <c r="NNL224" s="5"/>
      <c r="NNM224" s="5"/>
      <c r="NNN224" s="5"/>
      <c r="NNP224" s="5"/>
      <c r="NNR224" s="5"/>
      <c r="NNS224" s="5"/>
      <c r="NNT224" s="5"/>
      <c r="NNU224" s="17"/>
      <c r="NNX224" s="392"/>
      <c r="NNY224" s="392"/>
      <c r="NNZ224" s="392"/>
      <c r="NOA224" s="392"/>
      <c r="NOB224" s="392"/>
      <c r="NOC224" s="392"/>
      <c r="NOD224" s="363"/>
      <c r="NOE224" s="363"/>
      <c r="NOI224" s="5"/>
      <c r="NOJ224" s="5"/>
      <c r="NOK224" s="5"/>
      <c r="NOM224" s="5"/>
      <c r="NOO224" s="5"/>
      <c r="NOP224" s="5"/>
      <c r="NOQ224" s="5"/>
      <c r="NOR224" s="17"/>
      <c r="NOU224" s="392"/>
      <c r="NOV224" s="392"/>
      <c r="NOW224" s="392"/>
      <c r="NOX224" s="392"/>
      <c r="NOY224" s="392"/>
      <c r="NOZ224" s="392"/>
      <c r="NPA224" s="363"/>
      <c r="NPB224" s="363"/>
      <c r="NPF224" s="5"/>
      <c r="NPG224" s="5"/>
      <c r="NPH224" s="5"/>
      <c r="NPJ224" s="5"/>
      <c r="NPL224" s="5"/>
      <c r="NPM224" s="5"/>
      <c r="NPN224" s="5"/>
      <c r="NPO224" s="17"/>
      <c r="NPR224" s="392"/>
      <c r="NPS224" s="392"/>
      <c r="NPT224" s="392"/>
      <c r="NPU224" s="392"/>
      <c r="NPV224" s="392"/>
      <c r="NPW224" s="392"/>
      <c r="NPX224" s="363"/>
      <c r="NPY224" s="363"/>
      <c r="NQC224" s="5"/>
      <c r="NQD224" s="5"/>
      <c r="NQE224" s="5"/>
      <c r="NQG224" s="5"/>
      <c r="NQI224" s="5"/>
      <c r="NQJ224" s="5"/>
      <c r="NQK224" s="5"/>
      <c r="NQL224" s="17"/>
      <c r="NQO224" s="392"/>
      <c r="NQP224" s="392"/>
      <c r="NQQ224" s="392"/>
      <c r="NQR224" s="392"/>
      <c r="NQS224" s="392"/>
      <c r="NQT224" s="392"/>
      <c r="NQU224" s="363"/>
      <c r="NQV224" s="363"/>
      <c r="NQZ224" s="5"/>
      <c r="NRA224" s="5"/>
      <c r="NRB224" s="5"/>
      <c r="NRD224" s="5"/>
      <c r="NRF224" s="5"/>
      <c r="NRG224" s="5"/>
      <c r="NRH224" s="5"/>
      <c r="NRI224" s="17"/>
      <c r="NRL224" s="392"/>
      <c r="NRM224" s="392"/>
      <c r="NRN224" s="392"/>
      <c r="NRO224" s="392"/>
      <c r="NRP224" s="392"/>
      <c r="NRQ224" s="392"/>
      <c r="NRR224" s="363"/>
      <c r="NRS224" s="363"/>
      <c r="NRW224" s="5"/>
      <c r="NRX224" s="5"/>
      <c r="NRY224" s="5"/>
      <c r="NSA224" s="5"/>
      <c r="NSC224" s="5"/>
      <c r="NSD224" s="5"/>
      <c r="NSE224" s="5"/>
      <c r="NSF224" s="17"/>
      <c r="NSI224" s="392"/>
      <c r="NSJ224" s="392"/>
      <c r="NSK224" s="392"/>
      <c r="NSL224" s="392"/>
      <c r="NSM224" s="392"/>
      <c r="NSN224" s="392"/>
      <c r="NSO224" s="363"/>
      <c r="NSP224" s="363"/>
      <c r="NST224" s="5"/>
      <c r="NSU224" s="5"/>
      <c r="NSV224" s="5"/>
      <c r="NSX224" s="5"/>
      <c r="NSZ224" s="5"/>
      <c r="NTA224" s="5"/>
      <c r="NTB224" s="5"/>
      <c r="NTC224" s="17"/>
      <c r="NTF224" s="392"/>
      <c r="NTG224" s="392"/>
      <c r="NTH224" s="392"/>
      <c r="NTI224" s="392"/>
      <c r="NTJ224" s="392"/>
      <c r="NTK224" s="392"/>
      <c r="NTL224" s="363"/>
      <c r="NTM224" s="363"/>
      <c r="NTQ224" s="5"/>
      <c r="NTR224" s="5"/>
      <c r="NTS224" s="5"/>
      <c r="NTU224" s="5"/>
      <c r="NTW224" s="5"/>
      <c r="NTX224" s="5"/>
      <c r="NTY224" s="5"/>
      <c r="NTZ224" s="17"/>
      <c r="NUC224" s="392"/>
      <c r="NUD224" s="392"/>
      <c r="NUE224" s="392"/>
      <c r="NUF224" s="392"/>
      <c r="NUG224" s="392"/>
      <c r="NUH224" s="392"/>
      <c r="NUI224" s="363"/>
      <c r="NUJ224" s="363"/>
      <c r="NUN224" s="5"/>
      <c r="NUO224" s="5"/>
      <c r="NUP224" s="5"/>
      <c r="NUR224" s="5"/>
      <c r="NUT224" s="5"/>
      <c r="NUU224" s="5"/>
      <c r="NUV224" s="5"/>
      <c r="NUW224" s="17"/>
      <c r="NUZ224" s="392"/>
      <c r="NVA224" s="392"/>
      <c r="NVB224" s="392"/>
      <c r="NVC224" s="392"/>
      <c r="NVD224" s="392"/>
      <c r="NVE224" s="392"/>
      <c r="NVF224" s="363"/>
      <c r="NVG224" s="363"/>
      <c r="NVK224" s="5"/>
      <c r="NVL224" s="5"/>
      <c r="NVM224" s="5"/>
      <c r="NVO224" s="5"/>
      <c r="NVQ224" s="5"/>
      <c r="NVR224" s="5"/>
      <c r="NVS224" s="5"/>
      <c r="NVT224" s="17"/>
      <c r="NVW224" s="392"/>
      <c r="NVX224" s="392"/>
      <c r="NVY224" s="392"/>
      <c r="NVZ224" s="392"/>
      <c r="NWA224" s="392"/>
      <c r="NWB224" s="392"/>
      <c r="NWC224" s="363"/>
      <c r="NWD224" s="363"/>
      <c r="NWH224" s="5"/>
      <c r="NWI224" s="5"/>
      <c r="NWJ224" s="5"/>
      <c r="NWL224" s="5"/>
      <c r="NWN224" s="5"/>
      <c r="NWO224" s="5"/>
      <c r="NWP224" s="5"/>
      <c r="NWQ224" s="17"/>
      <c r="NWT224" s="392"/>
      <c r="NWU224" s="392"/>
      <c r="NWV224" s="392"/>
      <c r="NWW224" s="392"/>
      <c r="NWX224" s="392"/>
      <c r="NWY224" s="392"/>
      <c r="NWZ224" s="363"/>
      <c r="NXA224" s="363"/>
      <c r="NXE224" s="5"/>
      <c r="NXF224" s="5"/>
      <c r="NXG224" s="5"/>
      <c r="NXI224" s="5"/>
      <c r="NXK224" s="5"/>
      <c r="NXL224" s="5"/>
      <c r="NXM224" s="5"/>
      <c r="NXN224" s="17"/>
      <c r="NXQ224" s="392"/>
      <c r="NXR224" s="392"/>
      <c r="NXS224" s="392"/>
      <c r="NXT224" s="392"/>
      <c r="NXU224" s="392"/>
      <c r="NXV224" s="392"/>
      <c r="NXW224" s="363"/>
      <c r="NXX224" s="363"/>
      <c r="NYB224" s="5"/>
      <c r="NYC224" s="5"/>
      <c r="NYD224" s="5"/>
      <c r="NYF224" s="5"/>
      <c r="NYH224" s="5"/>
      <c r="NYI224" s="5"/>
      <c r="NYJ224" s="5"/>
      <c r="NYK224" s="17"/>
      <c r="NYN224" s="392"/>
      <c r="NYO224" s="392"/>
      <c r="NYP224" s="392"/>
      <c r="NYQ224" s="392"/>
      <c r="NYR224" s="392"/>
      <c r="NYS224" s="392"/>
      <c r="NYT224" s="363"/>
      <c r="NYU224" s="363"/>
      <c r="NYY224" s="5"/>
      <c r="NYZ224" s="5"/>
      <c r="NZA224" s="5"/>
      <c r="NZC224" s="5"/>
      <c r="NZE224" s="5"/>
      <c r="NZF224" s="5"/>
      <c r="NZG224" s="5"/>
      <c r="NZH224" s="17"/>
      <c r="NZK224" s="392"/>
      <c r="NZL224" s="392"/>
      <c r="NZM224" s="392"/>
      <c r="NZN224" s="392"/>
      <c r="NZO224" s="392"/>
      <c r="NZP224" s="392"/>
      <c r="NZQ224" s="363"/>
      <c r="NZR224" s="363"/>
      <c r="NZV224" s="5"/>
      <c r="NZW224" s="5"/>
      <c r="NZX224" s="5"/>
      <c r="NZZ224" s="5"/>
      <c r="OAB224" s="5"/>
      <c r="OAC224" s="5"/>
      <c r="OAD224" s="5"/>
      <c r="OAE224" s="17"/>
      <c r="OAH224" s="392"/>
      <c r="OAI224" s="392"/>
      <c r="OAJ224" s="392"/>
      <c r="OAK224" s="392"/>
      <c r="OAL224" s="392"/>
      <c r="OAM224" s="392"/>
      <c r="OAN224" s="363"/>
      <c r="OAO224" s="363"/>
      <c r="OAS224" s="5"/>
      <c r="OAT224" s="5"/>
      <c r="OAU224" s="5"/>
      <c r="OAW224" s="5"/>
      <c r="OAY224" s="5"/>
      <c r="OAZ224" s="5"/>
      <c r="OBA224" s="5"/>
      <c r="OBB224" s="17"/>
      <c r="OBE224" s="392"/>
      <c r="OBF224" s="392"/>
      <c r="OBG224" s="392"/>
      <c r="OBH224" s="392"/>
      <c r="OBI224" s="392"/>
      <c r="OBJ224" s="392"/>
      <c r="OBK224" s="363"/>
      <c r="OBL224" s="363"/>
      <c r="OBP224" s="5"/>
      <c r="OBQ224" s="5"/>
      <c r="OBR224" s="5"/>
      <c r="OBT224" s="5"/>
      <c r="OBV224" s="5"/>
      <c r="OBW224" s="5"/>
      <c r="OBX224" s="5"/>
      <c r="OBY224" s="17"/>
      <c r="OCB224" s="392"/>
      <c r="OCC224" s="392"/>
      <c r="OCD224" s="392"/>
      <c r="OCE224" s="392"/>
      <c r="OCF224" s="392"/>
      <c r="OCG224" s="392"/>
      <c r="OCH224" s="363"/>
      <c r="OCI224" s="363"/>
      <c r="OCM224" s="5"/>
      <c r="OCN224" s="5"/>
      <c r="OCO224" s="5"/>
      <c r="OCQ224" s="5"/>
      <c r="OCS224" s="5"/>
      <c r="OCT224" s="5"/>
      <c r="OCU224" s="5"/>
      <c r="OCV224" s="17"/>
      <c r="OCY224" s="392"/>
      <c r="OCZ224" s="392"/>
      <c r="ODA224" s="392"/>
      <c r="ODB224" s="392"/>
      <c r="ODC224" s="392"/>
      <c r="ODD224" s="392"/>
      <c r="ODE224" s="363"/>
      <c r="ODF224" s="363"/>
      <c r="ODJ224" s="5"/>
      <c r="ODK224" s="5"/>
      <c r="ODL224" s="5"/>
      <c r="ODN224" s="5"/>
      <c r="ODP224" s="5"/>
      <c r="ODQ224" s="5"/>
      <c r="ODR224" s="5"/>
      <c r="ODS224" s="17"/>
      <c r="ODV224" s="392"/>
      <c r="ODW224" s="392"/>
      <c r="ODX224" s="392"/>
      <c r="ODY224" s="392"/>
      <c r="ODZ224" s="392"/>
      <c r="OEA224" s="392"/>
      <c r="OEB224" s="363"/>
      <c r="OEC224" s="363"/>
      <c r="OEG224" s="5"/>
      <c r="OEH224" s="5"/>
      <c r="OEI224" s="5"/>
      <c r="OEK224" s="5"/>
      <c r="OEM224" s="5"/>
      <c r="OEN224" s="5"/>
      <c r="OEO224" s="5"/>
      <c r="OEP224" s="17"/>
      <c r="OES224" s="392"/>
      <c r="OET224" s="392"/>
      <c r="OEU224" s="392"/>
      <c r="OEV224" s="392"/>
      <c r="OEW224" s="392"/>
      <c r="OEX224" s="392"/>
      <c r="OEY224" s="363"/>
      <c r="OEZ224" s="363"/>
      <c r="OFD224" s="5"/>
      <c r="OFE224" s="5"/>
      <c r="OFF224" s="5"/>
      <c r="OFH224" s="5"/>
      <c r="OFJ224" s="5"/>
      <c r="OFK224" s="5"/>
      <c r="OFL224" s="5"/>
      <c r="OFM224" s="17"/>
      <c r="OFP224" s="392"/>
      <c r="OFQ224" s="392"/>
      <c r="OFR224" s="392"/>
      <c r="OFS224" s="392"/>
      <c r="OFT224" s="392"/>
      <c r="OFU224" s="392"/>
      <c r="OFV224" s="363"/>
      <c r="OFW224" s="363"/>
      <c r="OGA224" s="5"/>
      <c r="OGB224" s="5"/>
      <c r="OGC224" s="5"/>
      <c r="OGE224" s="5"/>
      <c r="OGG224" s="5"/>
      <c r="OGH224" s="5"/>
      <c r="OGI224" s="5"/>
      <c r="OGJ224" s="17"/>
      <c r="OGM224" s="392"/>
      <c r="OGN224" s="392"/>
      <c r="OGO224" s="392"/>
      <c r="OGP224" s="392"/>
      <c r="OGQ224" s="392"/>
      <c r="OGR224" s="392"/>
      <c r="OGS224" s="363"/>
      <c r="OGT224" s="363"/>
      <c r="OGX224" s="5"/>
      <c r="OGY224" s="5"/>
      <c r="OGZ224" s="5"/>
      <c r="OHB224" s="5"/>
      <c r="OHD224" s="5"/>
      <c r="OHE224" s="5"/>
      <c r="OHF224" s="5"/>
      <c r="OHG224" s="17"/>
      <c r="OHJ224" s="392"/>
      <c r="OHK224" s="392"/>
      <c r="OHL224" s="392"/>
      <c r="OHM224" s="392"/>
      <c r="OHN224" s="392"/>
      <c r="OHO224" s="392"/>
      <c r="OHP224" s="363"/>
      <c r="OHQ224" s="363"/>
      <c r="OHU224" s="5"/>
      <c r="OHV224" s="5"/>
      <c r="OHW224" s="5"/>
      <c r="OHY224" s="5"/>
      <c r="OIA224" s="5"/>
      <c r="OIB224" s="5"/>
      <c r="OIC224" s="5"/>
      <c r="OID224" s="17"/>
      <c r="OIG224" s="392"/>
      <c r="OIH224" s="392"/>
      <c r="OII224" s="392"/>
      <c r="OIJ224" s="392"/>
      <c r="OIK224" s="392"/>
      <c r="OIL224" s="392"/>
      <c r="OIM224" s="363"/>
      <c r="OIN224" s="363"/>
      <c r="OIR224" s="5"/>
      <c r="OIS224" s="5"/>
      <c r="OIT224" s="5"/>
      <c r="OIV224" s="5"/>
      <c r="OIX224" s="5"/>
      <c r="OIY224" s="5"/>
      <c r="OIZ224" s="5"/>
      <c r="OJA224" s="17"/>
      <c r="OJD224" s="392"/>
      <c r="OJE224" s="392"/>
      <c r="OJF224" s="392"/>
      <c r="OJG224" s="392"/>
      <c r="OJH224" s="392"/>
      <c r="OJI224" s="392"/>
      <c r="OJJ224" s="363"/>
      <c r="OJK224" s="363"/>
      <c r="OJO224" s="5"/>
      <c r="OJP224" s="5"/>
      <c r="OJQ224" s="5"/>
      <c r="OJS224" s="5"/>
      <c r="OJU224" s="5"/>
      <c r="OJV224" s="5"/>
      <c r="OJW224" s="5"/>
      <c r="OJX224" s="17"/>
      <c r="OKA224" s="392"/>
      <c r="OKB224" s="392"/>
      <c r="OKC224" s="392"/>
      <c r="OKD224" s="392"/>
      <c r="OKE224" s="392"/>
      <c r="OKF224" s="392"/>
      <c r="OKG224" s="363"/>
      <c r="OKH224" s="363"/>
      <c r="OKL224" s="5"/>
      <c r="OKM224" s="5"/>
      <c r="OKN224" s="5"/>
      <c r="OKP224" s="5"/>
      <c r="OKR224" s="5"/>
      <c r="OKS224" s="5"/>
      <c r="OKT224" s="5"/>
      <c r="OKU224" s="17"/>
      <c r="OKX224" s="392"/>
      <c r="OKY224" s="392"/>
      <c r="OKZ224" s="392"/>
      <c r="OLA224" s="392"/>
      <c r="OLB224" s="392"/>
      <c r="OLC224" s="392"/>
      <c r="OLD224" s="363"/>
      <c r="OLE224" s="363"/>
      <c r="OLI224" s="5"/>
      <c r="OLJ224" s="5"/>
      <c r="OLK224" s="5"/>
      <c r="OLM224" s="5"/>
      <c r="OLO224" s="5"/>
      <c r="OLP224" s="5"/>
      <c r="OLQ224" s="5"/>
      <c r="OLR224" s="17"/>
      <c r="OLU224" s="392"/>
      <c r="OLV224" s="392"/>
      <c r="OLW224" s="392"/>
      <c r="OLX224" s="392"/>
      <c r="OLY224" s="392"/>
      <c r="OLZ224" s="392"/>
      <c r="OMA224" s="363"/>
      <c r="OMB224" s="363"/>
      <c r="OMF224" s="5"/>
      <c r="OMG224" s="5"/>
      <c r="OMH224" s="5"/>
      <c r="OMJ224" s="5"/>
      <c r="OML224" s="5"/>
      <c r="OMM224" s="5"/>
      <c r="OMN224" s="5"/>
      <c r="OMO224" s="17"/>
      <c r="OMR224" s="392"/>
      <c r="OMS224" s="392"/>
      <c r="OMT224" s="392"/>
      <c r="OMU224" s="392"/>
      <c r="OMV224" s="392"/>
      <c r="OMW224" s="392"/>
      <c r="OMX224" s="363"/>
      <c r="OMY224" s="363"/>
      <c r="ONC224" s="5"/>
      <c r="OND224" s="5"/>
      <c r="ONE224" s="5"/>
      <c r="ONG224" s="5"/>
      <c r="ONI224" s="5"/>
      <c r="ONJ224" s="5"/>
      <c r="ONK224" s="5"/>
      <c r="ONL224" s="17"/>
      <c r="ONO224" s="392"/>
      <c r="ONP224" s="392"/>
      <c r="ONQ224" s="392"/>
      <c r="ONR224" s="392"/>
      <c r="ONS224" s="392"/>
      <c r="ONT224" s="392"/>
      <c r="ONU224" s="363"/>
      <c r="ONV224" s="363"/>
      <c r="ONZ224" s="5"/>
      <c r="OOA224" s="5"/>
      <c r="OOB224" s="5"/>
      <c r="OOD224" s="5"/>
      <c r="OOF224" s="5"/>
      <c r="OOG224" s="5"/>
      <c r="OOH224" s="5"/>
      <c r="OOI224" s="17"/>
      <c r="OOL224" s="392"/>
      <c r="OOM224" s="392"/>
      <c r="OON224" s="392"/>
      <c r="OOO224" s="392"/>
      <c r="OOP224" s="392"/>
      <c r="OOQ224" s="392"/>
      <c r="OOR224" s="363"/>
      <c r="OOS224" s="363"/>
      <c r="OOW224" s="5"/>
      <c r="OOX224" s="5"/>
      <c r="OOY224" s="5"/>
      <c r="OPA224" s="5"/>
      <c r="OPC224" s="5"/>
      <c r="OPD224" s="5"/>
      <c r="OPE224" s="5"/>
      <c r="OPF224" s="17"/>
      <c r="OPI224" s="392"/>
      <c r="OPJ224" s="392"/>
      <c r="OPK224" s="392"/>
      <c r="OPL224" s="392"/>
      <c r="OPM224" s="392"/>
      <c r="OPN224" s="392"/>
      <c r="OPO224" s="363"/>
      <c r="OPP224" s="363"/>
      <c r="OPT224" s="5"/>
      <c r="OPU224" s="5"/>
      <c r="OPV224" s="5"/>
      <c r="OPX224" s="5"/>
      <c r="OPZ224" s="5"/>
      <c r="OQA224" s="5"/>
      <c r="OQB224" s="5"/>
      <c r="OQC224" s="17"/>
      <c r="OQF224" s="392"/>
      <c r="OQG224" s="392"/>
      <c r="OQH224" s="392"/>
      <c r="OQI224" s="392"/>
      <c r="OQJ224" s="392"/>
      <c r="OQK224" s="392"/>
      <c r="OQL224" s="363"/>
      <c r="OQM224" s="363"/>
      <c r="OQQ224" s="5"/>
      <c r="OQR224" s="5"/>
      <c r="OQS224" s="5"/>
      <c r="OQU224" s="5"/>
      <c r="OQW224" s="5"/>
      <c r="OQX224" s="5"/>
      <c r="OQY224" s="5"/>
      <c r="OQZ224" s="17"/>
      <c r="ORC224" s="392"/>
      <c r="ORD224" s="392"/>
      <c r="ORE224" s="392"/>
      <c r="ORF224" s="392"/>
      <c r="ORG224" s="392"/>
      <c r="ORH224" s="392"/>
      <c r="ORI224" s="363"/>
      <c r="ORJ224" s="363"/>
      <c r="ORN224" s="5"/>
      <c r="ORO224" s="5"/>
      <c r="ORP224" s="5"/>
      <c r="ORR224" s="5"/>
      <c r="ORT224" s="5"/>
      <c r="ORU224" s="5"/>
      <c r="ORV224" s="5"/>
      <c r="ORW224" s="17"/>
      <c r="ORZ224" s="392"/>
      <c r="OSA224" s="392"/>
      <c r="OSB224" s="392"/>
      <c r="OSC224" s="392"/>
      <c r="OSD224" s="392"/>
      <c r="OSE224" s="392"/>
      <c r="OSF224" s="363"/>
      <c r="OSG224" s="363"/>
      <c r="OSK224" s="5"/>
      <c r="OSL224" s="5"/>
      <c r="OSM224" s="5"/>
      <c r="OSO224" s="5"/>
      <c r="OSQ224" s="5"/>
      <c r="OSR224" s="5"/>
      <c r="OSS224" s="5"/>
      <c r="OST224" s="17"/>
      <c r="OSW224" s="392"/>
      <c r="OSX224" s="392"/>
      <c r="OSY224" s="392"/>
      <c r="OSZ224" s="392"/>
      <c r="OTA224" s="392"/>
      <c r="OTB224" s="392"/>
      <c r="OTC224" s="363"/>
      <c r="OTD224" s="363"/>
      <c r="OTH224" s="5"/>
      <c r="OTI224" s="5"/>
      <c r="OTJ224" s="5"/>
      <c r="OTL224" s="5"/>
      <c r="OTN224" s="5"/>
      <c r="OTO224" s="5"/>
      <c r="OTP224" s="5"/>
      <c r="OTQ224" s="17"/>
      <c r="OTT224" s="392"/>
      <c r="OTU224" s="392"/>
      <c r="OTV224" s="392"/>
      <c r="OTW224" s="392"/>
      <c r="OTX224" s="392"/>
      <c r="OTY224" s="392"/>
      <c r="OTZ224" s="363"/>
      <c r="OUA224" s="363"/>
      <c r="OUE224" s="5"/>
      <c r="OUF224" s="5"/>
      <c r="OUG224" s="5"/>
      <c r="OUI224" s="5"/>
      <c r="OUK224" s="5"/>
      <c r="OUL224" s="5"/>
      <c r="OUM224" s="5"/>
      <c r="OUN224" s="17"/>
      <c r="OUQ224" s="392"/>
      <c r="OUR224" s="392"/>
      <c r="OUS224" s="392"/>
      <c r="OUT224" s="392"/>
      <c r="OUU224" s="392"/>
      <c r="OUV224" s="392"/>
      <c r="OUW224" s="363"/>
      <c r="OUX224" s="363"/>
      <c r="OVB224" s="5"/>
      <c r="OVC224" s="5"/>
      <c r="OVD224" s="5"/>
      <c r="OVF224" s="5"/>
      <c r="OVH224" s="5"/>
      <c r="OVI224" s="5"/>
      <c r="OVJ224" s="5"/>
      <c r="OVK224" s="17"/>
      <c r="OVN224" s="392"/>
      <c r="OVO224" s="392"/>
      <c r="OVP224" s="392"/>
      <c r="OVQ224" s="392"/>
      <c r="OVR224" s="392"/>
      <c r="OVS224" s="392"/>
      <c r="OVT224" s="363"/>
      <c r="OVU224" s="363"/>
      <c r="OVY224" s="5"/>
      <c r="OVZ224" s="5"/>
      <c r="OWA224" s="5"/>
      <c r="OWC224" s="5"/>
      <c r="OWE224" s="5"/>
      <c r="OWF224" s="5"/>
      <c r="OWG224" s="5"/>
      <c r="OWH224" s="17"/>
      <c r="OWK224" s="392"/>
      <c r="OWL224" s="392"/>
      <c r="OWM224" s="392"/>
      <c r="OWN224" s="392"/>
      <c r="OWO224" s="392"/>
      <c r="OWP224" s="392"/>
      <c r="OWQ224" s="363"/>
      <c r="OWR224" s="363"/>
      <c r="OWV224" s="5"/>
      <c r="OWW224" s="5"/>
      <c r="OWX224" s="5"/>
      <c r="OWZ224" s="5"/>
      <c r="OXB224" s="5"/>
      <c r="OXC224" s="5"/>
      <c r="OXD224" s="5"/>
      <c r="OXE224" s="17"/>
      <c r="OXH224" s="392"/>
      <c r="OXI224" s="392"/>
      <c r="OXJ224" s="392"/>
      <c r="OXK224" s="392"/>
      <c r="OXL224" s="392"/>
      <c r="OXM224" s="392"/>
      <c r="OXN224" s="363"/>
      <c r="OXO224" s="363"/>
      <c r="OXS224" s="5"/>
      <c r="OXT224" s="5"/>
      <c r="OXU224" s="5"/>
      <c r="OXW224" s="5"/>
      <c r="OXY224" s="5"/>
      <c r="OXZ224" s="5"/>
      <c r="OYA224" s="5"/>
      <c r="OYB224" s="17"/>
      <c r="OYE224" s="392"/>
      <c r="OYF224" s="392"/>
      <c r="OYG224" s="392"/>
      <c r="OYH224" s="392"/>
      <c r="OYI224" s="392"/>
      <c r="OYJ224" s="392"/>
      <c r="OYK224" s="363"/>
      <c r="OYL224" s="363"/>
      <c r="OYP224" s="5"/>
      <c r="OYQ224" s="5"/>
      <c r="OYR224" s="5"/>
      <c r="OYT224" s="5"/>
      <c r="OYV224" s="5"/>
      <c r="OYW224" s="5"/>
      <c r="OYX224" s="5"/>
      <c r="OYY224" s="17"/>
      <c r="OZB224" s="392"/>
      <c r="OZC224" s="392"/>
      <c r="OZD224" s="392"/>
      <c r="OZE224" s="392"/>
      <c r="OZF224" s="392"/>
      <c r="OZG224" s="392"/>
      <c r="OZH224" s="363"/>
      <c r="OZI224" s="363"/>
      <c r="OZM224" s="5"/>
      <c r="OZN224" s="5"/>
      <c r="OZO224" s="5"/>
      <c r="OZQ224" s="5"/>
      <c r="OZS224" s="5"/>
      <c r="OZT224" s="5"/>
      <c r="OZU224" s="5"/>
      <c r="OZV224" s="17"/>
      <c r="OZY224" s="392"/>
      <c r="OZZ224" s="392"/>
      <c r="PAA224" s="392"/>
      <c r="PAB224" s="392"/>
      <c r="PAC224" s="392"/>
      <c r="PAD224" s="392"/>
      <c r="PAE224" s="363"/>
      <c r="PAF224" s="363"/>
      <c r="PAJ224" s="5"/>
      <c r="PAK224" s="5"/>
      <c r="PAL224" s="5"/>
      <c r="PAN224" s="5"/>
      <c r="PAP224" s="5"/>
      <c r="PAQ224" s="5"/>
      <c r="PAR224" s="5"/>
      <c r="PAS224" s="17"/>
      <c r="PAV224" s="392"/>
      <c r="PAW224" s="392"/>
      <c r="PAX224" s="392"/>
      <c r="PAY224" s="392"/>
      <c r="PAZ224" s="392"/>
      <c r="PBA224" s="392"/>
      <c r="PBB224" s="363"/>
      <c r="PBC224" s="363"/>
      <c r="PBG224" s="5"/>
      <c r="PBH224" s="5"/>
      <c r="PBI224" s="5"/>
      <c r="PBK224" s="5"/>
      <c r="PBM224" s="5"/>
      <c r="PBN224" s="5"/>
      <c r="PBO224" s="5"/>
      <c r="PBP224" s="17"/>
      <c r="PBS224" s="392"/>
      <c r="PBT224" s="392"/>
      <c r="PBU224" s="392"/>
      <c r="PBV224" s="392"/>
      <c r="PBW224" s="392"/>
      <c r="PBX224" s="392"/>
      <c r="PBY224" s="363"/>
      <c r="PBZ224" s="363"/>
      <c r="PCD224" s="5"/>
      <c r="PCE224" s="5"/>
      <c r="PCF224" s="5"/>
      <c r="PCH224" s="5"/>
      <c r="PCJ224" s="5"/>
      <c r="PCK224" s="5"/>
      <c r="PCL224" s="5"/>
      <c r="PCM224" s="17"/>
      <c r="PCP224" s="392"/>
      <c r="PCQ224" s="392"/>
      <c r="PCR224" s="392"/>
      <c r="PCS224" s="392"/>
      <c r="PCT224" s="392"/>
      <c r="PCU224" s="392"/>
      <c r="PCV224" s="363"/>
      <c r="PCW224" s="363"/>
      <c r="PDA224" s="5"/>
      <c r="PDB224" s="5"/>
      <c r="PDC224" s="5"/>
      <c r="PDE224" s="5"/>
      <c r="PDG224" s="5"/>
      <c r="PDH224" s="5"/>
      <c r="PDI224" s="5"/>
      <c r="PDJ224" s="17"/>
      <c r="PDM224" s="392"/>
      <c r="PDN224" s="392"/>
      <c r="PDO224" s="392"/>
      <c r="PDP224" s="392"/>
      <c r="PDQ224" s="392"/>
      <c r="PDR224" s="392"/>
      <c r="PDS224" s="363"/>
      <c r="PDT224" s="363"/>
      <c r="PDX224" s="5"/>
      <c r="PDY224" s="5"/>
      <c r="PDZ224" s="5"/>
      <c r="PEB224" s="5"/>
      <c r="PED224" s="5"/>
      <c r="PEE224" s="5"/>
      <c r="PEF224" s="5"/>
      <c r="PEG224" s="17"/>
      <c r="PEJ224" s="392"/>
      <c r="PEK224" s="392"/>
      <c r="PEL224" s="392"/>
      <c r="PEM224" s="392"/>
      <c r="PEN224" s="392"/>
      <c r="PEO224" s="392"/>
      <c r="PEP224" s="363"/>
      <c r="PEQ224" s="363"/>
      <c r="PEU224" s="5"/>
      <c r="PEV224" s="5"/>
      <c r="PEW224" s="5"/>
      <c r="PEY224" s="5"/>
      <c r="PFA224" s="5"/>
      <c r="PFB224" s="5"/>
      <c r="PFC224" s="5"/>
      <c r="PFD224" s="17"/>
      <c r="PFG224" s="392"/>
      <c r="PFH224" s="392"/>
      <c r="PFI224" s="392"/>
      <c r="PFJ224" s="392"/>
      <c r="PFK224" s="392"/>
      <c r="PFL224" s="392"/>
      <c r="PFM224" s="363"/>
      <c r="PFN224" s="363"/>
      <c r="PFR224" s="5"/>
      <c r="PFS224" s="5"/>
      <c r="PFT224" s="5"/>
      <c r="PFV224" s="5"/>
      <c r="PFX224" s="5"/>
      <c r="PFY224" s="5"/>
      <c r="PFZ224" s="5"/>
      <c r="PGA224" s="17"/>
      <c r="PGD224" s="392"/>
      <c r="PGE224" s="392"/>
      <c r="PGF224" s="392"/>
      <c r="PGG224" s="392"/>
      <c r="PGH224" s="392"/>
      <c r="PGI224" s="392"/>
      <c r="PGJ224" s="363"/>
      <c r="PGK224" s="363"/>
      <c r="PGO224" s="5"/>
      <c r="PGP224" s="5"/>
      <c r="PGQ224" s="5"/>
      <c r="PGS224" s="5"/>
      <c r="PGU224" s="5"/>
      <c r="PGV224" s="5"/>
      <c r="PGW224" s="5"/>
      <c r="PGX224" s="17"/>
      <c r="PHA224" s="392"/>
      <c r="PHB224" s="392"/>
      <c r="PHC224" s="392"/>
      <c r="PHD224" s="392"/>
      <c r="PHE224" s="392"/>
      <c r="PHF224" s="392"/>
      <c r="PHG224" s="363"/>
      <c r="PHH224" s="363"/>
      <c r="PHL224" s="5"/>
      <c r="PHM224" s="5"/>
      <c r="PHN224" s="5"/>
      <c r="PHP224" s="5"/>
      <c r="PHR224" s="5"/>
      <c r="PHS224" s="5"/>
      <c r="PHT224" s="5"/>
      <c r="PHU224" s="17"/>
      <c r="PHX224" s="392"/>
      <c r="PHY224" s="392"/>
      <c r="PHZ224" s="392"/>
      <c r="PIA224" s="392"/>
      <c r="PIB224" s="392"/>
      <c r="PIC224" s="392"/>
      <c r="PID224" s="363"/>
      <c r="PIE224" s="363"/>
      <c r="PII224" s="5"/>
      <c r="PIJ224" s="5"/>
      <c r="PIK224" s="5"/>
      <c r="PIM224" s="5"/>
      <c r="PIO224" s="5"/>
      <c r="PIP224" s="5"/>
      <c r="PIQ224" s="5"/>
      <c r="PIR224" s="17"/>
      <c r="PIU224" s="392"/>
      <c r="PIV224" s="392"/>
      <c r="PIW224" s="392"/>
      <c r="PIX224" s="392"/>
      <c r="PIY224" s="392"/>
      <c r="PIZ224" s="392"/>
      <c r="PJA224" s="363"/>
      <c r="PJB224" s="363"/>
      <c r="PJF224" s="5"/>
      <c r="PJG224" s="5"/>
      <c r="PJH224" s="5"/>
      <c r="PJJ224" s="5"/>
      <c r="PJL224" s="5"/>
      <c r="PJM224" s="5"/>
      <c r="PJN224" s="5"/>
      <c r="PJO224" s="17"/>
      <c r="PJR224" s="392"/>
      <c r="PJS224" s="392"/>
      <c r="PJT224" s="392"/>
      <c r="PJU224" s="392"/>
      <c r="PJV224" s="392"/>
      <c r="PJW224" s="392"/>
      <c r="PJX224" s="363"/>
      <c r="PJY224" s="363"/>
      <c r="PKC224" s="5"/>
      <c r="PKD224" s="5"/>
      <c r="PKE224" s="5"/>
      <c r="PKG224" s="5"/>
      <c r="PKI224" s="5"/>
      <c r="PKJ224" s="5"/>
      <c r="PKK224" s="5"/>
      <c r="PKL224" s="17"/>
      <c r="PKO224" s="392"/>
      <c r="PKP224" s="392"/>
      <c r="PKQ224" s="392"/>
      <c r="PKR224" s="392"/>
      <c r="PKS224" s="392"/>
      <c r="PKT224" s="392"/>
      <c r="PKU224" s="363"/>
      <c r="PKV224" s="363"/>
      <c r="PKZ224" s="5"/>
      <c r="PLA224" s="5"/>
      <c r="PLB224" s="5"/>
      <c r="PLD224" s="5"/>
      <c r="PLF224" s="5"/>
      <c r="PLG224" s="5"/>
      <c r="PLH224" s="5"/>
      <c r="PLI224" s="17"/>
      <c r="PLL224" s="392"/>
      <c r="PLM224" s="392"/>
      <c r="PLN224" s="392"/>
      <c r="PLO224" s="392"/>
      <c r="PLP224" s="392"/>
      <c r="PLQ224" s="392"/>
      <c r="PLR224" s="363"/>
      <c r="PLS224" s="363"/>
      <c r="PLW224" s="5"/>
      <c r="PLX224" s="5"/>
      <c r="PLY224" s="5"/>
      <c r="PMA224" s="5"/>
      <c r="PMC224" s="5"/>
      <c r="PMD224" s="5"/>
      <c r="PME224" s="5"/>
      <c r="PMF224" s="17"/>
      <c r="PMI224" s="392"/>
      <c r="PMJ224" s="392"/>
      <c r="PMK224" s="392"/>
      <c r="PML224" s="392"/>
      <c r="PMM224" s="392"/>
      <c r="PMN224" s="392"/>
      <c r="PMO224" s="363"/>
      <c r="PMP224" s="363"/>
      <c r="PMT224" s="5"/>
      <c r="PMU224" s="5"/>
      <c r="PMV224" s="5"/>
      <c r="PMX224" s="5"/>
      <c r="PMZ224" s="5"/>
      <c r="PNA224" s="5"/>
      <c r="PNB224" s="5"/>
      <c r="PNC224" s="17"/>
      <c r="PNF224" s="392"/>
      <c r="PNG224" s="392"/>
      <c r="PNH224" s="392"/>
      <c r="PNI224" s="392"/>
      <c r="PNJ224" s="392"/>
      <c r="PNK224" s="392"/>
      <c r="PNL224" s="363"/>
      <c r="PNM224" s="363"/>
      <c r="PNQ224" s="5"/>
      <c r="PNR224" s="5"/>
      <c r="PNS224" s="5"/>
      <c r="PNU224" s="5"/>
      <c r="PNW224" s="5"/>
      <c r="PNX224" s="5"/>
      <c r="PNY224" s="5"/>
      <c r="PNZ224" s="17"/>
      <c r="POC224" s="392"/>
      <c r="POD224" s="392"/>
      <c r="POE224" s="392"/>
      <c r="POF224" s="392"/>
      <c r="POG224" s="392"/>
      <c r="POH224" s="392"/>
      <c r="POI224" s="363"/>
      <c r="POJ224" s="363"/>
      <c r="PON224" s="5"/>
      <c r="POO224" s="5"/>
      <c r="POP224" s="5"/>
      <c r="POR224" s="5"/>
      <c r="POT224" s="5"/>
      <c r="POU224" s="5"/>
      <c r="POV224" s="5"/>
      <c r="POW224" s="17"/>
      <c r="POZ224" s="392"/>
      <c r="PPA224" s="392"/>
      <c r="PPB224" s="392"/>
      <c r="PPC224" s="392"/>
      <c r="PPD224" s="392"/>
      <c r="PPE224" s="392"/>
      <c r="PPF224" s="363"/>
      <c r="PPG224" s="363"/>
      <c r="PPK224" s="5"/>
      <c r="PPL224" s="5"/>
      <c r="PPM224" s="5"/>
      <c r="PPO224" s="5"/>
      <c r="PPQ224" s="5"/>
      <c r="PPR224" s="5"/>
      <c r="PPS224" s="5"/>
      <c r="PPT224" s="17"/>
      <c r="PPW224" s="392"/>
      <c r="PPX224" s="392"/>
      <c r="PPY224" s="392"/>
      <c r="PPZ224" s="392"/>
      <c r="PQA224" s="392"/>
      <c r="PQB224" s="392"/>
      <c r="PQC224" s="363"/>
      <c r="PQD224" s="363"/>
      <c r="PQH224" s="5"/>
      <c r="PQI224" s="5"/>
      <c r="PQJ224" s="5"/>
      <c r="PQL224" s="5"/>
      <c r="PQN224" s="5"/>
      <c r="PQO224" s="5"/>
      <c r="PQP224" s="5"/>
      <c r="PQQ224" s="17"/>
      <c r="PQT224" s="392"/>
      <c r="PQU224" s="392"/>
      <c r="PQV224" s="392"/>
      <c r="PQW224" s="392"/>
      <c r="PQX224" s="392"/>
      <c r="PQY224" s="392"/>
      <c r="PQZ224" s="363"/>
      <c r="PRA224" s="363"/>
      <c r="PRE224" s="5"/>
      <c r="PRF224" s="5"/>
      <c r="PRG224" s="5"/>
      <c r="PRI224" s="5"/>
      <c r="PRK224" s="5"/>
      <c r="PRL224" s="5"/>
      <c r="PRM224" s="5"/>
      <c r="PRN224" s="17"/>
      <c r="PRQ224" s="392"/>
      <c r="PRR224" s="392"/>
      <c r="PRS224" s="392"/>
      <c r="PRT224" s="392"/>
      <c r="PRU224" s="392"/>
      <c r="PRV224" s="392"/>
      <c r="PRW224" s="363"/>
      <c r="PRX224" s="363"/>
      <c r="PSB224" s="5"/>
      <c r="PSC224" s="5"/>
      <c r="PSD224" s="5"/>
      <c r="PSF224" s="5"/>
      <c r="PSH224" s="5"/>
      <c r="PSI224" s="5"/>
      <c r="PSJ224" s="5"/>
      <c r="PSK224" s="17"/>
      <c r="PSN224" s="392"/>
      <c r="PSO224" s="392"/>
      <c r="PSP224" s="392"/>
      <c r="PSQ224" s="392"/>
      <c r="PSR224" s="392"/>
      <c r="PSS224" s="392"/>
      <c r="PST224" s="363"/>
      <c r="PSU224" s="363"/>
      <c r="PSY224" s="5"/>
      <c r="PSZ224" s="5"/>
      <c r="PTA224" s="5"/>
      <c r="PTC224" s="5"/>
      <c r="PTE224" s="5"/>
      <c r="PTF224" s="5"/>
      <c r="PTG224" s="5"/>
      <c r="PTH224" s="17"/>
      <c r="PTK224" s="392"/>
      <c r="PTL224" s="392"/>
      <c r="PTM224" s="392"/>
      <c r="PTN224" s="392"/>
      <c r="PTO224" s="392"/>
      <c r="PTP224" s="392"/>
      <c r="PTQ224" s="363"/>
      <c r="PTR224" s="363"/>
      <c r="PTV224" s="5"/>
      <c r="PTW224" s="5"/>
      <c r="PTX224" s="5"/>
      <c r="PTZ224" s="5"/>
      <c r="PUB224" s="5"/>
      <c r="PUC224" s="5"/>
      <c r="PUD224" s="5"/>
      <c r="PUE224" s="17"/>
      <c r="PUH224" s="392"/>
      <c r="PUI224" s="392"/>
      <c r="PUJ224" s="392"/>
      <c r="PUK224" s="392"/>
      <c r="PUL224" s="392"/>
      <c r="PUM224" s="392"/>
      <c r="PUN224" s="363"/>
      <c r="PUO224" s="363"/>
      <c r="PUS224" s="5"/>
      <c r="PUT224" s="5"/>
      <c r="PUU224" s="5"/>
      <c r="PUW224" s="5"/>
      <c r="PUY224" s="5"/>
      <c r="PUZ224" s="5"/>
      <c r="PVA224" s="5"/>
      <c r="PVB224" s="17"/>
      <c r="PVE224" s="392"/>
      <c r="PVF224" s="392"/>
      <c r="PVG224" s="392"/>
      <c r="PVH224" s="392"/>
      <c r="PVI224" s="392"/>
      <c r="PVJ224" s="392"/>
      <c r="PVK224" s="363"/>
      <c r="PVL224" s="363"/>
      <c r="PVP224" s="5"/>
      <c r="PVQ224" s="5"/>
      <c r="PVR224" s="5"/>
      <c r="PVT224" s="5"/>
      <c r="PVV224" s="5"/>
      <c r="PVW224" s="5"/>
      <c r="PVX224" s="5"/>
      <c r="PVY224" s="17"/>
      <c r="PWB224" s="392"/>
      <c r="PWC224" s="392"/>
      <c r="PWD224" s="392"/>
      <c r="PWE224" s="392"/>
      <c r="PWF224" s="392"/>
      <c r="PWG224" s="392"/>
      <c r="PWH224" s="363"/>
      <c r="PWI224" s="363"/>
      <c r="PWM224" s="5"/>
      <c r="PWN224" s="5"/>
      <c r="PWO224" s="5"/>
      <c r="PWQ224" s="5"/>
      <c r="PWS224" s="5"/>
      <c r="PWT224" s="5"/>
      <c r="PWU224" s="5"/>
      <c r="PWV224" s="17"/>
      <c r="PWY224" s="392"/>
      <c r="PWZ224" s="392"/>
      <c r="PXA224" s="392"/>
      <c r="PXB224" s="392"/>
      <c r="PXC224" s="392"/>
      <c r="PXD224" s="392"/>
      <c r="PXE224" s="363"/>
      <c r="PXF224" s="363"/>
      <c r="PXJ224" s="5"/>
      <c r="PXK224" s="5"/>
      <c r="PXL224" s="5"/>
      <c r="PXN224" s="5"/>
      <c r="PXP224" s="5"/>
      <c r="PXQ224" s="5"/>
      <c r="PXR224" s="5"/>
      <c r="PXS224" s="17"/>
      <c r="PXV224" s="392"/>
      <c r="PXW224" s="392"/>
      <c r="PXX224" s="392"/>
      <c r="PXY224" s="392"/>
      <c r="PXZ224" s="392"/>
      <c r="PYA224" s="392"/>
      <c r="PYB224" s="363"/>
      <c r="PYC224" s="363"/>
      <c r="PYG224" s="5"/>
      <c r="PYH224" s="5"/>
      <c r="PYI224" s="5"/>
      <c r="PYK224" s="5"/>
      <c r="PYM224" s="5"/>
      <c r="PYN224" s="5"/>
      <c r="PYO224" s="5"/>
      <c r="PYP224" s="17"/>
      <c r="PYS224" s="392"/>
      <c r="PYT224" s="392"/>
      <c r="PYU224" s="392"/>
      <c r="PYV224" s="392"/>
      <c r="PYW224" s="392"/>
      <c r="PYX224" s="392"/>
      <c r="PYY224" s="363"/>
      <c r="PYZ224" s="363"/>
      <c r="PZD224" s="5"/>
      <c r="PZE224" s="5"/>
      <c r="PZF224" s="5"/>
      <c r="PZH224" s="5"/>
      <c r="PZJ224" s="5"/>
      <c r="PZK224" s="5"/>
      <c r="PZL224" s="5"/>
      <c r="PZM224" s="17"/>
      <c r="PZP224" s="392"/>
      <c r="PZQ224" s="392"/>
      <c r="PZR224" s="392"/>
      <c r="PZS224" s="392"/>
      <c r="PZT224" s="392"/>
      <c r="PZU224" s="392"/>
      <c r="PZV224" s="363"/>
      <c r="PZW224" s="363"/>
      <c r="QAA224" s="5"/>
      <c r="QAB224" s="5"/>
      <c r="QAC224" s="5"/>
      <c r="QAE224" s="5"/>
      <c r="QAG224" s="5"/>
      <c r="QAH224" s="5"/>
      <c r="QAI224" s="5"/>
      <c r="QAJ224" s="17"/>
      <c r="QAM224" s="392"/>
      <c r="QAN224" s="392"/>
      <c r="QAO224" s="392"/>
      <c r="QAP224" s="392"/>
      <c r="QAQ224" s="392"/>
      <c r="QAR224" s="392"/>
      <c r="QAS224" s="363"/>
      <c r="QAT224" s="363"/>
      <c r="QAX224" s="5"/>
      <c r="QAY224" s="5"/>
      <c r="QAZ224" s="5"/>
      <c r="QBB224" s="5"/>
      <c r="QBD224" s="5"/>
      <c r="QBE224" s="5"/>
      <c r="QBF224" s="5"/>
      <c r="QBG224" s="17"/>
      <c r="QBJ224" s="392"/>
      <c r="QBK224" s="392"/>
      <c r="QBL224" s="392"/>
      <c r="QBM224" s="392"/>
      <c r="QBN224" s="392"/>
      <c r="QBO224" s="392"/>
      <c r="QBP224" s="363"/>
      <c r="QBQ224" s="363"/>
      <c r="QBU224" s="5"/>
      <c r="QBV224" s="5"/>
      <c r="QBW224" s="5"/>
      <c r="QBY224" s="5"/>
      <c r="QCA224" s="5"/>
      <c r="QCB224" s="5"/>
      <c r="QCC224" s="5"/>
      <c r="QCD224" s="17"/>
      <c r="QCG224" s="392"/>
      <c r="QCH224" s="392"/>
      <c r="QCI224" s="392"/>
      <c r="QCJ224" s="392"/>
      <c r="QCK224" s="392"/>
      <c r="QCL224" s="392"/>
      <c r="QCM224" s="363"/>
      <c r="QCN224" s="363"/>
      <c r="QCR224" s="5"/>
      <c r="QCS224" s="5"/>
      <c r="QCT224" s="5"/>
      <c r="QCV224" s="5"/>
      <c r="QCX224" s="5"/>
      <c r="QCY224" s="5"/>
      <c r="QCZ224" s="5"/>
      <c r="QDA224" s="17"/>
      <c r="QDD224" s="392"/>
      <c r="QDE224" s="392"/>
      <c r="QDF224" s="392"/>
      <c r="QDG224" s="392"/>
      <c r="QDH224" s="392"/>
      <c r="QDI224" s="392"/>
      <c r="QDJ224" s="363"/>
      <c r="QDK224" s="363"/>
      <c r="QDO224" s="5"/>
      <c r="QDP224" s="5"/>
      <c r="QDQ224" s="5"/>
      <c r="QDS224" s="5"/>
      <c r="QDU224" s="5"/>
      <c r="QDV224" s="5"/>
      <c r="QDW224" s="5"/>
      <c r="QDX224" s="17"/>
      <c r="QEA224" s="392"/>
      <c r="QEB224" s="392"/>
      <c r="QEC224" s="392"/>
      <c r="QED224" s="392"/>
      <c r="QEE224" s="392"/>
      <c r="QEF224" s="392"/>
      <c r="QEG224" s="363"/>
      <c r="QEH224" s="363"/>
      <c r="QEL224" s="5"/>
      <c r="QEM224" s="5"/>
      <c r="QEN224" s="5"/>
      <c r="QEP224" s="5"/>
      <c r="QER224" s="5"/>
      <c r="QES224" s="5"/>
      <c r="QET224" s="5"/>
      <c r="QEU224" s="17"/>
      <c r="QEX224" s="392"/>
      <c r="QEY224" s="392"/>
      <c r="QEZ224" s="392"/>
      <c r="QFA224" s="392"/>
      <c r="QFB224" s="392"/>
      <c r="QFC224" s="392"/>
      <c r="QFD224" s="363"/>
      <c r="QFE224" s="363"/>
      <c r="QFI224" s="5"/>
      <c r="QFJ224" s="5"/>
      <c r="QFK224" s="5"/>
      <c r="QFM224" s="5"/>
      <c r="QFO224" s="5"/>
      <c r="QFP224" s="5"/>
      <c r="QFQ224" s="5"/>
      <c r="QFR224" s="17"/>
      <c r="QFU224" s="392"/>
      <c r="QFV224" s="392"/>
      <c r="QFW224" s="392"/>
      <c r="QFX224" s="392"/>
      <c r="QFY224" s="392"/>
      <c r="QFZ224" s="392"/>
      <c r="QGA224" s="363"/>
      <c r="QGB224" s="363"/>
      <c r="QGF224" s="5"/>
      <c r="QGG224" s="5"/>
      <c r="QGH224" s="5"/>
      <c r="QGJ224" s="5"/>
      <c r="QGL224" s="5"/>
      <c r="QGM224" s="5"/>
      <c r="QGN224" s="5"/>
      <c r="QGO224" s="17"/>
      <c r="QGR224" s="392"/>
      <c r="QGS224" s="392"/>
      <c r="QGT224" s="392"/>
      <c r="QGU224" s="392"/>
      <c r="QGV224" s="392"/>
      <c r="QGW224" s="392"/>
      <c r="QGX224" s="363"/>
      <c r="QGY224" s="363"/>
      <c r="QHC224" s="5"/>
      <c r="QHD224" s="5"/>
      <c r="QHE224" s="5"/>
      <c r="QHG224" s="5"/>
      <c r="QHI224" s="5"/>
      <c r="QHJ224" s="5"/>
      <c r="QHK224" s="5"/>
      <c r="QHL224" s="17"/>
      <c r="QHO224" s="392"/>
      <c r="QHP224" s="392"/>
      <c r="QHQ224" s="392"/>
      <c r="QHR224" s="392"/>
      <c r="QHS224" s="392"/>
      <c r="QHT224" s="392"/>
      <c r="QHU224" s="363"/>
      <c r="QHV224" s="363"/>
      <c r="QHZ224" s="5"/>
      <c r="QIA224" s="5"/>
      <c r="QIB224" s="5"/>
      <c r="QID224" s="5"/>
      <c r="QIF224" s="5"/>
      <c r="QIG224" s="5"/>
      <c r="QIH224" s="5"/>
      <c r="QII224" s="17"/>
      <c r="QIL224" s="392"/>
      <c r="QIM224" s="392"/>
      <c r="QIN224" s="392"/>
      <c r="QIO224" s="392"/>
      <c r="QIP224" s="392"/>
      <c r="QIQ224" s="392"/>
      <c r="QIR224" s="363"/>
      <c r="QIS224" s="363"/>
      <c r="QIW224" s="5"/>
      <c r="QIX224" s="5"/>
      <c r="QIY224" s="5"/>
      <c r="QJA224" s="5"/>
      <c r="QJC224" s="5"/>
      <c r="QJD224" s="5"/>
      <c r="QJE224" s="5"/>
      <c r="QJF224" s="17"/>
      <c r="QJI224" s="392"/>
      <c r="QJJ224" s="392"/>
      <c r="QJK224" s="392"/>
      <c r="QJL224" s="392"/>
      <c r="QJM224" s="392"/>
      <c r="QJN224" s="392"/>
      <c r="QJO224" s="363"/>
      <c r="QJP224" s="363"/>
      <c r="QJT224" s="5"/>
      <c r="QJU224" s="5"/>
      <c r="QJV224" s="5"/>
      <c r="QJX224" s="5"/>
      <c r="QJZ224" s="5"/>
      <c r="QKA224" s="5"/>
      <c r="QKB224" s="5"/>
      <c r="QKC224" s="17"/>
      <c r="QKF224" s="392"/>
      <c r="QKG224" s="392"/>
      <c r="QKH224" s="392"/>
      <c r="QKI224" s="392"/>
      <c r="QKJ224" s="392"/>
      <c r="QKK224" s="392"/>
      <c r="QKL224" s="363"/>
      <c r="QKM224" s="363"/>
      <c r="QKQ224" s="5"/>
      <c r="QKR224" s="5"/>
      <c r="QKS224" s="5"/>
      <c r="QKU224" s="5"/>
      <c r="QKW224" s="5"/>
      <c r="QKX224" s="5"/>
      <c r="QKY224" s="5"/>
      <c r="QKZ224" s="17"/>
      <c r="QLC224" s="392"/>
      <c r="QLD224" s="392"/>
      <c r="QLE224" s="392"/>
      <c r="QLF224" s="392"/>
      <c r="QLG224" s="392"/>
      <c r="QLH224" s="392"/>
      <c r="QLI224" s="363"/>
      <c r="QLJ224" s="363"/>
      <c r="QLN224" s="5"/>
      <c r="QLO224" s="5"/>
      <c r="QLP224" s="5"/>
      <c r="QLR224" s="5"/>
      <c r="QLT224" s="5"/>
      <c r="QLU224" s="5"/>
      <c r="QLV224" s="5"/>
      <c r="QLW224" s="17"/>
      <c r="QLZ224" s="392"/>
      <c r="QMA224" s="392"/>
      <c r="QMB224" s="392"/>
      <c r="QMC224" s="392"/>
      <c r="QMD224" s="392"/>
      <c r="QME224" s="392"/>
      <c r="QMF224" s="363"/>
      <c r="QMG224" s="363"/>
      <c r="QMK224" s="5"/>
      <c r="QML224" s="5"/>
      <c r="QMM224" s="5"/>
      <c r="QMO224" s="5"/>
      <c r="QMQ224" s="5"/>
      <c r="QMR224" s="5"/>
      <c r="QMS224" s="5"/>
      <c r="QMT224" s="17"/>
      <c r="QMW224" s="392"/>
      <c r="QMX224" s="392"/>
      <c r="QMY224" s="392"/>
      <c r="QMZ224" s="392"/>
      <c r="QNA224" s="392"/>
      <c r="QNB224" s="392"/>
      <c r="QNC224" s="363"/>
      <c r="QND224" s="363"/>
      <c r="QNH224" s="5"/>
      <c r="QNI224" s="5"/>
      <c r="QNJ224" s="5"/>
      <c r="QNL224" s="5"/>
      <c r="QNN224" s="5"/>
      <c r="QNO224" s="5"/>
      <c r="QNP224" s="5"/>
      <c r="QNQ224" s="17"/>
      <c r="QNT224" s="392"/>
      <c r="QNU224" s="392"/>
      <c r="QNV224" s="392"/>
      <c r="QNW224" s="392"/>
      <c r="QNX224" s="392"/>
      <c r="QNY224" s="392"/>
      <c r="QNZ224" s="363"/>
      <c r="QOA224" s="363"/>
      <c r="QOE224" s="5"/>
      <c r="QOF224" s="5"/>
      <c r="QOG224" s="5"/>
      <c r="QOI224" s="5"/>
      <c r="QOK224" s="5"/>
      <c r="QOL224" s="5"/>
      <c r="QOM224" s="5"/>
      <c r="QON224" s="17"/>
      <c r="QOQ224" s="392"/>
      <c r="QOR224" s="392"/>
      <c r="QOS224" s="392"/>
      <c r="QOT224" s="392"/>
      <c r="QOU224" s="392"/>
      <c r="QOV224" s="392"/>
      <c r="QOW224" s="363"/>
      <c r="QOX224" s="363"/>
      <c r="QPB224" s="5"/>
      <c r="QPC224" s="5"/>
      <c r="QPD224" s="5"/>
      <c r="QPF224" s="5"/>
      <c r="QPH224" s="5"/>
      <c r="QPI224" s="5"/>
      <c r="QPJ224" s="5"/>
      <c r="QPK224" s="17"/>
      <c r="QPN224" s="392"/>
      <c r="QPO224" s="392"/>
      <c r="QPP224" s="392"/>
      <c r="QPQ224" s="392"/>
      <c r="QPR224" s="392"/>
      <c r="QPS224" s="392"/>
      <c r="QPT224" s="363"/>
      <c r="QPU224" s="363"/>
      <c r="QPY224" s="5"/>
      <c r="QPZ224" s="5"/>
      <c r="QQA224" s="5"/>
      <c r="QQC224" s="5"/>
      <c r="QQE224" s="5"/>
      <c r="QQF224" s="5"/>
      <c r="QQG224" s="5"/>
      <c r="QQH224" s="17"/>
      <c r="QQK224" s="392"/>
      <c r="QQL224" s="392"/>
      <c r="QQM224" s="392"/>
      <c r="QQN224" s="392"/>
      <c r="QQO224" s="392"/>
      <c r="QQP224" s="392"/>
      <c r="QQQ224" s="363"/>
      <c r="QQR224" s="363"/>
      <c r="QQV224" s="5"/>
      <c r="QQW224" s="5"/>
      <c r="QQX224" s="5"/>
      <c r="QQZ224" s="5"/>
      <c r="QRB224" s="5"/>
      <c r="QRC224" s="5"/>
      <c r="QRD224" s="5"/>
      <c r="QRE224" s="17"/>
      <c r="QRH224" s="392"/>
      <c r="QRI224" s="392"/>
      <c r="QRJ224" s="392"/>
      <c r="QRK224" s="392"/>
      <c r="QRL224" s="392"/>
      <c r="QRM224" s="392"/>
      <c r="QRN224" s="363"/>
      <c r="QRO224" s="363"/>
      <c r="QRS224" s="5"/>
      <c r="QRT224" s="5"/>
      <c r="QRU224" s="5"/>
      <c r="QRW224" s="5"/>
      <c r="QRY224" s="5"/>
      <c r="QRZ224" s="5"/>
      <c r="QSA224" s="5"/>
      <c r="QSB224" s="17"/>
      <c r="QSE224" s="392"/>
      <c r="QSF224" s="392"/>
      <c r="QSG224" s="392"/>
      <c r="QSH224" s="392"/>
      <c r="QSI224" s="392"/>
      <c r="QSJ224" s="392"/>
      <c r="QSK224" s="363"/>
      <c r="QSL224" s="363"/>
      <c r="QSP224" s="5"/>
      <c r="QSQ224" s="5"/>
      <c r="QSR224" s="5"/>
      <c r="QST224" s="5"/>
      <c r="QSV224" s="5"/>
      <c r="QSW224" s="5"/>
      <c r="QSX224" s="5"/>
      <c r="QSY224" s="17"/>
      <c r="QTB224" s="392"/>
      <c r="QTC224" s="392"/>
      <c r="QTD224" s="392"/>
      <c r="QTE224" s="392"/>
      <c r="QTF224" s="392"/>
      <c r="QTG224" s="392"/>
      <c r="QTH224" s="363"/>
      <c r="QTI224" s="363"/>
      <c r="QTM224" s="5"/>
      <c r="QTN224" s="5"/>
      <c r="QTO224" s="5"/>
      <c r="QTQ224" s="5"/>
      <c r="QTS224" s="5"/>
      <c r="QTT224" s="5"/>
      <c r="QTU224" s="5"/>
      <c r="QTV224" s="17"/>
      <c r="QTY224" s="392"/>
      <c r="QTZ224" s="392"/>
      <c r="QUA224" s="392"/>
      <c r="QUB224" s="392"/>
      <c r="QUC224" s="392"/>
      <c r="QUD224" s="392"/>
      <c r="QUE224" s="363"/>
      <c r="QUF224" s="363"/>
      <c r="QUJ224" s="5"/>
      <c r="QUK224" s="5"/>
      <c r="QUL224" s="5"/>
      <c r="QUN224" s="5"/>
      <c r="QUP224" s="5"/>
      <c r="QUQ224" s="5"/>
      <c r="QUR224" s="5"/>
      <c r="QUS224" s="17"/>
      <c r="QUV224" s="392"/>
      <c r="QUW224" s="392"/>
      <c r="QUX224" s="392"/>
      <c r="QUY224" s="392"/>
      <c r="QUZ224" s="392"/>
      <c r="QVA224" s="392"/>
      <c r="QVB224" s="363"/>
      <c r="QVC224" s="363"/>
      <c r="QVG224" s="5"/>
      <c r="QVH224" s="5"/>
      <c r="QVI224" s="5"/>
      <c r="QVK224" s="5"/>
      <c r="QVM224" s="5"/>
      <c r="QVN224" s="5"/>
      <c r="QVO224" s="5"/>
      <c r="QVP224" s="17"/>
      <c r="QVS224" s="392"/>
      <c r="QVT224" s="392"/>
      <c r="QVU224" s="392"/>
      <c r="QVV224" s="392"/>
      <c r="QVW224" s="392"/>
      <c r="QVX224" s="392"/>
      <c r="QVY224" s="363"/>
      <c r="QVZ224" s="363"/>
      <c r="QWD224" s="5"/>
      <c r="QWE224" s="5"/>
      <c r="QWF224" s="5"/>
      <c r="QWH224" s="5"/>
      <c r="QWJ224" s="5"/>
      <c r="QWK224" s="5"/>
      <c r="QWL224" s="5"/>
      <c r="QWM224" s="17"/>
      <c r="QWP224" s="392"/>
      <c r="QWQ224" s="392"/>
      <c r="QWR224" s="392"/>
      <c r="QWS224" s="392"/>
      <c r="QWT224" s="392"/>
      <c r="QWU224" s="392"/>
      <c r="QWV224" s="363"/>
      <c r="QWW224" s="363"/>
      <c r="QXA224" s="5"/>
      <c r="QXB224" s="5"/>
      <c r="QXC224" s="5"/>
      <c r="QXE224" s="5"/>
      <c r="QXG224" s="5"/>
      <c r="QXH224" s="5"/>
      <c r="QXI224" s="5"/>
      <c r="QXJ224" s="17"/>
      <c r="QXM224" s="392"/>
      <c r="QXN224" s="392"/>
      <c r="QXO224" s="392"/>
      <c r="QXP224" s="392"/>
      <c r="QXQ224" s="392"/>
      <c r="QXR224" s="392"/>
      <c r="QXS224" s="363"/>
      <c r="QXT224" s="363"/>
      <c r="QXX224" s="5"/>
      <c r="QXY224" s="5"/>
      <c r="QXZ224" s="5"/>
      <c r="QYB224" s="5"/>
      <c r="QYD224" s="5"/>
      <c r="QYE224" s="5"/>
      <c r="QYF224" s="5"/>
      <c r="QYG224" s="17"/>
      <c r="QYJ224" s="392"/>
      <c r="QYK224" s="392"/>
      <c r="QYL224" s="392"/>
      <c r="QYM224" s="392"/>
      <c r="QYN224" s="392"/>
      <c r="QYO224" s="392"/>
      <c r="QYP224" s="363"/>
      <c r="QYQ224" s="363"/>
      <c r="QYU224" s="5"/>
      <c r="QYV224" s="5"/>
      <c r="QYW224" s="5"/>
      <c r="QYY224" s="5"/>
      <c r="QZA224" s="5"/>
      <c r="QZB224" s="5"/>
      <c r="QZC224" s="5"/>
      <c r="QZD224" s="17"/>
      <c r="QZG224" s="392"/>
      <c r="QZH224" s="392"/>
      <c r="QZI224" s="392"/>
      <c r="QZJ224" s="392"/>
      <c r="QZK224" s="392"/>
      <c r="QZL224" s="392"/>
      <c r="QZM224" s="363"/>
      <c r="QZN224" s="363"/>
      <c r="QZR224" s="5"/>
      <c r="QZS224" s="5"/>
      <c r="QZT224" s="5"/>
      <c r="QZV224" s="5"/>
      <c r="QZX224" s="5"/>
      <c r="QZY224" s="5"/>
      <c r="QZZ224" s="5"/>
      <c r="RAA224" s="17"/>
      <c r="RAD224" s="392"/>
      <c r="RAE224" s="392"/>
      <c r="RAF224" s="392"/>
      <c r="RAG224" s="392"/>
      <c r="RAH224" s="392"/>
      <c r="RAI224" s="392"/>
      <c r="RAJ224" s="363"/>
      <c r="RAK224" s="363"/>
      <c r="RAO224" s="5"/>
      <c r="RAP224" s="5"/>
      <c r="RAQ224" s="5"/>
      <c r="RAS224" s="5"/>
      <c r="RAU224" s="5"/>
      <c r="RAV224" s="5"/>
      <c r="RAW224" s="5"/>
      <c r="RAX224" s="17"/>
      <c r="RBA224" s="392"/>
      <c r="RBB224" s="392"/>
      <c r="RBC224" s="392"/>
      <c r="RBD224" s="392"/>
      <c r="RBE224" s="392"/>
      <c r="RBF224" s="392"/>
      <c r="RBG224" s="363"/>
      <c r="RBH224" s="363"/>
      <c r="RBL224" s="5"/>
      <c r="RBM224" s="5"/>
      <c r="RBN224" s="5"/>
      <c r="RBP224" s="5"/>
      <c r="RBR224" s="5"/>
      <c r="RBS224" s="5"/>
      <c r="RBT224" s="5"/>
      <c r="RBU224" s="17"/>
      <c r="RBX224" s="392"/>
      <c r="RBY224" s="392"/>
      <c r="RBZ224" s="392"/>
      <c r="RCA224" s="392"/>
      <c r="RCB224" s="392"/>
      <c r="RCC224" s="392"/>
      <c r="RCD224" s="363"/>
      <c r="RCE224" s="363"/>
      <c r="RCI224" s="5"/>
      <c r="RCJ224" s="5"/>
      <c r="RCK224" s="5"/>
      <c r="RCM224" s="5"/>
      <c r="RCO224" s="5"/>
      <c r="RCP224" s="5"/>
      <c r="RCQ224" s="5"/>
      <c r="RCR224" s="17"/>
      <c r="RCU224" s="392"/>
      <c r="RCV224" s="392"/>
      <c r="RCW224" s="392"/>
      <c r="RCX224" s="392"/>
      <c r="RCY224" s="392"/>
      <c r="RCZ224" s="392"/>
      <c r="RDA224" s="363"/>
      <c r="RDB224" s="363"/>
      <c r="RDF224" s="5"/>
      <c r="RDG224" s="5"/>
      <c r="RDH224" s="5"/>
      <c r="RDJ224" s="5"/>
      <c r="RDL224" s="5"/>
      <c r="RDM224" s="5"/>
      <c r="RDN224" s="5"/>
      <c r="RDO224" s="17"/>
      <c r="RDR224" s="392"/>
      <c r="RDS224" s="392"/>
      <c r="RDT224" s="392"/>
      <c r="RDU224" s="392"/>
      <c r="RDV224" s="392"/>
      <c r="RDW224" s="392"/>
      <c r="RDX224" s="363"/>
      <c r="RDY224" s="363"/>
      <c r="REC224" s="5"/>
      <c r="RED224" s="5"/>
      <c r="REE224" s="5"/>
      <c r="REG224" s="5"/>
      <c r="REI224" s="5"/>
      <c r="REJ224" s="5"/>
      <c r="REK224" s="5"/>
      <c r="REL224" s="17"/>
      <c r="REO224" s="392"/>
      <c r="REP224" s="392"/>
      <c r="REQ224" s="392"/>
      <c r="RER224" s="392"/>
      <c r="RES224" s="392"/>
      <c r="RET224" s="392"/>
      <c r="REU224" s="363"/>
      <c r="REV224" s="363"/>
      <c r="REZ224" s="5"/>
      <c r="RFA224" s="5"/>
      <c r="RFB224" s="5"/>
      <c r="RFD224" s="5"/>
      <c r="RFF224" s="5"/>
      <c r="RFG224" s="5"/>
      <c r="RFH224" s="5"/>
      <c r="RFI224" s="17"/>
      <c r="RFL224" s="392"/>
      <c r="RFM224" s="392"/>
      <c r="RFN224" s="392"/>
      <c r="RFO224" s="392"/>
      <c r="RFP224" s="392"/>
      <c r="RFQ224" s="392"/>
      <c r="RFR224" s="363"/>
      <c r="RFS224" s="363"/>
      <c r="RFW224" s="5"/>
      <c r="RFX224" s="5"/>
      <c r="RFY224" s="5"/>
      <c r="RGA224" s="5"/>
      <c r="RGC224" s="5"/>
      <c r="RGD224" s="5"/>
      <c r="RGE224" s="5"/>
      <c r="RGF224" s="17"/>
      <c r="RGI224" s="392"/>
      <c r="RGJ224" s="392"/>
      <c r="RGK224" s="392"/>
      <c r="RGL224" s="392"/>
      <c r="RGM224" s="392"/>
      <c r="RGN224" s="392"/>
      <c r="RGO224" s="363"/>
      <c r="RGP224" s="363"/>
      <c r="RGT224" s="5"/>
      <c r="RGU224" s="5"/>
      <c r="RGV224" s="5"/>
      <c r="RGX224" s="5"/>
      <c r="RGZ224" s="5"/>
      <c r="RHA224" s="5"/>
      <c r="RHB224" s="5"/>
      <c r="RHC224" s="17"/>
      <c r="RHF224" s="392"/>
      <c r="RHG224" s="392"/>
      <c r="RHH224" s="392"/>
      <c r="RHI224" s="392"/>
      <c r="RHJ224" s="392"/>
      <c r="RHK224" s="392"/>
      <c r="RHL224" s="363"/>
      <c r="RHM224" s="363"/>
      <c r="RHQ224" s="5"/>
      <c r="RHR224" s="5"/>
      <c r="RHS224" s="5"/>
      <c r="RHU224" s="5"/>
      <c r="RHW224" s="5"/>
      <c r="RHX224" s="5"/>
      <c r="RHY224" s="5"/>
      <c r="RHZ224" s="17"/>
      <c r="RIC224" s="392"/>
      <c r="RID224" s="392"/>
      <c r="RIE224" s="392"/>
      <c r="RIF224" s="392"/>
      <c r="RIG224" s="392"/>
      <c r="RIH224" s="392"/>
      <c r="RII224" s="363"/>
      <c r="RIJ224" s="363"/>
      <c r="RIN224" s="5"/>
      <c r="RIO224" s="5"/>
      <c r="RIP224" s="5"/>
      <c r="RIR224" s="5"/>
      <c r="RIT224" s="5"/>
      <c r="RIU224" s="5"/>
      <c r="RIV224" s="5"/>
      <c r="RIW224" s="17"/>
      <c r="RIZ224" s="392"/>
      <c r="RJA224" s="392"/>
      <c r="RJB224" s="392"/>
      <c r="RJC224" s="392"/>
      <c r="RJD224" s="392"/>
      <c r="RJE224" s="392"/>
      <c r="RJF224" s="363"/>
      <c r="RJG224" s="363"/>
      <c r="RJK224" s="5"/>
      <c r="RJL224" s="5"/>
      <c r="RJM224" s="5"/>
      <c r="RJO224" s="5"/>
      <c r="RJQ224" s="5"/>
      <c r="RJR224" s="5"/>
      <c r="RJS224" s="5"/>
      <c r="RJT224" s="17"/>
      <c r="RJW224" s="392"/>
      <c r="RJX224" s="392"/>
      <c r="RJY224" s="392"/>
      <c r="RJZ224" s="392"/>
      <c r="RKA224" s="392"/>
      <c r="RKB224" s="392"/>
      <c r="RKC224" s="363"/>
      <c r="RKD224" s="363"/>
      <c r="RKH224" s="5"/>
      <c r="RKI224" s="5"/>
      <c r="RKJ224" s="5"/>
      <c r="RKL224" s="5"/>
      <c r="RKN224" s="5"/>
      <c r="RKO224" s="5"/>
      <c r="RKP224" s="5"/>
      <c r="RKQ224" s="17"/>
      <c r="RKT224" s="392"/>
      <c r="RKU224" s="392"/>
      <c r="RKV224" s="392"/>
      <c r="RKW224" s="392"/>
      <c r="RKX224" s="392"/>
      <c r="RKY224" s="392"/>
      <c r="RKZ224" s="363"/>
      <c r="RLA224" s="363"/>
      <c r="RLE224" s="5"/>
      <c r="RLF224" s="5"/>
      <c r="RLG224" s="5"/>
      <c r="RLI224" s="5"/>
      <c r="RLK224" s="5"/>
      <c r="RLL224" s="5"/>
      <c r="RLM224" s="5"/>
      <c r="RLN224" s="17"/>
      <c r="RLQ224" s="392"/>
      <c r="RLR224" s="392"/>
      <c r="RLS224" s="392"/>
      <c r="RLT224" s="392"/>
      <c r="RLU224" s="392"/>
      <c r="RLV224" s="392"/>
      <c r="RLW224" s="363"/>
      <c r="RLX224" s="363"/>
      <c r="RMB224" s="5"/>
      <c r="RMC224" s="5"/>
      <c r="RMD224" s="5"/>
      <c r="RMF224" s="5"/>
      <c r="RMH224" s="5"/>
      <c r="RMI224" s="5"/>
      <c r="RMJ224" s="5"/>
      <c r="RMK224" s="17"/>
      <c r="RMN224" s="392"/>
      <c r="RMO224" s="392"/>
      <c r="RMP224" s="392"/>
      <c r="RMQ224" s="392"/>
      <c r="RMR224" s="392"/>
      <c r="RMS224" s="392"/>
      <c r="RMT224" s="363"/>
      <c r="RMU224" s="363"/>
      <c r="RMY224" s="5"/>
      <c r="RMZ224" s="5"/>
      <c r="RNA224" s="5"/>
      <c r="RNC224" s="5"/>
      <c r="RNE224" s="5"/>
      <c r="RNF224" s="5"/>
      <c r="RNG224" s="5"/>
      <c r="RNH224" s="17"/>
      <c r="RNK224" s="392"/>
      <c r="RNL224" s="392"/>
      <c r="RNM224" s="392"/>
      <c r="RNN224" s="392"/>
      <c r="RNO224" s="392"/>
      <c r="RNP224" s="392"/>
      <c r="RNQ224" s="363"/>
      <c r="RNR224" s="363"/>
      <c r="RNV224" s="5"/>
      <c r="RNW224" s="5"/>
      <c r="RNX224" s="5"/>
      <c r="RNZ224" s="5"/>
      <c r="ROB224" s="5"/>
      <c r="ROC224" s="5"/>
      <c r="ROD224" s="5"/>
      <c r="ROE224" s="17"/>
      <c r="ROH224" s="392"/>
      <c r="ROI224" s="392"/>
      <c r="ROJ224" s="392"/>
      <c r="ROK224" s="392"/>
      <c r="ROL224" s="392"/>
      <c r="ROM224" s="392"/>
      <c r="RON224" s="363"/>
      <c r="ROO224" s="363"/>
      <c r="ROS224" s="5"/>
      <c r="ROT224" s="5"/>
      <c r="ROU224" s="5"/>
      <c r="ROW224" s="5"/>
      <c r="ROY224" s="5"/>
      <c r="ROZ224" s="5"/>
      <c r="RPA224" s="5"/>
      <c r="RPB224" s="17"/>
      <c r="RPE224" s="392"/>
      <c r="RPF224" s="392"/>
      <c r="RPG224" s="392"/>
      <c r="RPH224" s="392"/>
      <c r="RPI224" s="392"/>
      <c r="RPJ224" s="392"/>
      <c r="RPK224" s="363"/>
      <c r="RPL224" s="363"/>
      <c r="RPP224" s="5"/>
      <c r="RPQ224" s="5"/>
      <c r="RPR224" s="5"/>
      <c r="RPT224" s="5"/>
      <c r="RPV224" s="5"/>
      <c r="RPW224" s="5"/>
      <c r="RPX224" s="5"/>
      <c r="RPY224" s="17"/>
      <c r="RQB224" s="392"/>
      <c r="RQC224" s="392"/>
      <c r="RQD224" s="392"/>
      <c r="RQE224" s="392"/>
      <c r="RQF224" s="392"/>
      <c r="RQG224" s="392"/>
      <c r="RQH224" s="363"/>
      <c r="RQI224" s="363"/>
      <c r="RQM224" s="5"/>
      <c r="RQN224" s="5"/>
      <c r="RQO224" s="5"/>
      <c r="RQQ224" s="5"/>
      <c r="RQS224" s="5"/>
      <c r="RQT224" s="5"/>
      <c r="RQU224" s="5"/>
      <c r="RQV224" s="17"/>
      <c r="RQY224" s="392"/>
      <c r="RQZ224" s="392"/>
      <c r="RRA224" s="392"/>
      <c r="RRB224" s="392"/>
      <c r="RRC224" s="392"/>
      <c r="RRD224" s="392"/>
      <c r="RRE224" s="363"/>
      <c r="RRF224" s="363"/>
      <c r="RRJ224" s="5"/>
      <c r="RRK224" s="5"/>
      <c r="RRL224" s="5"/>
      <c r="RRN224" s="5"/>
      <c r="RRP224" s="5"/>
      <c r="RRQ224" s="5"/>
      <c r="RRR224" s="5"/>
      <c r="RRS224" s="17"/>
      <c r="RRV224" s="392"/>
      <c r="RRW224" s="392"/>
      <c r="RRX224" s="392"/>
      <c r="RRY224" s="392"/>
      <c r="RRZ224" s="392"/>
      <c r="RSA224" s="392"/>
      <c r="RSB224" s="363"/>
      <c r="RSC224" s="363"/>
      <c r="RSG224" s="5"/>
      <c r="RSH224" s="5"/>
      <c r="RSI224" s="5"/>
      <c r="RSK224" s="5"/>
      <c r="RSM224" s="5"/>
      <c r="RSN224" s="5"/>
      <c r="RSO224" s="5"/>
      <c r="RSP224" s="17"/>
      <c r="RSS224" s="392"/>
      <c r="RST224" s="392"/>
      <c r="RSU224" s="392"/>
      <c r="RSV224" s="392"/>
      <c r="RSW224" s="392"/>
      <c r="RSX224" s="392"/>
      <c r="RSY224" s="363"/>
      <c r="RSZ224" s="363"/>
      <c r="RTD224" s="5"/>
      <c r="RTE224" s="5"/>
      <c r="RTF224" s="5"/>
      <c r="RTH224" s="5"/>
      <c r="RTJ224" s="5"/>
      <c r="RTK224" s="5"/>
      <c r="RTL224" s="5"/>
      <c r="RTM224" s="17"/>
      <c r="RTP224" s="392"/>
      <c r="RTQ224" s="392"/>
      <c r="RTR224" s="392"/>
      <c r="RTS224" s="392"/>
      <c r="RTT224" s="392"/>
      <c r="RTU224" s="392"/>
      <c r="RTV224" s="363"/>
      <c r="RTW224" s="363"/>
      <c r="RUA224" s="5"/>
      <c r="RUB224" s="5"/>
      <c r="RUC224" s="5"/>
      <c r="RUE224" s="5"/>
      <c r="RUG224" s="5"/>
      <c r="RUH224" s="5"/>
      <c r="RUI224" s="5"/>
      <c r="RUJ224" s="17"/>
      <c r="RUM224" s="392"/>
      <c r="RUN224" s="392"/>
      <c r="RUO224" s="392"/>
      <c r="RUP224" s="392"/>
      <c r="RUQ224" s="392"/>
      <c r="RUR224" s="392"/>
      <c r="RUS224" s="363"/>
      <c r="RUT224" s="363"/>
      <c r="RUX224" s="5"/>
      <c r="RUY224" s="5"/>
      <c r="RUZ224" s="5"/>
      <c r="RVB224" s="5"/>
      <c r="RVD224" s="5"/>
      <c r="RVE224" s="5"/>
      <c r="RVF224" s="5"/>
      <c r="RVG224" s="17"/>
      <c r="RVJ224" s="392"/>
      <c r="RVK224" s="392"/>
      <c r="RVL224" s="392"/>
      <c r="RVM224" s="392"/>
      <c r="RVN224" s="392"/>
      <c r="RVO224" s="392"/>
      <c r="RVP224" s="363"/>
      <c r="RVQ224" s="363"/>
      <c r="RVU224" s="5"/>
      <c r="RVV224" s="5"/>
      <c r="RVW224" s="5"/>
      <c r="RVY224" s="5"/>
      <c r="RWA224" s="5"/>
      <c r="RWB224" s="5"/>
      <c r="RWC224" s="5"/>
      <c r="RWD224" s="17"/>
      <c r="RWG224" s="392"/>
      <c r="RWH224" s="392"/>
      <c r="RWI224" s="392"/>
      <c r="RWJ224" s="392"/>
      <c r="RWK224" s="392"/>
      <c r="RWL224" s="392"/>
      <c r="RWM224" s="363"/>
      <c r="RWN224" s="363"/>
      <c r="RWR224" s="5"/>
      <c r="RWS224" s="5"/>
      <c r="RWT224" s="5"/>
      <c r="RWV224" s="5"/>
      <c r="RWX224" s="5"/>
      <c r="RWY224" s="5"/>
      <c r="RWZ224" s="5"/>
      <c r="RXA224" s="17"/>
      <c r="RXD224" s="392"/>
      <c r="RXE224" s="392"/>
      <c r="RXF224" s="392"/>
      <c r="RXG224" s="392"/>
      <c r="RXH224" s="392"/>
      <c r="RXI224" s="392"/>
      <c r="RXJ224" s="363"/>
      <c r="RXK224" s="363"/>
      <c r="RXO224" s="5"/>
      <c r="RXP224" s="5"/>
      <c r="RXQ224" s="5"/>
      <c r="RXS224" s="5"/>
      <c r="RXU224" s="5"/>
      <c r="RXV224" s="5"/>
      <c r="RXW224" s="5"/>
      <c r="RXX224" s="17"/>
      <c r="RYA224" s="392"/>
      <c r="RYB224" s="392"/>
      <c r="RYC224" s="392"/>
      <c r="RYD224" s="392"/>
      <c r="RYE224" s="392"/>
      <c r="RYF224" s="392"/>
      <c r="RYG224" s="363"/>
      <c r="RYH224" s="363"/>
      <c r="RYL224" s="5"/>
      <c r="RYM224" s="5"/>
      <c r="RYN224" s="5"/>
      <c r="RYP224" s="5"/>
      <c r="RYR224" s="5"/>
      <c r="RYS224" s="5"/>
      <c r="RYT224" s="5"/>
      <c r="RYU224" s="17"/>
      <c r="RYX224" s="392"/>
      <c r="RYY224" s="392"/>
      <c r="RYZ224" s="392"/>
      <c r="RZA224" s="392"/>
      <c r="RZB224" s="392"/>
      <c r="RZC224" s="392"/>
      <c r="RZD224" s="363"/>
      <c r="RZE224" s="363"/>
      <c r="RZI224" s="5"/>
      <c r="RZJ224" s="5"/>
      <c r="RZK224" s="5"/>
      <c r="RZM224" s="5"/>
      <c r="RZO224" s="5"/>
      <c r="RZP224" s="5"/>
      <c r="RZQ224" s="5"/>
      <c r="RZR224" s="17"/>
      <c r="RZU224" s="392"/>
      <c r="RZV224" s="392"/>
      <c r="RZW224" s="392"/>
      <c r="RZX224" s="392"/>
      <c r="RZY224" s="392"/>
      <c r="RZZ224" s="392"/>
      <c r="SAA224" s="363"/>
      <c r="SAB224" s="363"/>
      <c r="SAF224" s="5"/>
      <c r="SAG224" s="5"/>
      <c r="SAH224" s="5"/>
      <c r="SAJ224" s="5"/>
      <c r="SAL224" s="5"/>
      <c r="SAM224" s="5"/>
      <c r="SAN224" s="5"/>
      <c r="SAO224" s="17"/>
      <c r="SAR224" s="392"/>
      <c r="SAS224" s="392"/>
      <c r="SAT224" s="392"/>
      <c r="SAU224" s="392"/>
      <c r="SAV224" s="392"/>
      <c r="SAW224" s="392"/>
      <c r="SAX224" s="363"/>
      <c r="SAY224" s="363"/>
      <c r="SBC224" s="5"/>
      <c r="SBD224" s="5"/>
      <c r="SBE224" s="5"/>
      <c r="SBG224" s="5"/>
      <c r="SBI224" s="5"/>
      <c r="SBJ224" s="5"/>
      <c r="SBK224" s="5"/>
      <c r="SBL224" s="17"/>
      <c r="SBO224" s="392"/>
      <c r="SBP224" s="392"/>
      <c r="SBQ224" s="392"/>
      <c r="SBR224" s="392"/>
      <c r="SBS224" s="392"/>
      <c r="SBT224" s="392"/>
      <c r="SBU224" s="363"/>
      <c r="SBV224" s="363"/>
      <c r="SBZ224" s="5"/>
      <c r="SCA224" s="5"/>
      <c r="SCB224" s="5"/>
      <c r="SCD224" s="5"/>
      <c r="SCF224" s="5"/>
      <c r="SCG224" s="5"/>
      <c r="SCH224" s="5"/>
      <c r="SCI224" s="17"/>
      <c r="SCL224" s="392"/>
      <c r="SCM224" s="392"/>
      <c r="SCN224" s="392"/>
      <c r="SCO224" s="392"/>
      <c r="SCP224" s="392"/>
      <c r="SCQ224" s="392"/>
      <c r="SCR224" s="363"/>
      <c r="SCS224" s="363"/>
      <c r="SCW224" s="5"/>
      <c r="SCX224" s="5"/>
      <c r="SCY224" s="5"/>
      <c r="SDA224" s="5"/>
      <c r="SDC224" s="5"/>
      <c r="SDD224" s="5"/>
      <c r="SDE224" s="5"/>
      <c r="SDF224" s="17"/>
      <c r="SDI224" s="392"/>
      <c r="SDJ224" s="392"/>
      <c r="SDK224" s="392"/>
      <c r="SDL224" s="392"/>
      <c r="SDM224" s="392"/>
      <c r="SDN224" s="392"/>
      <c r="SDO224" s="363"/>
      <c r="SDP224" s="363"/>
      <c r="SDT224" s="5"/>
      <c r="SDU224" s="5"/>
      <c r="SDV224" s="5"/>
      <c r="SDX224" s="5"/>
      <c r="SDZ224" s="5"/>
      <c r="SEA224" s="5"/>
      <c r="SEB224" s="5"/>
      <c r="SEC224" s="17"/>
      <c r="SEF224" s="392"/>
      <c r="SEG224" s="392"/>
      <c r="SEH224" s="392"/>
      <c r="SEI224" s="392"/>
      <c r="SEJ224" s="392"/>
      <c r="SEK224" s="392"/>
      <c r="SEL224" s="363"/>
      <c r="SEM224" s="363"/>
      <c r="SEQ224" s="5"/>
      <c r="SER224" s="5"/>
      <c r="SES224" s="5"/>
      <c r="SEU224" s="5"/>
      <c r="SEW224" s="5"/>
      <c r="SEX224" s="5"/>
      <c r="SEY224" s="5"/>
      <c r="SEZ224" s="17"/>
      <c r="SFC224" s="392"/>
      <c r="SFD224" s="392"/>
      <c r="SFE224" s="392"/>
      <c r="SFF224" s="392"/>
      <c r="SFG224" s="392"/>
      <c r="SFH224" s="392"/>
      <c r="SFI224" s="363"/>
      <c r="SFJ224" s="363"/>
      <c r="SFN224" s="5"/>
      <c r="SFO224" s="5"/>
      <c r="SFP224" s="5"/>
      <c r="SFR224" s="5"/>
      <c r="SFT224" s="5"/>
      <c r="SFU224" s="5"/>
      <c r="SFV224" s="5"/>
      <c r="SFW224" s="17"/>
      <c r="SFZ224" s="392"/>
      <c r="SGA224" s="392"/>
      <c r="SGB224" s="392"/>
      <c r="SGC224" s="392"/>
      <c r="SGD224" s="392"/>
      <c r="SGE224" s="392"/>
      <c r="SGF224" s="363"/>
      <c r="SGG224" s="363"/>
      <c r="SGK224" s="5"/>
      <c r="SGL224" s="5"/>
      <c r="SGM224" s="5"/>
      <c r="SGO224" s="5"/>
      <c r="SGQ224" s="5"/>
      <c r="SGR224" s="5"/>
      <c r="SGS224" s="5"/>
      <c r="SGT224" s="17"/>
      <c r="SGW224" s="392"/>
      <c r="SGX224" s="392"/>
      <c r="SGY224" s="392"/>
      <c r="SGZ224" s="392"/>
      <c r="SHA224" s="392"/>
      <c r="SHB224" s="392"/>
      <c r="SHC224" s="363"/>
      <c r="SHD224" s="363"/>
      <c r="SHH224" s="5"/>
      <c r="SHI224" s="5"/>
      <c r="SHJ224" s="5"/>
      <c r="SHL224" s="5"/>
      <c r="SHN224" s="5"/>
      <c r="SHO224" s="5"/>
      <c r="SHP224" s="5"/>
      <c r="SHQ224" s="17"/>
      <c r="SHT224" s="392"/>
      <c r="SHU224" s="392"/>
      <c r="SHV224" s="392"/>
      <c r="SHW224" s="392"/>
      <c r="SHX224" s="392"/>
      <c r="SHY224" s="392"/>
      <c r="SHZ224" s="363"/>
      <c r="SIA224" s="363"/>
      <c r="SIE224" s="5"/>
      <c r="SIF224" s="5"/>
      <c r="SIG224" s="5"/>
      <c r="SII224" s="5"/>
      <c r="SIK224" s="5"/>
      <c r="SIL224" s="5"/>
      <c r="SIM224" s="5"/>
      <c r="SIN224" s="17"/>
      <c r="SIQ224" s="392"/>
      <c r="SIR224" s="392"/>
      <c r="SIS224" s="392"/>
      <c r="SIT224" s="392"/>
      <c r="SIU224" s="392"/>
      <c r="SIV224" s="392"/>
      <c r="SIW224" s="363"/>
      <c r="SIX224" s="363"/>
      <c r="SJB224" s="5"/>
      <c r="SJC224" s="5"/>
      <c r="SJD224" s="5"/>
      <c r="SJF224" s="5"/>
      <c r="SJH224" s="5"/>
      <c r="SJI224" s="5"/>
      <c r="SJJ224" s="5"/>
      <c r="SJK224" s="17"/>
      <c r="SJN224" s="392"/>
      <c r="SJO224" s="392"/>
      <c r="SJP224" s="392"/>
      <c r="SJQ224" s="392"/>
      <c r="SJR224" s="392"/>
      <c r="SJS224" s="392"/>
      <c r="SJT224" s="363"/>
      <c r="SJU224" s="363"/>
      <c r="SJY224" s="5"/>
      <c r="SJZ224" s="5"/>
      <c r="SKA224" s="5"/>
      <c r="SKC224" s="5"/>
      <c r="SKE224" s="5"/>
      <c r="SKF224" s="5"/>
      <c r="SKG224" s="5"/>
      <c r="SKH224" s="17"/>
      <c r="SKK224" s="392"/>
      <c r="SKL224" s="392"/>
      <c r="SKM224" s="392"/>
      <c r="SKN224" s="392"/>
      <c r="SKO224" s="392"/>
      <c r="SKP224" s="392"/>
      <c r="SKQ224" s="363"/>
      <c r="SKR224" s="363"/>
      <c r="SKV224" s="5"/>
      <c r="SKW224" s="5"/>
      <c r="SKX224" s="5"/>
      <c r="SKZ224" s="5"/>
      <c r="SLB224" s="5"/>
      <c r="SLC224" s="5"/>
      <c r="SLD224" s="5"/>
      <c r="SLE224" s="17"/>
      <c r="SLH224" s="392"/>
      <c r="SLI224" s="392"/>
      <c r="SLJ224" s="392"/>
      <c r="SLK224" s="392"/>
      <c r="SLL224" s="392"/>
      <c r="SLM224" s="392"/>
      <c r="SLN224" s="363"/>
      <c r="SLO224" s="363"/>
      <c r="SLS224" s="5"/>
      <c r="SLT224" s="5"/>
      <c r="SLU224" s="5"/>
      <c r="SLW224" s="5"/>
      <c r="SLY224" s="5"/>
      <c r="SLZ224" s="5"/>
      <c r="SMA224" s="5"/>
      <c r="SMB224" s="17"/>
      <c r="SME224" s="392"/>
      <c r="SMF224" s="392"/>
      <c r="SMG224" s="392"/>
      <c r="SMH224" s="392"/>
      <c r="SMI224" s="392"/>
      <c r="SMJ224" s="392"/>
      <c r="SMK224" s="363"/>
      <c r="SML224" s="363"/>
      <c r="SMP224" s="5"/>
      <c r="SMQ224" s="5"/>
      <c r="SMR224" s="5"/>
      <c r="SMT224" s="5"/>
      <c r="SMV224" s="5"/>
      <c r="SMW224" s="5"/>
      <c r="SMX224" s="5"/>
      <c r="SMY224" s="17"/>
      <c r="SNB224" s="392"/>
      <c r="SNC224" s="392"/>
      <c r="SND224" s="392"/>
      <c r="SNE224" s="392"/>
      <c r="SNF224" s="392"/>
      <c r="SNG224" s="392"/>
      <c r="SNH224" s="363"/>
      <c r="SNI224" s="363"/>
      <c r="SNM224" s="5"/>
      <c r="SNN224" s="5"/>
      <c r="SNO224" s="5"/>
      <c r="SNQ224" s="5"/>
      <c r="SNS224" s="5"/>
      <c r="SNT224" s="5"/>
      <c r="SNU224" s="5"/>
      <c r="SNV224" s="17"/>
      <c r="SNY224" s="392"/>
      <c r="SNZ224" s="392"/>
      <c r="SOA224" s="392"/>
      <c r="SOB224" s="392"/>
      <c r="SOC224" s="392"/>
      <c r="SOD224" s="392"/>
      <c r="SOE224" s="363"/>
      <c r="SOF224" s="363"/>
      <c r="SOJ224" s="5"/>
      <c r="SOK224" s="5"/>
      <c r="SOL224" s="5"/>
      <c r="SON224" s="5"/>
      <c r="SOP224" s="5"/>
      <c r="SOQ224" s="5"/>
      <c r="SOR224" s="5"/>
      <c r="SOS224" s="17"/>
      <c r="SOV224" s="392"/>
      <c r="SOW224" s="392"/>
      <c r="SOX224" s="392"/>
      <c r="SOY224" s="392"/>
      <c r="SOZ224" s="392"/>
      <c r="SPA224" s="392"/>
      <c r="SPB224" s="363"/>
      <c r="SPC224" s="363"/>
      <c r="SPG224" s="5"/>
      <c r="SPH224" s="5"/>
      <c r="SPI224" s="5"/>
      <c r="SPK224" s="5"/>
      <c r="SPM224" s="5"/>
      <c r="SPN224" s="5"/>
      <c r="SPO224" s="5"/>
      <c r="SPP224" s="17"/>
      <c r="SPS224" s="392"/>
      <c r="SPT224" s="392"/>
      <c r="SPU224" s="392"/>
      <c r="SPV224" s="392"/>
      <c r="SPW224" s="392"/>
      <c r="SPX224" s="392"/>
      <c r="SPY224" s="363"/>
      <c r="SPZ224" s="363"/>
      <c r="SQD224" s="5"/>
      <c r="SQE224" s="5"/>
      <c r="SQF224" s="5"/>
      <c r="SQH224" s="5"/>
      <c r="SQJ224" s="5"/>
      <c r="SQK224" s="5"/>
      <c r="SQL224" s="5"/>
      <c r="SQM224" s="17"/>
      <c r="SQP224" s="392"/>
      <c r="SQQ224" s="392"/>
      <c r="SQR224" s="392"/>
      <c r="SQS224" s="392"/>
      <c r="SQT224" s="392"/>
      <c r="SQU224" s="392"/>
      <c r="SQV224" s="363"/>
      <c r="SQW224" s="363"/>
      <c r="SRA224" s="5"/>
      <c r="SRB224" s="5"/>
      <c r="SRC224" s="5"/>
      <c r="SRE224" s="5"/>
      <c r="SRG224" s="5"/>
      <c r="SRH224" s="5"/>
      <c r="SRI224" s="5"/>
      <c r="SRJ224" s="17"/>
      <c r="SRM224" s="392"/>
      <c r="SRN224" s="392"/>
      <c r="SRO224" s="392"/>
      <c r="SRP224" s="392"/>
      <c r="SRQ224" s="392"/>
      <c r="SRR224" s="392"/>
      <c r="SRS224" s="363"/>
      <c r="SRT224" s="363"/>
      <c r="SRX224" s="5"/>
      <c r="SRY224" s="5"/>
      <c r="SRZ224" s="5"/>
      <c r="SSB224" s="5"/>
      <c r="SSD224" s="5"/>
      <c r="SSE224" s="5"/>
      <c r="SSF224" s="5"/>
      <c r="SSG224" s="17"/>
      <c r="SSJ224" s="392"/>
      <c r="SSK224" s="392"/>
      <c r="SSL224" s="392"/>
      <c r="SSM224" s="392"/>
      <c r="SSN224" s="392"/>
      <c r="SSO224" s="392"/>
      <c r="SSP224" s="363"/>
      <c r="SSQ224" s="363"/>
      <c r="SSU224" s="5"/>
      <c r="SSV224" s="5"/>
      <c r="SSW224" s="5"/>
      <c r="SSY224" s="5"/>
      <c r="STA224" s="5"/>
      <c r="STB224" s="5"/>
      <c r="STC224" s="5"/>
      <c r="STD224" s="17"/>
      <c r="STG224" s="392"/>
      <c r="STH224" s="392"/>
      <c r="STI224" s="392"/>
      <c r="STJ224" s="392"/>
      <c r="STK224" s="392"/>
      <c r="STL224" s="392"/>
      <c r="STM224" s="363"/>
      <c r="STN224" s="363"/>
      <c r="STR224" s="5"/>
      <c r="STS224" s="5"/>
      <c r="STT224" s="5"/>
      <c r="STV224" s="5"/>
      <c r="STX224" s="5"/>
      <c r="STY224" s="5"/>
      <c r="STZ224" s="5"/>
      <c r="SUA224" s="17"/>
      <c r="SUD224" s="392"/>
      <c r="SUE224" s="392"/>
      <c r="SUF224" s="392"/>
      <c r="SUG224" s="392"/>
      <c r="SUH224" s="392"/>
      <c r="SUI224" s="392"/>
      <c r="SUJ224" s="363"/>
      <c r="SUK224" s="363"/>
      <c r="SUO224" s="5"/>
      <c r="SUP224" s="5"/>
      <c r="SUQ224" s="5"/>
      <c r="SUS224" s="5"/>
      <c r="SUU224" s="5"/>
      <c r="SUV224" s="5"/>
      <c r="SUW224" s="5"/>
      <c r="SUX224" s="17"/>
      <c r="SVA224" s="392"/>
      <c r="SVB224" s="392"/>
      <c r="SVC224" s="392"/>
      <c r="SVD224" s="392"/>
      <c r="SVE224" s="392"/>
      <c r="SVF224" s="392"/>
      <c r="SVG224" s="363"/>
      <c r="SVH224" s="363"/>
      <c r="SVL224" s="5"/>
      <c r="SVM224" s="5"/>
      <c r="SVN224" s="5"/>
      <c r="SVP224" s="5"/>
      <c r="SVR224" s="5"/>
      <c r="SVS224" s="5"/>
      <c r="SVT224" s="5"/>
      <c r="SVU224" s="17"/>
      <c r="SVX224" s="392"/>
      <c r="SVY224" s="392"/>
      <c r="SVZ224" s="392"/>
      <c r="SWA224" s="392"/>
      <c r="SWB224" s="392"/>
      <c r="SWC224" s="392"/>
      <c r="SWD224" s="363"/>
      <c r="SWE224" s="363"/>
      <c r="SWI224" s="5"/>
      <c r="SWJ224" s="5"/>
      <c r="SWK224" s="5"/>
      <c r="SWM224" s="5"/>
      <c r="SWO224" s="5"/>
      <c r="SWP224" s="5"/>
      <c r="SWQ224" s="5"/>
      <c r="SWR224" s="17"/>
      <c r="SWU224" s="392"/>
      <c r="SWV224" s="392"/>
      <c r="SWW224" s="392"/>
      <c r="SWX224" s="392"/>
      <c r="SWY224" s="392"/>
      <c r="SWZ224" s="392"/>
      <c r="SXA224" s="363"/>
      <c r="SXB224" s="363"/>
      <c r="SXF224" s="5"/>
      <c r="SXG224" s="5"/>
      <c r="SXH224" s="5"/>
      <c r="SXJ224" s="5"/>
      <c r="SXL224" s="5"/>
      <c r="SXM224" s="5"/>
      <c r="SXN224" s="5"/>
      <c r="SXO224" s="17"/>
      <c r="SXR224" s="392"/>
      <c r="SXS224" s="392"/>
      <c r="SXT224" s="392"/>
      <c r="SXU224" s="392"/>
      <c r="SXV224" s="392"/>
      <c r="SXW224" s="392"/>
      <c r="SXX224" s="363"/>
      <c r="SXY224" s="363"/>
      <c r="SYC224" s="5"/>
      <c r="SYD224" s="5"/>
      <c r="SYE224" s="5"/>
      <c r="SYG224" s="5"/>
      <c r="SYI224" s="5"/>
      <c r="SYJ224" s="5"/>
      <c r="SYK224" s="5"/>
      <c r="SYL224" s="17"/>
      <c r="SYO224" s="392"/>
      <c r="SYP224" s="392"/>
      <c r="SYQ224" s="392"/>
      <c r="SYR224" s="392"/>
      <c r="SYS224" s="392"/>
      <c r="SYT224" s="392"/>
      <c r="SYU224" s="363"/>
      <c r="SYV224" s="363"/>
      <c r="SYZ224" s="5"/>
      <c r="SZA224" s="5"/>
      <c r="SZB224" s="5"/>
      <c r="SZD224" s="5"/>
      <c r="SZF224" s="5"/>
      <c r="SZG224" s="5"/>
      <c r="SZH224" s="5"/>
      <c r="SZI224" s="17"/>
      <c r="SZL224" s="392"/>
      <c r="SZM224" s="392"/>
      <c r="SZN224" s="392"/>
      <c r="SZO224" s="392"/>
      <c r="SZP224" s="392"/>
      <c r="SZQ224" s="392"/>
      <c r="SZR224" s="363"/>
      <c r="SZS224" s="363"/>
      <c r="SZW224" s="5"/>
      <c r="SZX224" s="5"/>
      <c r="SZY224" s="5"/>
      <c r="TAA224" s="5"/>
      <c r="TAC224" s="5"/>
      <c r="TAD224" s="5"/>
      <c r="TAE224" s="5"/>
      <c r="TAF224" s="17"/>
      <c r="TAI224" s="392"/>
      <c r="TAJ224" s="392"/>
      <c r="TAK224" s="392"/>
      <c r="TAL224" s="392"/>
      <c r="TAM224" s="392"/>
      <c r="TAN224" s="392"/>
      <c r="TAO224" s="363"/>
      <c r="TAP224" s="363"/>
      <c r="TAT224" s="5"/>
      <c r="TAU224" s="5"/>
      <c r="TAV224" s="5"/>
      <c r="TAX224" s="5"/>
      <c r="TAZ224" s="5"/>
      <c r="TBA224" s="5"/>
      <c r="TBB224" s="5"/>
      <c r="TBC224" s="17"/>
      <c r="TBF224" s="392"/>
      <c r="TBG224" s="392"/>
      <c r="TBH224" s="392"/>
      <c r="TBI224" s="392"/>
      <c r="TBJ224" s="392"/>
      <c r="TBK224" s="392"/>
      <c r="TBL224" s="363"/>
      <c r="TBM224" s="363"/>
      <c r="TBQ224" s="5"/>
      <c r="TBR224" s="5"/>
      <c r="TBS224" s="5"/>
      <c r="TBU224" s="5"/>
      <c r="TBW224" s="5"/>
      <c r="TBX224" s="5"/>
      <c r="TBY224" s="5"/>
      <c r="TBZ224" s="17"/>
      <c r="TCC224" s="392"/>
      <c r="TCD224" s="392"/>
      <c r="TCE224" s="392"/>
      <c r="TCF224" s="392"/>
      <c r="TCG224" s="392"/>
      <c r="TCH224" s="392"/>
      <c r="TCI224" s="363"/>
      <c r="TCJ224" s="363"/>
      <c r="TCN224" s="5"/>
      <c r="TCO224" s="5"/>
      <c r="TCP224" s="5"/>
      <c r="TCR224" s="5"/>
      <c r="TCT224" s="5"/>
      <c r="TCU224" s="5"/>
      <c r="TCV224" s="5"/>
      <c r="TCW224" s="17"/>
      <c r="TCZ224" s="392"/>
      <c r="TDA224" s="392"/>
      <c r="TDB224" s="392"/>
      <c r="TDC224" s="392"/>
      <c r="TDD224" s="392"/>
      <c r="TDE224" s="392"/>
      <c r="TDF224" s="363"/>
      <c r="TDG224" s="363"/>
      <c r="TDK224" s="5"/>
      <c r="TDL224" s="5"/>
      <c r="TDM224" s="5"/>
      <c r="TDO224" s="5"/>
      <c r="TDQ224" s="5"/>
      <c r="TDR224" s="5"/>
      <c r="TDS224" s="5"/>
      <c r="TDT224" s="17"/>
      <c r="TDW224" s="392"/>
      <c r="TDX224" s="392"/>
      <c r="TDY224" s="392"/>
      <c r="TDZ224" s="392"/>
      <c r="TEA224" s="392"/>
      <c r="TEB224" s="392"/>
      <c r="TEC224" s="363"/>
      <c r="TED224" s="363"/>
      <c r="TEH224" s="5"/>
      <c r="TEI224" s="5"/>
      <c r="TEJ224" s="5"/>
      <c r="TEL224" s="5"/>
      <c r="TEN224" s="5"/>
      <c r="TEO224" s="5"/>
      <c r="TEP224" s="5"/>
      <c r="TEQ224" s="17"/>
      <c r="TET224" s="392"/>
      <c r="TEU224" s="392"/>
      <c r="TEV224" s="392"/>
      <c r="TEW224" s="392"/>
      <c r="TEX224" s="392"/>
      <c r="TEY224" s="392"/>
      <c r="TEZ224" s="363"/>
      <c r="TFA224" s="363"/>
      <c r="TFE224" s="5"/>
      <c r="TFF224" s="5"/>
      <c r="TFG224" s="5"/>
      <c r="TFI224" s="5"/>
      <c r="TFK224" s="5"/>
      <c r="TFL224" s="5"/>
      <c r="TFM224" s="5"/>
      <c r="TFN224" s="17"/>
      <c r="TFQ224" s="392"/>
      <c r="TFR224" s="392"/>
      <c r="TFS224" s="392"/>
      <c r="TFT224" s="392"/>
      <c r="TFU224" s="392"/>
      <c r="TFV224" s="392"/>
      <c r="TFW224" s="363"/>
      <c r="TFX224" s="363"/>
      <c r="TGB224" s="5"/>
      <c r="TGC224" s="5"/>
      <c r="TGD224" s="5"/>
      <c r="TGF224" s="5"/>
      <c r="TGH224" s="5"/>
      <c r="TGI224" s="5"/>
      <c r="TGJ224" s="5"/>
      <c r="TGK224" s="17"/>
      <c r="TGN224" s="392"/>
      <c r="TGO224" s="392"/>
      <c r="TGP224" s="392"/>
      <c r="TGQ224" s="392"/>
      <c r="TGR224" s="392"/>
      <c r="TGS224" s="392"/>
      <c r="TGT224" s="363"/>
      <c r="TGU224" s="363"/>
      <c r="TGY224" s="5"/>
      <c r="TGZ224" s="5"/>
      <c r="THA224" s="5"/>
      <c r="THC224" s="5"/>
      <c r="THE224" s="5"/>
      <c r="THF224" s="5"/>
      <c r="THG224" s="5"/>
      <c r="THH224" s="17"/>
      <c r="THK224" s="392"/>
      <c r="THL224" s="392"/>
      <c r="THM224" s="392"/>
      <c r="THN224" s="392"/>
      <c r="THO224" s="392"/>
      <c r="THP224" s="392"/>
      <c r="THQ224" s="363"/>
      <c r="THR224" s="363"/>
      <c r="THV224" s="5"/>
      <c r="THW224" s="5"/>
      <c r="THX224" s="5"/>
      <c r="THZ224" s="5"/>
      <c r="TIB224" s="5"/>
      <c r="TIC224" s="5"/>
      <c r="TID224" s="5"/>
      <c r="TIE224" s="17"/>
      <c r="TIH224" s="392"/>
      <c r="TII224" s="392"/>
      <c r="TIJ224" s="392"/>
      <c r="TIK224" s="392"/>
      <c r="TIL224" s="392"/>
      <c r="TIM224" s="392"/>
      <c r="TIN224" s="363"/>
      <c r="TIO224" s="363"/>
      <c r="TIS224" s="5"/>
      <c r="TIT224" s="5"/>
      <c r="TIU224" s="5"/>
      <c r="TIW224" s="5"/>
      <c r="TIY224" s="5"/>
      <c r="TIZ224" s="5"/>
      <c r="TJA224" s="5"/>
      <c r="TJB224" s="17"/>
      <c r="TJE224" s="392"/>
      <c r="TJF224" s="392"/>
      <c r="TJG224" s="392"/>
      <c r="TJH224" s="392"/>
      <c r="TJI224" s="392"/>
      <c r="TJJ224" s="392"/>
      <c r="TJK224" s="363"/>
      <c r="TJL224" s="363"/>
      <c r="TJP224" s="5"/>
      <c r="TJQ224" s="5"/>
      <c r="TJR224" s="5"/>
      <c r="TJT224" s="5"/>
      <c r="TJV224" s="5"/>
      <c r="TJW224" s="5"/>
      <c r="TJX224" s="5"/>
      <c r="TJY224" s="17"/>
      <c r="TKB224" s="392"/>
      <c r="TKC224" s="392"/>
      <c r="TKD224" s="392"/>
      <c r="TKE224" s="392"/>
      <c r="TKF224" s="392"/>
      <c r="TKG224" s="392"/>
      <c r="TKH224" s="363"/>
      <c r="TKI224" s="363"/>
      <c r="TKM224" s="5"/>
      <c r="TKN224" s="5"/>
      <c r="TKO224" s="5"/>
      <c r="TKQ224" s="5"/>
      <c r="TKS224" s="5"/>
      <c r="TKT224" s="5"/>
      <c r="TKU224" s="5"/>
      <c r="TKV224" s="17"/>
      <c r="TKY224" s="392"/>
      <c r="TKZ224" s="392"/>
      <c r="TLA224" s="392"/>
      <c r="TLB224" s="392"/>
      <c r="TLC224" s="392"/>
      <c r="TLD224" s="392"/>
      <c r="TLE224" s="363"/>
      <c r="TLF224" s="363"/>
      <c r="TLJ224" s="5"/>
      <c r="TLK224" s="5"/>
      <c r="TLL224" s="5"/>
      <c r="TLN224" s="5"/>
      <c r="TLP224" s="5"/>
      <c r="TLQ224" s="5"/>
      <c r="TLR224" s="5"/>
      <c r="TLS224" s="17"/>
      <c r="TLV224" s="392"/>
      <c r="TLW224" s="392"/>
      <c r="TLX224" s="392"/>
      <c r="TLY224" s="392"/>
      <c r="TLZ224" s="392"/>
      <c r="TMA224" s="392"/>
      <c r="TMB224" s="363"/>
      <c r="TMC224" s="363"/>
      <c r="TMG224" s="5"/>
      <c r="TMH224" s="5"/>
      <c r="TMI224" s="5"/>
      <c r="TMK224" s="5"/>
      <c r="TMM224" s="5"/>
      <c r="TMN224" s="5"/>
      <c r="TMO224" s="5"/>
      <c r="TMP224" s="17"/>
      <c r="TMS224" s="392"/>
      <c r="TMT224" s="392"/>
      <c r="TMU224" s="392"/>
      <c r="TMV224" s="392"/>
      <c r="TMW224" s="392"/>
      <c r="TMX224" s="392"/>
      <c r="TMY224" s="363"/>
      <c r="TMZ224" s="363"/>
      <c r="TND224" s="5"/>
      <c r="TNE224" s="5"/>
      <c r="TNF224" s="5"/>
      <c r="TNH224" s="5"/>
      <c r="TNJ224" s="5"/>
      <c r="TNK224" s="5"/>
      <c r="TNL224" s="5"/>
      <c r="TNM224" s="17"/>
      <c r="TNP224" s="392"/>
      <c r="TNQ224" s="392"/>
      <c r="TNR224" s="392"/>
      <c r="TNS224" s="392"/>
      <c r="TNT224" s="392"/>
      <c r="TNU224" s="392"/>
      <c r="TNV224" s="363"/>
      <c r="TNW224" s="363"/>
      <c r="TOA224" s="5"/>
      <c r="TOB224" s="5"/>
      <c r="TOC224" s="5"/>
      <c r="TOE224" s="5"/>
      <c r="TOG224" s="5"/>
      <c r="TOH224" s="5"/>
      <c r="TOI224" s="5"/>
      <c r="TOJ224" s="17"/>
      <c r="TOM224" s="392"/>
      <c r="TON224" s="392"/>
      <c r="TOO224" s="392"/>
      <c r="TOP224" s="392"/>
      <c r="TOQ224" s="392"/>
      <c r="TOR224" s="392"/>
      <c r="TOS224" s="363"/>
      <c r="TOT224" s="363"/>
      <c r="TOX224" s="5"/>
      <c r="TOY224" s="5"/>
      <c r="TOZ224" s="5"/>
      <c r="TPB224" s="5"/>
      <c r="TPD224" s="5"/>
      <c r="TPE224" s="5"/>
      <c r="TPF224" s="5"/>
      <c r="TPG224" s="17"/>
      <c r="TPJ224" s="392"/>
      <c r="TPK224" s="392"/>
      <c r="TPL224" s="392"/>
      <c r="TPM224" s="392"/>
      <c r="TPN224" s="392"/>
      <c r="TPO224" s="392"/>
      <c r="TPP224" s="363"/>
      <c r="TPQ224" s="363"/>
      <c r="TPU224" s="5"/>
      <c r="TPV224" s="5"/>
      <c r="TPW224" s="5"/>
      <c r="TPY224" s="5"/>
      <c r="TQA224" s="5"/>
      <c r="TQB224" s="5"/>
      <c r="TQC224" s="5"/>
      <c r="TQD224" s="17"/>
      <c r="TQG224" s="392"/>
      <c r="TQH224" s="392"/>
      <c r="TQI224" s="392"/>
      <c r="TQJ224" s="392"/>
      <c r="TQK224" s="392"/>
      <c r="TQL224" s="392"/>
      <c r="TQM224" s="363"/>
      <c r="TQN224" s="363"/>
      <c r="TQR224" s="5"/>
      <c r="TQS224" s="5"/>
      <c r="TQT224" s="5"/>
      <c r="TQV224" s="5"/>
      <c r="TQX224" s="5"/>
      <c r="TQY224" s="5"/>
      <c r="TQZ224" s="5"/>
      <c r="TRA224" s="17"/>
      <c r="TRD224" s="392"/>
      <c r="TRE224" s="392"/>
      <c r="TRF224" s="392"/>
      <c r="TRG224" s="392"/>
      <c r="TRH224" s="392"/>
      <c r="TRI224" s="392"/>
      <c r="TRJ224" s="363"/>
      <c r="TRK224" s="363"/>
      <c r="TRO224" s="5"/>
      <c r="TRP224" s="5"/>
      <c r="TRQ224" s="5"/>
      <c r="TRS224" s="5"/>
      <c r="TRU224" s="5"/>
      <c r="TRV224" s="5"/>
      <c r="TRW224" s="5"/>
      <c r="TRX224" s="17"/>
      <c r="TSA224" s="392"/>
      <c r="TSB224" s="392"/>
      <c r="TSC224" s="392"/>
      <c r="TSD224" s="392"/>
      <c r="TSE224" s="392"/>
      <c r="TSF224" s="392"/>
      <c r="TSG224" s="363"/>
      <c r="TSH224" s="363"/>
      <c r="TSL224" s="5"/>
      <c r="TSM224" s="5"/>
      <c r="TSN224" s="5"/>
      <c r="TSP224" s="5"/>
      <c r="TSR224" s="5"/>
      <c r="TSS224" s="5"/>
      <c r="TST224" s="5"/>
      <c r="TSU224" s="17"/>
      <c r="TSX224" s="392"/>
      <c r="TSY224" s="392"/>
      <c r="TSZ224" s="392"/>
      <c r="TTA224" s="392"/>
      <c r="TTB224" s="392"/>
      <c r="TTC224" s="392"/>
      <c r="TTD224" s="363"/>
      <c r="TTE224" s="363"/>
      <c r="TTI224" s="5"/>
      <c r="TTJ224" s="5"/>
      <c r="TTK224" s="5"/>
      <c r="TTM224" s="5"/>
      <c r="TTO224" s="5"/>
      <c r="TTP224" s="5"/>
      <c r="TTQ224" s="5"/>
      <c r="TTR224" s="17"/>
      <c r="TTU224" s="392"/>
      <c r="TTV224" s="392"/>
      <c r="TTW224" s="392"/>
      <c r="TTX224" s="392"/>
      <c r="TTY224" s="392"/>
      <c r="TTZ224" s="392"/>
      <c r="TUA224" s="363"/>
      <c r="TUB224" s="363"/>
      <c r="TUF224" s="5"/>
      <c r="TUG224" s="5"/>
      <c r="TUH224" s="5"/>
      <c r="TUJ224" s="5"/>
      <c r="TUL224" s="5"/>
      <c r="TUM224" s="5"/>
      <c r="TUN224" s="5"/>
      <c r="TUO224" s="17"/>
      <c r="TUR224" s="392"/>
      <c r="TUS224" s="392"/>
      <c r="TUT224" s="392"/>
      <c r="TUU224" s="392"/>
      <c r="TUV224" s="392"/>
      <c r="TUW224" s="392"/>
      <c r="TUX224" s="363"/>
      <c r="TUY224" s="363"/>
      <c r="TVC224" s="5"/>
      <c r="TVD224" s="5"/>
      <c r="TVE224" s="5"/>
      <c r="TVG224" s="5"/>
      <c r="TVI224" s="5"/>
      <c r="TVJ224" s="5"/>
      <c r="TVK224" s="5"/>
      <c r="TVL224" s="17"/>
      <c r="TVO224" s="392"/>
      <c r="TVP224" s="392"/>
      <c r="TVQ224" s="392"/>
      <c r="TVR224" s="392"/>
      <c r="TVS224" s="392"/>
      <c r="TVT224" s="392"/>
      <c r="TVU224" s="363"/>
      <c r="TVV224" s="363"/>
      <c r="TVZ224" s="5"/>
      <c r="TWA224" s="5"/>
      <c r="TWB224" s="5"/>
      <c r="TWD224" s="5"/>
      <c r="TWF224" s="5"/>
      <c r="TWG224" s="5"/>
      <c r="TWH224" s="5"/>
      <c r="TWI224" s="17"/>
      <c r="TWL224" s="392"/>
      <c r="TWM224" s="392"/>
      <c r="TWN224" s="392"/>
      <c r="TWO224" s="392"/>
      <c r="TWP224" s="392"/>
      <c r="TWQ224" s="392"/>
      <c r="TWR224" s="363"/>
      <c r="TWS224" s="363"/>
      <c r="TWW224" s="5"/>
      <c r="TWX224" s="5"/>
      <c r="TWY224" s="5"/>
      <c r="TXA224" s="5"/>
      <c r="TXC224" s="5"/>
      <c r="TXD224" s="5"/>
      <c r="TXE224" s="5"/>
      <c r="TXF224" s="17"/>
      <c r="TXI224" s="392"/>
      <c r="TXJ224" s="392"/>
      <c r="TXK224" s="392"/>
      <c r="TXL224" s="392"/>
      <c r="TXM224" s="392"/>
      <c r="TXN224" s="392"/>
      <c r="TXO224" s="363"/>
      <c r="TXP224" s="363"/>
      <c r="TXT224" s="5"/>
      <c r="TXU224" s="5"/>
      <c r="TXV224" s="5"/>
      <c r="TXX224" s="5"/>
      <c r="TXZ224" s="5"/>
      <c r="TYA224" s="5"/>
      <c r="TYB224" s="5"/>
      <c r="TYC224" s="17"/>
      <c r="TYF224" s="392"/>
      <c r="TYG224" s="392"/>
      <c r="TYH224" s="392"/>
      <c r="TYI224" s="392"/>
      <c r="TYJ224" s="392"/>
      <c r="TYK224" s="392"/>
      <c r="TYL224" s="363"/>
      <c r="TYM224" s="363"/>
      <c r="TYQ224" s="5"/>
      <c r="TYR224" s="5"/>
      <c r="TYS224" s="5"/>
      <c r="TYU224" s="5"/>
      <c r="TYW224" s="5"/>
      <c r="TYX224" s="5"/>
      <c r="TYY224" s="5"/>
      <c r="TYZ224" s="17"/>
      <c r="TZC224" s="392"/>
      <c r="TZD224" s="392"/>
      <c r="TZE224" s="392"/>
      <c r="TZF224" s="392"/>
      <c r="TZG224" s="392"/>
      <c r="TZH224" s="392"/>
      <c r="TZI224" s="363"/>
      <c r="TZJ224" s="363"/>
      <c r="TZN224" s="5"/>
      <c r="TZO224" s="5"/>
      <c r="TZP224" s="5"/>
      <c r="TZR224" s="5"/>
      <c r="TZT224" s="5"/>
      <c r="TZU224" s="5"/>
      <c r="TZV224" s="5"/>
      <c r="TZW224" s="17"/>
      <c r="TZZ224" s="392"/>
      <c r="UAA224" s="392"/>
      <c r="UAB224" s="392"/>
      <c r="UAC224" s="392"/>
      <c r="UAD224" s="392"/>
      <c r="UAE224" s="392"/>
      <c r="UAF224" s="363"/>
      <c r="UAG224" s="363"/>
      <c r="UAK224" s="5"/>
      <c r="UAL224" s="5"/>
      <c r="UAM224" s="5"/>
      <c r="UAO224" s="5"/>
      <c r="UAQ224" s="5"/>
      <c r="UAR224" s="5"/>
      <c r="UAS224" s="5"/>
      <c r="UAT224" s="17"/>
      <c r="UAW224" s="392"/>
      <c r="UAX224" s="392"/>
      <c r="UAY224" s="392"/>
      <c r="UAZ224" s="392"/>
      <c r="UBA224" s="392"/>
      <c r="UBB224" s="392"/>
      <c r="UBC224" s="363"/>
      <c r="UBD224" s="363"/>
      <c r="UBH224" s="5"/>
      <c r="UBI224" s="5"/>
      <c r="UBJ224" s="5"/>
      <c r="UBL224" s="5"/>
      <c r="UBN224" s="5"/>
      <c r="UBO224" s="5"/>
      <c r="UBP224" s="5"/>
      <c r="UBQ224" s="17"/>
      <c r="UBT224" s="392"/>
      <c r="UBU224" s="392"/>
      <c r="UBV224" s="392"/>
      <c r="UBW224" s="392"/>
      <c r="UBX224" s="392"/>
      <c r="UBY224" s="392"/>
      <c r="UBZ224" s="363"/>
      <c r="UCA224" s="363"/>
      <c r="UCE224" s="5"/>
      <c r="UCF224" s="5"/>
      <c r="UCG224" s="5"/>
      <c r="UCI224" s="5"/>
      <c r="UCK224" s="5"/>
      <c r="UCL224" s="5"/>
      <c r="UCM224" s="5"/>
      <c r="UCN224" s="17"/>
      <c r="UCQ224" s="392"/>
      <c r="UCR224" s="392"/>
      <c r="UCS224" s="392"/>
      <c r="UCT224" s="392"/>
      <c r="UCU224" s="392"/>
      <c r="UCV224" s="392"/>
      <c r="UCW224" s="363"/>
      <c r="UCX224" s="363"/>
      <c r="UDB224" s="5"/>
      <c r="UDC224" s="5"/>
      <c r="UDD224" s="5"/>
      <c r="UDF224" s="5"/>
      <c r="UDH224" s="5"/>
      <c r="UDI224" s="5"/>
      <c r="UDJ224" s="5"/>
      <c r="UDK224" s="17"/>
      <c r="UDN224" s="392"/>
      <c r="UDO224" s="392"/>
      <c r="UDP224" s="392"/>
      <c r="UDQ224" s="392"/>
      <c r="UDR224" s="392"/>
      <c r="UDS224" s="392"/>
      <c r="UDT224" s="363"/>
      <c r="UDU224" s="363"/>
      <c r="UDY224" s="5"/>
      <c r="UDZ224" s="5"/>
      <c r="UEA224" s="5"/>
      <c r="UEC224" s="5"/>
      <c r="UEE224" s="5"/>
      <c r="UEF224" s="5"/>
      <c r="UEG224" s="5"/>
      <c r="UEH224" s="17"/>
      <c r="UEK224" s="392"/>
      <c r="UEL224" s="392"/>
      <c r="UEM224" s="392"/>
      <c r="UEN224" s="392"/>
      <c r="UEO224" s="392"/>
      <c r="UEP224" s="392"/>
      <c r="UEQ224" s="363"/>
      <c r="UER224" s="363"/>
      <c r="UEV224" s="5"/>
      <c r="UEW224" s="5"/>
      <c r="UEX224" s="5"/>
      <c r="UEZ224" s="5"/>
      <c r="UFB224" s="5"/>
      <c r="UFC224" s="5"/>
      <c r="UFD224" s="5"/>
      <c r="UFE224" s="17"/>
      <c r="UFH224" s="392"/>
      <c r="UFI224" s="392"/>
      <c r="UFJ224" s="392"/>
      <c r="UFK224" s="392"/>
      <c r="UFL224" s="392"/>
      <c r="UFM224" s="392"/>
      <c r="UFN224" s="363"/>
      <c r="UFO224" s="363"/>
      <c r="UFS224" s="5"/>
      <c r="UFT224" s="5"/>
      <c r="UFU224" s="5"/>
      <c r="UFW224" s="5"/>
      <c r="UFY224" s="5"/>
      <c r="UFZ224" s="5"/>
      <c r="UGA224" s="5"/>
      <c r="UGB224" s="17"/>
      <c r="UGE224" s="392"/>
      <c r="UGF224" s="392"/>
      <c r="UGG224" s="392"/>
      <c r="UGH224" s="392"/>
      <c r="UGI224" s="392"/>
      <c r="UGJ224" s="392"/>
      <c r="UGK224" s="363"/>
      <c r="UGL224" s="363"/>
      <c r="UGP224" s="5"/>
      <c r="UGQ224" s="5"/>
      <c r="UGR224" s="5"/>
      <c r="UGT224" s="5"/>
      <c r="UGV224" s="5"/>
      <c r="UGW224" s="5"/>
      <c r="UGX224" s="5"/>
      <c r="UGY224" s="17"/>
      <c r="UHB224" s="392"/>
      <c r="UHC224" s="392"/>
      <c r="UHD224" s="392"/>
      <c r="UHE224" s="392"/>
      <c r="UHF224" s="392"/>
      <c r="UHG224" s="392"/>
      <c r="UHH224" s="363"/>
      <c r="UHI224" s="363"/>
      <c r="UHM224" s="5"/>
      <c r="UHN224" s="5"/>
      <c r="UHO224" s="5"/>
      <c r="UHQ224" s="5"/>
      <c r="UHS224" s="5"/>
      <c r="UHT224" s="5"/>
      <c r="UHU224" s="5"/>
      <c r="UHV224" s="17"/>
      <c r="UHY224" s="392"/>
      <c r="UHZ224" s="392"/>
      <c r="UIA224" s="392"/>
      <c r="UIB224" s="392"/>
      <c r="UIC224" s="392"/>
      <c r="UID224" s="392"/>
      <c r="UIE224" s="363"/>
      <c r="UIF224" s="363"/>
      <c r="UIJ224" s="5"/>
      <c r="UIK224" s="5"/>
      <c r="UIL224" s="5"/>
      <c r="UIN224" s="5"/>
      <c r="UIP224" s="5"/>
      <c r="UIQ224" s="5"/>
      <c r="UIR224" s="5"/>
      <c r="UIS224" s="17"/>
      <c r="UIV224" s="392"/>
      <c r="UIW224" s="392"/>
      <c r="UIX224" s="392"/>
      <c r="UIY224" s="392"/>
      <c r="UIZ224" s="392"/>
      <c r="UJA224" s="392"/>
      <c r="UJB224" s="363"/>
      <c r="UJC224" s="363"/>
      <c r="UJG224" s="5"/>
      <c r="UJH224" s="5"/>
      <c r="UJI224" s="5"/>
      <c r="UJK224" s="5"/>
      <c r="UJM224" s="5"/>
      <c r="UJN224" s="5"/>
      <c r="UJO224" s="5"/>
      <c r="UJP224" s="17"/>
      <c r="UJS224" s="392"/>
      <c r="UJT224" s="392"/>
      <c r="UJU224" s="392"/>
      <c r="UJV224" s="392"/>
      <c r="UJW224" s="392"/>
      <c r="UJX224" s="392"/>
      <c r="UJY224" s="363"/>
      <c r="UJZ224" s="363"/>
      <c r="UKD224" s="5"/>
      <c r="UKE224" s="5"/>
      <c r="UKF224" s="5"/>
      <c r="UKH224" s="5"/>
      <c r="UKJ224" s="5"/>
      <c r="UKK224" s="5"/>
      <c r="UKL224" s="5"/>
      <c r="UKM224" s="17"/>
      <c r="UKP224" s="392"/>
      <c r="UKQ224" s="392"/>
      <c r="UKR224" s="392"/>
      <c r="UKS224" s="392"/>
      <c r="UKT224" s="392"/>
      <c r="UKU224" s="392"/>
      <c r="UKV224" s="363"/>
      <c r="UKW224" s="363"/>
      <c r="ULA224" s="5"/>
      <c r="ULB224" s="5"/>
      <c r="ULC224" s="5"/>
      <c r="ULE224" s="5"/>
      <c r="ULG224" s="5"/>
      <c r="ULH224" s="5"/>
      <c r="ULI224" s="5"/>
      <c r="ULJ224" s="17"/>
      <c r="ULM224" s="392"/>
      <c r="ULN224" s="392"/>
      <c r="ULO224" s="392"/>
      <c r="ULP224" s="392"/>
      <c r="ULQ224" s="392"/>
      <c r="ULR224" s="392"/>
      <c r="ULS224" s="363"/>
      <c r="ULT224" s="363"/>
      <c r="ULX224" s="5"/>
      <c r="ULY224" s="5"/>
      <c r="ULZ224" s="5"/>
      <c r="UMB224" s="5"/>
      <c r="UMD224" s="5"/>
      <c r="UME224" s="5"/>
      <c r="UMF224" s="5"/>
      <c r="UMG224" s="17"/>
      <c r="UMJ224" s="392"/>
      <c r="UMK224" s="392"/>
      <c r="UML224" s="392"/>
      <c r="UMM224" s="392"/>
      <c r="UMN224" s="392"/>
      <c r="UMO224" s="392"/>
      <c r="UMP224" s="363"/>
      <c r="UMQ224" s="363"/>
      <c r="UMU224" s="5"/>
      <c r="UMV224" s="5"/>
      <c r="UMW224" s="5"/>
      <c r="UMY224" s="5"/>
      <c r="UNA224" s="5"/>
      <c r="UNB224" s="5"/>
      <c r="UNC224" s="5"/>
      <c r="UND224" s="17"/>
      <c r="UNG224" s="392"/>
      <c r="UNH224" s="392"/>
      <c r="UNI224" s="392"/>
      <c r="UNJ224" s="392"/>
      <c r="UNK224" s="392"/>
      <c r="UNL224" s="392"/>
      <c r="UNM224" s="363"/>
      <c r="UNN224" s="363"/>
      <c r="UNR224" s="5"/>
      <c r="UNS224" s="5"/>
      <c r="UNT224" s="5"/>
      <c r="UNV224" s="5"/>
      <c r="UNX224" s="5"/>
      <c r="UNY224" s="5"/>
      <c r="UNZ224" s="5"/>
      <c r="UOA224" s="17"/>
      <c r="UOD224" s="392"/>
      <c r="UOE224" s="392"/>
      <c r="UOF224" s="392"/>
      <c r="UOG224" s="392"/>
      <c r="UOH224" s="392"/>
      <c r="UOI224" s="392"/>
      <c r="UOJ224" s="363"/>
      <c r="UOK224" s="363"/>
      <c r="UOO224" s="5"/>
      <c r="UOP224" s="5"/>
      <c r="UOQ224" s="5"/>
      <c r="UOS224" s="5"/>
      <c r="UOU224" s="5"/>
      <c r="UOV224" s="5"/>
      <c r="UOW224" s="5"/>
      <c r="UOX224" s="17"/>
      <c r="UPA224" s="392"/>
      <c r="UPB224" s="392"/>
      <c r="UPC224" s="392"/>
      <c r="UPD224" s="392"/>
      <c r="UPE224" s="392"/>
      <c r="UPF224" s="392"/>
      <c r="UPG224" s="363"/>
      <c r="UPH224" s="363"/>
      <c r="UPL224" s="5"/>
      <c r="UPM224" s="5"/>
      <c r="UPN224" s="5"/>
      <c r="UPP224" s="5"/>
      <c r="UPR224" s="5"/>
      <c r="UPS224" s="5"/>
      <c r="UPT224" s="5"/>
      <c r="UPU224" s="17"/>
      <c r="UPX224" s="392"/>
      <c r="UPY224" s="392"/>
      <c r="UPZ224" s="392"/>
      <c r="UQA224" s="392"/>
      <c r="UQB224" s="392"/>
      <c r="UQC224" s="392"/>
      <c r="UQD224" s="363"/>
      <c r="UQE224" s="363"/>
      <c r="UQI224" s="5"/>
      <c r="UQJ224" s="5"/>
      <c r="UQK224" s="5"/>
      <c r="UQM224" s="5"/>
      <c r="UQO224" s="5"/>
      <c r="UQP224" s="5"/>
      <c r="UQQ224" s="5"/>
      <c r="UQR224" s="17"/>
      <c r="UQU224" s="392"/>
      <c r="UQV224" s="392"/>
      <c r="UQW224" s="392"/>
      <c r="UQX224" s="392"/>
      <c r="UQY224" s="392"/>
      <c r="UQZ224" s="392"/>
      <c r="URA224" s="363"/>
      <c r="URB224" s="363"/>
      <c r="URF224" s="5"/>
      <c r="URG224" s="5"/>
      <c r="URH224" s="5"/>
      <c r="URJ224" s="5"/>
      <c r="URL224" s="5"/>
      <c r="URM224" s="5"/>
      <c r="URN224" s="5"/>
      <c r="URO224" s="17"/>
      <c r="URR224" s="392"/>
      <c r="URS224" s="392"/>
      <c r="URT224" s="392"/>
      <c r="URU224" s="392"/>
      <c r="URV224" s="392"/>
      <c r="URW224" s="392"/>
      <c r="URX224" s="363"/>
      <c r="URY224" s="363"/>
      <c r="USC224" s="5"/>
      <c r="USD224" s="5"/>
      <c r="USE224" s="5"/>
      <c r="USG224" s="5"/>
      <c r="USI224" s="5"/>
      <c r="USJ224" s="5"/>
      <c r="USK224" s="5"/>
      <c r="USL224" s="17"/>
      <c r="USO224" s="392"/>
      <c r="USP224" s="392"/>
      <c r="USQ224" s="392"/>
      <c r="USR224" s="392"/>
      <c r="USS224" s="392"/>
      <c r="UST224" s="392"/>
      <c r="USU224" s="363"/>
      <c r="USV224" s="363"/>
      <c r="USZ224" s="5"/>
      <c r="UTA224" s="5"/>
      <c r="UTB224" s="5"/>
      <c r="UTD224" s="5"/>
      <c r="UTF224" s="5"/>
      <c r="UTG224" s="5"/>
      <c r="UTH224" s="5"/>
      <c r="UTI224" s="17"/>
      <c r="UTL224" s="392"/>
      <c r="UTM224" s="392"/>
      <c r="UTN224" s="392"/>
      <c r="UTO224" s="392"/>
      <c r="UTP224" s="392"/>
      <c r="UTQ224" s="392"/>
      <c r="UTR224" s="363"/>
      <c r="UTS224" s="363"/>
      <c r="UTW224" s="5"/>
      <c r="UTX224" s="5"/>
      <c r="UTY224" s="5"/>
      <c r="UUA224" s="5"/>
      <c r="UUC224" s="5"/>
      <c r="UUD224" s="5"/>
      <c r="UUE224" s="5"/>
      <c r="UUF224" s="17"/>
      <c r="UUI224" s="392"/>
      <c r="UUJ224" s="392"/>
      <c r="UUK224" s="392"/>
      <c r="UUL224" s="392"/>
      <c r="UUM224" s="392"/>
      <c r="UUN224" s="392"/>
      <c r="UUO224" s="363"/>
      <c r="UUP224" s="363"/>
      <c r="UUT224" s="5"/>
      <c r="UUU224" s="5"/>
      <c r="UUV224" s="5"/>
      <c r="UUX224" s="5"/>
      <c r="UUZ224" s="5"/>
      <c r="UVA224" s="5"/>
      <c r="UVB224" s="5"/>
      <c r="UVC224" s="17"/>
      <c r="UVF224" s="392"/>
      <c r="UVG224" s="392"/>
      <c r="UVH224" s="392"/>
      <c r="UVI224" s="392"/>
      <c r="UVJ224" s="392"/>
      <c r="UVK224" s="392"/>
      <c r="UVL224" s="363"/>
      <c r="UVM224" s="363"/>
      <c r="UVQ224" s="5"/>
      <c r="UVR224" s="5"/>
      <c r="UVS224" s="5"/>
      <c r="UVU224" s="5"/>
      <c r="UVW224" s="5"/>
      <c r="UVX224" s="5"/>
      <c r="UVY224" s="5"/>
      <c r="UVZ224" s="17"/>
      <c r="UWC224" s="392"/>
      <c r="UWD224" s="392"/>
      <c r="UWE224" s="392"/>
      <c r="UWF224" s="392"/>
      <c r="UWG224" s="392"/>
      <c r="UWH224" s="392"/>
      <c r="UWI224" s="363"/>
      <c r="UWJ224" s="363"/>
      <c r="UWN224" s="5"/>
      <c r="UWO224" s="5"/>
      <c r="UWP224" s="5"/>
      <c r="UWR224" s="5"/>
      <c r="UWT224" s="5"/>
      <c r="UWU224" s="5"/>
      <c r="UWV224" s="5"/>
      <c r="UWW224" s="17"/>
      <c r="UWZ224" s="392"/>
      <c r="UXA224" s="392"/>
      <c r="UXB224" s="392"/>
      <c r="UXC224" s="392"/>
      <c r="UXD224" s="392"/>
      <c r="UXE224" s="392"/>
      <c r="UXF224" s="363"/>
      <c r="UXG224" s="363"/>
      <c r="UXK224" s="5"/>
      <c r="UXL224" s="5"/>
      <c r="UXM224" s="5"/>
      <c r="UXO224" s="5"/>
      <c r="UXQ224" s="5"/>
      <c r="UXR224" s="5"/>
      <c r="UXS224" s="5"/>
      <c r="UXT224" s="17"/>
      <c r="UXW224" s="392"/>
      <c r="UXX224" s="392"/>
      <c r="UXY224" s="392"/>
      <c r="UXZ224" s="392"/>
      <c r="UYA224" s="392"/>
      <c r="UYB224" s="392"/>
      <c r="UYC224" s="363"/>
      <c r="UYD224" s="363"/>
      <c r="UYH224" s="5"/>
      <c r="UYI224" s="5"/>
      <c r="UYJ224" s="5"/>
      <c r="UYL224" s="5"/>
      <c r="UYN224" s="5"/>
      <c r="UYO224" s="5"/>
      <c r="UYP224" s="5"/>
      <c r="UYQ224" s="17"/>
      <c r="UYT224" s="392"/>
      <c r="UYU224" s="392"/>
      <c r="UYV224" s="392"/>
      <c r="UYW224" s="392"/>
      <c r="UYX224" s="392"/>
      <c r="UYY224" s="392"/>
      <c r="UYZ224" s="363"/>
      <c r="UZA224" s="363"/>
      <c r="UZE224" s="5"/>
      <c r="UZF224" s="5"/>
      <c r="UZG224" s="5"/>
      <c r="UZI224" s="5"/>
      <c r="UZK224" s="5"/>
      <c r="UZL224" s="5"/>
      <c r="UZM224" s="5"/>
      <c r="UZN224" s="17"/>
      <c r="UZQ224" s="392"/>
      <c r="UZR224" s="392"/>
      <c r="UZS224" s="392"/>
      <c r="UZT224" s="392"/>
      <c r="UZU224" s="392"/>
      <c r="UZV224" s="392"/>
      <c r="UZW224" s="363"/>
      <c r="UZX224" s="363"/>
      <c r="VAB224" s="5"/>
      <c r="VAC224" s="5"/>
      <c r="VAD224" s="5"/>
      <c r="VAF224" s="5"/>
      <c r="VAH224" s="5"/>
      <c r="VAI224" s="5"/>
      <c r="VAJ224" s="5"/>
      <c r="VAK224" s="17"/>
      <c r="VAN224" s="392"/>
      <c r="VAO224" s="392"/>
      <c r="VAP224" s="392"/>
      <c r="VAQ224" s="392"/>
      <c r="VAR224" s="392"/>
      <c r="VAS224" s="392"/>
      <c r="VAT224" s="363"/>
      <c r="VAU224" s="363"/>
      <c r="VAY224" s="5"/>
      <c r="VAZ224" s="5"/>
      <c r="VBA224" s="5"/>
      <c r="VBC224" s="5"/>
      <c r="VBE224" s="5"/>
      <c r="VBF224" s="5"/>
      <c r="VBG224" s="5"/>
      <c r="VBH224" s="17"/>
      <c r="VBK224" s="392"/>
      <c r="VBL224" s="392"/>
      <c r="VBM224" s="392"/>
      <c r="VBN224" s="392"/>
      <c r="VBO224" s="392"/>
      <c r="VBP224" s="392"/>
      <c r="VBQ224" s="363"/>
      <c r="VBR224" s="363"/>
      <c r="VBV224" s="5"/>
      <c r="VBW224" s="5"/>
      <c r="VBX224" s="5"/>
      <c r="VBZ224" s="5"/>
      <c r="VCB224" s="5"/>
      <c r="VCC224" s="5"/>
      <c r="VCD224" s="5"/>
      <c r="VCE224" s="17"/>
      <c r="VCH224" s="392"/>
      <c r="VCI224" s="392"/>
      <c r="VCJ224" s="392"/>
      <c r="VCK224" s="392"/>
      <c r="VCL224" s="392"/>
      <c r="VCM224" s="392"/>
      <c r="VCN224" s="363"/>
      <c r="VCO224" s="363"/>
      <c r="VCS224" s="5"/>
      <c r="VCT224" s="5"/>
      <c r="VCU224" s="5"/>
      <c r="VCW224" s="5"/>
      <c r="VCY224" s="5"/>
      <c r="VCZ224" s="5"/>
      <c r="VDA224" s="5"/>
      <c r="VDB224" s="17"/>
      <c r="VDE224" s="392"/>
      <c r="VDF224" s="392"/>
      <c r="VDG224" s="392"/>
      <c r="VDH224" s="392"/>
      <c r="VDI224" s="392"/>
      <c r="VDJ224" s="392"/>
      <c r="VDK224" s="363"/>
      <c r="VDL224" s="363"/>
      <c r="VDP224" s="5"/>
      <c r="VDQ224" s="5"/>
      <c r="VDR224" s="5"/>
      <c r="VDT224" s="5"/>
      <c r="VDV224" s="5"/>
      <c r="VDW224" s="5"/>
      <c r="VDX224" s="5"/>
      <c r="VDY224" s="17"/>
      <c r="VEB224" s="392"/>
      <c r="VEC224" s="392"/>
      <c r="VED224" s="392"/>
      <c r="VEE224" s="392"/>
      <c r="VEF224" s="392"/>
      <c r="VEG224" s="392"/>
      <c r="VEH224" s="363"/>
      <c r="VEI224" s="363"/>
      <c r="VEM224" s="5"/>
      <c r="VEN224" s="5"/>
      <c r="VEO224" s="5"/>
      <c r="VEQ224" s="5"/>
      <c r="VES224" s="5"/>
      <c r="VET224" s="5"/>
      <c r="VEU224" s="5"/>
      <c r="VEV224" s="17"/>
      <c r="VEY224" s="392"/>
      <c r="VEZ224" s="392"/>
      <c r="VFA224" s="392"/>
      <c r="VFB224" s="392"/>
      <c r="VFC224" s="392"/>
      <c r="VFD224" s="392"/>
      <c r="VFE224" s="363"/>
      <c r="VFF224" s="363"/>
      <c r="VFJ224" s="5"/>
      <c r="VFK224" s="5"/>
      <c r="VFL224" s="5"/>
      <c r="VFN224" s="5"/>
      <c r="VFP224" s="5"/>
      <c r="VFQ224" s="5"/>
      <c r="VFR224" s="5"/>
      <c r="VFS224" s="17"/>
      <c r="VFV224" s="392"/>
      <c r="VFW224" s="392"/>
      <c r="VFX224" s="392"/>
      <c r="VFY224" s="392"/>
      <c r="VFZ224" s="392"/>
      <c r="VGA224" s="392"/>
      <c r="VGB224" s="363"/>
      <c r="VGC224" s="363"/>
      <c r="VGG224" s="5"/>
      <c r="VGH224" s="5"/>
      <c r="VGI224" s="5"/>
      <c r="VGK224" s="5"/>
      <c r="VGM224" s="5"/>
      <c r="VGN224" s="5"/>
      <c r="VGO224" s="5"/>
      <c r="VGP224" s="17"/>
      <c r="VGS224" s="392"/>
      <c r="VGT224" s="392"/>
      <c r="VGU224" s="392"/>
      <c r="VGV224" s="392"/>
      <c r="VGW224" s="392"/>
      <c r="VGX224" s="392"/>
      <c r="VGY224" s="363"/>
      <c r="VGZ224" s="363"/>
      <c r="VHD224" s="5"/>
      <c r="VHE224" s="5"/>
      <c r="VHF224" s="5"/>
      <c r="VHH224" s="5"/>
      <c r="VHJ224" s="5"/>
      <c r="VHK224" s="5"/>
      <c r="VHL224" s="5"/>
      <c r="VHM224" s="17"/>
      <c r="VHP224" s="392"/>
      <c r="VHQ224" s="392"/>
      <c r="VHR224" s="392"/>
      <c r="VHS224" s="392"/>
      <c r="VHT224" s="392"/>
      <c r="VHU224" s="392"/>
      <c r="VHV224" s="363"/>
      <c r="VHW224" s="363"/>
      <c r="VIA224" s="5"/>
      <c r="VIB224" s="5"/>
      <c r="VIC224" s="5"/>
      <c r="VIE224" s="5"/>
      <c r="VIG224" s="5"/>
      <c r="VIH224" s="5"/>
      <c r="VII224" s="5"/>
      <c r="VIJ224" s="17"/>
      <c r="VIM224" s="392"/>
      <c r="VIN224" s="392"/>
      <c r="VIO224" s="392"/>
      <c r="VIP224" s="392"/>
      <c r="VIQ224" s="392"/>
      <c r="VIR224" s="392"/>
      <c r="VIS224" s="363"/>
      <c r="VIT224" s="363"/>
      <c r="VIX224" s="5"/>
      <c r="VIY224" s="5"/>
      <c r="VIZ224" s="5"/>
      <c r="VJB224" s="5"/>
      <c r="VJD224" s="5"/>
      <c r="VJE224" s="5"/>
      <c r="VJF224" s="5"/>
      <c r="VJG224" s="17"/>
      <c r="VJJ224" s="392"/>
      <c r="VJK224" s="392"/>
      <c r="VJL224" s="392"/>
      <c r="VJM224" s="392"/>
      <c r="VJN224" s="392"/>
      <c r="VJO224" s="392"/>
      <c r="VJP224" s="363"/>
      <c r="VJQ224" s="363"/>
      <c r="VJU224" s="5"/>
      <c r="VJV224" s="5"/>
      <c r="VJW224" s="5"/>
      <c r="VJY224" s="5"/>
      <c r="VKA224" s="5"/>
      <c r="VKB224" s="5"/>
      <c r="VKC224" s="5"/>
      <c r="VKD224" s="17"/>
      <c r="VKG224" s="392"/>
      <c r="VKH224" s="392"/>
      <c r="VKI224" s="392"/>
      <c r="VKJ224" s="392"/>
      <c r="VKK224" s="392"/>
      <c r="VKL224" s="392"/>
      <c r="VKM224" s="363"/>
      <c r="VKN224" s="363"/>
      <c r="VKR224" s="5"/>
      <c r="VKS224" s="5"/>
      <c r="VKT224" s="5"/>
      <c r="VKV224" s="5"/>
      <c r="VKX224" s="5"/>
      <c r="VKY224" s="5"/>
      <c r="VKZ224" s="5"/>
      <c r="VLA224" s="17"/>
      <c r="VLD224" s="392"/>
      <c r="VLE224" s="392"/>
      <c r="VLF224" s="392"/>
      <c r="VLG224" s="392"/>
      <c r="VLH224" s="392"/>
      <c r="VLI224" s="392"/>
      <c r="VLJ224" s="363"/>
      <c r="VLK224" s="363"/>
      <c r="VLO224" s="5"/>
      <c r="VLP224" s="5"/>
      <c r="VLQ224" s="5"/>
      <c r="VLS224" s="5"/>
      <c r="VLU224" s="5"/>
      <c r="VLV224" s="5"/>
      <c r="VLW224" s="5"/>
      <c r="VLX224" s="17"/>
      <c r="VMA224" s="392"/>
      <c r="VMB224" s="392"/>
      <c r="VMC224" s="392"/>
      <c r="VMD224" s="392"/>
      <c r="VME224" s="392"/>
      <c r="VMF224" s="392"/>
      <c r="VMG224" s="363"/>
      <c r="VMH224" s="363"/>
      <c r="VML224" s="5"/>
      <c r="VMM224" s="5"/>
      <c r="VMN224" s="5"/>
      <c r="VMP224" s="5"/>
      <c r="VMR224" s="5"/>
      <c r="VMS224" s="5"/>
      <c r="VMT224" s="5"/>
      <c r="VMU224" s="17"/>
      <c r="VMX224" s="392"/>
      <c r="VMY224" s="392"/>
      <c r="VMZ224" s="392"/>
      <c r="VNA224" s="392"/>
      <c r="VNB224" s="392"/>
      <c r="VNC224" s="392"/>
      <c r="VND224" s="363"/>
      <c r="VNE224" s="363"/>
      <c r="VNI224" s="5"/>
      <c r="VNJ224" s="5"/>
      <c r="VNK224" s="5"/>
      <c r="VNM224" s="5"/>
      <c r="VNO224" s="5"/>
      <c r="VNP224" s="5"/>
      <c r="VNQ224" s="5"/>
      <c r="VNR224" s="17"/>
      <c r="VNU224" s="392"/>
      <c r="VNV224" s="392"/>
      <c r="VNW224" s="392"/>
      <c r="VNX224" s="392"/>
      <c r="VNY224" s="392"/>
      <c r="VNZ224" s="392"/>
      <c r="VOA224" s="363"/>
      <c r="VOB224" s="363"/>
      <c r="VOF224" s="5"/>
      <c r="VOG224" s="5"/>
      <c r="VOH224" s="5"/>
      <c r="VOJ224" s="5"/>
      <c r="VOL224" s="5"/>
      <c r="VOM224" s="5"/>
      <c r="VON224" s="5"/>
      <c r="VOO224" s="17"/>
      <c r="VOR224" s="392"/>
      <c r="VOS224" s="392"/>
      <c r="VOT224" s="392"/>
      <c r="VOU224" s="392"/>
      <c r="VOV224" s="392"/>
      <c r="VOW224" s="392"/>
      <c r="VOX224" s="363"/>
      <c r="VOY224" s="363"/>
      <c r="VPC224" s="5"/>
      <c r="VPD224" s="5"/>
      <c r="VPE224" s="5"/>
      <c r="VPG224" s="5"/>
      <c r="VPI224" s="5"/>
      <c r="VPJ224" s="5"/>
      <c r="VPK224" s="5"/>
      <c r="VPL224" s="17"/>
      <c r="VPO224" s="392"/>
      <c r="VPP224" s="392"/>
      <c r="VPQ224" s="392"/>
      <c r="VPR224" s="392"/>
      <c r="VPS224" s="392"/>
      <c r="VPT224" s="392"/>
      <c r="VPU224" s="363"/>
      <c r="VPV224" s="363"/>
      <c r="VPZ224" s="5"/>
      <c r="VQA224" s="5"/>
      <c r="VQB224" s="5"/>
      <c r="VQD224" s="5"/>
      <c r="VQF224" s="5"/>
      <c r="VQG224" s="5"/>
      <c r="VQH224" s="5"/>
      <c r="VQI224" s="17"/>
      <c r="VQL224" s="392"/>
      <c r="VQM224" s="392"/>
      <c r="VQN224" s="392"/>
      <c r="VQO224" s="392"/>
      <c r="VQP224" s="392"/>
      <c r="VQQ224" s="392"/>
      <c r="VQR224" s="363"/>
      <c r="VQS224" s="363"/>
      <c r="VQW224" s="5"/>
      <c r="VQX224" s="5"/>
      <c r="VQY224" s="5"/>
      <c r="VRA224" s="5"/>
      <c r="VRC224" s="5"/>
      <c r="VRD224" s="5"/>
      <c r="VRE224" s="5"/>
      <c r="VRF224" s="17"/>
      <c r="VRI224" s="392"/>
      <c r="VRJ224" s="392"/>
      <c r="VRK224" s="392"/>
      <c r="VRL224" s="392"/>
      <c r="VRM224" s="392"/>
      <c r="VRN224" s="392"/>
      <c r="VRO224" s="363"/>
      <c r="VRP224" s="363"/>
      <c r="VRT224" s="5"/>
      <c r="VRU224" s="5"/>
      <c r="VRV224" s="5"/>
      <c r="VRX224" s="5"/>
      <c r="VRZ224" s="5"/>
      <c r="VSA224" s="5"/>
      <c r="VSB224" s="5"/>
      <c r="VSC224" s="17"/>
      <c r="VSF224" s="392"/>
      <c r="VSG224" s="392"/>
      <c r="VSH224" s="392"/>
      <c r="VSI224" s="392"/>
      <c r="VSJ224" s="392"/>
      <c r="VSK224" s="392"/>
      <c r="VSL224" s="363"/>
      <c r="VSM224" s="363"/>
      <c r="VSQ224" s="5"/>
      <c r="VSR224" s="5"/>
      <c r="VSS224" s="5"/>
      <c r="VSU224" s="5"/>
      <c r="VSW224" s="5"/>
      <c r="VSX224" s="5"/>
      <c r="VSY224" s="5"/>
      <c r="VSZ224" s="17"/>
      <c r="VTC224" s="392"/>
      <c r="VTD224" s="392"/>
      <c r="VTE224" s="392"/>
      <c r="VTF224" s="392"/>
      <c r="VTG224" s="392"/>
      <c r="VTH224" s="392"/>
      <c r="VTI224" s="363"/>
      <c r="VTJ224" s="363"/>
      <c r="VTN224" s="5"/>
      <c r="VTO224" s="5"/>
      <c r="VTP224" s="5"/>
      <c r="VTR224" s="5"/>
      <c r="VTT224" s="5"/>
      <c r="VTU224" s="5"/>
      <c r="VTV224" s="5"/>
      <c r="VTW224" s="17"/>
      <c r="VTZ224" s="392"/>
      <c r="VUA224" s="392"/>
      <c r="VUB224" s="392"/>
      <c r="VUC224" s="392"/>
      <c r="VUD224" s="392"/>
      <c r="VUE224" s="392"/>
      <c r="VUF224" s="363"/>
      <c r="VUG224" s="363"/>
      <c r="VUK224" s="5"/>
      <c r="VUL224" s="5"/>
      <c r="VUM224" s="5"/>
      <c r="VUO224" s="5"/>
      <c r="VUQ224" s="5"/>
      <c r="VUR224" s="5"/>
      <c r="VUS224" s="5"/>
      <c r="VUT224" s="17"/>
      <c r="VUW224" s="392"/>
      <c r="VUX224" s="392"/>
      <c r="VUY224" s="392"/>
      <c r="VUZ224" s="392"/>
      <c r="VVA224" s="392"/>
      <c r="VVB224" s="392"/>
      <c r="VVC224" s="363"/>
      <c r="VVD224" s="363"/>
      <c r="VVH224" s="5"/>
      <c r="VVI224" s="5"/>
      <c r="VVJ224" s="5"/>
      <c r="VVL224" s="5"/>
      <c r="VVN224" s="5"/>
      <c r="VVO224" s="5"/>
      <c r="VVP224" s="5"/>
      <c r="VVQ224" s="17"/>
      <c r="VVT224" s="392"/>
      <c r="VVU224" s="392"/>
      <c r="VVV224" s="392"/>
      <c r="VVW224" s="392"/>
      <c r="VVX224" s="392"/>
      <c r="VVY224" s="392"/>
      <c r="VVZ224" s="363"/>
      <c r="VWA224" s="363"/>
      <c r="VWE224" s="5"/>
      <c r="VWF224" s="5"/>
      <c r="VWG224" s="5"/>
      <c r="VWI224" s="5"/>
      <c r="VWK224" s="5"/>
      <c r="VWL224" s="5"/>
      <c r="VWM224" s="5"/>
      <c r="VWN224" s="17"/>
      <c r="VWQ224" s="392"/>
      <c r="VWR224" s="392"/>
      <c r="VWS224" s="392"/>
      <c r="VWT224" s="392"/>
      <c r="VWU224" s="392"/>
      <c r="VWV224" s="392"/>
      <c r="VWW224" s="363"/>
      <c r="VWX224" s="363"/>
      <c r="VXB224" s="5"/>
      <c r="VXC224" s="5"/>
      <c r="VXD224" s="5"/>
      <c r="VXF224" s="5"/>
      <c r="VXH224" s="5"/>
      <c r="VXI224" s="5"/>
      <c r="VXJ224" s="5"/>
      <c r="VXK224" s="17"/>
      <c r="VXN224" s="392"/>
      <c r="VXO224" s="392"/>
      <c r="VXP224" s="392"/>
      <c r="VXQ224" s="392"/>
      <c r="VXR224" s="392"/>
      <c r="VXS224" s="392"/>
      <c r="VXT224" s="363"/>
      <c r="VXU224" s="363"/>
      <c r="VXY224" s="5"/>
      <c r="VXZ224" s="5"/>
      <c r="VYA224" s="5"/>
      <c r="VYC224" s="5"/>
      <c r="VYE224" s="5"/>
      <c r="VYF224" s="5"/>
      <c r="VYG224" s="5"/>
      <c r="VYH224" s="17"/>
      <c r="VYK224" s="392"/>
      <c r="VYL224" s="392"/>
      <c r="VYM224" s="392"/>
      <c r="VYN224" s="392"/>
      <c r="VYO224" s="392"/>
      <c r="VYP224" s="392"/>
      <c r="VYQ224" s="363"/>
      <c r="VYR224" s="363"/>
      <c r="VYV224" s="5"/>
      <c r="VYW224" s="5"/>
      <c r="VYX224" s="5"/>
      <c r="VYZ224" s="5"/>
      <c r="VZB224" s="5"/>
      <c r="VZC224" s="5"/>
      <c r="VZD224" s="5"/>
      <c r="VZE224" s="17"/>
      <c r="VZH224" s="392"/>
      <c r="VZI224" s="392"/>
      <c r="VZJ224" s="392"/>
      <c r="VZK224" s="392"/>
      <c r="VZL224" s="392"/>
      <c r="VZM224" s="392"/>
      <c r="VZN224" s="363"/>
      <c r="VZO224" s="363"/>
      <c r="VZS224" s="5"/>
      <c r="VZT224" s="5"/>
      <c r="VZU224" s="5"/>
      <c r="VZW224" s="5"/>
      <c r="VZY224" s="5"/>
      <c r="VZZ224" s="5"/>
      <c r="WAA224" s="5"/>
      <c r="WAB224" s="17"/>
      <c r="WAE224" s="392"/>
      <c r="WAF224" s="392"/>
      <c r="WAG224" s="392"/>
      <c r="WAH224" s="392"/>
      <c r="WAI224" s="392"/>
      <c r="WAJ224" s="392"/>
      <c r="WAK224" s="363"/>
      <c r="WAL224" s="363"/>
      <c r="WAP224" s="5"/>
      <c r="WAQ224" s="5"/>
      <c r="WAR224" s="5"/>
      <c r="WAT224" s="5"/>
      <c r="WAV224" s="5"/>
      <c r="WAW224" s="5"/>
      <c r="WAX224" s="5"/>
      <c r="WAY224" s="17"/>
      <c r="WBB224" s="392"/>
      <c r="WBC224" s="392"/>
      <c r="WBD224" s="392"/>
      <c r="WBE224" s="392"/>
      <c r="WBF224" s="392"/>
      <c r="WBG224" s="392"/>
      <c r="WBH224" s="363"/>
      <c r="WBI224" s="363"/>
      <c r="WBM224" s="5"/>
      <c r="WBN224" s="5"/>
      <c r="WBO224" s="5"/>
      <c r="WBQ224" s="5"/>
      <c r="WBS224" s="5"/>
      <c r="WBT224" s="5"/>
      <c r="WBU224" s="5"/>
      <c r="WBV224" s="17"/>
      <c r="WBY224" s="392"/>
      <c r="WBZ224" s="392"/>
      <c r="WCA224" s="392"/>
      <c r="WCB224" s="392"/>
      <c r="WCC224" s="392"/>
      <c r="WCD224" s="392"/>
      <c r="WCE224" s="363"/>
      <c r="WCF224" s="363"/>
      <c r="WCJ224" s="5"/>
      <c r="WCK224" s="5"/>
      <c r="WCL224" s="5"/>
      <c r="WCN224" s="5"/>
      <c r="WCP224" s="5"/>
      <c r="WCQ224" s="5"/>
      <c r="WCR224" s="5"/>
      <c r="WCS224" s="17"/>
      <c r="WCV224" s="392"/>
      <c r="WCW224" s="392"/>
      <c r="WCX224" s="392"/>
      <c r="WCY224" s="392"/>
      <c r="WCZ224" s="392"/>
      <c r="WDA224" s="392"/>
      <c r="WDB224" s="363"/>
      <c r="WDC224" s="363"/>
      <c r="WDG224" s="5"/>
      <c r="WDH224" s="5"/>
      <c r="WDI224" s="5"/>
      <c r="WDK224" s="5"/>
      <c r="WDM224" s="5"/>
      <c r="WDN224" s="5"/>
      <c r="WDO224" s="5"/>
      <c r="WDP224" s="17"/>
      <c r="WDS224" s="392"/>
      <c r="WDT224" s="392"/>
      <c r="WDU224" s="392"/>
      <c r="WDV224" s="392"/>
      <c r="WDW224" s="392"/>
      <c r="WDX224" s="392"/>
      <c r="WDY224" s="363"/>
      <c r="WDZ224" s="363"/>
      <c r="WED224" s="5"/>
      <c r="WEE224" s="5"/>
      <c r="WEF224" s="5"/>
      <c r="WEH224" s="5"/>
      <c r="WEJ224" s="5"/>
      <c r="WEK224" s="5"/>
      <c r="WEL224" s="5"/>
      <c r="WEM224" s="17"/>
      <c r="WEP224" s="392"/>
      <c r="WEQ224" s="392"/>
      <c r="WER224" s="392"/>
      <c r="WES224" s="392"/>
      <c r="WET224" s="392"/>
      <c r="WEU224" s="392"/>
      <c r="WEV224" s="363"/>
      <c r="WEW224" s="363"/>
      <c r="WFA224" s="5"/>
      <c r="WFB224" s="5"/>
      <c r="WFC224" s="5"/>
      <c r="WFE224" s="5"/>
      <c r="WFG224" s="5"/>
      <c r="WFH224" s="5"/>
      <c r="WFI224" s="5"/>
      <c r="WFJ224" s="17"/>
      <c r="WFM224" s="392"/>
      <c r="WFN224" s="392"/>
      <c r="WFO224" s="392"/>
      <c r="WFP224" s="392"/>
      <c r="WFQ224" s="392"/>
      <c r="WFR224" s="392"/>
      <c r="WFS224" s="363"/>
      <c r="WFT224" s="363"/>
      <c r="WFX224" s="5"/>
      <c r="WFY224" s="5"/>
      <c r="WFZ224" s="5"/>
      <c r="WGB224" s="5"/>
      <c r="WGD224" s="5"/>
      <c r="WGE224" s="5"/>
      <c r="WGF224" s="5"/>
      <c r="WGG224" s="17"/>
      <c r="WGJ224" s="392"/>
      <c r="WGK224" s="392"/>
      <c r="WGL224" s="392"/>
      <c r="WGM224" s="392"/>
      <c r="WGN224" s="392"/>
      <c r="WGO224" s="392"/>
      <c r="WGP224" s="363"/>
      <c r="WGQ224" s="363"/>
      <c r="WGU224" s="5"/>
      <c r="WGV224" s="5"/>
      <c r="WGW224" s="5"/>
      <c r="WGY224" s="5"/>
      <c r="WHA224" s="5"/>
      <c r="WHB224" s="5"/>
      <c r="WHC224" s="5"/>
      <c r="WHD224" s="17"/>
      <c r="WHG224" s="392"/>
      <c r="WHH224" s="392"/>
      <c r="WHI224" s="392"/>
      <c r="WHJ224" s="392"/>
      <c r="WHK224" s="392"/>
      <c r="WHL224" s="392"/>
      <c r="WHM224" s="363"/>
      <c r="WHN224" s="363"/>
      <c r="WHR224" s="5"/>
      <c r="WHS224" s="5"/>
      <c r="WHT224" s="5"/>
      <c r="WHV224" s="5"/>
      <c r="WHX224" s="5"/>
      <c r="WHY224" s="5"/>
      <c r="WHZ224" s="5"/>
      <c r="WIA224" s="17"/>
      <c r="WID224" s="392"/>
      <c r="WIE224" s="392"/>
      <c r="WIF224" s="392"/>
      <c r="WIG224" s="392"/>
      <c r="WIH224" s="392"/>
      <c r="WII224" s="392"/>
      <c r="WIJ224" s="363"/>
      <c r="WIK224" s="363"/>
      <c r="WIO224" s="5"/>
      <c r="WIP224" s="5"/>
      <c r="WIQ224" s="5"/>
      <c r="WIS224" s="5"/>
      <c r="WIU224" s="5"/>
      <c r="WIV224" s="5"/>
      <c r="WIW224" s="5"/>
      <c r="WIX224" s="17"/>
      <c r="WJA224" s="392"/>
      <c r="WJB224" s="392"/>
      <c r="WJC224" s="392"/>
      <c r="WJD224" s="392"/>
      <c r="WJE224" s="392"/>
      <c r="WJF224" s="392"/>
      <c r="WJG224" s="363"/>
      <c r="WJH224" s="363"/>
      <c r="WJL224" s="5"/>
      <c r="WJM224" s="5"/>
      <c r="WJN224" s="5"/>
      <c r="WJP224" s="5"/>
      <c r="WJR224" s="5"/>
      <c r="WJS224" s="5"/>
      <c r="WJT224" s="5"/>
      <c r="WJU224" s="17"/>
      <c r="WJX224" s="392"/>
      <c r="WJY224" s="392"/>
      <c r="WJZ224" s="392"/>
      <c r="WKA224" s="392"/>
      <c r="WKB224" s="392"/>
      <c r="WKC224" s="392"/>
      <c r="WKD224" s="363"/>
      <c r="WKE224" s="363"/>
      <c r="WKI224" s="5"/>
      <c r="WKJ224" s="5"/>
      <c r="WKK224" s="5"/>
      <c r="WKM224" s="5"/>
      <c r="WKO224" s="5"/>
      <c r="WKP224" s="5"/>
      <c r="WKQ224" s="5"/>
      <c r="WKR224" s="17"/>
      <c r="WKU224" s="392"/>
      <c r="WKV224" s="392"/>
      <c r="WKW224" s="392"/>
      <c r="WKX224" s="392"/>
      <c r="WKY224" s="392"/>
      <c r="WKZ224" s="392"/>
      <c r="WLA224" s="363"/>
      <c r="WLB224" s="363"/>
      <c r="WLF224" s="5"/>
      <c r="WLG224" s="5"/>
      <c r="WLH224" s="5"/>
      <c r="WLJ224" s="5"/>
      <c r="WLL224" s="5"/>
      <c r="WLM224" s="5"/>
      <c r="WLN224" s="5"/>
      <c r="WLO224" s="17"/>
      <c r="WLR224" s="392"/>
      <c r="WLS224" s="392"/>
      <c r="WLT224" s="392"/>
      <c r="WLU224" s="392"/>
      <c r="WLV224" s="392"/>
      <c r="WLW224" s="392"/>
      <c r="WLX224" s="363"/>
      <c r="WLY224" s="363"/>
      <c r="WMC224" s="5"/>
      <c r="WMD224" s="5"/>
      <c r="WME224" s="5"/>
      <c r="WMG224" s="5"/>
      <c r="WMI224" s="5"/>
      <c r="WMJ224" s="5"/>
      <c r="WMK224" s="5"/>
      <c r="WML224" s="17"/>
      <c r="WMO224" s="392"/>
      <c r="WMP224" s="392"/>
      <c r="WMQ224" s="392"/>
      <c r="WMR224" s="392"/>
      <c r="WMS224" s="392"/>
      <c r="WMT224" s="392"/>
      <c r="WMU224" s="363"/>
      <c r="WMV224" s="363"/>
      <c r="WMZ224" s="5"/>
      <c r="WNA224" s="5"/>
      <c r="WNB224" s="5"/>
      <c r="WND224" s="5"/>
      <c r="WNF224" s="5"/>
      <c r="WNG224" s="5"/>
      <c r="WNH224" s="5"/>
      <c r="WNI224" s="17"/>
      <c r="WNL224" s="392"/>
      <c r="WNM224" s="392"/>
      <c r="WNN224" s="392"/>
      <c r="WNO224" s="392"/>
      <c r="WNP224" s="392"/>
      <c r="WNQ224" s="392"/>
      <c r="WNR224" s="363"/>
      <c r="WNS224" s="363"/>
      <c r="WNW224" s="5"/>
      <c r="WNX224" s="5"/>
      <c r="WNY224" s="5"/>
      <c r="WOA224" s="5"/>
      <c r="WOC224" s="5"/>
      <c r="WOD224" s="5"/>
      <c r="WOE224" s="5"/>
      <c r="WOF224" s="17"/>
      <c r="WOI224" s="392"/>
      <c r="WOJ224" s="392"/>
      <c r="WOK224" s="392"/>
      <c r="WOL224" s="392"/>
      <c r="WOM224" s="392"/>
      <c r="WON224" s="392"/>
      <c r="WOO224" s="363"/>
      <c r="WOP224" s="363"/>
      <c r="WOT224" s="5"/>
      <c r="WOU224" s="5"/>
      <c r="WOV224" s="5"/>
      <c r="WOX224" s="5"/>
      <c r="WOZ224" s="5"/>
      <c r="WPA224" s="5"/>
      <c r="WPB224" s="5"/>
      <c r="WPC224" s="17"/>
      <c r="WPF224" s="392"/>
      <c r="WPG224" s="392"/>
      <c r="WPH224" s="392"/>
      <c r="WPI224" s="392"/>
      <c r="WPJ224" s="392"/>
      <c r="WPK224" s="392"/>
      <c r="WPL224" s="363"/>
      <c r="WPM224" s="363"/>
      <c r="WPQ224" s="5"/>
      <c r="WPR224" s="5"/>
      <c r="WPS224" s="5"/>
      <c r="WPU224" s="5"/>
      <c r="WPW224" s="5"/>
      <c r="WPX224" s="5"/>
      <c r="WPY224" s="5"/>
      <c r="WPZ224" s="17"/>
      <c r="WQC224" s="392"/>
      <c r="WQD224" s="392"/>
      <c r="WQE224" s="392"/>
      <c r="WQF224" s="392"/>
      <c r="WQG224" s="392"/>
      <c r="WQH224" s="392"/>
      <c r="WQI224" s="363"/>
      <c r="WQJ224" s="363"/>
      <c r="WQN224" s="5"/>
      <c r="WQO224" s="5"/>
      <c r="WQP224" s="5"/>
      <c r="WQR224" s="5"/>
      <c r="WQT224" s="5"/>
      <c r="WQU224" s="5"/>
      <c r="WQV224" s="5"/>
      <c r="WQW224" s="17"/>
      <c r="WQZ224" s="392"/>
      <c r="WRA224" s="392"/>
      <c r="WRB224" s="392"/>
      <c r="WRC224" s="392"/>
      <c r="WRD224" s="392"/>
      <c r="WRE224" s="392"/>
      <c r="WRF224" s="363"/>
      <c r="WRG224" s="363"/>
      <c r="WRK224" s="5"/>
      <c r="WRL224" s="5"/>
      <c r="WRM224" s="5"/>
      <c r="WRO224" s="5"/>
      <c r="WRQ224" s="5"/>
      <c r="WRR224" s="5"/>
      <c r="WRS224" s="5"/>
      <c r="WRT224" s="17"/>
      <c r="WRW224" s="392"/>
      <c r="WRX224" s="392"/>
      <c r="WRY224" s="392"/>
      <c r="WRZ224" s="392"/>
      <c r="WSA224" s="392"/>
      <c r="WSB224" s="392"/>
      <c r="WSC224" s="363"/>
      <c r="WSD224" s="363"/>
      <c r="WSH224" s="5"/>
      <c r="WSI224" s="5"/>
      <c r="WSJ224" s="5"/>
      <c r="WSL224" s="5"/>
      <c r="WSN224" s="5"/>
      <c r="WSO224" s="5"/>
      <c r="WSP224" s="5"/>
      <c r="WSQ224" s="17"/>
      <c r="WST224" s="392"/>
      <c r="WSU224" s="392"/>
      <c r="WSV224" s="392"/>
      <c r="WSW224" s="392"/>
      <c r="WSX224" s="392"/>
      <c r="WSY224" s="392"/>
      <c r="WSZ224" s="363"/>
      <c r="WTA224" s="363"/>
      <c r="WTE224" s="5"/>
      <c r="WTF224" s="5"/>
      <c r="WTG224" s="5"/>
      <c r="WTI224" s="5"/>
      <c r="WTK224" s="5"/>
      <c r="WTL224" s="5"/>
      <c r="WTM224" s="5"/>
      <c r="WTN224" s="17"/>
      <c r="WTQ224" s="392"/>
      <c r="WTR224" s="392"/>
      <c r="WTS224" s="392"/>
      <c r="WTT224" s="392"/>
      <c r="WTU224" s="392"/>
      <c r="WTV224" s="392"/>
      <c r="WTW224" s="363"/>
      <c r="WTX224" s="363"/>
      <c r="WUB224" s="5"/>
      <c r="WUC224" s="5"/>
      <c r="WUD224" s="5"/>
      <c r="WUF224" s="5"/>
      <c r="WUH224" s="5"/>
      <c r="WUI224" s="5"/>
      <c r="WUJ224" s="5"/>
      <c r="WUK224" s="17"/>
      <c r="WUN224" s="392"/>
      <c r="WUO224" s="392"/>
      <c r="WUP224" s="392"/>
      <c r="WUQ224" s="392"/>
      <c r="WUR224" s="392"/>
      <c r="WUS224" s="392"/>
      <c r="WUT224" s="363"/>
      <c r="WUU224" s="363"/>
      <c r="WUY224" s="5"/>
      <c r="WUZ224" s="5"/>
      <c r="WVA224" s="5"/>
      <c r="WVC224" s="5"/>
      <c r="WVE224" s="5"/>
      <c r="WVF224" s="5"/>
      <c r="WVG224" s="5"/>
      <c r="WVH224" s="17"/>
      <c r="WVK224" s="392"/>
      <c r="WVL224" s="392"/>
      <c r="WVM224" s="392"/>
      <c r="WVN224" s="392"/>
      <c r="WVO224" s="392"/>
      <c r="WVP224" s="392"/>
      <c r="WVQ224" s="363"/>
      <c r="WVR224" s="363"/>
      <c r="WVV224" s="5"/>
      <c r="WVW224" s="5"/>
      <c r="WVX224" s="5"/>
      <c r="WVZ224" s="5"/>
      <c r="WWB224" s="5"/>
      <c r="WWC224" s="5"/>
      <c r="WWD224" s="5"/>
      <c r="WWE224" s="17"/>
      <c r="WWH224" s="392"/>
      <c r="WWI224" s="392"/>
      <c r="WWJ224" s="392"/>
      <c r="WWK224" s="392"/>
      <c r="WWL224" s="392"/>
      <c r="WWM224" s="392"/>
      <c r="WWN224" s="363"/>
      <c r="WWO224" s="363"/>
      <c r="WWS224" s="5"/>
      <c r="WWT224" s="5"/>
      <c r="WWU224" s="5"/>
      <c r="WWW224" s="5"/>
      <c r="WWY224" s="5"/>
      <c r="WWZ224" s="5"/>
      <c r="WXA224" s="5"/>
      <c r="WXB224" s="17"/>
      <c r="WXE224" s="392"/>
      <c r="WXF224" s="392"/>
      <c r="WXG224" s="392"/>
      <c r="WXH224" s="392"/>
      <c r="WXI224" s="392"/>
      <c r="WXJ224" s="392"/>
      <c r="WXK224" s="363"/>
      <c r="WXL224" s="363"/>
      <c r="WXP224" s="5"/>
      <c r="WXQ224" s="5"/>
      <c r="WXR224" s="5"/>
      <c r="WXT224" s="5"/>
      <c r="WXV224" s="5"/>
      <c r="WXW224" s="5"/>
      <c r="WXX224" s="5"/>
      <c r="WXY224" s="17"/>
      <c r="WYB224" s="392"/>
      <c r="WYC224" s="392"/>
      <c r="WYD224" s="392"/>
      <c r="WYE224" s="392"/>
      <c r="WYF224" s="392"/>
      <c r="WYG224" s="392"/>
      <c r="WYH224" s="363"/>
      <c r="WYI224" s="363"/>
      <c r="WYM224" s="5"/>
      <c r="WYN224" s="5"/>
      <c r="WYO224" s="5"/>
      <c r="WYQ224" s="5"/>
      <c r="WYS224" s="5"/>
      <c r="WYT224" s="5"/>
      <c r="WYU224" s="5"/>
      <c r="WYV224" s="17"/>
      <c r="WYY224" s="392"/>
      <c r="WYZ224" s="392"/>
      <c r="WZA224" s="392"/>
      <c r="WZB224" s="392"/>
      <c r="WZC224" s="392"/>
      <c r="WZD224" s="392"/>
      <c r="WZE224" s="363"/>
      <c r="WZF224" s="363"/>
      <c r="WZJ224" s="5"/>
      <c r="WZK224" s="5"/>
      <c r="WZL224" s="5"/>
      <c r="WZN224" s="5"/>
      <c r="WZP224" s="5"/>
      <c r="WZQ224" s="5"/>
      <c r="WZR224" s="5"/>
      <c r="WZS224" s="17"/>
      <c r="WZV224" s="392"/>
      <c r="WZW224" s="392"/>
      <c r="WZX224" s="392"/>
      <c r="WZY224" s="392"/>
      <c r="WZZ224" s="392"/>
      <c r="XAA224" s="392"/>
      <c r="XAB224" s="363"/>
      <c r="XAC224" s="363"/>
      <c r="XAG224" s="5"/>
      <c r="XAH224" s="5"/>
      <c r="XAI224" s="5"/>
      <c r="XAK224" s="5"/>
      <c r="XAM224" s="5"/>
      <c r="XAN224" s="5"/>
      <c r="XAO224" s="5"/>
      <c r="XAP224" s="17"/>
      <c r="XAS224" s="392"/>
      <c r="XAT224" s="392"/>
      <c r="XAU224" s="392"/>
      <c r="XAV224" s="392"/>
      <c r="XAW224" s="392"/>
      <c r="XAX224" s="392"/>
      <c r="XAY224" s="363"/>
      <c r="XAZ224" s="363"/>
      <c r="XBD224" s="5"/>
      <c r="XBE224" s="5"/>
      <c r="XBF224" s="5"/>
      <c r="XBH224" s="5"/>
      <c r="XBJ224" s="5"/>
      <c r="XBK224" s="5"/>
      <c r="XBL224" s="5"/>
      <c r="XBM224" s="17"/>
      <c r="XBP224" s="392"/>
      <c r="XBQ224" s="392"/>
      <c r="XBR224" s="392"/>
      <c r="XBS224" s="392"/>
      <c r="XBT224" s="392"/>
      <c r="XBU224" s="392"/>
      <c r="XBV224" s="363"/>
      <c r="XBW224" s="363"/>
      <c r="XCA224" s="5"/>
      <c r="XCB224" s="5"/>
      <c r="XCC224" s="5"/>
      <c r="XCE224" s="5"/>
      <c r="XCG224" s="5"/>
      <c r="XCH224" s="5"/>
      <c r="XCI224" s="5"/>
      <c r="XCJ224" s="17"/>
      <c r="XCM224" s="392"/>
      <c r="XCN224" s="392"/>
      <c r="XCO224" s="392"/>
      <c r="XCP224" s="392"/>
      <c r="XCQ224" s="392"/>
      <c r="XCR224" s="392"/>
      <c r="XCS224" s="363"/>
      <c r="XCT224" s="363"/>
      <c r="XCX224" s="5"/>
      <c r="XCY224" s="5"/>
      <c r="XCZ224" s="5"/>
      <c r="XDB224" s="5"/>
      <c r="XDD224" s="5"/>
      <c r="XDE224" s="5"/>
      <c r="XDF224" s="5"/>
      <c r="XDG224" s="17"/>
      <c r="XDJ224" s="392"/>
      <c r="XDK224" s="392"/>
      <c r="XDL224" s="392"/>
      <c r="XDM224" s="392"/>
      <c r="XDN224" s="392"/>
      <c r="XDO224" s="392"/>
      <c r="XDP224" s="363"/>
      <c r="XDQ224" s="363"/>
      <c r="XDU224" s="5"/>
      <c r="XDV224" s="5"/>
      <c r="XDW224" s="5"/>
      <c r="XDY224" s="5"/>
      <c r="XEA224" s="5"/>
      <c r="XEB224" s="5"/>
      <c r="XEC224" s="5"/>
      <c r="XED224" s="17"/>
      <c r="XEG224" s="392"/>
      <c r="XEH224" s="392"/>
      <c r="XEI224" s="392"/>
      <c r="XEJ224" s="392"/>
      <c r="XEK224" s="392"/>
      <c r="XEL224" s="392"/>
      <c r="XEM224" s="363"/>
      <c r="XEN224" s="363"/>
      <c r="XER224" s="5"/>
      <c r="XES224" s="5"/>
      <c r="XET224" s="5"/>
      <c r="XEV224" s="5"/>
      <c r="XEX224" s="5"/>
      <c r="XEY224" s="5"/>
      <c r="XEZ224" s="5"/>
      <c r="XFA224" s="17"/>
      <c r="XFD224" s="5"/>
    </row>
    <row r="225" spans="1:23" x14ac:dyDescent="0.15">
      <c r="A225" s="1">
        <v>2018</v>
      </c>
      <c r="B225" s="5">
        <f>(K146*($E146/365))+(K147*($E147/365))</f>
        <v>15.428983417447728</v>
      </c>
      <c r="C225" s="5">
        <f>(L146*($E146/365))+(L147*($E147/365))</f>
        <v>31.218457101658252</v>
      </c>
      <c r="D225" s="5">
        <f>(M146*($E146/365))+(M147*($E147/365))</f>
        <v>30.483056957462146</v>
      </c>
      <c r="E225" s="17">
        <f t="shared" ref="E225" si="52">B225+C225+D225</f>
        <v>77.130497476568138</v>
      </c>
      <c r="G225" s="1">
        <v>2018</v>
      </c>
      <c r="H225" s="392">
        <f>(O146/$R146*100*($E146/365))+(O147/$R147*100*($E147/365))</f>
        <v>20.705417746513639</v>
      </c>
      <c r="I225" s="392"/>
      <c r="J225" s="392">
        <f>(Q146/$R146*100*($E146/365))+(Q147/$R147*100*($E147/365))</f>
        <v>38.120505957067131</v>
      </c>
      <c r="K225" s="392"/>
      <c r="L225" s="392">
        <f>(Q146/$R146*100*($E146/365))+(Q147/$R147*100*($E147/365))</f>
        <v>38.120505957067131</v>
      </c>
      <c r="M225" s="392"/>
      <c r="N225" s="363">
        <f t="shared" ref="N225" si="53">H225+J225+L225</f>
        <v>96.946429660647908</v>
      </c>
      <c r="O225" s="363"/>
      <c r="R225" s="1">
        <v>2018</v>
      </c>
      <c r="S225" s="5">
        <f>(O146*($E146/365))+(O147*($E147/365))</f>
        <v>11.491506849315069</v>
      </c>
      <c r="T225" s="5">
        <f>(P146*($E146/365))+(P147*($E147/365))</f>
        <v>22.744383561643836</v>
      </c>
      <c r="U225" s="5">
        <f>(Q146*($E146/365))+(Q147*($E147/365))</f>
        <v>19.898904109589044</v>
      </c>
      <c r="V225" s="5"/>
      <c r="W225" s="5">
        <f t="shared" ref="W225" si="54">S225+T225+U225</f>
        <v>54.134794520547942</v>
      </c>
    </row>
    <row r="226" spans="1:23" x14ac:dyDescent="0.15">
      <c r="A226" s="1">
        <v>2019</v>
      </c>
      <c r="B226" s="5">
        <f>(K148*($E148/365))+(K149*($E149/365))+(K150*(E150/365))+(K151*(E151/365))</f>
        <v>20.418168709444846</v>
      </c>
      <c r="C226" s="5">
        <f>(L148*($E148/365))+(L149*($E149/365))+(L150*(E150/365))+(L151*(E151/365))</f>
        <v>42.544173118919993</v>
      </c>
      <c r="D226" s="5">
        <f>(M148*($E148/365))+(M149*($E149/365))+(M150*(E150/365))+(M151*(E151/365))</f>
        <v>14.051022433988486</v>
      </c>
      <c r="E226" s="17">
        <f t="shared" ref="E226" si="55">B226+C226+D226</f>
        <v>77.013364262353321</v>
      </c>
      <c r="G226" s="1">
        <v>2019</v>
      </c>
      <c r="H226" s="392">
        <f>(O148/$R148*100*($E148/365))+(O149/$R149*100*($E149/365))+(O150/R150*100*(E150/365))+(O151/R151*100*(E151/365))</f>
        <v>23.898309268172284</v>
      </c>
      <c r="I226" s="392"/>
      <c r="J226" s="392">
        <f>(P148/$R148*100*($E148/365))+(P149/$R149*100*($E149/365))+(P150/R150*100*(E150/365))+(P151/R151*100*(E151/365))</f>
        <v>63.918975179853504</v>
      </c>
      <c r="K226" s="392"/>
      <c r="L226" s="392">
        <f>(Q148/$R148*100*($E148/365))+(Q149/$R149*100*($E149/365))+(Q150/R150*100*(E150/365))+(Q151/R151*100*(E151/365))</f>
        <v>12.182715551974214</v>
      </c>
      <c r="M226" s="392"/>
      <c r="N226" s="363">
        <f t="shared" ref="N226" si="56">H226+J226+L226</f>
        <v>100</v>
      </c>
      <c r="O226" s="363"/>
      <c r="R226" s="1">
        <v>2019</v>
      </c>
      <c r="S226" s="5">
        <f>(O148*($E148/365))+(O149*($E149/365))+(O150*(E150/365))+(O151*(E151/365))</f>
        <v>13.263561643835617</v>
      </c>
      <c r="T226" s="5">
        <f>(P148*($E148/365))+(P149*($E149/365))+(P150*(E150/365))+(P151*(E151/365))</f>
        <v>35.253424657534246</v>
      </c>
      <c r="U226" s="5">
        <f>(Q148*($E148/365))+(Q149*($E149/365))+(Q150*(E150/365))+(Q151*(E151/365))</f>
        <v>6.6273972602739724</v>
      </c>
      <c r="V226" s="5"/>
      <c r="W226" s="5">
        <f t="shared" ref="W226" si="57">S226+T226+U226</f>
        <v>55.144383561643835</v>
      </c>
    </row>
    <row r="227" spans="1:23" x14ac:dyDescent="0.15">
      <c r="A227" s="1">
        <v>2020</v>
      </c>
      <c r="B227" s="5">
        <f>(K152*($E152/366))+(K153*($E153/366))</f>
        <v>0</v>
      </c>
      <c r="C227" s="5">
        <f>(L152*($E152/366))+(L153*($E153/366))</f>
        <v>41.666666666666671</v>
      </c>
      <c r="D227" s="5">
        <f>(M152*($E152/366))+(M153*($E153/366))</f>
        <v>41.666666666666671</v>
      </c>
      <c r="E227" s="17">
        <f t="shared" ref="E227" si="58">B227+C227+D227</f>
        <v>83.333333333333343</v>
      </c>
      <c r="G227" s="1">
        <v>2020</v>
      </c>
      <c r="H227" s="392">
        <f>(O152/$R152*100*($E152/366))+(O153/$R153*100*($E153/366))</f>
        <v>0</v>
      </c>
      <c r="I227" s="392"/>
      <c r="J227" s="392">
        <f>(P152/$R152*100*($E152/366))+(P153/$R153*100*($E153/366))</f>
        <v>62.316176470588239</v>
      </c>
      <c r="K227" s="392"/>
      <c r="L227" s="392">
        <f>(Q152/$R152*100*($E152/366))+(Q153/$R153*100*($E153/366))</f>
        <v>37.683823529411761</v>
      </c>
      <c r="M227" s="392"/>
      <c r="N227" s="363">
        <f t="shared" ref="N227" si="59">H227+J227+L227</f>
        <v>100</v>
      </c>
      <c r="O227" s="363"/>
      <c r="R227" s="1">
        <v>2020</v>
      </c>
      <c r="S227" s="5">
        <f>(O152*($E152/366))+(O153*($E153/366))</f>
        <v>0</v>
      </c>
      <c r="T227" s="5">
        <f>(P152*($E152/366))+(P153*($E153/366))</f>
        <v>33.9</v>
      </c>
      <c r="U227" s="5">
        <f>(Q152*($E152/366))+(Q153*($E153/366))</f>
        <v>20.5</v>
      </c>
      <c r="V227" s="5"/>
      <c r="W227" s="5">
        <f t="shared" ref="W227" si="60">S227+T227+U227</f>
        <v>54.4</v>
      </c>
    </row>
    <row r="228" spans="1:23" x14ac:dyDescent="0.15">
      <c r="A228" s="1">
        <v>2021</v>
      </c>
      <c r="B228" s="5">
        <f>(K154*($E154/365))+(K155*($E155/365))+(K156*($E156/365))</f>
        <v>0</v>
      </c>
      <c r="C228" s="5">
        <f>(L154*($E154/365))+(L155*($E155/365))+(L156*($E156/365))</f>
        <v>5.3341635533416358</v>
      </c>
      <c r="D228" s="5">
        <f>(M154*($E154/365))+(M155*($E155/365))+(M156*($E156/365))</f>
        <v>4.5869655458696554</v>
      </c>
      <c r="E228" s="17">
        <f t="shared" ref="E228" si="61">B228+C228+D228</f>
        <v>9.9211290992112922</v>
      </c>
      <c r="G228" s="1">
        <v>2021</v>
      </c>
      <c r="H228" s="392">
        <v>0</v>
      </c>
      <c r="I228" s="392"/>
      <c r="J228" s="392">
        <v>0</v>
      </c>
      <c r="K228" s="392"/>
      <c r="L228" s="392">
        <v>0</v>
      </c>
      <c r="M228" s="392"/>
      <c r="N228" s="363">
        <f t="shared" ref="N228" si="62">H228+J228+L228</f>
        <v>0</v>
      </c>
      <c r="O228" s="363"/>
      <c r="R228" s="1">
        <v>2021</v>
      </c>
      <c r="S228" s="5">
        <f>(O154*($E154/365))+(O155*($E155/365))+(O156*($E156/365))</f>
        <v>0</v>
      </c>
      <c r="T228" s="5">
        <f>(P154*($E154/365))+(P155*($E155/365))+(P156*($E156/365))</f>
        <v>4.0865753424657534</v>
      </c>
      <c r="U228" s="5">
        <f>(Q154*($E154/365))+(Q155*($E155/365))+(Q156*($E156/365))</f>
        <v>2.4712328767123286</v>
      </c>
      <c r="V228" s="5"/>
      <c r="W228" s="5">
        <f t="shared" ref="W228" si="63">S228+T228+U228</f>
        <v>6.5578082191780815</v>
      </c>
    </row>
    <row r="229" spans="1:23" x14ac:dyDescent="0.15">
      <c r="A229" s="1">
        <v>2022</v>
      </c>
      <c r="B229" s="5">
        <f>(K158*($E158/365))</f>
        <v>15.561643835616438</v>
      </c>
      <c r="C229" s="5">
        <f>(L158*($E158/365))</f>
        <v>0</v>
      </c>
      <c r="D229" s="5">
        <f>(M158*($E158/365))</f>
        <v>0</v>
      </c>
      <c r="E229" s="17">
        <f t="shared" ref="E229" si="64">B229+C229+D229</f>
        <v>15.561643835616438</v>
      </c>
      <c r="G229" s="1">
        <v>2021</v>
      </c>
      <c r="H229" s="392">
        <f>(O158/$R158*100*($E158/366))</f>
        <v>19.398907103825135</v>
      </c>
      <c r="I229" s="392"/>
      <c r="J229" s="392">
        <f>(P158/$R158*100*($E158/366))</f>
        <v>0</v>
      </c>
      <c r="K229" s="392"/>
      <c r="L229" s="392">
        <f>(Q158/$R158*100*($E158/366))</f>
        <v>0</v>
      </c>
      <c r="M229" s="392"/>
      <c r="N229" s="363">
        <f t="shared" ref="N229" si="65">H229+J229+L229</f>
        <v>19.398907103825135</v>
      </c>
      <c r="O229" s="363"/>
      <c r="R229" s="1">
        <v>2022</v>
      </c>
      <c r="S229" s="5">
        <f>(O158*($E158/365))</f>
        <v>10.854246575342465</v>
      </c>
      <c r="T229" s="5">
        <f>(P158*($E158/365))</f>
        <v>0</v>
      </c>
      <c r="U229" s="5">
        <f>(Q158*($E158/365))</f>
        <v>0</v>
      </c>
      <c r="V229" s="5"/>
      <c r="W229" s="5">
        <f t="shared" ref="W229" si="66">S229+T229+U229</f>
        <v>10.854246575342465</v>
      </c>
    </row>
  </sheetData>
  <mergeCells count="3279">
    <mergeCell ref="H229:I229"/>
    <mergeCell ref="J229:K229"/>
    <mergeCell ref="L229:M229"/>
    <mergeCell ref="N229:O229"/>
    <mergeCell ref="H227:I227"/>
    <mergeCell ref="J227:K227"/>
    <mergeCell ref="L227:M227"/>
    <mergeCell ref="N227:O227"/>
    <mergeCell ref="H228:I228"/>
    <mergeCell ref="J228:K228"/>
    <mergeCell ref="L228:M228"/>
    <mergeCell ref="N228:O228"/>
    <mergeCell ref="J226:K226"/>
    <mergeCell ref="L226:M226"/>
    <mergeCell ref="H226:I226"/>
    <mergeCell ref="N226:O226"/>
    <mergeCell ref="H225:I225"/>
    <mergeCell ref="J225:K225"/>
    <mergeCell ref="L225:M225"/>
    <mergeCell ref="N225:O225"/>
    <mergeCell ref="J217:K217"/>
    <mergeCell ref="L217:M217"/>
    <mergeCell ref="N217:O217"/>
    <mergeCell ref="H224:I224"/>
    <mergeCell ref="J224:K224"/>
    <mergeCell ref="L224:M224"/>
    <mergeCell ref="N224:O224"/>
    <mergeCell ref="H223:I223"/>
    <mergeCell ref="J223:K223"/>
    <mergeCell ref="L223:M223"/>
    <mergeCell ref="N223:O223"/>
    <mergeCell ref="H222:I222"/>
    <mergeCell ref="J222:K222"/>
    <mergeCell ref="L222:M222"/>
    <mergeCell ref="N222:O222"/>
    <mergeCell ref="H221:I221"/>
    <mergeCell ref="H216:I216"/>
    <mergeCell ref="J221:K221"/>
    <mergeCell ref="L221:M221"/>
    <mergeCell ref="N221:O221"/>
    <mergeCell ref="H214:I214"/>
    <mergeCell ref="J214:K214"/>
    <mergeCell ref="L214:M214"/>
    <mergeCell ref="N214:O214"/>
    <mergeCell ref="H215:I215"/>
    <mergeCell ref="J215:K215"/>
    <mergeCell ref="L215:M215"/>
    <mergeCell ref="N215:O215"/>
    <mergeCell ref="H212:I212"/>
    <mergeCell ref="J212:K212"/>
    <mergeCell ref="L212:M212"/>
    <mergeCell ref="N212:O212"/>
    <mergeCell ref="H213:I213"/>
    <mergeCell ref="J213:K213"/>
    <mergeCell ref="L213:M213"/>
    <mergeCell ref="N213:O213"/>
    <mergeCell ref="AT4:AW4"/>
    <mergeCell ref="H206:I206"/>
    <mergeCell ref="H207:I207"/>
    <mergeCell ref="J205:K205"/>
    <mergeCell ref="J206:K206"/>
    <mergeCell ref="J207:K207"/>
    <mergeCell ref="L203:M203"/>
    <mergeCell ref="L204:M204"/>
    <mergeCell ref="L205:M205"/>
    <mergeCell ref="L206:M206"/>
    <mergeCell ref="H209:I209"/>
    <mergeCell ref="J209:K209"/>
    <mergeCell ref="L209:M209"/>
    <mergeCell ref="N209:O209"/>
    <mergeCell ref="N207:O207"/>
    <mergeCell ref="N208:O208"/>
    <mergeCell ref="AX4:BA4"/>
    <mergeCell ref="H220:I220"/>
    <mergeCell ref="J220:K220"/>
    <mergeCell ref="L220:M220"/>
    <mergeCell ref="N220:O220"/>
    <mergeCell ref="H218:I218"/>
    <mergeCell ref="J218:K218"/>
    <mergeCell ref="L218:M218"/>
    <mergeCell ref="N218:O218"/>
    <mergeCell ref="H219:I219"/>
    <mergeCell ref="J219:K219"/>
    <mergeCell ref="L219:M219"/>
    <mergeCell ref="N219:O219"/>
    <mergeCell ref="J216:K216"/>
    <mergeCell ref="L216:M216"/>
    <mergeCell ref="N216:O216"/>
    <mergeCell ref="H217:I217"/>
    <mergeCell ref="H210:I210"/>
    <mergeCell ref="J210:K210"/>
    <mergeCell ref="L210:M210"/>
    <mergeCell ref="N210:O210"/>
    <mergeCell ref="H211:I211"/>
    <mergeCell ref="J211:K211"/>
    <mergeCell ref="L211:M211"/>
    <mergeCell ref="N211:O211"/>
    <mergeCell ref="N202:O202"/>
    <mergeCell ref="N203:O203"/>
    <mergeCell ref="N204:O204"/>
    <mergeCell ref="L208:M208"/>
    <mergeCell ref="L202:M202"/>
    <mergeCell ref="J208:K208"/>
    <mergeCell ref="H208:I208"/>
    <mergeCell ref="H204:I204"/>
    <mergeCell ref="H205:I205"/>
    <mergeCell ref="H201:I201"/>
    <mergeCell ref="J201:K201"/>
    <mergeCell ref="H202:I202"/>
    <mergeCell ref="H203:I203"/>
    <mergeCell ref="L201:M201"/>
    <mergeCell ref="J202:K202"/>
    <mergeCell ref="C20:D20"/>
    <mergeCell ref="C21:D21"/>
    <mergeCell ref="C22:D22"/>
    <mergeCell ref="C23:D23"/>
    <mergeCell ref="C24:D24"/>
    <mergeCell ref="C25:D25"/>
    <mergeCell ref="C123:D123"/>
    <mergeCell ref="C124:D124"/>
    <mergeCell ref="C125:D125"/>
    <mergeCell ref="C126:D126"/>
    <mergeCell ref="C127:D127"/>
    <mergeCell ref="C128:D128"/>
    <mergeCell ref="H190:I190"/>
    <mergeCell ref="H191:I191"/>
    <mergeCell ref="H192:I192"/>
    <mergeCell ref="H193:I193"/>
    <mergeCell ref="H194:I194"/>
    <mergeCell ref="H195:I195"/>
    <mergeCell ref="L197:M197"/>
    <mergeCell ref="L198:M198"/>
    <mergeCell ref="L199:M199"/>
    <mergeCell ref="L200:M200"/>
    <mergeCell ref="J195:K195"/>
    <mergeCell ref="J196:K196"/>
    <mergeCell ref="L207:M207"/>
    <mergeCell ref="J203:K203"/>
    <mergeCell ref="J204:K204"/>
    <mergeCell ref="N205:O205"/>
    <mergeCell ref="N206:O206"/>
    <mergeCell ref="N195:O195"/>
    <mergeCell ref="N196:O196"/>
    <mergeCell ref="N197:O197"/>
    <mergeCell ref="N198:O198"/>
    <mergeCell ref="N199:O199"/>
    <mergeCell ref="J190:K190"/>
    <mergeCell ref="J191:K191"/>
    <mergeCell ref="J192:K192"/>
    <mergeCell ref="J199:K199"/>
    <mergeCell ref="J200:K200"/>
    <mergeCell ref="J193:K193"/>
    <mergeCell ref="J194:K194"/>
    <mergeCell ref="N191:O191"/>
    <mergeCell ref="AL4:AO4"/>
    <mergeCell ref="C7:D7"/>
    <mergeCell ref="C6:D6"/>
    <mergeCell ref="U4:U5"/>
    <mergeCell ref="V4:Y4"/>
    <mergeCell ref="A4:A5"/>
    <mergeCell ref="B4:B5"/>
    <mergeCell ref="C4:D5"/>
    <mergeCell ref="E4:E5"/>
    <mergeCell ref="F4:F5"/>
    <mergeCell ref="G4:J4"/>
    <mergeCell ref="AP4:AS4"/>
    <mergeCell ref="G3:M3"/>
    <mergeCell ref="O3:Q3"/>
    <mergeCell ref="L174:M174"/>
    <mergeCell ref="N174:O174"/>
    <mergeCell ref="H175:I175"/>
    <mergeCell ref="J175:K175"/>
    <mergeCell ref="L175:M175"/>
    <mergeCell ref="N175:O175"/>
    <mergeCell ref="H172:I172"/>
    <mergeCell ref="J172:K172"/>
    <mergeCell ref="L172:M172"/>
    <mergeCell ref="N172:O172"/>
    <mergeCell ref="H173:I173"/>
    <mergeCell ref="J173:K173"/>
    <mergeCell ref="L173:M173"/>
    <mergeCell ref="N173:O173"/>
    <mergeCell ref="R163:W163"/>
    <mergeCell ref="C30:D30"/>
    <mergeCell ref="C33:D33"/>
    <mergeCell ref="C34:D34"/>
    <mergeCell ref="C35:D35"/>
    <mergeCell ref="C36:D36"/>
    <mergeCell ref="C37:D37"/>
    <mergeCell ref="C38:D38"/>
    <mergeCell ref="C8:D8"/>
    <mergeCell ref="K4:N4"/>
    <mergeCell ref="O4:R4"/>
    <mergeCell ref="S4:S5"/>
    <mergeCell ref="T4:T5"/>
    <mergeCell ref="Z4:AC4"/>
    <mergeCell ref="AD4:AG4"/>
    <mergeCell ref="AH4:AK4"/>
    <mergeCell ref="C48:D48"/>
    <mergeCell ref="N188:O188"/>
    <mergeCell ref="N184:O184"/>
    <mergeCell ref="C26:D26"/>
    <mergeCell ref="C27:D27"/>
    <mergeCell ref="C28:D28"/>
    <mergeCell ref="C29:D29"/>
    <mergeCell ref="C9:D9"/>
    <mergeCell ref="C10:D10"/>
    <mergeCell ref="C11:D11"/>
    <mergeCell ref="C12:D12"/>
    <mergeCell ref="C13:D13"/>
    <mergeCell ref="C14:D14"/>
    <mergeCell ref="C15:D15"/>
    <mergeCell ref="C16:D16"/>
    <mergeCell ref="C17:D17"/>
    <mergeCell ref="C18:D18"/>
    <mergeCell ref="C19:D19"/>
    <mergeCell ref="C31:D31"/>
    <mergeCell ref="C32:D32"/>
    <mergeCell ref="C51:D51"/>
    <mergeCell ref="C52:D52"/>
    <mergeCell ref="C53:D53"/>
    <mergeCell ref="C54:D54"/>
    <mergeCell ref="C55:D55"/>
    <mergeCell ref="C56:D56"/>
    <mergeCell ref="C39:D39"/>
    <mergeCell ref="C40:D40"/>
    <mergeCell ref="C41:D41"/>
    <mergeCell ref="C42:D42"/>
    <mergeCell ref="C43:D43"/>
    <mergeCell ref="C44:D44"/>
    <mergeCell ref="C45:D45"/>
    <mergeCell ref="C46:D46"/>
    <mergeCell ref="C47:D47"/>
    <mergeCell ref="C66:D66"/>
    <mergeCell ref="C67:D67"/>
    <mergeCell ref="C49:D49"/>
    <mergeCell ref="C50:D50"/>
    <mergeCell ref="C68:D68"/>
    <mergeCell ref="C69:D69"/>
    <mergeCell ref="C70:D70"/>
    <mergeCell ref="C71:D71"/>
    <mergeCell ref="C72:D72"/>
    <mergeCell ref="C73:D73"/>
    <mergeCell ref="C74:D74"/>
    <mergeCell ref="C57:D57"/>
    <mergeCell ref="C58:D58"/>
    <mergeCell ref="C59:D59"/>
    <mergeCell ref="C60:D60"/>
    <mergeCell ref="C61:D61"/>
    <mergeCell ref="C62:D62"/>
    <mergeCell ref="C63:D63"/>
    <mergeCell ref="C64:D64"/>
    <mergeCell ref="C65:D65"/>
    <mergeCell ref="C84:D84"/>
    <mergeCell ref="C85:D85"/>
    <mergeCell ref="C86:D86"/>
    <mergeCell ref="C87:D87"/>
    <mergeCell ref="C88:D88"/>
    <mergeCell ref="C89:D89"/>
    <mergeCell ref="C90:D90"/>
    <mergeCell ref="C91:D91"/>
    <mergeCell ref="C92:D92"/>
    <mergeCell ref="C75:D75"/>
    <mergeCell ref="C76:D76"/>
    <mergeCell ref="C77:D77"/>
    <mergeCell ref="C78:D78"/>
    <mergeCell ref="C79:D79"/>
    <mergeCell ref="C80:D80"/>
    <mergeCell ref="C81:D81"/>
    <mergeCell ref="C82:D82"/>
    <mergeCell ref="C83:D83"/>
    <mergeCell ref="C102:D102"/>
    <mergeCell ref="C103:D103"/>
    <mergeCell ref="C104:D104"/>
    <mergeCell ref="C105:D105"/>
    <mergeCell ref="C106:D106"/>
    <mergeCell ref="C107:D107"/>
    <mergeCell ref="C108:D108"/>
    <mergeCell ref="C109:D109"/>
    <mergeCell ref="C110:D110"/>
    <mergeCell ref="C93:D93"/>
    <mergeCell ref="C94:D94"/>
    <mergeCell ref="C95:D95"/>
    <mergeCell ref="C96:D96"/>
    <mergeCell ref="C97:D97"/>
    <mergeCell ref="C98:D98"/>
    <mergeCell ref="C99:D99"/>
    <mergeCell ref="C100:D100"/>
    <mergeCell ref="C101:D101"/>
    <mergeCell ref="C119:D119"/>
    <mergeCell ref="C111:D111"/>
    <mergeCell ref="C113:D113"/>
    <mergeCell ref="C115:D115"/>
    <mergeCell ref="C116:D116"/>
    <mergeCell ref="N165:O165"/>
    <mergeCell ref="C134:D134"/>
    <mergeCell ref="C136:D136"/>
    <mergeCell ref="C135:D135"/>
    <mergeCell ref="C117:D117"/>
    <mergeCell ref="C118:D118"/>
    <mergeCell ref="C112:D112"/>
    <mergeCell ref="C114:D114"/>
    <mergeCell ref="C120:D120"/>
    <mergeCell ref="C121:D121"/>
    <mergeCell ref="C122:D122"/>
    <mergeCell ref="C129:D129"/>
    <mergeCell ref="C130:D130"/>
    <mergeCell ref="C138:D138"/>
    <mergeCell ref="C140:D140"/>
    <mergeCell ref="C137:D137"/>
    <mergeCell ref="C131:D131"/>
    <mergeCell ref="C132:D132"/>
    <mergeCell ref="H165:I165"/>
    <mergeCell ref="C146:D146"/>
    <mergeCell ref="C147:D147"/>
    <mergeCell ref="J165:K165"/>
    <mergeCell ref="L165:M165"/>
    <mergeCell ref="C133:D133"/>
    <mergeCell ref="C152:D152"/>
    <mergeCell ref="C153:D153"/>
    <mergeCell ref="C154:D154"/>
    <mergeCell ref="C139:D139"/>
    <mergeCell ref="C141:D141"/>
    <mergeCell ref="C143:D143"/>
    <mergeCell ref="C142:D142"/>
    <mergeCell ref="C144:D144"/>
    <mergeCell ref="C145:D145"/>
    <mergeCell ref="H178:I178"/>
    <mergeCell ref="J178:K178"/>
    <mergeCell ref="L178:M178"/>
    <mergeCell ref="H177:I177"/>
    <mergeCell ref="J177:K177"/>
    <mergeCell ref="L177:M177"/>
    <mergeCell ref="J174:K174"/>
    <mergeCell ref="C150:D150"/>
    <mergeCell ref="C151:D151"/>
    <mergeCell ref="C149:D149"/>
    <mergeCell ref="C148:D148"/>
    <mergeCell ref="C156:D156"/>
    <mergeCell ref="C155:D155"/>
    <mergeCell ref="C157:D157"/>
    <mergeCell ref="C158:D158"/>
    <mergeCell ref="H167:I167"/>
    <mergeCell ref="N176:O176"/>
    <mergeCell ref="H200:I200"/>
    <mergeCell ref="J181:K181"/>
    <mergeCell ref="L181:M181"/>
    <mergeCell ref="N181:O181"/>
    <mergeCell ref="H184:I184"/>
    <mergeCell ref="H185:I185"/>
    <mergeCell ref="H186:I186"/>
    <mergeCell ref="H187:I187"/>
    <mergeCell ref="H188:I188"/>
    <mergeCell ref="H189:I189"/>
    <mergeCell ref="H182:I182"/>
    <mergeCell ref="J182:K182"/>
    <mergeCell ref="L182:M182"/>
    <mergeCell ref="J188:K188"/>
    <mergeCell ref="J189:K189"/>
    <mergeCell ref="L184:M184"/>
    <mergeCell ref="L185:M185"/>
    <mergeCell ref="L186:M186"/>
    <mergeCell ref="L187:M187"/>
    <mergeCell ref="L188:M188"/>
    <mergeCell ref="L189:M189"/>
    <mergeCell ref="J184:K184"/>
    <mergeCell ref="J185:K185"/>
    <mergeCell ref="J186:K186"/>
    <mergeCell ref="J187:K187"/>
    <mergeCell ref="N185:O185"/>
    <mergeCell ref="N186:O186"/>
    <mergeCell ref="N187:O187"/>
    <mergeCell ref="N200:O200"/>
    <mergeCell ref="N189:O189"/>
    <mergeCell ref="N190:O190"/>
    <mergeCell ref="J180:K180"/>
    <mergeCell ref="L180:M180"/>
    <mergeCell ref="N180:O180"/>
    <mergeCell ref="H181:I181"/>
    <mergeCell ref="J167:K167"/>
    <mergeCell ref="L167:M167"/>
    <mergeCell ref="H196:I196"/>
    <mergeCell ref="H197:I197"/>
    <mergeCell ref="H198:I198"/>
    <mergeCell ref="H199:I199"/>
    <mergeCell ref="N192:O192"/>
    <mergeCell ref="N193:O193"/>
    <mergeCell ref="N194:O194"/>
    <mergeCell ref="L196:M196"/>
    <mergeCell ref="L190:M190"/>
    <mergeCell ref="L191:M191"/>
    <mergeCell ref="L192:M192"/>
    <mergeCell ref="L193:M193"/>
    <mergeCell ref="L194:M194"/>
    <mergeCell ref="L195:M195"/>
    <mergeCell ref="N167:O167"/>
    <mergeCell ref="H174:I174"/>
    <mergeCell ref="H179:I179"/>
    <mergeCell ref="J179:K179"/>
    <mergeCell ref="L179:M179"/>
    <mergeCell ref="J197:K197"/>
    <mergeCell ref="J198:K198"/>
    <mergeCell ref="N179:O179"/>
    <mergeCell ref="H176:I176"/>
    <mergeCell ref="J176:K176"/>
    <mergeCell ref="L176:M176"/>
    <mergeCell ref="N177:O177"/>
    <mergeCell ref="N166:O166"/>
    <mergeCell ref="H170:I170"/>
    <mergeCell ref="J170:K170"/>
    <mergeCell ref="L170:M170"/>
    <mergeCell ref="L171:M171"/>
    <mergeCell ref="N171:O171"/>
    <mergeCell ref="H168:I168"/>
    <mergeCell ref="J168:K168"/>
    <mergeCell ref="L168:M168"/>
    <mergeCell ref="N168:O168"/>
    <mergeCell ref="H169:I169"/>
    <mergeCell ref="J169:K169"/>
    <mergeCell ref="L169:M169"/>
    <mergeCell ref="N169:O169"/>
    <mergeCell ref="N170:O170"/>
    <mergeCell ref="H171:I171"/>
    <mergeCell ref="J171:K171"/>
    <mergeCell ref="H166:I166"/>
    <mergeCell ref="J166:K166"/>
    <mergeCell ref="L166:M166"/>
    <mergeCell ref="H183:I183"/>
    <mergeCell ref="J183:K183"/>
    <mergeCell ref="L183:M183"/>
    <mergeCell ref="N183:O183"/>
    <mergeCell ref="H180:I180"/>
    <mergeCell ref="FS224:FT224"/>
    <mergeCell ref="GJ224:GK224"/>
    <mergeCell ref="GL224:GM224"/>
    <mergeCell ref="GN224:GO224"/>
    <mergeCell ref="GP224:GQ224"/>
    <mergeCell ref="HG224:HH224"/>
    <mergeCell ref="HI224:HJ224"/>
    <mergeCell ref="HK224:HL224"/>
    <mergeCell ref="HM224:HN224"/>
    <mergeCell ref="DW224:DX224"/>
    <mergeCell ref="DY224:DZ224"/>
    <mergeCell ref="EP224:EQ224"/>
    <mergeCell ref="ER224:ES224"/>
    <mergeCell ref="ET224:EU224"/>
    <mergeCell ref="EV224:EW224"/>
    <mergeCell ref="FM224:FN224"/>
    <mergeCell ref="FO224:FP224"/>
    <mergeCell ref="FQ224:FR224"/>
    <mergeCell ref="DB224:DC224"/>
    <mergeCell ref="DS224:DT224"/>
    <mergeCell ref="DU224:DV224"/>
    <mergeCell ref="AE224:AF224"/>
    <mergeCell ref="AG224:AH224"/>
    <mergeCell ref="AI224:AJ224"/>
    <mergeCell ref="AK224:AL224"/>
    <mergeCell ref="BB224:BC224"/>
    <mergeCell ref="BD224:BE224"/>
    <mergeCell ref="N178:O178"/>
    <mergeCell ref="CA224:CB224"/>
    <mergeCell ref="CC224:CD224"/>
    <mergeCell ref="CE224:CF224"/>
    <mergeCell ref="CV224:CW224"/>
    <mergeCell ref="CX224:CY224"/>
    <mergeCell ref="CZ224:DA224"/>
    <mergeCell ref="JZ224:KA224"/>
    <mergeCell ref="KB224:KC224"/>
    <mergeCell ref="KD224:KE224"/>
    <mergeCell ref="KU224:KV224"/>
    <mergeCell ref="KW224:KX224"/>
    <mergeCell ref="KY224:KZ224"/>
    <mergeCell ref="LA224:LB224"/>
    <mergeCell ref="LR224:LS224"/>
    <mergeCell ref="LT224:LU224"/>
    <mergeCell ref="ID224:IE224"/>
    <mergeCell ref="IF224:IG224"/>
    <mergeCell ref="IH224:II224"/>
    <mergeCell ref="IJ224:IK224"/>
    <mergeCell ref="JA224:JB224"/>
    <mergeCell ref="JC224:JD224"/>
    <mergeCell ref="JE224:JF224"/>
    <mergeCell ref="JG224:JH224"/>
    <mergeCell ref="JX224:JY224"/>
    <mergeCell ref="N182:O182"/>
    <mergeCell ref="BF224:BG224"/>
    <mergeCell ref="BH224:BI224"/>
    <mergeCell ref="BY224:BZ224"/>
    <mergeCell ref="N201:O201"/>
    <mergeCell ref="NR224:NS224"/>
    <mergeCell ref="OI224:OJ224"/>
    <mergeCell ref="OK224:OL224"/>
    <mergeCell ref="OM224:ON224"/>
    <mergeCell ref="OO224:OP224"/>
    <mergeCell ref="PF224:PG224"/>
    <mergeCell ref="PH224:PI224"/>
    <mergeCell ref="PJ224:PK224"/>
    <mergeCell ref="PL224:PM224"/>
    <mergeCell ref="LV224:LW224"/>
    <mergeCell ref="LX224:LY224"/>
    <mergeCell ref="MO224:MP224"/>
    <mergeCell ref="MQ224:MR224"/>
    <mergeCell ref="MS224:MT224"/>
    <mergeCell ref="MU224:MV224"/>
    <mergeCell ref="NL224:NM224"/>
    <mergeCell ref="NN224:NO224"/>
    <mergeCell ref="NP224:NQ224"/>
    <mergeCell ref="RY224:RZ224"/>
    <mergeCell ref="SA224:SB224"/>
    <mergeCell ref="SC224:SD224"/>
    <mergeCell ref="ST224:SU224"/>
    <mergeCell ref="SV224:SW224"/>
    <mergeCell ref="SX224:SY224"/>
    <mergeCell ref="SZ224:TA224"/>
    <mergeCell ref="TQ224:TR224"/>
    <mergeCell ref="TS224:TT224"/>
    <mergeCell ref="QC224:QD224"/>
    <mergeCell ref="QE224:QF224"/>
    <mergeCell ref="QG224:QH224"/>
    <mergeCell ref="QI224:QJ224"/>
    <mergeCell ref="QZ224:RA224"/>
    <mergeCell ref="RB224:RC224"/>
    <mergeCell ref="RD224:RE224"/>
    <mergeCell ref="RF224:RG224"/>
    <mergeCell ref="RW224:RX224"/>
    <mergeCell ref="VQ224:VR224"/>
    <mergeCell ref="WH224:WI224"/>
    <mergeCell ref="WJ224:WK224"/>
    <mergeCell ref="WL224:WM224"/>
    <mergeCell ref="WN224:WO224"/>
    <mergeCell ref="XE224:XF224"/>
    <mergeCell ref="XG224:XH224"/>
    <mergeCell ref="XI224:XJ224"/>
    <mergeCell ref="XK224:XL224"/>
    <mergeCell ref="TU224:TV224"/>
    <mergeCell ref="TW224:TX224"/>
    <mergeCell ref="UN224:UO224"/>
    <mergeCell ref="UP224:UQ224"/>
    <mergeCell ref="UR224:US224"/>
    <mergeCell ref="UT224:UU224"/>
    <mergeCell ref="VK224:VL224"/>
    <mergeCell ref="VM224:VN224"/>
    <mergeCell ref="VO224:VP224"/>
    <mergeCell ref="ZX224:ZY224"/>
    <mergeCell ref="ZZ224:AAA224"/>
    <mergeCell ref="AAB224:AAC224"/>
    <mergeCell ref="AAS224:AAT224"/>
    <mergeCell ref="AAU224:AAV224"/>
    <mergeCell ref="AAW224:AAX224"/>
    <mergeCell ref="AAY224:AAZ224"/>
    <mergeCell ref="ABP224:ABQ224"/>
    <mergeCell ref="ABR224:ABS224"/>
    <mergeCell ref="YB224:YC224"/>
    <mergeCell ref="YD224:YE224"/>
    <mergeCell ref="YF224:YG224"/>
    <mergeCell ref="YH224:YI224"/>
    <mergeCell ref="YY224:YZ224"/>
    <mergeCell ref="ZA224:ZB224"/>
    <mergeCell ref="ZC224:ZD224"/>
    <mergeCell ref="ZE224:ZF224"/>
    <mergeCell ref="ZV224:ZW224"/>
    <mergeCell ref="ADP224:ADQ224"/>
    <mergeCell ref="AEG224:AEH224"/>
    <mergeCell ref="AEI224:AEJ224"/>
    <mergeCell ref="AEK224:AEL224"/>
    <mergeCell ref="AEM224:AEN224"/>
    <mergeCell ref="AFD224:AFE224"/>
    <mergeCell ref="AFF224:AFG224"/>
    <mergeCell ref="AFH224:AFI224"/>
    <mergeCell ref="AFJ224:AFK224"/>
    <mergeCell ref="ABT224:ABU224"/>
    <mergeCell ref="ABV224:ABW224"/>
    <mergeCell ref="ACM224:ACN224"/>
    <mergeCell ref="ACO224:ACP224"/>
    <mergeCell ref="ACQ224:ACR224"/>
    <mergeCell ref="ACS224:ACT224"/>
    <mergeCell ref="ADJ224:ADK224"/>
    <mergeCell ref="ADL224:ADM224"/>
    <mergeCell ref="ADN224:ADO224"/>
    <mergeCell ref="AHW224:AHX224"/>
    <mergeCell ref="AHY224:AHZ224"/>
    <mergeCell ref="AIA224:AIB224"/>
    <mergeCell ref="AIR224:AIS224"/>
    <mergeCell ref="AIT224:AIU224"/>
    <mergeCell ref="AIV224:AIW224"/>
    <mergeCell ref="AIX224:AIY224"/>
    <mergeCell ref="AJO224:AJP224"/>
    <mergeCell ref="AJQ224:AJR224"/>
    <mergeCell ref="AGA224:AGB224"/>
    <mergeCell ref="AGC224:AGD224"/>
    <mergeCell ref="AGE224:AGF224"/>
    <mergeCell ref="AGG224:AGH224"/>
    <mergeCell ref="AGX224:AGY224"/>
    <mergeCell ref="AGZ224:AHA224"/>
    <mergeCell ref="AHB224:AHC224"/>
    <mergeCell ref="AHD224:AHE224"/>
    <mergeCell ref="AHU224:AHV224"/>
    <mergeCell ref="ALO224:ALP224"/>
    <mergeCell ref="AMF224:AMG224"/>
    <mergeCell ref="AMH224:AMI224"/>
    <mergeCell ref="AMJ224:AMK224"/>
    <mergeCell ref="AML224:AMM224"/>
    <mergeCell ref="ANC224:AND224"/>
    <mergeCell ref="ANE224:ANF224"/>
    <mergeCell ref="ANG224:ANH224"/>
    <mergeCell ref="ANI224:ANJ224"/>
    <mergeCell ref="AJS224:AJT224"/>
    <mergeCell ref="AJU224:AJV224"/>
    <mergeCell ref="AKL224:AKM224"/>
    <mergeCell ref="AKN224:AKO224"/>
    <mergeCell ref="AKP224:AKQ224"/>
    <mergeCell ref="AKR224:AKS224"/>
    <mergeCell ref="ALI224:ALJ224"/>
    <mergeCell ref="ALK224:ALL224"/>
    <mergeCell ref="ALM224:ALN224"/>
    <mergeCell ref="APV224:APW224"/>
    <mergeCell ref="APX224:APY224"/>
    <mergeCell ref="APZ224:AQA224"/>
    <mergeCell ref="AQQ224:AQR224"/>
    <mergeCell ref="AQS224:AQT224"/>
    <mergeCell ref="AQU224:AQV224"/>
    <mergeCell ref="AQW224:AQX224"/>
    <mergeCell ref="ARN224:ARO224"/>
    <mergeCell ref="ARP224:ARQ224"/>
    <mergeCell ref="ANZ224:AOA224"/>
    <mergeCell ref="AOB224:AOC224"/>
    <mergeCell ref="AOD224:AOE224"/>
    <mergeCell ref="AOF224:AOG224"/>
    <mergeCell ref="AOW224:AOX224"/>
    <mergeCell ref="AOY224:AOZ224"/>
    <mergeCell ref="APA224:APB224"/>
    <mergeCell ref="APC224:APD224"/>
    <mergeCell ref="APT224:APU224"/>
    <mergeCell ref="ATN224:ATO224"/>
    <mergeCell ref="AUE224:AUF224"/>
    <mergeCell ref="AUG224:AUH224"/>
    <mergeCell ref="AUI224:AUJ224"/>
    <mergeCell ref="AUK224:AUL224"/>
    <mergeCell ref="AVB224:AVC224"/>
    <mergeCell ref="AVD224:AVE224"/>
    <mergeCell ref="AVF224:AVG224"/>
    <mergeCell ref="AVH224:AVI224"/>
    <mergeCell ref="ARR224:ARS224"/>
    <mergeCell ref="ART224:ARU224"/>
    <mergeCell ref="ASK224:ASL224"/>
    <mergeCell ref="ASM224:ASN224"/>
    <mergeCell ref="ASO224:ASP224"/>
    <mergeCell ref="ASQ224:ASR224"/>
    <mergeCell ref="ATH224:ATI224"/>
    <mergeCell ref="ATJ224:ATK224"/>
    <mergeCell ref="ATL224:ATM224"/>
    <mergeCell ref="AXU224:AXV224"/>
    <mergeCell ref="AXW224:AXX224"/>
    <mergeCell ref="AXY224:AXZ224"/>
    <mergeCell ref="AYP224:AYQ224"/>
    <mergeCell ref="AYR224:AYS224"/>
    <mergeCell ref="AYT224:AYU224"/>
    <mergeCell ref="AYV224:AYW224"/>
    <mergeCell ref="AZM224:AZN224"/>
    <mergeCell ref="AZO224:AZP224"/>
    <mergeCell ref="AVY224:AVZ224"/>
    <mergeCell ref="AWA224:AWB224"/>
    <mergeCell ref="AWC224:AWD224"/>
    <mergeCell ref="AWE224:AWF224"/>
    <mergeCell ref="AWV224:AWW224"/>
    <mergeCell ref="AWX224:AWY224"/>
    <mergeCell ref="AWZ224:AXA224"/>
    <mergeCell ref="AXB224:AXC224"/>
    <mergeCell ref="AXS224:AXT224"/>
    <mergeCell ref="BBM224:BBN224"/>
    <mergeCell ref="BCD224:BCE224"/>
    <mergeCell ref="BCF224:BCG224"/>
    <mergeCell ref="BCH224:BCI224"/>
    <mergeCell ref="BCJ224:BCK224"/>
    <mergeCell ref="BDA224:BDB224"/>
    <mergeCell ref="BDC224:BDD224"/>
    <mergeCell ref="BDE224:BDF224"/>
    <mergeCell ref="BDG224:BDH224"/>
    <mergeCell ref="AZQ224:AZR224"/>
    <mergeCell ref="AZS224:AZT224"/>
    <mergeCell ref="BAJ224:BAK224"/>
    <mergeCell ref="BAL224:BAM224"/>
    <mergeCell ref="BAN224:BAO224"/>
    <mergeCell ref="BAP224:BAQ224"/>
    <mergeCell ref="BBG224:BBH224"/>
    <mergeCell ref="BBI224:BBJ224"/>
    <mergeCell ref="BBK224:BBL224"/>
    <mergeCell ref="BFT224:BFU224"/>
    <mergeCell ref="BFV224:BFW224"/>
    <mergeCell ref="BFX224:BFY224"/>
    <mergeCell ref="BGO224:BGP224"/>
    <mergeCell ref="BGQ224:BGR224"/>
    <mergeCell ref="BGS224:BGT224"/>
    <mergeCell ref="BGU224:BGV224"/>
    <mergeCell ref="BHL224:BHM224"/>
    <mergeCell ref="BHN224:BHO224"/>
    <mergeCell ref="BDX224:BDY224"/>
    <mergeCell ref="BDZ224:BEA224"/>
    <mergeCell ref="BEB224:BEC224"/>
    <mergeCell ref="BED224:BEE224"/>
    <mergeCell ref="BEU224:BEV224"/>
    <mergeCell ref="BEW224:BEX224"/>
    <mergeCell ref="BEY224:BEZ224"/>
    <mergeCell ref="BFA224:BFB224"/>
    <mergeCell ref="BFR224:BFS224"/>
    <mergeCell ref="BJL224:BJM224"/>
    <mergeCell ref="BKC224:BKD224"/>
    <mergeCell ref="BKE224:BKF224"/>
    <mergeCell ref="BKG224:BKH224"/>
    <mergeCell ref="BKI224:BKJ224"/>
    <mergeCell ref="BKZ224:BLA224"/>
    <mergeCell ref="BLB224:BLC224"/>
    <mergeCell ref="BLD224:BLE224"/>
    <mergeCell ref="BLF224:BLG224"/>
    <mergeCell ref="BHP224:BHQ224"/>
    <mergeCell ref="BHR224:BHS224"/>
    <mergeCell ref="BII224:BIJ224"/>
    <mergeCell ref="BIK224:BIL224"/>
    <mergeCell ref="BIM224:BIN224"/>
    <mergeCell ref="BIO224:BIP224"/>
    <mergeCell ref="BJF224:BJG224"/>
    <mergeCell ref="BJH224:BJI224"/>
    <mergeCell ref="BJJ224:BJK224"/>
    <mergeCell ref="BNS224:BNT224"/>
    <mergeCell ref="BNU224:BNV224"/>
    <mergeCell ref="BNW224:BNX224"/>
    <mergeCell ref="BON224:BOO224"/>
    <mergeCell ref="BOP224:BOQ224"/>
    <mergeCell ref="BOR224:BOS224"/>
    <mergeCell ref="BOT224:BOU224"/>
    <mergeCell ref="BPK224:BPL224"/>
    <mergeCell ref="BPM224:BPN224"/>
    <mergeCell ref="BLW224:BLX224"/>
    <mergeCell ref="BLY224:BLZ224"/>
    <mergeCell ref="BMA224:BMB224"/>
    <mergeCell ref="BMC224:BMD224"/>
    <mergeCell ref="BMT224:BMU224"/>
    <mergeCell ref="BMV224:BMW224"/>
    <mergeCell ref="BMX224:BMY224"/>
    <mergeCell ref="BMZ224:BNA224"/>
    <mergeCell ref="BNQ224:BNR224"/>
    <mergeCell ref="BRK224:BRL224"/>
    <mergeCell ref="BSB224:BSC224"/>
    <mergeCell ref="BSD224:BSE224"/>
    <mergeCell ref="BSF224:BSG224"/>
    <mergeCell ref="BSH224:BSI224"/>
    <mergeCell ref="BSY224:BSZ224"/>
    <mergeCell ref="BTA224:BTB224"/>
    <mergeCell ref="BTC224:BTD224"/>
    <mergeCell ref="BTE224:BTF224"/>
    <mergeCell ref="BPO224:BPP224"/>
    <mergeCell ref="BPQ224:BPR224"/>
    <mergeCell ref="BQH224:BQI224"/>
    <mergeCell ref="BQJ224:BQK224"/>
    <mergeCell ref="BQL224:BQM224"/>
    <mergeCell ref="BQN224:BQO224"/>
    <mergeCell ref="BRE224:BRF224"/>
    <mergeCell ref="BRG224:BRH224"/>
    <mergeCell ref="BRI224:BRJ224"/>
    <mergeCell ref="BVR224:BVS224"/>
    <mergeCell ref="BVT224:BVU224"/>
    <mergeCell ref="BVV224:BVW224"/>
    <mergeCell ref="BWM224:BWN224"/>
    <mergeCell ref="BWO224:BWP224"/>
    <mergeCell ref="BWQ224:BWR224"/>
    <mergeCell ref="BWS224:BWT224"/>
    <mergeCell ref="BXJ224:BXK224"/>
    <mergeCell ref="BXL224:BXM224"/>
    <mergeCell ref="BTV224:BTW224"/>
    <mergeCell ref="BTX224:BTY224"/>
    <mergeCell ref="BTZ224:BUA224"/>
    <mergeCell ref="BUB224:BUC224"/>
    <mergeCell ref="BUS224:BUT224"/>
    <mergeCell ref="BUU224:BUV224"/>
    <mergeCell ref="BUW224:BUX224"/>
    <mergeCell ref="BUY224:BUZ224"/>
    <mergeCell ref="BVP224:BVQ224"/>
    <mergeCell ref="BZJ224:BZK224"/>
    <mergeCell ref="CAA224:CAB224"/>
    <mergeCell ref="CAC224:CAD224"/>
    <mergeCell ref="CAE224:CAF224"/>
    <mergeCell ref="CAG224:CAH224"/>
    <mergeCell ref="CAX224:CAY224"/>
    <mergeCell ref="CAZ224:CBA224"/>
    <mergeCell ref="CBB224:CBC224"/>
    <mergeCell ref="CBD224:CBE224"/>
    <mergeCell ref="BXN224:BXO224"/>
    <mergeCell ref="BXP224:BXQ224"/>
    <mergeCell ref="BYG224:BYH224"/>
    <mergeCell ref="BYI224:BYJ224"/>
    <mergeCell ref="BYK224:BYL224"/>
    <mergeCell ref="BYM224:BYN224"/>
    <mergeCell ref="BZD224:BZE224"/>
    <mergeCell ref="BZF224:BZG224"/>
    <mergeCell ref="BZH224:BZI224"/>
    <mergeCell ref="CDQ224:CDR224"/>
    <mergeCell ref="CDS224:CDT224"/>
    <mergeCell ref="CDU224:CDV224"/>
    <mergeCell ref="CEL224:CEM224"/>
    <mergeCell ref="CEN224:CEO224"/>
    <mergeCell ref="CEP224:CEQ224"/>
    <mergeCell ref="CER224:CES224"/>
    <mergeCell ref="CFI224:CFJ224"/>
    <mergeCell ref="CFK224:CFL224"/>
    <mergeCell ref="CBU224:CBV224"/>
    <mergeCell ref="CBW224:CBX224"/>
    <mergeCell ref="CBY224:CBZ224"/>
    <mergeCell ref="CCA224:CCB224"/>
    <mergeCell ref="CCR224:CCS224"/>
    <mergeCell ref="CCT224:CCU224"/>
    <mergeCell ref="CCV224:CCW224"/>
    <mergeCell ref="CCX224:CCY224"/>
    <mergeCell ref="CDO224:CDP224"/>
    <mergeCell ref="CHI224:CHJ224"/>
    <mergeCell ref="CHZ224:CIA224"/>
    <mergeCell ref="CIB224:CIC224"/>
    <mergeCell ref="CID224:CIE224"/>
    <mergeCell ref="CIF224:CIG224"/>
    <mergeCell ref="CIW224:CIX224"/>
    <mergeCell ref="CIY224:CIZ224"/>
    <mergeCell ref="CJA224:CJB224"/>
    <mergeCell ref="CJC224:CJD224"/>
    <mergeCell ref="CFM224:CFN224"/>
    <mergeCell ref="CFO224:CFP224"/>
    <mergeCell ref="CGF224:CGG224"/>
    <mergeCell ref="CGH224:CGI224"/>
    <mergeCell ref="CGJ224:CGK224"/>
    <mergeCell ref="CGL224:CGM224"/>
    <mergeCell ref="CHC224:CHD224"/>
    <mergeCell ref="CHE224:CHF224"/>
    <mergeCell ref="CHG224:CHH224"/>
    <mergeCell ref="CLP224:CLQ224"/>
    <mergeCell ref="CLR224:CLS224"/>
    <mergeCell ref="CLT224:CLU224"/>
    <mergeCell ref="CMK224:CML224"/>
    <mergeCell ref="CMM224:CMN224"/>
    <mergeCell ref="CMO224:CMP224"/>
    <mergeCell ref="CMQ224:CMR224"/>
    <mergeCell ref="CNH224:CNI224"/>
    <mergeCell ref="CNJ224:CNK224"/>
    <mergeCell ref="CJT224:CJU224"/>
    <mergeCell ref="CJV224:CJW224"/>
    <mergeCell ref="CJX224:CJY224"/>
    <mergeCell ref="CJZ224:CKA224"/>
    <mergeCell ref="CKQ224:CKR224"/>
    <mergeCell ref="CKS224:CKT224"/>
    <mergeCell ref="CKU224:CKV224"/>
    <mergeCell ref="CKW224:CKX224"/>
    <mergeCell ref="CLN224:CLO224"/>
    <mergeCell ref="CPH224:CPI224"/>
    <mergeCell ref="CPY224:CPZ224"/>
    <mergeCell ref="CQA224:CQB224"/>
    <mergeCell ref="CQC224:CQD224"/>
    <mergeCell ref="CQE224:CQF224"/>
    <mergeCell ref="CQV224:CQW224"/>
    <mergeCell ref="CQX224:CQY224"/>
    <mergeCell ref="CQZ224:CRA224"/>
    <mergeCell ref="CRB224:CRC224"/>
    <mergeCell ref="CNL224:CNM224"/>
    <mergeCell ref="CNN224:CNO224"/>
    <mergeCell ref="COE224:COF224"/>
    <mergeCell ref="COG224:COH224"/>
    <mergeCell ref="COI224:COJ224"/>
    <mergeCell ref="COK224:COL224"/>
    <mergeCell ref="CPB224:CPC224"/>
    <mergeCell ref="CPD224:CPE224"/>
    <mergeCell ref="CPF224:CPG224"/>
    <mergeCell ref="CTO224:CTP224"/>
    <mergeCell ref="CTQ224:CTR224"/>
    <mergeCell ref="CTS224:CTT224"/>
    <mergeCell ref="CUJ224:CUK224"/>
    <mergeCell ref="CUL224:CUM224"/>
    <mergeCell ref="CUN224:CUO224"/>
    <mergeCell ref="CUP224:CUQ224"/>
    <mergeCell ref="CVG224:CVH224"/>
    <mergeCell ref="CVI224:CVJ224"/>
    <mergeCell ref="CRS224:CRT224"/>
    <mergeCell ref="CRU224:CRV224"/>
    <mergeCell ref="CRW224:CRX224"/>
    <mergeCell ref="CRY224:CRZ224"/>
    <mergeCell ref="CSP224:CSQ224"/>
    <mergeCell ref="CSR224:CSS224"/>
    <mergeCell ref="CST224:CSU224"/>
    <mergeCell ref="CSV224:CSW224"/>
    <mergeCell ref="CTM224:CTN224"/>
    <mergeCell ref="CXG224:CXH224"/>
    <mergeCell ref="CXX224:CXY224"/>
    <mergeCell ref="CXZ224:CYA224"/>
    <mergeCell ref="CYB224:CYC224"/>
    <mergeCell ref="CYD224:CYE224"/>
    <mergeCell ref="CYU224:CYV224"/>
    <mergeCell ref="CYW224:CYX224"/>
    <mergeCell ref="CYY224:CYZ224"/>
    <mergeCell ref="CZA224:CZB224"/>
    <mergeCell ref="CVK224:CVL224"/>
    <mergeCell ref="CVM224:CVN224"/>
    <mergeCell ref="CWD224:CWE224"/>
    <mergeCell ref="CWF224:CWG224"/>
    <mergeCell ref="CWH224:CWI224"/>
    <mergeCell ref="CWJ224:CWK224"/>
    <mergeCell ref="CXA224:CXB224"/>
    <mergeCell ref="CXC224:CXD224"/>
    <mergeCell ref="CXE224:CXF224"/>
    <mergeCell ref="DBN224:DBO224"/>
    <mergeCell ref="DBP224:DBQ224"/>
    <mergeCell ref="DBR224:DBS224"/>
    <mergeCell ref="DCI224:DCJ224"/>
    <mergeCell ref="DCK224:DCL224"/>
    <mergeCell ref="DCM224:DCN224"/>
    <mergeCell ref="DCO224:DCP224"/>
    <mergeCell ref="DDF224:DDG224"/>
    <mergeCell ref="DDH224:DDI224"/>
    <mergeCell ref="CZR224:CZS224"/>
    <mergeCell ref="CZT224:CZU224"/>
    <mergeCell ref="CZV224:CZW224"/>
    <mergeCell ref="CZX224:CZY224"/>
    <mergeCell ref="DAO224:DAP224"/>
    <mergeCell ref="DAQ224:DAR224"/>
    <mergeCell ref="DAS224:DAT224"/>
    <mergeCell ref="DAU224:DAV224"/>
    <mergeCell ref="DBL224:DBM224"/>
    <mergeCell ref="DFF224:DFG224"/>
    <mergeCell ref="DFW224:DFX224"/>
    <mergeCell ref="DFY224:DFZ224"/>
    <mergeCell ref="DGA224:DGB224"/>
    <mergeCell ref="DGC224:DGD224"/>
    <mergeCell ref="DGT224:DGU224"/>
    <mergeCell ref="DGV224:DGW224"/>
    <mergeCell ref="DGX224:DGY224"/>
    <mergeCell ref="DGZ224:DHA224"/>
    <mergeCell ref="DDJ224:DDK224"/>
    <mergeCell ref="DDL224:DDM224"/>
    <mergeCell ref="DEC224:DED224"/>
    <mergeCell ref="DEE224:DEF224"/>
    <mergeCell ref="DEG224:DEH224"/>
    <mergeCell ref="DEI224:DEJ224"/>
    <mergeCell ref="DEZ224:DFA224"/>
    <mergeCell ref="DFB224:DFC224"/>
    <mergeCell ref="DFD224:DFE224"/>
    <mergeCell ref="DJM224:DJN224"/>
    <mergeCell ref="DJO224:DJP224"/>
    <mergeCell ref="DJQ224:DJR224"/>
    <mergeCell ref="DKH224:DKI224"/>
    <mergeCell ref="DKJ224:DKK224"/>
    <mergeCell ref="DKL224:DKM224"/>
    <mergeCell ref="DKN224:DKO224"/>
    <mergeCell ref="DLE224:DLF224"/>
    <mergeCell ref="DLG224:DLH224"/>
    <mergeCell ref="DHQ224:DHR224"/>
    <mergeCell ref="DHS224:DHT224"/>
    <mergeCell ref="DHU224:DHV224"/>
    <mergeCell ref="DHW224:DHX224"/>
    <mergeCell ref="DIN224:DIO224"/>
    <mergeCell ref="DIP224:DIQ224"/>
    <mergeCell ref="DIR224:DIS224"/>
    <mergeCell ref="DIT224:DIU224"/>
    <mergeCell ref="DJK224:DJL224"/>
    <mergeCell ref="DNE224:DNF224"/>
    <mergeCell ref="DNV224:DNW224"/>
    <mergeCell ref="DNX224:DNY224"/>
    <mergeCell ref="DNZ224:DOA224"/>
    <mergeCell ref="DOB224:DOC224"/>
    <mergeCell ref="DOS224:DOT224"/>
    <mergeCell ref="DOU224:DOV224"/>
    <mergeCell ref="DOW224:DOX224"/>
    <mergeCell ref="DOY224:DOZ224"/>
    <mergeCell ref="DLI224:DLJ224"/>
    <mergeCell ref="DLK224:DLL224"/>
    <mergeCell ref="DMB224:DMC224"/>
    <mergeCell ref="DMD224:DME224"/>
    <mergeCell ref="DMF224:DMG224"/>
    <mergeCell ref="DMH224:DMI224"/>
    <mergeCell ref="DMY224:DMZ224"/>
    <mergeCell ref="DNA224:DNB224"/>
    <mergeCell ref="DNC224:DND224"/>
    <mergeCell ref="DRL224:DRM224"/>
    <mergeCell ref="DRN224:DRO224"/>
    <mergeCell ref="DRP224:DRQ224"/>
    <mergeCell ref="DSG224:DSH224"/>
    <mergeCell ref="DSI224:DSJ224"/>
    <mergeCell ref="DSK224:DSL224"/>
    <mergeCell ref="DSM224:DSN224"/>
    <mergeCell ref="DTD224:DTE224"/>
    <mergeCell ref="DTF224:DTG224"/>
    <mergeCell ref="DPP224:DPQ224"/>
    <mergeCell ref="DPR224:DPS224"/>
    <mergeCell ref="DPT224:DPU224"/>
    <mergeCell ref="DPV224:DPW224"/>
    <mergeCell ref="DQM224:DQN224"/>
    <mergeCell ref="DQO224:DQP224"/>
    <mergeCell ref="DQQ224:DQR224"/>
    <mergeCell ref="DQS224:DQT224"/>
    <mergeCell ref="DRJ224:DRK224"/>
    <mergeCell ref="DVD224:DVE224"/>
    <mergeCell ref="DVU224:DVV224"/>
    <mergeCell ref="DVW224:DVX224"/>
    <mergeCell ref="DVY224:DVZ224"/>
    <mergeCell ref="DWA224:DWB224"/>
    <mergeCell ref="DWR224:DWS224"/>
    <mergeCell ref="DWT224:DWU224"/>
    <mergeCell ref="DWV224:DWW224"/>
    <mergeCell ref="DWX224:DWY224"/>
    <mergeCell ref="DTH224:DTI224"/>
    <mergeCell ref="DTJ224:DTK224"/>
    <mergeCell ref="DUA224:DUB224"/>
    <mergeCell ref="DUC224:DUD224"/>
    <mergeCell ref="DUE224:DUF224"/>
    <mergeCell ref="DUG224:DUH224"/>
    <mergeCell ref="DUX224:DUY224"/>
    <mergeCell ref="DUZ224:DVA224"/>
    <mergeCell ref="DVB224:DVC224"/>
    <mergeCell ref="DZK224:DZL224"/>
    <mergeCell ref="DZM224:DZN224"/>
    <mergeCell ref="DZO224:DZP224"/>
    <mergeCell ref="EAF224:EAG224"/>
    <mergeCell ref="EAH224:EAI224"/>
    <mergeCell ref="EAJ224:EAK224"/>
    <mergeCell ref="EAL224:EAM224"/>
    <mergeCell ref="EBC224:EBD224"/>
    <mergeCell ref="EBE224:EBF224"/>
    <mergeCell ref="DXO224:DXP224"/>
    <mergeCell ref="DXQ224:DXR224"/>
    <mergeCell ref="DXS224:DXT224"/>
    <mergeCell ref="DXU224:DXV224"/>
    <mergeCell ref="DYL224:DYM224"/>
    <mergeCell ref="DYN224:DYO224"/>
    <mergeCell ref="DYP224:DYQ224"/>
    <mergeCell ref="DYR224:DYS224"/>
    <mergeCell ref="DZI224:DZJ224"/>
    <mergeCell ref="EDC224:EDD224"/>
    <mergeCell ref="EDT224:EDU224"/>
    <mergeCell ref="EDV224:EDW224"/>
    <mergeCell ref="EDX224:EDY224"/>
    <mergeCell ref="EDZ224:EEA224"/>
    <mergeCell ref="EEQ224:EER224"/>
    <mergeCell ref="EES224:EET224"/>
    <mergeCell ref="EEU224:EEV224"/>
    <mergeCell ref="EEW224:EEX224"/>
    <mergeCell ref="EBG224:EBH224"/>
    <mergeCell ref="EBI224:EBJ224"/>
    <mergeCell ref="EBZ224:ECA224"/>
    <mergeCell ref="ECB224:ECC224"/>
    <mergeCell ref="ECD224:ECE224"/>
    <mergeCell ref="ECF224:ECG224"/>
    <mergeCell ref="ECW224:ECX224"/>
    <mergeCell ref="ECY224:ECZ224"/>
    <mergeCell ref="EDA224:EDB224"/>
    <mergeCell ref="EHJ224:EHK224"/>
    <mergeCell ref="EHL224:EHM224"/>
    <mergeCell ref="EHN224:EHO224"/>
    <mergeCell ref="EIE224:EIF224"/>
    <mergeCell ref="EIG224:EIH224"/>
    <mergeCell ref="EII224:EIJ224"/>
    <mergeCell ref="EIK224:EIL224"/>
    <mergeCell ref="EJB224:EJC224"/>
    <mergeCell ref="EJD224:EJE224"/>
    <mergeCell ref="EFN224:EFO224"/>
    <mergeCell ref="EFP224:EFQ224"/>
    <mergeCell ref="EFR224:EFS224"/>
    <mergeCell ref="EFT224:EFU224"/>
    <mergeCell ref="EGK224:EGL224"/>
    <mergeCell ref="EGM224:EGN224"/>
    <mergeCell ref="EGO224:EGP224"/>
    <mergeCell ref="EGQ224:EGR224"/>
    <mergeCell ref="EHH224:EHI224"/>
    <mergeCell ref="ELB224:ELC224"/>
    <mergeCell ref="ELS224:ELT224"/>
    <mergeCell ref="ELU224:ELV224"/>
    <mergeCell ref="ELW224:ELX224"/>
    <mergeCell ref="ELY224:ELZ224"/>
    <mergeCell ref="EMP224:EMQ224"/>
    <mergeCell ref="EMR224:EMS224"/>
    <mergeCell ref="EMT224:EMU224"/>
    <mergeCell ref="EMV224:EMW224"/>
    <mergeCell ref="EJF224:EJG224"/>
    <mergeCell ref="EJH224:EJI224"/>
    <mergeCell ref="EJY224:EJZ224"/>
    <mergeCell ref="EKA224:EKB224"/>
    <mergeCell ref="EKC224:EKD224"/>
    <mergeCell ref="EKE224:EKF224"/>
    <mergeCell ref="EKV224:EKW224"/>
    <mergeCell ref="EKX224:EKY224"/>
    <mergeCell ref="EKZ224:ELA224"/>
    <mergeCell ref="EPI224:EPJ224"/>
    <mergeCell ref="EPK224:EPL224"/>
    <mergeCell ref="EPM224:EPN224"/>
    <mergeCell ref="EQD224:EQE224"/>
    <mergeCell ref="EQF224:EQG224"/>
    <mergeCell ref="EQH224:EQI224"/>
    <mergeCell ref="EQJ224:EQK224"/>
    <mergeCell ref="ERA224:ERB224"/>
    <mergeCell ref="ERC224:ERD224"/>
    <mergeCell ref="ENM224:ENN224"/>
    <mergeCell ref="ENO224:ENP224"/>
    <mergeCell ref="ENQ224:ENR224"/>
    <mergeCell ref="ENS224:ENT224"/>
    <mergeCell ref="EOJ224:EOK224"/>
    <mergeCell ref="EOL224:EOM224"/>
    <mergeCell ref="EON224:EOO224"/>
    <mergeCell ref="EOP224:EOQ224"/>
    <mergeCell ref="EPG224:EPH224"/>
    <mergeCell ref="ETA224:ETB224"/>
    <mergeCell ref="ETR224:ETS224"/>
    <mergeCell ref="ETT224:ETU224"/>
    <mergeCell ref="ETV224:ETW224"/>
    <mergeCell ref="ETX224:ETY224"/>
    <mergeCell ref="EUO224:EUP224"/>
    <mergeCell ref="EUQ224:EUR224"/>
    <mergeCell ref="EUS224:EUT224"/>
    <mergeCell ref="EUU224:EUV224"/>
    <mergeCell ref="ERE224:ERF224"/>
    <mergeCell ref="ERG224:ERH224"/>
    <mergeCell ref="ERX224:ERY224"/>
    <mergeCell ref="ERZ224:ESA224"/>
    <mergeCell ref="ESB224:ESC224"/>
    <mergeCell ref="ESD224:ESE224"/>
    <mergeCell ref="ESU224:ESV224"/>
    <mergeCell ref="ESW224:ESX224"/>
    <mergeCell ref="ESY224:ESZ224"/>
    <mergeCell ref="EXH224:EXI224"/>
    <mergeCell ref="EXJ224:EXK224"/>
    <mergeCell ref="EXL224:EXM224"/>
    <mergeCell ref="EYC224:EYD224"/>
    <mergeCell ref="EYE224:EYF224"/>
    <mergeCell ref="EYG224:EYH224"/>
    <mergeCell ref="EYI224:EYJ224"/>
    <mergeCell ref="EYZ224:EZA224"/>
    <mergeCell ref="EZB224:EZC224"/>
    <mergeCell ref="EVL224:EVM224"/>
    <mergeCell ref="EVN224:EVO224"/>
    <mergeCell ref="EVP224:EVQ224"/>
    <mergeCell ref="EVR224:EVS224"/>
    <mergeCell ref="EWI224:EWJ224"/>
    <mergeCell ref="EWK224:EWL224"/>
    <mergeCell ref="EWM224:EWN224"/>
    <mergeCell ref="EWO224:EWP224"/>
    <mergeCell ref="EXF224:EXG224"/>
    <mergeCell ref="FAZ224:FBA224"/>
    <mergeCell ref="FBQ224:FBR224"/>
    <mergeCell ref="FBS224:FBT224"/>
    <mergeCell ref="FBU224:FBV224"/>
    <mergeCell ref="FBW224:FBX224"/>
    <mergeCell ref="FCN224:FCO224"/>
    <mergeCell ref="FCP224:FCQ224"/>
    <mergeCell ref="FCR224:FCS224"/>
    <mergeCell ref="FCT224:FCU224"/>
    <mergeCell ref="EZD224:EZE224"/>
    <mergeCell ref="EZF224:EZG224"/>
    <mergeCell ref="EZW224:EZX224"/>
    <mergeCell ref="EZY224:EZZ224"/>
    <mergeCell ref="FAA224:FAB224"/>
    <mergeCell ref="FAC224:FAD224"/>
    <mergeCell ref="FAT224:FAU224"/>
    <mergeCell ref="FAV224:FAW224"/>
    <mergeCell ref="FAX224:FAY224"/>
    <mergeCell ref="FFG224:FFH224"/>
    <mergeCell ref="FFI224:FFJ224"/>
    <mergeCell ref="FFK224:FFL224"/>
    <mergeCell ref="FGB224:FGC224"/>
    <mergeCell ref="FGD224:FGE224"/>
    <mergeCell ref="FGF224:FGG224"/>
    <mergeCell ref="FGH224:FGI224"/>
    <mergeCell ref="FGY224:FGZ224"/>
    <mergeCell ref="FHA224:FHB224"/>
    <mergeCell ref="FDK224:FDL224"/>
    <mergeCell ref="FDM224:FDN224"/>
    <mergeCell ref="FDO224:FDP224"/>
    <mergeCell ref="FDQ224:FDR224"/>
    <mergeCell ref="FEH224:FEI224"/>
    <mergeCell ref="FEJ224:FEK224"/>
    <mergeCell ref="FEL224:FEM224"/>
    <mergeCell ref="FEN224:FEO224"/>
    <mergeCell ref="FFE224:FFF224"/>
    <mergeCell ref="FIY224:FIZ224"/>
    <mergeCell ref="FJP224:FJQ224"/>
    <mergeCell ref="FJR224:FJS224"/>
    <mergeCell ref="FJT224:FJU224"/>
    <mergeCell ref="FJV224:FJW224"/>
    <mergeCell ref="FKM224:FKN224"/>
    <mergeCell ref="FKO224:FKP224"/>
    <mergeCell ref="FKQ224:FKR224"/>
    <mergeCell ref="FKS224:FKT224"/>
    <mergeCell ref="FHC224:FHD224"/>
    <mergeCell ref="FHE224:FHF224"/>
    <mergeCell ref="FHV224:FHW224"/>
    <mergeCell ref="FHX224:FHY224"/>
    <mergeCell ref="FHZ224:FIA224"/>
    <mergeCell ref="FIB224:FIC224"/>
    <mergeCell ref="FIS224:FIT224"/>
    <mergeCell ref="FIU224:FIV224"/>
    <mergeCell ref="FIW224:FIX224"/>
    <mergeCell ref="FNF224:FNG224"/>
    <mergeCell ref="FNH224:FNI224"/>
    <mergeCell ref="FNJ224:FNK224"/>
    <mergeCell ref="FOA224:FOB224"/>
    <mergeCell ref="FOC224:FOD224"/>
    <mergeCell ref="FOE224:FOF224"/>
    <mergeCell ref="FOG224:FOH224"/>
    <mergeCell ref="FOX224:FOY224"/>
    <mergeCell ref="FOZ224:FPA224"/>
    <mergeCell ref="FLJ224:FLK224"/>
    <mergeCell ref="FLL224:FLM224"/>
    <mergeCell ref="FLN224:FLO224"/>
    <mergeCell ref="FLP224:FLQ224"/>
    <mergeCell ref="FMG224:FMH224"/>
    <mergeCell ref="FMI224:FMJ224"/>
    <mergeCell ref="FMK224:FML224"/>
    <mergeCell ref="FMM224:FMN224"/>
    <mergeCell ref="FND224:FNE224"/>
    <mergeCell ref="FQX224:FQY224"/>
    <mergeCell ref="FRO224:FRP224"/>
    <mergeCell ref="FRQ224:FRR224"/>
    <mergeCell ref="FRS224:FRT224"/>
    <mergeCell ref="FRU224:FRV224"/>
    <mergeCell ref="FSL224:FSM224"/>
    <mergeCell ref="FSN224:FSO224"/>
    <mergeCell ref="FSP224:FSQ224"/>
    <mergeCell ref="FSR224:FSS224"/>
    <mergeCell ref="FPB224:FPC224"/>
    <mergeCell ref="FPD224:FPE224"/>
    <mergeCell ref="FPU224:FPV224"/>
    <mergeCell ref="FPW224:FPX224"/>
    <mergeCell ref="FPY224:FPZ224"/>
    <mergeCell ref="FQA224:FQB224"/>
    <mergeCell ref="FQR224:FQS224"/>
    <mergeCell ref="FQT224:FQU224"/>
    <mergeCell ref="FQV224:FQW224"/>
    <mergeCell ref="FVE224:FVF224"/>
    <mergeCell ref="FVG224:FVH224"/>
    <mergeCell ref="FVI224:FVJ224"/>
    <mergeCell ref="FVZ224:FWA224"/>
    <mergeCell ref="FWB224:FWC224"/>
    <mergeCell ref="FWD224:FWE224"/>
    <mergeCell ref="FWF224:FWG224"/>
    <mergeCell ref="FWW224:FWX224"/>
    <mergeCell ref="FWY224:FWZ224"/>
    <mergeCell ref="FTI224:FTJ224"/>
    <mergeCell ref="FTK224:FTL224"/>
    <mergeCell ref="FTM224:FTN224"/>
    <mergeCell ref="FTO224:FTP224"/>
    <mergeCell ref="FUF224:FUG224"/>
    <mergeCell ref="FUH224:FUI224"/>
    <mergeCell ref="FUJ224:FUK224"/>
    <mergeCell ref="FUL224:FUM224"/>
    <mergeCell ref="FVC224:FVD224"/>
    <mergeCell ref="FYW224:FYX224"/>
    <mergeCell ref="FZN224:FZO224"/>
    <mergeCell ref="FZP224:FZQ224"/>
    <mergeCell ref="FZR224:FZS224"/>
    <mergeCell ref="FZT224:FZU224"/>
    <mergeCell ref="GAK224:GAL224"/>
    <mergeCell ref="GAM224:GAN224"/>
    <mergeCell ref="GAO224:GAP224"/>
    <mergeCell ref="GAQ224:GAR224"/>
    <mergeCell ref="FXA224:FXB224"/>
    <mergeCell ref="FXC224:FXD224"/>
    <mergeCell ref="FXT224:FXU224"/>
    <mergeCell ref="FXV224:FXW224"/>
    <mergeCell ref="FXX224:FXY224"/>
    <mergeCell ref="FXZ224:FYA224"/>
    <mergeCell ref="FYQ224:FYR224"/>
    <mergeCell ref="FYS224:FYT224"/>
    <mergeCell ref="FYU224:FYV224"/>
    <mergeCell ref="GDD224:GDE224"/>
    <mergeCell ref="GDF224:GDG224"/>
    <mergeCell ref="GDH224:GDI224"/>
    <mergeCell ref="GDY224:GDZ224"/>
    <mergeCell ref="GEA224:GEB224"/>
    <mergeCell ref="GEC224:GED224"/>
    <mergeCell ref="GEE224:GEF224"/>
    <mergeCell ref="GEV224:GEW224"/>
    <mergeCell ref="GEX224:GEY224"/>
    <mergeCell ref="GBH224:GBI224"/>
    <mergeCell ref="GBJ224:GBK224"/>
    <mergeCell ref="GBL224:GBM224"/>
    <mergeCell ref="GBN224:GBO224"/>
    <mergeCell ref="GCE224:GCF224"/>
    <mergeCell ref="GCG224:GCH224"/>
    <mergeCell ref="GCI224:GCJ224"/>
    <mergeCell ref="GCK224:GCL224"/>
    <mergeCell ref="GDB224:GDC224"/>
    <mergeCell ref="GGV224:GGW224"/>
    <mergeCell ref="GHM224:GHN224"/>
    <mergeCell ref="GHO224:GHP224"/>
    <mergeCell ref="GHQ224:GHR224"/>
    <mergeCell ref="GHS224:GHT224"/>
    <mergeCell ref="GIJ224:GIK224"/>
    <mergeCell ref="GIL224:GIM224"/>
    <mergeCell ref="GIN224:GIO224"/>
    <mergeCell ref="GIP224:GIQ224"/>
    <mergeCell ref="GEZ224:GFA224"/>
    <mergeCell ref="GFB224:GFC224"/>
    <mergeCell ref="GFS224:GFT224"/>
    <mergeCell ref="GFU224:GFV224"/>
    <mergeCell ref="GFW224:GFX224"/>
    <mergeCell ref="GFY224:GFZ224"/>
    <mergeCell ref="GGP224:GGQ224"/>
    <mergeCell ref="GGR224:GGS224"/>
    <mergeCell ref="GGT224:GGU224"/>
    <mergeCell ref="GLC224:GLD224"/>
    <mergeCell ref="GLE224:GLF224"/>
    <mergeCell ref="GLG224:GLH224"/>
    <mergeCell ref="GLX224:GLY224"/>
    <mergeCell ref="GLZ224:GMA224"/>
    <mergeCell ref="GMB224:GMC224"/>
    <mergeCell ref="GMD224:GME224"/>
    <mergeCell ref="GMU224:GMV224"/>
    <mergeCell ref="GMW224:GMX224"/>
    <mergeCell ref="GJG224:GJH224"/>
    <mergeCell ref="GJI224:GJJ224"/>
    <mergeCell ref="GJK224:GJL224"/>
    <mergeCell ref="GJM224:GJN224"/>
    <mergeCell ref="GKD224:GKE224"/>
    <mergeCell ref="GKF224:GKG224"/>
    <mergeCell ref="GKH224:GKI224"/>
    <mergeCell ref="GKJ224:GKK224"/>
    <mergeCell ref="GLA224:GLB224"/>
    <mergeCell ref="GOU224:GOV224"/>
    <mergeCell ref="GPL224:GPM224"/>
    <mergeCell ref="GPN224:GPO224"/>
    <mergeCell ref="GPP224:GPQ224"/>
    <mergeCell ref="GPR224:GPS224"/>
    <mergeCell ref="GQI224:GQJ224"/>
    <mergeCell ref="GQK224:GQL224"/>
    <mergeCell ref="GQM224:GQN224"/>
    <mergeCell ref="GQO224:GQP224"/>
    <mergeCell ref="GMY224:GMZ224"/>
    <mergeCell ref="GNA224:GNB224"/>
    <mergeCell ref="GNR224:GNS224"/>
    <mergeCell ref="GNT224:GNU224"/>
    <mergeCell ref="GNV224:GNW224"/>
    <mergeCell ref="GNX224:GNY224"/>
    <mergeCell ref="GOO224:GOP224"/>
    <mergeCell ref="GOQ224:GOR224"/>
    <mergeCell ref="GOS224:GOT224"/>
    <mergeCell ref="GTB224:GTC224"/>
    <mergeCell ref="GTD224:GTE224"/>
    <mergeCell ref="GTF224:GTG224"/>
    <mergeCell ref="GTW224:GTX224"/>
    <mergeCell ref="GTY224:GTZ224"/>
    <mergeCell ref="GUA224:GUB224"/>
    <mergeCell ref="GUC224:GUD224"/>
    <mergeCell ref="GUT224:GUU224"/>
    <mergeCell ref="GUV224:GUW224"/>
    <mergeCell ref="GRF224:GRG224"/>
    <mergeCell ref="GRH224:GRI224"/>
    <mergeCell ref="GRJ224:GRK224"/>
    <mergeCell ref="GRL224:GRM224"/>
    <mergeCell ref="GSC224:GSD224"/>
    <mergeCell ref="GSE224:GSF224"/>
    <mergeCell ref="GSG224:GSH224"/>
    <mergeCell ref="GSI224:GSJ224"/>
    <mergeCell ref="GSZ224:GTA224"/>
    <mergeCell ref="GWT224:GWU224"/>
    <mergeCell ref="GXK224:GXL224"/>
    <mergeCell ref="GXM224:GXN224"/>
    <mergeCell ref="GXO224:GXP224"/>
    <mergeCell ref="GXQ224:GXR224"/>
    <mergeCell ref="GYH224:GYI224"/>
    <mergeCell ref="GYJ224:GYK224"/>
    <mergeCell ref="GYL224:GYM224"/>
    <mergeCell ref="GYN224:GYO224"/>
    <mergeCell ref="GUX224:GUY224"/>
    <mergeCell ref="GUZ224:GVA224"/>
    <mergeCell ref="GVQ224:GVR224"/>
    <mergeCell ref="GVS224:GVT224"/>
    <mergeCell ref="GVU224:GVV224"/>
    <mergeCell ref="GVW224:GVX224"/>
    <mergeCell ref="GWN224:GWO224"/>
    <mergeCell ref="GWP224:GWQ224"/>
    <mergeCell ref="GWR224:GWS224"/>
    <mergeCell ref="HBA224:HBB224"/>
    <mergeCell ref="HBC224:HBD224"/>
    <mergeCell ref="HBE224:HBF224"/>
    <mergeCell ref="HBV224:HBW224"/>
    <mergeCell ref="HBX224:HBY224"/>
    <mergeCell ref="HBZ224:HCA224"/>
    <mergeCell ref="HCB224:HCC224"/>
    <mergeCell ref="HCS224:HCT224"/>
    <mergeCell ref="HCU224:HCV224"/>
    <mergeCell ref="GZE224:GZF224"/>
    <mergeCell ref="GZG224:GZH224"/>
    <mergeCell ref="GZI224:GZJ224"/>
    <mergeCell ref="GZK224:GZL224"/>
    <mergeCell ref="HAB224:HAC224"/>
    <mergeCell ref="HAD224:HAE224"/>
    <mergeCell ref="HAF224:HAG224"/>
    <mergeCell ref="HAH224:HAI224"/>
    <mergeCell ref="HAY224:HAZ224"/>
    <mergeCell ref="HES224:HET224"/>
    <mergeCell ref="HFJ224:HFK224"/>
    <mergeCell ref="HFL224:HFM224"/>
    <mergeCell ref="HFN224:HFO224"/>
    <mergeCell ref="HFP224:HFQ224"/>
    <mergeCell ref="HGG224:HGH224"/>
    <mergeCell ref="HGI224:HGJ224"/>
    <mergeCell ref="HGK224:HGL224"/>
    <mergeCell ref="HGM224:HGN224"/>
    <mergeCell ref="HCW224:HCX224"/>
    <mergeCell ref="HCY224:HCZ224"/>
    <mergeCell ref="HDP224:HDQ224"/>
    <mergeCell ref="HDR224:HDS224"/>
    <mergeCell ref="HDT224:HDU224"/>
    <mergeCell ref="HDV224:HDW224"/>
    <mergeCell ref="HEM224:HEN224"/>
    <mergeCell ref="HEO224:HEP224"/>
    <mergeCell ref="HEQ224:HER224"/>
    <mergeCell ref="HIZ224:HJA224"/>
    <mergeCell ref="HJB224:HJC224"/>
    <mergeCell ref="HJD224:HJE224"/>
    <mergeCell ref="HJU224:HJV224"/>
    <mergeCell ref="HJW224:HJX224"/>
    <mergeCell ref="HJY224:HJZ224"/>
    <mergeCell ref="HKA224:HKB224"/>
    <mergeCell ref="HKR224:HKS224"/>
    <mergeCell ref="HKT224:HKU224"/>
    <mergeCell ref="HHD224:HHE224"/>
    <mergeCell ref="HHF224:HHG224"/>
    <mergeCell ref="HHH224:HHI224"/>
    <mergeCell ref="HHJ224:HHK224"/>
    <mergeCell ref="HIA224:HIB224"/>
    <mergeCell ref="HIC224:HID224"/>
    <mergeCell ref="HIE224:HIF224"/>
    <mergeCell ref="HIG224:HIH224"/>
    <mergeCell ref="HIX224:HIY224"/>
    <mergeCell ref="HMR224:HMS224"/>
    <mergeCell ref="HNI224:HNJ224"/>
    <mergeCell ref="HNK224:HNL224"/>
    <mergeCell ref="HNM224:HNN224"/>
    <mergeCell ref="HNO224:HNP224"/>
    <mergeCell ref="HOF224:HOG224"/>
    <mergeCell ref="HOH224:HOI224"/>
    <mergeCell ref="HOJ224:HOK224"/>
    <mergeCell ref="HOL224:HOM224"/>
    <mergeCell ref="HKV224:HKW224"/>
    <mergeCell ref="HKX224:HKY224"/>
    <mergeCell ref="HLO224:HLP224"/>
    <mergeCell ref="HLQ224:HLR224"/>
    <mergeCell ref="HLS224:HLT224"/>
    <mergeCell ref="HLU224:HLV224"/>
    <mergeCell ref="HML224:HMM224"/>
    <mergeCell ref="HMN224:HMO224"/>
    <mergeCell ref="HMP224:HMQ224"/>
    <mergeCell ref="HQY224:HQZ224"/>
    <mergeCell ref="HRA224:HRB224"/>
    <mergeCell ref="HRC224:HRD224"/>
    <mergeCell ref="HRT224:HRU224"/>
    <mergeCell ref="HRV224:HRW224"/>
    <mergeCell ref="HRX224:HRY224"/>
    <mergeCell ref="HRZ224:HSA224"/>
    <mergeCell ref="HSQ224:HSR224"/>
    <mergeCell ref="HSS224:HST224"/>
    <mergeCell ref="HPC224:HPD224"/>
    <mergeCell ref="HPE224:HPF224"/>
    <mergeCell ref="HPG224:HPH224"/>
    <mergeCell ref="HPI224:HPJ224"/>
    <mergeCell ref="HPZ224:HQA224"/>
    <mergeCell ref="HQB224:HQC224"/>
    <mergeCell ref="HQD224:HQE224"/>
    <mergeCell ref="HQF224:HQG224"/>
    <mergeCell ref="HQW224:HQX224"/>
    <mergeCell ref="HUQ224:HUR224"/>
    <mergeCell ref="HVH224:HVI224"/>
    <mergeCell ref="HVJ224:HVK224"/>
    <mergeCell ref="HVL224:HVM224"/>
    <mergeCell ref="HVN224:HVO224"/>
    <mergeCell ref="HWE224:HWF224"/>
    <mergeCell ref="HWG224:HWH224"/>
    <mergeCell ref="HWI224:HWJ224"/>
    <mergeCell ref="HWK224:HWL224"/>
    <mergeCell ref="HSU224:HSV224"/>
    <mergeCell ref="HSW224:HSX224"/>
    <mergeCell ref="HTN224:HTO224"/>
    <mergeCell ref="HTP224:HTQ224"/>
    <mergeCell ref="HTR224:HTS224"/>
    <mergeCell ref="HTT224:HTU224"/>
    <mergeCell ref="HUK224:HUL224"/>
    <mergeCell ref="HUM224:HUN224"/>
    <mergeCell ref="HUO224:HUP224"/>
    <mergeCell ref="HYX224:HYY224"/>
    <mergeCell ref="HYZ224:HZA224"/>
    <mergeCell ref="HZB224:HZC224"/>
    <mergeCell ref="HZS224:HZT224"/>
    <mergeCell ref="HZU224:HZV224"/>
    <mergeCell ref="HZW224:HZX224"/>
    <mergeCell ref="HZY224:HZZ224"/>
    <mergeCell ref="IAP224:IAQ224"/>
    <mergeCell ref="IAR224:IAS224"/>
    <mergeCell ref="HXB224:HXC224"/>
    <mergeCell ref="HXD224:HXE224"/>
    <mergeCell ref="HXF224:HXG224"/>
    <mergeCell ref="HXH224:HXI224"/>
    <mergeCell ref="HXY224:HXZ224"/>
    <mergeCell ref="HYA224:HYB224"/>
    <mergeCell ref="HYC224:HYD224"/>
    <mergeCell ref="HYE224:HYF224"/>
    <mergeCell ref="HYV224:HYW224"/>
    <mergeCell ref="ICP224:ICQ224"/>
    <mergeCell ref="IDG224:IDH224"/>
    <mergeCell ref="IDI224:IDJ224"/>
    <mergeCell ref="IDK224:IDL224"/>
    <mergeCell ref="IDM224:IDN224"/>
    <mergeCell ref="IED224:IEE224"/>
    <mergeCell ref="IEF224:IEG224"/>
    <mergeCell ref="IEH224:IEI224"/>
    <mergeCell ref="IEJ224:IEK224"/>
    <mergeCell ref="IAT224:IAU224"/>
    <mergeCell ref="IAV224:IAW224"/>
    <mergeCell ref="IBM224:IBN224"/>
    <mergeCell ref="IBO224:IBP224"/>
    <mergeCell ref="IBQ224:IBR224"/>
    <mergeCell ref="IBS224:IBT224"/>
    <mergeCell ref="ICJ224:ICK224"/>
    <mergeCell ref="ICL224:ICM224"/>
    <mergeCell ref="ICN224:ICO224"/>
    <mergeCell ref="IGW224:IGX224"/>
    <mergeCell ref="IGY224:IGZ224"/>
    <mergeCell ref="IHA224:IHB224"/>
    <mergeCell ref="IHR224:IHS224"/>
    <mergeCell ref="IHT224:IHU224"/>
    <mergeCell ref="IHV224:IHW224"/>
    <mergeCell ref="IHX224:IHY224"/>
    <mergeCell ref="IIO224:IIP224"/>
    <mergeCell ref="IIQ224:IIR224"/>
    <mergeCell ref="IFA224:IFB224"/>
    <mergeCell ref="IFC224:IFD224"/>
    <mergeCell ref="IFE224:IFF224"/>
    <mergeCell ref="IFG224:IFH224"/>
    <mergeCell ref="IFX224:IFY224"/>
    <mergeCell ref="IFZ224:IGA224"/>
    <mergeCell ref="IGB224:IGC224"/>
    <mergeCell ref="IGD224:IGE224"/>
    <mergeCell ref="IGU224:IGV224"/>
    <mergeCell ref="IKO224:IKP224"/>
    <mergeCell ref="ILF224:ILG224"/>
    <mergeCell ref="ILH224:ILI224"/>
    <mergeCell ref="ILJ224:ILK224"/>
    <mergeCell ref="ILL224:ILM224"/>
    <mergeCell ref="IMC224:IMD224"/>
    <mergeCell ref="IME224:IMF224"/>
    <mergeCell ref="IMG224:IMH224"/>
    <mergeCell ref="IMI224:IMJ224"/>
    <mergeCell ref="IIS224:IIT224"/>
    <mergeCell ref="IIU224:IIV224"/>
    <mergeCell ref="IJL224:IJM224"/>
    <mergeCell ref="IJN224:IJO224"/>
    <mergeCell ref="IJP224:IJQ224"/>
    <mergeCell ref="IJR224:IJS224"/>
    <mergeCell ref="IKI224:IKJ224"/>
    <mergeCell ref="IKK224:IKL224"/>
    <mergeCell ref="IKM224:IKN224"/>
    <mergeCell ref="IOV224:IOW224"/>
    <mergeCell ref="IOX224:IOY224"/>
    <mergeCell ref="IOZ224:IPA224"/>
    <mergeCell ref="IPQ224:IPR224"/>
    <mergeCell ref="IPS224:IPT224"/>
    <mergeCell ref="IPU224:IPV224"/>
    <mergeCell ref="IPW224:IPX224"/>
    <mergeCell ref="IQN224:IQO224"/>
    <mergeCell ref="IQP224:IQQ224"/>
    <mergeCell ref="IMZ224:INA224"/>
    <mergeCell ref="INB224:INC224"/>
    <mergeCell ref="IND224:INE224"/>
    <mergeCell ref="INF224:ING224"/>
    <mergeCell ref="INW224:INX224"/>
    <mergeCell ref="INY224:INZ224"/>
    <mergeCell ref="IOA224:IOB224"/>
    <mergeCell ref="IOC224:IOD224"/>
    <mergeCell ref="IOT224:IOU224"/>
    <mergeCell ref="ISN224:ISO224"/>
    <mergeCell ref="ITE224:ITF224"/>
    <mergeCell ref="ITG224:ITH224"/>
    <mergeCell ref="ITI224:ITJ224"/>
    <mergeCell ref="ITK224:ITL224"/>
    <mergeCell ref="IUB224:IUC224"/>
    <mergeCell ref="IUD224:IUE224"/>
    <mergeCell ref="IUF224:IUG224"/>
    <mergeCell ref="IUH224:IUI224"/>
    <mergeCell ref="IQR224:IQS224"/>
    <mergeCell ref="IQT224:IQU224"/>
    <mergeCell ref="IRK224:IRL224"/>
    <mergeCell ref="IRM224:IRN224"/>
    <mergeCell ref="IRO224:IRP224"/>
    <mergeCell ref="IRQ224:IRR224"/>
    <mergeCell ref="ISH224:ISI224"/>
    <mergeCell ref="ISJ224:ISK224"/>
    <mergeCell ref="ISL224:ISM224"/>
    <mergeCell ref="IWU224:IWV224"/>
    <mergeCell ref="IWW224:IWX224"/>
    <mergeCell ref="IWY224:IWZ224"/>
    <mergeCell ref="IXP224:IXQ224"/>
    <mergeCell ref="IXR224:IXS224"/>
    <mergeCell ref="IXT224:IXU224"/>
    <mergeCell ref="IXV224:IXW224"/>
    <mergeCell ref="IYM224:IYN224"/>
    <mergeCell ref="IYO224:IYP224"/>
    <mergeCell ref="IUY224:IUZ224"/>
    <mergeCell ref="IVA224:IVB224"/>
    <mergeCell ref="IVC224:IVD224"/>
    <mergeCell ref="IVE224:IVF224"/>
    <mergeCell ref="IVV224:IVW224"/>
    <mergeCell ref="IVX224:IVY224"/>
    <mergeCell ref="IVZ224:IWA224"/>
    <mergeCell ref="IWB224:IWC224"/>
    <mergeCell ref="IWS224:IWT224"/>
    <mergeCell ref="JAM224:JAN224"/>
    <mergeCell ref="JBD224:JBE224"/>
    <mergeCell ref="JBF224:JBG224"/>
    <mergeCell ref="JBH224:JBI224"/>
    <mergeCell ref="JBJ224:JBK224"/>
    <mergeCell ref="JCA224:JCB224"/>
    <mergeCell ref="JCC224:JCD224"/>
    <mergeCell ref="JCE224:JCF224"/>
    <mergeCell ref="JCG224:JCH224"/>
    <mergeCell ref="IYQ224:IYR224"/>
    <mergeCell ref="IYS224:IYT224"/>
    <mergeCell ref="IZJ224:IZK224"/>
    <mergeCell ref="IZL224:IZM224"/>
    <mergeCell ref="IZN224:IZO224"/>
    <mergeCell ref="IZP224:IZQ224"/>
    <mergeCell ref="JAG224:JAH224"/>
    <mergeCell ref="JAI224:JAJ224"/>
    <mergeCell ref="JAK224:JAL224"/>
    <mergeCell ref="JET224:JEU224"/>
    <mergeCell ref="JEV224:JEW224"/>
    <mergeCell ref="JEX224:JEY224"/>
    <mergeCell ref="JFO224:JFP224"/>
    <mergeCell ref="JFQ224:JFR224"/>
    <mergeCell ref="JFS224:JFT224"/>
    <mergeCell ref="JFU224:JFV224"/>
    <mergeCell ref="JGL224:JGM224"/>
    <mergeCell ref="JGN224:JGO224"/>
    <mergeCell ref="JCX224:JCY224"/>
    <mergeCell ref="JCZ224:JDA224"/>
    <mergeCell ref="JDB224:JDC224"/>
    <mergeCell ref="JDD224:JDE224"/>
    <mergeCell ref="JDU224:JDV224"/>
    <mergeCell ref="JDW224:JDX224"/>
    <mergeCell ref="JDY224:JDZ224"/>
    <mergeCell ref="JEA224:JEB224"/>
    <mergeCell ref="JER224:JES224"/>
    <mergeCell ref="JIL224:JIM224"/>
    <mergeCell ref="JJC224:JJD224"/>
    <mergeCell ref="JJE224:JJF224"/>
    <mergeCell ref="JJG224:JJH224"/>
    <mergeCell ref="JJI224:JJJ224"/>
    <mergeCell ref="JJZ224:JKA224"/>
    <mergeCell ref="JKB224:JKC224"/>
    <mergeCell ref="JKD224:JKE224"/>
    <mergeCell ref="JKF224:JKG224"/>
    <mergeCell ref="JGP224:JGQ224"/>
    <mergeCell ref="JGR224:JGS224"/>
    <mergeCell ref="JHI224:JHJ224"/>
    <mergeCell ref="JHK224:JHL224"/>
    <mergeCell ref="JHM224:JHN224"/>
    <mergeCell ref="JHO224:JHP224"/>
    <mergeCell ref="JIF224:JIG224"/>
    <mergeCell ref="JIH224:JII224"/>
    <mergeCell ref="JIJ224:JIK224"/>
    <mergeCell ref="JMS224:JMT224"/>
    <mergeCell ref="JMU224:JMV224"/>
    <mergeCell ref="JMW224:JMX224"/>
    <mergeCell ref="JNN224:JNO224"/>
    <mergeCell ref="JNP224:JNQ224"/>
    <mergeCell ref="JNR224:JNS224"/>
    <mergeCell ref="JNT224:JNU224"/>
    <mergeCell ref="JOK224:JOL224"/>
    <mergeCell ref="JOM224:JON224"/>
    <mergeCell ref="JKW224:JKX224"/>
    <mergeCell ref="JKY224:JKZ224"/>
    <mergeCell ref="JLA224:JLB224"/>
    <mergeCell ref="JLC224:JLD224"/>
    <mergeCell ref="JLT224:JLU224"/>
    <mergeCell ref="JLV224:JLW224"/>
    <mergeCell ref="JLX224:JLY224"/>
    <mergeCell ref="JLZ224:JMA224"/>
    <mergeCell ref="JMQ224:JMR224"/>
    <mergeCell ref="JQK224:JQL224"/>
    <mergeCell ref="JRB224:JRC224"/>
    <mergeCell ref="JRD224:JRE224"/>
    <mergeCell ref="JRF224:JRG224"/>
    <mergeCell ref="JRH224:JRI224"/>
    <mergeCell ref="JRY224:JRZ224"/>
    <mergeCell ref="JSA224:JSB224"/>
    <mergeCell ref="JSC224:JSD224"/>
    <mergeCell ref="JSE224:JSF224"/>
    <mergeCell ref="JOO224:JOP224"/>
    <mergeCell ref="JOQ224:JOR224"/>
    <mergeCell ref="JPH224:JPI224"/>
    <mergeCell ref="JPJ224:JPK224"/>
    <mergeCell ref="JPL224:JPM224"/>
    <mergeCell ref="JPN224:JPO224"/>
    <mergeCell ref="JQE224:JQF224"/>
    <mergeCell ref="JQG224:JQH224"/>
    <mergeCell ref="JQI224:JQJ224"/>
    <mergeCell ref="JUR224:JUS224"/>
    <mergeCell ref="JUT224:JUU224"/>
    <mergeCell ref="JUV224:JUW224"/>
    <mergeCell ref="JVM224:JVN224"/>
    <mergeCell ref="JVO224:JVP224"/>
    <mergeCell ref="JVQ224:JVR224"/>
    <mergeCell ref="JVS224:JVT224"/>
    <mergeCell ref="JWJ224:JWK224"/>
    <mergeCell ref="JWL224:JWM224"/>
    <mergeCell ref="JSV224:JSW224"/>
    <mergeCell ref="JSX224:JSY224"/>
    <mergeCell ref="JSZ224:JTA224"/>
    <mergeCell ref="JTB224:JTC224"/>
    <mergeCell ref="JTS224:JTT224"/>
    <mergeCell ref="JTU224:JTV224"/>
    <mergeCell ref="JTW224:JTX224"/>
    <mergeCell ref="JTY224:JTZ224"/>
    <mergeCell ref="JUP224:JUQ224"/>
    <mergeCell ref="JYJ224:JYK224"/>
    <mergeCell ref="JZA224:JZB224"/>
    <mergeCell ref="JZC224:JZD224"/>
    <mergeCell ref="JZE224:JZF224"/>
    <mergeCell ref="JZG224:JZH224"/>
    <mergeCell ref="JZX224:JZY224"/>
    <mergeCell ref="JZZ224:KAA224"/>
    <mergeCell ref="KAB224:KAC224"/>
    <mergeCell ref="KAD224:KAE224"/>
    <mergeCell ref="JWN224:JWO224"/>
    <mergeCell ref="JWP224:JWQ224"/>
    <mergeCell ref="JXG224:JXH224"/>
    <mergeCell ref="JXI224:JXJ224"/>
    <mergeCell ref="JXK224:JXL224"/>
    <mergeCell ref="JXM224:JXN224"/>
    <mergeCell ref="JYD224:JYE224"/>
    <mergeCell ref="JYF224:JYG224"/>
    <mergeCell ref="JYH224:JYI224"/>
    <mergeCell ref="KCQ224:KCR224"/>
    <mergeCell ref="KCS224:KCT224"/>
    <mergeCell ref="KCU224:KCV224"/>
    <mergeCell ref="KDL224:KDM224"/>
    <mergeCell ref="KDN224:KDO224"/>
    <mergeCell ref="KDP224:KDQ224"/>
    <mergeCell ref="KDR224:KDS224"/>
    <mergeCell ref="KEI224:KEJ224"/>
    <mergeCell ref="KEK224:KEL224"/>
    <mergeCell ref="KAU224:KAV224"/>
    <mergeCell ref="KAW224:KAX224"/>
    <mergeCell ref="KAY224:KAZ224"/>
    <mergeCell ref="KBA224:KBB224"/>
    <mergeCell ref="KBR224:KBS224"/>
    <mergeCell ref="KBT224:KBU224"/>
    <mergeCell ref="KBV224:KBW224"/>
    <mergeCell ref="KBX224:KBY224"/>
    <mergeCell ref="KCO224:KCP224"/>
    <mergeCell ref="KGI224:KGJ224"/>
    <mergeCell ref="KGZ224:KHA224"/>
    <mergeCell ref="KHB224:KHC224"/>
    <mergeCell ref="KHD224:KHE224"/>
    <mergeCell ref="KHF224:KHG224"/>
    <mergeCell ref="KHW224:KHX224"/>
    <mergeCell ref="KHY224:KHZ224"/>
    <mergeCell ref="KIA224:KIB224"/>
    <mergeCell ref="KIC224:KID224"/>
    <mergeCell ref="KEM224:KEN224"/>
    <mergeCell ref="KEO224:KEP224"/>
    <mergeCell ref="KFF224:KFG224"/>
    <mergeCell ref="KFH224:KFI224"/>
    <mergeCell ref="KFJ224:KFK224"/>
    <mergeCell ref="KFL224:KFM224"/>
    <mergeCell ref="KGC224:KGD224"/>
    <mergeCell ref="KGE224:KGF224"/>
    <mergeCell ref="KGG224:KGH224"/>
    <mergeCell ref="KKP224:KKQ224"/>
    <mergeCell ref="KKR224:KKS224"/>
    <mergeCell ref="KKT224:KKU224"/>
    <mergeCell ref="KLK224:KLL224"/>
    <mergeCell ref="KLM224:KLN224"/>
    <mergeCell ref="KLO224:KLP224"/>
    <mergeCell ref="KLQ224:KLR224"/>
    <mergeCell ref="KMH224:KMI224"/>
    <mergeCell ref="KMJ224:KMK224"/>
    <mergeCell ref="KIT224:KIU224"/>
    <mergeCell ref="KIV224:KIW224"/>
    <mergeCell ref="KIX224:KIY224"/>
    <mergeCell ref="KIZ224:KJA224"/>
    <mergeCell ref="KJQ224:KJR224"/>
    <mergeCell ref="KJS224:KJT224"/>
    <mergeCell ref="KJU224:KJV224"/>
    <mergeCell ref="KJW224:KJX224"/>
    <mergeCell ref="KKN224:KKO224"/>
    <mergeCell ref="KOH224:KOI224"/>
    <mergeCell ref="KOY224:KOZ224"/>
    <mergeCell ref="KPA224:KPB224"/>
    <mergeCell ref="KPC224:KPD224"/>
    <mergeCell ref="KPE224:KPF224"/>
    <mergeCell ref="KPV224:KPW224"/>
    <mergeCell ref="KPX224:KPY224"/>
    <mergeCell ref="KPZ224:KQA224"/>
    <mergeCell ref="KQB224:KQC224"/>
    <mergeCell ref="KML224:KMM224"/>
    <mergeCell ref="KMN224:KMO224"/>
    <mergeCell ref="KNE224:KNF224"/>
    <mergeCell ref="KNG224:KNH224"/>
    <mergeCell ref="KNI224:KNJ224"/>
    <mergeCell ref="KNK224:KNL224"/>
    <mergeCell ref="KOB224:KOC224"/>
    <mergeCell ref="KOD224:KOE224"/>
    <mergeCell ref="KOF224:KOG224"/>
    <mergeCell ref="KSO224:KSP224"/>
    <mergeCell ref="KSQ224:KSR224"/>
    <mergeCell ref="KSS224:KST224"/>
    <mergeCell ref="KTJ224:KTK224"/>
    <mergeCell ref="KTL224:KTM224"/>
    <mergeCell ref="KTN224:KTO224"/>
    <mergeCell ref="KTP224:KTQ224"/>
    <mergeCell ref="KUG224:KUH224"/>
    <mergeCell ref="KUI224:KUJ224"/>
    <mergeCell ref="KQS224:KQT224"/>
    <mergeCell ref="KQU224:KQV224"/>
    <mergeCell ref="KQW224:KQX224"/>
    <mergeCell ref="KQY224:KQZ224"/>
    <mergeCell ref="KRP224:KRQ224"/>
    <mergeCell ref="KRR224:KRS224"/>
    <mergeCell ref="KRT224:KRU224"/>
    <mergeCell ref="KRV224:KRW224"/>
    <mergeCell ref="KSM224:KSN224"/>
    <mergeCell ref="KWG224:KWH224"/>
    <mergeCell ref="KWX224:KWY224"/>
    <mergeCell ref="KWZ224:KXA224"/>
    <mergeCell ref="KXB224:KXC224"/>
    <mergeCell ref="KXD224:KXE224"/>
    <mergeCell ref="KXU224:KXV224"/>
    <mergeCell ref="KXW224:KXX224"/>
    <mergeCell ref="KXY224:KXZ224"/>
    <mergeCell ref="KYA224:KYB224"/>
    <mergeCell ref="KUK224:KUL224"/>
    <mergeCell ref="KUM224:KUN224"/>
    <mergeCell ref="KVD224:KVE224"/>
    <mergeCell ref="KVF224:KVG224"/>
    <mergeCell ref="KVH224:KVI224"/>
    <mergeCell ref="KVJ224:KVK224"/>
    <mergeCell ref="KWA224:KWB224"/>
    <mergeCell ref="KWC224:KWD224"/>
    <mergeCell ref="KWE224:KWF224"/>
    <mergeCell ref="LAN224:LAO224"/>
    <mergeCell ref="LAP224:LAQ224"/>
    <mergeCell ref="LAR224:LAS224"/>
    <mergeCell ref="LBI224:LBJ224"/>
    <mergeCell ref="LBK224:LBL224"/>
    <mergeCell ref="LBM224:LBN224"/>
    <mergeCell ref="LBO224:LBP224"/>
    <mergeCell ref="LCF224:LCG224"/>
    <mergeCell ref="LCH224:LCI224"/>
    <mergeCell ref="KYR224:KYS224"/>
    <mergeCell ref="KYT224:KYU224"/>
    <mergeCell ref="KYV224:KYW224"/>
    <mergeCell ref="KYX224:KYY224"/>
    <mergeCell ref="KZO224:KZP224"/>
    <mergeCell ref="KZQ224:KZR224"/>
    <mergeCell ref="KZS224:KZT224"/>
    <mergeCell ref="KZU224:KZV224"/>
    <mergeCell ref="LAL224:LAM224"/>
    <mergeCell ref="LEF224:LEG224"/>
    <mergeCell ref="LEW224:LEX224"/>
    <mergeCell ref="LEY224:LEZ224"/>
    <mergeCell ref="LFA224:LFB224"/>
    <mergeCell ref="LFC224:LFD224"/>
    <mergeCell ref="LFT224:LFU224"/>
    <mergeCell ref="LFV224:LFW224"/>
    <mergeCell ref="LFX224:LFY224"/>
    <mergeCell ref="LFZ224:LGA224"/>
    <mergeCell ref="LCJ224:LCK224"/>
    <mergeCell ref="LCL224:LCM224"/>
    <mergeCell ref="LDC224:LDD224"/>
    <mergeCell ref="LDE224:LDF224"/>
    <mergeCell ref="LDG224:LDH224"/>
    <mergeCell ref="LDI224:LDJ224"/>
    <mergeCell ref="LDZ224:LEA224"/>
    <mergeCell ref="LEB224:LEC224"/>
    <mergeCell ref="LED224:LEE224"/>
    <mergeCell ref="LIM224:LIN224"/>
    <mergeCell ref="LIO224:LIP224"/>
    <mergeCell ref="LIQ224:LIR224"/>
    <mergeCell ref="LJH224:LJI224"/>
    <mergeCell ref="LJJ224:LJK224"/>
    <mergeCell ref="LJL224:LJM224"/>
    <mergeCell ref="LJN224:LJO224"/>
    <mergeCell ref="LKE224:LKF224"/>
    <mergeCell ref="LKG224:LKH224"/>
    <mergeCell ref="LGQ224:LGR224"/>
    <mergeCell ref="LGS224:LGT224"/>
    <mergeCell ref="LGU224:LGV224"/>
    <mergeCell ref="LGW224:LGX224"/>
    <mergeCell ref="LHN224:LHO224"/>
    <mergeCell ref="LHP224:LHQ224"/>
    <mergeCell ref="LHR224:LHS224"/>
    <mergeCell ref="LHT224:LHU224"/>
    <mergeCell ref="LIK224:LIL224"/>
    <mergeCell ref="LME224:LMF224"/>
    <mergeCell ref="LMV224:LMW224"/>
    <mergeCell ref="LMX224:LMY224"/>
    <mergeCell ref="LMZ224:LNA224"/>
    <mergeCell ref="LNB224:LNC224"/>
    <mergeCell ref="LNS224:LNT224"/>
    <mergeCell ref="LNU224:LNV224"/>
    <mergeCell ref="LNW224:LNX224"/>
    <mergeCell ref="LNY224:LNZ224"/>
    <mergeCell ref="LKI224:LKJ224"/>
    <mergeCell ref="LKK224:LKL224"/>
    <mergeCell ref="LLB224:LLC224"/>
    <mergeCell ref="LLD224:LLE224"/>
    <mergeCell ref="LLF224:LLG224"/>
    <mergeCell ref="LLH224:LLI224"/>
    <mergeCell ref="LLY224:LLZ224"/>
    <mergeCell ref="LMA224:LMB224"/>
    <mergeCell ref="LMC224:LMD224"/>
    <mergeCell ref="LQL224:LQM224"/>
    <mergeCell ref="LQN224:LQO224"/>
    <mergeCell ref="LQP224:LQQ224"/>
    <mergeCell ref="LRG224:LRH224"/>
    <mergeCell ref="LRI224:LRJ224"/>
    <mergeCell ref="LRK224:LRL224"/>
    <mergeCell ref="LRM224:LRN224"/>
    <mergeCell ref="LSD224:LSE224"/>
    <mergeCell ref="LSF224:LSG224"/>
    <mergeCell ref="LOP224:LOQ224"/>
    <mergeCell ref="LOR224:LOS224"/>
    <mergeCell ref="LOT224:LOU224"/>
    <mergeCell ref="LOV224:LOW224"/>
    <mergeCell ref="LPM224:LPN224"/>
    <mergeCell ref="LPO224:LPP224"/>
    <mergeCell ref="LPQ224:LPR224"/>
    <mergeCell ref="LPS224:LPT224"/>
    <mergeCell ref="LQJ224:LQK224"/>
    <mergeCell ref="LUD224:LUE224"/>
    <mergeCell ref="LUU224:LUV224"/>
    <mergeCell ref="LUW224:LUX224"/>
    <mergeCell ref="LUY224:LUZ224"/>
    <mergeCell ref="LVA224:LVB224"/>
    <mergeCell ref="LVR224:LVS224"/>
    <mergeCell ref="LVT224:LVU224"/>
    <mergeCell ref="LVV224:LVW224"/>
    <mergeCell ref="LVX224:LVY224"/>
    <mergeCell ref="LSH224:LSI224"/>
    <mergeCell ref="LSJ224:LSK224"/>
    <mergeCell ref="LTA224:LTB224"/>
    <mergeCell ref="LTC224:LTD224"/>
    <mergeCell ref="LTE224:LTF224"/>
    <mergeCell ref="LTG224:LTH224"/>
    <mergeCell ref="LTX224:LTY224"/>
    <mergeCell ref="LTZ224:LUA224"/>
    <mergeCell ref="LUB224:LUC224"/>
    <mergeCell ref="LYK224:LYL224"/>
    <mergeCell ref="LYM224:LYN224"/>
    <mergeCell ref="LYO224:LYP224"/>
    <mergeCell ref="LZF224:LZG224"/>
    <mergeCell ref="LZH224:LZI224"/>
    <mergeCell ref="LZJ224:LZK224"/>
    <mergeCell ref="LZL224:LZM224"/>
    <mergeCell ref="MAC224:MAD224"/>
    <mergeCell ref="MAE224:MAF224"/>
    <mergeCell ref="LWO224:LWP224"/>
    <mergeCell ref="LWQ224:LWR224"/>
    <mergeCell ref="LWS224:LWT224"/>
    <mergeCell ref="LWU224:LWV224"/>
    <mergeCell ref="LXL224:LXM224"/>
    <mergeCell ref="LXN224:LXO224"/>
    <mergeCell ref="LXP224:LXQ224"/>
    <mergeCell ref="LXR224:LXS224"/>
    <mergeCell ref="LYI224:LYJ224"/>
    <mergeCell ref="MCC224:MCD224"/>
    <mergeCell ref="MCT224:MCU224"/>
    <mergeCell ref="MCV224:MCW224"/>
    <mergeCell ref="MCX224:MCY224"/>
    <mergeCell ref="MCZ224:MDA224"/>
    <mergeCell ref="MDQ224:MDR224"/>
    <mergeCell ref="MDS224:MDT224"/>
    <mergeCell ref="MDU224:MDV224"/>
    <mergeCell ref="MDW224:MDX224"/>
    <mergeCell ref="MAG224:MAH224"/>
    <mergeCell ref="MAI224:MAJ224"/>
    <mergeCell ref="MAZ224:MBA224"/>
    <mergeCell ref="MBB224:MBC224"/>
    <mergeCell ref="MBD224:MBE224"/>
    <mergeCell ref="MBF224:MBG224"/>
    <mergeCell ref="MBW224:MBX224"/>
    <mergeCell ref="MBY224:MBZ224"/>
    <mergeCell ref="MCA224:MCB224"/>
    <mergeCell ref="MGJ224:MGK224"/>
    <mergeCell ref="MGL224:MGM224"/>
    <mergeCell ref="MGN224:MGO224"/>
    <mergeCell ref="MHE224:MHF224"/>
    <mergeCell ref="MHG224:MHH224"/>
    <mergeCell ref="MHI224:MHJ224"/>
    <mergeCell ref="MHK224:MHL224"/>
    <mergeCell ref="MIB224:MIC224"/>
    <mergeCell ref="MID224:MIE224"/>
    <mergeCell ref="MEN224:MEO224"/>
    <mergeCell ref="MEP224:MEQ224"/>
    <mergeCell ref="MER224:MES224"/>
    <mergeCell ref="MET224:MEU224"/>
    <mergeCell ref="MFK224:MFL224"/>
    <mergeCell ref="MFM224:MFN224"/>
    <mergeCell ref="MFO224:MFP224"/>
    <mergeCell ref="MFQ224:MFR224"/>
    <mergeCell ref="MGH224:MGI224"/>
    <mergeCell ref="MKB224:MKC224"/>
    <mergeCell ref="MKS224:MKT224"/>
    <mergeCell ref="MKU224:MKV224"/>
    <mergeCell ref="MKW224:MKX224"/>
    <mergeCell ref="MKY224:MKZ224"/>
    <mergeCell ref="MLP224:MLQ224"/>
    <mergeCell ref="MLR224:MLS224"/>
    <mergeCell ref="MLT224:MLU224"/>
    <mergeCell ref="MLV224:MLW224"/>
    <mergeCell ref="MIF224:MIG224"/>
    <mergeCell ref="MIH224:MII224"/>
    <mergeCell ref="MIY224:MIZ224"/>
    <mergeCell ref="MJA224:MJB224"/>
    <mergeCell ref="MJC224:MJD224"/>
    <mergeCell ref="MJE224:MJF224"/>
    <mergeCell ref="MJV224:MJW224"/>
    <mergeCell ref="MJX224:MJY224"/>
    <mergeCell ref="MJZ224:MKA224"/>
    <mergeCell ref="MOI224:MOJ224"/>
    <mergeCell ref="MOK224:MOL224"/>
    <mergeCell ref="MOM224:MON224"/>
    <mergeCell ref="MPD224:MPE224"/>
    <mergeCell ref="MPF224:MPG224"/>
    <mergeCell ref="MPH224:MPI224"/>
    <mergeCell ref="MPJ224:MPK224"/>
    <mergeCell ref="MQA224:MQB224"/>
    <mergeCell ref="MQC224:MQD224"/>
    <mergeCell ref="MMM224:MMN224"/>
    <mergeCell ref="MMO224:MMP224"/>
    <mergeCell ref="MMQ224:MMR224"/>
    <mergeCell ref="MMS224:MMT224"/>
    <mergeCell ref="MNJ224:MNK224"/>
    <mergeCell ref="MNL224:MNM224"/>
    <mergeCell ref="MNN224:MNO224"/>
    <mergeCell ref="MNP224:MNQ224"/>
    <mergeCell ref="MOG224:MOH224"/>
    <mergeCell ref="MSA224:MSB224"/>
    <mergeCell ref="MSR224:MSS224"/>
    <mergeCell ref="MST224:MSU224"/>
    <mergeCell ref="MSV224:MSW224"/>
    <mergeCell ref="MSX224:MSY224"/>
    <mergeCell ref="MTO224:MTP224"/>
    <mergeCell ref="MTQ224:MTR224"/>
    <mergeCell ref="MTS224:MTT224"/>
    <mergeCell ref="MTU224:MTV224"/>
    <mergeCell ref="MQE224:MQF224"/>
    <mergeCell ref="MQG224:MQH224"/>
    <mergeCell ref="MQX224:MQY224"/>
    <mergeCell ref="MQZ224:MRA224"/>
    <mergeCell ref="MRB224:MRC224"/>
    <mergeCell ref="MRD224:MRE224"/>
    <mergeCell ref="MRU224:MRV224"/>
    <mergeCell ref="MRW224:MRX224"/>
    <mergeCell ref="MRY224:MRZ224"/>
    <mergeCell ref="MWH224:MWI224"/>
    <mergeCell ref="MWJ224:MWK224"/>
    <mergeCell ref="MWL224:MWM224"/>
    <mergeCell ref="MXC224:MXD224"/>
    <mergeCell ref="MXE224:MXF224"/>
    <mergeCell ref="MXG224:MXH224"/>
    <mergeCell ref="MXI224:MXJ224"/>
    <mergeCell ref="MXZ224:MYA224"/>
    <mergeCell ref="MYB224:MYC224"/>
    <mergeCell ref="MUL224:MUM224"/>
    <mergeCell ref="MUN224:MUO224"/>
    <mergeCell ref="MUP224:MUQ224"/>
    <mergeCell ref="MUR224:MUS224"/>
    <mergeCell ref="MVI224:MVJ224"/>
    <mergeCell ref="MVK224:MVL224"/>
    <mergeCell ref="MVM224:MVN224"/>
    <mergeCell ref="MVO224:MVP224"/>
    <mergeCell ref="MWF224:MWG224"/>
    <mergeCell ref="MZZ224:NAA224"/>
    <mergeCell ref="NAQ224:NAR224"/>
    <mergeCell ref="NAS224:NAT224"/>
    <mergeCell ref="NAU224:NAV224"/>
    <mergeCell ref="NAW224:NAX224"/>
    <mergeCell ref="NBN224:NBO224"/>
    <mergeCell ref="NBP224:NBQ224"/>
    <mergeCell ref="NBR224:NBS224"/>
    <mergeCell ref="NBT224:NBU224"/>
    <mergeCell ref="MYD224:MYE224"/>
    <mergeCell ref="MYF224:MYG224"/>
    <mergeCell ref="MYW224:MYX224"/>
    <mergeCell ref="MYY224:MYZ224"/>
    <mergeCell ref="MZA224:MZB224"/>
    <mergeCell ref="MZC224:MZD224"/>
    <mergeCell ref="MZT224:MZU224"/>
    <mergeCell ref="MZV224:MZW224"/>
    <mergeCell ref="MZX224:MZY224"/>
    <mergeCell ref="NEG224:NEH224"/>
    <mergeCell ref="NEI224:NEJ224"/>
    <mergeCell ref="NEK224:NEL224"/>
    <mergeCell ref="NFB224:NFC224"/>
    <mergeCell ref="NFD224:NFE224"/>
    <mergeCell ref="NFF224:NFG224"/>
    <mergeCell ref="NFH224:NFI224"/>
    <mergeCell ref="NFY224:NFZ224"/>
    <mergeCell ref="NGA224:NGB224"/>
    <mergeCell ref="NCK224:NCL224"/>
    <mergeCell ref="NCM224:NCN224"/>
    <mergeCell ref="NCO224:NCP224"/>
    <mergeCell ref="NCQ224:NCR224"/>
    <mergeCell ref="NDH224:NDI224"/>
    <mergeCell ref="NDJ224:NDK224"/>
    <mergeCell ref="NDL224:NDM224"/>
    <mergeCell ref="NDN224:NDO224"/>
    <mergeCell ref="NEE224:NEF224"/>
    <mergeCell ref="NHY224:NHZ224"/>
    <mergeCell ref="NIP224:NIQ224"/>
    <mergeCell ref="NIR224:NIS224"/>
    <mergeCell ref="NIT224:NIU224"/>
    <mergeCell ref="NIV224:NIW224"/>
    <mergeCell ref="NJM224:NJN224"/>
    <mergeCell ref="NJO224:NJP224"/>
    <mergeCell ref="NJQ224:NJR224"/>
    <mergeCell ref="NJS224:NJT224"/>
    <mergeCell ref="NGC224:NGD224"/>
    <mergeCell ref="NGE224:NGF224"/>
    <mergeCell ref="NGV224:NGW224"/>
    <mergeCell ref="NGX224:NGY224"/>
    <mergeCell ref="NGZ224:NHA224"/>
    <mergeCell ref="NHB224:NHC224"/>
    <mergeCell ref="NHS224:NHT224"/>
    <mergeCell ref="NHU224:NHV224"/>
    <mergeCell ref="NHW224:NHX224"/>
    <mergeCell ref="NMF224:NMG224"/>
    <mergeCell ref="NMH224:NMI224"/>
    <mergeCell ref="NMJ224:NMK224"/>
    <mergeCell ref="NNA224:NNB224"/>
    <mergeCell ref="NNC224:NND224"/>
    <mergeCell ref="NNE224:NNF224"/>
    <mergeCell ref="NNG224:NNH224"/>
    <mergeCell ref="NNX224:NNY224"/>
    <mergeCell ref="NNZ224:NOA224"/>
    <mergeCell ref="NKJ224:NKK224"/>
    <mergeCell ref="NKL224:NKM224"/>
    <mergeCell ref="NKN224:NKO224"/>
    <mergeCell ref="NKP224:NKQ224"/>
    <mergeCell ref="NLG224:NLH224"/>
    <mergeCell ref="NLI224:NLJ224"/>
    <mergeCell ref="NLK224:NLL224"/>
    <mergeCell ref="NLM224:NLN224"/>
    <mergeCell ref="NMD224:NME224"/>
    <mergeCell ref="NPX224:NPY224"/>
    <mergeCell ref="NQO224:NQP224"/>
    <mergeCell ref="NQQ224:NQR224"/>
    <mergeCell ref="NQS224:NQT224"/>
    <mergeCell ref="NQU224:NQV224"/>
    <mergeCell ref="NRL224:NRM224"/>
    <mergeCell ref="NRN224:NRO224"/>
    <mergeCell ref="NRP224:NRQ224"/>
    <mergeCell ref="NRR224:NRS224"/>
    <mergeCell ref="NOB224:NOC224"/>
    <mergeCell ref="NOD224:NOE224"/>
    <mergeCell ref="NOU224:NOV224"/>
    <mergeCell ref="NOW224:NOX224"/>
    <mergeCell ref="NOY224:NOZ224"/>
    <mergeCell ref="NPA224:NPB224"/>
    <mergeCell ref="NPR224:NPS224"/>
    <mergeCell ref="NPT224:NPU224"/>
    <mergeCell ref="NPV224:NPW224"/>
    <mergeCell ref="NUE224:NUF224"/>
    <mergeCell ref="NUG224:NUH224"/>
    <mergeCell ref="NUI224:NUJ224"/>
    <mergeCell ref="NUZ224:NVA224"/>
    <mergeCell ref="NVB224:NVC224"/>
    <mergeCell ref="NVD224:NVE224"/>
    <mergeCell ref="NVF224:NVG224"/>
    <mergeCell ref="NVW224:NVX224"/>
    <mergeCell ref="NVY224:NVZ224"/>
    <mergeCell ref="NSI224:NSJ224"/>
    <mergeCell ref="NSK224:NSL224"/>
    <mergeCell ref="NSM224:NSN224"/>
    <mergeCell ref="NSO224:NSP224"/>
    <mergeCell ref="NTF224:NTG224"/>
    <mergeCell ref="NTH224:NTI224"/>
    <mergeCell ref="NTJ224:NTK224"/>
    <mergeCell ref="NTL224:NTM224"/>
    <mergeCell ref="NUC224:NUD224"/>
    <mergeCell ref="NXW224:NXX224"/>
    <mergeCell ref="NYN224:NYO224"/>
    <mergeCell ref="NYP224:NYQ224"/>
    <mergeCell ref="NYR224:NYS224"/>
    <mergeCell ref="NYT224:NYU224"/>
    <mergeCell ref="NZK224:NZL224"/>
    <mergeCell ref="NZM224:NZN224"/>
    <mergeCell ref="NZO224:NZP224"/>
    <mergeCell ref="NZQ224:NZR224"/>
    <mergeCell ref="NWA224:NWB224"/>
    <mergeCell ref="NWC224:NWD224"/>
    <mergeCell ref="NWT224:NWU224"/>
    <mergeCell ref="NWV224:NWW224"/>
    <mergeCell ref="NWX224:NWY224"/>
    <mergeCell ref="NWZ224:NXA224"/>
    <mergeCell ref="NXQ224:NXR224"/>
    <mergeCell ref="NXS224:NXT224"/>
    <mergeCell ref="NXU224:NXV224"/>
    <mergeCell ref="OCD224:OCE224"/>
    <mergeCell ref="OCF224:OCG224"/>
    <mergeCell ref="OCH224:OCI224"/>
    <mergeCell ref="OCY224:OCZ224"/>
    <mergeCell ref="ODA224:ODB224"/>
    <mergeCell ref="ODC224:ODD224"/>
    <mergeCell ref="ODE224:ODF224"/>
    <mergeCell ref="ODV224:ODW224"/>
    <mergeCell ref="ODX224:ODY224"/>
    <mergeCell ref="OAH224:OAI224"/>
    <mergeCell ref="OAJ224:OAK224"/>
    <mergeCell ref="OAL224:OAM224"/>
    <mergeCell ref="OAN224:OAO224"/>
    <mergeCell ref="OBE224:OBF224"/>
    <mergeCell ref="OBG224:OBH224"/>
    <mergeCell ref="OBI224:OBJ224"/>
    <mergeCell ref="OBK224:OBL224"/>
    <mergeCell ref="OCB224:OCC224"/>
    <mergeCell ref="OFV224:OFW224"/>
    <mergeCell ref="OGM224:OGN224"/>
    <mergeCell ref="OGO224:OGP224"/>
    <mergeCell ref="OGQ224:OGR224"/>
    <mergeCell ref="OGS224:OGT224"/>
    <mergeCell ref="OHJ224:OHK224"/>
    <mergeCell ref="OHL224:OHM224"/>
    <mergeCell ref="OHN224:OHO224"/>
    <mergeCell ref="OHP224:OHQ224"/>
    <mergeCell ref="ODZ224:OEA224"/>
    <mergeCell ref="OEB224:OEC224"/>
    <mergeCell ref="OES224:OET224"/>
    <mergeCell ref="OEU224:OEV224"/>
    <mergeCell ref="OEW224:OEX224"/>
    <mergeCell ref="OEY224:OEZ224"/>
    <mergeCell ref="OFP224:OFQ224"/>
    <mergeCell ref="OFR224:OFS224"/>
    <mergeCell ref="OFT224:OFU224"/>
    <mergeCell ref="OKC224:OKD224"/>
    <mergeCell ref="OKE224:OKF224"/>
    <mergeCell ref="OKG224:OKH224"/>
    <mergeCell ref="OKX224:OKY224"/>
    <mergeCell ref="OKZ224:OLA224"/>
    <mergeCell ref="OLB224:OLC224"/>
    <mergeCell ref="OLD224:OLE224"/>
    <mergeCell ref="OLU224:OLV224"/>
    <mergeCell ref="OLW224:OLX224"/>
    <mergeCell ref="OIG224:OIH224"/>
    <mergeCell ref="OII224:OIJ224"/>
    <mergeCell ref="OIK224:OIL224"/>
    <mergeCell ref="OIM224:OIN224"/>
    <mergeCell ref="OJD224:OJE224"/>
    <mergeCell ref="OJF224:OJG224"/>
    <mergeCell ref="OJH224:OJI224"/>
    <mergeCell ref="OJJ224:OJK224"/>
    <mergeCell ref="OKA224:OKB224"/>
    <mergeCell ref="ONU224:ONV224"/>
    <mergeCell ref="OOL224:OOM224"/>
    <mergeCell ref="OON224:OOO224"/>
    <mergeCell ref="OOP224:OOQ224"/>
    <mergeCell ref="OOR224:OOS224"/>
    <mergeCell ref="OPI224:OPJ224"/>
    <mergeCell ref="OPK224:OPL224"/>
    <mergeCell ref="OPM224:OPN224"/>
    <mergeCell ref="OPO224:OPP224"/>
    <mergeCell ref="OLY224:OLZ224"/>
    <mergeCell ref="OMA224:OMB224"/>
    <mergeCell ref="OMR224:OMS224"/>
    <mergeCell ref="OMT224:OMU224"/>
    <mergeCell ref="OMV224:OMW224"/>
    <mergeCell ref="OMX224:OMY224"/>
    <mergeCell ref="ONO224:ONP224"/>
    <mergeCell ref="ONQ224:ONR224"/>
    <mergeCell ref="ONS224:ONT224"/>
    <mergeCell ref="OSB224:OSC224"/>
    <mergeCell ref="OSD224:OSE224"/>
    <mergeCell ref="OSF224:OSG224"/>
    <mergeCell ref="OSW224:OSX224"/>
    <mergeCell ref="OSY224:OSZ224"/>
    <mergeCell ref="OTA224:OTB224"/>
    <mergeCell ref="OTC224:OTD224"/>
    <mergeCell ref="OTT224:OTU224"/>
    <mergeCell ref="OTV224:OTW224"/>
    <mergeCell ref="OQF224:OQG224"/>
    <mergeCell ref="OQH224:OQI224"/>
    <mergeCell ref="OQJ224:OQK224"/>
    <mergeCell ref="OQL224:OQM224"/>
    <mergeCell ref="ORC224:ORD224"/>
    <mergeCell ref="ORE224:ORF224"/>
    <mergeCell ref="ORG224:ORH224"/>
    <mergeCell ref="ORI224:ORJ224"/>
    <mergeCell ref="ORZ224:OSA224"/>
    <mergeCell ref="OVT224:OVU224"/>
    <mergeCell ref="OWK224:OWL224"/>
    <mergeCell ref="OWM224:OWN224"/>
    <mergeCell ref="OWO224:OWP224"/>
    <mergeCell ref="OWQ224:OWR224"/>
    <mergeCell ref="OXH224:OXI224"/>
    <mergeCell ref="OXJ224:OXK224"/>
    <mergeCell ref="OXL224:OXM224"/>
    <mergeCell ref="OXN224:OXO224"/>
    <mergeCell ref="OTX224:OTY224"/>
    <mergeCell ref="OTZ224:OUA224"/>
    <mergeCell ref="OUQ224:OUR224"/>
    <mergeCell ref="OUS224:OUT224"/>
    <mergeCell ref="OUU224:OUV224"/>
    <mergeCell ref="OUW224:OUX224"/>
    <mergeCell ref="OVN224:OVO224"/>
    <mergeCell ref="OVP224:OVQ224"/>
    <mergeCell ref="OVR224:OVS224"/>
    <mergeCell ref="PAA224:PAB224"/>
    <mergeCell ref="PAC224:PAD224"/>
    <mergeCell ref="PAE224:PAF224"/>
    <mergeCell ref="PAV224:PAW224"/>
    <mergeCell ref="PAX224:PAY224"/>
    <mergeCell ref="PAZ224:PBA224"/>
    <mergeCell ref="PBB224:PBC224"/>
    <mergeCell ref="PBS224:PBT224"/>
    <mergeCell ref="PBU224:PBV224"/>
    <mergeCell ref="OYE224:OYF224"/>
    <mergeCell ref="OYG224:OYH224"/>
    <mergeCell ref="OYI224:OYJ224"/>
    <mergeCell ref="OYK224:OYL224"/>
    <mergeCell ref="OZB224:OZC224"/>
    <mergeCell ref="OZD224:OZE224"/>
    <mergeCell ref="OZF224:OZG224"/>
    <mergeCell ref="OZH224:OZI224"/>
    <mergeCell ref="OZY224:OZZ224"/>
    <mergeCell ref="PDS224:PDT224"/>
    <mergeCell ref="PEJ224:PEK224"/>
    <mergeCell ref="PEL224:PEM224"/>
    <mergeCell ref="PEN224:PEO224"/>
    <mergeCell ref="PEP224:PEQ224"/>
    <mergeCell ref="PFG224:PFH224"/>
    <mergeCell ref="PFI224:PFJ224"/>
    <mergeCell ref="PFK224:PFL224"/>
    <mergeCell ref="PFM224:PFN224"/>
    <mergeCell ref="PBW224:PBX224"/>
    <mergeCell ref="PBY224:PBZ224"/>
    <mergeCell ref="PCP224:PCQ224"/>
    <mergeCell ref="PCR224:PCS224"/>
    <mergeCell ref="PCT224:PCU224"/>
    <mergeCell ref="PCV224:PCW224"/>
    <mergeCell ref="PDM224:PDN224"/>
    <mergeCell ref="PDO224:PDP224"/>
    <mergeCell ref="PDQ224:PDR224"/>
    <mergeCell ref="PHZ224:PIA224"/>
    <mergeCell ref="PIB224:PIC224"/>
    <mergeCell ref="PID224:PIE224"/>
    <mergeCell ref="PIU224:PIV224"/>
    <mergeCell ref="PIW224:PIX224"/>
    <mergeCell ref="PIY224:PIZ224"/>
    <mergeCell ref="PJA224:PJB224"/>
    <mergeCell ref="PJR224:PJS224"/>
    <mergeCell ref="PJT224:PJU224"/>
    <mergeCell ref="PGD224:PGE224"/>
    <mergeCell ref="PGF224:PGG224"/>
    <mergeCell ref="PGH224:PGI224"/>
    <mergeCell ref="PGJ224:PGK224"/>
    <mergeCell ref="PHA224:PHB224"/>
    <mergeCell ref="PHC224:PHD224"/>
    <mergeCell ref="PHE224:PHF224"/>
    <mergeCell ref="PHG224:PHH224"/>
    <mergeCell ref="PHX224:PHY224"/>
    <mergeCell ref="PLR224:PLS224"/>
    <mergeCell ref="PMI224:PMJ224"/>
    <mergeCell ref="PMK224:PML224"/>
    <mergeCell ref="PMM224:PMN224"/>
    <mergeCell ref="PMO224:PMP224"/>
    <mergeCell ref="PNF224:PNG224"/>
    <mergeCell ref="PNH224:PNI224"/>
    <mergeCell ref="PNJ224:PNK224"/>
    <mergeCell ref="PNL224:PNM224"/>
    <mergeCell ref="PJV224:PJW224"/>
    <mergeCell ref="PJX224:PJY224"/>
    <mergeCell ref="PKO224:PKP224"/>
    <mergeCell ref="PKQ224:PKR224"/>
    <mergeCell ref="PKS224:PKT224"/>
    <mergeCell ref="PKU224:PKV224"/>
    <mergeCell ref="PLL224:PLM224"/>
    <mergeCell ref="PLN224:PLO224"/>
    <mergeCell ref="PLP224:PLQ224"/>
    <mergeCell ref="PPY224:PPZ224"/>
    <mergeCell ref="PQA224:PQB224"/>
    <mergeCell ref="PQC224:PQD224"/>
    <mergeCell ref="PQT224:PQU224"/>
    <mergeCell ref="PQV224:PQW224"/>
    <mergeCell ref="PQX224:PQY224"/>
    <mergeCell ref="PQZ224:PRA224"/>
    <mergeCell ref="PRQ224:PRR224"/>
    <mergeCell ref="PRS224:PRT224"/>
    <mergeCell ref="POC224:POD224"/>
    <mergeCell ref="POE224:POF224"/>
    <mergeCell ref="POG224:POH224"/>
    <mergeCell ref="POI224:POJ224"/>
    <mergeCell ref="POZ224:PPA224"/>
    <mergeCell ref="PPB224:PPC224"/>
    <mergeCell ref="PPD224:PPE224"/>
    <mergeCell ref="PPF224:PPG224"/>
    <mergeCell ref="PPW224:PPX224"/>
    <mergeCell ref="PTQ224:PTR224"/>
    <mergeCell ref="PUH224:PUI224"/>
    <mergeCell ref="PUJ224:PUK224"/>
    <mergeCell ref="PUL224:PUM224"/>
    <mergeCell ref="PUN224:PUO224"/>
    <mergeCell ref="PVE224:PVF224"/>
    <mergeCell ref="PVG224:PVH224"/>
    <mergeCell ref="PVI224:PVJ224"/>
    <mergeCell ref="PVK224:PVL224"/>
    <mergeCell ref="PRU224:PRV224"/>
    <mergeCell ref="PRW224:PRX224"/>
    <mergeCell ref="PSN224:PSO224"/>
    <mergeCell ref="PSP224:PSQ224"/>
    <mergeCell ref="PSR224:PSS224"/>
    <mergeCell ref="PST224:PSU224"/>
    <mergeCell ref="PTK224:PTL224"/>
    <mergeCell ref="PTM224:PTN224"/>
    <mergeCell ref="PTO224:PTP224"/>
    <mergeCell ref="PXX224:PXY224"/>
    <mergeCell ref="PXZ224:PYA224"/>
    <mergeCell ref="PYB224:PYC224"/>
    <mergeCell ref="PYS224:PYT224"/>
    <mergeCell ref="PYU224:PYV224"/>
    <mergeCell ref="PYW224:PYX224"/>
    <mergeCell ref="PYY224:PYZ224"/>
    <mergeCell ref="PZP224:PZQ224"/>
    <mergeCell ref="PZR224:PZS224"/>
    <mergeCell ref="PWB224:PWC224"/>
    <mergeCell ref="PWD224:PWE224"/>
    <mergeCell ref="PWF224:PWG224"/>
    <mergeCell ref="PWH224:PWI224"/>
    <mergeCell ref="PWY224:PWZ224"/>
    <mergeCell ref="PXA224:PXB224"/>
    <mergeCell ref="PXC224:PXD224"/>
    <mergeCell ref="PXE224:PXF224"/>
    <mergeCell ref="PXV224:PXW224"/>
    <mergeCell ref="QBP224:QBQ224"/>
    <mergeCell ref="QCG224:QCH224"/>
    <mergeCell ref="QCI224:QCJ224"/>
    <mergeCell ref="QCK224:QCL224"/>
    <mergeCell ref="QCM224:QCN224"/>
    <mergeCell ref="QDD224:QDE224"/>
    <mergeCell ref="QDF224:QDG224"/>
    <mergeCell ref="QDH224:QDI224"/>
    <mergeCell ref="QDJ224:QDK224"/>
    <mergeCell ref="PZT224:PZU224"/>
    <mergeCell ref="PZV224:PZW224"/>
    <mergeCell ref="QAM224:QAN224"/>
    <mergeCell ref="QAO224:QAP224"/>
    <mergeCell ref="QAQ224:QAR224"/>
    <mergeCell ref="QAS224:QAT224"/>
    <mergeCell ref="QBJ224:QBK224"/>
    <mergeCell ref="QBL224:QBM224"/>
    <mergeCell ref="QBN224:QBO224"/>
    <mergeCell ref="QFW224:QFX224"/>
    <mergeCell ref="QFY224:QFZ224"/>
    <mergeCell ref="QGA224:QGB224"/>
    <mergeCell ref="QGR224:QGS224"/>
    <mergeCell ref="QGT224:QGU224"/>
    <mergeCell ref="QGV224:QGW224"/>
    <mergeCell ref="QGX224:QGY224"/>
    <mergeCell ref="QHO224:QHP224"/>
    <mergeCell ref="QHQ224:QHR224"/>
    <mergeCell ref="QEA224:QEB224"/>
    <mergeCell ref="QEC224:QED224"/>
    <mergeCell ref="QEE224:QEF224"/>
    <mergeCell ref="QEG224:QEH224"/>
    <mergeCell ref="QEX224:QEY224"/>
    <mergeCell ref="QEZ224:QFA224"/>
    <mergeCell ref="QFB224:QFC224"/>
    <mergeCell ref="QFD224:QFE224"/>
    <mergeCell ref="QFU224:QFV224"/>
    <mergeCell ref="QJO224:QJP224"/>
    <mergeCell ref="QKF224:QKG224"/>
    <mergeCell ref="QKH224:QKI224"/>
    <mergeCell ref="QKJ224:QKK224"/>
    <mergeCell ref="QKL224:QKM224"/>
    <mergeCell ref="QLC224:QLD224"/>
    <mergeCell ref="QLE224:QLF224"/>
    <mergeCell ref="QLG224:QLH224"/>
    <mergeCell ref="QLI224:QLJ224"/>
    <mergeCell ref="QHS224:QHT224"/>
    <mergeCell ref="QHU224:QHV224"/>
    <mergeCell ref="QIL224:QIM224"/>
    <mergeCell ref="QIN224:QIO224"/>
    <mergeCell ref="QIP224:QIQ224"/>
    <mergeCell ref="QIR224:QIS224"/>
    <mergeCell ref="QJI224:QJJ224"/>
    <mergeCell ref="QJK224:QJL224"/>
    <mergeCell ref="QJM224:QJN224"/>
    <mergeCell ref="QNV224:QNW224"/>
    <mergeCell ref="QNX224:QNY224"/>
    <mergeCell ref="QNZ224:QOA224"/>
    <mergeCell ref="QOQ224:QOR224"/>
    <mergeCell ref="QOS224:QOT224"/>
    <mergeCell ref="QOU224:QOV224"/>
    <mergeCell ref="QOW224:QOX224"/>
    <mergeCell ref="QPN224:QPO224"/>
    <mergeCell ref="QPP224:QPQ224"/>
    <mergeCell ref="QLZ224:QMA224"/>
    <mergeCell ref="QMB224:QMC224"/>
    <mergeCell ref="QMD224:QME224"/>
    <mergeCell ref="QMF224:QMG224"/>
    <mergeCell ref="QMW224:QMX224"/>
    <mergeCell ref="QMY224:QMZ224"/>
    <mergeCell ref="QNA224:QNB224"/>
    <mergeCell ref="QNC224:QND224"/>
    <mergeCell ref="QNT224:QNU224"/>
    <mergeCell ref="QRN224:QRO224"/>
    <mergeCell ref="QSE224:QSF224"/>
    <mergeCell ref="QSG224:QSH224"/>
    <mergeCell ref="QSI224:QSJ224"/>
    <mergeCell ref="QSK224:QSL224"/>
    <mergeCell ref="QTB224:QTC224"/>
    <mergeCell ref="QTD224:QTE224"/>
    <mergeCell ref="QTF224:QTG224"/>
    <mergeCell ref="QTH224:QTI224"/>
    <mergeCell ref="QPR224:QPS224"/>
    <mergeCell ref="QPT224:QPU224"/>
    <mergeCell ref="QQK224:QQL224"/>
    <mergeCell ref="QQM224:QQN224"/>
    <mergeCell ref="QQO224:QQP224"/>
    <mergeCell ref="QQQ224:QQR224"/>
    <mergeCell ref="QRH224:QRI224"/>
    <mergeCell ref="QRJ224:QRK224"/>
    <mergeCell ref="QRL224:QRM224"/>
    <mergeCell ref="QVU224:QVV224"/>
    <mergeCell ref="QVW224:QVX224"/>
    <mergeCell ref="QVY224:QVZ224"/>
    <mergeCell ref="QWP224:QWQ224"/>
    <mergeCell ref="QWR224:QWS224"/>
    <mergeCell ref="QWT224:QWU224"/>
    <mergeCell ref="QWV224:QWW224"/>
    <mergeCell ref="QXM224:QXN224"/>
    <mergeCell ref="QXO224:QXP224"/>
    <mergeCell ref="QTY224:QTZ224"/>
    <mergeCell ref="QUA224:QUB224"/>
    <mergeCell ref="QUC224:QUD224"/>
    <mergeCell ref="QUE224:QUF224"/>
    <mergeCell ref="QUV224:QUW224"/>
    <mergeCell ref="QUX224:QUY224"/>
    <mergeCell ref="QUZ224:QVA224"/>
    <mergeCell ref="QVB224:QVC224"/>
    <mergeCell ref="QVS224:QVT224"/>
    <mergeCell ref="QZM224:QZN224"/>
    <mergeCell ref="RAD224:RAE224"/>
    <mergeCell ref="RAF224:RAG224"/>
    <mergeCell ref="RAH224:RAI224"/>
    <mergeCell ref="RAJ224:RAK224"/>
    <mergeCell ref="RBA224:RBB224"/>
    <mergeCell ref="RBC224:RBD224"/>
    <mergeCell ref="RBE224:RBF224"/>
    <mergeCell ref="RBG224:RBH224"/>
    <mergeCell ref="QXQ224:QXR224"/>
    <mergeCell ref="QXS224:QXT224"/>
    <mergeCell ref="QYJ224:QYK224"/>
    <mergeCell ref="QYL224:QYM224"/>
    <mergeCell ref="QYN224:QYO224"/>
    <mergeCell ref="QYP224:QYQ224"/>
    <mergeCell ref="QZG224:QZH224"/>
    <mergeCell ref="QZI224:QZJ224"/>
    <mergeCell ref="QZK224:QZL224"/>
    <mergeCell ref="RDT224:RDU224"/>
    <mergeCell ref="RDV224:RDW224"/>
    <mergeCell ref="RDX224:RDY224"/>
    <mergeCell ref="REO224:REP224"/>
    <mergeCell ref="REQ224:RER224"/>
    <mergeCell ref="RES224:RET224"/>
    <mergeCell ref="REU224:REV224"/>
    <mergeCell ref="RFL224:RFM224"/>
    <mergeCell ref="RFN224:RFO224"/>
    <mergeCell ref="RBX224:RBY224"/>
    <mergeCell ref="RBZ224:RCA224"/>
    <mergeCell ref="RCB224:RCC224"/>
    <mergeCell ref="RCD224:RCE224"/>
    <mergeCell ref="RCU224:RCV224"/>
    <mergeCell ref="RCW224:RCX224"/>
    <mergeCell ref="RCY224:RCZ224"/>
    <mergeCell ref="RDA224:RDB224"/>
    <mergeCell ref="RDR224:RDS224"/>
    <mergeCell ref="RHL224:RHM224"/>
    <mergeCell ref="RIC224:RID224"/>
    <mergeCell ref="RIE224:RIF224"/>
    <mergeCell ref="RIG224:RIH224"/>
    <mergeCell ref="RII224:RIJ224"/>
    <mergeCell ref="RIZ224:RJA224"/>
    <mergeCell ref="RJB224:RJC224"/>
    <mergeCell ref="RJD224:RJE224"/>
    <mergeCell ref="RJF224:RJG224"/>
    <mergeCell ref="RFP224:RFQ224"/>
    <mergeCell ref="RFR224:RFS224"/>
    <mergeCell ref="RGI224:RGJ224"/>
    <mergeCell ref="RGK224:RGL224"/>
    <mergeCell ref="RGM224:RGN224"/>
    <mergeCell ref="RGO224:RGP224"/>
    <mergeCell ref="RHF224:RHG224"/>
    <mergeCell ref="RHH224:RHI224"/>
    <mergeCell ref="RHJ224:RHK224"/>
    <mergeCell ref="RLS224:RLT224"/>
    <mergeCell ref="RLU224:RLV224"/>
    <mergeCell ref="RLW224:RLX224"/>
    <mergeCell ref="RMN224:RMO224"/>
    <mergeCell ref="RMP224:RMQ224"/>
    <mergeCell ref="RMR224:RMS224"/>
    <mergeCell ref="RMT224:RMU224"/>
    <mergeCell ref="RNK224:RNL224"/>
    <mergeCell ref="RNM224:RNN224"/>
    <mergeCell ref="RJW224:RJX224"/>
    <mergeCell ref="RJY224:RJZ224"/>
    <mergeCell ref="RKA224:RKB224"/>
    <mergeCell ref="RKC224:RKD224"/>
    <mergeCell ref="RKT224:RKU224"/>
    <mergeCell ref="RKV224:RKW224"/>
    <mergeCell ref="RKX224:RKY224"/>
    <mergeCell ref="RKZ224:RLA224"/>
    <mergeCell ref="RLQ224:RLR224"/>
    <mergeCell ref="RPK224:RPL224"/>
    <mergeCell ref="RQB224:RQC224"/>
    <mergeCell ref="RQD224:RQE224"/>
    <mergeCell ref="RQF224:RQG224"/>
    <mergeCell ref="RQH224:RQI224"/>
    <mergeCell ref="RQY224:RQZ224"/>
    <mergeCell ref="RRA224:RRB224"/>
    <mergeCell ref="RRC224:RRD224"/>
    <mergeCell ref="RRE224:RRF224"/>
    <mergeCell ref="RNO224:RNP224"/>
    <mergeCell ref="RNQ224:RNR224"/>
    <mergeCell ref="ROH224:ROI224"/>
    <mergeCell ref="ROJ224:ROK224"/>
    <mergeCell ref="ROL224:ROM224"/>
    <mergeCell ref="RON224:ROO224"/>
    <mergeCell ref="RPE224:RPF224"/>
    <mergeCell ref="RPG224:RPH224"/>
    <mergeCell ref="RPI224:RPJ224"/>
    <mergeCell ref="RTR224:RTS224"/>
    <mergeCell ref="RTT224:RTU224"/>
    <mergeCell ref="RTV224:RTW224"/>
    <mergeCell ref="RUM224:RUN224"/>
    <mergeCell ref="RUO224:RUP224"/>
    <mergeCell ref="RUQ224:RUR224"/>
    <mergeCell ref="RUS224:RUT224"/>
    <mergeCell ref="RVJ224:RVK224"/>
    <mergeCell ref="RVL224:RVM224"/>
    <mergeCell ref="RRV224:RRW224"/>
    <mergeCell ref="RRX224:RRY224"/>
    <mergeCell ref="RRZ224:RSA224"/>
    <mergeCell ref="RSB224:RSC224"/>
    <mergeCell ref="RSS224:RST224"/>
    <mergeCell ref="RSU224:RSV224"/>
    <mergeCell ref="RSW224:RSX224"/>
    <mergeCell ref="RSY224:RSZ224"/>
    <mergeCell ref="RTP224:RTQ224"/>
    <mergeCell ref="RXJ224:RXK224"/>
    <mergeCell ref="RYA224:RYB224"/>
    <mergeCell ref="RYC224:RYD224"/>
    <mergeCell ref="RYE224:RYF224"/>
    <mergeCell ref="RYG224:RYH224"/>
    <mergeCell ref="RYX224:RYY224"/>
    <mergeCell ref="RYZ224:RZA224"/>
    <mergeCell ref="RZB224:RZC224"/>
    <mergeCell ref="RZD224:RZE224"/>
    <mergeCell ref="RVN224:RVO224"/>
    <mergeCell ref="RVP224:RVQ224"/>
    <mergeCell ref="RWG224:RWH224"/>
    <mergeCell ref="RWI224:RWJ224"/>
    <mergeCell ref="RWK224:RWL224"/>
    <mergeCell ref="RWM224:RWN224"/>
    <mergeCell ref="RXD224:RXE224"/>
    <mergeCell ref="RXF224:RXG224"/>
    <mergeCell ref="RXH224:RXI224"/>
    <mergeCell ref="SBQ224:SBR224"/>
    <mergeCell ref="SBS224:SBT224"/>
    <mergeCell ref="SBU224:SBV224"/>
    <mergeCell ref="SCL224:SCM224"/>
    <mergeCell ref="SCN224:SCO224"/>
    <mergeCell ref="SCP224:SCQ224"/>
    <mergeCell ref="SCR224:SCS224"/>
    <mergeCell ref="SDI224:SDJ224"/>
    <mergeCell ref="SDK224:SDL224"/>
    <mergeCell ref="RZU224:RZV224"/>
    <mergeCell ref="RZW224:RZX224"/>
    <mergeCell ref="RZY224:RZZ224"/>
    <mergeCell ref="SAA224:SAB224"/>
    <mergeCell ref="SAR224:SAS224"/>
    <mergeCell ref="SAT224:SAU224"/>
    <mergeCell ref="SAV224:SAW224"/>
    <mergeCell ref="SAX224:SAY224"/>
    <mergeCell ref="SBO224:SBP224"/>
    <mergeCell ref="SFI224:SFJ224"/>
    <mergeCell ref="SFZ224:SGA224"/>
    <mergeCell ref="SGB224:SGC224"/>
    <mergeCell ref="SGD224:SGE224"/>
    <mergeCell ref="SGF224:SGG224"/>
    <mergeCell ref="SGW224:SGX224"/>
    <mergeCell ref="SGY224:SGZ224"/>
    <mergeCell ref="SHA224:SHB224"/>
    <mergeCell ref="SHC224:SHD224"/>
    <mergeCell ref="SDM224:SDN224"/>
    <mergeCell ref="SDO224:SDP224"/>
    <mergeCell ref="SEF224:SEG224"/>
    <mergeCell ref="SEH224:SEI224"/>
    <mergeCell ref="SEJ224:SEK224"/>
    <mergeCell ref="SEL224:SEM224"/>
    <mergeCell ref="SFC224:SFD224"/>
    <mergeCell ref="SFE224:SFF224"/>
    <mergeCell ref="SFG224:SFH224"/>
    <mergeCell ref="SJP224:SJQ224"/>
    <mergeCell ref="SJR224:SJS224"/>
    <mergeCell ref="SJT224:SJU224"/>
    <mergeCell ref="SKK224:SKL224"/>
    <mergeCell ref="SKM224:SKN224"/>
    <mergeCell ref="SKO224:SKP224"/>
    <mergeCell ref="SKQ224:SKR224"/>
    <mergeCell ref="SLH224:SLI224"/>
    <mergeCell ref="SLJ224:SLK224"/>
    <mergeCell ref="SHT224:SHU224"/>
    <mergeCell ref="SHV224:SHW224"/>
    <mergeCell ref="SHX224:SHY224"/>
    <mergeCell ref="SHZ224:SIA224"/>
    <mergeCell ref="SIQ224:SIR224"/>
    <mergeCell ref="SIS224:SIT224"/>
    <mergeCell ref="SIU224:SIV224"/>
    <mergeCell ref="SIW224:SIX224"/>
    <mergeCell ref="SJN224:SJO224"/>
    <mergeCell ref="SNH224:SNI224"/>
    <mergeCell ref="SNY224:SNZ224"/>
    <mergeCell ref="SOA224:SOB224"/>
    <mergeCell ref="SOC224:SOD224"/>
    <mergeCell ref="SOE224:SOF224"/>
    <mergeCell ref="SOV224:SOW224"/>
    <mergeCell ref="SOX224:SOY224"/>
    <mergeCell ref="SOZ224:SPA224"/>
    <mergeCell ref="SPB224:SPC224"/>
    <mergeCell ref="SLL224:SLM224"/>
    <mergeCell ref="SLN224:SLO224"/>
    <mergeCell ref="SME224:SMF224"/>
    <mergeCell ref="SMG224:SMH224"/>
    <mergeCell ref="SMI224:SMJ224"/>
    <mergeCell ref="SMK224:SML224"/>
    <mergeCell ref="SNB224:SNC224"/>
    <mergeCell ref="SND224:SNE224"/>
    <mergeCell ref="SNF224:SNG224"/>
    <mergeCell ref="SRO224:SRP224"/>
    <mergeCell ref="SRQ224:SRR224"/>
    <mergeCell ref="SRS224:SRT224"/>
    <mergeCell ref="SSJ224:SSK224"/>
    <mergeCell ref="SSL224:SSM224"/>
    <mergeCell ref="SSN224:SSO224"/>
    <mergeCell ref="SSP224:SSQ224"/>
    <mergeCell ref="STG224:STH224"/>
    <mergeCell ref="STI224:STJ224"/>
    <mergeCell ref="SPS224:SPT224"/>
    <mergeCell ref="SPU224:SPV224"/>
    <mergeCell ref="SPW224:SPX224"/>
    <mergeCell ref="SPY224:SPZ224"/>
    <mergeCell ref="SQP224:SQQ224"/>
    <mergeCell ref="SQR224:SQS224"/>
    <mergeCell ref="SQT224:SQU224"/>
    <mergeCell ref="SQV224:SQW224"/>
    <mergeCell ref="SRM224:SRN224"/>
    <mergeCell ref="SVG224:SVH224"/>
    <mergeCell ref="SVX224:SVY224"/>
    <mergeCell ref="SVZ224:SWA224"/>
    <mergeCell ref="SWB224:SWC224"/>
    <mergeCell ref="SWD224:SWE224"/>
    <mergeCell ref="SWU224:SWV224"/>
    <mergeCell ref="SWW224:SWX224"/>
    <mergeCell ref="SWY224:SWZ224"/>
    <mergeCell ref="SXA224:SXB224"/>
    <mergeCell ref="STK224:STL224"/>
    <mergeCell ref="STM224:STN224"/>
    <mergeCell ref="SUD224:SUE224"/>
    <mergeCell ref="SUF224:SUG224"/>
    <mergeCell ref="SUH224:SUI224"/>
    <mergeCell ref="SUJ224:SUK224"/>
    <mergeCell ref="SVA224:SVB224"/>
    <mergeCell ref="SVC224:SVD224"/>
    <mergeCell ref="SVE224:SVF224"/>
    <mergeCell ref="SZN224:SZO224"/>
    <mergeCell ref="SZP224:SZQ224"/>
    <mergeCell ref="SZR224:SZS224"/>
    <mergeCell ref="TAI224:TAJ224"/>
    <mergeCell ref="TAK224:TAL224"/>
    <mergeCell ref="TAM224:TAN224"/>
    <mergeCell ref="TAO224:TAP224"/>
    <mergeCell ref="TBF224:TBG224"/>
    <mergeCell ref="TBH224:TBI224"/>
    <mergeCell ref="SXR224:SXS224"/>
    <mergeCell ref="SXT224:SXU224"/>
    <mergeCell ref="SXV224:SXW224"/>
    <mergeCell ref="SXX224:SXY224"/>
    <mergeCell ref="SYO224:SYP224"/>
    <mergeCell ref="SYQ224:SYR224"/>
    <mergeCell ref="SYS224:SYT224"/>
    <mergeCell ref="SYU224:SYV224"/>
    <mergeCell ref="SZL224:SZM224"/>
    <mergeCell ref="TDF224:TDG224"/>
    <mergeCell ref="TDW224:TDX224"/>
    <mergeCell ref="TDY224:TDZ224"/>
    <mergeCell ref="TEA224:TEB224"/>
    <mergeCell ref="TEC224:TED224"/>
    <mergeCell ref="TET224:TEU224"/>
    <mergeCell ref="TEV224:TEW224"/>
    <mergeCell ref="TEX224:TEY224"/>
    <mergeCell ref="TEZ224:TFA224"/>
    <mergeCell ref="TBJ224:TBK224"/>
    <mergeCell ref="TBL224:TBM224"/>
    <mergeCell ref="TCC224:TCD224"/>
    <mergeCell ref="TCE224:TCF224"/>
    <mergeCell ref="TCG224:TCH224"/>
    <mergeCell ref="TCI224:TCJ224"/>
    <mergeCell ref="TCZ224:TDA224"/>
    <mergeCell ref="TDB224:TDC224"/>
    <mergeCell ref="TDD224:TDE224"/>
    <mergeCell ref="THM224:THN224"/>
    <mergeCell ref="THO224:THP224"/>
    <mergeCell ref="THQ224:THR224"/>
    <mergeCell ref="TIH224:TII224"/>
    <mergeCell ref="TIJ224:TIK224"/>
    <mergeCell ref="TIL224:TIM224"/>
    <mergeCell ref="TIN224:TIO224"/>
    <mergeCell ref="TJE224:TJF224"/>
    <mergeCell ref="TJG224:TJH224"/>
    <mergeCell ref="TFQ224:TFR224"/>
    <mergeCell ref="TFS224:TFT224"/>
    <mergeCell ref="TFU224:TFV224"/>
    <mergeCell ref="TFW224:TFX224"/>
    <mergeCell ref="TGN224:TGO224"/>
    <mergeCell ref="TGP224:TGQ224"/>
    <mergeCell ref="TGR224:TGS224"/>
    <mergeCell ref="TGT224:TGU224"/>
    <mergeCell ref="THK224:THL224"/>
    <mergeCell ref="TLE224:TLF224"/>
    <mergeCell ref="TLV224:TLW224"/>
    <mergeCell ref="TLX224:TLY224"/>
    <mergeCell ref="TLZ224:TMA224"/>
    <mergeCell ref="TMB224:TMC224"/>
    <mergeCell ref="TMS224:TMT224"/>
    <mergeCell ref="TMU224:TMV224"/>
    <mergeCell ref="TMW224:TMX224"/>
    <mergeCell ref="TMY224:TMZ224"/>
    <mergeCell ref="TJI224:TJJ224"/>
    <mergeCell ref="TJK224:TJL224"/>
    <mergeCell ref="TKB224:TKC224"/>
    <mergeCell ref="TKD224:TKE224"/>
    <mergeCell ref="TKF224:TKG224"/>
    <mergeCell ref="TKH224:TKI224"/>
    <mergeCell ref="TKY224:TKZ224"/>
    <mergeCell ref="TLA224:TLB224"/>
    <mergeCell ref="TLC224:TLD224"/>
    <mergeCell ref="TPL224:TPM224"/>
    <mergeCell ref="TPN224:TPO224"/>
    <mergeCell ref="TPP224:TPQ224"/>
    <mergeCell ref="TQG224:TQH224"/>
    <mergeCell ref="TQI224:TQJ224"/>
    <mergeCell ref="TQK224:TQL224"/>
    <mergeCell ref="TQM224:TQN224"/>
    <mergeCell ref="TRD224:TRE224"/>
    <mergeCell ref="TRF224:TRG224"/>
    <mergeCell ref="TNP224:TNQ224"/>
    <mergeCell ref="TNR224:TNS224"/>
    <mergeCell ref="TNT224:TNU224"/>
    <mergeCell ref="TNV224:TNW224"/>
    <mergeCell ref="TOM224:TON224"/>
    <mergeCell ref="TOO224:TOP224"/>
    <mergeCell ref="TOQ224:TOR224"/>
    <mergeCell ref="TOS224:TOT224"/>
    <mergeCell ref="TPJ224:TPK224"/>
    <mergeCell ref="TTD224:TTE224"/>
    <mergeCell ref="TTU224:TTV224"/>
    <mergeCell ref="TTW224:TTX224"/>
    <mergeCell ref="TTY224:TTZ224"/>
    <mergeCell ref="TUA224:TUB224"/>
    <mergeCell ref="TUR224:TUS224"/>
    <mergeCell ref="TUT224:TUU224"/>
    <mergeCell ref="TUV224:TUW224"/>
    <mergeCell ref="TUX224:TUY224"/>
    <mergeCell ref="TRH224:TRI224"/>
    <mergeCell ref="TRJ224:TRK224"/>
    <mergeCell ref="TSA224:TSB224"/>
    <mergeCell ref="TSC224:TSD224"/>
    <mergeCell ref="TSE224:TSF224"/>
    <mergeCell ref="TSG224:TSH224"/>
    <mergeCell ref="TSX224:TSY224"/>
    <mergeCell ref="TSZ224:TTA224"/>
    <mergeCell ref="TTB224:TTC224"/>
    <mergeCell ref="TXK224:TXL224"/>
    <mergeCell ref="TXM224:TXN224"/>
    <mergeCell ref="TXO224:TXP224"/>
    <mergeCell ref="TYF224:TYG224"/>
    <mergeCell ref="TYH224:TYI224"/>
    <mergeCell ref="TYJ224:TYK224"/>
    <mergeCell ref="TYL224:TYM224"/>
    <mergeCell ref="TZC224:TZD224"/>
    <mergeCell ref="TZE224:TZF224"/>
    <mergeCell ref="TVO224:TVP224"/>
    <mergeCell ref="TVQ224:TVR224"/>
    <mergeCell ref="TVS224:TVT224"/>
    <mergeCell ref="TVU224:TVV224"/>
    <mergeCell ref="TWL224:TWM224"/>
    <mergeCell ref="TWN224:TWO224"/>
    <mergeCell ref="TWP224:TWQ224"/>
    <mergeCell ref="TWR224:TWS224"/>
    <mergeCell ref="TXI224:TXJ224"/>
    <mergeCell ref="UBC224:UBD224"/>
    <mergeCell ref="UBT224:UBU224"/>
    <mergeCell ref="UBV224:UBW224"/>
    <mergeCell ref="UBX224:UBY224"/>
    <mergeCell ref="UBZ224:UCA224"/>
    <mergeCell ref="UCQ224:UCR224"/>
    <mergeCell ref="UCS224:UCT224"/>
    <mergeCell ref="UCU224:UCV224"/>
    <mergeCell ref="UCW224:UCX224"/>
    <mergeCell ref="TZG224:TZH224"/>
    <mergeCell ref="TZI224:TZJ224"/>
    <mergeCell ref="TZZ224:UAA224"/>
    <mergeCell ref="UAB224:UAC224"/>
    <mergeCell ref="UAD224:UAE224"/>
    <mergeCell ref="UAF224:UAG224"/>
    <mergeCell ref="UAW224:UAX224"/>
    <mergeCell ref="UAY224:UAZ224"/>
    <mergeCell ref="UBA224:UBB224"/>
    <mergeCell ref="UFJ224:UFK224"/>
    <mergeCell ref="UFL224:UFM224"/>
    <mergeCell ref="UFN224:UFO224"/>
    <mergeCell ref="UGE224:UGF224"/>
    <mergeCell ref="UGG224:UGH224"/>
    <mergeCell ref="UGI224:UGJ224"/>
    <mergeCell ref="UGK224:UGL224"/>
    <mergeCell ref="UHB224:UHC224"/>
    <mergeCell ref="UHD224:UHE224"/>
    <mergeCell ref="UDN224:UDO224"/>
    <mergeCell ref="UDP224:UDQ224"/>
    <mergeCell ref="UDR224:UDS224"/>
    <mergeCell ref="UDT224:UDU224"/>
    <mergeCell ref="UEK224:UEL224"/>
    <mergeCell ref="UEM224:UEN224"/>
    <mergeCell ref="UEO224:UEP224"/>
    <mergeCell ref="UEQ224:UER224"/>
    <mergeCell ref="UFH224:UFI224"/>
    <mergeCell ref="UJB224:UJC224"/>
    <mergeCell ref="UJS224:UJT224"/>
    <mergeCell ref="UJU224:UJV224"/>
    <mergeCell ref="UJW224:UJX224"/>
    <mergeCell ref="UJY224:UJZ224"/>
    <mergeCell ref="UKP224:UKQ224"/>
    <mergeCell ref="UKR224:UKS224"/>
    <mergeCell ref="UKT224:UKU224"/>
    <mergeCell ref="UKV224:UKW224"/>
    <mergeCell ref="UHF224:UHG224"/>
    <mergeCell ref="UHH224:UHI224"/>
    <mergeCell ref="UHY224:UHZ224"/>
    <mergeCell ref="UIA224:UIB224"/>
    <mergeCell ref="UIC224:UID224"/>
    <mergeCell ref="UIE224:UIF224"/>
    <mergeCell ref="UIV224:UIW224"/>
    <mergeCell ref="UIX224:UIY224"/>
    <mergeCell ref="UIZ224:UJA224"/>
    <mergeCell ref="UNI224:UNJ224"/>
    <mergeCell ref="UNK224:UNL224"/>
    <mergeCell ref="UNM224:UNN224"/>
    <mergeCell ref="UOD224:UOE224"/>
    <mergeCell ref="UOF224:UOG224"/>
    <mergeCell ref="UOH224:UOI224"/>
    <mergeCell ref="UOJ224:UOK224"/>
    <mergeCell ref="UPA224:UPB224"/>
    <mergeCell ref="UPC224:UPD224"/>
    <mergeCell ref="ULM224:ULN224"/>
    <mergeCell ref="ULO224:ULP224"/>
    <mergeCell ref="ULQ224:ULR224"/>
    <mergeCell ref="ULS224:ULT224"/>
    <mergeCell ref="UMJ224:UMK224"/>
    <mergeCell ref="UML224:UMM224"/>
    <mergeCell ref="UMN224:UMO224"/>
    <mergeCell ref="UMP224:UMQ224"/>
    <mergeCell ref="UNG224:UNH224"/>
    <mergeCell ref="URA224:URB224"/>
    <mergeCell ref="URR224:URS224"/>
    <mergeCell ref="URT224:URU224"/>
    <mergeCell ref="URV224:URW224"/>
    <mergeCell ref="URX224:URY224"/>
    <mergeCell ref="USO224:USP224"/>
    <mergeCell ref="USQ224:USR224"/>
    <mergeCell ref="USS224:UST224"/>
    <mergeCell ref="USU224:USV224"/>
    <mergeCell ref="UPE224:UPF224"/>
    <mergeCell ref="UPG224:UPH224"/>
    <mergeCell ref="UPX224:UPY224"/>
    <mergeCell ref="UPZ224:UQA224"/>
    <mergeCell ref="UQB224:UQC224"/>
    <mergeCell ref="UQD224:UQE224"/>
    <mergeCell ref="UQU224:UQV224"/>
    <mergeCell ref="UQW224:UQX224"/>
    <mergeCell ref="UQY224:UQZ224"/>
    <mergeCell ref="UVH224:UVI224"/>
    <mergeCell ref="UVJ224:UVK224"/>
    <mergeCell ref="UVL224:UVM224"/>
    <mergeCell ref="UWC224:UWD224"/>
    <mergeCell ref="UWE224:UWF224"/>
    <mergeCell ref="UWG224:UWH224"/>
    <mergeCell ref="UWI224:UWJ224"/>
    <mergeCell ref="UWZ224:UXA224"/>
    <mergeCell ref="UXB224:UXC224"/>
    <mergeCell ref="UTL224:UTM224"/>
    <mergeCell ref="UTN224:UTO224"/>
    <mergeCell ref="UTP224:UTQ224"/>
    <mergeCell ref="UTR224:UTS224"/>
    <mergeCell ref="UUI224:UUJ224"/>
    <mergeCell ref="UUK224:UUL224"/>
    <mergeCell ref="UUM224:UUN224"/>
    <mergeCell ref="UUO224:UUP224"/>
    <mergeCell ref="UVF224:UVG224"/>
    <mergeCell ref="UYZ224:UZA224"/>
    <mergeCell ref="UZQ224:UZR224"/>
    <mergeCell ref="UZS224:UZT224"/>
    <mergeCell ref="UZU224:UZV224"/>
    <mergeCell ref="UZW224:UZX224"/>
    <mergeCell ref="VAN224:VAO224"/>
    <mergeCell ref="VAP224:VAQ224"/>
    <mergeCell ref="VAR224:VAS224"/>
    <mergeCell ref="VAT224:VAU224"/>
    <mergeCell ref="UXD224:UXE224"/>
    <mergeCell ref="UXF224:UXG224"/>
    <mergeCell ref="UXW224:UXX224"/>
    <mergeCell ref="UXY224:UXZ224"/>
    <mergeCell ref="UYA224:UYB224"/>
    <mergeCell ref="UYC224:UYD224"/>
    <mergeCell ref="UYT224:UYU224"/>
    <mergeCell ref="UYV224:UYW224"/>
    <mergeCell ref="UYX224:UYY224"/>
    <mergeCell ref="VDG224:VDH224"/>
    <mergeCell ref="VDI224:VDJ224"/>
    <mergeCell ref="VDK224:VDL224"/>
    <mergeCell ref="VEB224:VEC224"/>
    <mergeCell ref="VED224:VEE224"/>
    <mergeCell ref="VEF224:VEG224"/>
    <mergeCell ref="VEH224:VEI224"/>
    <mergeCell ref="VEY224:VEZ224"/>
    <mergeCell ref="VFA224:VFB224"/>
    <mergeCell ref="VBK224:VBL224"/>
    <mergeCell ref="VBM224:VBN224"/>
    <mergeCell ref="VBO224:VBP224"/>
    <mergeCell ref="VBQ224:VBR224"/>
    <mergeCell ref="VCH224:VCI224"/>
    <mergeCell ref="VCJ224:VCK224"/>
    <mergeCell ref="VCL224:VCM224"/>
    <mergeCell ref="VCN224:VCO224"/>
    <mergeCell ref="VDE224:VDF224"/>
    <mergeCell ref="VGY224:VGZ224"/>
    <mergeCell ref="VHP224:VHQ224"/>
    <mergeCell ref="VHR224:VHS224"/>
    <mergeCell ref="VHT224:VHU224"/>
    <mergeCell ref="VHV224:VHW224"/>
    <mergeCell ref="VIM224:VIN224"/>
    <mergeCell ref="VIO224:VIP224"/>
    <mergeCell ref="VIQ224:VIR224"/>
    <mergeCell ref="VIS224:VIT224"/>
    <mergeCell ref="VFC224:VFD224"/>
    <mergeCell ref="VFE224:VFF224"/>
    <mergeCell ref="VFV224:VFW224"/>
    <mergeCell ref="VFX224:VFY224"/>
    <mergeCell ref="VFZ224:VGA224"/>
    <mergeCell ref="VGB224:VGC224"/>
    <mergeCell ref="VGS224:VGT224"/>
    <mergeCell ref="VGU224:VGV224"/>
    <mergeCell ref="VGW224:VGX224"/>
    <mergeCell ref="VLF224:VLG224"/>
    <mergeCell ref="VLH224:VLI224"/>
    <mergeCell ref="VLJ224:VLK224"/>
    <mergeCell ref="VMA224:VMB224"/>
    <mergeCell ref="VMC224:VMD224"/>
    <mergeCell ref="VME224:VMF224"/>
    <mergeCell ref="VMG224:VMH224"/>
    <mergeCell ref="VMX224:VMY224"/>
    <mergeCell ref="VMZ224:VNA224"/>
    <mergeCell ref="VJJ224:VJK224"/>
    <mergeCell ref="VJL224:VJM224"/>
    <mergeCell ref="VJN224:VJO224"/>
    <mergeCell ref="VJP224:VJQ224"/>
    <mergeCell ref="VKG224:VKH224"/>
    <mergeCell ref="VKI224:VKJ224"/>
    <mergeCell ref="VKK224:VKL224"/>
    <mergeCell ref="VKM224:VKN224"/>
    <mergeCell ref="VLD224:VLE224"/>
    <mergeCell ref="VOX224:VOY224"/>
    <mergeCell ref="VPO224:VPP224"/>
    <mergeCell ref="VPQ224:VPR224"/>
    <mergeCell ref="VPS224:VPT224"/>
    <mergeCell ref="VPU224:VPV224"/>
    <mergeCell ref="VQL224:VQM224"/>
    <mergeCell ref="VQN224:VQO224"/>
    <mergeCell ref="VQP224:VQQ224"/>
    <mergeCell ref="VQR224:VQS224"/>
    <mergeCell ref="VNB224:VNC224"/>
    <mergeCell ref="VND224:VNE224"/>
    <mergeCell ref="VNU224:VNV224"/>
    <mergeCell ref="VNW224:VNX224"/>
    <mergeCell ref="VNY224:VNZ224"/>
    <mergeCell ref="VOA224:VOB224"/>
    <mergeCell ref="VOR224:VOS224"/>
    <mergeCell ref="VOT224:VOU224"/>
    <mergeCell ref="VOV224:VOW224"/>
    <mergeCell ref="VTE224:VTF224"/>
    <mergeCell ref="VTG224:VTH224"/>
    <mergeCell ref="VTI224:VTJ224"/>
    <mergeCell ref="VTZ224:VUA224"/>
    <mergeCell ref="VUB224:VUC224"/>
    <mergeCell ref="VUD224:VUE224"/>
    <mergeCell ref="VUF224:VUG224"/>
    <mergeCell ref="VUW224:VUX224"/>
    <mergeCell ref="VUY224:VUZ224"/>
    <mergeCell ref="VRI224:VRJ224"/>
    <mergeCell ref="VRK224:VRL224"/>
    <mergeCell ref="VRM224:VRN224"/>
    <mergeCell ref="VRO224:VRP224"/>
    <mergeCell ref="VSF224:VSG224"/>
    <mergeCell ref="VSH224:VSI224"/>
    <mergeCell ref="VSJ224:VSK224"/>
    <mergeCell ref="VSL224:VSM224"/>
    <mergeCell ref="VTC224:VTD224"/>
    <mergeCell ref="VWW224:VWX224"/>
    <mergeCell ref="VXN224:VXO224"/>
    <mergeCell ref="VXP224:VXQ224"/>
    <mergeCell ref="VXR224:VXS224"/>
    <mergeCell ref="VXT224:VXU224"/>
    <mergeCell ref="VYK224:VYL224"/>
    <mergeCell ref="VYM224:VYN224"/>
    <mergeCell ref="VYO224:VYP224"/>
    <mergeCell ref="VYQ224:VYR224"/>
    <mergeCell ref="VVA224:VVB224"/>
    <mergeCell ref="VVC224:VVD224"/>
    <mergeCell ref="VVT224:VVU224"/>
    <mergeCell ref="VVV224:VVW224"/>
    <mergeCell ref="VVX224:VVY224"/>
    <mergeCell ref="VVZ224:VWA224"/>
    <mergeCell ref="VWQ224:VWR224"/>
    <mergeCell ref="VWS224:VWT224"/>
    <mergeCell ref="VWU224:VWV224"/>
    <mergeCell ref="WBD224:WBE224"/>
    <mergeCell ref="WBF224:WBG224"/>
    <mergeCell ref="WBH224:WBI224"/>
    <mergeCell ref="WBY224:WBZ224"/>
    <mergeCell ref="WCA224:WCB224"/>
    <mergeCell ref="WCC224:WCD224"/>
    <mergeCell ref="WCE224:WCF224"/>
    <mergeCell ref="WCV224:WCW224"/>
    <mergeCell ref="WCX224:WCY224"/>
    <mergeCell ref="VZH224:VZI224"/>
    <mergeCell ref="VZJ224:VZK224"/>
    <mergeCell ref="VZL224:VZM224"/>
    <mergeCell ref="VZN224:VZO224"/>
    <mergeCell ref="WAE224:WAF224"/>
    <mergeCell ref="WAG224:WAH224"/>
    <mergeCell ref="WAI224:WAJ224"/>
    <mergeCell ref="WAK224:WAL224"/>
    <mergeCell ref="WBB224:WBC224"/>
    <mergeCell ref="WEV224:WEW224"/>
    <mergeCell ref="WFM224:WFN224"/>
    <mergeCell ref="WFO224:WFP224"/>
    <mergeCell ref="WFQ224:WFR224"/>
    <mergeCell ref="WFS224:WFT224"/>
    <mergeCell ref="WGJ224:WGK224"/>
    <mergeCell ref="WGL224:WGM224"/>
    <mergeCell ref="WGN224:WGO224"/>
    <mergeCell ref="WGP224:WGQ224"/>
    <mergeCell ref="WCZ224:WDA224"/>
    <mergeCell ref="WDB224:WDC224"/>
    <mergeCell ref="WDS224:WDT224"/>
    <mergeCell ref="WDU224:WDV224"/>
    <mergeCell ref="WDW224:WDX224"/>
    <mergeCell ref="WDY224:WDZ224"/>
    <mergeCell ref="WEP224:WEQ224"/>
    <mergeCell ref="WER224:WES224"/>
    <mergeCell ref="WET224:WEU224"/>
    <mergeCell ref="WJC224:WJD224"/>
    <mergeCell ref="WJE224:WJF224"/>
    <mergeCell ref="WJG224:WJH224"/>
    <mergeCell ref="WJX224:WJY224"/>
    <mergeCell ref="WJZ224:WKA224"/>
    <mergeCell ref="WKB224:WKC224"/>
    <mergeCell ref="WKD224:WKE224"/>
    <mergeCell ref="WKU224:WKV224"/>
    <mergeCell ref="WKW224:WKX224"/>
    <mergeCell ref="WHG224:WHH224"/>
    <mergeCell ref="WHI224:WHJ224"/>
    <mergeCell ref="WHK224:WHL224"/>
    <mergeCell ref="WHM224:WHN224"/>
    <mergeCell ref="WID224:WIE224"/>
    <mergeCell ref="WIF224:WIG224"/>
    <mergeCell ref="WIH224:WII224"/>
    <mergeCell ref="WIJ224:WIK224"/>
    <mergeCell ref="WJA224:WJB224"/>
    <mergeCell ref="WMU224:WMV224"/>
    <mergeCell ref="WNL224:WNM224"/>
    <mergeCell ref="WNN224:WNO224"/>
    <mergeCell ref="WNP224:WNQ224"/>
    <mergeCell ref="WNR224:WNS224"/>
    <mergeCell ref="WOI224:WOJ224"/>
    <mergeCell ref="WOK224:WOL224"/>
    <mergeCell ref="WOM224:WON224"/>
    <mergeCell ref="WOO224:WOP224"/>
    <mergeCell ref="WKY224:WKZ224"/>
    <mergeCell ref="WLA224:WLB224"/>
    <mergeCell ref="WLR224:WLS224"/>
    <mergeCell ref="WLT224:WLU224"/>
    <mergeCell ref="WLV224:WLW224"/>
    <mergeCell ref="WLX224:WLY224"/>
    <mergeCell ref="WMO224:WMP224"/>
    <mergeCell ref="WMQ224:WMR224"/>
    <mergeCell ref="WMS224:WMT224"/>
    <mergeCell ref="WRB224:WRC224"/>
    <mergeCell ref="WRD224:WRE224"/>
    <mergeCell ref="WRF224:WRG224"/>
    <mergeCell ref="WRW224:WRX224"/>
    <mergeCell ref="WRY224:WRZ224"/>
    <mergeCell ref="WSA224:WSB224"/>
    <mergeCell ref="WSC224:WSD224"/>
    <mergeCell ref="WST224:WSU224"/>
    <mergeCell ref="WSV224:WSW224"/>
    <mergeCell ref="WPF224:WPG224"/>
    <mergeCell ref="WPH224:WPI224"/>
    <mergeCell ref="WPJ224:WPK224"/>
    <mergeCell ref="WPL224:WPM224"/>
    <mergeCell ref="WQC224:WQD224"/>
    <mergeCell ref="WQE224:WQF224"/>
    <mergeCell ref="WQG224:WQH224"/>
    <mergeCell ref="WQI224:WQJ224"/>
    <mergeCell ref="WQZ224:WRA224"/>
    <mergeCell ref="WXI224:WXJ224"/>
    <mergeCell ref="WXK224:WXL224"/>
    <mergeCell ref="WYB224:WYC224"/>
    <mergeCell ref="WSX224:WSY224"/>
    <mergeCell ref="WSZ224:WTA224"/>
    <mergeCell ref="WTQ224:WTR224"/>
    <mergeCell ref="WTS224:WTT224"/>
    <mergeCell ref="WTU224:WTV224"/>
    <mergeCell ref="WTW224:WTX224"/>
    <mergeCell ref="WUN224:WUO224"/>
    <mergeCell ref="WUP224:WUQ224"/>
    <mergeCell ref="WUR224:WUS224"/>
    <mergeCell ref="WYD224:WYE224"/>
    <mergeCell ref="WYF224:WYG224"/>
    <mergeCell ref="WYH224:WYI224"/>
    <mergeCell ref="WYY224:WYZ224"/>
    <mergeCell ref="WUT224:WUU224"/>
    <mergeCell ref="WVK224:WVL224"/>
    <mergeCell ref="WVM224:WVN224"/>
    <mergeCell ref="WVO224:WVP224"/>
    <mergeCell ref="WVQ224:WVR224"/>
    <mergeCell ref="WWH224:WWI224"/>
    <mergeCell ref="WWJ224:WWK224"/>
    <mergeCell ref="WWL224:WWM224"/>
    <mergeCell ref="WWN224:WWO224"/>
    <mergeCell ref="WXE224:WXF224"/>
    <mergeCell ref="WXG224:WXH224"/>
    <mergeCell ref="WZA224:WZB224"/>
    <mergeCell ref="XCS224:XCT224"/>
    <mergeCell ref="XDJ224:XDK224"/>
    <mergeCell ref="XDL224:XDM224"/>
    <mergeCell ref="XDN224:XDO224"/>
    <mergeCell ref="XDP224:XDQ224"/>
    <mergeCell ref="XEG224:XEH224"/>
    <mergeCell ref="XEI224:XEJ224"/>
    <mergeCell ref="XEK224:XEL224"/>
    <mergeCell ref="XEM224:XEN224"/>
    <mergeCell ref="XAW224:XAX224"/>
    <mergeCell ref="XAY224:XAZ224"/>
    <mergeCell ref="XBP224:XBQ224"/>
    <mergeCell ref="XBR224:XBS224"/>
    <mergeCell ref="XBT224:XBU224"/>
    <mergeCell ref="XBV224:XBW224"/>
    <mergeCell ref="XCM224:XCN224"/>
    <mergeCell ref="XCO224:XCP224"/>
    <mergeCell ref="XCQ224:XCR224"/>
    <mergeCell ref="WZC224:WZD224"/>
    <mergeCell ref="WZE224:WZF224"/>
    <mergeCell ref="WZV224:WZW224"/>
    <mergeCell ref="WZX224:WZY224"/>
    <mergeCell ref="WZZ224:XAA224"/>
    <mergeCell ref="XAB224:XAC224"/>
    <mergeCell ref="XAS224:XAT224"/>
    <mergeCell ref="XAU224:XAV224"/>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BA222"/>
  <sheetViews>
    <sheetView zoomScale="119" zoomScaleNormal="128" workbookViewId="0">
      <pane xSplit="1" ySplit="5" topLeftCell="AS148"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45" width="5.6640625" style="1" customWidth="1"/>
    <col min="46" max="46" width="5.6640625" style="22" customWidth="1"/>
    <col min="47" max="53" width="5.6640625" style="1" customWidth="1"/>
    <col min="54" max="16384" width="10.6640625" style="1"/>
  </cols>
  <sheetData>
    <row r="1" spans="1:53" ht="15" customHeight="1" x14ac:dyDescent="0.15">
      <c r="B1" s="15" t="s">
        <v>14</v>
      </c>
    </row>
    <row r="2" spans="1:53" ht="15" customHeight="1" x14ac:dyDescent="0.15">
      <c r="B2" s="15" t="s">
        <v>60</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6" t="s">
        <v>23</v>
      </c>
      <c r="AU5" s="185" t="s">
        <v>24</v>
      </c>
      <c r="AV5" s="185" t="s">
        <v>25</v>
      </c>
      <c r="AW5" s="187" t="s">
        <v>1195</v>
      </c>
      <c r="AX5" s="185" t="s">
        <v>23</v>
      </c>
      <c r="AY5" s="185" t="s">
        <v>24</v>
      </c>
      <c r="AZ5" s="185" t="s">
        <v>25</v>
      </c>
      <c r="BA5" s="188" t="s">
        <v>1195</v>
      </c>
    </row>
    <row r="6" spans="1:53" s="139" customFormat="1" x14ac:dyDescent="0.15">
      <c r="A6" s="145">
        <v>1959</v>
      </c>
      <c r="B6" s="294"/>
      <c r="C6" s="398" t="s">
        <v>684</v>
      </c>
      <c r="D6" s="398"/>
      <c r="E6" s="139">
        <v>0</v>
      </c>
      <c r="G6" s="147">
        <v>17</v>
      </c>
      <c r="J6" s="153">
        <v>17</v>
      </c>
      <c r="K6" s="133">
        <f t="shared" ref="K6:M8" si="0">G6/$J6*100</f>
        <v>100</v>
      </c>
      <c r="L6" s="133">
        <f t="shared" si="0"/>
        <v>0</v>
      </c>
      <c r="M6" s="133">
        <f t="shared" si="0"/>
        <v>0</v>
      </c>
      <c r="N6" s="149">
        <f>K6+L6+M6</f>
        <v>100</v>
      </c>
      <c r="O6" s="132">
        <v>61.5</v>
      </c>
      <c r="P6" s="133"/>
      <c r="Q6" s="133"/>
      <c r="R6" s="134">
        <f>O6+P6+Q6</f>
        <v>61.5</v>
      </c>
      <c r="S6" s="139">
        <v>1</v>
      </c>
      <c r="T6" s="306"/>
      <c r="U6" s="294"/>
      <c r="V6" s="138" t="s">
        <v>494</v>
      </c>
      <c r="W6" s="139" t="s">
        <v>74</v>
      </c>
      <c r="X6" s="139" t="s">
        <v>11</v>
      </c>
      <c r="Y6" s="140">
        <v>61.5</v>
      </c>
      <c r="AD6" s="138"/>
      <c r="AG6" s="140"/>
      <c r="AL6" s="138"/>
      <c r="AO6" s="140"/>
      <c r="AP6" s="138"/>
      <c r="AS6" s="140"/>
      <c r="AT6" s="157"/>
      <c r="AW6" s="140"/>
      <c r="BA6" s="141"/>
    </row>
    <row r="7" spans="1:53" s="139" customFormat="1" x14ac:dyDescent="0.15">
      <c r="A7" s="145">
        <v>1959</v>
      </c>
      <c r="B7" s="294"/>
      <c r="C7" s="398" t="s">
        <v>684</v>
      </c>
      <c r="D7" s="398"/>
      <c r="E7" s="139">
        <v>365</v>
      </c>
      <c r="G7" s="147">
        <v>17</v>
      </c>
      <c r="J7" s="153">
        <v>17</v>
      </c>
      <c r="K7" s="133">
        <f t="shared" si="0"/>
        <v>100</v>
      </c>
      <c r="L7" s="133">
        <f t="shared" si="0"/>
        <v>0</v>
      </c>
      <c r="M7" s="133">
        <f t="shared" si="0"/>
        <v>0</v>
      </c>
      <c r="N7" s="149">
        <f>K7+L7+M7</f>
        <v>100</v>
      </c>
      <c r="O7" s="132">
        <v>61.5</v>
      </c>
      <c r="P7" s="133"/>
      <c r="Q7" s="133"/>
      <c r="R7" s="134">
        <f>O7+P7+Q7</f>
        <v>61.5</v>
      </c>
      <c r="S7" s="139">
        <v>1</v>
      </c>
      <c r="T7" s="306"/>
      <c r="U7" s="294"/>
      <c r="V7" s="138" t="s">
        <v>494</v>
      </c>
      <c r="W7" s="139" t="s">
        <v>74</v>
      </c>
      <c r="X7" s="139" t="s">
        <v>11</v>
      </c>
      <c r="Y7" s="140">
        <v>61.5</v>
      </c>
      <c r="AD7" s="138"/>
      <c r="AG7" s="140"/>
      <c r="AL7" s="138"/>
      <c r="AO7" s="140"/>
      <c r="AP7" s="138"/>
      <c r="AS7" s="140"/>
      <c r="AT7" s="157"/>
      <c r="AW7" s="140"/>
      <c r="BA7" s="141"/>
    </row>
    <row r="8" spans="1:53" s="28" customFormat="1" x14ac:dyDescent="0.15">
      <c r="A8" s="51">
        <v>1960</v>
      </c>
      <c r="B8" s="293"/>
      <c r="C8" s="394" t="s">
        <v>684</v>
      </c>
      <c r="D8" s="394"/>
      <c r="E8" s="28">
        <v>200</v>
      </c>
      <c r="G8" s="65">
        <v>17</v>
      </c>
      <c r="J8" s="72">
        <v>17</v>
      </c>
      <c r="K8" s="46">
        <f t="shared" si="0"/>
        <v>100</v>
      </c>
      <c r="L8" s="46">
        <f t="shared" si="0"/>
        <v>0</v>
      </c>
      <c r="M8" s="46">
        <f t="shared" si="0"/>
        <v>0</v>
      </c>
      <c r="N8" s="67">
        <f>K8+L8+M8</f>
        <v>100</v>
      </c>
      <c r="O8" s="45">
        <v>61.5</v>
      </c>
      <c r="P8" s="46"/>
      <c r="Q8" s="46"/>
      <c r="R8" s="47">
        <f>O8+P8+Q8</f>
        <v>61.5</v>
      </c>
      <c r="S8" s="28">
        <v>1</v>
      </c>
      <c r="T8" s="284"/>
      <c r="U8" s="293"/>
      <c r="V8" s="37" t="s">
        <v>494</v>
      </c>
      <c r="W8" s="28" t="s">
        <v>74</v>
      </c>
      <c r="X8" s="28" t="s">
        <v>11</v>
      </c>
      <c r="Y8" s="38">
        <v>61.5</v>
      </c>
      <c r="AD8" s="37"/>
      <c r="AG8" s="38"/>
      <c r="AL8" s="37"/>
      <c r="AO8" s="38"/>
      <c r="AP8" s="37"/>
      <c r="AS8" s="38"/>
      <c r="AT8" s="93"/>
      <c r="AW8" s="38"/>
      <c r="BA8" s="39"/>
    </row>
    <row r="9" spans="1:53" s="170" customFormat="1" x14ac:dyDescent="0.15">
      <c r="A9" s="215">
        <v>1960</v>
      </c>
      <c r="B9" s="281">
        <v>22116</v>
      </c>
      <c r="C9" s="395" t="s">
        <v>686</v>
      </c>
      <c r="D9" s="395"/>
      <c r="E9" s="170">
        <v>142</v>
      </c>
      <c r="F9" s="170">
        <v>2</v>
      </c>
      <c r="G9" s="232">
        <v>13</v>
      </c>
      <c r="J9" s="240">
        <v>13</v>
      </c>
      <c r="K9" s="213">
        <f t="shared" ref="K9:M50" si="1">G9/$J9*100</f>
        <v>100</v>
      </c>
      <c r="L9" s="213">
        <f t="shared" si="1"/>
        <v>0</v>
      </c>
      <c r="M9" s="213">
        <f t="shared" si="1"/>
        <v>0</v>
      </c>
      <c r="N9" s="234">
        <f t="shared" ref="N9:N50" si="2">K9+L9+M9</f>
        <v>100</v>
      </c>
      <c r="O9" s="212">
        <v>61.5</v>
      </c>
      <c r="P9" s="213"/>
      <c r="Q9" s="213"/>
      <c r="R9" s="214">
        <f t="shared" ref="R9:R72" si="3">O9+P9+Q9</f>
        <v>61.5</v>
      </c>
      <c r="S9" s="170">
        <v>1</v>
      </c>
      <c r="T9" s="283"/>
      <c r="U9" s="281">
        <v>22116</v>
      </c>
      <c r="V9" s="177" t="s">
        <v>494</v>
      </c>
      <c r="W9" s="170" t="s">
        <v>74</v>
      </c>
      <c r="X9" s="170" t="s">
        <v>11</v>
      </c>
      <c r="Y9" s="178">
        <v>61.5</v>
      </c>
      <c r="AD9" s="177"/>
      <c r="AG9" s="178"/>
      <c r="AL9" s="177"/>
      <c r="AO9" s="178"/>
      <c r="AP9" s="177"/>
      <c r="AS9" s="178"/>
      <c r="AT9" s="252"/>
      <c r="AW9" s="178"/>
      <c r="BA9" s="179"/>
    </row>
    <row r="10" spans="1:53" s="28" customFormat="1" x14ac:dyDescent="0.15">
      <c r="A10" s="51">
        <v>1960</v>
      </c>
      <c r="B10" s="293">
        <v>22258</v>
      </c>
      <c r="C10" s="394" t="s">
        <v>685</v>
      </c>
      <c r="D10" s="394"/>
      <c r="E10" s="28">
        <f>366-E8-E9</f>
        <v>24</v>
      </c>
      <c r="F10" s="28">
        <v>1</v>
      </c>
      <c r="G10" s="65">
        <v>15</v>
      </c>
      <c r="J10" s="72">
        <v>15</v>
      </c>
      <c r="K10" s="46">
        <f t="shared" si="1"/>
        <v>100</v>
      </c>
      <c r="L10" s="46">
        <f t="shared" si="1"/>
        <v>0</v>
      </c>
      <c r="M10" s="46">
        <f t="shared" si="1"/>
        <v>0</v>
      </c>
      <c r="N10" s="67">
        <f t="shared" si="2"/>
        <v>100</v>
      </c>
      <c r="O10" s="45">
        <v>63.4</v>
      </c>
      <c r="P10" s="46"/>
      <c r="Q10" s="46"/>
      <c r="R10" s="47">
        <f t="shared" si="3"/>
        <v>63.4</v>
      </c>
      <c r="S10" s="28">
        <v>1</v>
      </c>
      <c r="T10" s="284">
        <v>22240</v>
      </c>
      <c r="U10" s="293">
        <v>22258</v>
      </c>
      <c r="V10" s="37" t="s">
        <v>494</v>
      </c>
      <c r="W10" s="28" t="s">
        <v>74</v>
      </c>
      <c r="X10" s="28" t="s">
        <v>11</v>
      </c>
      <c r="Y10" s="38">
        <v>63.4</v>
      </c>
      <c r="AD10" s="37"/>
      <c r="AG10" s="38"/>
      <c r="AL10" s="37"/>
      <c r="AO10" s="38"/>
      <c r="AP10" s="37"/>
      <c r="AS10" s="38"/>
      <c r="AT10" s="93"/>
      <c r="AW10" s="38"/>
      <c r="BA10" s="39"/>
    </row>
    <row r="11" spans="1:53" s="28" customFormat="1" x14ac:dyDescent="0.15">
      <c r="A11" s="51">
        <v>1961</v>
      </c>
      <c r="B11" s="293"/>
      <c r="C11" s="394" t="s">
        <v>685</v>
      </c>
      <c r="D11" s="394"/>
      <c r="E11" s="28">
        <v>0</v>
      </c>
      <c r="G11" s="65">
        <v>15</v>
      </c>
      <c r="J11" s="72">
        <v>15</v>
      </c>
      <c r="K11" s="46">
        <f t="shared" si="1"/>
        <v>100</v>
      </c>
      <c r="L11" s="46">
        <f t="shared" si="1"/>
        <v>0</v>
      </c>
      <c r="M11" s="46">
        <f t="shared" si="1"/>
        <v>0</v>
      </c>
      <c r="N11" s="67">
        <f t="shared" si="2"/>
        <v>100</v>
      </c>
      <c r="O11" s="45">
        <v>63.4</v>
      </c>
      <c r="P11" s="46"/>
      <c r="Q11" s="46"/>
      <c r="R11" s="47">
        <f t="shared" si="3"/>
        <v>63.4</v>
      </c>
      <c r="S11" s="28">
        <v>1</v>
      </c>
      <c r="T11" s="284"/>
      <c r="U11" s="293"/>
      <c r="V11" s="37" t="s">
        <v>494</v>
      </c>
      <c r="W11" s="28" t="s">
        <v>74</v>
      </c>
      <c r="X11" s="28" t="s">
        <v>11</v>
      </c>
      <c r="Y11" s="38">
        <v>63.4</v>
      </c>
      <c r="AD11" s="37"/>
      <c r="AG11" s="38"/>
      <c r="AL11" s="37"/>
      <c r="AO11" s="38"/>
      <c r="AP11" s="37"/>
      <c r="AS11" s="38"/>
      <c r="AT11" s="93"/>
      <c r="AW11" s="38"/>
      <c r="BA11" s="39"/>
    </row>
    <row r="12" spans="1:53" s="28" customFormat="1" x14ac:dyDescent="0.15">
      <c r="A12" s="51">
        <v>1961</v>
      </c>
      <c r="B12" s="293"/>
      <c r="C12" s="394" t="s">
        <v>685</v>
      </c>
      <c r="D12" s="394"/>
      <c r="E12" s="28">
        <v>365</v>
      </c>
      <c r="G12" s="65">
        <v>15</v>
      </c>
      <c r="J12" s="72">
        <v>15</v>
      </c>
      <c r="K12" s="46">
        <f t="shared" si="1"/>
        <v>100</v>
      </c>
      <c r="L12" s="46">
        <f t="shared" si="1"/>
        <v>0</v>
      </c>
      <c r="M12" s="46">
        <f t="shared" si="1"/>
        <v>0</v>
      </c>
      <c r="N12" s="67">
        <f t="shared" si="2"/>
        <v>100</v>
      </c>
      <c r="O12" s="45">
        <v>63.4</v>
      </c>
      <c r="P12" s="46"/>
      <c r="Q12" s="46"/>
      <c r="R12" s="47">
        <f t="shared" si="3"/>
        <v>63.4</v>
      </c>
      <c r="S12" s="28">
        <v>1</v>
      </c>
      <c r="T12" s="284"/>
      <c r="U12" s="293"/>
      <c r="V12" s="37" t="s">
        <v>494</v>
      </c>
      <c r="W12" s="28" t="s">
        <v>74</v>
      </c>
      <c r="X12" s="28" t="s">
        <v>11</v>
      </c>
      <c r="Y12" s="38">
        <v>63.4</v>
      </c>
      <c r="AD12" s="37"/>
      <c r="AG12" s="38"/>
      <c r="AL12" s="37"/>
      <c r="AO12" s="38"/>
      <c r="AP12" s="37"/>
      <c r="AS12" s="38"/>
      <c r="AT12" s="93"/>
      <c r="AW12" s="38"/>
      <c r="BA12" s="39"/>
    </row>
    <row r="13" spans="1:53" s="28" customFormat="1" x14ac:dyDescent="0.15">
      <c r="A13" s="51">
        <v>1962</v>
      </c>
      <c r="B13" s="293"/>
      <c r="C13" s="394" t="s">
        <v>685</v>
      </c>
      <c r="D13" s="394"/>
      <c r="E13" s="28">
        <v>0</v>
      </c>
      <c r="G13" s="65">
        <v>15</v>
      </c>
      <c r="J13" s="72">
        <v>15</v>
      </c>
      <c r="K13" s="46">
        <f t="shared" si="1"/>
        <v>100</v>
      </c>
      <c r="L13" s="46">
        <f t="shared" si="1"/>
        <v>0</v>
      </c>
      <c r="M13" s="46">
        <f t="shared" si="1"/>
        <v>0</v>
      </c>
      <c r="N13" s="67">
        <f t="shared" si="2"/>
        <v>100</v>
      </c>
      <c r="O13" s="45">
        <v>63.4</v>
      </c>
      <c r="P13" s="46"/>
      <c r="Q13" s="46"/>
      <c r="R13" s="47">
        <f t="shared" si="3"/>
        <v>63.4</v>
      </c>
      <c r="S13" s="28">
        <v>1</v>
      </c>
      <c r="T13" s="284"/>
      <c r="U13" s="293"/>
      <c r="V13" s="37" t="s">
        <v>494</v>
      </c>
      <c r="W13" s="28" t="s">
        <v>74</v>
      </c>
      <c r="X13" s="28" t="s">
        <v>11</v>
      </c>
      <c r="Y13" s="38">
        <v>63.4</v>
      </c>
      <c r="AD13" s="37"/>
      <c r="AG13" s="38"/>
      <c r="AL13" s="37"/>
      <c r="AO13" s="38"/>
      <c r="AP13" s="37"/>
      <c r="AS13" s="38"/>
      <c r="AT13" s="93"/>
      <c r="AW13" s="38"/>
      <c r="BA13" s="39"/>
    </row>
    <row r="14" spans="1:53" s="28" customFormat="1" x14ac:dyDescent="0.15">
      <c r="A14" s="51">
        <v>1962</v>
      </c>
      <c r="B14" s="293"/>
      <c r="C14" s="394" t="s">
        <v>685</v>
      </c>
      <c r="D14" s="394"/>
      <c r="E14" s="28">
        <v>365</v>
      </c>
      <c r="G14" s="65">
        <v>15</v>
      </c>
      <c r="J14" s="72">
        <v>15</v>
      </c>
      <c r="K14" s="46">
        <f t="shared" si="1"/>
        <v>100</v>
      </c>
      <c r="L14" s="46">
        <f t="shared" si="1"/>
        <v>0</v>
      </c>
      <c r="M14" s="46">
        <f t="shared" si="1"/>
        <v>0</v>
      </c>
      <c r="N14" s="67">
        <f t="shared" si="2"/>
        <v>100</v>
      </c>
      <c r="O14" s="45">
        <v>63.4</v>
      </c>
      <c r="P14" s="46"/>
      <c r="Q14" s="46"/>
      <c r="R14" s="47">
        <f t="shared" si="3"/>
        <v>63.4</v>
      </c>
      <c r="S14" s="28">
        <v>1</v>
      </c>
      <c r="T14" s="284"/>
      <c r="U14" s="293"/>
      <c r="V14" s="37" t="s">
        <v>494</v>
      </c>
      <c r="W14" s="28" t="s">
        <v>74</v>
      </c>
      <c r="X14" s="28" t="s">
        <v>11</v>
      </c>
      <c r="Y14" s="38">
        <v>63.4</v>
      </c>
      <c r="AD14" s="37"/>
      <c r="AG14" s="38"/>
      <c r="AL14" s="37"/>
      <c r="AO14" s="38"/>
      <c r="AP14" s="37"/>
      <c r="AS14" s="38"/>
      <c r="AT14" s="93"/>
      <c r="AW14" s="38"/>
      <c r="BA14" s="39"/>
    </row>
    <row r="15" spans="1:53" s="28" customFormat="1" x14ac:dyDescent="0.15">
      <c r="A15" s="51">
        <v>1963</v>
      </c>
      <c r="B15" s="293"/>
      <c r="C15" s="394" t="s">
        <v>685</v>
      </c>
      <c r="D15" s="394"/>
      <c r="E15" s="28">
        <v>342</v>
      </c>
      <c r="G15" s="65">
        <v>15</v>
      </c>
      <c r="J15" s="72">
        <v>15</v>
      </c>
      <c r="K15" s="46">
        <f t="shared" si="1"/>
        <v>100</v>
      </c>
      <c r="L15" s="46">
        <f t="shared" si="1"/>
        <v>0</v>
      </c>
      <c r="M15" s="46">
        <f t="shared" si="1"/>
        <v>0</v>
      </c>
      <c r="N15" s="67">
        <f t="shared" si="2"/>
        <v>100</v>
      </c>
      <c r="O15" s="45">
        <v>63.4</v>
      </c>
      <c r="P15" s="46"/>
      <c r="Q15" s="46"/>
      <c r="R15" s="47">
        <f t="shared" si="3"/>
        <v>63.4</v>
      </c>
      <c r="S15" s="28">
        <v>1</v>
      </c>
      <c r="T15" s="284"/>
      <c r="U15" s="293"/>
      <c r="V15" s="37" t="s">
        <v>494</v>
      </c>
      <c r="W15" s="28" t="s">
        <v>74</v>
      </c>
      <c r="X15" s="28" t="s">
        <v>11</v>
      </c>
      <c r="Y15" s="38">
        <v>63.4</v>
      </c>
      <c r="AD15" s="37"/>
      <c r="AG15" s="38"/>
      <c r="AL15" s="37"/>
      <c r="AO15" s="38"/>
      <c r="AP15" s="37"/>
      <c r="AS15" s="38"/>
      <c r="AT15" s="93"/>
      <c r="AW15" s="38"/>
      <c r="BA15" s="39"/>
    </row>
    <row r="16" spans="1:53" s="170" customFormat="1" x14ac:dyDescent="0.15">
      <c r="A16" s="215">
        <v>1963</v>
      </c>
      <c r="B16" s="281">
        <v>23354</v>
      </c>
      <c r="C16" s="395" t="s">
        <v>687</v>
      </c>
      <c r="D16" s="395"/>
      <c r="E16" s="170">
        <f>365-E15</f>
        <v>23</v>
      </c>
      <c r="F16" s="170">
        <v>1</v>
      </c>
      <c r="G16" s="232">
        <v>15</v>
      </c>
      <c r="J16" s="240">
        <v>15</v>
      </c>
      <c r="K16" s="213">
        <f t="shared" si="1"/>
        <v>100</v>
      </c>
      <c r="L16" s="213">
        <f t="shared" si="1"/>
        <v>0</v>
      </c>
      <c r="M16" s="213">
        <f t="shared" si="1"/>
        <v>0</v>
      </c>
      <c r="N16" s="234">
        <f t="shared" si="2"/>
        <v>100</v>
      </c>
      <c r="O16" s="212">
        <v>60.6</v>
      </c>
      <c r="P16" s="213"/>
      <c r="Q16" s="213"/>
      <c r="R16" s="214">
        <f t="shared" si="3"/>
        <v>60.6</v>
      </c>
      <c r="S16" s="170">
        <v>1</v>
      </c>
      <c r="T16" s="283">
        <v>23336</v>
      </c>
      <c r="U16" s="281">
        <v>23354</v>
      </c>
      <c r="V16" s="177" t="s">
        <v>494</v>
      </c>
      <c r="W16" s="170" t="s">
        <v>74</v>
      </c>
      <c r="X16" s="170" t="s">
        <v>11</v>
      </c>
      <c r="Y16" s="178">
        <v>60.6</v>
      </c>
      <c r="AD16" s="177"/>
      <c r="AG16" s="178"/>
      <c r="AL16" s="177"/>
      <c r="AO16" s="178"/>
      <c r="AP16" s="177"/>
      <c r="AS16" s="178"/>
      <c r="AT16" s="252"/>
      <c r="AW16" s="178"/>
      <c r="BA16" s="179"/>
    </row>
    <row r="17" spans="1:53" s="170" customFormat="1" x14ac:dyDescent="0.15">
      <c r="A17" s="215">
        <v>1964</v>
      </c>
      <c r="B17" s="281"/>
      <c r="C17" s="395" t="s">
        <v>687</v>
      </c>
      <c r="D17" s="395"/>
      <c r="E17" s="170">
        <v>313</v>
      </c>
      <c r="G17" s="232">
        <v>15</v>
      </c>
      <c r="J17" s="240">
        <v>15</v>
      </c>
      <c r="K17" s="213">
        <f t="shared" si="1"/>
        <v>100</v>
      </c>
      <c r="L17" s="213">
        <f t="shared" si="1"/>
        <v>0</v>
      </c>
      <c r="M17" s="213">
        <f t="shared" si="1"/>
        <v>0</v>
      </c>
      <c r="N17" s="234">
        <f t="shared" si="2"/>
        <v>100</v>
      </c>
      <c r="O17" s="212">
        <v>60.6</v>
      </c>
      <c r="P17" s="213"/>
      <c r="Q17" s="213"/>
      <c r="R17" s="214">
        <f t="shared" si="3"/>
        <v>60.6</v>
      </c>
      <c r="S17" s="170">
        <v>1</v>
      </c>
      <c r="T17" s="283"/>
      <c r="U17" s="281"/>
      <c r="V17" s="177" t="s">
        <v>494</v>
      </c>
      <c r="W17" s="170" t="s">
        <v>74</v>
      </c>
      <c r="X17" s="170" t="s">
        <v>11</v>
      </c>
      <c r="Y17" s="178">
        <v>60.6</v>
      </c>
      <c r="AD17" s="177"/>
      <c r="AG17" s="178"/>
      <c r="AL17" s="177"/>
      <c r="AO17" s="178"/>
      <c r="AP17" s="177"/>
      <c r="AS17" s="178"/>
      <c r="AT17" s="252"/>
      <c r="AW17" s="178"/>
      <c r="BA17" s="179"/>
    </row>
    <row r="18" spans="1:53" s="28" customFormat="1" x14ac:dyDescent="0.15">
      <c r="A18" s="51">
        <v>1964</v>
      </c>
      <c r="B18" s="293">
        <v>23690</v>
      </c>
      <c r="C18" s="394" t="s">
        <v>1171</v>
      </c>
      <c r="D18" s="394"/>
      <c r="E18" s="28">
        <f>366-E17</f>
        <v>53</v>
      </c>
      <c r="F18" s="28">
        <v>3</v>
      </c>
      <c r="G18" s="65">
        <v>15</v>
      </c>
      <c r="J18" s="72">
        <v>15</v>
      </c>
      <c r="K18" s="46">
        <f t="shared" si="1"/>
        <v>100</v>
      </c>
      <c r="L18" s="46">
        <f t="shared" si="1"/>
        <v>0</v>
      </c>
      <c r="M18" s="46">
        <f t="shared" si="1"/>
        <v>0</v>
      </c>
      <c r="N18" s="67">
        <f t="shared" si="2"/>
        <v>100</v>
      </c>
      <c r="O18" s="45">
        <v>60.6</v>
      </c>
      <c r="P18" s="46"/>
      <c r="Q18" s="46"/>
      <c r="R18" s="47">
        <f t="shared" si="3"/>
        <v>60.6</v>
      </c>
      <c r="S18" s="28">
        <v>1</v>
      </c>
      <c r="T18" s="284"/>
      <c r="U18" s="293">
        <v>23690</v>
      </c>
      <c r="V18" s="37" t="s">
        <v>494</v>
      </c>
      <c r="W18" s="28" t="s">
        <v>74</v>
      </c>
      <c r="X18" s="28" t="s">
        <v>11</v>
      </c>
      <c r="Y18" s="38">
        <v>60.6</v>
      </c>
      <c r="AD18" s="37"/>
      <c r="AG18" s="38"/>
      <c r="AL18" s="37"/>
      <c r="AO18" s="38"/>
      <c r="AP18" s="37"/>
      <c r="AS18" s="38"/>
      <c r="AT18" s="93"/>
      <c r="AW18" s="38"/>
      <c r="BA18" s="39"/>
    </row>
    <row r="19" spans="1:53" s="28" customFormat="1" x14ac:dyDescent="0.15">
      <c r="A19" s="51">
        <v>1965</v>
      </c>
      <c r="B19" s="293"/>
      <c r="C19" s="394" t="s">
        <v>1171</v>
      </c>
      <c r="D19" s="394"/>
      <c r="E19" s="28">
        <v>0</v>
      </c>
      <c r="G19" s="65">
        <v>15</v>
      </c>
      <c r="J19" s="72">
        <v>15</v>
      </c>
      <c r="K19" s="46">
        <f t="shared" si="1"/>
        <v>100</v>
      </c>
      <c r="L19" s="46">
        <f t="shared" si="1"/>
        <v>0</v>
      </c>
      <c r="M19" s="46">
        <f t="shared" si="1"/>
        <v>0</v>
      </c>
      <c r="N19" s="67">
        <f t="shared" si="2"/>
        <v>100</v>
      </c>
      <c r="O19" s="45">
        <v>60.6</v>
      </c>
      <c r="P19" s="46"/>
      <c r="Q19" s="46"/>
      <c r="R19" s="47">
        <f t="shared" si="3"/>
        <v>60.6</v>
      </c>
      <c r="S19" s="28">
        <v>1</v>
      </c>
      <c r="T19" s="284"/>
      <c r="U19" s="293"/>
      <c r="V19" s="37" t="s">
        <v>494</v>
      </c>
      <c r="W19" s="28" t="s">
        <v>74</v>
      </c>
      <c r="X19" s="28" t="s">
        <v>11</v>
      </c>
      <c r="Y19" s="38">
        <v>60.6</v>
      </c>
      <c r="AD19" s="37"/>
      <c r="AG19" s="38"/>
      <c r="AL19" s="37"/>
      <c r="AO19" s="38"/>
      <c r="AP19" s="37"/>
      <c r="AS19" s="38"/>
      <c r="AT19" s="93"/>
      <c r="AW19" s="38"/>
      <c r="BA19" s="39"/>
    </row>
    <row r="20" spans="1:53" s="28" customFormat="1" x14ac:dyDescent="0.15">
      <c r="A20" s="51">
        <v>1965</v>
      </c>
      <c r="B20" s="293"/>
      <c r="C20" s="394" t="s">
        <v>1171</v>
      </c>
      <c r="D20" s="394"/>
      <c r="E20" s="28">
        <v>365</v>
      </c>
      <c r="G20" s="65">
        <v>15</v>
      </c>
      <c r="J20" s="72">
        <v>15</v>
      </c>
      <c r="K20" s="46">
        <f t="shared" si="1"/>
        <v>100</v>
      </c>
      <c r="L20" s="46">
        <f t="shared" si="1"/>
        <v>0</v>
      </c>
      <c r="M20" s="46">
        <f t="shared" si="1"/>
        <v>0</v>
      </c>
      <c r="N20" s="67">
        <f t="shared" si="2"/>
        <v>100</v>
      </c>
      <c r="O20" s="45">
        <v>60.6</v>
      </c>
      <c r="P20" s="46"/>
      <c r="Q20" s="46"/>
      <c r="R20" s="47">
        <f t="shared" si="3"/>
        <v>60.6</v>
      </c>
      <c r="S20" s="28">
        <v>1</v>
      </c>
      <c r="T20" s="284"/>
      <c r="U20" s="293"/>
      <c r="V20" s="37" t="s">
        <v>494</v>
      </c>
      <c r="W20" s="28" t="s">
        <v>74</v>
      </c>
      <c r="X20" s="28" t="s">
        <v>11</v>
      </c>
      <c r="Y20" s="38">
        <v>60.6</v>
      </c>
      <c r="AD20" s="37"/>
      <c r="AG20" s="38"/>
      <c r="AL20" s="37"/>
      <c r="AO20" s="38"/>
      <c r="AP20" s="37"/>
      <c r="AS20" s="38"/>
      <c r="AT20" s="93"/>
      <c r="AW20" s="38"/>
      <c r="BA20" s="39"/>
    </row>
    <row r="21" spans="1:53" s="28" customFormat="1" x14ac:dyDescent="0.15">
      <c r="A21" s="51">
        <v>1966</v>
      </c>
      <c r="B21" s="293"/>
      <c r="C21" s="394" t="s">
        <v>1171</v>
      </c>
      <c r="D21" s="394"/>
      <c r="E21" s="28">
        <v>0</v>
      </c>
      <c r="G21" s="65">
        <v>15</v>
      </c>
      <c r="J21" s="72">
        <v>15</v>
      </c>
      <c r="K21" s="46">
        <f t="shared" si="1"/>
        <v>100</v>
      </c>
      <c r="L21" s="46">
        <f t="shared" si="1"/>
        <v>0</v>
      </c>
      <c r="M21" s="46">
        <f t="shared" si="1"/>
        <v>0</v>
      </c>
      <c r="N21" s="67">
        <f t="shared" si="2"/>
        <v>100</v>
      </c>
      <c r="O21" s="45">
        <v>60.6</v>
      </c>
      <c r="P21" s="46"/>
      <c r="Q21" s="46"/>
      <c r="R21" s="47">
        <f t="shared" si="3"/>
        <v>60.6</v>
      </c>
      <c r="S21" s="28">
        <v>1</v>
      </c>
      <c r="T21" s="284"/>
      <c r="U21" s="293"/>
      <c r="V21" s="37" t="s">
        <v>494</v>
      </c>
      <c r="W21" s="28" t="s">
        <v>74</v>
      </c>
      <c r="X21" s="28" t="s">
        <v>11</v>
      </c>
      <c r="Y21" s="38">
        <v>60.6</v>
      </c>
      <c r="AD21" s="37"/>
      <c r="AG21" s="38"/>
      <c r="AL21" s="37"/>
      <c r="AO21" s="38"/>
      <c r="AP21" s="37"/>
      <c r="AS21" s="38"/>
      <c r="AT21" s="93"/>
      <c r="AW21" s="38"/>
      <c r="BA21" s="39"/>
    </row>
    <row r="22" spans="1:53" s="28" customFormat="1" x14ac:dyDescent="0.15">
      <c r="A22" s="51">
        <v>1966</v>
      </c>
      <c r="B22" s="293"/>
      <c r="C22" s="394" t="s">
        <v>1171</v>
      </c>
      <c r="D22" s="394"/>
      <c r="E22" s="28">
        <v>365</v>
      </c>
      <c r="G22" s="65">
        <v>15</v>
      </c>
      <c r="J22" s="72">
        <v>15</v>
      </c>
      <c r="K22" s="46">
        <f t="shared" si="1"/>
        <v>100</v>
      </c>
      <c r="L22" s="46">
        <f t="shared" si="1"/>
        <v>0</v>
      </c>
      <c r="M22" s="46">
        <f t="shared" si="1"/>
        <v>0</v>
      </c>
      <c r="N22" s="67">
        <f t="shared" si="2"/>
        <v>100</v>
      </c>
      <c r="O22" s="45">
        <v>60.6</v>
      </c>
      <c r="P22" s="46"/>
      <c r="Q22" s="46"/>
      <c r="R22" s="47">
        <f t="shared" si="3"/>
        <v>60.6</v>
      </c>
      <c r="S22" s="28">
        <v>1</v>
      </c>
      <c r="T22" s="284"/>
      <c r="U22" s="293"/>
      <c r="V22" s="37" t="s">
        <v>494</v>
      </c>
      <c r="W22" s="28" t="s">
        <v>74</v>
      </c>
      <c r="X22" s="28" t="s">
        <v>11</v>
      </c>
      <c r="Y22" s="38">
        <v>60.6</v>
      </c>
      <c r="AD22" s="37"/>
      <c r="AG22" s="38"/>
      <c r="AL22" s="37"/>
      <c r="AO22" s="38"/>
      <c r="AP22" s="37"/>
      <c r="AS22" s="38"/>
      <c r="AT22" s="93"/>
      <c r="AW22" s="38"/>
      <c r="BA22" s="39"/>
    </row>
    <row r="23" spans="1:53" s="28" customFormat="1" x14ac:dyDescent="0.15">
      <c r="A23" s="51">
        <v>1967</v>
      </c>
      <c r="B23" s="293"/>
      <c r="C23" s="394" t="s">
        <v>1171</v>
      </c>
      <c r="D23" s="394"/>
      <c r="E23" s="28">
        <v>47</v>
      </c>
      <c r="G23" s="65">
        <v>15</v>
      </c>
      <c r="J23" s="72">
        <v>15</v>
      </c>
      <c r="K23" s="46">
        <f t="shared" si="1"/>
        <v>100</v>
      </c>
      <c r="L23" s="46">
        <f t="shared" si="1"/>
        <v>0</v>
      </c>
      <c r="M23" s="46">
        <f t="shared" si="1"/>
        <v>0</v>
      </c>
      <c r="N23" s="67">
        <f t="shared" si="2"/>
        <v>100</v>
      </c>
      <c r="O23" s="45">
        <v>60.6</v>
      </c>
      <c r="P23" s="46"/>
      <c r="Q23" s="46"/>
      <c r="R23" s="47">
        <f t="shared" si="3"/>
        <v>60.6</v>
      </c>
      <c r="S23" s="28">
        <v>1</v>
      </c>
      <c r="T23" s="284"/>
      <c r="U23" s="293"/>
      <c r="V23" s="37" t="s">
        <v>494</v>
      </c>
      <c r="W23" s="28" t="s">
        <v>74</v>
      </c>
      <c r="X23" s="28" t="s">
        <v>11</v>
      </c>
      <c r="Y23" s="38">
        <v>60.6</v>
      </c>
      <c r="AD23" s="37"/>
      <c r="AG23" s="38"/>
      <c r="AL23" s="37"/>
      <c r="AO23" s="38"/>
      <c r="AP23" s="37"/>
      <c r="AS23" s="38"/>
      <c r="AT23" s="93"/>
      <c r="AW23" s="38"/>
      <c r="BA23" s="39"/>
    </row>
    <row r="24" spans="1:53" s="170" customFormat="1" x14ac:dyDescent="0.15">
      <c r="A24" s="215">
        <v>1967</v>
      </c>
      <c r="B24" s="281">
        <v>24520</v>
      </c>
      <c r="C24" s="395" t="s">
        <v>1172</v>
      </c>
      <c r="D24" s="395"/>
      <c r="E24" s="170">
        <f>365-E23</f>
        <v>318</v>
      </c>
      <c r="F24" s="170">
        <v>1</v>
      </c>
      <c r="G24" s="232">
        <v>15</v>
      </c>
      <c r="J24" s="240">
        <v>15</v>
      </c>
      <c r="K24" s="213">
        <f t="shared" si="1"/>
        <v>100</v>
      </c>
      <c r="L24" s="213">
        <f t="shared" si="1"/>
        <v>0</v>
      </c>
      <c r="M24" s="213">
        <f t="shared" si="1"/>
        <v>0</v>
      </c>
      <c r="N24" s="234">
        <f t="shared" si="2"/>
        <v>100</v>
      </c>
      <c r="O24" s="212">
        <v>57</v>
      </c>
      <c r="P24" s="213"/>
      <c r="Q24" s="213"/>
      <c r="R24" s="214">
        <f t="shared" si="3"/>
        <v>57</v>
      </c>
      <c r="S24" s="170">
        <v>1</v>
      </c>
      <c r="T24" s="283">
        <v>24501</v>
      </c>
      <c r="U24" s="281">
        <v>24520</v>
      </c>
      <c r="V24" s="177" t="s">
        <v>494</v>
      </c>
      <c r="W24" s="170" t="s">
        <v>74</v>
      </c>
      <c r="X24" s="170" t="s">
        <v>11</v>
      </c>
      <c r="Y24" s="178">
        <v>57</v>
      </c>
      <c r="AD24" s="177"/>
      <c r="AG24" s="178"/>
      <c r="AL24" s="177"/>
      <c r="AO24" s="178"/>
      <c r="AP24" s="177"/>
      <c r="AS24" s="178"/>
      <c r="AT24" s="252"/>
      <c r="AW24" s="178"/>
      <c r="BA24" s="179"/>
    </row>
    <row r="25" spans="1:53" s="170" customFormat="1" x14ac:dyDescent="0.15">
      <c r="A25" s="215">
        <v>1968</v>
      </c>
      <c r="B25" s="281"/>
      <c r="C25" s="395" t="s">
        <v>1172</v>
      </c>
      <c r="D25" s="395"/>
      <c r="E25" s="170">
        <v>0</v>
      </c>
      <c r="G25" s="232">
        <v>15</v>
      </c>
      <c r="J25" s="240">
        <v>15</v>
      </c>
      <c r="K25" s="213">
        <f t="shared" si="1"/>
        <v>100</v>
      </c>
      <c r="L25" s="213">
        <f t="shared" si="1"/>
        <v>0</v>
      </c>
      <c r="M25" s="213">
        <f t="shared" si="1"/>
        <v>0</v>
      </c>
      <c r="N25" s="234">
        <f t="shared" si="2"/>
        <v>100</v>
      </c>
      <c r="O25" s="212">
        <v>57</v>
      </c>
      <c r="P25" s="213"/>
      <c r="Q25" s="213"/>
      <c r="R25" s="214">
        <f t="shared" si="3"/>
        <v>57</v>
      </c>
      <c r="S25" s="170">
        <v>1</v>
      </c>
      <c r="T25" s="283"/>
      <c r="U25" s="281"/>
      <c r="V25" s="177" t="s">
        <v>494</v>
      </c>
      <c r="W25" s="170" t="s">
        <v>74</v>
      </c>
      <c r="X25" s="170" t="s">
        <v>11</v>
      </c>
      <c r="Y25" s="178">
        <v>57</v>
      </c>
      <c r="AD25" s="177"/>
      <c r="AG25" s="178"/>
      <c r="AL25" s="177"/>
      <c r="AO25" s="178"/>
      <c r="AP25" s="177"/>
      <c r="AS25" s="178"/>
      <c r="AT25" s="252"/>
      <c r="AW25" s="178"/>
      <c r="BA25" s="179"/>
    </row>
    <row r="26" spans="1:53" s="170" customFormat="1" x14ac:dyDescent="0.15">
      <c r="A26" s="215">
        <v>1968</v>
      </c>
      <c r="B26" s="281"/>
      <c r="C26" s="395" t="s">
        <v>1172</v>
      </c>
      <c r="D26" s="395"/>
      <c r="E26" s="170">
        <v>366</v>
      </c>
      <c r="G26" s="232">
        <v>15</v>
      </c>
      <c r="J26" s="240">
        <v>15</v>
      </c>
      <c r="K26" s="213">
        <f t="shared" si="1"/>
        <v>100</v>
      </c>
      <c r="L26" s="213">
        <f t="shared" si="1"/>
        <v>0</v>
      </c>
      <c r="M26" s="213">
        <f t="shared" si="1"/>
        <v>0</v>
      </c>
      <c r="N26" s="234">
        <f t="shared" si="2"/>
        <v>100</v>
      </c>
      <c r="O26" s="212">
        <v>57</v>
      </c>
      <c r="P26" s="213"/>
      <c r="Q26" s="213"/>
      <c r="R26" s="214">
        <f t="shared" si="3"/>
        <v>57</v>
      </c>
      <c r="S26" s="170">
        <v>1</v>
      </c>
      <c r="T26" s="283"/>
      <c r="U26" s="281"/>
      <c r="V26" s="177" t="s">
        <v>494</v>
      </c>
      <c r="W26" s="170" t="s">
        <v>74</v>
      </c>
      <c r="X26" s="170" t="s">
        <v>11</v>
      </c>
      <c r="Y26" s="178">
        <v>57</v>
      </c>
      <c r="AD26" s="177"/>
      <c r="AG26" s="178"/>
      <c r="AL26" s="177"/>
      <c r="AO26" s="178"/>
      <c r="AP26" s="177"/>
      <c r="AS26" s="178"/>
      <c r="AT26" s="252"/>
      <c r="AW26" s="178"/>
      <c r="BA26" s="179"/>
    </row>
    <row r="27" spans="1:53" s="170" customFormat="1" x14ac:dyDescent="0.15">
      <c r="A27" s="215">
        <v>1969</v>
      </c>
      <c r="B27" s="281"/>
      <c r="C27" s="395" t="s">
        <v>1172</v>
      </c>
      <c r="D27" s="395"/>
      <c r="E27" s="170">
        <v>0</v>
      </c>
      <c r="G27" s="232">
        <v>15</v>
      </c>
      <c r="J27" s="240">
        <v>15</v>
      </c>
      <c r="K27" s="213">
        <f t="shared" si="1"/>
        <v>100</v>
      </c>
      <c r="L27" s="213">
        <f t="shared" si="1"/>
        <v>0</v>
      </c>
      <c r="M27" s="213">
        <f t="shared" si="1"/>
        <v>0</v>
      </c>
      <c r="N27" s="234">
        <f t="shared" si="2"/>
        <v>100</v>
      </c>
      <c r="O27" s="212">
        <v>57</v>
      </c>
      <c r="P27" s="213"/>
      <c r="Q27" s="213"/>
      <c r="R27" s="214">
        <f t="shared" si="3"/>
        <v>57</v>
      </c>
      <c r="S27" s="170">
        <v>1</v>
      </c>
      <c r="T27" s="283"/>
      <c r="U27" s="281"/>
      <c r="V27" s="177" t="s">
        <v>494</v>
      </c>
      <c r="W27" s="170" t="s">
        <v>74</v>
      </c>
      <c r="X27" s="170" t="s">
        <v>11</v>
      </c>
      <c r="Y27" s="178">
        <v>57</v>
      </c>
      <c r="AD27" s="177"/>
      <c r="AG27" s="178"/>
      <c r="AL27" s="177"/>
      <c r="AO27" s="178"/>
      <c r="AP27" s="177"/>
      <c r="AS27" s="178"/>
      <c r="AT27" s="252"/>
      <c r="AW27" s="178"/>
      <c r="BA27" s="179"/>
    </row>
    <row r="28" spans="1:53" s="170" customFormat="1" x14ac:dyDescent="0.15">
      <c r="A28" s="215">
        <v>1969</v>
      </c>
      <c r="B28" s="281"/>
      <c r="C28" s="395" t="s">
        <v>1172</v>
      </c>
      <c r="D28" s="395"/>
      <c r="E28" s="170">
        <v>365</v>
      </c>
      <c r="G28" s="232">
        <v>15</v>
      </c>
      <c r="J28" s="240">
        <v>15</v>
      </c>
      <c r="K28" s="213">
        <f t="shared" si="1"/>
        <v>100</v>
      </c>
      <c r="L28" s="213">
        <f t="shared" si="1"/>
        <v>0</v>
      </c>
      <c r="M28" s="213">
        <f t="shared" si="1"/>
        <v>0</v>
      </c>
      <c r="N28" s="234">
        <f t="shared" si="2"/>
        <v>100</v>
      </c>
      <c r="O28" s="212">
        <v>57</v>
      </c>
      <c r="P28" s="213"/>
      <c r="Q28" s="213"/>
      <c r="R28" s="214">
        <f t="shared" si="3"/>
        <v>57</v>
      </c>
      <c r="S28" s="170">
        <v>1</v>
      </c>
      <c r="T28" s="283">
        <v>25564</v>
      </c>
      <c r="U28" s="281"/>
      <c r="V28" s="177" t="s">
        <v>494</v>
      </c>
      <c r="W28" s="170" t="s">
        <v>74</v>
      </c>
      <c r="X28" s="170" t="s">
        <v>11</v>
      </c>
      <c r="Y28" s="178">
        <v>57</v>
      </c>
      <c r="AD28" s="177"/>
      <c r="AG28" s="178"/>
      <c r="AL28" s="177"/>
      <c r="AO28" s="178"/>
      <c r="AP28" s="177"/>
      <c r="AS28" s="178"/>
      <c r="AT28" s="252"/>
      <c r="AW28" s="178"/>
      <c r="BA28" s="179"/>
    </row>
    <row r="29" spans="1:53" s="170" customFormat="1" x14ac:dyDescent="0.15">
      <c r="A29" s="215">
        <v>1970</v>
      </c>
      <c r="B29" s="281"/>
      <c r="C29" s="395" t="s">
        <v>1172</v>
      </c>
      <c r="D29" s="395"/>
      <c r="E29" s="170">
        <v>13</v>
      </c>
      <c r="G29" s="232">
        <v>15</v>
      </c>
      <c r="J29" s="240">
        <v>15</v>
      </c>
      <c r="K29" s="213">
        <f t="shared" si="1"/>
        <v>100</v>
      </c>
      <c r="L29" s="213">
        <f t="shared" si="1"/>
        <v>0</v>
      </c>
      <c r="M29" s="213">
        <f t="shared" si="1"/>
        <v>0</v>
      </c>
      <c r="N29" s="234">
        <f t="shared" si="2"/>
        <v>100</v>
      </c>
      <c r="O29" s="212">
        <v>57</v>
      </c>
      <c r="P29" s="213"/>
      <c r="Q29" s="213"/>
      <c r="R29" s="214">
        <f t="shared" si="3"/>
        <v>57</v>
      </c>
      <c r="S29" s="170">
        <v>1</v>
      </c>
      <c r="T29" s="283"/>
      <c r="U29" s="281"/>
      <c r="V29" s="177" t="s">
        <v>494</v>
      </c>
      <c r="W29" s="170" t="s">
        <v>74</v>
      </c>
      <c r="X29" s="170" t="s">
        <v>11</v>
      </c>
      <c r="Y29" s="178">
        <v>57</v>
      </c>
      <c r="AD29" s="177"/>
      <c r="AG29" s="178"/>
      <c r="AL29" s="177"/>
      <c r="AO29" s="178"/>
      <c r="AP29" s="177"/>
      <c r="AS29" s="178"/>
      <c r="AT29" s="252"/>
      <c r="AW29" s="178"/>
      <c r="BA29" s="179"/>
    </row>
    <row r="30" spans="1:53" s="28" customFormat="1" x14ac:dyDescent="0.15">
      <c r="A30" s="51">
        <v>1970</v>
      </c>
      <c r="B30" s="293">
        <v>25582</v>
      </c>
      <c r="C30" s="394" t="s">
        <v>1173</v>
      </c>
      <c r="D30" s="394"/>
      <c r="E30" s="28">
        <f>365-E29</f>
        <v>352</v>
      </c>
      <c r="F30" s="28">
        <v>1</v>
      </c>
      <c r="G30" s="65">
        <v>15</v>
      </c>
      <c r="J30" s="72">
        <v>15</v>
      </c>
      <c r="K30" s="46">
        <f t="shared" si="1"/>
        <v>100</v>
      </c>
      <c r="L30" s="46">
        <f t="shared" si="1"/>
        <v>0</v>
      </c>
      <c r="M30" s="46">
        <f t="shared" si="1"/>
        <v>0</v>
      </c>
      <c r="N30" s="67">
        <f t="shared" si="2"/>
        <v>100</v>
      </c>
      <c r="O30" s="45">
        <v>59.3</v>
      </c>
      <c r="P30" s="46"/>
      <c r="Q30" s="46"/>
      <c r="R30" s="47">
        <f t="shared" si="3"/>
        <v>59.3</v>
      </c>
      <c r="S30" s="28">
        <v>1</v>
      </c>
      <c r="T30" s="284"/>
      <c r="U30" s="293">
        <v>25582</v>
      </c>
      <c r="V30" s="37" t="s">
        <v>494</v>
      </c>
      <c r="W30" s="28" t="s">
        <v>74</v>
      </c>
      <c r="X30" s="28" t="s">
        <v>11</v>
      </c>
      <c r="Y30" s="38">
        <v>59.3</v>
      </c>
      <c r="AD30" s="37"/>
      <c r="AG30" s="38"/>
      <c r="AL30" s="37"/>
      <c r="AO30" s="38"/>
      <c r="AP30" s="37"/>
      <c r="AS30" s="38"/>
      <c r="AT30" s="93"/>
      <c r="AW30" s="38"/>
      <c r="BA30" s="39"/>
    </row>
    <row r="31" spans="1:53" s="28" customFormat="1" x14ac:dyDescent="0.15">
      <c r="A31" s="51">
        <v>1971</v>
      </c>
      <c r="B31" s="293"/>
      <c r="C31" s="394" t="s">
        <v>1173</v>
      </c>
      <c r="D31" s="394"/>
      <c r="E31" s="28">
        <v>0</v>
      </c>
      <c r="G31" s="65">
        <v>15</v>
      </c>
      <c r="J31" s="72">
        <v>15</v>
      </c>
      <c r="K31" s="46">
        <f t="shared" si="1"/>
        <v>100</v>
      </c>
      <c r="L31" s="46">
        <f t="shared" si="1"/>
        <v>0</v>
      </c>
      <c r="M31" s="46">
        <f t="shared" si="1"/>
        <v>0</v>
      </c>
      <c r="N31" s="67">
        <f t="shared" si="2"/>
        <v>100</v>
      </c>
      <c r="O31" s="45">
        <v>59.3</v>
      </c>
      <c r="P31" s="46"/>
      <c r="Q31" s="46"/>
      <c r="R31" s="47">
        <f t="shared" si="3"/>
        <v>59.3</v>
      </c>
      <c r="S31" s="28">
        <v>1</v>
      </c>
      <c r="T31" s="284"/>
      <c r="U31" s="293"/>
      <c r="V31" s="37" t="s">
        <v>494</v>
      </c>
      <c r="W31" s="28" t="s">
        <v>74</v>
      </c>
      <c r="X31" s="28" t="s">
        <v>11</v>
      </c>
      <c r="Y31" s="38">
        <v>59.3</v>
      </c>
      <c r="AD31" s="37"/>
      <c r="AG31" s="38"/>
      <c r="AL31" s="37"/>
      <c r="AO31" s="38"/>
      <c r="AP31" s="37"/>
      <c r="AS31" s="38"/>
      <c r="AT31" s="93"/>
      <c r="AW31" s="38"/>
      <c r="BA31" s="39"/>
    </row>
    <row r="32" spans="1:53" s="28" customFormat="1" x14ac:dyDescent="0.15">
      <c r="A32" s="51">
        <v>1971</v>
      </c>
      <c r="B32" s="293"/>
      <c r="C32" s="394" t="s">
        <v>1173</v>
      </c>
      <c r="D32" s="394"/>
      <c r="E32" s="28">
        <v>365</v>
      </c>
      <c r="G32" s="65">
        <v>15</v>
      </c>
      <c r="J32" s="72">
        <v>15</v>
      </c>
      <c r="K32" s="46">
        <f t="shared" si="1"/>
        <v>100</v>
      </c>
      <c r="L32" s="46">
        <f t="shared" si="1"/>
        <v>0</v>
      </c>
      <c r="M32" s="46">
        <f t="shared" si="1"/>
        <v>0</v>
      </c>
      <c r="N32" s="67">
        <f t="shared" si="2"/>
        <v>100</v>
      </c>
      <c r="O32" s="45">
        <v>59.3</v>
      </c>
      <c r="P32" s="46"/>
      <c r="Q32" s="46"/>
      <c r="R32" s="47">
        <f t="shared" si="3"/>
        <v>59.3</v>
      </c>
      <c r="S32" s="28">
        <v>1</v>
      </c>
      <c r="T32" s="284"/>
      <c r="U32" s="293"/>
      <c r="V32" s="37" t="s">
        <v>494</v>
      </c>
      <c r="W32" s="28" t="s">
        <v>74</v>
      </c>
      <c r="X32" s="28" t="s">
        <v>11</v>
      </c>
      <c r="Y32" s="38">
        <v>59.3</v>
      </c>
      <c r="AD32" s="37"/>
      <c r="AG32" s="38"/>
      <c r="AL32" s="37"/>
      <c r="AO32" s="38"/>
      <c r="AP32" s="37"/>
      <c r="AS32" s="38"/>
      <c r="AT32" s="93"/>
      <c r="AW32" s="38"/>
      <c r="BA32" s="39"/>
    </row>
    <row r="33" spans="1:53" s="28" customFormat="1" x14ac:dyDescent="0.15">
      <c r="A33" s="51">
        <v>1972</v>
      </c>
      <c r="B33" s="293"/>
      <c r="C33" s="394" t="s">
        <v>1173</v>
      </c>
      <c r="D33" s="394"/>
      <c r="E33" s="28">
        <v>188</v>
      </c>
      <c r="G33" s="65">
        <v>15</v>
      </c>
      <c r="J33" s="72">
        <v>15</v>
      </c>
      <c r="K33" s="46">
        <f t="shared" si="1"/>
        <v>100</v>
      </c>
      <c r="L33" s="46">
        <f t="shared" si="1"/>
        <v>0</v>
      </c>
      <c r="M33" s="46">
        <f t="shared" si="1"/>
        <v>0</v>
      </c>
      <c r="N33" s="67">
        <f t="shared" si="2"/>
        <v>100</v>
      </c>
      <c r="O33" s="45">
        <v>59.3</v>
      </c>
      <c r="P33" s="46"/>
      <c r="Q33" s="46"/>
      <c r="R33" s="47">
        <f t="shared" si="3"/>
        <v>59.3</v>
      </c>
      <c r="S33" s="28">
        <v>1</v>
      </c>
      <c r="T33" s="284"/>
      <c r="U33" s="293"/>
      <c r="V33" s="37" t="s">
        <v>494</v>
      </c>
      <c r="W33" s="28" t="s">
        <v>74</v>
      </c>
      <c r="X33" s="28" t="s">
        <v>11</v>
      </c>
      <c r="Y33" s="38">
        <v>59.3</v>
      </c>
      <c r="AD33" s="37"/>
      <c r="AG33" s="38"/>
      <c r="AL33" s="37"/>
      <c r="AO33" s="38"/>
      <c r="AP33" s="37"/>
      <c r="AS33" s="38"/>
      <c r="AT33" s="93"/>
      <c r="AW33" s="38"/>
      <c r="BA33" s="39"/>
    </row>
    <row r="34" spans="1:53" s="170" customFormat="1" x14ac:dyDescent="0.15">
      <c r="A34" s="215">
        <v>1972</v>
      </c>
      <c r="B34" s="281">
        <v>26487</v>
      </c>
      <c r="C34" s="395" t="s">
        <v>688</v>
      </c>
      <c r="D34" s="395"/>
      <c r="E34" s="170">
        <v>168</v>
      </c>
      <c r="F34" s="170">
        <v>2</v>
      </c>
      <c r="G34" s="232">
        <v>15</v>
      </c>
      <c r="J34" s="240">
        <v>15</v>
      </c>
      <c r="K34" s="213">
        <f t="shared" si="1"/>
        <v>100</v>
      </c>
      <c r="L34" s="213">
        <f t="shared" si="1"/>
        <v>0</v>
      </c>
      <c r="M34" s="213">
        <f t="shared" si="1"/>
        <v>0</v>
      </c>
      <c r="N34" s="234">
        <f t="shared" si="2"/>
        <v>100</v>
      </c>
      <c r="O34" s="212">
        <v>59.3</v>
      </c>
      <c r="P34" s="213"/>
      <c r="Q34" s="213"/>
      <c r="R34" s="214">
        <f t="shared" si="3"/>
        <v>59.3</v>
      </c>
      <c r="S34" s="170">
        <v>1</v>
      </c>
      <c r="T34" s="283"/>
      <c r="U34" s="281">
        <v>26487</v>
      </c>
      <c r="V34" s="177" t="s">
        <v>494</v>
      </c>
      <c r="W34" s="170" t="s">
        <v>74</v>
      </c>
      <c r="X34" s="170" t="s">
        <v>11</v>
      </c>
      <c r="Y34" s="178">
        <v>59.3</v>
      </c>
      <c r="AD34" s="177"/>
      <c r="AG34" s="178"/>
      <c r="AL34" s="177"/>
      <c r="AO34" s="178"/>
      <c r="AP34" s="177"/>
      <c r="AS34" s="178"/>
      <c r="AT34" s="252"/>
      <c r="AW34" s="178"/>
      <c r="BA34" s="179"/>
    </row>
    <row r="35" spans="1:53" s="28" customFormat="1" x14ac:dyDescent="0.15">
      <c r="A35" s="51">
        <v>1972</v>
      </c>
      <c r="B35" s="293">
        <v>26655</v>
      </c>
      <c r="C35" s="394" t="s">
        <v>689</v>
      </c>
      <c r="D35" s="394"/>
      <c r="E35" s="28">
        <f>366-E33-E34</f>
        <v>10</v>
      </c>
      <c r="F35" s="28">
        <v>1</v>
      </c>
      <c r="G35" s="65">
        <v>15</v>
      </c>
      <c r="J35" s="72">
        <v>15</v>
      </c>
      <c r="K35" s="46">
        <f t="shared" si="1"/>
        <v>100</v>
      </c>
      <c r="L35" s="46">
        <f t="shared" si="1"/>
        <v>0</v>
      </c>
      <c r="M35" s="46">
        <f t="shared" si="1"/>
        <v>0</v>
      </c>
      <c r="N35" s="67">
        <f t="shared" si="2"/>
        <v>100</v>
      </c>
      <c r="O35" s="45">
        <v>55.2</v>
      </c>
      <c r="P35" s="46"/>
      <c r="Q35" s="46"/>
      <c r="R35" s="47">
        <f t="shared" si="3"/>
        <v>55.2</v>
      </c>
      <c r="S35" s="28">
        <v>1</v>
      </c>
      <c r="T35" s="284">
        <v>26643</v>
      </c>
      <c r="U35" s="293">
        <v>26655</v>
      </c>
      <c r="V35" s="37" t="s">
        <v>494</v>
      </c>
      <c r="W35" s="28" t="s">
        <v>74</v>
      </c>
      <c r="X35" s="28" t="s">
        <v>11</v>
      </c>
      <c r="Y35" s="38">
        <v>55.2</v>
      </c>
      <c r="AD35" s="37"/>
      <c r="AG35" s="38"/>
      <c r="AL35" s="37"/>
      <c r="AO35" s="38"/>
      <c r="AP35" s="37"/>
      <c r="AS35" s="38"/>
      <c r="AT35" s="93"/>
      <c r="AW35" s="38"/>
      <c r="BA35" s="39"/>
    </row>
    <row r="36" spans="1:53" s="28" customFormat="1" x14ac:dyDescent="0.15">
      <c r="A36" s="51">
        <v>1973</v>
      </c>
      <c r="B36" s="293"/>
      <c r="C36" s="394" t="s">
        <v>689</v>
      </c>
      <c r="D36" s="394"/>
      <c r="E36" s="28">
        <v>0</v>
      </c>
      <c r="G36" s="65">
        <v>15</v>
      </c>
      <c r="J36" s="72">
        <v>15</v>
      </c>
      <c r="K36" s="46">
        <f t="shared" si="1"/>
        <v>100</v>
      </c>
      <c r="L36" s="46">
        <f t="shared" si="1"/>
        <v>0</v>
      </c>
      <c r="M36" s="46">
        <f t="shared" si="1"/>
        <v>0</v>
      </c>
      <c r="N36" s="67">
        <f t="shared" si="2"/>
        <v>100</v>
      </c>
      <c r="O36" s="45">
        <v>55.2</v>
      </c>
      <c r="P36" s="46"/>
      <c r="Q36" s="46"/>
      <c r="R36" s="47">
        <f t="shared" si="3"/>
        <v>55.2</v>
      </c>
      <c r="S36" s="28">
        <v>1</v>
      </c>
      <c r="T36" s="284"/>
      <c r="U36" s="293"/>
      <c r="V36" s="37" t="s">
        <v>494</v>
      </c>
      <c r="W36" s="28" t="s">
        <v>74</v>
      </c>
      <c r="X36" s="28" t="s">
        <v>11</v>
      </c>
      <c r="Y36" s="38">
        <v>55.2</v>
      </c>
      <c r="AD36" s="37"/>
      <c r="AG36" s="38"/>
      <c r="AL36" s="37"/>
      <c r="AO36" s="38"/>
      <c r="AP36" s="37"/>
      <c r="AS36" s="38"/>
      <c r="AT36" s="93"/>
      <c r="AW36" s="38"/>
      <c r="BA36" s="39"/>
    </row>
    <row r="37" spans="1:53" s="28" customFormat="1" x14ac:dyDescent="0.15">
      <c r="A37" s="51">
        <v>1973</v>
      </c>
      <c r="B37" s="293"/>
      <c r="C37" s="394" t="s">
        <v>689</v>
      </c>
      <c r="D37" s="394"/>
      <c r="E37" s="28">
        <v>365</v>
      </c>
      <c r="G37" s="65">
        <v>15</v>
      </c>
      <c r="J37" s="72">
        <v>15</v>
      </c>
      <c r="K37" s="46">
        <f t="shared" si="1"/>
        <v>100</v>
      </c>
      <c r="L37" s="46">
        <f t="shared" si="1"/>
        <v>0</v>
      </c>
      <c r="M37" s="46">
        <f t="shared" si="1"/>
        <v>0</v>
      </c>
      <c r="N37" s="67">
        <f t="shared" si="2"/>
        <v>100</v>
      </c>
      <c r="O37" s="45">
        <v>55.2</v>
      </c>
      <c r="P37" s="46"/>
      <c r="Q37" s="46"/>
      <c r="R37" s="47">
        <f t="shared" si="3"/>
        <v>55.2</v>
      </c>
      <c r="S37" s="28">
        <v>1</v>
      </c>
      <c r="T37" s="284"/>
      <c r="U37" s="293"/>
      <c r="V37" s="37" t="s">
        <v>494</v>
      </c>
      <c r="W37" s="28" t="s">
        <v>74</v>
      </c>
      <c r="X37" s="28" t="s">
        <v>11</v>
      </c>
      <c r="Y37" s="38">
        <v>55.2</v>
      </c>
      <c r="AD37" s="37"/>
      <c r="AG37" s="38"/>
      <c r="AL37" s="37"/>
      <c r="AO37" s="38"/>
      <c r="AP37" s="37"/>
      <c r="AS37" s="38"/>
      <c r="AT37" s="93"/>
      <c r="AW37" s="38"/>
      <c r="BA37" s="39"/>
    </row>
    <row r="38" spans="1:53" s="28" customFormat="1" x14ac:dyDescent="0.15">
      <c r="A38" s="51">
        <v>1974</v>
      </c>
      <c r="B38" s="293"/>
      <c r="C38" s="394" t="s">
        <v>689</v>
      </c>
      <c r="D38" s="394"/>
      <c r="E38" s="28">
        <v>342</v>
      </c>
      <c r="G38" s="65">
        <v>15</v>
      </c>
      <c r="J38" s="72">
        <v>15</v>
      </c>
      <c r="K38" s="46">
        <f t="shared" si="1"/>
        <v>100</v>
      </c>
      <c r="L38" s="46">
        <f t="shared" si="1"/>
        <v>0</v>
      </c>
      <c r="M38" s="46">
        <f t="shared" si="1"/>
        <v>0</v>
      </c>
      <c r="N38" s="67">
        <f t="shared" si="2"/>
        <v>100</v>
      </c>
      <c r="O38" s="45">
        <v>55.2</v>
      </c>
      <c r="P38" s="46"/>
      <c r="Q38" s="46"/>
      <c r="R38" s="47">
        <f t="shared" si="3"/>
        <v>55.2</v>
      </c>
      <c r="S38" s="28">
        <v>1</v>
      </c>
      <c r="T38" s="284"/>
      <c r="U38" s="293"/>
      <c r="V38" s="37" t="s">
        <v>494</v>
      </c>
      <c r="W38" s="28" t="s">
        <v>74</v>
      </c>
      <c r="X38" s="28" t="s">
        <v>11</v>
      </c>
      <c r="Y38" s="38">
        <v>55.2</v>
      </c>
      <c r="AD38" s="37"/>
      <c r="AG38" s="38"/>
      <c r="AL38" s="37"/>
      <c r="AO38" s="38"/>
      <c r="AP38" s="37"/>
      <c r="AS38" s="38"/>
      <c r="AT38" s="93"/>
      <c r="AW38" s="38"/>
      <c r="BA38" s="39"/>
    </row>
    <row r="39" spans="1:53" s="170" customFormat="1" x14ac:dyDescent="0.15">
      <c r="A39" s="215">
        <v>1974</v>
      </c>
      <c r="B39" s="281">
        <v>27372</v>
      </c>
      <c r="C39" s="395" t="s">
        <v>690</v>
      </c>
      <c r="D39" s="395"/>
      <c r="E39" s="170">
        <f>365-E38</f>
        <v>23</v>
      </c>
      <c r="F39" s="170">
        <v>2</v>
      </c>
      <c r="G39" s="232">
        <v>15</v>
      </c>
      <c r="J39" s="240">
        <v>15</v>
      </c>
      <c r="K39" s="213">
        <f t="shared" si="1"/>
        <v>100</v>
      </c>
      <c r="L39" s="213">
        <f t="shared" si="1"/>
        <v>0</v>
      </c>
      <c r="M39" s="213">
        <f t="shared" si="1"/>
        <v>0</v>
      </c>
      <c r="N39" s="234">
        <f t="shared" si="2"/>
        <v>100</v>
      </c>
      <c r="O39" s="212">
        <v>55.2</v>
      </c>
      <c r="P39" s="213"/>
      <c r="Q39" s="213"/>
      <c r="R39" s="214">
        <f t="shared" si="3"/>
        <v>55.2</v>
      </c>
      <c r="S39" s="170">
        <v>1</v>
      </c>
      <c r="T39" s="283"/>
      <c r="U39" s="281">
        <v>27372</v>
      </c>
      <c r="V39" s="177" t="s">
        <v>494</v>
      </c>
      <c r="W39" s="170" t="s">
        <v>74</v>
      </c>
      <c r="X39" s="170" t="s">
        <v>11</v>
      </c>
      <c r="Y39" s="178">
        <v>55.2</v>
      </c>
      <c r="AD39" s="177"/>
      <c r="AG39" s="178"/>
      <c r="AL39" s="177"/>
      <c r="AO39" s="178"/>
      <c r="AP39" s="177"/>
      <c r="AS39" s="178"/>
      <c r="AT39" s="252"/>
      <c r="AW39" s="178"/>
      <c r="BA39" s="179"/>
    </row>
    <row r="40" spans="1:53" s="170" customFormat="1" x14ac:dyDescent="0.15">
      <c r="A40" s="215">
        <v>1975</v>
      </c>
      <c r="B40" s="281"/>
      <c r="C40" s="395" t="s">
        <v>690</v>
      </c>
      <c r="D40" s="395"/>
      <c r="E40" s="170">
        <v>0</v>
      </c>
      <c r="G40" s="232">
        <v>15</v>
      </c>
      <c r="J40" s="240">
        <v>15</v>
      </c>
      <c r="K40" s="213">
        <f t="shared" si="1"/>
        <v>100</v>
      </c>
      <c r="L40" s="213">
        <f t="shared" si="1"/>
        <v>0</v>
      </c>
      <c r="M40" s="213">
        <f t="shared" si="1"/>
        <v>0</v>
      </c>
      <c r="N40" s="234">
        <f t="shared" si="2"/>
        <v>100</v>
      </c>
      <c r="O40" s="212">
        <v>55.2</v>
      </c>
      <c r="P40" s="213"/>
      <c r="Q40" s="213"/>
      <c r="R40" s="214">
        <f t="shared" si="3"/>
        <v>55.2</v>
      </c>
      <c r="S40" s="170">
        <v>1</v>
      </c>
      <c r="T40" s="283"/>
      <c r="U40" s="281"/>
      <c r="V40" s="177" t="s">
        <v>494</v>
      </c>
      <c r="W40" s="170" t="s">
        <v>74</v>
      </c>
      <c r="X40" s="170" t="s">
        <v>11</v>
      </c>
      <c r="Y40" s="178">
        <v>55.2</v>
      </c>
      <c r="AD40" s="177"/>
      <c r="AG40" s="178"/>
      <c r="AL40" s="177"/>
      <c r="AO40" s="178"/>
      <c r="AP40" s="177"/>
      <c r="AS40" s="178"/>
      <c r="AT40" s="252"/>
      <c r="AW40" s="178"/>
      <c r="BA40" s="179"/>
    </row>
    <row r="41" spans="1:53" s="170" customFormat="1" x14ac:dyDescent="0.15">
      <c r="A41" s="215">
        <v>1975</v>
      </c>
      <c r="B41" s="281"/>
      <c r="C41" s="395" t="s">
        <v>690</v>
      </c>
      <c r="D41" s="395"/>
      <c r="E41" s="170">
        <v>365</v>
      </c>
      <c r="G41" s="232">
        <v>15</v>
      </c>
      <c r="J41" s="240">
        <v>15</v>
      </c>
      <c r="K41" s="213">
        <f t="shared" si="1"/>
        <v>100</v>
      </c>
      <c r="L41" s="213">
        <f t="shared" si="1"/>
        <v>0</v>
      </c>
      <c r="M41" s="213">
        <f t="shared" si="1"/>
        <v>0</v>
      </c>
      <c r="N41" s="234">
        <f t="shared" si="2"/>
        <v>100</v>
      </c>
      <c r="O41" s="212">
        <v>55.2</v>
      </c>
      <c r="P41" s="213"/>
      <c r="Q41" s="213"/>
      <c r="R41" s="214">
        <f t="shared" si="3"/>
        <v>55.2</v>
      </c>
      <c r="S41" s="170">
        <v>1</v>
      </c>
      <c r="T41" s="283"/>
      <c r="U41" s="281"/>
      <c r="V41" s="177" t="s">
        <v>494</v>
      </c>
      <c r="W41" s="170" t="s">
        <v>74</v>
      </c>
      <c r="X41" s="170" t="s">
        <v>11</v>
      </c>
      <c r="Y41" s="178">
        <v>55.2</v>
      </c>
      <c r="AD41" s="177"/>
      <c r="AG41" s="178"/>
      <c r="AL41" s="177"/>
      <c r="AO41" s="178"/>
      <c r="AP41" s="177"/>
      <c r="AS41" s="178"/>
      <c r="AT41" s="252"/>
      <c r="AW41" s="178"/>
      <c r="BA41" s="179"/>
    </row>
    <row r="42" spans="1:53" s="170" customFormat="1" x14ac:dyDescent="0.15">
      <c r="A42" s="215">
        <v>1976</v>
      </c>
      <c r="B42" s="281"/>
      <c r="C42" s="395" t="s">
        <v>690</v>
      </c>
      <c r="D42" s="395"/>
      <c r="E42" s="170">
        <v>358</v>
      </c>
      <c r="G42" s="232">
        <v>15</v>
      </c>
      <c r="J42" s="240">
        <v>15</v>
      </c>
      <c r="K42" s="213">
        <f t="shared" si="1"/>
        <v>100</v>
      </c>
      <c r="L42" s="213">
        <f t="shared" si="1"/>
        <v>0</v>
      </c>
      <c r="M42" s="213">
        <f t="shared" si="1"/>
        <v>0</v>
      </c>
      <c r="N42" s="234">
        <f t="shared" si="2"/>
        <v>100</v>
      </c>
      <c r="O42" s="212">
        <v>55.2</v>
      </c>
      <c r="P42" s="213"/>
      <c r="Q42" s="213"/>
      <c r="R42" s="214">
        <f t="shared" si="3"/>
        <v>55.2</v>
      </c>
      <c r="S42" s="170">
        <v>1</v>
      </c>
      <c r="T42" s="283"/>
      <c r="U42" s="281"/>
      <c r="V42" s="177" t="s">
        <v>494</v>
      </c>
      <c r="W42" s="170" t="s">
        <v>74</v>
      </c>
      <c r="X42" s="170" t="s">
        <v>11</v>
      </c>
      <c r="Y42" s="178">
        <v>55.2</v>
      </c>
      <c r="AD42" s="177"/>
      <c r="AG42" s="178"/>
      <c r="AL42" s="177"/>
      <c r="AO42" s="178"/>
      <c r="AP42" s="177"/>
      <c r="AS42" s="178"/>
      <c r="AT42" s="252"/>
      <c r="AW42" s="178"/>
      <c r="BA42" s="179"/>
    </row>
    <row r="43" spans="1:53" s="28" customFormat="1" x14ac:dyDescent="0.15">
      <c r="A43" s="51">
        <v>1976</v>
      </c>
      <c r="B43" s="293">
        <v>28118</v>
      </c>
      <c r="C43" s="394" t="s">
        <v>1450</v>
      </c>
      <c r="D43" s="394"/>
      <c r="E43" s="28">
        <f>366-E42</f>
        <v>8</v>
      </c>
      <c r="F43" s="28">
        <v>2</v>
      </c>
      <c r="G43" s="65">
        <v>15</v>
      </c>
      <c r="J43" s="72">
        <v>15</v>
      </c>
      <c r="K43" s="46">
        <f t="shared" si="1"/>
        <v>100</v>
      </c>
      <c r="L43" s="46">
        <f t="shared" si="1"/>
        <v>0</v>
      </c>
      <c r="M43" s="46">
        <f t="shared" si="1"/>
        <v>0</v>
      </c>
      <c r="N43" s="67">
        <f t="shared" si="2"/>
        <v>100</v>
      </c>
      <c r="O43" s="45">
        <v>48.7</v>
      </c>
      <c r="P43" s="46"/>
      <c r="Q43" s="46"/>
      <c r="R43" s="47">
        <f t="shared" si="3"/>
        <v>48.7</v>
      </c>
      <c r="S43" s="28">
        <v>4</v>
      </c>
      <c r="T43" s="284">
        <v>28099</v>
      </c>
      <c r="U43" s="293">
        <v>28118</v>
      </c>
      <c r="V43" s="37" t="s">
        <v>494</v>
      </c>
      <c r="W43" s="28" t="s">
        <v>74</v>
      </c>
      <c r="X43" s="28" t="s">
        <v>11</v>
      </c>
      <c r="Y43" s="38">
        <v>48.7</v>
      </c>
      <c r="AD43" s="37"/>
      <c r="AG43" s="38"/>
      <c r="AL43" s="37"/>
      <c r="AO43" s="38"/>
      <c r="AP43" s="37"/>
      <c r="AS43" s="38"/>
      <c r="AT43" s="93"/>
      <c r="AW43" s="38"/>
      <c r="BA43" s="39"/>
    </row>
    <row r="44" spans="1:53" s="28" customFormat="1" x14ac:dyDescent="0.15">
      <c r="A44" s="51">
        <v>1977</v>
      </c>
      <c r="B44" s="293"/>
      <c r="C44" s="394" t="s">
        <v>1450</v>
      </c>
      <c r="D44" s="394"/>
      <c r="E44" s="28">
        <v>0</v>
      </c>
      <c r="G44" s="65">
        <v>15</v>
      </c>
      <c r="J44" s="72">
        <v>15</v>
      </c>
      <c r="K44" s="46">
        <f t="shared" si="1"/>
        <v>100</v>
      </c>
      <c r="L44" s="46">
        <f t="shared" si="1"/>
        <v>0</v>
      </c>
      <c r="M44" s="46">
        <f t="shared" si="1"/>
        <v>0</v>
      </c>
      <c r="N44" s="67">
        <f t="shared" si="2"/>
        <v>100</v>
      </c>
      <c r="O44" s="45">
        <v>48.7</v>
      </c>
      <c r="P44" s="46"/>
      <c r="Q44" s="46"/>
      <c r="R44" s="47">
        <f t="shared" si="3"/>
        <v>48.7</v>
      </c>
      <c r="S44" s="28">
        <v>4</v>
      </c>
      <c r="T44" s="284"/>
      <c r="U44" s="293"/>
      <c r="V44" s="37" t="s">
        <v>494</v>
      </c>
      <c r="W44" s="28" t="s">
        <v>74</v>
      </c>
      <c r="X44" s="28" t="s">
        <v>11</v>
      </c>
      <c r="Y44" s="38">
        <v>48.7</v>
      </c>
      <c r="AD44" s="37"/>
      <c r="AG44" s="38"/>
      <c r="AL44" s="37"/>
      <c r="AO44" s="38"/>
      <c r="AP44" s="37"/>
      <c r="AS44" s="38"/>
      <c r="AT44" s="93"/>
      <c r="AW44" s="38"/>
      <c r="BA44" s="39"/>
    </row>
    <row r="45" spans="1:53" s="28" customFormat="1" x14ac:dyDescent="0.15">
      <c r="A45" s="51">
        <v>1977</v>
      </c>
      <c r="B45" s="293"/>
      <c r="C45" s="394" t="s">
        <v>1450</v>
      </c>
      <c r="D45" s="394"/>
      <c r="E45" s="28">
        <v>365</v>
      </c>
      <c r="G45" s="65">
        <v>15</v>
      </c>
      <c r="J45" s="72">
        <v>15</v>
      </c>
      <c r="K45" s="46">
        <f t="shared" si="1"/>
        <v>100</v>
      </c>
      <c r="L45" s="46">
        <f t="shared" si="1"/>
        <v>0</v>
      </c>
      <c r="M45" s="46">
        <f t="shared" si="1"/>
        <v>0</v>
      </c>
      <c r="N45" s="67">
        <f t="shared" si="2"/>
        <v>100</v>
      </c>
      <c r="O45" s="45">
        <v>48.7</v>
      </c>
      <c r="P45" s="46"/>
      <c r="Q45" s="46"/>
      <c r="R45" s="47">
        <f t="shared" si="3"/>
        <v>48.7</v>
      </c>
      <c r="S45" s="28">
        <v>4</v>
      </c>
      <c r="T45" s="284"/>
      <c r="U45" s="293"/>
      <c r="V45" s="37" t="s">
        <v>494</v>
      </c>
      <c r="W45" s="28" t="s">
        <v>74</v>
      </c>
      <c r="X45" s="28" t="s">
        <v>11</v>
      </c>
      <c r="Y45" s="38">
        <v>48.7</v>
      </c>
      <c r="AD45" s="37"/>
      <c r="AG45" s="38"/>
      <c r="AL45" s="37"/>
      <c r="AO45" s="38"/>
      <c r="AP45" s="37"/>
      <c r="AS45" s="38"/>
      <c r="AT45" s="93"/>
      <c r="AW45" s="38"/>
      <c r="BA45" s="39"/>
    </row>
    <row r="46" spans="1:53" s="28" customFormat="1" x14ac:dyDescent="0.15">
      <c r="A46" s="51">
        <v>1978</v>
      </c>
      <c r="B46" s="293"/>
      <c r="C46" s="394" t="s">
        <v>1450</v>
      </c>
      <c r="D46" s="394"/>
      <c r="E46" s="28">
        <v>341</v>
      </c>
      <c r="G46" s="65">
        <v>15</v>
      </c>
      <c r="J46" s="72">
        <v>15</v>
      </c>
      <c r="K46" s="46">
        <f t="shared" si="1"/>
        <v>100</v>
      </c>
      <c r="L46" s="46">
        <f t="shared" si="1"/>
        <v>0</v>
      </c>
      <c r="M46" s="46">
        <f t="shared" si="1"/>
        <v>0</v>
      </c>
      <c r="N46" s="67">
        <f t="shared" si="2"/>
        <v>100</v>
      </c>
      <c r="O46" s="45">
        <v>48.7</v>
      </c>
      <c r="P46" s="46"/>
      <c r="Q46" s="46"/>
      <c r="R46" s="47">
        <f t="shared" si="3"/>
        <v>48.7</v>
      </c>
      <c r="S46" s="28">
        <v>4</v>
      </c>
      <c r="T46" s="284"/>
      <c r="U46" s="293"/>
      <c r="V46" s="37" t="s">
        <v>494</v>
      </c>
      <c r="W46" s="28" t="s">
        <v>74</v>
      </c>
      <c r="X46" s="28" t="s">
        <v>11</v>
      </c>
      <c r="Y46" s="38">
        <v>48.7</v>
      </c>
      <c r="AD46" s="37"/>
      <c r="AG46" s="38"/>
      <c r="AL46" s="37"/>
      <c r="AO46" s="38"/>
      <c r="AP46" s="37"/>
      <c r="AS46" s="38"/>
      <c r="AT46" s="93"/>
      <c r="AW46" s="38"/>
      <c r="BA46" s="39"/>
    </row>
    <row r="47" spans="1:53" s="170" customFormat="1" x14ac:dyDescent="0.15">
      <c r="A47" s="215">
        <v>1978</v>
      </c>
      <c r="B47" s="281">
        <v>28832</v>
      </c>
      <c r="C47" s="395" t="s">
        <v>1174</v>
      </c>
      <c r="D47" s="395"/>
      <c r="E47" s="170">
        <f>365-E46</f>
        <v>24</v>
      </c>
      <c r="F47" s="170">
        <v>2</v>
      </c>
      <c r="G47" s="232">
        <v>15</v>
      </c>
      <c r="J47" s="240">
        <v>15</v>
      </c>
      <c r="K47" s="213">
        <f t="shared" si="1"/>
        <v>100</v>
      </c>
      <c r="L47" s="213">
        <f t="shared" si="1"/>
        <v>0</v>
      </c>
      <c r="M47" s="213">
        <f t="shared" si="1"/>
        <v>0</v>
      </c>
      <c r="N47" s="234">
        <f t="shared" si="2"/>
        <v>100</v>
      </c>
      <c r="O47" s="212">
        <v>48.7</v>
      </c>
      <c r="P47" s="213"/>
      <c r="Q47" s="213"/>
      <c r="R47" s="214">
        <f t="shared" si="3"/>
        <v>48.7</v>
      </c>
      <c r="S47" s="170">
        <v>4</v>
      </c>
      <c r="T47" s="283"/>
      <c r="U47" s="281">
        <v>28832</v>
      </c>
      <c r="V47" s="177" t="s">
        <v>494</v>
      </c>
      <c r="W47" s="170" t="s">
        <v>74</v>
      </c>
      <c r="X47" s="170" t="s">
        <v>11</v>
      </c>
      <c r="Y47" s="178">
        <v>48.7</v>
      </c>
      <c r="AD47" s="177"/>
      <c r="AG47" s="178"/>
      <c r="AL47" s="177"/>
      <c r="AO47" s="178"/>
      <c r="AP47" s="177"/>
      <c r="AS47" s="178"/>
      <c r="AT47" s="252"/>
      <c r="AW47" s="178"/>
      <c r="BA47" s="179"/>
    </row>
    <row r="48" spans="1:53" s="170" customFormat="1" x14ac:dyDescent="0.15">
      <c r="A48" s="215">
        <v>1979</v>
      </c>
      <c r="B48" s="281"/>
      <c r="C48" s="395" t="s">
        <v>1174</v>
      </c>
      <c r="D48" s="395"/>
      <c r="E48" s="170">
        <v>311</v>
      </c>
      <c r="G48" s="232">
        <v>15</v>
      </c>
      <c r="J48" s="240">
        <v>15</v>
      </c>
      <c r="K48" s="213">
        <f t="shared" si="1"/>
        <v>100</v>
      </c>
      <c r="L48" s="213">
        <f t="shared" si="1"/>
        <v>0</v>
      </c>
      <c r="M48" s="213">
        <f t="shared" si="1"/>
        <v>0</v>
      </c>
      <c r="N48" s="234">
        <f t="shared" si="2"/>
        <v>100</v>
      </c>
      <c r="O48" s="212">
        <v>48.7</v>
      </c>
      <c r="P48" s="213"/>
      <c r="Q48" s="213"/>
      <c r="R48" s="214">
        <f t="shared" si="3"/>
        <v>48.7</v>
      </c>
      <c r="S48" s="170">
        <v>4</v>
      </c>
      <c r="T48" s="283"/>
      <c r="U48" s="281"/>
      <c r="V48" s="177" t="s">
        <v>494</v>
      </c>
      <c r="W48" s="170" t="s">
        <v>74</v>
      </c>
      <c r="X48" s="170" t="s">
        <v>11</v>
      </c>
      <c r="Y48" s="178">
        <v>48.7</v>
      </c>
      <c r="AD48" s="177"/>
      <c r="AG48" s="178"/>
      <c r="AL48" s="177"/>
      <c r="AO48" s="178"/>
      <c r="AP48" s="177"/>
      <c r="AS48" s="178"/>
      <c r="AT48" s="252"/>
      <c r="AW48" s="178"/>
      <c r="BA48" s="179"/>
    </row>
    <row r="49" spans="1:53" s="28" customFormat="1" x14ac:dyDescent="0.15">
      <c r="A49" s="51">
        <v>1979</v>
      </c>
      <c r="B49" s="293">
        <v>29167</v>
      </c>
      <c r="C49" s="394" t="s">
        <v>1175</v>
      </c>
      <c r="D49" s="394"/>
      <c r="E49" s="28">
        <f>365-E48</f>
        <v>54</v>
      </c>
      <c r="F49" s="28">
        <v>1</v>
      </c>
      <c r="G49" s="65">
        <v>14</v>
      </c>
      <c r="J49" s="72">
        <v>14</v>
      </c>
      <c r="K49" s="46">
        <f t="shared" si="1"/>
        <v>100</v>
      </c>
      <c r="L49" s="46">
        <f t="shared" si="1"/>
        <v>0</v>
      </c>
      <c r="M49" s="46">
        <f t="shared" si="1"/>
        <v>0</v>
      </c>
      <c r="N49" s="67">
        <f t="shared" si="2"/>
        <v>100</v>
      </c>
      <c r="O49" s="45">
        <v>48.5</v>
      </c>
      <c r="P49" s="46"/>
      <c r="Q49" s="46"/>
      <c r="R49" s="47">
        <f t="shared" si="3"/>
        <v>48.5</v>
      </c>
      <c r="S49" s="28">
        <v>4</v>
      </c>
      <c r="T49" s="284">
        <v>29135</v>
      </c>
      <c r="U49" s="293">
        <v>29167</v>
      </c>
      <c r="V49" s="37" t="s">
        <v>494</v>
      </c>
      <c r="W49" s="28" t="s">
        <v>74</v>
      </c>
      <c r="X49" s="28" t="s">
        <v>11</v>
      </c>
      <c r="Y49" s="38">
        <v>48.5</v>
      </c>
      <c r="AD49" s="37"/>
      <c r="AG49" s="38"/>
      <c r="AL49" s="37"/>
      <c r="AO49" s="38"/>
      <c r="AP49" s="37"/>
      <c r="AS49" s="38"/>
      <c r="AT49" s="93"/>
      <c r="AW49" s="38"/>
      <c r="BA49" s="39"/>
    </row>
    <row r="50" spans="1:53" s="28" customFormat="1" x14ac:dyDescent="0.15">
      <c r="A50" s="51">
        <v>1980</v>
      </c>
      <c r="B50" s="293"/>
      <c r="C50" s="394" t="s">
        <v>1175</v>
      </c>
      <c r="D50" s="394"/>
      <c r="E50" s="28">
        <v>198</v>
      </c>
      <c r="G50" s="65">
        <v>14</v>
      </c>
      <c r="J50" s="72">
        <v>14</v>
      </c>
      <c r="K50" s="46">
        <f t="shared" si="1"/>
        <v>100</v>
      </c>
      <c r="L50" s="46">
        <f t="shared" si="1"/>
        <v>0</v>
      </c>
      <c r="M50" s="46">
        <f t="shared" si="1"/>
        <v>0</v>
      </c>
      <c r="N50" s="67">
        <f t="shared" si="2"/>
        <v>100</v>
      </c>
      <c r="O50" s="45">
        <v>48.5</v>
      </c>
      <c r="P50" s="46"/>
      <c r="Q50" s="46"/>
      <c r="R50" s="47">
        <f t="shared" si="3"/>
        <v>48.5</v>
      </c>
      <c r="S50" s="28">
        <v>4</v>
      </c>
      <c r="T50" s="284"/>
      <c r="U50" s="293"/>
      <c r="V50" s="37" t="s">
        <v>494</v>
      </c>
      <c r="W50" s="28" t="s">
        <v>74</v>
      </c>
      <c r="X50" s="28" t="s">
        <v>11</v>
      </c>
      <c r="Y50" s="38">
        <v>48.5</v>
      </c>
      <c r="AD50" s="37"/>
      <c r="AG50" s="38"/>
      <c r="AL50" s="37"/>
      <c r="AO50" s="38"/>
      <c r="AP50" s="37"/>
      <c r="AS50" s="38"/>
      <c r="AT50" s="93"/>
      <c r="AW50" s="38"/>
      <c r="BA50" s="39"/>
    </row>
    <row r="51" spans="1:53" s="170" customFormat="1" x14ac:dyDescent="0.15">
      <c r="A51" s="215">
        <v>1980</v>
      </c>
      <c r="B51" s="281">
        <v>29419</v>
      </c>
      <c r="C51" s="395" t="s">
        <v>691</v>
      </c>
      <c r="D51" s="395"/>
      <c r="E51" s="170">
        <f>366-E50</f>
        <v>168</v>
      </c>
      <c r="F51" s="170">
        <v>5</v>
      </c>
      <c r="G51" s="232">
        <v>15</v>
      </c>
      <c r="J51" s="240">
        <v>15</v>
      </c>
      <c r="K51" s="213">
        <f>G51/$J51*100</f>
        <v>100</v>
      </c>
      <c r="L51" s="213">
        <f t="shared" ref="L51:M93" si="4">H51/$J51*100</f>
        <v>0</v>
      </c>
      <c r="M51" s="213">
        <f t="shared" si="4"/>
        <v>0</v>
      </c>
      <c r="N51" s="234">
        <f>K51+L51+M51</f>
        <v>100</v>
      </c>
      <c r="O51" s="212">
        <v>55.6</v>
      </c>
      <c r="P51" s="213"/>
      <c r="Q51" s="213"/>
      <c r="R51" s="214">
        <f t="shared" si="3"/>
        <v>55.6</v>
      </c>
      <c r="S51" s="170">
        <v>1</v>
      </c>
      <c r="T51" s="283">
        <v>29394</v>
      </c>
      <c r="U51" s="281">
        <v>29419</v>
      </c>
      <c r="V51" s="177" t="s">
        <v>494</v>
      </c>
      <c r="W51" s="170" t="s">
        <v>74</v>
      </c>
      <c r="X51" s="170" t="s">
        <v>11</v>
      </c>
      <c r="Y51" s="178">
        <v>55.6</v>
      </c>
      <c r="AD51" s="177"/>
      <c r="AG51" s="178"/>
      <c r="AL51" s="177"/>
      <c r="AO51" s="178"/>
      <c r="AP51" s="177"/>
      <c r="AS51" s="178"/>
      <c r="AT51" s="252"/>
      <c r="AW51" s="178"/>
      <c r="BA51" s="179"/>
    </row>
    <row r="52" spans="1:53" s="170" customFormat="1" x14ac:dyDescent="0.15">
      <c r="A52" s="215">
        <v>1981</v>
      </c>
      <c r="B52" s="281"/>
      <c r="C52" s="395" t="s">
        <v>691</v>
      </c>
      <c r="D52" s="395"/>
      <c r="E52" s="170">
        <v>0</v>
      </c>
      <c r="G52" s="232">
        <v>15</v>
      </c>
      <c r="J52" s="240">
        <v>15</v>
      </c>
      <c r="K52" s="213">
        <f t="shared" ref="K52:K79" si="5">G52/$J52*100</f>
        <v>100</v>
      </c>
      <c r="L52" s="213">
        <f t="shared" si="4"/>
        <v>0</v>
      </c>
      <c r="M52" s="213">
        <f t="shared" si="4"/>
        <v>0</v>
      </c>
      <c r="N52" s="234">
        <f t="shared" ref="N52:N79" si="6">K52+L52+M52</f>
        <v>100</v>
      </c>
      <c r="O52" s="212">
        <v>55.6</v>
      </c>
      <c r="P52" s="213"/>
      <c r="Q52" s="213"/>
      <c r="R52" s="214">
        <f t="shared" si="3"/>
        <v>55.6</v>
      </c>
      <c r="S52" s="170">
        <v>1</v>
      </c>
      <c r="T52" s="283"/>
      <c r="U52" s="281"/>
      <c r="V52" s="177" t="s">
        <v>494</v>
      </c>
      <c r="W52" s="170" t="s">
        <v>74</v>
      </c>
      <c r="X52" s="170" t="s">
        <v>11</v>
      </c>
      <c r="Y52" s="178">
        <v>55.6</v>
      </c>
      <c r="AD52" s="177"/>
      <c r="AG52" s="178"/>
      <c r="AL52" s="177"/>
      <c r="AO52" s="178"/>
      <c r="AP52" s="177"/>
      <c r="AS52" s="178"/>
      <c r="AT52" s="252"/>
      <c r="AW52" s="178"/>
      <c r="BA52" s="179"/>
    </row>
    <row r="53" spans="1:53" s="170" customFormat="1" x14ac:dyDescent="0.15">
      <c r="A53" s="215">
        <v>1981</v>
      </c>
      <c r="B53" s="281"/>
      <c r="C53" s="395" t="s">
        <v>691</v>
      </c>
      <c r="D53" s="395"/>
      <c r="E53" s="170">
        <v>365</v>
      </c>
      <c r="G53" s="232">
        <v>15</v>
      </c>
      <c r="J53" s="240">
        <v>15</v>
      </c>
      <c r="K53" s="213">
        <f t="shared" si="5"/>
        <v>100</v>
      </c>
      <c r="L53" s="213">
        <f t="shared" si="4"/>
        <v>0</v>
      </c>
      <c r="M53" s="213">
        <f t="shared" si="4"/>
        <v>0</v>
      </c>
      <c r="N53" s="234">
        <f t="shared" si="6"/>
        <v>100</v>
      </c>
      <c r="O53" s="212">
        <v>55.6</v>
      </c>
      <c r="P53" s="213"/>
      <c r="Q53" s="213"/>
      <c r="R53" s="214">
        <f t="shared" si="3"/>
        <v>55.6</v>
      </c>
      <c r="S53" s="170">
        <v>1</v>
      </c>
      <c r="T53" s="283"/>
      <c r="U53" s="281"/>
      <c r="V53" s="177" t="s">
        <v>494</v>
      </c>
      <c r="W53" s="170" t="s">
        <v>74</v>
      </c>
      <c r="X53" s="170" t="s">
        <v>11</v>
      </c>
      <c r="Y53" s="178">
        <v>55.6</v>
      </c>
      <c r="AD53" s="177"/>
      <c r="AG53" s="178"/>
      <c r="AL53" s="177"/>
      <c r="AO53" s="178"/>
      <c r="AP53" s="177"/>
      <c r="AS53" s="178"/>
      <c r="AT53" s="252"/>
      <c r="AW53" s="178"/>
      <c r="BA53" s="179"/>
    </row>
    <row r="54" spans="1:53" s="170" customFormat="1" x14ac:dyDescent="0.15">
      <c r="A54" s="215">
        <v>1982</v>
      </c>
      <c r="B54" s="281"/>
      <c r="C54" s="395" t="s">
        <v>691</v>
      </c>
      <c r="D54" s="395"/>
      <c r="E54" s="170">
        <v>329</v>
      </c>
      <c r="G54" s="232">
        <v>15</v>
      </c>
      <c r="J54" s="240">
        <v>15</v>
      </c>
      <c r="K54" s="213">
        <f t="shared" si="5"/>
        <v>100</v>
      </c>
      <c r="L54" s="213">
        <f t="shared" si="4"/>
        <v>0</v>
      </c>
      <c r="M54" s="213">
        <f t="shared" si="4"/>
        <v>0</v>
      </c>
      <c r="N54" s="234">
        <f t="shared" si="6"/>
        <v>100</v>
      </c>
      <c r="O54" s="212">
        <v>55.6</v>
      </c>
      <c r="P54" s="213"/>
      <c r="Q54" s="213"/>
      <c r="R54" s="214">
        <f t="shared" si="3"/>
        <v>55.6</v>
      </c>
      <c r="S54" s="170">
        <v>1</v>
      </c>
      <c r="T54" s="283"/>
      <c r="U54" s="281"/>
      <c r="V54" s="177" t="s">
        <v>494</v>
      </c>
      <c r="W54" s="170" t="s">
        <v>74</v>
      </c>
      <c r="X54" s="170" t="s">
        <v>11</v>
      </c>
      <c r="Y54" s="178">
        <v>55.6</v>
      </c>
      <c r="AD54" s="177"/>
      <c r="AG54" s="178"/>
      <c r="AL54" s="177"/>
      <c r="AO54" s="178"/>
      <c r="AP54" s="177"/>
      <c r="AS54" s="178"/>
      <c r="AT54" s="252"/>
      <c r="AW54" s="178"/>
      <c r="BA54" s="179"/>
    </row>
    <row r="55" spans="1:53" s="28" customFormat="1" x14ac:dyDescent="0.15">
      <c r="A55" s="51">
        <v>1982</v>
      </c>
      <c r="B55" s="293">
        <v>30281</v>
      </c>
      <c r="C55" s="394" t="s">
        <v>692</v>
      </c>
      <c r="D55" s="394"/>
      <c r="E55" s="28">
        <f>365-E54</f>
        <v>36</v>
      </c>
      <c r="F55" s="28">
        <v>2</v>
      </c>
      <c r="G55" s="65">
        <v>15</v>
      </c>
      <c r="J55" s="72">
        <v>15</v>
      </c>
      <c r="K55" s="46">
        <f t="shared" si="5"/>
        <v>100</v>
      </c>
      <c r="L55" s="46">
        <f t="shared" si="4"/>
        <v>0</v>
      </c>
      <c r="M55" s="46">
        <f t="shared" si="4"/>
        <v>0</v>
      </c>
      <c r="N55" s="67">
        <f t="shared" si="6"/>
        <v>100</v>
      </c>
      <c r="O55" s="45">
        <v>55.6</v>
      </c>
      <c r="P55" s="46"/>
      <c r="Q55" s="46"/>
      <c r="R55" s="47">
        <f t="shared" si="3"/>
        <v>55.6</v>
      </c>
      <c r="S55" s="28">
        <v>1</v>
      </c>
      <c r="T55" s="284"/>
      <c r="U55" s="293">
        <v>30281</v>
      </c>
      <c r="V55" s="37" t="s">
        <v>494</v>
      </c>
      <c r="W55" s="28" t="s">
        <v>74</v>
      </c>
      <c r="X55" s="28" t="s">
        <v>11</v>
      </c>
      <c r="Y55" s="38">
        <v>55.6</v>
      </c>
      <c r="AD55" s="37"/>
      <c r="AG55" s="38"/>
      <c r="AL55" s="37"/>
      <c r="AO55" s="38"/>
      <c r="AP55" s="37"/>
      <c r="AS55" s="38"/>
      <c r="AT55" s="93"/>
      <c r="AW55" s="38"/>
      <c r="BA55" s="39"/>
    </row>
    <row r="56" spans="1:53" s="28" customFormat="1" x14ac:dyDescent="0.15">
      <c r="A56" s="51">
        <v>1983</v>
      </c>
      <c r="B56" s="293"/>
      <c r="C56" s="394" t="s">
        <v>692</v>
      </c>
      <c r="D56" s="394"/>
      <c r="E56" s="28">
        <v>359</v>
      </c>
      <c r="G56" s="65">
        <v>15</v>
      </c>
      <c r="J56" s="72">
        <v>15</v>
      </c>
      <c r="K56" s="46">
        <f t="shared" si="5"/>
        <v>100</v>
      </c>
      <c r="L56" s="46">
        <f t="shared" si="4"/>
        <v>0</v>
      </c>
      <c r="M56" s="46">
        <f t="shared" si="4"/>
        <v>0</v>
      </c>
      <c r="N56" s="67">
        <f t="shared" si="6"/>
        <v>100</v>
      </c>
      <c r="O56" s="45">
        <v>55.6</v>
      </c>
      <c r="P56" s="46"/>
      <c r="Q56" s="46"/>
      <c r="R56" s="47">
        <f t="shared" si="3"/>
        <v>55.6</v>
      </c>
      <c r="S56" s="28">
        <v>1</v>
      </c>
      <c r="T56" s="284"/>
      <c r="U56" s="293"/>
      <c r="V56" s="37" t="s">
        <v>494</v>
      </c>
      <c r="W56" s="28" t="s">
        <v>74</v>
      </c>
      <c r="X56" s="28" t="s">
        <v>11</v>
      </c>
      <c r="Y56" s="38">
        <v>55.6</v>
      </c>
      <c r="AD56" s="37"/>
      <c r="AG56" s="38"/>
      <c r="AL56" s="37"/>
      <c r="AO56" s="38"/>
      <c r="AP56" s="37"/>
      <c r="AS56" s="38"/>
      <c r="AT56" s="93"/>
      <c r="AW56" s="38"/>
      <c r="BA56" s="39"/>
    </row>
    <row r="57" spans="1:53" s="170" customFormat="1" x14ac:dyDescent="0.15">
      <c r="A57" s="215">
        <v>1983</v>
      </c>
      <c r="B57" s="281">
        <v>30676</v>
      </c>
      <c r="C57" s="395" t="s">
        <v>693</v>
      </c>
      <c r="D57" s="395"/>
      <c r="E57" s="170">
        <f>365-E56</f>
        <v>6</v>
      </c>
      <c r="F57" s="170">
        <v>1</v>
      </c>
      <c r="G57" s="232">
        <v>15</v>
      </c>
      <c r="J57" s="240">
        <v>15</v>
      </c>
      <c r="K57" s="213">
        <f t="shared" si="5"/>
        <v>100</v>
      </c>
      <c r="L57" s="213">
        <f t="shared" si="4"/>
        <v>0</v>
      </c>
      <c r="M57" s="213">
        <f t="shared" si="4"/>
        <v>0</v>
      </c>
      <c r="N57" s="234">
        <f t="shared" si="6"/>
        <v>100</v>
      </c>
      <c r="O57" s="212">
        <f t="shared" ref="O57:O62" si="7">Y57+AC57</f>
        <v>50.5</v>
      </c>
      <c r="P57" s="213"/>
      <c r="Q57" s="213"/>
      <c r="R57" s="214">
        <f t="shared" si="3"/>
        <v>50.5</v>
      </c>
      <c r="S57" s="170">
        <v>2</v>
      </c>
      <c r="T57" s="283">
        <v>30668</v>
      </c>
      <c r="U57" s="281">
        <v>30676</v>
      </c>
      <c r="V57" s="177" t="s">
        <v>494</v>
      </c>
      <c r="W57" s="170" t="s">
        <v>74</v>
      </c>
      <c r="X57" s="170" t="s">
        <v>11</v>
      </c>
      <c r="Y57" s="178">
        <v>48.9</v>
      </c>
      <c r="Z57" s="170" t="s">
        <v>495</v>
      </c>
      <c r="AA57" s="170" t="s">
        <v>22</v>
      </c>
      <c r="AB57" s="170" t="s">
        <v>11</v>
      </c>
      <c r="AC57" s="170">
        <v>1.6</v>
      </c>
      <c r="AD57" s="177"/>
      <c r="AG57" s="178"/>
      <c r="AL57" s="177"/>
      <c r="AO57" s="178"/>
      <c r="AP57" s="177"/>
      <c r="AS57" s="178"/>
      <c r="AT57" s="252"/>
      <c r="AW57" s="178"/>
      <c r="BA57" s="179"/>
    </row>
    <row r="58" spans="1:53" s="170" customFormat="1" x14ac:dyDescent="0.15">
      <c r="A58" s="215">
        <v>1984</v>
      </c>
      <c r="B58" s="281"/>
      <c r="C58" s="395" t="s">
        <v>693</v>
      </c>
      <c r="D58" s="395"/>
      <c r="E58" s="170">
        <v>305</v>
      </c>
      <c r="G58" s="232">
        <v>15</v>
      </c>
      <c r="J58" s="240">
        <v>15</v>
      </c>
      <c r="K58" s="213">
        <f t="shared" si="5"/>
        <v>100</v>
      </c>
      <c r="L58" s="213">
        <f t="shared" si="4"/>
        <v>0</v>
      </c>
      <c r="M58" s="213">
        <f t="shared" si="4"/>
        <v>0</v>
      </c>
      <c r="N58" s="234">
        <f t="shared" si="6"/>
        <v>100</v>
      </c>
      <c r="O58" s="212">
        <f t="shared" si="7"/>
        <v>50.5</v>
      </c>
      <c r="P58" s="213"/>
      <c r="Q58" s="213"/>
      <c r="R58" s="214">
        <f t="shared" si="3"/>
        <v>50.5</v>
      </c>
      <c r="S58" s="170">
        <v>2</v>
      </c>
      <c r="T58" s="283"/>
      <c r="U58" s="281"/>
      <c r="V58" s="177" t="s">
        <v>494</v>
      </c>
      <c r="W58" s="170" t="s">
        <v>74</v>
      </c>
      <c r="X58" s="170" t="s">
        <v>11</v>
      </c>
      <c r="Y58" s="178">
        <v>48.9</v>
      </c>
      <c r="Z58" s="170" t="s">
        <v>495</v>
      </c>
      <c r="AA58" s="170" t="s">
        <v>22</v>
      </c>
      <c r="AB58" s="170" t="s">
        <v>11</v>
      </c>
      <c r="AC58" s="170">
        <v>1.6</v>
      </c>
      <c r="AD58" s="177"/>
      <c r="AG58" s="178"/>
      <c r="AL58" s="177"/>
      <c r="AO58" s="178"/>
      <c r="AP58" s="177"/>
      <c r="AS58" s="178"/>
      <c r="AT58" s="252"/>
      <c r="AW58" s="178"/>
      <c r="BA58" s="179"/>
    </row>
    <row r="59" spans="1:53" s="28" customFormat="1" x14ac:dyDescent="0.15">
      <c r="A59" s="51">
        <v>1984</v>
      </c>
      <c r="B59" s="293">
        <v>30987</v>
      </c>
      <c r="C59" s="394" t="s">
        <v>694</v>
      </c>
      <c r="D59" s="394"/>
      <c r="E59" s="28">
        <f>366-E58</f>
        <v>61</v>
      </c>
      <c r="F59" s="28" t="s">
        <v>309</v>
      </c>
      <c r="G59" s="65">
        <v>15</v>
      </c>
      <c r="J59" s="72">
        <v>15</v>
      </c>
      <c r="K59" s="46">
        <f t="shared" si="5"/>
        <v>100</v>
      </c>
      <c r="L59" s="46">
        <f t="shared" si="4"/>
        <v>0</v>
      </c>
      <c r="M59" s="46">
        <f t="shared" si="4"/>
        <v>0</v>
      </c>
      <c r="N59" s="67">
        <f t="shared" si="6"/>
        <v>100</v>
      </c>
      <c r="O59" s="45">
        <f t="shared" si="7"/>
        <v>50.5</v>
      </c>
      <c r="P59" s="46"/>
      <c r="Q59" s="46"/>
      <c r="R59" s="47">
        <f t="shared" si="3"/>
        <v>50.5</v>
      </c>
      <c r="S59" s="28">
        <v>2</v>
      </c>
      <c r="T59" s="284"/>
      <c r="U59" s="293">
        <v>30987</v>
      </c>
      <c r="V59" s="37" t="s">
        <v>494</v>
      </c>
      <c r="W59" s="28" t="s">
        <v>74</v>
      </c>
      <c r="X59" s="28" t="s">
        <v>11</v>
      </c>
      <c r="Y59" s="38">
        <v>48.9</v>
      </c>
      <c r="Z59" s="28" t="s">
        <v>495</v>
      </c>
      <c r="AA59" s="28" t="s">
        <v>22</v>
      </c>
      <c r="AB59" s="28" t="s">
        <v>11</v>
      </c>
      <c r="AC59" s="28">
        <v>1.6</v>
      </c>
      <c r="AD59" s="37"/>
      <c r="AG59" s="38"/>
      <c r="AL59" s="37"/>
      <c r="AO59" s="38"/>
      <c r="AP59" s="37"/>
      <c r="AS59" s="38"/>
      <c r="AT59" s="93"/>
      <c r="AW59" s="38"/>
      <c r="BA59" s="39"/>
    </row>
    <row r="60" spans="1:53" s="28" customFormat="1" x14ac:dyDescent="0.15">
      <c r="A60" s="51">
        <v>1985</v>
      </c>
      <c r="B60" s="293"/>
      <c r="C60" s="394" t="s">
        <v>694</v>
      </c>
      <c r="D60" s="394"/>
      <c r="E60" s="28">
        <v>0</v>
      </c>
      <c r="G60" s="65">
        <v>15</v>
      </c>
      <c r="J60" s="72">
        <v>15</v>
      </c>
      <c r="K60" s="46">
        <f t="shared" si="5"/>
        <v>100</v>
      </c>
      <c r="L60" s="46">
        <f t="shared" si="4"/>
        <v>0</v>
      </c>
      <c r="M60" s="46">
        <f t="shared" si="4"/>
        <v>0</v>
      </c>
      <c r="N60" s="67">
        <f t="shared" si="6"/>
        <v>100</v>
      </c>
      <c r="O60" s="45">
        <f t="shared" si="7"/>
        <v>50.5</v>
      </c>
      <c r="P60" s="46"/>
      <c r="Q60" s="46"/>
      <c r="R60" s="47">
        <f t="shared" si="3"/>
        <v>50.5</v>
      </c>
      <c r="S60" s="28">
        <v>2</v>
      </c>
      <c r="T60" s="284"/>
      <c r="U60" s="293"/>
      <c r="V60" s="37" t="s">
        <v>494</v>
      </c>
      <c r="W60" s="28" t="s">
        <v>74</v>
      </c>
      <c r="X60" s="28" t="s">
        <v>11</v>
      </c>
      <c r="Y60" s="38">
        <v>48.9</v>
      </c>
      <c r="Z60" s="28" t="s">
        <v>495</v>
      </c>
      <c r="AA60" s="28" t="s">
        <v>22</v>
      </c>
      <c r="AB60" s="28" t="s">
        <v>11</v>
      </c>
      <c r="AC60" s="28">
        <v>1.6</v>
      </c>
      <c r="AD60" s="37"/>
      <c r="AG60" s="38"/>
      <c r="AL60" s="37"/>
      <c r="AO60" s="38"/>
      <c r="AP60" s="37"/>
      <c r="AS60" s="38"/>
      <c r="AT60" s="93"/>
      <c r="AW60" s="38"/>
      <c r="BA60" s="39"/>
    </row>
    <row r="61" spans="1:53" s="28" customFormat="1" x14ac:dyDescent="0.15">
      <c r="A61" s="51">
        <v>1985</v>
      </c>
      <c r="B61" s="293"/>
      <c r="C61" s="394" t="s">
        <v>694</v>
      </c>
      <c r="D61" s="394"/>
      <c r="E61" s="28">
        <v>365</v>
      </c>
      <c r="G61" s="65">
        <v>15</v>
      </c>
      <c r="J61" s="72">
        <v>15</v>
      </c>
      <c r="K61" s="46">
        <f t="shared" si="5"/>
        <v>100</v>
      </c>
      <c r="L61" s="46">
        <f t="shared" si="4"/>
        <v>0</v>
      </c>
      <c r="M61" s="46">
        <f t="shared" si="4"/>
        <v>0</v>
      </c>
      <c r="N61" s="67">
        <f t="shared" si="6"/>
        <v>100</v>
      </c>
      <c r="O61" s="45">
        <f t="shared" si="7"/>
        <v>50.5</v>
      </c>
      <c r="P61" s="46"/>
      <c r="Q61" s="46"/>
      <c r="R61" s="47">
        <f t="shared" si="3"/>
        <v>50.5</v>
      </c>
      <c r="S61" s="28">
        <v>2</v>
      </c>
      <c r="T61" s="284"/>
      <c r="U61" s="293"/>
      <c r="V61" s="37" t="s">
        <v>494</v>
      </c>
      <c r="W61" s="28" t="s">
        <v>74</v>
      </c>
      <c r="X61" s="28" t="s">
        <v>11</v>
      </c>
      <c r="Y61" s="38">
        <v>48.9</v>
      </c>
      <c r="Z61" s="28" t="s">
        <v>495</v>
      </c>
      <c r="AA61" s="28" t="s">
        <v>22</v>
      </c>
      <c r="AB61" s="28" t="s">
        <v>11</v>
      </c>
      <c r="AC61" s="28">
        <v>1.6</v>
      </c>
      <c r="AD61" s="37"/>
      <c r="AG61" s="38"/>
      <c r="AL61" s="37"/>
      <c r="AO61" s="38"/>
      <c r="AP61" s="37"/>
      <c r="AS61" s="38"/>
      <c r="AT61" s="93"/>
      <c r="AW61" s="38"/>
      <c r="BA61" s="39"/>
    </row>
    <row r="62" spans="1:53" s="28" customFormat="1" x14ac:dyDescent="0.15">
      <c r="A62" s="51">
        <v>1986</v>
      </c>
      <c r="B62" s="293"/>
      <c r="C62" s="394" t="s">
        <v>694</v>
      </c>
      <c r="D62" s="394"/>
      <c r="E62" s="28">
        <v>202</v>
      </c>
      <c r="G62" s="65">
        <v>15</v>
      </c>
      <c r="J62" s="72">
        <v>15</v>
      </c>
      <c r="K62" s="46">
        <f t="shared" si="5"/>
        <v>100</v>
      </c>
      <c r="L62" s="46">
        <f t="shared" si="4"/>
        <v>0</v>
      </c>
      <c r="M62" s="46">
        <f t="shared" si="4"/>
        <v>0</v>
      </c>
      <c r="N62" s="67">
        <f t="shared" si="6"/>
        <v>100</v>
      </c>
      <c r="O62" s="45">
        <f t="shared" si="7"/>
        <v>50.5</v>
      </c>
      <c r="P62" s="46"/>
      <c r="Q62" s="46"/>
      <c r="R62" s="47">
        <f t="shared" si="3"/>
        <v>50.5</v>
      </c>
      <c r="S62" s="28">
        <v>2</v>
      </c>
      <c r="T62" s="284"/>
      <c r="U62" s="293"/>
      <c r="V62" s="37" t="s">
        <v>494</v>
      </c>
      <c r="W62" s="28" t="s">
        <v>74</v>
      </c>
      <c r="X62" s="28" t="s">
        <v>11</v>
      </c>
      <c r="Y62" s="38">
        <v>48.9</v>
      </c>
      <c r="Z62" s="28" t="s">
        <v>495</v>
      </c>
      <c r="AA62" s="28" t="s">
        <v>22</v>
      </c>
      <c r="AB62" s="28" t="s">
        <v>11</v>
      </c>
      <c r="AC62" s="28">
        <v>1.6</v>
      </c>
      <c r="AD62" s="37"/>
      <c r="AG62" s="38"/>
      <c r="AL62" s="37"/>
      <c r="AO62" s="38"/>
      <c r="AP62" s="37"/>
      <c r="AS62" s="38"/>
      <c r="AT62" s="93"/>
      <c r="AW62" s="38"/>
      <c r="BA62" s="39"/>
    </row>
    <row r="63" spans="1:53" s="170" customFormat="1" x14ac:dyDescent="0.15">
      <c r="A63" s="215">
        <v>1986</v>
      </c>
      <c r="B63" s="281">
        <v>31615</v>
      </c>
      <c r="C63" s="395" t="s">
        <v>695</v>
      </c>
      <c r="D63" s="395"/>
      <c r="E63" s="170">
        <f>365-E62</f>
        <v>163</v>
      </c>
      <c r="F63" s="170">
        <v>1</v>
      </c>
      <c r="G63" s="232">
        <v>16</v>
      </c>
      <c r="J63" s="240">
        <v>16</v>
      </c>
      <c r="K63" s="213">
        <f t="shared" si="5"/>
        <v>100</v>
      </c>
      <c r="L63" s="213">
        <f t="shared" si="4"/>
        <v>0</v>
      </c>
      <c r="M63" s="213">
        <f t="shared" si="4"/>
        <v>0</v>
      </c>
      <c r="N63" s="234">
        <f t="shared" si="6"/>
        <v>100</v>
      </c>
      <c r="O63" s="212">
        <v>58.6</v>
      </c>
      <c r="P63" s="213"/>
      <c r="Q63" s="213"/>
      <c r="R63" s="214">
        <f t="shared" si="3"/>
        <v>58.6</v>
      </c>
      <c r="S63" s="170">
        <v>1</v>
      </c>
      <c r="T63" s="283">
        <v>31599</v>
      </c>
      <c r="U63" s="281">
        <v>31615</v>
      </c>
      <c r="V63" s="177" t="s">
        <v>494</v>
      </c>
      <c r="W63" s="170" t="s">
        <v>74</v>
      </c>
      <c r="X63" s="170" t="s">
        <v>11</v>
      </c>
      <c r="Y63" s="178">
        <v>58.6</v>
      </c>
      <c r="AD63" s="177"/>
      <c r="AG63" s="178"/>
      <c r="AL63" s="177"/>
      <c r="AO63" s="178"/>
      <c r="AP63" s="177"/>
      <c r="AS63" s="178"/>
      <c r="AT63" s="252"/>
      <c r="AW63" s="178"/>
      <c r="BA63" s="179"/>
    </row>
    <row r="64" spans="1:53" s="170" customFormat="1" x14ac:dyDescent="0.15">
      <c r="A64" s="215">
        <v>1987</v>
      </c>
      <c r="B64" s="281"/>
      <c r="C64" s="395" t="s">
        <v>695</v>
      </c>
      <c r="D64" s="395"/>
      <c r="E64" s="170">
        <v>309</v>
      </c>
      <c r="G64" s="232">
        <v>16</v>
      </c>
      <c r="J64" s="240">
        <v>16</v>
      </c>
      <c r="K64" s="213">
        <f t="shared" si="5"/>
        <v>100</v>
      </c>
      <c r="L64" s="213">
        <f t="shared" si="4"/>
        <v>0</v>
      </c>
      <c r="M64" s="213">
        <f t="shared" si="4"/>
        <v>0</v>
      </c>
      <c r="N64" s="234">
        <f t="shared" si="6"/>
        <v>100</v>
      </c>
      <c r="O64" s="212">
        <v>58.6</v>
      </c>
      <c r="P64" s="213"/>
      <c r="Q64" s="213"/>
      <c r="R64" s="214">
        <f t="shared" si="3"/>
        <v>58.6</v>
      </c>
      <c r="S64" s="170">
        <v>1</v>
      </c>
      <c r="T64" s="283"/>
      <c r="U64" s="281"/>
      <c r="V64" s="177" t="s">
        <v>494</v>
      </c>
      <c r="W64" s="170" t="s">
        <v>74</v>
      </c>
      <c r="X64" s="170" t="s">
        <v>11</v>
      </c>
      <c r="Y64" s="178">
        <v>58.6</v>
      </c>
      <c r="AD64" s="177"/>
      <c r="AG64" s="178"/>
      <c r="AL64" s="177"/>
      <c r="AO64" s="178"/>
      <c r="AP64" s="177"/>
      <c r="AS64" s="178"/>
      <c r="AT64" s="252"/>
      <c r="AW64" s="178"/>
      <c r="BA64" s="179"/>
    </row>
    <row r="65" spans="1:53" s="28" customFormat="1" x14ac:dyDescent="0.15">
      <c r="A65" s="51">
        <v>1987</v>
      </c>
      <c r="B65" s="293">
        <v>32087</v>
      </c>
      <c r="C65" s="394" t="s">
        <v>696</v>
      </c>
      <c r="D65" s="394"/>
      <c r="E65" s="28">
        <f>365-E64</f>
        <v>56</v>
      </c>
      <c r="F65" s="28">
        <v>2</v>
      </c>
      <c r="G65" s="65">
        <v>15</v>
      </c>
      <c r="J65" s="72">
        <v>15</v>
      </c>
      <c r="K65" s="46">
        <f t="shared" si="5"/>
        <v>100</v>
      </c>
      <c r="L65" s="46">
        <f t="shared" si="4"/>
        <v>0</v>
      </c>
      <c r="M65" s="46">
        <f t="shared" si="4"/>
        <v>0</v>
      </c>
      <c r="N65" s="67">
        <f t="shared" si="6"/>
        <v>100</v>
      </c>
      <c r="O65" s="45">
        <v>58.6</v>
      </c>
      <c r="P65" s="46"/>
      <c r="Q65" s="46"/>
      <c r="R65" s="47">
        <f t="shared" si="3"/>
        <v>58.6</v>
      </c>
      <c r="S65" s="28">
        <v>1</v>
      </c>
      <c r="T65" s="284"/>
      <c r="U65" s="293">
        <v>32087</v>
      </c>
      <c r="V65" s="37" t="s">
        <v>494</v>
      </c>
      <c r="W65" s="28" t="s">
        <v>74</v>
      </c>
      <c r="X65" s="28" t="s">
        <v>11</v>
      </c>
      <c r="Y65" s="38">
        <v>58.6</v>
      </c>
      <c r="AD65" s="37"/>
      <c r="AG65" s="38"/>
      <c r="AL65" s="37"/>
      <c r="AO65" s="38"/>
      <c r="AP65" s="37"/>
      <c r="AS65" s="38"/>
      <c r="AT65" s="93"/>
      <c r="AW65" s="38"/>
      <c r="BA65" s="39"/>
    </row>
    <row r="66" spans="1:53" s="28" customFormat="1" x14ac:dyDescent="0.15">
      <c r="A66" s="51">
        <v>1988</v>
      </c>
      <c r="B66" s="293"/>
      <c r="C66" s="394" t="s">
        <v>696</v>
      </c>
      <c r="D66" s="394"/>
      <c r="E66" s="28">
        <v>0</v>
      </c>
      <c r="G66" s="65">
        <v>15</v>
      </c>
      <c r="J66" s="72">
        <v>15</v>
      </c>
      <c r="K66" s="46">
        <f t="shared" si="5"/>
        <v>100</v>
      </c>
      <c r="L66" s="46">
        <f t="shared" si="4"/>
        <v>0</v>
      </c>
      <c r="M66" s="46">
        <f t="shared" si="4"/>
        <v>0</v>
      </c>
      <c r="N66" s="67">
        <f t="shared" si="6"/>
        <v>100</v>
      </c>
      <c r="O66" s="45">
        <v>58.6</v>
      </c>
      <c r="P66" s="46"/>
      <c r="Q66" s="46"/>
      <c r="R66" s="47">
        <f t="shared" si="3"/>
        <v>58.6</v>
      </c>
      <c r="S66" s="28">
        <v>1</v>
      </c>
      <c r="T66" s="284"/>
      <c r="U66" s="293"/>
      <c r="V66" s="37" t="s">
        <v>494</v>
      </c>
      <c r="W66" s="28" t="s">
        <v>74</v>
      </c>
      <c r="X66" s="28" t="s">
        <v>11</v>
      </c>
      <c r="Y66" s="38">
        <v>58.6</v>
      </c>
      <c r="AD66" s="37"/>
      <c r="AG66" s="38"/>
      <c r="AL66" s="37"/>
      <c r="AO66" s="38"/>
      <c r="AP66" s="37"/>
      <c r="AS66" s="38"/>
      <c r="AT66" s="93"/>
      <c r="AW66" s="38"/>
      <c r="BA66" s="39"/>
    </row>
    <row r="67" spans="1:53" s="28" customFormat="1" x14ac:dyDescent="0.15">
      <c r="A67" s="51">
        <v>1988</v>
      </c>
      <c r="B67" s="293"/>
      <c r="C67" s="394" t="s">
        <v>696</v>
      </c>
      <c r="D67" s="394"/>
      <c r="E67" s="28">
        <v>366</v>
      </c>
      <c r="G67" s="65">
        <v>15</v>
      </c>
      <c r="J67" s="72">
        <v>15</v>
      </c>
      <c r="K67" s="46">
        <f t="shared" si="5"/>
        <v>100</v>
      </c>
      <c r="L67" s="46">
        <f t="shared" si="4"/>
        <v>0</v>
      </c>
      <c r="M67" s="46">
        <f t="shared" si="4"/>
        <v>0</v>
      </c>
      <c r="N67" s="67">
        <f t="shared" si="6"/>
        <v>100</v>
      </c>
      <c r="O67" s="45">
        <v>58.6</v>
      </c>
      <c r="P67" s="46"/>
      <c r="Q67" s="46"/>
      <c r="R67" s="47">
        <f t="shared" si="3"/>
        <v>58.6</v>
      </c>
      <c r="S67" s="28">
        <v>1</v>
      </c>
      <c r="T67" s="284"/>
      <c r="U67" s="293"/>
      <c r="V67" s="37" t="s">
        <v>494</v>
      </c>
      <c r="W67" s="28" t="s">
        <v>74</v>
      </c>
      <c r="X67" s="28" t="s">
        <v>11</v>
      </c>
      <c r="Y67" s="38">
        <v>58.6</v>
      </c>
      <c r="AD67" s="37"/>
      <c r="AG67" s="38"/>
      <c r="AL67" s="37"/>
      <c r="AO67" s="38"/>
      <c r="AP67" s="37"/>
      <c r="AS67" s="38"/>
      <c r="AT67" s="93"/>
      <c r="AW67" s="38"/>
      <c r="BA67" s="39"/>
    </row>
    <row r="68" spans="1:53" s="28" customFormat="1" x14ac:dyDescent="0.15">
      <c r="A68" s="51">
        <v>1989</v>
      </c>
      <c r="B68" s="293"/>
      <c r="C68" s="394" t="s">
        <v>696</v>
      </c>
      <c r="D68" s="394"/>
      <c r="E68" s="28">
        <v>153</v>
      </c>
      <c r="G68" s="65">
        <v>15</v>
      </c>
      <c r="J68" s="72">
        <v>15</v>
      </c>
      <c r="K68" s="46">
        <f t="shared" si="5"/>
        <v>100</v>
      </c>
      <c r="L68" s="46">
        <f t="shared" si="4"/>
        <v>0</v>
      </c>
      <c r="M68" s="46">
        <f t="shared" si="4"/>
        <v>0</v>
      </c>
      <c r="N68" s="67">
        <f t="shared" si="6"/>
        <v>100</v>
      </c>
      <c r="O68" s="45">
        <v>58.6</v>
      </c>
      <c r="P68" s="46"/>
      <c r="Q68" s="46"/>
      <c r="R68" s="47">
        <f t="shared" si="3"/>
        <v>58.6</v>
      </c>
      <c r="S68" s="28">
        <v>1</v>
      </c>
      <c r="T68" s="284"/>
      <c r="U68" s="293"/>
      <c r="V68" s="37" t="s">
        <v>494</v>
      </c>
      <c r="W68" s="28" t="s">
        <v>74</v>
      </c>
      <c r="X68" s="28" t="s">
        <v>11</v>
      </c>
      <c r="Y68" s="38">
        <v>58.6</v>
      </c>
      <c r="AD68" s="37"/>
      <c r="AG68" s="38"/>
      <c r="AL68" s="37"/>
      <c r="AO68" s="38"/>
      <c r="AP68" s="37"/>
      <c r="AS68" s="38"/>
      <c r="AT68" s="93"/>
      <c r="AW68" s="38"/>
      <c r="BA68" s="39"/>
    </row>
    <row r="69" spans="1:53" s="170" customFormat="1" x14ac:dyDescent="0.15">
      <c r="A69" s="215">
        <v>1989</v>
      </c>
      <c r="B69" s="281">
        <v>32662</v>
      </c>
      <c r="C69" s="395" t="s">
        <v>697</v>
      </c>
      <c r="D69" s="395"/>
      <c r="E69" s="170">
        <v>67</v>
      </c>
      <c r="F69" s="170">
        <v>2</v>
      </c>
      <c r="G69" s="232">
        <v>15</v>
      </c>
      <c r="J69" s="240">
        <v>15</v>
      </c>
      <c r="K69" s="213">
        <f t="shared" si="5"/>
        <v>100</v>
      </c>
      <c r="L69" s="213">
        <f t="shared" si="4"/>
        <v>0</v>
      </c>
      <c r="M69" s="213">
        <f t="shared" si="4"/>
        <v>0</v>
      </c>
      <c r="N69" s="234">
        <f t="shared" si="6"/>
        <v>100</v>
      </c>
      <c r="O69" s="212">
        <v>58.6</v>
      </c>
      <c r="P69" s="213"/>
      <c r="Q69" s="213"/>
      <c r="R69" s="214">
        <f t="shared" si="3"/>
        <v>58.6</v>
      </c>
      <c r="S69" s="170">
        <v>1</v>
      </c>
      <c r="T69" s="283"/>
      <c r="U69" s="281">
        <v>32662</v>
      </c>
      <c r="V69" s="177" t="s">
        <v>494</v>
      </c>
      <c r="W69" s="170" t="s">
        <v>74</v>
      </c>
      <c r="X69" s="170" t="s">
        <v>11</v>
      </c>
      <c r="Y69" s="178">
        <v>58.6</v>
      </c>
      <c r="AD69" s="177"/>
      <c r="AG69" s="178"/>
      <c r="AL69" s="177"/>
      <c r="AO69" s="178"/>
      <c r="AP69" s="177"/>
      <c r="AS69" s="178"/>
      <c r="AT69" s="252"/>
      <c r="AW69" s="178"/>
      <c r="BA69" s="179"/>
    </row>
    <row r="70" spans="1:53" s="73" customFormat="1" x14ac:dyDescent="0.15">
      <c r="A70" s="91">
        <v>1989</v>
      </c>
      <c r="B70" s="300">
        <v>32729</v>
      </c>
      <c r="C70" s="426" t="s">
        <v>698</v>
      </c>
      <c r="D70" s="426"/>
      <c r="E70" s="73">
        <f>365-E68-E69</f>
        <v>145</v>
      </c>
      <c r="F70" s="73">
        <v>2</v>
      </c>
      <c r="G70" s="65">
        <v>15</v>
      </c>
      <c r="H70" s="28"/>
      <c r="I70" s="28"/>
      <c r="J70" s="72">
        <v>15</v>
      </c>
      <c r="K70" s="46">
        <f t="shared" si="5"/>
        <v>100</v>
      </c>
      <c r="L70" s="46">
        <f t="shared" si="4"/>
        <v>0</v>
      </c>
      <c r="M70" s="46">
        <f t="shared" si="4"/>
        <v>0</v>
      </c>
      <c r="N70" s="67">
        <f t="shared" si="6"/>
        <v>100</v>
      </c>
      <c r="O70" s="45">
        <v>58.6</v>
      </c>
      <c r="P70" s="46"/>
      <c r="Q70" s="46"/>
      <c r="R70" s="47">
        <f t="shared" si="3"/>
        <v>58.6</v>
      </c>
      <c r="S70" s="28">
        <v>1</v>
      </c>
      <c r="T70" s="284"/>
      <c r="U70" s="293">
        <v>32729</v>
      </c>
      <c r="V70" s="37" t="s">
        <v>494</v>
      </c>
      <c r="W70" s="28" t="s">
        <v>74</v>
      </c>
      <c r="X70" s="28" t="s">
        <v>11</v>
      </c>
      <c r="Y70" s="38">
        <v>58.6</v>
      </c>
      <c r="AD70" s="80"/>
      <c r="AG70" s="81"/>
      <c r="AL70" s="80"/>
      <c r="AO70" s="81"/>
      <c r="AP70" s="80"/>
      <c r="AS70" s="81"/>
      <c r="AT70" s="112"/>
      <c r="AW70" s="81"/>
      <c r="BA70" s="82"/>
    </row>
    <row r="71" spans="1:53" s="28" customFormat="1" x14ac:dyDescent="0.15">
      <c r="A71" s="28">
        <v>1990</v>
      </c>
      <c r="B71" s="293"/>
      <c r="C71" s="427" t="s">
        <v>698</v>
      </c>
      <c r="D71" s="427"/>
      <c r="E71" s="28">
        <v>58</v>
      </c>
      <c r="G71" s="94">
        <v>15</v>
      </c>
      <c r="H71" s="84"/>
      <c r="I71" s="84"/>
      <c r="J71" s="95">
        <v>15</v>
      </c>
      <c r="K71" s="96">
        <f t="shared" si="5"/>
        <v>100</v>
      </c>
      <c r="L71" s="96">
        <f t="shared" si="4"/>
        <v>0</v>
      </c>
      <c r="M71" s="96">
        <f t="shared" si="4"/>
        <v>0</v>
      </c>
      <c r="N71" s="97">
        <f t="shared" si="6"/>
        <v>100</v>
      </c>
      <c r="O71" s="98">
        <v>58.6</v>
      </c>
      <c r="P71" s="96"/>
      <c r="Q71" s="96"/>
      <c r="R71" s="99">
        <f t="shared" si="3"/>
        <v>58.6</v>
      </c>
      <c r="S71" s="84">
        <v>1</v>
      </c>
      <c r="T71" s="311"/>
      <c r="U71" s="310"/>
      <c r="V71" s="100" t="s">
        <v>494</v>
      </c>
      <c r="W71" s="84" t="s">
        <v>74</v>
      </c>
      <c r="X71" s="84" t="s">
        <v>11</v>
      </c>
      <c r="Y71" s="101">
        <v>58.6</v>
      </c>
      <c r="AD71" s="37"/>
      <c r="AG71" s="38"/>
      <c r="AL71" s="37"/>
      <c r="AO71" s="38"/>
      <c r="AP71" s="37"/>
      <c r="AS71" s="38"/>
      <c r="AT71" s="93"/>
      <c r="AW71" s="38"/>
      <c r="BA71" s="39"/>
    </row>
    <row r="72" spans="1:53" s="170" customFormat="1" x14ac:dyDescent="0.15">
      <c r="A72" s="170">
        <v>1990</v>
      </c>
      <c r="B72" s="281">
        <v>32932</v>
      </c>
      <c r="C72" s="395" t="s">
        <v>310</v>
      </c>
      <c r="D72" s="395"/>
      <c r="E72" s="170">
        <f>365-E71</f>
        <v>307</v>
      </c>
      <c r="F72" s="170">
        <v>1</v>
      </c>
      <c r="G72" s="232">
        <v>22</v>
      </c>
      <c r="J72" s="240">
        <v>22</v>
      </c>
      <c r="K72" s="213">
        <f t="shared" si="5"/>
        <v>100</v>
      </c>
      <c r="L72" s="213">
        <f t="shared" si="4"/>
        <v>0</v>
      </c>
      <c r="M72" s="213">
        <f t="shared" si="4"/>
        <v>0</v>
      </c>
      <c r="N72" s="234">
        <f t="shared" si="6"/>
        <v>100</v>
      </c>
      <c r="O72" s="212">
        <v>53.7</v>
      </c>
      <c r="P72" s="213"/>
      <c r="Q72" s="213"/>
      <c r="R72" s="214">
        <f t="shared" si="3"/>
        <v>53.7</v>
      </c>
      <c r="S72" s="170">
        <v>1</v>
      </c>
      <c r="T72" s="283">
        <v>32922</v>
      </c>
      <c r="U72" s="281">
        <v>32932</v>
      </c>
      <c r="V72" s="177" t="s">
        <v>494</v>
      </c>
      <c r="W72" s="170" t="s">
        <v>74</v>
      </c>
      <c r="X72" s="170" t="s">
        <v>11</v>
      </c>
      <c r="Y72" s="178">
        <v>53.7</v>
      </c>
      <c r="AD72" s="177"/>
      <c r="AG72" s="178"/>
      <c r="AL72" s="177"/>
      <c r="AO72" s="178"/>
      <c r="AP72" s="177"/>
      <c r="AS72" s="178"/>
      <c r="AT72" s="252"/>
      <c r="AW72" s="178"/>
      <c r="BA72" s="179"/>
    </row>
    <row r="73" spans="1:53" s="170" customFormat="1" x14ac:dyDescent="0.15">
      <c r="A73" s="170">
        <v>1991</v>
      </c>
      <c r="B73" s="281"/>
      <c r="C73" s="395" t="s">
        <v>310</v>
      </c>
      <c r="D73" s="395"/>
      <c r="E73" s="170">
        <v>308</v>
      </c>
      <c r="G73" s="232">
        <v>22</v>
      </c>
      <c r="J73" s="240">
        <v>22</v>
      </c>
      <c r="K73" s="213">
        <f t="shared" si="5"/>
        <v>100</v>
      </c>
      <c r="L73" s="213">
        <f t="shared" si="4"/>
        <v>0</v>
      </c>
      <c r="M73" s="213">
        <f t="shared" si="4"/>
        <v>0</v>
      </c>
      <c r="N73" s="234">
        <f t="shared" si="6"/>
        <v>100</v>
      </c>
      <c r="O73" s="212">
        <v>53.7</v>
      </c>
      <c r="P73" s="213"/>
      <c r="Q73" s="213"/>
      <c r="R73" s="214">
        <f t="shared" ref="R73:R131" si="8">O73+P73+Q73</f>
        <v>53.7</v>
      </c>
      <c r="S73" s="170">
        <v>1</v>
      </c>
      <c r="T73" s="283"/>
      <c r="U73" s="281"/>
      <c r="V73" s="177" t="s">
        <v>494</v>
      </c>
      <c r="W73" s="170" t="s">
        <v>74</v>
      </c>
      <c r="X73" s="170" t="s">
        <v>11</v>
      </c>
      <c r="Y73" s="178">
        <v>53.7</v>
      </c>
      <c r="AD73" s="177"/>
      <c r="AG73" s="178"/>
      <c r="AL73" s="177"/>
      <c r="AO73" s="178"/>
      <c r="AP73" s="177"/>
      <c r="AS73" s="178"/>
      <c r="AT73" s="252"/>
      <c r="AW73" s="178"/>
      <c r="BA73" s="179"/>
    </row>
    <row r="74" spans="1:53" s="28" customFormat="1" x14ac:dyDescent="0.15">
      <c r="A74" s="28">
        <v>1991</v>
      </c>
      <c r="B74" s="293">
        <v>33547</v>
      </c>
      <c r="C74" s="394" t="s">
        <v>311</v>
      </c>
      <c r="D74" s="394"/>
      <c r="E74" s="28">
        <f>365-E73</f>
        <v>57</v>
      </c>
      <c r="F74" s="28">
        <v>3</v>
      </c>
      <c r="G74" s="65">
        <v>21</v>
      </c>
      <c r="J74" s="72">
        <v>21</v>
      </c>
      <c r="K74" s="46">
        <f t="shared" si="5"/>
        <v>100</v>
      </c>
      <c r="L74" s="46">
        <f t="shared" si="4"/>
        <v>0</v>
      </c>
      <c r="M74" s="46">
        <f t="shared" si="4"/>
        <v>0</v>
      </c>
      <c r="N74" s="67">
        <f t="shared" si="6"/>
        <v>100</v>
      </c>
      <c r="O74" s="45">
        <v>53.7</v>
      </c>
      <c r="P74" s="46"/>
      <c r="Q74" s="46"/>
      <c r="R74" s="47">
        <f t="shared" si="8"/>
        <v>53.7</v>
      </c>
      <c r="S74" s="28">
        <v>1</v>
      </c>
      <c r="T74" s="284"/>
      <c r="U74" s="293">
        <v>33547</v>
      </c>
      <c r="V74" s="37" t="s">
        <v>494</v>
      </c>
      <c r="W74" s="28" t="s">
        <v>74</v>
      </c>
      <c r="X74" s="28" t="s">
        <v>11</v>
      </c>
      <c r="Y74" s="38">
        <v>53.7</v>
      </c>
      <c r="AD74" s="37"/>
      <c r="AG74" s="38"/>
      <c r="AL74" s="37"/>
      <c r="AO74" s="38"/>
      <c r="AP74" s="37"/>
      <c r="AS74" s="38"/>
      <c r="AT74" s="93"/>
      <c r="AW74" s="38"/>
      <c r="BA74" s="39"/>
    </row>
    <row r="75" spans="1:53" s="28" customFormat="1" x14ac:dyDescent="0.15">
      <c r="A75" s="28">
        <v>1992</v>
      </c>
      <c r="B75" s="293"/>
      <c r="C75" s="394" t="s">
        <v>311</v>
      </c>
      <c r="D75" s="394"/>
      <c r="E75" s="28">
        <v>346</v>
      </c>
      <c r="G75" s="65">
        <v>21</v>
      </c>
      <c r="J75" s="72">
        <v>21</v>
      </c>
      <c r="K75" s="46">
        <f t="shared" si="5"/>
        <v>100</v>
      </c>
      <c r="L75" s="46">
        <f t="shared" si="4"/>
        <v>0</v>
      </c>
      <c r="M75" s="46">
        <f t="shared" si="4"/>
        <v>0</v>
      </c>
      <c r="N75" s="67">
        <f t="shared" si="6"/>
        <v>100</v>
      </c>
      <c r="O75" s="45">
        <v>53.7</v>
      </c>
      <c r="P75" s="46"/>
      <c r="Q75" s="46"/>
      <c r="R75" s="47">
        <f t="shared" si="8"/>
        <v>53.7</v>
      </c>
      <c r="S75" s="28">
        <v>1</v>
      </c>
      <c r="T75" s="284"/>
      <c r="U75" s="293"/>
      <c r="V75" s="37" t="s">
        <v>494</v>
      </c>
      <c r="W75" s="28" t="s">
        <v>74</v>
      </c>
      <c r="X75" s="28" t="s">
        <v>11</v>
      </c>
      <c r="Y75" s="38">
        <v>53.7</v>
      </c>
      <c r="AD75" s="37"/>
      <c r="AG75" s="38"/>
      <c r="AL75" s="37"/>
      <c r="AO75" s="38"/>
      <c r="AP75" s="37"/>
      <c r="AS75" s="38"/>
      <c r="AT75" s="93"/>
      <c r="AW75" s="38"/>
      <c r="BA75" s="39"/>
    </row>
    <row r="76" spans="1:53" s="28" customFormat="1" x14ac:dyDescent="0.15">
      <c r="A76" s="28">
        <v>1992</v>
      </c>
      <c r="B76" s="301">
        <v>33950</v>
      </c>
      <c r="C76" s="394" t="s">
        <v>312</v>
      </c>
      <c r="D76" s="394"/>
      <c r="E76" s="28">
        <f>366-E75</f>
        <v>20</v>
      </c>
      <c r="F76" s="83">
        <v>0</v>
      </c>
      <c r="G76" s="65">
        <v>21</v>
      </c>
      <c r="J76" s="72">
        <v>21</v>
      </c>
      <c r="K76" s="46">
        <f t="shared" si="5"/>
        <v>100</v>
      </c>
      <c r="L76" s="46">
        <f t="shared" si="4"/>
        <v>0</v>
      </c>
      <c r="M76" s="46">
        <f t="shared" si="4"/>
        <v>0</v>
      </c>
      <c r="N76" s="67">
        <f t="shared" si="6"/>
        <v>100</v>
      </c>
      <c r="O76" s="45">
        <v>53.7</v>
      </c>
      <c r="P76" s="46"/>
      <c r="Q76" s="46"/>
      <c r="R76" s="47">
        <f t="shared" si="8"/>
        <v>53.7</v>
      </c>
      <c r="S76" s="28">
        <v>1</v>
      </c>
      <c r="T76" s="284"/>
      <c r="U76" s="293"/>
      <c r="V76" s="37" t="s">
        <v>494</v>
      </c>
      <c r="W76" s="28" t="s">
        <v>74</v>
      </c>
      <c r="X76" s="28" t="s">
        <v>11</v>
      </c>
      <c r="Y76" s="38">
        <v>53.7</v>
      </c>
      <c r="AD76" s="37"/>
      <c r="AG76" s="38"/>
      <c r="AL76" s="37"/>
      <c r="AO76" s="38"/>
      <c r="AP76" s="37"/>
      <c r="AS76" s="38"/>
      <c r="AT76" s="93"/>
      <c r="AW76" s="38"/>
      <c r="BA76" s="39"/>
    </row>
    <row r="77" spans="1:53" s="28" customFormat="1" x14ac:dyDescent="0.15">
      <c r="A77" s="28">
        <v>1993</v>
      </c>
      <c r="B77" s="293"/>
      <c r="C77" s="394" t="s">
        <v>312</v>
      </c>
      <c r="D77" s="394"/>
      <c r="E77" s="28">
        <v>220</v>
      </c>
      <c r="G77" s="65">
        <v>21</v>
      </c>
      <c r="J77" s="72">
        <v>21</v>
      </c>
      <c r="K77" s="46">
        <f t="shared" si="5"/>
        <v>100</v>
      </c>
      <c r="L77" s="46">
        <f t="shared" si="4"/>
        <v>0</v>
      </c>
      <c r="M77" s="46">
        <f t="shared" si="4"/>
        <v>0</v>
      </c>
      <c r="N77" s="67">
        <f t="shared" si="6"/>
        <v>100</v>
      </c>
      <c r="O77" s="45">
        <v>53.7</v>
      </c>
      <c r="P77" s="46"/>
      <c r="Q77" s="46"/>
      <c r="R77" s="47">
        <f t="shared" si="8"/>
        <v>53.7</v>
      </c>
      <c r="S77" s="28">
        <v>1</v>
      </c>
      <c r="T77" s="284"/>
      <c r="U77" s="293"/>
      <c r="V77" s="37" t="s">
        <v>494</v>
      </c>
      <c r="W77" s="28" t="s">
        <v>74</v>
      </c>
      <c r="X77" s="28" t="s">
        <v>11</v>
      </c>
      <c r="Y77" s="38">
        <v>53.7</v>
      </c>
      <c r="AD77" s="37"/>
      <c r="AG77" s="38"/>
      <c r="AL77" s="37"/>
      <c r="AO77" s="38"/>
      <c r="AP77" s="37"/>
      <c r="AS77" s="38"/>
      <c r="AT77" s="93"/>
      <c r="AW77" s="38"/>
      <c r="BA77" s="39"/>
    </row>
    <row r="78" spans="1:53" s="170" customFormat="1" x14ac:dyDescent="0.15">
      <c r="A78" s="170">
        <v>1993</v>
      </c>
      <c r="B78" s="281">
        <v>34190</v>
      </c>
      <c r="C78" s="395" t="s">
        <v>313</v>
      </c>
      <c r="D78" s="395"/>
      <c r="E78" s="170">
        <f>365-E77</f>
        <v>145</v>
      </c>
      <c r="F78" s="170">
        <v>5</v>
      </c>
      <c r="G78" s="232">
        <v>7</v>
      </c>
      <c r="H78" s="170">
        <v>4</v>
      </c>
      <c r="I78" s="170">
        <v>8</v>
      </c>
      <c r="J78" s="240">
        <v>21</v>
      </c>
      <c r="K78" s="213">
        <f t="shared" si="5"/>
        <v>33.333333333333329</v>
      </c>
      <c r="L78" s="213">
        <f t="shared" si="4"/>
        <v>19.047619047619047</v>
      </c>
      <c r="M78" s="213">
        <f t="shared" si="4"/>
        <v>38.095238095238095</v>
      </c>
      <c r="N78" s="234">
        <f t="shared" si="6"/>
        <v>90.476190476190482</v>
      </c>
      <c r="O78" s="212">
        <v>20.100000000000001</v>
      </c>
      <c r="P78" s="213">
        <v>10</v>
      </c>
      <c r="Q78" s="213">
        <f>16.6+0.8</f>
        <v>17.400000000000002</v>
      </c>
      <c r="R78" s="214">
        <f t="shared" si="8"/>
        <v>47.5</v>
      </c>
      <c r="S78" s="170">
        <v>5</v>
      </c>
      <c r="T78" s="283">
        <v>34168</v>
      </c>
      <c r="U78" s="281">
        <v>34190</v>
      </c>
      <c r="V78" s="177" t="s">
        <v>111</v>
      </c>
      <c r="W78" s="170" t="s">
        <v>20</v>
      </c>
      <c r="X78" s="170" t="s">
        <v>12</v>
      </c>
      <c r="Y78" s="178">
        <v>13.7</v>
      </c>
      <c r="Z78" s="170" t="s">
        <v>496</v>
      </c>
      <c r="AA78" s="170" t="s">
        <v>75</v>
      </c>
      <c r="AB78" s="170" t="s">
        <v>11</v>
      </c>
      <c r="AC78" s="170">
        <v>10.8</v>
      </c>
      <c r="AD78" s="177" t="s">
        <v>497</v>
      </c>
      <c r="AE78" s="170" t="s">
        <v>17</v>
      </c>
      <c r="AF78" s="170" t="s">
        <v>18</v>
      </c>
      <c r="AG78" s="178">
        <v>10</v>
      </c>
      <c r="AH78" s="170" t="s">
        <v>498</v>
      </c>
      <c r="AI78" s="170" t="s">
        <v>76</v>
      </c>
      <c r="AJ78" s="170" t="s">
        <v>11</v>
      </c>
      <c r="AK78" s="170">
        <v>6.8</v>
      </c>
      <c r="AL78" s="177" t="s">
        <v>499</v>
      </c>
      <c r="AM78" s="170" t="s">
        <v>97</v>
      </c>
      <c r="AN78" s="170" t="s">
        <v>12</v>
      </c>
      <c r="AO78" s="178">
        <v>2.9</v>
      </c>
      <c r="AP78" s="177" t="s">
        <v>566</v>
      </c>
      <c r="AQ78" s="170" t="s">
        <v>79</v>
      </c>
      <c r="AR78" s="170" t="s">
        <v>11</v>
      </c>
      <c r="AS78" s="178">
        <v>2.5</v>
      </c>
      <c r="AT78" s="252" t="s">
        <v>500</v>
      </c>
      <c r="AU78" s="170" t="s">
        <v>327</v>
      </c>
      <c r="AV78" s="170" t="s">
        <v>12</v>
      </c>
      <c r="AW78" s="178">
        <v>0.8</v>
      </c>
      <c r="BA78" s="179"/>
    </row>
    <row r="79" spans="1:53" s="170" customFormat="1" x14ac:dyDescent="0.15">
      <c r="A79" s="170">
        <v>1994</v>
      </c>
      <c r="B79" s="281"/>
      <c r="C79" s="395" t="s">
        <v>313</v>
      </c>
      <c r="D79" s="395"/>
      <c r="E79" s="170">
        <v>117</v>
      </c>
      <c r="G79" s="232">
        <v>7</v>
      </c>
      <c r="H79" s="170">
        <v>4</v>
      </c>
      <c r="I79" s="170">
        <v>8</v>
      </c>
      <c r="J79" s="240">
        <v>21</v>
      </c>
      <c r="K79" s="213">
        <f t="shared" si="5"/>
        <v>33.333333333333329</v>
      </c>
      <c r="L79" s="213">
        <f t="shared" si="4"/>
        <v>19.047619047619047</v>
      </c>
      <c r="M79" s="213">
        <f t="shared" si="4"/>
        <v>38.095238095238095</v>
      </c>
      <c r="N79" s="234">
        <f t="shared" si="6"/>
        <v>90.476190476190482</v>
      </c>
      <c r="O79" s="212">
        <v>20.100000000000001</v>
      </c>
      <c r="P79" s="213">
        <v>10</v>
      </c>
      <c r="Q79" s="213">
        <f>16.6+0.8</f>
        <v>17.400000000000002</v>
      </c>
      <c r="R79" s="214">
        <f t="shared" si="8"/>
        <v>47.5</v>
      </c>
      <c r="S79" s="170">
        <v>5</v>
      </c>
      <c r="T79" s="283"/>
      <c r="U79" s="281"/>
      <c r="V79" s="177" t="s">
        <v>111</v>
      </c>
      <c r="W79" s="170" t="s">
        <v>20</v>
      </c>
      <c r="X79" s="170" t="s">
        <v>12</v>
      </c>
      <c r="Y79" s="178">
        <v>13.7</v>
      </c>
      <c r="Z79" s="170" t="s">
        <v>496</v>
      </c>
      <c r="AA79" s="170" t="s">
        <v>75</v>
      </c>
      <c r="AB79" s="170" t="s">
        <v>11</v>
      </c>
      <c r="AC79" s="170">
        <v>10.8</v>
      </c>
      <c r="AD79" s="177" t="s">
        <v>497</v>
      </c>
      <c r="AE79" s="170" t="s">
        <v>17</v>
      </c>
      <c r="AF79" s="170" t="s">
        <v>18</v>
      </c>
      <c r="AG79" s="178">
        <v>10</v>
      </c>
      <c r="AH79" s="170" t="s">
        <v>498</v>
      </c>
      <c r="AI79" s="170" t="s">
        <v>76</v>
      </c>
      <c r="AJ79" s="170" t="s">
        <v>11</v>
      </c>
      <c r="AK79" s="170">
        <v>6.8</v>
      </c>
      <c r="AL79" s="177" t="s">
        <v>499</v>
      </c>
      <c r="AM79" s="170" t="s">
        <v>97</v>
      </c>
      <c r="AN79" s="170" t="s">
        <v>12</v>
      </c>
      <c r="AO79" s="178">
        <v>2.9</v>
      </c>
      <c r="AP79" s="177" t="s">
        <v>566</v>
      </c>
      <c r="AQ79" s="170" t="s">
        <v>79</v>
      </c>
      <c r="AR79" s="170" t="s">
        <v>11</v>
      </c>
      <c r="AS79" s="178">
        <v>2.5</v>
      </c>
      <c r="AT79" s="252" t="s">
        <v>500</v>
      </c>
      <c r="AU79" s="170" t="s">
        <v>327</v>
      </c>
      <c r="AV79" s="170" t="s">
        <v>12</v>
      </c>
      <c r="AW79" s="178">
        <v>0.8</v>
      </c>
      <c r="BA79" s="179"/>
    </row>
    <row r="80" spans="1:53" s="28" customFormat="1" x14ac:dyDescent="0.15">
      <c r="A80" s="28">
        <v>1994</v>
      </c>
      <c r="B80" s="293">
        <v>34452</v>
      </c>
      <c r="C80" s="394" t="s">
        <v>314</v>
      </c>
      <c r="D80" s="394"/>
      <c r="E80" s="28">
        <v>63</v>
      </c>
      <c r="F80" s="28">
        <v>2</v>
      </c>
      <c r="G80" s="65">
        <v>10</v>
      </c>
      <c r="H80" s="28">
        <v>6</v>
      </c>
      <c r="I80" s="28">
        <v>2</v>
      </c>
      <c r="J80" s="72">
        <v>21</v>
      </c>
      <c r="K80" s="46">
        <f>G80/$J80*100</f>
        <v>47.619047619047613</v>
      </c>
      <c r="L80" s="46">
        <f t="shared" si="4"/>
        <v>28.571428571428569</v>
      </c>
      <c r="M80" s="46">
        <f t="shared" si="4"/>
        <v>9.5238095238095237</v>
      </c>
      <c r="N80" s="67">
        <f>K80+L80+M80</f>
        <v>85.714285714285694</v>
      </c>
      <c r="O80" s="45">
        <v>17.600000000000001</v>
      </c>
      <c r="P80" s="46">
        <v>10</v>
      </c>
      <c r="Q80" s="46">
        <v>2.9</v>
      </c>
      <c r="R80" s="47">
        <f t="shared" si="8"/>
        <v>30.5</v>
      </c>
      <c r="S80" s="28">
        <v>5</v>
      </c>
      <c r="T80" s="284"/>
      <c r="U80" s="293">
        <v>34452</v>
      </c>
      <c r="V80" s="28" t="s">
        <v>496</v>
      </c>
      <c r="W80" s="28" t="s">
        <v>75</v>
      </c>
      <c r="X80" s="28" t="s">
        <v>11</v>
      </c>
      <c r="Y80" s="38">
        <v>10.8</v>
      </c>
      <c r="Z80" s="28" t="s">
        <v>497</v>
      </c>
      <c r="AA80" s="28" t="s">
        <v>17</v>
      </c>
      <c r="AB80" s="28" t="s">
        <v>18</v>
      </c>
      <c r="AC80" s="28">
        <v>10</v>
      </c>
      <c r="AD80" s="37" t="s">
        <v>498</v>
      </c>
      <c r="AE80" s="28" t="s">
        <v>76</v>
      </c>
      <c r="AF80" s="28" t="s">
        <v>11</v>
      </c>
      <c r="AG80" s="38">
        <v>6.8</v>
      </c>
      <c r="AH80" s="37" t="s">
        <v>499</v>
      </c>
      <c r="AI80" s="28" t="s">
        <v>97</v>
      </c>
      <c r="AJ80" s="28" t="s">
        <v>12</v>
      </c>
      <c r="AK80" s="28">
        <v>2.9</v>
      </c>
      <c r="AL80" s="37"/>
      <c r="AO80" s="38"/>
      <c r="AP80" s="37"/>
      <c r="AS80" s="38"/>
      <c r="AT80" s="93"/>
      <c r="AW80" s="38"/>
      <c r="BA80" s="39"/>
    </row>
    <row r="81" spans="1:53" s="170" customFormat="1" x14ac:dyDescent="0.15">
      <c r="A81" s="170">
        <v>1994</v>
      </c>
      <c r="B81" s="281">
        <v>34515</v>
      </c>
      <c r="C81" s="395" t="s">
        <v>315</v>
      </c>
      <c r="D81" s="395"/>
      <c r="E81" s="170">
        <f>365-E80-E79</f>
        <v>185</v>
      </c>
      <c r="F81" s="170">
        <v>2</v>
      </c>
      <c r="G81" s="232">
        <v>15</v>
      </c>
      <c r="I81" s="170">
        <v>6</v>
      </c>
      <c r="J81" s="240">
        <v>21</v>
      </c>
      <c r="K81" s="213">
        <f t="shared" ref="K81:M110" si="9">G81/$J81*100</f>
        <v>71.428571428571431</v>
      </c>
      <c r="L81" s="213">
        <f t="shared" si="4"/>
        <v>0</v>
      </c>
      <c r="M81" s="213">
        <f t="shared" si="4"/>
        <v>28.571428571428569</v>
      </c>
      <c r="N81" s="234">
        <f t="shared" ref="N81:N110" si="10">K81+L81+M81</f>
        <v>100</v>
      </c>
      <c r="O81" s="212">
        <v>43.6</v>
      </c>
      <c r="P81" s="213">
        <v>2.5</v>
      </c>
      <c r="Q81" s="213">
        <v>13.7</v>
      </c>
      <c r="R81" s="214">
        <f t="shared" si="8"/>
        <v>59.8</v>
      </c>
      <c r="S81" s="170">
        <v>3</v>
      </c>
      <c r="T81" s="283"/>
      <c r="U81" s="281">
        <v>34515</v>
      </c>
      <c r="V81" s="177" t="s">
        <v>494</v>
      </c>
      <c r="W81" s="170" t="s">
        <v>74</v>
      </c>
      <c r="X81" s="170" t="s">
        <v>11</v>
      </c>
      <c r="Y81" s="178">
        <v>43.6</v>
      </c>
      <c r="Z81" s="170" t="s">
        <v>111</v>
      </c>
      <c r="AA81" s="170" t="s">
        <v>20</v>
      </c>
      <c r="AB81" s="170" t="s">
        <v>12</v>
      </c>
      <c r="AC81" s="170">
        <v>13.7</v>
      </c>
      <c r="AD81" s="177" t="s">
        <v>567</v>
      </c>
      <c r="AE81" s="170" t="s">
        <v>79</v>
      </c>
      <c r="AF81" s="170" t="s">
        <v>18</v>
      </c>
      <c r="AG81" s="178">
        <v>2.5</v>
      </c>
      <c r="AL81" s="177"/>
      <c r="AO81" s="178"/>
      <c r="AP81" s="177"/>
      <c r="AS81" s="178"/>
      <c r="AT81" s="252"/>
      <c r="AW81" s="178"/>
      <c r="BA81" s="179"/>
    </row>
    <row r="82" spans="1:53" s="170" customFormat="1" x14ac:dyDescent="0.15">
      <c r="A82" s="170">
        <v>1995</v>
      </c>
      <c r="B82" s="281"/>
      <c r="C82" s="395" t="s">
        <v>315</v>
      </c>
      <c r="D82" s="395"/>
      <c r="E82" s="170">
        <v>219</v>
      </c>
      <c r="G82" s="232">
        <v>15</v>
      </c>
      <c r="I82" s="170">
        <v>6</v>
      </c>
      <c r="J82" s="240">
        <v>21</v>
      </c>
      <c r="K82" s="213">
        <f t="shared" si="9"/>
        <v>71.428571428571431</v>
      </c>
      <c r="L82" s="213">
        <f t="shared" si="4"/>
        <v>0</v>
      </c>
      <c r="M82" s="213">
        <f t="shared" si="4"/>
        <v>28.571428571428569</v>
      </c>
      <c r="N82" s="234">
        <f t="shared" si="10"/>
        <v>100</v>
      </c>
      <c r="O82" s="212">
        <v>43.6</v>
      </c>
      <c r="P82" s="213">
        <v>2.5</v>
      </c>
      <c r="Q82" s="213">
        <v>13.7</v>
      </c>
      <c r="R82" s="214">
        <f t="shared" si="8"/>
        <v>59.8</v>
      </c>
      <c r="S82" s="170">
        <v>3</v>
      </c>
      <c r="T82" s="283"/>
      <c r="U82" s="281"/>
      <c r="V82" s="177" t="s">
        <v>494</v>
      </c>
      <c r="W82" s="170" t="s">
        <v>74</v>
      </c>
      <c r="X82" s="170" t="s">
        <v>11</v>
      </c>
      <c r="Y82" s="178">
        <v>43.6</v>
      </c>
      <c r="Z82" s="170" t="s">
        <v>111</v>
      </c>
      <c r="AA82" s="170" t="s">
        <v>20</v>
      </c>
      <c r="AB82" s="170" t="s">
        <v>12</v>
      </c>
      <c r="AC82" s="170">
        <v>13.7</v>
      </c>
      <c r="AD82" s="177" t="s">
        <v>567</v>
      </c>
      <c r="AE82" s="170" t="s">
        <v>79</v>
      </c>
      <c r="AF82" s="170" t="s">
        <v>18</v>
      </c>
      <c r="AG82" s="178">
        <v>2.5</v>
      </c>
      <c r="AL82" s="177"/>
      <c r="AO82" s="178"/>
      <c r="AP82" s="177"/>
      <c r="AS82" s="178"/>
      <c r="AT82" s="252"/>
      <c r="AW82" s="178"/>
      <c r="BA82" s="179"/>
    </row>
    <row r="83" spans="1:53" s="170" customFormat="1" x14ac:dyDescent="0.15">
      <c r="A83" s="170">
        <v>1995</v>
      </c>
      <c r="B83" s="303">
        <v>34919</v>
      </c>
      <c r="C83" s="395" t="s">
        <v>316</v>
      </c>
      <c r="D83" s="395"/>
      <c r="E83" s="170">
        <f>365-E82</f>
        <v>146</v>
      </c>
      <c r="F83" s="243">
        <v>0</v>
      </c>
      <c r="G83" s="232">
        <v>14</v>
      </c>
      <c r="I83" s="170">
        <v>6</v>
      </c>
      <c r="J83" s="240">
        <v>21</v>
      </c>
      <c r="K83" s="213">
        <f t="shared" si="9"/>
        <v>66.666666666666657</v>
      </c>
      <c r="L83" s="213">
        <f t="shared" si="4"/>
        <v>0</v>
      </c>
      <c r="M83" s="213">
        <f t="shared" si="4"/>
        <v>28.571428571428569</v>
      </c>
      <c r="N83" s="234">
        <f t="shared" si="10"/>
        <v>95.238095238095227</v>
      </c>
      <c r="O83" s="212">
        <v>43.6</v>
      </c>
      <c r="P83" s="213">
        <v>2.5</v>
      </c>
      <c r="Q83" s="213">
        <v>13.7</v>
      </c>
      <c r="R83" s="214">
        <f t="shared" si="8"/>
        <v>59.8</v>
      </c>
      <c r="S83" s="170">
        <v>3</v>
      </c>
      <c r="T83" s="283"/>
      <c r="U83" s="281">
        <v>34919</v>
      </c>
      <c r="V83" s="177" t="s">
        <v>494</v>
      </c>
      <c r="W83" s="170" t="s">
        <v>74</v>
      </c>
      <c r="X83" s="170" t="s">
        <v>11</v>
      </c>
      <c r="Y83" s="178">
        <v>43.6</v>
      </c>
      <c r="Z83" s="170" t="s">
        <v>111</v>
      </c>
      <c r="AA83" s="170" t="s">
        <v>20</v>
      </c>
      <c r="AB83" s="170" t="s">
        <v>12</v>
      </c>
      <c r="AC83" s="170">
        <v>13.7</v>
      </c>
      <c r="AD83" s="177" t="s">
        <v>567</v>
      </c>
      <c r="AE83" s="170" t="s">
        <v>79</v>
      </c>
      <c r="AF83" s="170" t="s">
        <v>18</v>
      </c>
      <c r="AG83" s="178">
        <v>2.5</v>
      </c>
      <c r="AL83" s="177"/>
      <c r="AO83" s="178"/>
      <c r="AP83" s="177"/>
      <c r="AS83" s="178"/>
      <c r="AT83" s="252"/>
      <c r="AW83" s="178"/>
      <c r="BA83" s="179"/>
    </row>
    <row r="84" spans="1:53" s="170" customFormat="1" x14ac:dyDescent="0.15">
      <c r="A84" s="170">
        <v>1996</v>
      </c>
      <c r="B84" s="281"/>
      <c r="C84" s="395" t="s">
        <v>316</v>
      </c>
      <c r="D84" s="395"/>
      <c r="E84" s="170">
        <v>10</v>
      </c>
      <c r="G84" s="232">
        <v>14</v>
      </c>
      <c r="I84" s="170">
        <v>6</v>
      </c>
      <c r="J84" s="240">
        <v>21</v>
      </c>
      <c r="K84" s="213">
        <f t="shared" si="9"/>
        <v>66.666666666666657</v>
      </c>
      <c r="L84" s="213">
        <f t="shared" si="4"/>
        <v>0</v>
      </c>
      <c r="M84" s="213">
        <f t="shared" si="4"/>
        <v>28.571428571428569</v>
      </c>
      <c r="N84" s="234">
        <f t="shared" si="10"/>
        <v>95.238095238095227</v>
      </c>
      <c r="O84" s="212">
        <v>43.6</v>
      </c>
      <c r="P84" s="213">
        <v>2.5</v>
      </c>
      <c r="Q84" s="213">
        <v>13.7</v>
      </c>
      <c r="R84" s="214">
        <f t="shared" si="8"/>
        <v>59.8</v>
      </c>
      <c r="S84" s="170">
        <v>3</v>
      </c>
      <c r="T84" s="283"/>
      <c r="U84" s="281"/>
      <c r="V84" s="177" t="s">
        <v>494</v>
      </c>
      <c r="W84" s="170" t="s">
        <v>74</v>
      </c>
      <c r="X84" s="170" t="s">
        <v>11</v>
      </c>
      <c r="Y84" s="178">
        <v>43.6</v>
      </c>
      <c r="Z84" s="170" t="s">
        <v>111</v>
      </c>
      <c r="AA84" s="170" t="s">
        <v>20</v>
      </c>
      <c r="AB84" s="170" t="s">
        <v>12</v>
      </c>
      <c r="AC84" s="170">
        <v>13.7</v>
      </c>
      <c r="AD84" s="177" t="s">
        <v>567</v>
      </c>
      <c r="AE84" s="170" t="s">
        <v>79</v>
      </c>
      <c r="AF84" s="170" t="s">
        <v>18</v>
      </c>
      <c r="AG84" s="178">
        <v>2.5</v>
      </c>
      <c r="AL84" s="177"/>
      <c r="AO84" s="178"/>
      <c r="AP84" s="177"/>
      <c r="AS84" s="178"/>
      <c r="AT84" s="252"/>
      <c r="AW84" s="178"/>
      <c r="BA84" s="179"/>
    </row>
    <row r="85" spans="1:53" s="28" customFormat="1" x14ac:dyDescent="0.15">
      <c r="A85" s="28">
        <v>1996</v>
      </c>
      <c r="B85" s="293">
        <v>35075</v>
      </c>
      <c r="C85" s="394" t="s">
        <v>317</v>
      </c>
      <c r="D85" s="394"/>
      <c r="E85" s="28">
        <v>301</v>
      </c>
      <c r="F85" s="28">
        <v>2</v>
      </c>
      <c r="G85" s="65">
        <v>13</v>
      </c>
      <c r="I85" s="28">
        <v>7</v>
      </c>
      <c r="J85" s="72">
        <v>21</v>
      </c>
      <c r="K85" s="46">
        <f t="shared" si="9"/>
        <v>61.904761904761905</v>
      </c>
      <c r="L85" s="46">
        <f t="shared" si="4"/>
        <v>0</v>
      </c>
      <c r="M85" s="46">
        <f t="shared" si="4"/>
        <v>33.333333333333329</v>
      </c>
      <c r="N85" s="67">
        <f t="shared" si="10"/>
        <v>95.238095238095241</v>
      </c>
      <c r="O85" s="45">
        <v>43.6</v>
      </c>
      <c r="P85" s="46">
        <v>2.5</v>
      </c>
      <c r="Q85" s="46">
        <v>13.7</v>
      </c>
      <c r="R85" s="47">
        <f t="shared" si="8"/>
        <v>59.8</v>
      </c>
      <c r="S85" s="28">
        <v>3</v>
      </c>
      <c r="T85" s="284"/>
      <c r="U85" s="293">
        <v>35075</v>
      </c>
      <c r="V85" s="37" t="s">
        <v>494</v>
      </c>
      <c r="W85" s="28" t="s">
        <v>74</v>
      </c>
      <c r="X85" s="28" t="s">
        <v>11</v>
      </c>
      <c r="Y85" s="38">
        <v>43.6</v>
      </c>
      <c r="Z85" s="28" t="s">
        <v>111</v>
      </c>
      <c r="AA85" s="28" t="s">
        <v>20</v>
      </c>
      <c r="AB85" s="28" t="s">
        <v>12</v>
      </c>
      <c r="AC85" s="28">
        <v>13.7</v>
      </c>
      <c r="AD85" s="37" t="s">
        <v>567</v>
      </c>
      <c r="AE85" s="28" t="s">
        <v>79</v>
      </c>
      <c r="AF85" s="28" t="s">
        <v>18</v>
      </c>
      <c r="AG85" s="38">
        <v>2.5</v>
      </c>
      <c r="AL85" s="37"/>
      <c r="AO85" s="38"/>
      <c r="AP85" s="37"/>
      <c r="AS85" s="38"/>
      <c r="AT85" s="93"/>
      <c r="AW85" s="38"/>
      <c r="BA85" s="39"/>
    </row>
    <row r="86" spans="1:53" s="170" customFormat="1" x14ac:dyDescent="0.15">
      <c r="A86" s="170">
        <v>1996</v>
      </c>
      <c r="B86" s="281">
        <v>35376</v>
      </c>
      <c r="C86" s="395" t="s">
        <v>318</v>
      </c>
      <c r="D86" s="395"/>
      <c r="E86" s="170">
        <f>366-E85-E84</f>
        <v>55</v>
      </c>
      <c r="F86" s="170">
        <v>1</v>
      </c>
      <c r="G86" s="232">
        <v>21</v>
      </c>
      <c r="J86" s="240">
        <v>21</v>
      </c>
      <c r="K86" s="213">
        <f t="shared" si="9"/>
        <v>100</v>
      </c>
      <c r="L86" s="213">
        <f t="shared" si="4"/>
        <v>0</v>
      </c>
      <c r="M86" s="213">
        <f t="shared" si="4"/>
        <v>0</v>
      </c>
      <c r="N86" s="234">
        <f t="shared" si="10"/>
        <v>100</v>
      </c>
      <c r="O86" s="212">
        <v>47.8</v>
      </c>
      <c r="P86" s="213"/>
      <c r="Q86" s="213"/>
      <c r="R86" s="214">
        <f t="shared" si="8"/>
        <v>47.8</v>
      </c>
      <c r="S86" s="170">
        <v>4</v>
      </c>
      <c r="T86" s="283">
        <v>35358</v>
      </c>
      <c r="U86" s="281">
        <v>35376</v>
      </c>
      <c r="V86" s="177" t="s">
        <v>494</v>
      </c>
      <c r="W86" s="170" t="s">
        <v>74</v>
      </c>
      <c r="X86" s="170" t="s">
        <v>11</v>
      </c>
      <c r="Y86" s="178">
        <v>47.8</v>
      </c>
      <c r="Z86" s="243"/>
      <c r="AA86" s="243"/>
      <c r="AB86" s="243"/>
      <c r="AC86" s="243"/>
      <c r="AD86" s="255"/>
      <c r="AE86" s="243"/>
      <c r="AF86" s="243"/>
      <c r="AG86" s="254"/>
      <c r="AL86" s="177"/>
      <c r="AO86" s="178"/>
      <c r="AP86" s="177"/>
      <c r="AS86" s="178"/>
      <c r="AT86" s="252"/>
      <c r="AW86" s="178"/>
      <c r="BA86" s="179"/>
    </row>
    <row r="87" spans="1:53" s="170" customFormat="1" x14ac:dyDescent="0.15">
      <c r="A87" s="170">
        <v>1997</v>
      </c>
      <c r="B87" s="281"/>
      <c r="C87" s="395" t="s">
        <v>318</v>
      </c>
      <c r="D87" s="395"/>
      <c r="E87" s="170">
        <v>253</v>
      </c>
      <c r="G87" s="232">
        <v>21</v>
      </c>
      <c r="J87" s="240">
        <v>21</v>
      </c>
      <c r="K87" s="213">
        <f t="shared" si="9"/>
        <v>100</v>
      </c>
      <c r="L87" s="213">
        <f t="shared" si="4"/>
        <v>0</v>
      </c>
      <c r="M87" s="213">
        <f t="shared" si="4"/>
        <v>0</v>
      </c>
      <c r="N87" s="234">
        <f t="shared" si="10"/>
        <v>100</v>
      </c>
      <c r="O87" s="212">
        <v>47.8</v>
      </c>
      <c r="P87" s="213"/>
      <c r="Q87" s="213"/>
      <c r="R87" s="214">
        <f t="shared" si="8"/>
        <v>47.8</v>
      </c>
      <c r="S87" s="170">
        <v>4</v>
      </c>
      <c r="T87" s="283"/>
      <c r="U87" s="281"/>
      <c r="V87" s="177" t="s">
        <v>494</v>
      </c>
      <c r="W87" s="170" t="s">
        <v>74</v>
      </c>
      <c r="X87" s="170" t="s">
        <v>11</v>
      </c>
      <c r="Y87" s="178">
        <v>47.8</v>
      </c>
      <c r="Z87" s="243"/>
      <c r="AA87" s="243"/>
      <c r="AB87" s="243"/>
      <c r="AC87" s="243"/>
      <c r="AD87" s="255"/>
      <c r="AE87" s="243"/>
      <c r="AF87" s="243"/>
      <c r="AG87" s="254"/>
      <c r="AL87" s="177"/>
      <c r="AO87" s="178"/>
      <c r="AP87" s="177"/>
      <c r="AS87" s="178"/>
      <c r="AT87" s="252"/>
      <c r="AW87" s="178"/>
      <c r="BA87" s="179"/>
    </row>
    <row r="88" spans="1:53" s="170" customFormat="1" x14ac:dyDescent="0.15">
      <c r="A88" s="170">
        <v>1997</v>
      </c>
      <c r="B88" s="303">
        <v>35684</v>
      </c>
      <c r="C88" s="395" t="s">
        <v>318</v>
      </c>
      <c r="D88" s="395"/>
      <c r="E88" s="170">
        <f>365-E87</f>
        <v>112</v>
      </c>
      <c r="F88" s="243">
        <v>0</v>
      </c>
      <c r="G88" s="232">
        <v>21</v>
      </c>
      <c r="J88" s="240">
        <v>21</v>
      </c>
      <c r="K88" s="213">
        <f t="shared" si="9"/>
        <v>100</v>
      </c>
      <c r="L88" s="213">
        <f t="shared" si="4"/>
        <v>0</v>
      </c>
      <c r="M88" s="213">
        <f t="shared" si="4"/>
        <v>0</v>
      </c>
      <c r="N88" s="234">
        <f t="shared" si="10"/>
        <v>100</v>
      </c>
      <c r="O88" s="212">
        <v>47.8</v>
      </c>
      <c r="P88" s="213"/>
      <c r="Q88" s="213"/>
      <c r="R88" s="214">
        <f t="shared" si="8"/>
        <v>47.8</v>
      </c>
      <c r="S88" s="170">
        <v>4</v>
      </c>
      <c r="T88" s="283"/>
      <c r="U88" s="281"/>
      <c r="V88" s="177" t="s">
        <v>494</v>
      </c>
      <c r="W88" s="170" t="s">
        <v>74</v>
      </c>
      <c r="X88" s="170" t="s">
        <v>11</v>
      </c>
      <c r="Y88" s="178">
        <v>47.8</v>
      </c>
      <c r="Z88" s="243"/>
      <c r="AA88" s="243"/>
      <c r="AB88" s="243"/>
      <c r="AC88" s="243"/>
      <c r="AD88" s="255"/>
      <c r="AE88" s="243"/>
      <c r="AF88" s="243"/>
      <c r="AG88" s="254"/>
      <c r="AL88" s="177"/>
      <c r="AO88" s="178"/>
      <c r="AP88" s="177"/>
      <c r="AS88" s="178"/>
      <c r="AT88" s="252"/>
      <c r="AW88" s="178"/>
      <c r="BA88" s="179"/>
    </row>
    <row r="89" spans="1:53" s="170" customFormat="1" x14ac:dyDescent="0.15">
      <c r="A89" s="170">
        <v>1998</v>
      </c>
      <c r="B89" s="281"/>
      <c r="C89" s="395" t="s">
        <v>318</v>
      </c>
      <c r="D89" s="395"/>
      <c r="E89" s="170">
        <v>210</v>
      </c>
      <c r="G89" s="232">
        <v>21</v>
      </c>
      <c r="J89" s="240">
        <v>21</v>
      </c>
      <c r="K89" s="213">
        <f t="shared" si="9"/>
        <v>100</v>
      </c>
      <c r="L89" s="213">
        <f t="shared" si="4"/>
        <v>0</v>
      </c>
      <c r="M89" s="213">
        <f t="shared" si="4"/>
        <v>0</v>
      </c>
      <c r="N89" s="234">
        <f t="shared" si="10"/>
        <v>100</v>
      </c>
      <c r="O89" s="212">
        <v>47.8</v>
      </c>
      <c r="P89" s="213"/>
      <c r="Q89" s="213"/>
      <c r="R89" s="214">
        <f t="shared" si="8"/>
        <v>47.8</v>
      </c>
      <c r="S89" s="170">
        <v>4</v>
      </c>
      <c r="T89" s="283"/>
      <c r="U89" s="281"/>
      <c r="V89" s="177" t="s">
        <v>494</v>
      </c>
      <c r="W89" s="170" t="s">
        <v>74</v>
      </c>
      <c r="X89" s="170" t="s">
        <v>11</v>
      </c>
      <c r="Y89" s="178">
        <v>47.8</v>
      </c>
      <c r="Z89" s="243"/>
      <c r="AA89" s="243"/>
      <c r="AB89" s="243"/>
      <c r="AC89" s="243"/>
      <c r="AD89" s="255"/>
      <c r="AE89" s="243"/>
      <c r="AF89" s="243"/>
      <c r="AG89" s="254"/>
      <c r="AL89" s="177"/>
      <c r="AO89" s="178"/>
      <c r="AP89" s="177"/>
      <c r="AS89" s="178"/>
      <c r="AT89" s="252"/>
      <c r="AW89" s="178"/>
      <c r="BA89" s="179"/>
    </row>
    <row r="90" spans="1:53" s="28" customFormat="1" x14ac:dyDescent="0.15">
      <c r="A90" s="28">
        <v>1998</v>
      </c>
      <c r="B90" s="293">
        <v>36006</v>
      </c>
      <c r="C90" s="394" t="s">
        <v>319</v>
      </c>
      <c r="D90" s="394"/>
      <c r="E90" s="28">
        <f>365-E89</f>
        <v>155</v>
      </c>
      <c r="F90" s="28">
        <v>2</v>
      </c>
      <c r="G90" s="65">
        <v>20</v>
      </c>
      <c r="J90" s="72">
        <v>21</v>
      </c>
      <c r="K90" s="46">
        <f t="shared" si="9"/>
        <v>95.238095238095227</v>
      </c>
      <c r="L90" s="46">
        <f t="shared" si="4"/>
        <v>0</v>
      </c>
      <c r="M90" s="46">
        <f t="shared" si="4"/>
        <v>0</v>
      </c>
      <c r="N90" s="67">
        <f t="shared" si="10"/>
        <v>95.238095238095227</v>
      </c>
      <c r="O90" s="45">
        <v>47.8</v>
      </c>
      <c r="P90" s="46"/>
      <c r="Q90" s="46"/>
      <c r="R90" s="47">
        <f t="shared" si="8"/>
        <v>47.8</v>
      </c>
      <c r="S90" s="28">
        <v>4</v>
      </c>
      <c r="T90" s="284"/>
      <c r="U90" s="293">
        <v>36006</v>
      </c>
      <c r="V90" s="37" t="s">
        <v>494</v>
      </c>
      <c r="W90" s="28" t="s">
        <v>74</v>
      </c>
      <c r="X90" s="28" t="s">
        <v>11</v>
      </c>
      <c r="Y90" s="38">
        <v>47.8</v>
      </c>
      <c r="AD90" s="37"/>
      <c r="AG90" s="38"/>
      <c r="AL90" s="37"/>
      <c r="AO90" s="38"/>
      <c r="AP90" s="37"/>
      <c r="AS90" s="38"/>
      <c r="AT90" s="93"/>
      <c r="AW90" s="38"/>
      <c r="BA90" s="39"/>
    </row>
    <row r="91" spans="1:53" s="28" customFormat="1" x14ac:dyDescent="0.15">
      <c r="A91" s="28">
        <v>1999</v>
      </c>
      <c r="B91" s="293"/>
      <c r="C91" s="394" t="s">
        <v>319</v>
      </c>
      <c r="D91" s="394"/>
      <c r="E91" s="28">
        <v>13</v>
      </c>
      <c r="G91" s="65">
        <v>20</v>
      </c>
      <c r="J91" s="72">
        <v>21</v>
      </c>
      <c r="K91" s="46">
        <f t="shared" si="9"/>
        <v>95.238095238095227</v>
      </c>
      <c r="L91" s="46">
        <f t="shared" si="4"/>
        <v>0</v>
      </c>
      <c r="M91" s="46">
        <f t="shared" si="4"/>
        <v>0</v>
      </c>
      <c r="N91" s="67">
        <f t="shared" si="10"/>
        <v>95.238095238095227</v>
      </c>
      <c r="O91" s="45">
        <v>47.8</v>
      </c>
      <c r="P91" s="46"/>
      <c r="Q91" s="46"/>
      <c r="R91" s="47">
        <f t="shared" si="8"/>
        <v>47.8</v>
      </c>
      <c r="S91" s="28">
        <v>4</v>
      </c>
      <c r="T91" s="284"/>
      <c r="U91" s="293"/>
      <c r="V91" s="37" t="s">
        <v>494</v>
      </c>
      <c r="W91" s="28" t="s">
        <v>74</v>
      </c>
      <c r="X91" s="28" t="s">
        <v>11</v>
      </c>
      <c r="Y91" s="38">
        <v>47.8</v>
      </c>
      <c r="AD91" s="37"/>
      <c r="AG91" s="38"/>
      <c r="AL91" s="37"/>
      <c r="AO91" s="38"/>
      <c r="AP91" s="37"/>
      <c r="AS91" s="38"/>
      <c r="AT91" s="93"/>
      <c r="AW91" s="38"/>
      <c r="BA91" s="39"/>
    </row>
    <row r="92" spans="1:53" s="170" customFormat="1" x14ac:dyDescent="0.15">
      <c r="A92" s="170">
        <v>1999</v>
      </c>
      <c r="B92" s="281">
        <v>36174</v>
      </c>
      <c r="C92" s="395" t="s">
        <v>320</v>
      </c>
      <c r="D92" s="395"/>
      <c r="E92" s="170">
        <v>264</v>
      </c>
      <c r="F92" s="170">
        <v>7</v>
      </c>
      <c r="G92" s="232">
        <v>21</v>
      </c>
      <c r="J92" s="240">
        <v>22</v>
      </c>
      <c r="K92" s="213">
        <f t="shared" si="9"/>
        <v>95.454545454545453</v>
      </c>
      <c r="L92" s="213">
        <f t="shared" si="4"/>
        <v>0</v>
      </c>
      <c r="M92" s="213">
        <f t="shared" si="4"/>
        <v>0</v>
      </c>
      <c r="N92" s="234">
        <f t="shared" si="10"/>
        <v>95.454545454545453</v>
      </c>
      <c r="O92" s="212">
        <v>55.4</v>
      </c>
      <c r="P92" s="213"/>
      <c r="Q92" s="213"/>
      <c r="R92" s="214">
        <v>55.4</v>
      </c>
      <c r="S92" s="170">
        <v>2</v>
      </c>
      <c r="T92" s="283"/>
      <c r="U92" s="281">
        <v>36174</v>
      </c>
      <c r="V92" s="177" t="s">
        <v>494</v>
      </c>
      <c r="W92" s="170" t="s">
        <v>74</v>
      </c>
      <c r="X92" s="170" t="s">
        <v>11</v>
      </c>
      <c r="Y92" s="178">
        <v>47.8</v>
      </c>
      <c r="Z92" s="170" t="s">
        <v>82</v>
      </c>
      <c r="AA92" s="170" t="s">
        <v>78</v>
      </c>
      <c r="AB92" s="170" t="s">
        <v>11</v>
      </c>
      <c r="AC92" s="170">
        <v>7.6</v>
      </c>
      <c r="AD92" s="177"/>
      <c r="AG92" s="178"/>
      <c r="AL92" s="177"/>
      <c r="AO92" s="178"/>
      <c r="AP92" s="177"/>
      <c r="AS92" s="178"/>
      <c r="AT92" s="252"/>
      <c r="AW92" s="178"/>
      <c r="BA92" s="179"/>
    </row>
    <row r="93" spans="1:53" s="28" customFormat="1" x14ac:dyDescent="0.15">
      <c r="A93" s="28">
        <v>1999</v>
      </c>
      <c r="B93" s="293">
        <v>36438</v>
      </c>
      <c r="C93" s="394" t="s">
        <v>321</v>
      </c>
      <c r="D93" s="394"/>
      <c r="E93" s="28">
        <f>365-E92-E91</f>
        <v>88</v>
      </c>
      <c r="F93" s="28">
        <v>7</v>
      </c>
      <c r="G93" s="65">
        <v>21</v>
      </c>
      <c r="H93" s="28">
        <v>1</v>
      </c>
      <c r="J93" s="72">
        <v>23</v>
      </c>
      <c r="K93" s="46">
        <f t="shared" si="9"/>
        <v>91.304347826086953</v>
      </c>
      <c r="L93" s="46">
        <f t="shared" si="4"/>
        <v>4.3478260869565215</v>
      </c>
      <c r="M93" s="46">
        <f t="shared" si="4"/>
        <v>0</v>
      </c>
      <c r="N93" s="67">
        <f t="shared" si="10"/>
        <v>95.65217391304347</v>
      </c>
      <c r="O93" s="45">
        <v>55.6</v>
      </c>
      <c r="P93" s="46">
        <v>10.4</v>
      </c>
      <c r="Q93" s="46"/>
      <c r="R93" s="47">
        <v>66</v>
      </c>
      <c r="S93" s="28">
        <v>3</v>
      </c>
      <c r="T93" s="284"/>
      <c r="U93" s="293">
        <v>36438</v>
      </c>
      <c r="V93" s="37" t="s">
        <v>494</v>
      </c>
      <c r="W93" s="28" t="s">
        <v>74</v>
      </c>
      <c r="X93" s="28" t="s">
        <v>11</v>
      </c>
      <c r="Y93" s="38">
        <v>47.8</v>
      </c>
      <c r="Z93" s="28" t="s">
        <v>82</v>
      </c>
      <c r="AA93" s="28" t="s">
        <v>78</v>
      </c>
      <c r="AB93" s="28" t="s">
        <v>11</v>
      </c>
      <c r="AC93" s="28">
        <v>7.8</v>
      </c>
      <c r="AD93" s="37" t="s">
        <v>497</v>
      </c>
      <c r="AE93" s="28" t="s">
        <v>17</v>
      </c>
      <c r="AF93" s="28" t="s">
        <v>18</v>
      </c>
      <c r="AG93" s="38">
        <v>10.4</v>
      </c>
      <c r="AL93" s="37"/>
      <c r="AO93" s="38"/>
      <c r="AP93" s="37"/>
      <c r="AS93" s="38"/>
      <c r="AT93" s="93"/>
      <c r="AW93" s="38"/>
      <c r="BA93" s="39"/>
    </row>
    <row r="94" spans="1:53" s="28" customFormat="1" x14ac:dyDescent="0.15">
      <c r="A94" s="28">
        <v>2000</v>
      </c>
      <c r="B94" s="293"/>
      <c r="C94" s="394" t="s">
        <v>321</v>
      </c>
      <c r="D94" s="394"/>
      <c r="E94" s="28">
        <v>95</v>
      </c>
      <c r="G94" s="65">
        <v>21</v>
      </c>
      <c r="H94" s="28">
        <v>1</v>
      </c>
      <c r="J94" s="72">
        <v>23</v>
      </c>
      <c r="K94" s="46">
        <f t="shared" si="9"/>
        <v>91.304347826086953</v>
      </c>
      <c r="L94" s="46">
        <f t="shared" si="9"/>
        <v>4.3478260869565215</v>
      </c>
      <c r="M94" s="46">
        <f t="shared" si="9"/>
        <v>0</v>
      </c>
      <c r="N94" s="67">
        <f t="shared" si="10"/>
        <v>95.65217391304347</v>
      </c>
      <c r="O94" s="45">
        <v>55.6</v>
      </c>
      <c r="P94" s="46">
        <v>10.4</v>
      </c>
      <c r="Q94" s="46"/>
      <c r="R94" s="47">
        <v>66</v>
      </c>
      <c r="S94" s="28">
        <v>3</v>
      </c>
      <c r="T94" s="284"/>
      <c r="U94" s="293"/>
      <c r="V94" s="37" t="s">
        <v>494</v>
      </c>
      <c r="W94" s="28" t="s">
        <v>74</v>
      </c>
      <c r="X94" s="28" t="s">
        <v>11</v>
      </c>
      <c r="Y94" s="38">
        <v>47.8</v>
      </c>
      <c r="Z94" s="28" t="s">
        <v>82</v>
      </c>
      <c r="AA94" s="28" t="s">
        <v>78</v>
      </c>
      <c r="AB94" s="28" t="s">
        <v>11</v>
      </c>
      <c r="AC94" s="28">
        <v>7.8</v>
      </c>
      <c r="AD94" s="37" t="s">
        <v>497</v>
      </c>
      <c r="AE94" s="28" t="s">
        <v>17</v>
      </c>
      <c r="AF94" s="28" t="s">
        <v>18</v>
      </c>
      <c r="AG94" s="38">
        <v>10.4</v>
      </c>
      <c r="AL94" s="37"/>
      <c r="AO94" s="38"/>
      <c r="AP94" s="37"/>
      <c r="AS94" s="38"/>
      <c r="AT94" s="93"/>
      <c r="AW94" s="38"/>
      <c r="BA94" s="39"/>
    </row>
    <row r="95" spans="1:53" s="170" customFormat="1" x14ac:dyDescent="0.15">
      <c r="A95" s="170">
        <v>2000</v>
      </c>
      <c r="B95" s="281">
        <v>36621</v>
      </c>
      <c r="C95" s="395" t="s">
        <v>805</v>
      </c>
      <c r="D95" s="395"/>
      <c r="E95" s="170">
        <v>90</v>
      </c>
      <c r="F95" s="170">
        <v>2</v>
      </c>
      <c r="G95" s="232">
        <v>21</v>
      </c>
      <c r="H95" s="170">
        <v>1</v>
      </c>
      <c r="J95" s="240">
        <v>23</v>
      </c>
      <c r="K95" s="213">
        <f>G95/$J95*100</f>
        <v>91.304347826086953</v>
      </c>
      <c r="L95" s="213">
        <f>H95/$J95*100</f>
        <v>4.3478260869565215</v>
      </c>
      <c r="M95" s="213">
        <f>I95/$J95*100</f>
        <v>0</v>
      </c>
      <c r="N95" s="234">
        <f>K95+L95+M95</f>
        <v>95.65217391304347</v>
      </c>
      <c r="O95" s="212">
        <v>55.6</v>
      </c>
      <c r="P95" s="213">
        <v>10.4</v>
      </c>
      <c r="Q95" s="213"/>
      <c r="R95" s="214">
        <v>66</v>
      </c>
      <c r="S95" s="170">
        <v>3</v>
      </c>
      <c r="T95" s="283"/>
      <c r="U95" s="281">
        <v>36621</v>
      </c>
      <c r="V95" s="177" t="s">
        <v>494</v>
      </c>
      <c r="W95" s="170" t="s">
        <v>74</v>
      </c>
      <c r="X95" s="170" t="s">
        <v>11</v>
      </c>
      <c r="Y95" s="178">
        <v>47.8</v>
      </c>
      <c r="Z95" s="170" t="s">
        <v>82</v>
      </c>
      <c r="AA95" s="170" t="s">
        <v>78</v>
      </c>
      <c r="AB95" s="170" t="s">
        <v>11</v>
      </c>
      <c r="AC95" s="170">
        <v>7.8</v>
      </c>
      <c r="AD95" s="177" t="s">
        <v>497</v>
      </c>
      <c r="AE95" s="170" t="s">
        <v>17</v>
      </c>
      <c r="AF95" s="170" t="s">
        <v>18</v>
      </c>
      <c r="AG95" s="178">
        <v>10.4</v>
      </c>
      <c r="AL95" s="177"/>
      <c r="AO95" s="178"/>
      <c r="AP95" s="177"/>
      <c r="AS95" s="178"/>
      <c r="AT95" s="252"/>
      <c r="AW95" s="178"/>
      <c r="BA95" s="179"/>
    </row>
    <row r="96" spans="1:53" s="28" customFormat="1" x14ac:dyDescent="0.15">
      <c r="A96" s="28">
        <v>2000</v>
      </c>
      <c r="B96" s="293">
        <v>36711</v>
      </c>
      <c r="C96" s="394" t="s">
        <v>854</v>
      </c>
      <c r="D96" s="394"/>
      <c r="E96" s="28">
        <v>181</v>
      </c>
      <c r="F96" s="28">
        <v>1</v>
      </c>
      <c r="G96" s="65">
        <v>20</v>
      </c>
      <c r="H96" s="28">
        <v>1</v>
      </c>
      <c r="J96" s="72">
        <v>23</v>
      </c>
      <c r="K96" s="46">
        <f t="shared" si="9"/>
        <v>86.956521739130437</v>
      </c>
      <c r="L96" s="46">
        <f t="shared" si="9"/>
        <v>4.3478260869565215</v>
      </c>
      <c r="M96" s="46">
        <f t="shared" si="9"/>
        <v>0</v>
      </c>
      <c r="N96" s="67">
        <f t="shared" si="10"/>
        <v>91.304347826086953</v>
      </c>
      <c r="O96" s="45">
        <v>50</v>
      </c>
      <c r="P96" s="46">
        <v>6.5</v>
      </c>
      <c r="Q96" s="46"/>
      <c r="R96" s="47">
        <f t="shared" si="8"/>
        <v>56.5</v>
      </c>
      <c r="S96" s="28">
        <v>3</v>
      </c>
      <c r="T96" s="284">
        <v>36702</v>
      </c>
      <c r="U96" s="293">
        <v>36711</v>
      </c>
      <c r="V96" s="37" t="s">
        <v>494</v>
      </c>
      <c r="W96" s="28" t="s">
        <v>74</v>
      </c>
      <c r="X96" s="28" t="s">
        <v>11</v>
      </c>
      <c r="Y96" s="38">
        <v>48.5</v>
      </c>
      <c r="Z96" s="28" t="s">
        <v>497</v>
      </c>
      <c r="AA96" s="28" t="s">
        <v>17</v>
      </c>
      <c r="AB96" s="28" t="s">
        <v>18</v>
      </c>
      <c r="AC96" s="28">
        <v>6.5</v>
      </c>
      <c r="AD96" s="37" t="s">
        <v>501</v>
      </c>
      <c r="AE96" s="28" t="s">
        <v>327</v>
      </c>
      <c r="AF96" s="28" t="s">
        <v>11</v>
      </c>
      <c r="AG96" s="38">
        <v>1.5</v>
      </c>
      <c r="AL96" s="37"/>
      <c r="AO96" s="38"/>
      <c r="AP96" s="37"/>
      <c r="AS96" s="38"/>
      <c r="AT96" s="93"/>
      <c r="AW96" s="38"/>
      <c r="BA96" s="39"/>
    </row>
    <row r="97" spans="1:53" s="28" customFormat="1" x14ac:dyDescent="0.15">
      <c r="A97" s="28">
        <v>2001</v>
      </c>
      <c r="B97" s="293"/>
      <c r="C97" s="394" t="s">
        <v>854</v>
      </c>
      <c r="D97" s="394"/>
      <c r="E97" s="28">
        <v>115</v>
      </c>
      <c r="G97" s="65">
        <v>20</v>
      </c>
      <c r="H97" s="28">
        <v>1</v>
      </c>
      <c r="J97" s="72">
        <v>23</v>
      </c>
      <c r="K97" s="46">
        <f t="shared" si="9"/>
        <v>86.956521739130437</v>
      </c>
      <c r="L97" s="46">
        <f t="shared" si="9"/>
        <v>4.3478260869565215</v>
      </c>
      <c r="M97" s="46">
        <f t="shared" si="9"/>
        <v>0</v>
      </c>
      <c r="N97" s="67">
        <f t="shared" si="10"/>
        <v>91.304347826086953</v>
      </c>
      <c r="O97" s="45">
        <v>50</v>
      </c>
      <c r="P97" s="46">
        <v>6.5</v>
      </c>
      <c r="Q97" s="46"/>
      <c r="R97" s="47">
        <f t="shared" si="8"/>
        <v>56.5</v>
      </c>
      <c r="S97" s="28">
        <v>3</v>
      </c>
      <c r="T97" s="284"/>
      <c r="U97" s="293"/>
      <c r="V97" s="37" t="s">
        <v>494</v>
      </c>
      <c r="W97" s="28" t="s">
        <v>74</v>
      </c>
      <c r="X97" s="28" t="s">
        <v>11</v>
      </c>
      <c r="Y97" s="38">
        <v>48.5</v>
      </c>
      <c r="Z97" s="28" t="s">
        <v>497</v>
      </c>
      <c r="AA97" s="28" t="s">
        <v>17</v>
      </c>
      <c r="AB97" s="28" t="s">
        <v>18</v>
      </c>
      <c r="AC97" s="28">
        <v>6.5</v>
      </c>
      <c r="AD97" s="37" t="s">
        <v>501</v>
      </c>
      <c r="AE97" s="28" t="s">
        <v>327</v>
      </c>
      <c r="AF97" s="28" t="s">
        <v>11</v>
      </c>
      <c r="AG97" s="38">
        <v>1.5</v>
      </c>
      <c r="AL97" s="37"/>
      <c r="AO97" s="38"/>
      <c r="AP97" s="37"/>
      <c r="AS97" s="38"/>
      <c r="AT97" s="93"/>
      <c r="AW97" s="38"/>
      <c r="BA97" s="39"/>
    </row>
    <row r="98" spans="1:53" s="170" customFormat="1" x14ac:dyDescent="0.15">
      <c r="A98" s="170">
        <v>2001</v>
      </c>
      <c r="B98" s="281">
        <v>37007</v>
      </c>
      <c r="C98" s="395" t="s">
        <v>699</v>
      </c>
      <c r="D98" s="395"/>
      <c r="E98" s="170">
        <f>365-E97</f>
        <v>250</v>
      </c>
      <c r="F98" s="170">
        <v>2</v>
      </c>
      <c r="G98" s="232">
        <v>14</v>
      </c>
      <c r="H98" s="170">
        <v>1</v>
      </c>
      <c r="J98" s="240">
        <v>18</v>
      </c>
      <c r="K98" s="213">
        <f t="shared" si="9"/>
        <v>77.777777777777786</v>
      </c>
      <c r="L98" s="213">
        <f t="shared" si="9"/>
        <v>5.5555555555555554</v>
      </c>
      <c r="M98" s="213">
        <f t="shared" si="9"/>
        <v>0</v>
      </c>
      <c r="N98" s="234">
        <f t="shared" si="10"/>
        <v>83.333333333333343</v>
      </c>
      <c r="O98" s="212">
        <v>50</v>
      </c>
      <c r="P98" s="213">
        <v>6.5</v>
      </c>
      <c r="Q98" s="213"/>
      <c r="R98" s="214">
        <f t="shared" si="8"/>
        <v>56.5</v>
      </c>
      <c r="S98" s="170">
        <v>3</v>
      </c>
      <c r="T98" s="283"/>
      <c r="U98" s="281">
        <v>37007</v>
      </c>
      <c r="V98" s="177" t="s">
        <v>494</v>
      </c>
      <c r="W98" s="170" t="s">
        <v>74</v>
      </c>
      <c r="X98" s="170" t="s">
        <v>11</v>
      </c>
      <c r="Y98" s="178">
        <v>48.5</v>
      </c>
      <c r="Z98" s="170" t="s">
        <v>497</v>
      </c>
      <c r="AA98" s="170" t="s">
        <v>17</v>
      </c>
      <c r="AB98" s="170" t="s">
        <v>18</v>
      </c>
      <c r="AC98" s="170">
        <v>6.5</v>
      </c>
      <c r="AD98" s="177" t="s">
        <v>501</v>
      </c>
      <c r="AE98" s="170" t="s">
        <v>327</v>
      </c>
      <c r="AF98" s="170" t="s">
        <v>11</v>
      </c>
      <c r="AG98" s="178">
        <v>1.5</v>
      </c>
      <c r="AL98" s="177"/>
      <c r="AO98" s="178"/>
      <c r="AP98" s="177"/>
      <c r="AS98" s="178"/>
      <c r="AT98" s="252"/>
      <c r="AW98" s="178"/>
      <c r="BA98" s="179"/>
    </row>
    <row r="99" spans="1:53" s="170" customFormat="1" x14ac:dyDescent="0.15">
      <c r="A99" s="170">
        <v>2002</v>
      </c>
      <c r="B99" s="281"/>
      <c r="C99" s="395" t="s">
        <v>699</v>
      </c>
      <c r="D99" s="395"/>
      <c r="E99" s="170">
        <v>0</v>
      </c>
      <c r="G99" s="232">
        <v>14</v>
      </c>
      <c r="H99" s="170">
        <v>1</v>
      </c>
      <c r="J99" s="240">
        <v>18</v>
      </c>
      <c r="K99" s="213">
        <f t="shared" si="9"/>
        <v>77.777777777777786</v>
      </c>
      <c r="L99" s="213">
        <f t="shared" si="9"/>
        <v>5.5555555555555554</v>
      </c>
      <c r="M99" s="213">
        <f t="shared" si="9"/>
        <v>0</v>
      </c>
      <c r="N99" s="234">
        <f t="shared" si="10"/>
        <v>83.333333333333343</v>
      </c>
      <c r="O99" s="212">
        <v>50</v>
      </c>
      <c r="P99" s="213">
        <v>6.5</v>
      </c>
      <c r="Q99" s="213"/>
      <c r="R99" s="214">
        <f t="shared" si="8"/>
        <v>56.5</v>
      </c>
      <c r="S99" s="170">
        <v>3</v>
      </c>
      <c r="T99" s="283"/>
      <c r="U99" s="281"/>
      <c r="V99" s="177" t="s">
        <v>494</v>
      </c>
      <c r="W99" s="170" t="s">
        <v>74</v>
      </c>
      <c r="X99" s="170" t="s">
        <v>11</v>
      </c>
      <c r="Y99" s="178">
        <v>48.5</v>
      </c>
      <c r="Z99" s="170" t="s">
        <v>497</v>
      </c>
      <c r="AA99" s="170" t="s">
        <v>17</v>
      </c>
      <c r="AB99" s="170" t="s">
        <v>18</v>
      </c>
      <c r="AC99" s="170">
        <v>6.5</v>
      </c>
      <c r="AD99" s="177" t="s">
        <v>501</v>
      </c>
      <c r="AE99" s="170" t="s">
        <v>327</v>
      </c>
      <c r="AF99" s="170" t="s">
        <v>11</v>
      </c>
      <c r="AG99" s="178">
        <v>1.5</v>
      </c>
      <c r="AL99" s="177"/>
      <c r="AO99" s="178"/>
      <c r="AP99" s="177"/>
      <c r="AS99" s="178"/>
      <c r="AT99" s="252"/>
      <c r="AW99" s="178"/>
      <c r="BA99" s="179"/>
    </row>
    <row r="100" spans="1:53" s="170" customFormat="1" x14ac:dyDescent="0.15">
      <c r="A100" s="170">
        <v>2002</v>
      </c>
      <c r="B100" s="281"/>
      <c r="C100" s="395" t="s">
        <v>699</v>
      </c>
      <c r="D100" s="395"/>
      <c r="E100" s="170">
        <f>365-E99</f>
        <v>365</v>
      </c>
      <c r="G100" s="232">
        <v>14</v>
      </c>
      <c r="H100" s="170">
        <v>1</v>
      </c>
      <c r="J100" s="240">
        <v>18</v>
      </c>
      <c r="K100" s="213">
        <f t="shared" si="9"/>
        <v>77.777777777777786</v>
      </c>
      <c r="L100" s="213">
        <f t="shared" si="9"/>
        <v>5.5555555555555554</v>
      </c>
      <c r="M100" s="213">
        <f t="shared" si="9"/>
        <v>0</v>
      </c>
      <c r="N100" s="234">
        <f t="shared" si="10"/>
        <v>83.333333333333343</v>
      </c>
      <c r="O100" s="212">
        <v>50</v>
      </c>
      <c r="P100" s="213">
        <v>6.5</v>
      </c>
      <c r="Q100" s="213"/>
      <c r="R100" s="214">
        <f t="shared" si="8"/>
        <v>56.5</v>
      </c>
      <c r="S100" s="170">
        <v>3</v>
      </c>
      <c r="T100" s="283"/>
      <c r="U100" s="281"/>
      <c r="V100" s="177" t="s">
        <v>494</v>
      </c>
      <c r="W100" s="170" t="s">
        <v>74</v>
      </c>
      <c r="X100" s="170" t="s">
        <v>11</v>
      </c>
      <c r="Y100" s="178">
        <v>48.5</v>
      </c>
      <c r="Z100" s="170" t="s">
        <v>497</v>
      </c>
      <c r="AA100" s="170" t="s">
        <v>17</v>
      </c>
      <c r="AB100" s="170" t="s">
        <v>18</v>
      </c>
      <c r="AC100" s="170">
        <v>6.5</v>
      </c>
      <c r="AD100" s="177" t="s">
        <v>501</v>
      </c>
      <c r="AE100" s="170" t="s">
        <v>327</v>
      </c>
      <c r="AF100" s="170" t="s">
        <v>11</v>
      </c>
      <c r="AG100" s="178">
        <v>1.5</v>
      </c>
      <c r="AL100" s="177"/>
      <c r="AO100" s="178"/>
      <c r="AP100" s="177"/>
      <c r="AS100" s="178"/>
      <c r="AT100" s="252"/>
      <c r="AW100" s="178"/>
      <c r="BA100" s="179"/>
    </row>
    <row r="101" spans="1:53" s="170" customFormat="1" x14ac:dyDescent="0.15">
      <c r="A101" s="170">
        <v>2003</v>
      </c>
      <c r="B101" s="281"/>
      <c r="C101" s="395" t="s">
        <v>699</v>
      </c>
      <c r="D101" s="395"/>
      <c r="E101" s="170">
        <v>264</v>
      </c>
      <c r="G101" s="232">
        <v>14</v>
      </c>
      <c r="H101" s="170">
        <v>1</v>
      </c>
      <c r="J101" s="240">
        <v>18</v>
      </c>
      <c r="K101" s="213">
        <f t="shared" si="9"/>
        <v>77.777777777777786</v>
      </c>
      <c r="L101" s="213">
        <f t="shared" si="9"/>
        <v>5.5555555555555554</v>
      </c>
      <c r="M101" s="213">
        <f t="shared" si="9"/>
        <v>0</v>
      </c>
      <c r="N101" s="234">
        <f t="shared" si="10"/>
        <v>83.333333333333343</v>
      </c>
      <c r="O101" s="212">
        <v>50</v>
      </c>
      <c r="P101" s="213">
        <v>6.5</v>
      </c>
      <c r="Q101" s="213"/>
      <c r="R101" s="214">
        <f t="shared" si="8"/>
        <v>56.5</v>
      </c>
      <c r="S101" s="170">
        <v>3</v>
      </c>
      <c r="T101" s="283"/>
      <c r="U101" s="281"/>
      <c r="V101" s="177" t="s">
        <v>494</v>
      </c>
      <c r="W101" s="170" t="s">
        <v>74</v>
      </c>
      <c r="X101" s="170" t="s">
        <v>11</v>
      </c>
      <c r="Y101" s="178">
        <v>48.5</v>
      </c>
      <c r="Z101" s="170" t="s">
        <v>497</v>
      </c>
      <c r="AA101" s="170" t="s">
        <v>17</v>
      </c>
      <c r="AB101" s="170" t="s">
        <v>18</v>
      </c>
      <c r="AC101" s="170">
        <v>6.5</v>
      </c>
      <c r="AD101" s="177" t="s">
        <v>501</v>
      </c>
      <c r="AE101" s="170" t="s">
        <v>327</v>
      </c>
      <c r="AF101" s="170" t="s">
        <v>11</v>
      </c>
      <c r="AG101" s="178">
        <v>1.5</v>
      </c>
      <c r="AL101" s="177"/>
      <c r="AO101" s="178"/>
      <c r="AP101" s="177"/>
      <c r="AS101" s="178"/>
      <c r="AT101" s="252"/>
      <c r="AW101" s="178"/>
      <c r="BA101" s="179"/>
    </row>
    <row r="102" spans="1:53" s="170" customFormat="1" x14ac:dyDescent="0.15">
      <c r="A102" s="170">
        <v>2003</v>
      </c>
      <c r="B102" s="303">
        <v>37886</v>
      </c>
      <c r="C102" s="395" t="s">
        <v>699</v>
      </c>
      <c r="D102" s="395"/>
      <c r="E102" s="170">
        <f>365-E101</f>
        <v>101</v>
      </c>
      <c r="F102" s="243">
        <v>0</v>
      </c>
      <c r="G102" s="232">
        <v>14</v>
      </c>
      <c r="H102" s="170">
        <v>1</v>
      </c>
      <c r="J102" s="240">
        <v>18</v>
      </c>
      <c r="K102" s="213">
        <f t="shared" si="9"/>
        <v>77.777777777777786</v>
      </c>
      <c r="L102" s="213">
        <f t="shared" si="9"/>
        <v>5.5555555555555554</v>
      </c>
      <c r="M102" s="213">
        <f t="shared" si="9"/>
        <v>0</v>
      </c>
      <c r="N102" s="234">
        <f t="shared" si="10"/>
        <v>83.333333333333343</v>
      </c>
      <c r="O102" s="212">
        <f>Y102+AG102</f>
        <v>50</v>
      </c>
      <c r="P102" s="213">
        <v>7.1</v>
      </c>
      <c r="Q102" s="213"/>
      <c r="R102" s="214">
        <f t="shared" si="8"/>
        <v>57.1</v>
      </c>
      <c r="S102" s="170">
        <v>3</v>
      </c>
      <c r="T102" s="283"/>
      <c r="U102" s="281">
        <v>37886</v>
      </c>
      <c r="V102" s="177" t="s">
        <v>494</v>
      </c>
      <c r="W102" s="170" t="s">
        <v>74</v>
      </c>
      <c r="X102" s="170" t="s">
        <v>11</v>
      </c>
      <c r="Y102" s="178">
        <v>48.5</v>
      </c>
      <c r="Z102" s="170" t="s">
        <v>497</v>
      </c>
      <c r="AA102" s="170" t="s">
        <v>17</v>
      </c>
      <c r="AB102" s="170" t="s">
        <v>18</v>
      </c>
      <c r="AC102" s="170">
        <v>6.5</v>
      </c>
      <c r="AD102" s="177" t="s">
        <v>568</v>
      </c>
      <c r="AE102" s="170" t="s">
        <v>327</v>
      </c>
      <c r="AF102" s="170" t="s">
        <v>11</v>
      </c>
      <c r="AG102" s="178">
        <v>1.5</v>
      </c>
      <c r="AL102" s="177"/>
      <c r="AO102" s="178"/>
      <c r="AP102" s="177"/>
      <c r="AS102" s="178"/>
      <c r="AT102" s="252"/>
      <c r="AW102" s="178"/>
      <c r="BA102" s="179"/>
    </row>
    <row r="103" spans="1:53" s="170" customFormat="1" x14ac:dyDescent="0.15">
      <c r="A103" s="170">
        <v>2004</v>
      </c>
      <c r="B103" s="281"/>
      <c r="C103" s="395" t="s">
        <v>699</v>
      </c>
      <c r="D103" s="395"/>
      <c r="E103" s="170">
        <v>270</v>
      </c>
      <c r="G103" s="232">
        <v>14</v>
      </c>
      <c r="H103" s="170">
        <v>1</v>
      </c>
      <c r="J103" s="240">
        <v>18</v>
      </c>
      <c r="K103" s="213">
        <f t="shared" si="9"/>
        <v>77.777777777777786</v>
      </c>
      <c r="L103" s="213">
        <f t="shared" si="9"/>
        <v>5.5555555555555554</v>
      </c>
      <c r="M103" s="213">
        <f t="shared" si="9"/>
        <v>0</v>
      </c>
      <c r="N103" s="234">
        <f t="shared" si="10"/>
        <v>83.333333333333343</v>
      </c>
      <c r="O103" s="212">
        <v>50.2</v>
      </c>
      <c r="P103" s="213">
        <v>7.1</v>
      </c>
      <c r="Q103" s="213"/>
      <c r="R103" s="214">
        <f t="shared" si="8"/>
        <v>57.300000000000004</v>
      </c>
      <c r="S103" s="170">
        <v>3</v>
      </c>
      <c r="T103" s="283">
        <v>37934</v>
      </c>
      <c r="U103" s="281"/>
      <c r="V103" s="177" t="s">
        <v>494</v>
      </c>
      <c r="W103" s="170" t="s">
        <v>74</v>
      </c>
      <c r="X103" s="170" t="s">
        <v>11</v>
      </c>
      <c r="Y103" s="178">
        <v>48.5</v>
      </c>
      <c r="Z103" s="170" t="s">
        <v>497</v>
      </c>
      <c r="AA103" s="170" t="s">
        <v>17</v>
      </c>
      <c r="AB103" s="170" t="s">
        <v>18</v>
      </c>
      <c r="AC103" s="170">
        <v>6.5</v>
      </c>
      <c r="AD103" s="177" t="s">
        <v>568</v>
      </c>
      <c r="AE103" s="170" t="s">
        <v>327</v>
      </c>
      <c r="AF103" s="170" t="s">
        <v>11</v>
      </c>
      <c r="AG103" s="178">
        <v>1.5</v>
      </c>
      <c r="AL103" s="177"/>
      <c r="AO103" s="178"/>
      <c r="AP103" s="177"/>
      <c r="AS103" s="178"/>
      <c r="AT103" s="252"/>
      <c r="AW103" s="178"/>
      <c r="BA103" s="179"/>
    </row>
    <row r="104" spans="1:53" s="28" customFormat="1" x14ac:dyDescent="0.15">
      <c r="A104" s="28">
        <v>2004</v>
      </c>
      <c r="B104" s="293">
        <v>38257</v>
      </c>
      <c r="C104" s="394" t="s">
        <v>700</v>
      </c>
      <c r="D104" s="394"/>
      <c r="E104" s="28">
        <f>366-E103</f>
        <v>96</v>
      </c>
      <c r="F104" s="28">
        <v>4</v>
      </c>
      <c r="G104" s="65">
        <v>17</v>
      </c>
      <c r="H104" s="28">
        <v>1</v>
      </c>
      <c r="J104" s="72">
        <v>18</v>
      </c>
      <c r="K104" s="46">
        <f t="shared" si="9"/>
        <v>94.444444444444443</v>
      </c>
      <c r="L104" s="46">
        <f t="shared" si="9"/>
        <v>5.5555555555555554</v>
      </c>
      <c r="M104" s="46">
        <f t="shared" si="9"/>
        <v>0</v>
      </c>
      <c r="N104" s="67">
        <f t="shared" si="10"/>
        <v>100</v>
      </c>
      <c r="O104" s="45">
        <v>49.4</v>
      </c>
      <c r="P104" s="46">
        <v>7.1</v>
      </c>
      <c r="Q104" s="46"/>
      <c r="R104" s="47">
        <f t="shared" si="8"/>
        <v>56.5</v>
      </c>
      <c r="S104" s="28">
        <v>2</v>
      </c>
      <c r="T104" s="284"/>
      <c r="U104" s="293">
        <v>38257</v>
      </c>
      <c r="V104" s="37" t="s">
        <v>494</v>
      </c>
      <c r="W104" s="28" t="s">
        <v>74</v>
      </c>
      <c r="X104" s="28" t="s">
        <v>11</v>
      </c>
      <c r="Y104" s="38">
        <v>49.4</v>
      </c>
      <c r="Z104" s="28" t="s">
        <v>497</v>
      </c>
      <c r="AA104" s="28" t="s">
        <v>17</v>
      </c>
      <c r="AB104" s="28" t="s">
        <v>18</v>
      </c>
      <c r="AC104" s="28">
        <v>7.1</v>
      </c>
      <c r="AD104" s="37"/>
      <c r="AG104" s="38"/>
      <c r="AL104" s="37"/>
      <c r="AO104" s="38"/>
      <c r="AP104" s="37"/>
      <c r="AS104" s="38"/>
      <c r="AT104" s="93"/>
      <c r="AW104" s="38"/>
      <c r="BA104" s="39"/>
    </row>
    <row r="105" spans="1:53" s="28" customFormat="1" x14ac:dyDescent="0.15">
      <c r="A105" s="28">
        <v>2005</v>
      </c>
      <c r="B105" s="293"/>
      <c r="C105" s="394" t="s">
        <v>700</v>
      </c>
      <c r="D105" s="394"/>
      <c r="E105" s="28">
        <v>303</v>
      </c>
      <c r="G105" s="65">
        <v>17</v>
      </c>
      <c r="H105" s="28">
        <v>1</v>
      </c>
      <c r="J105" s="72">
        <v>18</v>
      </c>
      <c r="K105" s="46">
        <f t="shared" si="9"/>
        <v>94.444444444444443</v>
      </c>
      <c r="L105" s="46">
        <f t="shared" si="9"/>
        <v>5.5555555555555554</v>
      </c>
      <c r="M105" s="46">
        <f t="shared" si="9"/>
        <v>0</v>
      </c>
      <c r="N105" s="67">
        <f t="shared" si="10"/>
        <v>100</v>
      </c>
      <c r="O105" s="45">
        <v>49.4</v>
      </c>
      <c r="P105" s="46">
        <v>7.1</v>
      </c>
      <c r="Q105" s="46"/>
      <c r="R105" s="47">
        <f t="shared" si="8"/>
        <v>56.5</v>
      </c>
      <c r="S105" s="28">
        <v>2</v>
      </c>
      <c r="T105" s="284"/>
      <c r="U105" s="293"/>
      <c r="V105" s="37" t="s">
        <v>494</v>
      </c>
      <c r="W105" s="28" t="s">
        <v>74</v>
      </c>
      <c r="X105" s="28" t="s">
        <v>11</v>
      </c>
      <c r="Y105" s="38">
        <v>49.4</v>
      </c>
      <c r="Z105" s="28" t="s">
        <v>497</v>
      </c>
      <c r="AA105" s="28" t="s">
        <v>17</v>
      </c>
      <c r="AB105" s="28" t="s">
        <v>18</v>
      </c>
      <c r="AC105" s="28">
        <v>7.1</v>
      </c>
      <c r="AD105" s="37"/>
      <c r="AG105" s="38"/>
      <c r="AL105" s="37"/>
      <c r="AO105" s="38"/>
      <c r="AP105" s="37"/>
      <c r="AS105" s="38"/>
      <c r="AT105" s="93"/>
      <c r="AW105" s="38"/>
      <c r="BA105" s="39"/>
    </row>
    <row r="106" spans="1:53" s="170" customFormat="1" x14ac:dyDescent="0.15">
      <c r="A106" s="170">
        <v>2005</v>
      </c>
      <c r="B106" s="281">
        <v>38656</v>
      </c>
      <c r="C106" s="395" t="s">
        <v>855</v>
      </c>
      <c r="D106" s="395"/>
      <c r="E106" s="170">
        <f>365-E105</f>
        <v>62</v>
      </c>
      <c r="F106" s="170">
        <v>1</v>
      </c>
      <c r="G106" s="232">
        <v>17</v>
      </c>
      <c r="H106" s="170">
        <v>1</v>
      </c>
      <c r="J106" s="240">
        <v>18</v>
      </c>
      <c r="K106" s="213">
        <f t="shared" si="9"/>
        <v>94.444444444444443</v>
      </c>
      <c r="L106" s="213">
        <f t="shared" si="9"/>
        <v>5.5555555555555554</v>
      </c>
      <c r="M106" s="213">
        <f t="shared" si="9"/>
        <v>0</v>
      </c>
      <c r="N106" s="234">
        <f t="shared" si="10"/>
        <v>100</v>
      </c>
      <c r="O106" s="212">
        <v>61.7</v>
      </c>
      <c r="P106" s="213">
        <v>6.5</v>
      </c>
      <c r="Q106" s="213"/>
      <c r="R106" s="214">
        <f t="shared" si="8"/>
        <v>68.2</v>
      </c>
      <c r="S106" s="170">
        <v>3</v>
      </c>
      <c r="T106" s="283">
        <v>38606</v>
      </c>
      <c r="U106" s="281">
        <v>38656</v>
      </c>
      <c r="V106" s="177" t="s">
        <v>494</v>
      </c>
      <c r="W106" s="170" t="s">
        <v>74</v>
      </c>
      <c r="X106" s="170" t="s">
        <v>11</v>
      </c>
      <c r="Y106" s="178">
        <v>61.7</v>
      </c>
      <c r="Z106" s="170" t="s">
        <v>497</v>
      </c>
      <c r="AA106" s="170" t="s">
        <v>17</v>
      </c>
      <c r="AB106" s="170" t="s">
        <v>18</v>
      </c>
      <c r="AC106" s="170">
        <v>6.5</v>
      </c>
      <c r="AD106" s="177"/>
      <c r="AG106" s="178"/>
      <c r="AL106" s="177"/>
      <c r="AO106" s="178"/>
      <c r="AP106" s="177"/>
      <c r="AS106" s="178"/>
      <c r="AT106" s="252"/>
      <c r="AW106" s="178"/>
      <c r="BA106" s="179"/>
    </row>
    <row r="107" spans="1:53" s="170" customFormat="1" x14ac:dyDescent="0.15">
      <c r="A107" s="170">
        <v>2006</v>
      </c>
      <c r="B107" s="281"/>
      <c r="C107" s="395" t="s">
        <v>855</v>
      </c>
      <c r="D107" s="395"/>
      <c r="E107" s="170">
        <v>268</v>
      </c>
      <c r="G107" s="232">
        <v>17</v>
      </c>
      <c r="H107" s="170">
        <v>1</v>
      </c>
      <c r="J107" s="240">
        <v>18</v>
      </c>
      <c r="K107" s="213">
        <f t="shared" si="9"/>
        <v>94.444444444444443</v>
      </c>
      <c r="L107" s="213">
        <f t="shared" si="9"/>
        <v>5.5555555555555554</v>
      </c>
      <c r="M107" s="213">
        <f t="shared" si="9"/>
        <v>0</v>
      </c>
      <c r="N107" s="234">
        <f t="shared" si="10"/>
        <v>100</v>
      </c>
      <c r="O107" s="212">
        <v>61.7</v>
      </c>
      <c r="P107" s="213">
        <v>6.5</v>
      </c>
      <c r="Q107" s="213"/>
      <c r="R107" s="214">
        <f t="shared" si="8"/>
        <v>68.2</v>
      </c>
      <c r="S107" s="170">
        <v>3</v>
      </c>
      <c r="T107" s="283"/>
      <c r="U107" s="281"/>
      <c r="V107" s="177" t="s">
        <v>494</v>
      </c>
      <c r="W107" s="170" t="s">
        <v>74</v>
      </c>
      <c r="X107" s="170" t="s">
        <v>11</v>
      </c>
      <c r="Y107" s="178">
        <v>61.7</v>
      </c>
      <c r="Z107" s="170" t="s">
        <v>497</v>
      </c>
      <c r="AA107" s="170" t="s">
        <v>17</v>
      </c>
      <c r="AB107" s="170" t="s">
        <v>18</v>
      </c>
      <c r="AC107" s="170">
        <v>6.5</v>
      </c>
      <c r="AD107" s="177"/>
      <c r="AG107" s="178"/>
      <c r="AL107" s="177"/>
      <c r="AO107" s="178"/>
      <c r="AP107" s="177"/>
      <c r="AS107" s="178"/>
      <c r="AT107" s="252"/>
      <c r="AW107" s="178"/>
      <c r="BA107" s="179"/>
    </row>
    <row r="108" spans="1:53" s="28" customFormat="1" x14ac:dyDescent="0.15">
      <c r="A108" s="28">
        <v>2006</v>
      </c>
      <c r="B108" s="293">
        <v>38986</v>
      </c>
      <c r="C108" s="394" t="s">
        <v>701</v>
      </c>
      <c r="D108" s="394"/>
      <c r="E108" s="28">
        <f>365-E107</f>
        <v>97</v>
      </c>
      <c r="G108" s="65">
        <v>16</v>
      </c>
      <c r="H108" s="28">
        <v>1</v>
      </c>
      <c r="J108" s="72">
        <v>18</v>
      </c>
      <c r="K108" s="46">
        <f t="shared" si="9"/>
        <v>88.888888888888886</v>
      </c>
      <c r="L108" s="46">
        <f t="shared" si="9"/>
        <v>5.5555555555555554</v>
      </c>
      <c r="M108" s="46">
        <f t="shared" si="9"/>
        <v>0</v>
      </c>
      <c r="N108" s="67">
        <f t="shared" si="10"/>
        <v>94.444444444444443</v>
      </c>
      <c r="O108" s="45">
        <v>61.7</v>
      </c>
      <c r="P108" s="46">
        <v>6.5</v>
      </c>
      <c r="Q108" s="46"/>
      <c r="R108" s="47">
        <f t="shared" si="8"/>
        <v>68.2</v>
      </c>
      <c r="S108" s="28">
        <v>3</v>
      </c>
      <c r="T108" s="284"/>
      <c r="U108" s="293">
        <v>38986</v>
      </c>
      <c r="V108" s="37" t="s">
        <v>494</v>
      </c>
      <c r="W108" s="28" t="s">
        <v>74</v>
      </c>
      <c r="X108" s="28" t="s">
        <v>11</v>
      </c>
      <c r="Y108" s="38">
        <v>61.7</v>
      </c>
      <c r="Z108" s="28" t="s">
        <v>497</v>
      </c>
      <c r="AA108" s="28" t="s">
        <v>17</v>
      </c>
      <c r="AB108" s="28" t="s">
        <v>18</v>
      </c>
      <c r="AC108" s="28">
        <v>6.5</v>
      </c>
      <c r="AD108" s="37"/>
      <c r="AG108" s="38"/>
      <c r="AL108" s="37"/>
      <c r="AO108" s="38"/>
      <c r="AP108" s="37"/>
      <c r="AS108" s="38"/>
      <c r="AT108" s="93"/>
      <c r="AW108" s="38"/>
      <c r="BA108" s="39"/>
    </row>
    <row r="109" spans="1:53" s="28" customFormat="1" x14ac:dyDescent="0.15">
      <c r="A109" s="28">
        <v>2007</v>
      </c>
      <c r="B109" s="293"/>
      <c r="C109" s="394" t="s">
        <v>701</v>
      </c>
      <c r="D109" s="394"/>
      <c r="E109" s="28">
        <v>238</v>
      </c>
      <c r="G109" s="65">
        <v>16</v>
      </c>
      <c r="H109" s="28">
        <v>1</v>
      </c>
      <c r="J109" s="72">
        <v>18</v>
      </c>
      <c r="K109" s="46">
        <f t="shared" si="9"/>
        <v>88.888888888888886</v>
      </c>
      <c r="L109" s="46">
        <f t="shared" si="9"/>
        <v>5.5555555555555554</v>
      </c>
      <c r="M109" s="46">
        <f t="shared" si="9"/>
        <v>0</v>
      </c>
      <c r="N109" s="67">
        <f t="shared" si="10"/>
        <v>94.444444444444443</v>
      </c>
      <c r="O109" s="45">
        <v>61.7</v>
      </c>
      <c r="P109" s="46">
        <v>6.5</v>
      </c>
      <c r="Q109" s="46"/>
      <c r="R109" s="47">
        <f t="shared" si="8"/>
        <v>68.2</v>
      </c>
      <c r="S109" s="28">
        <v>3</v>
      </c>
      <c r="T109" s="284"/>
      <c r="U109" s="293"/>
      <c r="V109" s="37" t="s">
        <v>494</v>
      </c>
      <c r="W109" s="28" t="s">
        <v>74</v>
      </c>
      <c r="X109" s="28" t="s">
        <v>11</v>
      </c>
      <c r="Y109" s="38">
        <v>61.7</v>
      </c>
      <c r="Z109" s="28" t="s">
        <v>497</v>
      </c>
      <c r="AA109" s="28" t="s">
        <v>17</v>
      </c>
      <c r="AB109" s="28" t="s">
        <v>18</v>
      </c>
      <c r="AC109" s="28">
        <v>6.5</v>
      </c>
      <c r="AD109" s="37"/>
      <c r="AG109" s="38"/>
      <c r="AL109" s="37"/>
      <c r="AO109" s="38"/>
      <c r="AP109" s="37"/>
      <c r="AS109" s="38"/>
      <c r="AT109" s="93"/>
      <c r="AW109" s="38"/>
      <c r="BA109" s="39"/>
    </row>
    <row r="110" spans="1:53" s="28" customFormat="1" x14ac:dyDescent="0.15">
      <c r="A110" s="28">
        <v>2007</v>
      </c>
      <c r="B110" s="301">
        <v>39321</v>
      </c>
      <c r="C110" s="394" t="s">
        <v>701</v>
      </c>
      <c r="D110" s="394"/>
      <c r="E110" s="28">
        <v>30</v>
      </c>
      <c r="F110" s="83">
        <v>0</v>
      </c>
      <c r="G110" s="65">
        <v>15</v>
      </c>
      <c r="H110" s="28">
        <v>1</v>
      </c>
      <c r="J110" s="72">
        <v>18</v>
      </c>
      <c r="K110" s="46">
        <f t="shared" si="9"/>
        <v>83.333333333333343</v>
      </c>
      <c r="L110" s="46">
        <f t="shared" si="9"/>
        <v>5.5555555555555554</v>
      </c>
      <c r="M110" s="46">
        <f t="shared" si="9"/>
        <v>0</v>
      </c>
      <c r="N110" s="67">
        <f t="shared" si="10"/>
        <v>88.8888888888889</v>
      </c>
      <c r="O110" s="45">
        <v>61.7</v>
      </c>
      <c r="P110" s="46">
        <v>6.5</v>
      </c>
      <c r="Q110" s="46"/>
      <c r="R110" s="47">
        <f t="shared" si="8"/>
        <v>68.2</v>
      </c>
      <c r="S110" s="28">
        <v>3</v>
      </c>
      <c r="T110" s="284"/>
      <c r="U110" s="293">
        <v>39321</v>
      </c>
      <c r="V110" s="37" t="s">
        <v>494</v>
      </c>
      <c r="W110" s="28" t="s">
        <v>74</v>
      </c>
      <c r="X110" s="28" t="s">
        <v>11</v>
      </c>
      <c r="Y110" s="38">
        <v>61.7</v>
      </c>
      <c r="Z110" s="28" t="s">
        <v>497</v>
      </c>
      <c r="AA110" s="28" t="s">
        <v>17</v>
      </c>
      <c r="AB110" s="28" t="s">
        <v>18</v>
      </c>
      <c r="AC110" s="28">
        <v>6.5</v>
      </c>
      <c r="AD110" s="37"/>
      <c r="AG110" s="38"/>
      <c r="AL110" s="37"/>
      <c r="AO110" s="38"/>
      <c r="AP110" s="37"/>
      <c r="AS110" s="38"/>
      <c r="AT110" s="93"/>
      <c r="AW110" s="38"/>
      <c r="BA110" s="39"/>
    </row>
    <row r="111" spans="1:53" s="170" customFormat="1" x14ac:dyDescent="0.15">
      <c r="A111" s="170">
        <v>2007</v>
      </c>
      <c r="B111" s="281">
        <v>39351</v>
      </c>
      <c r="C111" s="395" t="s">
        <v>1449</v>
      </c>
      <c r="D111" s="395"/>
      <c r="E111" s="170">
        <f>365-E110-E109</f>
        <v>97</v>
      </c>
      <c r="F111" s="170">
        <v>3</v>
      </c>
      <c r="G111" s="232">
        <v>15</v>
      </c>
      <c r="H111" s="170">
        <v>1</v>
      </c>
      <c r="J111" s="240">
        <v>18</v>
      </c>
      <c r="K111" s="213">
        <f>G111/$J111*100</f>
        <v>83.333333333333343</v>
      </c>
      <c r="L111" s="213">
        <f>H111/$J111*100</f>
        <v>5.5555555555555554</v>
      </c>
      <c r="M111" s="213">
        <f>I111/$J111*100</f>
        <v>0</v>
      </c>
      <c r="N111" s="234">
        <f>K111+L111+M111</f>
        <v>88.8888888888889</v>
      </c>
      <c r="O111" s="212">
        <v>61.7</v>
      </c>
      <c r="P111" s="213">
        <v>6.5</v>
      </c>
      <c r="Q111" s="213"/>
      <c r="R111" s="214">
        <f t="shared" si="8"/>
        <v>68.2</v>
      </c>
      <c r="S111" s="170">
        <v>3</v>
      </c>
      <c r="T111" s="283"/>
      <c r="U111" s="281">
        <v>39351</v>
      </c>
      <c r="V111" s="177" t="s">
        <v>494</v>
      </c>
      <c r="W111" s="170" t="s">
        <v>74</v>
      </c>
      <c r="X111" s="170" t="s">
        <v>11</v>
      </c>
      <c r="Y111" s="178">
        <v>61.7</v>
      </c>
      <c r="Z111" s="170" t="s">
        <v>497</v>
      </c>
      <c r="AA111" s="170" t="s">
        <v>17</v>
      </c>
      <c r="AB111" s="170" t="s">
        <v>18</v>
      </c>
      <c r="AC111" s="170">
        <v>6.5</v>
      </c>
      <c r="AD111" s="177"/>
      <c r="AG111" s="178"/>
      <c r="AL111" s="177"/>
      <c r="AO111" s="178"/>
      <c r="AP111" s="177"/>
      <c r="AS111" s="178"/>
      <c r="AT111" s="252"/>
      <c r="AW111" s="178"/>
      <c r="BA111" s="179"/>
    </row>
    <row r="112" spans="1:53" s="170" customFormat="1" x14ac:dyDescent="0.15">
      <c r="A112" s="170">
        <v>2008</v>
      </c>
      <c r="B112" s="281"/>
      <c r="C112" s="395" t="s">
        <v>1449</v>
      </c>
      <c r="D112" s="395"/>
      <c r="E112" s="170">
        <v>214</v>
      </c>
      <c r="G112" s="232">
        <v>15</v>
      </c>
      <c r="H112" s="170">
        <v>1</v>
      </c>
      <c r="J112" s="240">
        <v>18</v>
      </c>
      <c r="K112" s="213">
        <f t="shared" ref="K112:K125" si="11">G112/$J112*100</f>
        <v>83.333333333333343</v>
      </c>
      <c r="L112" s="213">
        <f t="shared" ref="L112:L131" si="12">H112/$J112*100</f>
        <v>5.5555555555555554</v>
      </c>
      <c r="M112" s="213">
        <f t="shared" ref="M112:M131" si="13">I112/$J112*100</f>
        <v>0</v>
      </c>
      <c r="N112" s="234">
        <f t="shared" ref="N112:N125" si="14">K112+L112+M112</f>
        <v>88.8888888888889</v>
      </c>
      <c r="O112" s="212">
        <v>61.7</v>
      </c>
      <c r="P112" s="213">
        <v>6.5</v>
      </c>
      <c r="Q112" s="213"/>
      <c r="R112" s="214">
        <f t="shared" si="8"/>
        <v>68.2</v>
      </c>
      <c r="S112" s="170">
        <v>3</v>
      </c>
      <c r="T112" s="283"/>
      <c r="U112" s="281"/>
      <c r="V112" s="177" t="s">
        <v>494</v>
      </c>
      <c r="W112" s="170" t="s">
        <v>74</v>
      </c>
      <c r="X112" s="170" t="s">
        <v>11</v>
      </c>
      <c r="Y112" s="178">
        <v>61.7</v>
      </c>
      <c r="Z112" s="170" t="s">
        <v>497</v>
      </c>
      <c r="AA112" s="170" t="s">
        <v>17</v>
      </c>
      <c r="AB112" s="170" t="s">
        <v>18</v>
      </c>
      <c r="AC112" s="170">
        <v>6.5</v>
      </c>
      <c r="AD112" s="177"/>
      <c r="AG112" s="178"/>
      <c r="AL112" s="177"/>
      <c r="AO112" s="178"/>
      <c r="AP112" s="177"/>
      <c r="AS112" s="178"/>
      <c r="AT112" s="252"/>
      <c r="AW112" s="178"/>
      <c r="BA112" s="179"/>
    </row>
    <row r="113" spans="1:53" s="170" customFormat="1" x14ac:dyDescent="0.15">
      <c r="A113" s="170">
        <v>2008</v>
      </c>
      <c r="B113" s="303">
        <v>39662</v>
      </c>
      <c r="C113" s="395" t="s">
        <v>1449</v>
      </c>
      <c r="D113" s="395"/>
      <c r="E113" s="170">
        <v>53</v>
      </c>
      <c r="F113" s="243">
        <v>0</v>
      </c>
      <c r="G113" s="232">
        <v>16</v>
      </c>
      <c r="H113" s="170">
        <v>1</v>
      </c>
      <c r="J113" s="240">
        <v>18</v>
      </c>
      <c r="K113" s="213">
        <f t="shared" si="11"/>
        <v>88.888888888888886</v>
      </c>
      <c r="L113" s="213">
        <f t="shared" si="12"/>
        <v>5.5555555555555554</v>
      </c>
      <c r="M113" s="213">
        <f t="shared" si="13"/>
        <v>0</v>
      </c>
      <c r="N113" s="234">
        <f t="shared" si="14"/>
        <v>94.444444444444443</v>
      </c>
      <c r="O113" s="212">
        <v>61.7</v>
      </c>
      <c r="P113" s="213">
        <v>6.5</v>
      </c>
      <c r="Q113" s="213"/>
      <c r="R113" s="214">
        <f t="shared" si="8"/>
        <v>68.2</v>
      </c>
      <c r="S113" s="170">
        <v>3</v>
      </c>
      <c r="T113" s="283"/>
      <c r="U113" s="281">
        <v>39662</v>
      </c>
      <c r="V113" s="177" t="s">
        <v>494</v>
      </c>
      <c r="W113" s="170" t="s">
        <v>74</v>
      </c>
      <c r="X113" s="170" t="s">
        <v>11</v>
      </c>
      <c r="Y113" s="178">
        <v>61.7</v>
      </c>
      <c r="Z113" s="170" t="s">
        <v>497</v>
      </c>
      <c r="AA113" s="170" t="s">
        <v>17</v>
      </c>
      <c r="AB113" s="170" t="s">
        <v>18</v>
      </c>
      <c r="AC113" s="170">
        <v>6.5</v>
      </c>
      <c r="AD113" s="177"/>
      <c r="AG113" s="178"/>
      <c r="AL113" s="177"/>
      <c r="AO113" s="178"/>
      <c r="AP113" s="177"/>
      <c r="AS113" s="178"/>
      <c r="AT113" s="252"/>
      <c r="AW113" s="178"/>
      <c r="BA113" s="179"/>
    </row>
    <row r="114" spans="1:53" s="28" customFormat="1" x14ac:dyDescent="0.15">
      <c r="A114" s="28">
        <v>2008</v>
      </c>
      <c r="B114" s="293">
        <v>39715</v>
      </c>
      <c r="C114" s="394" t="s">
        <v>1176</v>
      </c>
      <c r="D114" s="394"/>
      <c r="E114" s="28">
        <f>366-E112-E113</f>
        <v>99</v>
      </c>
      <c r="G114" s="65">
        <v>17</v>
      </c>
      <c r="H114" s="28">
        <v>1</v>
      </c>
      <c r="J114" s="72">
        <v>18</v>
      </c>
      <c r="K114" s="46">
        <f t="shared" si="11"/>
        <v>94.444444444444443</v>
      </c>
      <c r="L114" s="46">
        <f t="shared" si="12"/>
        <v>5.5555555555555554</v>
      </c>
      <c r="M114" s="46">
        <f t="shared" si="13"/>
        <v>0</v>
      </c>
      <c r="N114" s="67">
        <f t="shared" si="14"/>
        <v>100</v>
      </c>
      <c r="O114" s="45">
        <v>61.7</v>
      </c>
      <c r="P114" s="46">
        <v>6.5</v>
      </c>
      <c r="Q114" s="46"/>
      <c r="R114" s="47">
        <f t="shared" si="8"/>
        <v>68.2</v>
      </c>
      <c r="S114" s="28">
        <v>3</v>
      </c>
      <c r="T114" s="284"/>
      <c r="U114" s="293">
        <v>39715</v>
      </c>
      <c r="V114" s="37" t="s">
        <v>494</v>
      </c>
      <c r="W114" s="28" t="s">
        <v>74</v>
      </c>
      <c r="X114" s="28" t="s">
        <v>11</v>
      </c>
      <c r="Y114" s="38">
        <v>61.7</v>
      </c>
      <c r="Z114" s="28" t="s">
        <v>497</v>
      </c>
      <c r="AA114" s="28" t="s">
        <v>17</v>
      </c>
      <c r="AB114" s="28" t="s">
        <v>18</v>
      </c>
      <c r="AC114" s="28">
        <v>6.5</v>
      </c>
      <c r="AD114" s="37"/>
      <c r="AG114" s="38"/>
      <c r="AL114" s="37"/>
      <c r="AO114" s="38"/>
      <c r="AP114" s="37"/>
      <c r="AS114" s="38"/>
      <c r="AT114" s="93"/>
      <c r="AW114" s="38"/>
      <c r="BA114" s="39"/>
    </row>
    <row r="115" spans="1:53" s="28" customFormat="1" x14ac:dyDescent="0.15">
      <c r="A115" s="28">
        <v>2009</v>
      </c>
      <c r="B115" s="293"/>
      <c r="C115" s="394" t="s">
        <v>1176</v>
      </c>
      <c r="D115" s="394"/>
      <c r="E115" s="28">
        <v>258</v>
      </c>
      <c r="G115" s="65">
        <v>17</v>
      </c>
      <c r="H115" s="28">
        <v>1</v>
      </c>
      <c r="J115" s="72">
        <v>18</v>
      </c>
      <c r="K115" s="46">
        <f t="shared" si="11"/>
        <v>94.444444444444443</v>
      </c>
      <c r="L115" s="46">
        <f t="shared" si="12"/>
        <v>5.5555555555555554</v>
      </c>
      <c r="M115" s="46">
        <f t="shared" si="13"/>
        <v>0</v>
      </c>
      <c r="N115" s="67">
        <f t="shared" si="14"/>
        <v>100</v>
      </c>
      <c r="O115" s="45">
        <v>61.7</v>
      </c>
      <c r="P115" s="46">
        <v>6.5</v>
      </c>
      <c r="Q115" s="46"/>
      <c r="R115" s="47">
        <f t="shared" si="8"/>
        <v>68.2</v>
      </c>
      <c r="S115" s="28">
        <v>3</v>
      </c>
      <c r="T115" s="284"/>
      <c r="U115" s="293"/>
      <c r="V115" s="37" t="s">
        <v>494</v>
      </c>
      <c r="W115" s="28" t="s">
        <v>74</v>
      </c>
      <c r="X115" s="28" t="s">
        <v>11</v>
      </c>
      <c r="Y115" s="38">
        <v>61.7</v>
      </c>
      <c r="Z115" s="28" t="s">
        <v>497</v>
      </c>
      <c r="AA115" s="28" t="s">
        <v>17</v>
      </c>
      <c r="AB115" s="28" t="s">
        <v>18</v>
      </c>
      <c r="AC115" s="28">
        <v>6.5</v>
      </c>
      <c r="AD115" s="37"/>
      <c r="AG115" s="38"/>
      <c r="AL115" s="37"/>
      <c r="AO115" s="38"/>
      <c r="AP115" s="37"/>
      <c r="AS115" s="38"/>
      <c r="AT115" s="93"/>
      <c r="AW115" s="38"/>
      <c r="BA115" s="39"/>
    </row>
    <row r="116" spans="1:53" s="170" customFormat="1" x14ac:dyDescent="0.15">
      <c r="A116" s="170">
        <v>2009</v>
      </c>
      <c r="B116" s="281">
        <v>40072</v>
      </c>
      <c r="C116" s="395" t="s">
        <v>702</v>
      </c>
      <c r="D116" s="395"/>
      <c r="E116" s="170">
        <v>107</v>
      </c>
      <c r="F116" s="170">
        <v>1</v>
      </c>
      <c r="G116" s="232">
        <v>1</v>
      </c>
      <c r="H116" s="170">
        <v>16</v>
      </c>
      <c r="I116" s="170">
        <v>1</v>
      </c>
      <c r="J116" s="240">
        <v>18</v>
      </c>
      <c r="K116" s="213">
        <f t="shared" si="11"/>
        <v>5.5555555555555554</v>
      </c>
      <c r="L116" s="213">
        <f t="shared" si="12"/>
        <v>88.888888888888886</v>
      </c>
      <c r="M116" s="213">
        <f t="shared" si="13"/>
        <v>5.5555555555555554</v>
      </c>
      <c r="N116" s="234">
        <f t="shared" si="14"/>
        <v>100</v>
      </c>
      <c r="O116" s="212">
        <v>0.6</v>
      </c>
      <c r="P116" s="213">
        <v>64.2</v>
      </c>
      <c r="Q116" s="213">
        <v>1.5</v>
      </c>
      <c r="R116" s="214">
        <f t="shared" si="8"/>
        <v>66.3</v>
      </c>
      <c r="S116" s="170">
        <v>3</v>
      </c>
      <c r="T116" s="283">
        <v>40055</v>
      </c>
      <c r="U116" s="281">
        <v>40072</v>
      </c>
      <c r="V116" s="177" t="s">
        <v>569</v>
      </c>
      <c r="W116" s="170" t="s">
        <v>96</v>
      </c>
      <c r="X116" s="170" t="s">
        <v>18</v>
      </c>
      <c r="Y116" s="178">
        <v>64.2</v>
      </c>
      <c r="Z116" s="170" t="s">
        <v>111</v>
      </c>
      <c r="AA116" s="170" t="s">
        <v>20</v>
      </c>
      <c r="AB116" s="170" t="s">
        <v>12</v>
      </c>
      <c r="AC116" s="170">
        <v>1.5</v>
      </c>
      <c r="AD116" s="177" t="s">
        <v>502</v>
      </c>
      <c r="AE116" s="170" t="s">
        <v>327</v>
      </c>
      <c r="AF116" s="170" t="s">
        <v>11</v>
      </c>
      <c r="AG116" s="178">
        <v>0.6</v>
      </c>
      <c r="AL116" s="177"/>
      <c r="AO116" s="178"/>
      <c r="AP116" s="177"/>
      <c r="AS116" s="178"/>
      <c r="AT116" s="252"/>
      <c r="AW116" s="178"/>
      <c r="BA116" s="179"/>
    </row>
    <row r="117" spans="1:53" s="170" customFormat="1" x14ac:dyDescent="0.15">
      <c r="A117" s="170">
        <v>2010</v>
      </c>
      <c r="B117" s="281"/>
      <c r="C117" s="395" t="s">
        <v>702</v>
      </c>
      <c r="D117" s="395"/>
      <c r="E117" s="170">
        <v>147</v>
      </c>
      <c r="G117" s="232">
        <v>1</v>
      </c>
      <c r="H117" s="170">
        <v>16</v>
      </c>
      <c r="I117" s="170">
        <v>1</v>
      </c>
      <c r="J117" s="240">
        <v>18</v>
      </c>
      <c r="K117" s="213">
        <f t="shared" si="11"/>
        <v>5.5555555555555554</v>
      </c>
      <c r="L117" s="213">
        <f t="shared" si="12"/>
        <v>88.888888888888886</v>
      </c>
      <c r="M117" s="213">
        <f t="shared" si="13"/>
        <v>5.5555555555555554</v>
      </c>
      <c r="N117" s="234">
        <f t="shared" si="14"/>
        <v>100</v>
      </c>
      <c r="O117" s="212">
        <v>0.6</v>
      </c>
      <c r="P117" s="213">
        <v>64.2</v>
      </c>
      <c r="Q117" s="213">
        <v>1.5</v>
      </c>
      <c r="R117" s="214">
        <f t="shared" si="8"/>
        <v>66.3</v>
      </c>
      <c r="S117" s="170">
        <v>3</v>
      </c>
      <c r="T117" s="283"/>
      <c r="U117" s="281"/>
      <c r="V117" s="177" t="s">
        <v>569</v>
      </c>
      <c r="W117" s="170" t="s">
        <v>96</v>
      </c>
      <c r="X117" s="170" t="s">
        <v>18</v>
      </c>
      <c r="Y117" s="178">
        <v>64.2</v>
      </c>
      <c r="Z117" s="170" t="s">
        <v>111</v>
      </c>
      <c r="AA117" s="170" t="s">
        <v>20</v>
      </c>
      <c r="AB117" s="170" t="s">
        <v>12</v>
      </c>
      <c r="AC117" s="170">
        <v>1.5</v>
      </c>
      <c r="AD117" s="177" t="s">
        <v>502</v>
      </c>
      <c r="AE117" s="170" t="s">
        <v>327</v>
      </c>
      <c r="AF117" s="170" t="s">
        <v>11</v>
      </c>
      <c r="AG117" s="178">
        <v>0.6</v>
      </c>
      <c r="AL117" s="177"/>
      <c r="AO117" s="178"/>
      <c r="AP117" s="177"/>
      <c r="AS117" s="178"/>
      <c r="AT117" s="252"/>
      <c r="AW117" s="178"/>
      <c r="BA117" s="179"/>
    </row>
    <row r="118" spans="1:53" s="28" customFormat="1" x14ac:dyDescent="0.15">
      <c r="A118" s="28">
        <v>2010</v>
      </c>
      <c r="B118" s="293">
        <v>40326</v>
      </c>
      <c r="C118" s="394" t="s">
        <v>703</v>
      </c>
      <c r="D118" s="394"/>
      <c r="E118" s="28">
        <v>11</v>
      </c>
      <c r="F118" s="28">
        <v>4</v>
      </c>
      <c r="G118" s="65">
        <v>1</v>
      </c>
      <c r="H118" s="28">
        <v>16</v>
      </c>
      <c r="J118" s="72">
        <v>17</v>
      </c>
      <c r="K118" s="46">
        <f t="shared" si="11"/>
        <v>5.8823529411764701</v>
      </c>
      <c r="L118" s="46">
        <f t="shared" si="12"/>
        <v>94.117647058823522</v>
      </c>
      <c r="M118" s="46">
        <f t="shared" si="13"/>
        <v>0</v>
      </c>
      <c r="N118" s="67">
        <f t="shared" si="14"/>
        <v>99.999999999999986</v>
      </c>
      <c r="O118" s="45">
        <v>0.6</v>
      </c>
      <c r="P118" s="46">
        <v>64.2</v>
      </c>
      <c r="Q118" s="46"/>
      <c r="R118" s="47">
        <f t="shared" si="8"/>
        <v>64.8</v>
      </c>
      <c r="S118" s="28">
        <v>3</v>
      </c>
      <c r="T118" s="284"/>
      <c r="U118" s="293">
        <v>40326</v>
      </c>
      <c r="V118" s="37" t="s">
        <v>569</v>
      </c>
      <c r="W118" s="28" t="s">
        <v>96</v>
      </c>
      <c r="X118" s="28" t="s">
        <v>18</v>
      </c>
      <c r="Y118" s="38">
        <v>64.2</v>
      </c>
      <c r="Z118" s="37" t="s">
        <v>502</v>
      </c>
      <c r="AA118" s="28" t="s">
        <v>327</v>
      </c>
      <c r="AB118" s="28" t="s">
        <v>11</v>
      </c>
      <c r="AC118" s="28">
        <v>0.6</v>
      </c>
      <c r="AD118" s="37"/>
      <c r="AG118" s="38"/>
      <c r="AL118" s="37"/>
      <c r="AO118" s="38"/>
      <c r="AP118" s="37"/>
      <c r="AS118" s="38"/>
      <c r="AT118" s="93"/>
      <c r="AW118" s="38"/>
      <c r="BA118" s="39"/>
    </row>
    <row r="119" spans="1:53" s="170" customFormat="1" x14ac:dyDescent="0.15">
      <c r="A119" s="170">
        <v>2010</v>
      </c>
      <c r="B119" s="281">
        <v>40337</v>
      </c>
      <c r="C119" s="395" t="s">
        <v>804</v>
      </c>
      <c r="D119" s="395"/>
      <c r="E119" s="170">
        <v>101</v>
      </c>
      <c r="F119" s="170">
        <v>1</v>
      </c>
      <c r="G119" s="232">
        <v>1</v>
      </c>
      <c r="H119" s="170">
        <v>17</v>
      </c>
      <c r="J119" s="240">
        <v>18</v>
      </c>
      <c r="K119" s="213">
        <f t="shared" si="11"/>
        <v>5.5555555555555554</v>
      </c>
      <c r="L119" s="213">
        <f t="shared" si="12"/>
        <v>94.444444444444443</v>
      </c>
      <c r="M119" s="213">
        <f t="shared" si="13"/>
        <v>0</v>
      </c>
      <c r="N119" s="234">
        <f t="shared" si="14"/>
        <v>100</v>
      </c>
      <c r="O119" s="212">
        <v>0.6</v>
      </c>
      <c r="P119" s="213">
        <v>64.2</v>
      </c>
      <c r="Q119" s="213"/>
      <c r="R119" s="214">
        <f t="shared" si="8"/>
        <v>64.8</v>
      </c>
      <c r="S119" s="170">
        <v>3</v>
      </c>
      <c r="T119" s="283"/>
      <c r="U119" s="281">
        <v>40337</v>
      </c>
      <c r="V119" s="177" t="s">
        <v>569</v>
      </c>
      <c r="W119" s="170" t="s">
        <v>96</v>
      </c>
      <c r="X119" s="170" t="s">
        <v>18</v>
      </c>
      <c r="Y119" s="178">
        <v>64.2</v>
      </c>
      <c r="Z119" s="177" t="s">
        <v>502</v>
      </c>
      <c r="AA119" s="170" t="s">
        <v>327</v>
      </c>
      <c r="AB119" s="170" t="s">
        <v>11</v>
      </c>
      <c r="AC119" s="170">
        <v>0.6</v>
      </c>
      <c r="AD119" s="177"/>
      <c r="AG119" s="178"/>
      <c r="AL119" s="177"/>
      <c r="AO119" s="178"/>
      <c r="AP119" s="177"/>
      <c r="AS119" s="178"/>
      <c r="AT119" s="252"/>
      <c r="AW119" s="178"/>
      <c r="BA119" s="179"/>
    </row>
    <row r="120" spans="1:53" s="170" customFormat="1" x14ac:dyDescent="0.15">
      <c r="A120" s="170">
        <v>2010</v>
      </c>
      <c r="B120" s="303">
        <v>40438</v>
      </c>
      <c r="C120" s="395" t="s">
        <v>804</v>
      </c>
      <c r="D120" s="395"/>
      <c r="E120" s="170">
        <f>365-E117-E118-E119</f>
        <v>106</v>
      </c>
      <c r="F120" s="243">
        <v>0</v>
      </c>
      <c r="G120" s="232">
        <v>1</v>
      </c>
      <c r="H120" s="170">
        <v>16</v>
      </c>
      <c r="J120" s="240">
        <v>18</v>
      </c>
      <c r="K120" s="213">
        <f t="shared" si="11"/>
        <v>5.5555555555555554</v>
      </c>
      <c r="L120" s="213">
        <f t="shared" si="12"/>
        <v>88.888888888888886</v>
      </c>
      <c r="M120" s="213">
        <f t="shared" si="13"/>
        <v>0</v>
      </c>
      <c r="N120" s="234">
        <f t="shared" si="14"/>
        <v>94.444444444444443</v>
      </c>
      <c r="O120" s="212">
        <v>0.6</v>
      </c>
      <c r="P120" s="213">
        <v>64.2</v>
      </c>
      <c r="Q120" s="213"/>
      <c r="R120" s="214">
        <f t="shared" si="8"/>
        <v>64.8</v>
      </c>
      <c r="S120" s="170">
        <v>3</v>
      </c>
      <c r="T120" s="283"/>
      <c r="U120" s="281"/>
      <c r="V120" s="177" t="s">
        <v>569</v>
      </c>
      <c r="W120" s="170" t="s">
        <v>96</v>
      </c>
      <c r="X120" s="170" t="s">
        <v>18</v>
      </c>
      <c r="Y120" s="178">
        <v>64.2</v>
      </c>
      <c r="Z120" s="177" t="s">
        <v>502</v>
      </c>
      <c r="AA120" s="170" t="s">
        <v>327</v>
      </c>
      <c r="AB120" s="170" t="s">
        <v>11</v>
      </c>
      <c r="AC120" s="170">
        <v>0.6</v>
      </c>
      <c r="AD120" s="177"/>
      <c r="AG120" s="178"/>
      <c r="AL120" s="177"/>
      <c r="AO120" s="178"/>
      <c r="AP120" s="177"/>
      <c r="AS120" s="178"/>
      <c r="AT120" s="252"/>
      <c r="AW120" s="178"/>
      <c r="BA120" s="179"/>
    </row>
    <row r="121" spans="1:53" s="170" customFormat="1" x14ac:dyDescent="0.15">
      <c r="A121" s="170">
        <v>2011</v>
      </c>
      <c r="B121" s="281"/>
      <c r="C121" s="395" t="s">
        <v>804</v>
      </c>
      <c r="D121" s="395"/>
      <c r="E121" s="170">
        <v>13</v>
      </c>
      <c r="G121" s="232">
        <v>1</v>
      </c>
      <c r="H121" s="170">
        <v>16</v>
      </c>
      <c r="J121" s="240">
        <v>18</v>
      </c>
      <c r="K121" s="213">
        <f t="shared" si="11"/>
        <v>5.5555555555555554</v>
      </c>
      <c r="L121" s="213">
        <f t="shared" si="12"/>
        <v>88.888888888888886</v>
      </c>
      <c r="M121" s="213">
        <f t="shared" si="13"/>
        <v>0</v>
      </c>
      <c r="N121" s="234">
        <f t="shared" si="14"/>
        <v>94.444444444444443</v>
      </c>
      <c r="O121" s="212">
        <v>0.6</v>
      </c>
      <c r="P121" s="213">
        <v>64.2</v>
      </c>
      <c r="Q121" s="213"/>
      <c r="R121" s="214">
        <f t="shared" si="8"/>
        <v>64.8</v>
      </c>
      <c r="S121" s="170">
        <v>3</v>
      </c>
      <c r="T121" s="283"/>
      <c r="U121" s="281"/>
      <c r="V121" s="177" t="s">
        <v>569</v>
      </c>
      <c r="W121" s="170" t="s">
        <v>96</v>
      </c>
      <c r="X121" s="170" t="s">
        <v>18</v>
      </c>
      <c r="Y121" s="178">
        <v>64.2</v>
      </c>
      <c r="Z121" s="177" t="s">
        <v>502</v>
      </c>
      <c r="AA121" s="170" t="s">
        <v>327</v>
      </c>
      <c r="AB121" s="170" t="s">
        <v>11</v>
      </c>
      <c r="AC121" s="170">
        <v>0.6</v>
      </c>
      <c r="AD121" s="177"/>
      <c r="AG121" s="178"/>
      <c r="AL121" s="177"/>
      <c r="AO121" s="178"/>
      <c r="AP121" s="177"/>
      <c r="AS121" s="178"/>
      <c r="AT121" s="252"/>
      <c r="AW121" s="178"/>
      <c r="BA121" s="179"/>
    </row>
    <row r="122" spans="1:53" s="170" customFormat="1" x14ac:dyDescent="0.15">
      <c r="A122" s="170">
        <v>2011</v>
      </c>
      <c r="B122" s="303">
        <v>40557</v>
      </c>
      <c r="C122" s="395" t="s">
        <v>804</v>
      </c>
      <c r="D122" s="395"/>
      <c r="E122" s="170">
        <f>365-E121-E123</f>
        <v>231</v>
      </c>
      <c r="F122" s="243">
        <v>0</v>
      </c>
      <c r="G122" s="232">
        <v>1</v>
      </c>
      <c r="H122" s="170">
        <v>15</v>
      </c>
      <c r="J122" s="240">
        <v>18</v>
      </c>
      <c r="K122" s="213">
        <f t="shared" si="11"/>
        <v>5.5555555555555554</v>
      </c>
      <c r="L122" s="213">
        <f t="shared" si="12"/>
        <v>83.333333333333343</v>
      </c>
      <c r="M122" s="213">
        <f t="shared" si="13"/>
        <v>0</v>
      </c>
      <c r="N122" s="234">
        <f t="shared" si="14"/>
        <v>88.8888888888889</v>
      </c>
      <c r="O122" s="212">
        <v>0.6</v>
      </c>
      <c r="P122" s="213">
        <v>64.2</v>
      </c>
      <c r="Q122" s="213"/>
      <c r="R122" s="214">
        <f t="shared" si="8"/>
        <v>64.8</v>
      </c>
      <c r="S122" s="170">
        <v>3</v>
      </c>
      <c r="T122" s="283"/>
      <c r="U122" s="281"/>
      <c r="V122" s="177" t="s">
        <v>569</v>
      </c>
      <c r="W122" s="170" t="s">
        <v>96</v>
      </c>
      <c r="X122" s="170" t="s">
        <v>18</v>
      </c>
      <c r="Y122" s="178">
        <v>64.2</v>
      </c>
      <c r="Z122" s="177" t="s">
        <v>502</v>
      </c>
      <c r="AA122" s="170" t="s">
        <v>327</v>
      </c>
      <c r="AB122" s="170" t="s">
        <v>11</v>
      </c>
      <c r="AC122" s="170">
        <v>0.6</v>
      </c>
      <c r="AD122" s="177"/>
      <c r="AG122" s="178"/>
      <c r="AL122" s="177"/>
      <c r="AO122" s="178"/>
      <c r="AP122" s="177"/>
      <c r="AS122" s="178"/>
      <c r="AT122" s="252"/>
      <c r="AW122" s="178"/>
      <c r="BA122" s="179"/>
    </row>
    <row r="123" spans="1:53" s="28" customFormat="1" x14ac:dyDescent="0.15">
      <c r="A123" s="28">
        <v>2011</v>
      </c>
      <c r="B123" s="293">
        <v>40788</v>
      </c>
      <c r="C123" s="424" t="s">
        <v>322</v>
      </c>
      <c r="D123" s="424"/>
      <c r="E123" s="28">
        <v>121</v>
      </c>
      <c r="F123" s="28">
        <v>1</v>
      </c>
      <c r="G123" s="65">
        <v>1</v>
      </c>
      <c r="H123" s="28">
        <v>17</v>
      </c>
      <c r="J123" s="72">
        <v>18</v>
      </c>
      <c r="K123" s="46">
        <f t="shared" si="11"/>
        <v>5.5555555555555554</v>
      </c>
      <c r="L123" s="46">
        <f t="shared" si="12"/>
        <v>94.444444444444443</v>
      </c>
      <c r="M123" s="46">
        <f t="shared" si="13"/>
        <v>0</v>
      </c>
      <c r="N123" s="67">
        <f t="shared" si="14"/>
        <v>100</v>
      </c>
      <c r="O123" s="45">
        <v>0.6</v>
      </c>
      <c r="P123" s="46">
        <v>64.2</v>
      </c>
      <c r="Q123" s="46"/>
      <c r="R123" s="47">
        <f t="shared" si="8"/>
        <v>64.8</v>
      </c>
      <c r="S123" s="28">
        <v>3</v>
      </c>
      <c r="T123" s="284"/>
      <c r="U123" s="293">
        <v>40788</v>
      </c>
      <c r="V123" s="37" t="s">
        <v>569</v>
      </c>
      <c r="W123" s="28" t="s">
        <v>96</v>
      </c>
      <c r="X123" s="28" t="s">
        <v>18</v>
      </c>
      <c r="Y123" s="38">
        <v>64.2</v>
      </c>
      <c r="Z123" s="37" t="s">
        <v>502</v>
      </c>
      <c r="AA123" s="28" t="s">
        <v>327</v>
      </c>
      <c r="AB123" s="28" t="s">
        <v>11</v>
      </c>
      <c r="AC123" s="28">
        <v>0.6</v>
      </c>
      <c r="AD123" s="37"/>
      <c r="AG123" s="38"/>
      <c r="AL123" s="37"/>
      <c r="AO123" s="38"/>
      <c r="AP123" s="37"/>
      <c r="AS123" s="38"/>
      <c r="AT123" s="93"/>
      <c r="AW123" s="38"/>
      <c r="BA123" s="39"/>
    </row>
    <row r="124" spans="1:53" s="28" customFormat="1" x14ac:dyDescent="0.15">
      <c r="A124" s="28">
        <v>2012</v>
      </c>
      <c r="B124" s="293"/>
      <c r="C124" s="424" t="s">
        <v>322</v>
      </c>
      <c r="D124" s="424"/>
      <c r="E124" s="28">
        <v>12</v>
      </c>
      <c r="G124" s="65">
        <v>1</v>
      </c>
      <c r="H124" s="28">
        <v>17</v>
      </c>
      <c r="J124" s="72">
        <v>18</v>
      </c>
      <c r="K124" s="46">
        <f t="shared" si="11"/>
        <v>5.5555555555555554</v>
      </c>
      <c r="L124" s="46">
        <f t="shared" si="12"/>
        <v>94.444444444444443</v>
      </c>
      <c r="M124" s="46">
        <f t="shared" si="13"/>
        <v>0</v>
      </c>
      <c r="N124" s="67">
        <f t="shared" si="14"/>
        <v>100</v>
      </c>
      <c r="O124" s="45">
        <v>0.6</v>
      </c>
      <c r="P124" s="46">
        <v>64.2</v>
      </c>
      <c r="Q124" s="46"/>
      <c r="R124" s="47">
        <f t="shared" si="8"/>
        <v>64.8</v>
      </c>
      <c r="S124" s="28">
        <v>3</v>
      </c>
      <c r="T124" s="284"/>
      <c r="U124" s="293"/>
      <c r="V124" s="37" t="s">
        <v>569</v>
      </c>
      <c r="W124" s="28" t="s">
        <v>96</v>
      </c>
      <c r="X124" s="28" t="s">
        <v>18</v>
      </c>
      <c r="Y124" s="38">
        <v>64.2</v>
      </c>
      <c r="Z124" s="37" t="s">
        <v>502</v>
      </c>
      <c r="AA124" s="28" t="s">
        <v>327</v>
      </c>
      <c r="AB124" s="28" t="s">
        <v>11</v>
      </c>
      <c r="AC124" s="28">
        <v>0.6</v>
      </c>
      <c r="AD124" s="37"/>
      <c r="AG124" s="38"/>
      <c r="AL124" s="37"/>
      <c r="AO124" s="38"/>
      <c r="AP124" s="37"/>
      <c r="AS124" s="38"/>
      <c r="AT124" s="93"/>
      <c r="AW124" s="38"/>
      <c r="BA124" s="39"/>
    </row>
    <row r="125" spans="1:53" s="28" customFormat="1" x14ac:dyDescent="0.15">
      <c r="A125" s="28">
        <v>2012</v>
      </c>
      <c r="B125" s="301">
        <v>40921</v>
      </c>
      <c r="C125" s="424" t="s">
        <v>322</v>
      </c>
      <c r="D125" s="424"/>
      <c r="E125" s="28">
        <v>143</v>
      </c>
      <c r="F125" s="83">
        <v>0</v>
      </c>
      <c r="G125" s="65">
        <v>1</v>
      </c>
      <c r="H125" s="28">
        <v>18</v>
      </c>
      <c r="J125" s="72">
        <v>19</v>
      </c>
      <c r="K125" s="46">
        <f t="shared" si="11"/>
        <v>5.2631578947368416</v>
      </c>
      <c r="L125" s="46">
        <f t="shared" si="12"/>
        <v>94.73684210526315</v>
      </c>
      <c r="M125" s="46">
        <f t="shared" si="13"/>
        <v>0</v>
      </c>
      <c r="N125" s="67">
        <f t="shared" si="14"/>
        <v>99.999999999999986</v>
      </c>
      <c r="O125" s="45">
        <v>0.6</v>
      </c>
      <c r="P125" s="46">
        <v>64.2</v>
      </c>
      <c r="Q125" s="46"/>
      <c r="R125" s="47">
        <f t="shared" si="8"/>
        <v>64.8</v>
      </c>
      <c r="S125" s="28">
        <v>3</v>
      </c>
      <c r="T125" s="284"/>
      <c r="U125" s="293"/>
      <c r="V125" s="37" t="s">
        <v>569</v>
      </c>
      <c r="W125" s="28" t="s">
        <v>96</v>
      </c>
      <c r="X125" s="28" t="s">
        <v>18</v>
      </c>
      <c r="Y125" s="38">
        <v>64.2</v>
      </c>
      <c r="Z125" s="37" t="s">
        <v>502</v>
      </c>
      <c r="AA125" s="28" t="s">
        <v>327</v>
      </c>
      <c r="AB125" s="28" t="s">
        <v>11</v>
      </c>
      <c r="AC125" s="28">
        <v>0.6</v>
      </c>
      <c r="AD125" s="37"/>
      <c r="AG125" s="38"/>
      <c r="AL125" s="37"/>
      <c r="AO125" s="38"/>
      <c r="AP125" s="37"/>
      <c r="AS125" s="38"/>
      <c r="AT125" s="93"/>
      <c r="AW125" s="38"/>
      <c r="BA125" s="39"/>
    </row>
    <row r="126" spans="1:53" s="28" customFormat="1" x14ac:dyDescent="0.15">
      <c r="A126" s="28">
        <v>2012</v>
      </c>
      <c r="B126" s="301">
        <v>41064</v>
      </c>
      <c r="C126" s="424" t="s">
        <v>322</v>
      </c>
      <c r="D126" s="424"/>
      <c r="E126" s="28">
        <v>98</v>
      </c>
      <c r="F126" s="83">
        <v>0</v>
      </c>
      <c r="G126" s="65">
        <v>1</v>
      </c>
      <c r="H126" s="28">
        <v>17</v>
      </c>
      <c r="J126" s="72">
        <v>19</v>
      </c>
      <c r="K126" s="46">
        <f t="shared" ref="K126:K131" si="15">G126/$J126*100</f>
        <v>5.2631578947368416</v>
      </c>
      <c r="L126" s="46">
        <f t="shared" si="12"/>
        <v>89.473684210526315</v>
      </c>
      <c r="M126" s="46">
        <f t="shared" si="13"/>
        <v>0</v>
      </c>
      <c r="N126" s="67">
        <f t="shared" ref="N126:N131" si="16">K126+L126+M126</f>
        <v>94.73684210526315</v>
      </c>
      <c r="O126" s="45">
        <v>0.6</v>
      </c>
      <c r="P126" s="46">
        <v>64.2</v>
      </c>
      <c r="Q126" s="46"/>
      <c r="R126" s="47">
        <f t="shared" si="8"/>
        <v>64.8</v>
      </c>
      <c r="S126" s="28">
        <v>3</v>
      </c>
      <c r="T126" s="284"/>
      <c r="U126" s="293"/>
      <c r="V126" s="37" t="s">
        <v>569</v>
      </c>
      <c r="W126" s="28" t="s">
        <v>96</v>
      </c>
      <c r="X126" s="28" t="s">
        <v>18</v>
      </c>
      <c r="Y126" s="38">
        <v>64.2</v>
      </c>
      <c r="Z126" s="37" t="s">
        <v>502</v>
      </c>
      <c r="AA126" s="28" t="s">
        <v>327</v>
      </c>
      <c r="AB126" s="28" t="s">
        <v>11</v>
      </c>
      <c r="AC126" s="28">
        <v>0.6</v>
      </c>
      <c r="AD126" s="37"/>
      <c r="AG126" s="38"/>
      <c r="AL126" s="37"/>
      <c r="AO126" s="38"/>
      <c r="AP126" s="37"/>
      <c r="AS126" s="38"/>
      <c r="AT126" s="93"/>
      <c r="AW126" s="38"/>
      <c r="BA126" s="39"/>
    </row>
    <row r="127" spans="1:53" s="28" customFormat="1" x14ac:dyDescent="0.15">
      <c r="A127" s="28">
        <v>2012</v>
      </c>
      <c r="B127" s="301">
        <v>41162</v>
      </c>
      <c r="C127" s="424" t="s">
        <v>322</v>
      </c>
      <c r="D127" s="424"/>
      <c r="E127" s="28">
        <v>21</v>
      </c>
      <c r="F127" s="83">
        <v>0</v>
      </c>
      <c r="G127" s="65"/>
      <c r="H127" s="28">
        <v>17</v>
      </c>
      <c r="J127" s="72">
        <v>18</v>
      </c>
      <c r="K127" s="46">
        <f t="shared" si="15"/>
        <v>0</v>
      </c>
      <c r="L127" s="46">
        <f t="shared" si="12"/>
        <v>94.444444444444443</v>
      </c>
      <c r="M127" s="46">
        <f t="shared" si="13"/>
        <v>0</v>
      </c>
      <c r="N127" s="67">
        <f t="shared" si="16"/>
        <v>94.444444444444443</v>
      </c>
      <c r="O127" s="45">
        <v>0.6</v>
      </c>
      <c r="P127" s="46">
        <v>64.2</v>
      </c>
      <c r="Q127" s="46"/>
      <c r="R127" s="47">
        <f t="shared" si="8"/>
        <v>64.8</v>
      </c>
      <c r="S127" s="28">
        <v>3</v>
      </c>
      <c r="T127" s="284"/>
      <c r="U127" s="293"/>
      <c r="V127" s="37" t="s">
        <v>569</v>
      </c>
      <c r="W127" s="28" t="s">
        <v>96</v>
      </c>
      <c r="X127" s="28" t="s">
        <v>18</v>
      </c>
      <c r="Y127" s="38">
        <v>64.2</v>
      </c>
      <c r="Z127" s="37" t="s">
        <v>502</v>
      </c>
      <c r="AA127" s="28" t="s">
        <v>327</v>
      </c>
      <c r="AB127" s="28" t="s">
        <v>11</v>
      </c>
      <c r="AC127" s="28">
        <v>0.6</v>
      </c>
      <c r="AD127" s="37"/>
      <c r="AG127" s="38"/>
      <c r="AL127" s="37"/>
      <c r="AO127" s="38"/>
      <c r="AP127" s="37"/>
      <c r="AS127" s="38"/>
      <c r="AT127" s="93"/>
      <c r="AW127" s="38"/>
      <c r="BA127" s="39"/>
    </row>
    <row r="128" spans="1:53" s="28" customFormat="1" x14ac:dyDescent="0.15">
      <c r="A128" s="28">
        <v>2012</v>
      </c>
      <c r="B128" s="301">
        <v>41183</v>
      </c>
      <c r="C128" s="424" t="s">
        <v>322</v>
      </c>
      <c r="D128" s="424"/>
      <c r="E128" s="28">
        <v>86</v>
      </c>
      <c r="F128" s="83">
        <v>0</v>
      </c>
      <c r="G128" s="65">
        <v>1</v>
      </c>
      <c r="H128" s="28">
        <v>17</v>
      </c>
      <c r="J128" s="72">
        <v>19</v>
      </c>
      <c r="K128" s="46">
        <f t="shared" si="15"/>
        <v>5.2631578947368416</v>
      </c>
      <c r="L128" s="46">
        <f t="shared" si="12"/>
        <v>89.473684210526315</v>
      </c>
      <c r="M128" s="46">
        <f t="shared" si="13"/>
        <v>0</v>
      </c>
      <c r="N128" s="67">
        <f t="shared" si="16"/>
        <v>94.73684210526315</v>
      </c>
      <c r="O128" s="45">
        <v>0.6</v>
      </c>
      <c r="P128" s="46">
        <v>64.2</v>
      </c>
      <c r="Q128" s="46"/>
      <c r="R128" s="47">
        <f t="shared" si="8"/>
        <v>64.8</v>
      </c>
      <c r="S128" s="28">
        <v>3</v>
      </c>
      <c r="T128" s="284"/>
      <c r="U128" s="293"/>
      <c r="V128" s="37" t="s">
        <v>569</v>
      </c>
      <c r="W128" s="28" t="s">
        <v>96</v>
      </c>
      <c r="X128" s="28" t="s">
        <v>18</v>
      </c>
      <c r="Y128" s="38">
        <v>64.2</v>
      </c>
      <c r="Z128" s="37" t="s">
        <v>502</v>
      </c>
      <c r="AA128" s="28" t="s">
        <v>327</v>
      </c>
      <c r="AB128" s="28" t="s">
        <v>11</v>
      </c>
      <c r="AC128" s="28">
        <v>0.6</v>
      </c>
      <c r="AD128" s="37"/>
      <c r="AG128" s="38"/>
      <c r="AL128" s="37"/>
      <c r="AO128" s="38"/>
      <c r="AP128" s="37"/>
      <c r="AS128" s="38"/>
      <c r="AT128" s="93"/>
      <c r="AW128" s="38"/>
      <c r="BA128" s="39"/>
    </row>
    <row r="129" spans="1:53" s="170" customFormat="1" x14ac:dyDescent="0.15">
      <c r="A129" s="170">
        <v>2012</v>
      </c>
      <c r="B129" s="281">
        <v>41269</v>
      </c>
      <c r="C129" s="425" t="s">
        <v>806</v>
      </c>
      <c r="D129" s="425"/>
      <c r="E129" s="170">
        <v>6</v>
      </c>
      <c r="F129" s="170">
        <v>1</v>
      </c>
      <c r="G129" s="232">
        <v>18</v>
      </c>
      <c r="H129" s="170">
        <v>1</v>
      </c>
      <c r="J129" s="240">
        <v>19</v>
      </c>
      <c r="K129" s="213">
        <f t="shared" si="15"/>
        <v>94.73684210526315</v>
      </c>
      <c r="L129" s="213">
        <f t="shared" si="12"/>
        <v>5.2631578947368416</v>
      </c>
      <c r="M129" s="213">
        <f t="shared" si="13"/>
        <v>0</v>
      </c>
      <c r="N129" s="234">
        <f t="shared" si="16"/>
        <v>99.999999999999986</v>
      </c>
      <c r="O129" s="212">
        <v>61.3</v>
      </c>
      <c r="P129" s="213">
        <v>6.5</v>
      </c>
      <c r="Q129" s="213"/>
      <c r="R129" s="214">
        <f t="shared" si="8"/>
        <v>67.8</v>
      </c>
      <c r="S129" s="170">
        <v>3</v>
      </c>
      <c r="T129" s="283">
        <v>41259</v>
      </c>
      <c r="U129" s="281">
        <v>41269</v>
      </c>
      <c r="V129" s="177" t="s">
        <v>494</v>
      </c>
      <c r="W129" s="170" t="s">
        <v>74</v>
      </c>
      <c r="X129" s="170" t="s">
        <v>11</v>
      </c>
      <c r="Y129" s="178">
        <v>61.3</v>
      </c>
      <c r="Z129" s="170" t="s">
        <v>497</v>
      </c>
      <c r="AA129" s="170" t="s">
        <v>17</v>
      </c>
      <c r="AB129" s="170" t="s">
        <v>18</v>
      </c>
      <c r="AC129" s="170">
        <v>6.5</v>
      </c>
      <c r="AD129" s="177"/>
      <c r="AG129" s="178"/>
      <c r="AL129" s="177"/>
      <c r="AO129" s="178"/>
      <c r="AP129" s="177"/>
      <c r="AS129" s="178"/>
      <c r="AT129" s="252"/>
      <c r="AW129" s="178"/>
      <c r="BA129" s="179"/>
    </row>
    <row r="130" spans="1:53" s="170" customFormat="1" x14ac:dyDescent="0.15">
      <c r="A130" s="170">
        <v>2013</v>
      </c>
      <c r="B130" s="281"/>
      <c r="C130" s="425" t="s">
        <v>806</v>
      </c>
      <c r="D130" s="425"/>
      <c r="E130" s="170">
        <v>0</v>
      </c>
      <c r="G130" s="232">
        <v>18</v>
      </c>
      <c r="H130" s="170">
        <v>1</v>
      </c>
      <c r="J130" s="240">
        <v>19</v>
      </c>
      <c r="K130" s="213">
        <f t="shared" si="15"/>
        <v>94.73684210526315</v>
      </c>
      <c r="L130" s="213">
        <f t="shared" si="12"/>
        <v>5.2631578947368416</v>
      </c>
      <c r="M130" s="213">
        <f t="shared" si="13"/>
        <v>0</v>
      </c>
      <c r="N130" s="234">
        <f t="shared" si="16"/>
        <v>99.999999999999986</v>
      </c>
      <c r="O130" s="212">
        <v>61.3</v>
      </c>
      <c r="P130" s="213">
        <v>6.5</v>
      </c>
      <c r="Q130" s="213"/>
      <c r="R130" s="214">
        <f t="shared" si="8"/>
        <v>67.8</v>
      </c>
      <c r="S130" s="170">
        <v>3</v>
      </c>
      <c r="T130" s="283"/>
      <c r="U130" s="281"/>
      <c r="V130" s="177" t="s">
        <v>494</v>
      </c>
      <c r="W130" s="170" t="s">
        <v>74</v>
      </c>
      <c r="X130" s="170" t="s">
        <v>11</v>
      </c>
      <c r="Y130" s="178">
        <v>61.3</v>
      </c>
      <c r="Z130" s="170" t="s">
        <v>497</v>
      </c>
      <c r="AA130" s="170" t="s">
        <v>17</v>
      </c>
      <c r="AB130" s="170" t="s">
        <v>18</v>
      </c>
      <c r="AC130" s="170">
        <v>6.5</v>
      </c>
      <c r="AD130" s="177"/>
      <c r="AG130" s="178"/>
      <c r="AL130" s="177"/>
      <c r="AO130" s="178"/>
      <c r="AP130" s="177"/>
      <c r="AS130" s="178"/>
      <c r="AT130" s="252"/>
      <c r="AW130" s="178"/>
      <c r="BA130" s="179"/>
    </row>
    <row r="131" spans="1:53" s="170" customFormat="1" x14ac:dyDescent="0.15">
      <c r="A131" s="170">
        <v>2013</v>
      </c>
      <c r="B131" s="281"/>
      <c r="C131" s="425" t="s">
        <v>806</v>
      </c>
      <c r="D131" s="425"/>
      <c r="E131" s="170">
        <v>365</v>
      </c>
      <c r="G131" s="232">
        <v>18</v>
      </c>
      <c r="H131" s="170">
        <v>1</v>
      </c>
      <c r="J131" s="240">
        <v>19</v>
      </c>
      <c r="K131" s="213">
        <f t="shared" si="15"/>
        <v>94.73684210526315</v>
      </c>
      <c r="L131" s="213">
        <f t="shared" si="12"/>
        <v>5.2631578947368416</v>
      </c>
      <c r="M131" s="213">
        <f t="shared" si="13"/>
        <v>0</v>
      </c>
      <c r="N131" s="234">
        <f t="shared" si="16"/>
        <v>99.999999999999986</v>
      </c>
      <c r="O131" s="212">
        <v>61.3</v>
      </c>
      <c r="P131" s="213">
        <v>6.5</v>
      </c>
      <c r="Q131" s="213"/>
      <c r="R131" s="214">
        <f t="shared" si="8"/>
        <v>67.8</v>
      </c>
      <c r="S131" s="170">
        <v>3</v>
      </c>
      <c r="T131" s="283"/>
      <c r="U131" s="281"/>
      <c r="V131" s="177" t="s">
        <v>494</v>
      </c>
      <c r="W131" s="170" t="s">
        <v>74</v>
      </c>
      <c r="X131" s="170" t="s">
        <v>11</v>
      </c>
      <c r="Y131" s="178">
        <v>61.3</v>
      </c>
      <c r="Z131" s="170" t="s">
        <v>497</v>
      </c>
      <c r="AA131" s="170" t="s">
        <v>17</v>
      </c>
      <c r="AB131" s="170" t="s">
        <v>18</v>
      </c>
      <c r="AC131" s="170">
        <v>6.5</v>
      </c>
      <c r="AD131" s="177"/>
      <c r="AG131" s="178"/>
      <c r="AL131" s="177"/>
      <c r="AO131" s="178"/>
      <c r="AP131" s="177"/>
      <c r="AS131" s="178"/>
      <c r="AT131" s="252"/>
      <c r="AW131" s="178"/>
      <c r="BA131" s="179"/>
    </row>
    <row r="132" spans="1:53" s="170" customFormat="1" x14ac:dyDescent="0.15">
      <c r="A132" s="170">
        <v>2014</v>
      </c>
      <c r="B132" s="281"/>
      <c r="C132" s="425" t="s">
        <v>806</v>
      </c>
      <c r="D132" s="425"/>
      <c r="E132" s="170">
        <v>357</v>
      </c>
      <c r="G132" s="232">
        <v>18</v>
      </c>
      <c r="H132" s="170">
        <v>1</v>
      </c>
      <c r="J132" s="240">
        <v>19</v>
      </c>
      <c r="K132" s="213">
        <f t="shared" ref="K132:M133" si="17">G132/$J132*100</f>
        <v>94.73684210526315</v>
      </c>
      <c r="L132" s="213">
        <f t="shared" si="17"/>
        <v>5.2631578947368416</v>
      </c>
      <c r="M132" s="213">
        <f t="shared" si="17"/>
        <v>0</v>
      </c>
      <c r="N132" s="234">
        <f>K132+L132+M132</f>
        <v>99.999999999999986</v>
      </c>
      <c r="O132" s="212">
        <v>61.3</v>
      </c>
      <c r="P132" s="213">
        <v>6.5</v>
      </c>
      <c r="Q132" s="213"/>
      <c r="R132" s="214">
        <f>O132+P132+Q132</f>
        <v>67.8</v>
      </c>
      <c r="S132" s="170">
        <v>3</v>
      </c>
      <c r="T132" s="283"/>
      <c r="U132" s="281"/>
      <c r="V132" s="177" t="s">
        <v>494</v>
      </c>
      <c r="W132" s="170" t="s">
        <v>74</v>
      </c>
      <c r="X132" s="170" t="s">
        <v>11</v>
      </c>
      <c r="Y132" s="178">
        <v>61.3</v>
      </c>
      <c r="Z132" s="170" t="s">
        <v>497</v>
      </c>
      <c r="AA132" s="170" t="s">
        <v>17</v>
      </c>
      <c r="AB132" s="170" t="s">
        <v>18</v>
      </c>
      <c r="AC132" s="170">
        <v>6.5</v>
      </c>
      <c r="AD132" s="177"/>
      <c r="AG132" s="178"/>
      <c r="AL132" s="177"/>
      <c r="AO132" s="178"/>
      <c r="AP132" s="177"/>
      <c r="AS132" s="178"/>
      <c r="AT132" s="252"/>
      <c r="AW132" s="178"/>
      <c r="BA132" s="179"/>
    </row>
    <row r="133" spans="1:53" s="28" customFormat="1" x14ac:dyDescent="0.15">
      <c r="A133" s="28">
        <v>2014</v>
      </c>
      <c r="B133" s="293">
        <v>41997</v>
      </c>
      <c r="C133" s="424" t="s">
        <v>1288</v>
      </c>
      <c r="D133" s="424"/>
      <c r="E133" s="28">
        <v>8</v>
      </c>
      <c r="F133" s="28">
        <v>1</v>
      </c>
      <c r="G133" s="65">
        <v>18</v>
      </c>
      <c r="H133" s="28">
        <v>1</v>
      </c>
      <c r="J133" s="72">
        <v>19</v>
      </c>
      <c r="K133" s="46">
        <f t="shared" si="17"/>
        <v>94.73684210526315</v>
      </c>
      <c r="L133" s="46">
        <f t="shared" si="17"/>
        <v>5.2631578947368416</v>
      </c>
      <c r="M133" s="46">
        <f t="shared" si="17"/>
        <v>0</v>
      </c>
      <c r="N133" s="67">
        <f>K133+L133+M133</f>
        <v>99.999999999999986</v>
      </c>
      <c r="O133" s="45">
        <v>61.1</v>
      </c>
      <c r="P133" s="46">
        <v>7.4</v>
      </c>
      <c r="Q133" s="46"/>
      <c r="R133" s="47">
        <f>O133+P133+Q133</f>
        <v>68.5</v>
      </c>
      <c r="S133" s="28">
        <v>3</v>
      </c>
      <c r="T133" s="284">
        <v>41987</v>
      </c>
      <c r="U133" s="293">
        <v>41997</v>
      </c>
      <c r="V133" s="37" t="s">
        <v>494</v>
      </c>
      <c r="W133" s="28" t="s">
        <v>74</v>
      </c>
      <c r="X133" s="28" t="s">
        <v>11</v>
      </c>
      <c r="Y133" s="38">
        <v>61.1</v>
      </c>
      <c r="Z133" s="37" t="s">
        <v>497</v>
      </c>
      <c r="AA133" s="28" t="s">
        <v>17</v>
      </c>
      <c r="AB133" s="28" t="s">
        <v>18</v>
      </c>
      <c r="AC133" s="28">
        <v>7.4</v>
      </c>
      <c r="AD133" s="37"/>
      <c r="AG133" s="38"/>
      <c r="AL133" s="37"/>
      <c r="AO133" s="38"/>
      <c r="AP133" s="37"/>
      <c r="AS133" s="38"/>
      <c r="AT133" s="93"/>
      <c r="AW133" s="38"/>
      <c r="BA133" s="39"/>
    </row>
    <row r="134" spans="1:53" s="28" customFormat="1" x14ac:dyDescent="0.15">
      <c r="A134" s="28">
        <v>2015</v>
      </c>
      <c r="B134" s="293"/>
      <c r="C134" s="424" t="s">
        <v>1288</v>
      </c>
      <c r="D134" s="424"/>
      <c r="E134" s="28">
        <v>279</v>
      </c>
      <c r="G134" s="65">
        <v>18</v>
      </c>
      <c r="H134" s="28">
        <v>1</v>
      </c>
      <c r="J134" s="72">
        <v>19</v>
      </c>
      <c r="K134" s="46">
        <f t="shared" ref="K134:K135" si="18">G134/$J134*100</f>
        <v>94.73684210526315</v>
      </c>
      <c r="L134" s="46">
        <f t="shared" ref="L134:L135" si="19">H134/$J134*100</f>
        <v>5.2631578947368416</v>
      </c>
      <c r="M134" s="46">
        <f t="shared" ref="M134:M135" si="20">I134/$J134*100</f>
        <v>0</v>
      </c>
      <c r="N134" s="67">
        <f t="shared" ref="N134:N135" si="21">K134+L134+M134</f>
        <v>99.999999999999986</v>
      </c>
      <c r="O134" s="45">
        <v>61.1</v>
      </c>
      <c r="P134" s="46">
        <v>7.4</v>
      </c>
      <c r="Q134" s="46"/>
      <c r="R134" s="47">
        <f t="shared" ref="R134:R135" si="22">O134+P134+Q134</f>
        <v>68.5</v>
      </c>
      <c r="S134" s="28">
        <v>3</v>
      </c>
      <c r="T134" s="284"/>
      <c r="U134" s="293"/>
      <c r="V134" s="37" t="s">
        <v>494</v>
      </c>
      <c r="W134" s="28" t="s">
        <v>74</v>
      </c>
      <c r="X134" s="28" t="s">
        <v>11</v>
      </c>
      <c r="Y134" s="38">
        <v>61.1</v>
      </c>
      <c r="Z134" s="37" t="s">
        <v>497</v>
      </c>
      <c r="AA134" s="28" t="s">
        <v>17</v>
      </c>
      <c r="AB134" s="28" t="s">
        <v>18</v>
      </c>
      <c r="AC134" s="28">
        <v>7.4</v>
      </c>
      <c r="AD134" s="37"/>
      <c r="AG134" s="38"/>
      <c r="AK134" s="38"/>
      <c r="AO134" s="38"/>
      <c r="AS134" s="38"/>
      <c r="AT134" s="93"/>
      <c r="AW134" s="38"/>
      <c r="BA134" s="39"/>
    </row>
    <row r="135" spans="1:53" s="28" customFormat="1" x14ac:dyDescent="0.15">
      <c r="A135" s="28">
        <v>2015</v>
      </c>
      <c r="B135" s="301">
        <v>42284</v>
      </c>
      <c r="C135" s="424" t="s">
        <v>1288</v>
      </c>
      <c r="D135" s="424"/>
      <c r="E135" s="28">
        <v>86</v>
      </c>
      <c r="F135" s="83">
        <v>0</v>
      </c>
      <c r="G135" s="65">
        <v>19</v>
      </c>
      <c r="H135" s="28">
        <v>1</v>
      </c>
      <c r="J135" s="72">
        <v>20</v>
      </c>
      <c r="K135" s="46">
        <f t="shared" si="18"/>
        <v>95</v>
      </c>
      <c r="L135" s="46">
        <f t="shared" si="19"/>
        <v>5</v>
      </c>
      <c r="M135" s="46">
        <f t="shared" si="20"/>
        <v>0</v>
      </c>
      <c r="N135" s="67">
        <f t="shared" si="21"/>
        <v>100</v>
      </c>
      <c r="O135" s="45">
        <v>61.1</v>
      </c>
      <c r="P135" s="46">
        <v>7.4</v>
      </c>
      <c r="Q135" s="46"/>
      <c r="R135" s="47">
        <f t="shared" si="22"/>
        <v>68.5</v>
      </c>
      <c r="S135" s="28">
        <v>3</v>
      </c>
      <c r="T135" s="284"/>
      <c r="U135" s="293"/>
      <c r="V135" s="37" t="s">
        <v>494</v>
      </c>
      <c r="W135" s="28" t="s">
        <v>74</v>
      </c>
      <c r="X135" s="28" t="s">
        <v>11</v>
      </c>
      <c r="Y135" s="38">
        <v>61.1</v>
      </c>
      <c r="Z135" s="37" t="s">
        <v>497</v>
      </c>
      <c r="AA135" s="28" t="s">
        <v>17</v>
      </c>
      <c r="AB135" s="28" t="s">
        <v>18</v>
      </c>
      <c r="AC135" s="28">
        <v>7.4</v>
      </c>
      <c r="AD135" s="37"/>
      <c r="AG135" s="38"/>
      <c r="AK135" s="38"/>
      <c r="AO135" s="38"/>
      <c r="AS135" s="38"/>
      <c r="AT135" s="93"/>
      <c r="AW135" s="38"/>
      <c r="BA135" s="39"/>
    </row>
    <row r="136" spans="1:53" s="28" customFormat="1" x14ac:dyDescent="0.15">
      <c r="A136" s="28">
        <v>2016</v>
      </c>
      <c r="B136" s="301"/>
      <c r="C136" s="424" t="s">
        <v>1288</v>
      </c>
      <c r="D136" s="424"/>
      <c r="E136" s="28">
        <v>0</v>
      </c>
      <c r="F136" s="83"/>
      <c r="G136" s="65">
        <v>19</v>
      </c>
      <c r="H136" s="28">
        <v>1</v>
      </c>
      <c r="J136" s="72">
        <v>20</v>
      </c>
      <c r="K136" s="46">
        <f t="shared" ref="K136" si="23">G136/$J136*100</f>
        <v>95</v>
      </c>
      <c r="L136" s="46">
        <f t="shared" ref="L136" si="24">H136/$J136*100</f>
        <v>5</v>
      </c>
      <c r="M136" s="46">
        <f t="shared" ref="M136" si="25">I136/$J136*100</f>
        <v>0</v>
      </c>
      <c r="N136" s="67">
        <f t="shared" ref="N136" si="26">K136+L136+M136</f>
        <v>100</v>
      </c>
      <c r="O136" s="45">
        <v>61.1</v>
      </c>
      <c r="P136" s="46">
        <v>7.4</v>
      </c>
      <c r="Q136" s="46"/>
      <c r="R136" s="47">
        <f t="shared" ref="R136" si="27">O136+P136+Q136</f>
        <v>68.5</v>
      </c>
      <c r="S136" s="28">
        <v>3</v>
      </c>
      <c r="T136" s="284"/>
      <c r="U136" s="293"/>
      <c r="V136" s="37" t="s">
        <v>494</v>
      </c>
      <c r="W136" s="28" t="s">
        <v>74</v>
      </c>
      <c r="X136" s="28" t="s">
        <v>11</v>
      </c>
      <c r="Y136" s="38">
        <v>61.1</v>
      </c>
      <c r="Z136" s="37" t="s">
        <v>497</v>
      </c>
      <c r="AA136" s="28" t="s">
        <v>17</v>
      </c>
      <c r="AB136" s="28" t="s">
        <v>18</v>
      </c>
      <c r="AC136" s="28">
        <v>7.4</v>
      </c>
      <c r="AD136" s="37"/>
      <c r="AG136" s="38"/>
      <c r="AK136" s="38"/>
      <c r="AO136" s="38"/>
      <c r="AS136" s="38"/>
      <c r="AT136" s="93"/>
      <c r="AW136" s="38"/>
      <c r="BA136" s="39"/>
    </row>
    <row r="137" spans="1:53" s="28" customFormat="1" x14ac:dyDescent="0.15">
      <c r="A137" s="28">
        <v>2016</v>
      </c>
      <c r="B137" s="301"/>
      <c r="C137" s="424" t="s">
        <v>1288</v>
      </c>
      <c r="D137" s="424"/>
      <c r="E137" s="28">
        <v>366</v>
      </c>
      <c r="F137" s="83"/>
      <c r="G137" s="65">
        <v>19</v>
      </c>
      <c r="H137" s="28">
        <v>1</v>
      </c>
      <c r="J137" s="72">
        <v>20</v>
      </c>
      <c r="K137" s="46">
        <f t="shared" ref="K137:K141" si="28">G137/$J137*100</f>
        <v>95</v>
      </c>
      <c r="L137" s="46">
        <f t="shared" ref="L137:L141" si="29">H137/$J137*100</f>
        <v>5</v>
      </c>
      <c r="M137" s="46">
        <f t="shared" ref="M137:M141" si="30">I137/$J137*100</f>
        <v>0</v>
      </c>
      <c r="N137" s="67">
        <f t="shared" ref="N137:N141" si="31">K137+L137+M137</f>
        <v>100</v>
      </c>
      <c r="O137" s="45">
        <v>61.1</v>
      </c>
      <c r="P137" s="46">
        <v>7.4</v>
      </c>
      <c r="Q137" s="46"/>
      <c r="R137" s="47">
        <f t="shared" ref="R137" si="32">O137+P137+Q137</f>
        <v>68.5</v>
      </c>
      <c r="S137" s="28">
        <v>3</v>
      </c>
      <c r="T137" s="284"/>
      <c r="U137" s="293"/>
      <c r="V137" s="37" t="s">
        <v>494</v>
      </c>
      <c r="W137" s="28" t="s">
        <v>74</v>
      </c>
      <c r="X137" s="28" t="s">
        <v>11</v>
      </c>
      <c r="Y137" s="38">
        <v>61.1</v>
      </c>
      <c r="Z137" s="37" t="s">
        <v>497</v>
      </c>
      <c r="AA137" s="28" t="s">
        <v>17</v>
      </c>
      <c r="AB137" s="28" t="s">
        <v>18</v>
      </c>
      <c r="AC137" s="28">
        <v>7.4</v>
      </c>
      <c r="AD137" s="37"/>
      <c r="AG137" s="38"/>
      <c r="AK137" s="38"/>
      <c r="AO137" s="38"/>
      <c r="AS137" s="38"/>
      <c r="AT137" s="93"/>
      <c r="AW137" s="38"/>
      <c r="BA137" s="39"/>
    </row>
    <row r="138" spans="1:53" s="28" customFormat="1" x14ac:dyDescent="0.15">
      <c r="A138" s="28">
        <v>2017</v>
      </c>
      <c r="B138" s="301"/>
      <c r="C138" s="424" t="s">
        <v>1288</v>
      </c>
      <c r="D138" s="424"/>
      <c r="E138" s="28">
        <v>304</v>
      </c>
      <c r="F138" s="83"/>
      <c r="G138" s="65">
        <v>19</v>
      </c>
      <c r="H138" s="28">
        <v>1</v>
      </c>
      <c r="J138" s="72">
        <v>20</v>
      </c>
      <c r="K138" s="46">
        <f t="shared" si="28"/>
        <v>95</v>
      </c>
      <c r="L138" s="46">
        <f t="shared" si="29"/>
        <v>5</v>
      </c>
      <c r="M138" s="46">
        <f t="shared" si="30"/>
        <v>0</v>
      </c>
      <c r="N138" s="67">
        <f t="shared" si="31"/>
        <v>100</v>
      </c>
      <c r="O138" s="45">
        <v>61.1</v>
      </c>
      <c r="P138" s="46">
        <v>7.4</v>
      </c>
      <c r="Q138" s="46"/>
      <c r="R138" s="47">
        <f t="shared" ref="R138:R139" si="33">O138+P138+Q138</f>
        <v>68.5</v>
      </c>
      <c r="S138" s="28">
        <v>3</v>
      </c>
      <c r="T138" s="284"/>
      <c r="U138" s="293"/>
      <c r="V138" s="37" t="s">
        <v>494</v>
      </c>
      <c r="W138" s="28" t="s">
        <v>74</v>
      </c>
      <c r="X138" s="28" t="s">
        <v>11</v>
      </c>
      <c r="Y138" s="38">
        <v>61.1</v>
      </c>
      <c r="Z138" s="37" t="s">
        <v>497</v>
      </c>
      <c r="AA138" s="28" t="s">
        <v>17</v>
      </c>
      <c r="AB138" s="28" t="s">
        <v>18</v>
      </c>
      <c r="AC138" s="28">
        <v>7.4</v>
      </c>
      <c r="AD138" s="37"/>
      <c r="AG138" s="38"/>
      <c r="AK138" s="38"/>
      <c r="AO138" s="38"/>
      <c r="AS138" s="38"/>
      <c r="AT138" s="93"/>
      <c r="AW138" s="38"/>
      <c r="BA138" s="39"/>
    </row>
    <row r="139" spans="1:53" s="170" customFormat="1" x14ac:dyDescent="0.15">
      <c r="A139" s="170">
        <v>2017</v>
      </c>
      <c r="B139" s="281">
        <v>43040</v>
      </c>
      <c r="C139" s="425" t="s">
        <v>1374</v>
      </c>
      <c r="D139" s="425"/>
      <c r="E139" s="170">
        <v>61</v>
      </c>
      <c r="F139" s="170">
        <v>1</v>
      </c>
      <c r="G139" s="232">
        <v>19</v>
      </c>
      <c r="H139" s="170">
        <v>1</v>
      </c>
      <c r="J139" s="240">
        <v>20</v>
      </c>
      <c r="K139" s="213">
        <f t="shared" si="28"/>
        <v>95</v>
      </c>
      <c r="L139" s="213">
        <f t="shared" si="29"/>
        <v>5</v>
      </c>
      <c r="M139" s="213">
        <f t="shared" si="30"/>
        <v>0</v>
      </c>
      <c r="N139" s="234">
        <f t="shared" si="31"/>
        <v>100</v>
      </c>
      <c r="O139" s="212">
        <v>60.9</v>
      </c>
      <c r="P139" s="213">
        <v>6.2</v>
      </c>
      <c r="Q139" s="213"/>
      <c r="R139" s="214">
        <f t="shared" si="33"/>
        <v>67.099999999999994</v>
      </c>
      <c r="S139" s="170">
        <v>3</v>
      </c>
      <c r="T139" s="283">
        <v>43030</v>
      </c>
      <c r="U139" s="281">
        <v>43040</v>
      </c>
      <c r="V139" s="177" t="s">
        <v>494</v>
      </c>
      <c r="W139" s="170" t="s">
        <v>74</v>
      </c>
      <c r="X139" s="170" t="s">
        <v>11</v>
      </c>
      <c r="Y139" s="178">
        <v>60.9</v>
      </c>
      <c r="Z139" s="177" t="s">
        <v>497</v>
      </c>
      <c r="AA139" s="170" t="s">
        <v>17</v>
      </c>
      <c r="AB139" s="170" t="s">
        <v>18</v>
      </c>
      <c r="AC139" s="170">
        <v>6.2</v>
      </c>
      <c r="AD139" s="177"/>
      <c r="AG139" s="178"/>
      <c r="AK139" s="178"/>
      <c r="AO139" s="178"/>
      <c r="AS139" s="178"/>
      <c r="AT139" s="252"/>
      <c r="AW139" s="178"/>
      <c r="BA139" s="179"/>
    </row>
    <row r="140" spans="1:53" s="170" customFormat="1" x14ac:dyDescent="0.15">
      <c r="A140" s="170">
        <v>2018</v>
      </c>
      <c r="B140" s="281"/>
      <c r="C140" s="425" t="s">
        <v>1374</v>
      </c>
      <c r="D140" s="425"/>
      <c r="E140" s="170">
        <v>0</v>
      </c>
      <c r="G140" s="232">
        <v>19</v>
      </c>
      <c r="H140" s="170">
        <v>1</v>
      </c>
      <c r="J140" s="240">
        <v>20</v>
      </c>
      <c r="K140" s="213">
        <f t="shared" si="28"/>
        <v>95</v>
      </c>
      <c r="L140" s="213">
        <f t="shared" si="29"/>
        <v>5</v>
      </c>
      <c r="M140" s="213">
        <f t="shared" si="30"/>
        <v>0</v>
      </c>
      <c r="N140" s="234">
        <f t="shared" si="31"/>
        <v>100</v>
      </c>
      <c r="O140" s="212">
        <v>60.9</v>
      </c>
      <c r="P140" s="213">
        <v>6.2</v>
      </c>
      <c r="Q140" s="213"/>
      <c r="R140" s="214">
        <f t="shared" ref="R140:R141" si="34">O140+P140+Q140</f>
        <v>67.099999999999994</v>
      </c>
      <c r="S140" s="170">
        <v>3</v>
      </c>
      <c r="T140" s="283"/>
      <c r="U140" s="281"/>
      <c r="V140" s="177" t="s">
        <v>494</v>
      </c>
      <c r="W140" s="170" t="s">
        <v>74</v>
      </c>
      <c r="X140" s="170" t="s">
        <v>11</v>
      </c>
      <c r="Y140" s="178">
        <v>60.9</v>
      </c>
      <c r="Z140" s="177" t="s">
        <v>497</v>
      </c>
      <c r="AA140" s="170" t="s">
        <v>17</v>
      </c>
      <c r="AB140" s="170" t="s">
        <v>18</v>
      </c>
      <c r="AC140" s="170">
        <v>6.2</v>
      </c>
      <c r="AD140" s="177"/>
      <c r="AG140" s="178"/>
      <c r="AK140" s="178"/>
      <c r="AO140" s="178"/>
      <c r="AS140" s="178"/>
      <c r="AT140" s="252"/>
      <c r="AW140" s="178"/>
      <c r="BA140" s="179"/>
    </row>
    <row r="141" spans="1:53" s="170" customFormat="1" x14ac:dyDescent="0.15">
      <c r="A141" s="170">
        <v>2018</v>
      </c>
      <c r="B141" s="281"/>
      <c r="C141" s="425" t="s">
        <v>1374</v>
      </c>
      <c r="D141" s="425"/>
      <c r="E141" s="170">
        <v>365</v>
      </c>
      <c r="G141" s="232">
        <v>19</v>
      </c>
      <c r="H141" s="170">
        <v>1</v>
      </c>
      <c r="J141" s="240">
        <v>20</v>
      </c>
      <c r="K141" s="213">
        <f t="shared" si="28"/>
        <v>95</v>
      </c>
      <c r="L141" s="213">
        <f t="shared" si="29"/>
        <v>5</v>
      </c>
      <c r="M141" s="213">
        <f t="shared" si="30"/>
        <v>0</v>
      </c>
      <c r="N141" s="234">
        <f t="shared" si="31"/>
        <v>100</v>
      </c>
      <c r="O141" s="212">
        <v>60.9</v>
      </c>
      <c r="P141" s="213">
        <v>6.2</v>
      </c>
      <c r="Q141" s="213"/>
      <c r="R141" s="214">
        <f t="shared" si="34"/>
        <v>67.099999999999994</v>
      </c>
      <c r="S141" s="170">
        <v>3</v>
      </c>
      <c r="T141" s="283"/>
      <c r="U141" s="281"/>
      <c r="V141" s="177" t="s">
        <v>494</v>
      </c>
      <c r="W141" s="170" t="s">
        <v>74</v>
      </c>
      <c r="X141" s="170" t="s">
        <v>11</v>
      </c>
      <c r="Y141" s="178">
        <v>60.9</v>
      </c>
      <c r="Z141" s="177" t="s">
        <v>497</v>
      </c>
      <c r="AA141" s="170" t="s">
        <v>17</v>
      </c>
      <c r="AB141" s="170" t="s">
        <v>18</v>
      </c>
      <c r="AC141" s="170">
        <v>6.2</v>
      </c>
      <c r="AD141" s="177"/>
      <c r="AG141" s="178"/>
      <c r="AK141" s="178"/>
      <c r="AO141" s="178"/>
      <c r="AS141" s="178"/>
      <c r="AT141" s="252"/>
      <c r="AW141" s="178"/>
      <c r="BA141" s="179"/>
    </row>
    <row r="142" spans="1:53" s="170" customFormat="1" x14ac:dyDescent="0.15">
      <c r="A142" s="170">
        <v>2019</v>
      </c>
      <c r="B142" s="281"/>
      <c r="C142" s="425" t="s">
        <v>1374</v>
      </c>
      <c r="D142" s="425"/>
      <c r="E142" s="170">
        <v>0</v>
      </c>
      <c r="G142" s="232">
        <v>19</v>
      </c>
      <c r="H142" s="170">
        <v>1</v>
      </c>
      <c r="J142" s="240">
        <v>20</v>
      </c>
      <c r="K142" s="213">
        <f t="shared" ref="K142:K152" si="35">G142/$J142*100</f>
        <v>95</v>
      </c>
      <c r="L142" s="213">
        <f t="shared" ref="L142:L152" si="36">H142/$J142*100</f>
        <v>5</v>
      </c>
      <c r="M142" s="213">
        <f t="shared" ref="M142:M152" si="37">I142/$J142*100</f>
        <v>0</v>
      </c>
      <c r="N142" s="234">
        <f t="shared" ref="N142:N152" si="38">K142+L142+M142</f>
        <v>100</v>
      </c>
      <c r="O142" s="212">
        <v>60.9</v>
      </c>
      <c r="P142" s="213">
        <v>6.2</v>
      </c>
      <c r="Q142" s="213"/>
      <c r="R142" s="214">
        <f t="shared" ref="R142:R152" si="39">O142+P142+Q142</f>
        <v>67.099999999999994</v>
      </c>
      <c r="S142" s="170">
        <v>3</v>
      </c>
      <c r="T142" s="283"/>
      <c r="U142" s="281"/>
      <c r="V142" s="177" t="s">
        <v>494</v>
      </c>
      <c r="W142" s="170" t="s">
        <v>74</v>
      </c>
      <c r="X142" s="170" t="s">
        <v>11</v>
      </c>
      <c r="Y142" s="178">
        <v>60.9</v>
      </c>
      <c r="Z142" s="177" t="s">
        <v>497</v>
      </c>
      <c r="AA142" s="170" t="s">
        <v>17</v>
      </c>
      <c r="AB142" s="170" t="s">
        <v>18</v>
      </c>
      <c r="AC142" s="170">
        <v>6.2</v>
      </c>
      <c r="AD142" s="177"/>
      <c r="AG142" s="178"/>
      <c r="AK142" s="178"/>
      <c r="AO142" s="178"/>
      <c r="AS142" s="178"/>
      <c r="AT142" s="252"/>
      <c r="AW142" s="178"/>
      <c r="BA142" s="179"/>
    </row>
    <row r="143" spans="1:53" s="170" customFormat="1" x14ac:dyDescent="0.15">
      <c r="A143" s="170">
        <v>2019</v>
      </c>
      <c r="B143" s="281"/>
      <c r="C143" s="425" t="s">
        <v>1374</v>
      </c>
      <c r="D143" s="425"/>
      <c r="E143" s="170">
        <v>365</v>
      </c>
      <c r="G143" s="232">
        <v>19</v>
      </c>
      <c r="H143" s="170">
        <v>1</v>
      </c>
      <c r="J143" s="240">
        <v>20</v>
      </c>
      <c r="K143" s="213">
        <f t="shared" si="35"/>
        <v>95</v>
      </c>
      <c r="L143" s="213">
        <f t="shared" si="36"/>
        <v>5</v>
      </c>
      <c r="M143" s="213">
        <f t="shared" si="37"/>
        <v>0</v>
      </c>
      <c r="N143" s="234">
        <f t="shared" si="38"/>
        <v>100</v>
      </c>
      <c r="O143" s="212">
        <v>60.9</v>
      </c>
      <c r="P143" s="213">
        <v>6.2</v>
      </c>
      <c r="Q143" s="213"/>
      <c r="R143" s="214">
        <f t="shared" si="39"/>
        <v>67.099999999999994</v>
      </c>
      <c r="S143" s="170">
        <v>3</v>
      </c>
      <c r="T143" s="283"/>
      <c r="U143" s="281"/>
      <c r="V143" s="177" t="s">
        <v>494</v>
      </c>
      <c r="W143" s="170" t="s">
        <v>74</v>
      </c>
      <c r="X143" s="170" t="s">
        <v>11</v>
      </c>
      <c r="Y143" s="178">
        <v>60.9</v>
      </c>
      <c r="Z143" s="177" t="s">
        <v>497</v>
      </c>
      <c r="AA143" s="170" t="s">
        <v>17</v>
      </c>
      <c r="AB143" s="170" t="s">
        <v>18</v>
      </c>
      <c r="AC143" s="178">
        <v>6.2</v>
      </c>
      <c r="AG143" s="178"/>
      <c r="AK143" s="178"/>
      <c r="AO143" s="178"/>
      <c r="AS143" s="178"/>
      <c r="AT143" s="252"/>
      <c r="AW143" s="178"/>
      <c r="BA143" s="179"/>
    </row>
    <row r="144" spans="1:53" s="170" customFormat="1" x14ac:dyDescent="0.15">
      <c r="A144" s="170">
        <v>2020</v>
      </c>
      <c r="B144" s="281"/>
      <c r="C144" s="425" t="s">
        <v>1374</v>
      </c>
      <c r="D144" s="425"/>
      <c r="E144" s="170">
        <v>259</v>
      </c>
      <c r="G144" s="232">
        <v>19</v>
      </c>
      <c r="H144" s="170">
        <v>1</v>
      </c>
      <c r="J144" s="240">
        <v>20</v>
      </c>
      <c r="K144" s="213">
        <f t="shared" si="35"/>
        <v>95</v>
      </c>
      <c r="L144" s="213">
        <f t="shared" si="36"/>
        <v>5</v>
      </c>
      <c r="M144" s="213">
        <f t="shared" si="37"/>
        <v>0</v>
      </c>
      <c r="N144" s="234">
        <f t="shared" si="38"/>
        <v>100</v>
      </c>
      <c r="O144" s="212">
        <v>60.9</v>
      </c>
      <c r="P144" s="213">
        <v>6.2</v>
      </c>
      <c r="Q144" s="213"/>
      <c r="R144" s="214">
        <f t="shared" si="39"/>
        <v>67.099999999999994</v>
      </c>
      <c r="S144" s="170">
        <v>3</v>
      </c>
      <c r="T144" s="283"/>
      <c r="U144" s="281"/>
      <c r="V144" s="177" t="s">
        <v>494</v>
      </c>
      <c r="W144" s="170" t="s">
        <v>74</v>
      </c>
      <c r="X144" s="170" t="s">
        <v>11</v>
      </c>
      <c r="Y144" s="178">
        <v>60.9</v>
      </c>
      <c r="Z144" s="177" t="s">
        <v>497</v>
      </c>
      <c r="AA144" s="170" t="s">
        <v>17</v>
      </c>
      <c r="AB144" s="170" t="s">
        <v>18</v>
      </c>
      <c r="AC144" s="178">
        <v>6.2</v>
      </c>
      <c r="AG144" s="178"/>
      <c r="AK144" s="178"/>
      <c r="AO144" s="178"/>
      <c r="AS144" s="178"/>
      <c r="AT144" s="252"/>
      <c r="AW144" s="178"/>
      <c r="BA144" s="179"/>
    </row>
    <row r="145" spans="1:53" s="28" customFormat="1" x14ac:dyDescent="0.15">
      <c r="A145" s="28">
        <v>2020</v>
      </c>
      <c r="B145" s="293">
        <v>44090</v>
      </c>
      <c r="C145" s="424" t="s">
        <v>1464</v>
      </c>
      <c r="D145" s="424"/>
      <c r="E145" s="28">
        <v>107</v>
      </c>
      <c r="F145" s="28">
        <v>3</v>
      </c>
      <c r="G145" s="65">
        <v>20</v>
      </c>
      <c r="H145" s="28">
        <v>1</v>
      </c>
      <c r="J145" s="72">
        <v>21</v>
      </c>
      <c r="K145" s="46">
        <f t="shared" si="35"/>
        <v>95.238095238095227</v>
      </c>
      <c r="L145" s="46">
        <f t="shared" si="36"/>
        <v>4.7619047619047619</v>
      </c>
      <c r="M145" s="46">
        <f t="shared" si="37"/>
        <v>0</v>
      </c>
      <c r="N145" s="67">
        <f t="shared" si="38"/>
        <v>99.999999999999986</v>
      </c>
      <c r="O145" s="45">
        <v>60.9</v>
      </c>
      <c r="P145" s="46">
        <v>6.2</v>
      </c>
      <c r="Q145" s="46"/>
      <c r="R145" s="47">
        <f t="shared" si="39"/>
        <v>67.099999999999994</v>
      </c>
      <c r="S145" s="28">
        <v>3</v>
      </c>
      <c r="T145" s="284"/>
      <c r="U145" s="293">
        <v>44090</v>
      </c>
      <c r="V145" s="37" t="s">
        <v>494</v>
      </c>
      <c r="W145" s="28" t="s">
        <v>74</v>
      </c>
      <c r="X145" s="28" t="s">
        <v>11</v>
      </c>
      <c r="Y145" s="38">
        <v>61.1</v>
      </c>
      <c r="Z145" s="37" t="s">
        <v>497</v>
      </c>
      <c r="AA145" s="28" t="s">
        <v>17</v>
      </c>
      <c r="AB145" s="28" t="s">
        <v>18</v>
      </c>
      <c r="AC145" s="38">
        <v>6.2</v>
      </c>
      <c r="AG145" s="38"/>
      <c r="AK145" s="38"/>
      <c r="AO145" s="38"/>
      <c r="AS145" s="38"/>
      <c r="AT145" s="93"/>
      <c r="AW145" s="38"/>
      <c r="BA145" s="39"/>
    </row>
    <row r="146" spans="1:53" s="28" customFormat="1" x14ac:dyDescent="0.15">
      <c r="A146" s="28">
        <v>2021</v>
      </c>
      <c r="B146" s="293"/>
      <c r="C146" s="424" t="s">
        <v>1464</v>
      </c>
      <c r="D146" s="424"/>
      <c r="E146" s="28">
        <v>277</v>
      </c>
      <c r="G146" s="65">
        <v>20</v>
      </c>
      <c r="H146" s="28">
        <v>1</v>
      </c>
      <c r="J146" s="72">
        <v>21</v>
      </c>
      <c r="K146" s="46">
        <f t="shared" si="35"/>
        <v>95.238095238095227</v>
      </c>
      <c r="L146" s="46">
        <f t="shared" si="36"/>
        <v>4.7619047619047619</v>
      </c>
      <c r="M146" s="46">
        <f t="shared" si="37"/>
        <v>0</v>
      </c>
      <c r="N146" s="67">
        <f t="shared" si="38"/>
        <v>99.999999999999986</v>
      </c>
      <c r="O146" s="45">
        <v>61.1</v>
      </c>
      <c r="P146" s="46">
        <v>6.2</v>
      </c>
      <c r="Q146" s="46"/>
      <c r="R146" s="47">
        <f t="shared" si="39"/>
        <v>67.3</v>
      </c>
      <c r="S146" s="28">
        <v>3</v>
      </c>
      <c r="T146" s="284"/>
      <c r="U146" s="293"/>
      <c r="V146" s="37" t="s">
        <v>494</v>
      </c>
      <c r="W146" s="28" t="s">
        <v>74</v>
      </c>
      <c r="X146" s="28" t="s">
        <v>11</v>
      </c>
      <c r="Y146" s="38">
        <v>61.1</v>
      </c>
      <c r="Z146" s="37" t="s">
        <v>497</v>
      </c>
      <c r="AA146" s="28" t="s">
        <v>17</v>
      </c>
      <c r="AB146" s="28" t="s">
        <v>18</v>
      </c>
      <c r="AC146" s="38">
        <v>6.2</v>
      </c>
      <c r="AG146" s="38"/>
      <c r="AK146" s="38"/>
      <c r="AO146" s="38"/>
      <c r="AS146" s="38"/>
      <c r="AT146" s="93"/>
      <c r="AW146" s="38"/>
      <c r="BA146" s="39"/>
    </row>
    <row r="147" spans="1:53" s="170" customFormat="1" x14ac:dyDescent="0.15">
      <c r="A147" s="170">
        <v>2021</v>
      </c>
      <c r="B147" s="281">
        <v>44473</v>
      </c>
      <c r="C147" s="425" t="s">
        <v>1492</v>
      </c>
      <c r="D147" s="425"/>
      <c r="E147" s="170">
        <v>31</v>
      </c>
      <c r="F147" s="170">
        <v>2</v>
      </c>
      <c r="G147" s="232">
        <v>20</v>
      </c>
      <c r="H147" s="170">
        <v>1</v>
      </c>
      <c r="J147" s="240">
        <v>21</v>
      </c>
      <c r="K147" s="213">
        <f t="shared" si="35"/>
        <v>95.238095238095227</v>
      </c>
      <c r="L147" s="213">
        <f t="shared" si="36"/>
        <v>4.7619047619047619</v>
      </c>
      <c r="M147" s="213">
        <f t="shared" si="37"/>
        <v>0</v>
      </c>
      <c r="N147" s="234">
        <f t="shared" si="38"/>
        <v>99.999999999999986</v>
      </c>
      <c r="O147" s="212">
        <v>59.1</v>
      </c>
      <c r="P147" s="213">
        <v>6.2</v>
      </c>
      <c r="Q147" s="213"/>
      <c r="R147" s="214">
        <f t="shared" si="39"/>
        <v>65.3</v>
      </c>
      <c r="S147" s="170">
        <v>3</v>
      </c>
      <c r="T147" s="283"/>
      <c r="U147" s="281">
        <v>44473</v>
      </c>
      <c r="V147" s="177" t="s">
        <v>494</v>
      </c>
      <c r="W147" s="170" t="s">
        <v>74</v>
      </c>
      <c r="X147" s="170" t="s">
        <v>11</v>
      </c>
      <c r="Y147" s="178">
        <v>59.1</v>
      </c>
      <c r="Z147" s="177" t="s">
        <v>497</v>
      </c>
      <c r="AA147" s="170" t="s">
        <v>17</v>
      </c>
      <c r="AB147" s="170" t="s">
        <v>18</v>
      </c>
      <c r="AC147" s="178">
        <v>6.2</v>
      </c>
      <c r="AG147" s="178"/>
      <c r="AK147" s="178"/>
      <c r="AO147" s="178"/>
      <c r="AS147" s="178"/>
      <c r="AT147" s="252"/>
      <c r="AW147" s="178"/>
      <c r="BA147" s="179"/>
    </row>
    <row r="148" spans="1:53" s="170" customFormat="1" x14ac:dyDescent="0.15">
      <c r="A148" s="170">
        <v>2021</v>
      </c>
      <c r="B148" s="303">
        <v>44504</v>
      </c>
      <c r="C148" s="425" t="s">
        <v>1492</v>
      </c>
      <c r="D148" s="425"/>
      <c r="E148" s="170">
        <v>6</v>
      </c>
      <c r="F148" s="243">
        <v>0</v>
      </c>
      <c r="G148" s="232">
        <v>19</v>
      </c>
      <c r="H148" s="170">
        <v>1</v>
      </c>
      <c r="J148" s="240">
        <v>20</v>
      </c>
      <c r="K148" s="213">
        <f t="shared" si="35"/>
        <v>95</v>
      </c>
      <c r="L148" s="213">
        <f t="shared" si="36"/>
        <v>5</v>
      </c>
      <c r="M148" s="213">
        <f t="shared" si="37"/>
        <v>0</v>
      </c>
      <c r="N148" s="234">
        <f t="shared" si="38"/>
        <v>100</v>
      </c>
      <c r="O148" s="212">
        <v>59.1</v>
      </c>
      <c r="P148" s="213">
        <v>6.2</v>
      </c>
      <c r="Q148" s="213"/>
      <c r="R148" s="214">
        <f t="shared" si="39"/>
        <v>65.3</v>
      </c>
      <c r="S148" s="170">
        <v>3</v>
      </c>
      <c r="T148" s="283"/>
      <c r="U148" s="281"/>
      <c r="V148" s="177" t="s">
        <v>494</v>
      </c>
      <c r="W148" s="170" t="s">
        <v>74</v>
      </c>
      <c r="X148" s="170" t="s">
        <v>11</v>
      </c>
      <c r="Y148" s="178">
        <v>59.1</v>
      </c>
      <c r="Z148" s="177" t="s">
        <v>497</v>
      </c>
      <c r="AA148" s="170" t="s">
        <v>17</v>
      </c>
      <c r="AB148" s="170" t="s">
        <v>18</v>
      </c>
      <c r="AC148" s="178">
        <v>6.2</v>
      </c>
      <c r="AG148" s="178"/>
      <c r="AK148" s="178"/>
      <c r="AO148" s="178"/>
      <c r="AS148" s="178"/>
      <c r="AT148" s="252"/>
      <c r="AW148" s="178"/>
      <c r="BA148" s="179"/>
    </row>
    <row r="149" spans="1:53" s="28" customFormat="1" x14ac:dyDescent="0.15">
      <c r="A149" s="28">
        <v>2021</v>
      </c>
      <c r="B149" s="293">
        <v>44510</v>
      </c>
      <c r="C149" s="424" t="s">
        <v>1493</v>
      </c>
      <c r="D149" s="424"/>
      <c r="E149" s="28">
        <v>51</v>
      </c>
      <c r="F149" s="28">
        <v>1</v>
      </c>
      <c r="G149" s="65">
        <v>20</v>
      </c>
      <c r="H149" s="28">
        <v>1</v>
      </c>
      <c r="J149" s="72">
        <v>21</v>
      </c>
      <c r="K149" s="46">
        <f t="shared" si="35"/>
        <v>95.238095238095227</v>
      </c>
      <c r="L149" s="46">
        <f t="shared" si="36"/>
        <v>4.7619047619047619</v>
      </c>
      <c r="M149" s="46">
        <f t="shared" si="37"/>
        <v>0</v>
      </c>
      <c r="N149" s="67">
        <f t="shared" si="38"/>
        <v>99.999999999999986</v>
      </c>
      <c r="O149" s="45">
        <v>56.3</v>
      </c>
      <c r="P149" s="46">
        <v>6.9</v>
      </c>
      <c r="Q149" s="46"/>
      <c r="R149" s="47">
        <f t="shared" si="39"/>
        <v>63.199999999999996</v>
      </c>
      <c r="S149" s="28">
        <v>3</v>
      </c>
      <c r="T149" s="284">
        <v>44500</v>
      </c>
      <c r="U149" s="293">
        <v>44510</v>
      </c>
      <c r="V149" s="37" t="s">
        <v>494</v>
      </c>
      <c r="W149" s="28" t="s">
        <v>74</v>
      </c>
      <c r="X149" s="28" t="s">
        <v>11</v>
      </c>
      <c r="Y149" s="38">
        <v>56.3</v>
      </c>
      <c r="Z149" s="37" t="s">
        <v>497</v>
      </c>
      <c r="AA149" s="28" t="s">
        <v>17</v>
      </c>
      <c r="AB149" s="28" t="s">
        <v>18</v>
      </c>
      <c r="AC149" s="38">
        <v>6.9</v>
      </c>
      <c r="AG149" s="38"/>
      <c r="AK149" s="38"/>
      <c r="AO149" s="38"/>
      <c r="AS149" s="38"/>
      <c r="AT149" s="93"/>
      <c r="AW149" s="38"/>
      <c r="BA149" s="39"/>
    </row>
    <row r="150" spans="1:53" s="28" customFormat="1" x14ac:dyDescent="0.15">
      <c r="A150" s="28">
        <v>2022</v>
      </c>
      <c r="C150" s="424" t="s">
        <v>1493</v>
      </c>
      <c r="D150" s="424"/>
      <c r="E150" s="28">
        <v>90</v>
      </c>
      <c r="G150" s="65">
        <v>20</v>
      </c>
      <c r="H150" s="28">
        <v>1</v>
      </c>
      <c r="J150" s="72">
        <v>21</v>
      </c>
      <c r="K150" s="46">
        <f t="shared" si="35"/>
        <v>95.238095238095227</v>
      </c>
      <c r="L150" s="46">
        <f t="shared" si="36"/>
        <v>4.7619047619047619</v>
      </c>
      <c r="M150" s="46">
        <f t="shared" si="37"/>
        <v>0</v>
      </c>
      <c r="N150" s="67">
        <f t="shared" si="38"/>
        <v>99.999999999999986</v>
      </c>
      <c r="O150" s="45">
        <v>56.3</v>
      </c>
      <c r="P150" s="46">
        <v>6.9</v>
      </c>
      <c r="Q150" s="46"/>
      <c r="R150" s="47">
        <f t="shared" si="39"/>
        <v>63.199999999999996</v>
      </c>
      <c r="S150" s="28">
        <v>3</v>
      </c>
      <c r="T150" s="284"/>
      <c r="U150" s="293"/>
      <c r="V150" s="37" t="s">
        <v>494</v>
      </c>
      <c r="W150" s="28" t="s">
        <v>74</v>
      </c>
      <c r="X150" s="28" t="s">
        <v>11</v>
      </c>
      <c r="Y150" s="38">
        <v>56.3</v>
      </c>
      <c r="Z150" s="37" t="s">
        <v>497</v>
      </c>
      <c r="AA150" s="28" t="s">
        <v>17</v>
      </c>
      <c r="AB150" s="28" t="s">
        <v>18</v>
      </c>
      <c r="AC150" s="38">
        <v>6.9</v>
      </c>
      <c r="AG150" s="38"/>
      <c r="AK150" s="38"/>
      <c r="AO150" s="38"/>
      <c r="AS150" s="38"/>
      <c r="AT150" s="93"/>
      <c r="AW150" s="38"/>
      <c r="BA150" s="39"/>
    </row>
    <row r="151" spans="1:53" s="28" customFormat="1" x14ac:dyDescent="0.15">
      <c r="A151" s="28">
        <v>2022</v>
      </c>
      <c r="B151" s="301">
        <v>44651</v>
      </c>
      <c r="C151" s="424" t="s">
        <v>1493</v>
      </c>
      <c r="D151" s="424"/>
      <c r="E151" s="28">
        <v>132</v>
      </c>
      <c r="F151" s="83">
        <v>0</v>
      </c>
      <c r="G151" s="65">
        <v>19</v>
      </c>
      <c r="H151" s="28">
        <v>1</v>
      </c>
      <c r="J151" s="72">
        <v>20</v>
      </c>
      <c r="K151" s="46">
        <f t="shared" si="35"/>
        <v>95</v>
      </c>
      <c r="L151" s="46">
        <f t="shared" si="36"/>
        <v>5</v>
      </c>
      <c r="M151" s="46">
        <f t="shared" si="37"/>
        <v>0</v>
      </c>
      <c r="N151" s="67">
        <f t="shared" si="38"/>
        <v>100</v>
      </c>
      <c r="O151" s="45">
        <v>56.3</v>
      </c>
      <c r="P151" s="46">
        <v>6.9</v>
      </c>
      <c r="Q151" s="46"/>
      <c r="R151" s="47">
        <f t="shared" si="39"/>
        <v>63.199999999999996</v>
      </c>
      <c r="S151" s="28">
        <v>3</v>
      </c>
      <c r="T151" s="284"/>
      <c r="U151" s="293"/>
      <c r="V151" s="37" t="s">
        <v>494</v>
      </c>
      <c r="W151" s="28" t="s">
        <v>74</v>
      </c>
      <c r="X151" s="28" t="s">
        <v>11</v>
      </c>
      <c r="Y151" s="38">
        <v>56.3</v>
      </c>
      <c r="Z151" s="37" t="s">
        <v>497</v>
      </c>
      <c r="AA151" s="28" t="s">
        <v>17</v>
      </c>
      <c r="AB151" s="28" t="s">
        <v>18</v>
      </c>
      <c r="AC151" s="38">
        <v>6.9</v>
      </c>
      <c r="AG151" s="38"/>
      <c r="AK151" s="38"/>
      <c r="AO151" s="38"/>
      <c r="AS151" s="38"/>
      <c r="AT151" s="93"/>
      <c r="AW151" s="38"/>
      <c r="BA151" s="39"/>
    </row>
    <row r="152" spans="1:53" s="28" customFormat="1" x14ac:dyDescent="0.15">
      <c r="A152" s="28">
        <v>2022</v>
      </c>
      <c r="B152" s="301">
        <v>44783</v>
      </c>
      <c r="C152" s="424" t="s">
        <v>1493</v>
      </c>
      <c r="D152" s="424"/>
      <c r="E152" s="28">
        <v>143</v>
      </c>
      <c r="F152" s="83">
        <v>0</v>
      </c>
      <c r="G152" s="65">
        <v>21</v>
      </c>
      <c r="H152" s="28">
        <v>1</v>
      </c>
      <c r="J152" s="72">
        <v>22</v>
      </c>
      <c r="K152" s="46">
        <f t="shared" si="35"/>
        <v>95.454545454545453</v>
      </c>
      <c r="L152" s="46">
        <f t="shared" si="36"/>
        <v>4.5454545454545459</v>
      </c>
      <c r="M152" s="46">
        <f t="shared" si="37"/>
        <v>0</v>
      </c>
      <c r="N152" s="67">
        <f t="shared" si="38"/>
        <v>100</v>
      </c>
      <c r="O152" s="45">
        <v>56.3</v>
      </c>
      <c r="P152" s="46">
        <v>6.9</v>
      </c>
      <c r="Q152" s="46"/>
      <c r="R152" s="47">
        <f t="shared" si="39"/>
        <v>63.199999999999996</v>
      </c>
      <c r="S152" s="28">
        <v>3</v>
      </c>
      <c r="T152" s="284"/>
      <c r="U152" s="293"/>
      <c r="V152" s="37" t="s">
        <v>494</v>
      </c>
      <c r="W152" s="28" t="s">
        <v>74</v>
      </c>
      <c r="X152" s="28" t="s">
        <v>11</v>
      </c>
      <c r="Y152" s="38">
        <v>56.3</v>
      </c>
      <c r="Z152" s="37" t="s">
        <v>497</v>
      </c>
      <c r="AA152" s="28" t="s">
        <v>17</v>
      </c>
      <c r="AB152" s="28" t="s">
        <v>18</v>
      </c>
      <c r="AC152" s="38">
        <v>6.9</v>
      </c>
      <c r="AG152" s="38"/>
      <c r="AK152" s="38"/>
      <c r="AO152" s="38"/>
      <c r="AS152" s="38"/>
      <c r="AT152" s="93"/>
      <c r="AW152" s="38"/>
      <c r="BA152" s="39"/>
    </row>
    <row r="154" spans="1:53" ht="18" customHeight="1" x14ac:dyDescent="0.15">
      <c r="B154" s="15" t="s">
        <v>1262</v>
      </c>
      <c r="H154" s="4"/>
      <c r="AT154" s="1"/>
    </row>
    <row r="155" spans="1:53" ht="9" customHeight="1" x14ac:dyDescent="0.15">
      <c r="H155" s="4"/>
      <c r="AT155" s="1"/>
    </row>
    <row r="156" spans="1:53" s="194" customFormat="1" ht="9" customHeight="1" x14ac:dyDescent="0.15">
      <c r="A156" s="192"/>
      <c r="B156" s="193" t="s">
        <v>1213</v>
      </c>
      <c r="C156" s="193"/>
      <c r="D156" s="193"/>
      <c r="E156" s="193"/>
      <c r="F156" s="193"/>
      <c r="G156" s="193" t="s">
        <v>1214</v>
      </c>
      <c r="H156" s="193"/>
      <c r="I156" s="193"/>
      <c r="J156" s="193"/>
      <c r="K156" s="193"/>
      <c r="L156" s="193"/>
      <c r="M156" s="193"/>
      <c r="N156" s="193"/>
      <c r="R156" s="386" t="s">
        <v>1215</v>
      </c>
      <c r="S156" s="386"/>
      <c r="T156" s="386"/>
      <c r="U156" s="386"/>
      <c r="V156" s="386"/>
      <c r="W156" s="386"/>
      <c r="X156" s="195"/>
      <c r="Y156" s="195"/>
      <c r="AA156" s="195"/>
      <c r="AB156" s="195"/>
      <c r="AC156" s="195"/>
      <c r="AD156" s="195"/>
    </row>
    <row r="157" spans="1:53" s="199" customFormat="1" ht="9" customHeight="1" x14ac:dyDescent="0.15">
      <c r="A157" s="196"/>
      <c r="B157" s="197" t="s">
        <v>1217</v>
      </c>
      <c r="C157" s="198"/>
      <c r="D157" s="198"/>
      <c r="E157" s="198"/>
      <c r="F157" s="198"/>
      <c r="G157" s="197" t="s">
        <v>1216</v>
      </c>
      <c r="H157" s="198"/>
      <c r="I157" s="198"/>
      <c r="J157" s="198"/>
      <c r="K157" s="198"/>
      <c r="L157" s="198"/>
      <c r="M157" s="198"/>
      <c r="N157" s="198"/>
      <c r="R157" s="200" t="s">
        <v>1218</v>
      </c>
      <c r="S157" s="201"/>
      <c r="T157" s="202"/>
      <c r="U157" s="202"/>
      <c r="V157" s="202"/>
      <c r="W157" s="200" t="s">
        <v>1219</v>
      </c>
      <c r="X157" s="202"/>
      <c r="Y157" s="202"/>
      <c r="AA157" s="202"/>
      <c r="AB157" s="202"/>
      <c r="AC157" s="202"/>
      <c r="AD157" s="202"/>
    </row>
    <row r="158" spans="1:53" s="185" customFormat="1" ht="12" customHeight="1" x14ac:dyDescent="0.15">
      <c r="A158" s="203" t="s">
        <v>3</v>
      </c>
      <c r="B158" s="204" t="s">
        <v>8</v>
      </c>
      <c r="C158" s="204" t="s">
        <v>9</v>
      </c>
      <c r="D158" s="204" t="s">
        <v>10</v>
      </c>
      <c r="E158" s="205" t="s">
        <v>1193</v>
      </c>
      <c r="F158" s="204"/>
      <c r="G158" s="185" t="s">
        <v>3</v>
      </c>
      <c r="H158" s="387" t="s">
        <v>0</v>
      </c>
      <c r="I158" s="387"/>
      <c r="J158" s="387" t="s">
        <v>1</v>
      </c>
      <c r="K158" s="387"/>
      <c r="L158" s="387" t="s">
        <v>2</v>
      </c>
      <c r="M158" s="387"/>
      <c r="N158" s="388" t="s">
        <v>1193</v>
      </c>
      <c r="O158" s="388"/>
      <c r="P158" s="206"/>
      <c r="Q158" s="206"/>
      <c r="R158" s="207" t="s">
        <v>3</v>
      </c>
      <c r="S158" s="208" t="s">
        <v>135</v>
      </c>
      <c r="T158" s="206" t="s">
        <v>133</v>
      </c>
      <c r="U158" s="204" t="s">
        <v>134</v>
      </c>
      <c r="V158" s="206"/>
      <c r="W158" s="209" t="s">
        <v>26</v>
      </c>
    </row>
    <row r="159" spans="1:53" s="139" customFormat="1" x14ac:dyDescent="0.15">
      <c r="A159" s="139">
        <v>1959</v>
      </c>
      <c r="B159" s="142">
        <f>(K6*($E6/365)) + (K7*($E7/365))</f>
        <v>100</v>
      </c>
      <c r="C159" s="142">
        <f>(L6*($E6/365)) + (L7*($E7/365))</f>
        <v>0</v>
      </c>
      <c r="D159" s="142">
        <f>(M6*($E6/365)) + (M7*($E7/365))</f>
        <v>0</v>
      </c>
      <c r="E159" s="143">
        <f>B159+C159+D159</f>
        <v>100</v>
      </c>
      <c r="G159" s="139">
        <v>1959</v>
      </c>
      <c r="H159" s="396">
        <f>(O6/$R6*100*($E6/365))+(O7/$R7*100*($E7/365))</f>
        <v>100</v>
      </c>
      <c r="I159" s="396"/>
      <c r="J159" s="396">
        <f>(P6/$R6*100*($E6/365))+(P7/$R7*100*($E7/365))</f>
        <v>0</v>
      </c>
      <c r="K159" s="396"/>
      <c r="L159" s="396">
        <f>(Q6/$R6*100*($E6/365))+(Q7/$R7*100*($E7/365))</f>
        <v>0</v>
      </c>
      <c r="M159" s="396"/>
      <c r="N159" s="400">
        <f>H159+J159+L159</f>
        <v>100</v>
      </c>
      <c r="O159" s="400"/>
      <c r="R159" s="139">
        <v>1959</v>
      </c>
      <c r="S159" s="142">
        <f>(O6*($E6/365)) + (O7*($E7/365))</f>
        <v>61.5</v>
      </c>
      <c r="T159" s="142">
        <f>(P6*($E6/365)) + (P7*($E7/365))</f>
        <v>0</v>
      </c>
      <c r="U159" s="142">
        <f>(Q6*($E6/365)) + (Q7*($E7/365))</f>
        <v>0</v>
      </c>
      <c r="V159" s="152"/>
      <c r="W159" s="142">
        <f>S159+T159+U159</f>
        <v>61.5</v>
      </c>
      <c r="AT159" s="157"/>
    </row>
    <row r="160" spans="1:53" x14ac:dyDescent="0.15">
      <c r="A160" s="1">
        <v>1960</v>
      </c>
      <c r="B160" s="5">
        <f>(K8*($E8/366))+(K9*($E9/366))+(K10*($E10/366))</f>
        <v>100</v>
      </c>
      <c r="C160" s="5">
        <f>(L8*($E8/366))+(L9*($E9/366))+(L10*($E10/366))</f>
        <v>0</v>
      </c>
      <c r="D160" s="5">
        <f>(M8*($E8/366))+(M9*($E9/366))+(M10*($E10/366))</f>
        <v>0</v>
      </c>
      <c r="E160" s="17">
        <f>B160+C160+D160</f>
        <v>100</v>
      </c>
      <c r="G160" s="1">
        <v>1960</v>
      </c>
      <c r="H160" s="392">
        <f>(O8/$R8*100*($E8/366))+(O9/$R9*100*($E9/366))+(O10/$R10*100*($E10/366))</f>
        <v>100</v>
      </c>
      <c r="I160" s="392"/>
      <c r="J160" s="392">
        <f>(P8/$R8*100*($E8/366))+(P9/$R9*100*($E9/366))+(P10/$R10*100*($E10/366))</f>
        <v>0</v>
      </c>
      <c r="K160" s="392"/>
      <c r="L160" s="392">
        <f>(Q8/$R8*100*($E8/366))+(Q9/$R9*100*($E9/366))+(Q10/$R10*100*($E10/366))</f>
        <v>0</v>
      </c>
      <c r="M160" s="392"/>
      <c r="N160" s="363">
        <f>H160+J160+L160</f>
        <v>100</v>
      </c>
      <c r="O160" s="363"/>
      <c r="R160" s="1">
        <v>1960</v>
      </c>
      <c r="S160" s="5">
        <f>(O8*($E8/366))+(O9*($E9/366))+(O10*($E10/366))</f>
        <v>61.624590163934428</v>
      </c>
      <c r="T160" s="5">
        <f>(P8*($E8/366))+(P9*($E9/366))+(P10*($E10/366))</f>
        <v>0</v>
      </c>
      <c r="U160" s="5">
        <f>(Q8*($E8/366))+(Q9*($E9/366))+(Q10*($E10/366))</f>
        <v>0</v>
      </c>
      <c r="V160" s="9"/>
      <c r="W160" s="5">
        <f>S160+T160+U160</f>
        <v>61.624590163934428</v>
      </c>
    </row>
    <row r="161" spans="1:23" x14ac:dyDescent="0.15">
      <c r="A161" s="1">
        <v>1961</v>
      </c>
      <c r="B161" s="5">
        <f>(K11*($E11/365))+(K12*($E12/365))</f>
        <v>100</v>
      </c>
      <c r="C161" s="5">
        <f>(L11*($E11/365))+(L12*($E12/365))</f>
        <v>0</v>
      </c>
      <c r="D161" s="5">
        <f>(M11*($E11/365))+(M12*($E12/365))</f>
        <v>0</v>
      </c>
      <c r="E161" s="17">
        <f t="shared" ref="E161:E213" si="40">B161+C161+D161</f>
        <v>100</v>
      </c>
      <c r="G161" s="1">
        <v>1961</v>
      </c>
      <c r="H161" s="392">
        <f>(O11/$R11*100*($E11/365))+(O12/$R12*100*($E12/365))</f>
        <v>100</v>
      </c>
      <c r="I161" s="392"/>
      <c r="J161" s="392">
        <f>(P11/$R11*100*($E11/365))+(P12/$R12*100*($E12/365))</f>
        <v>0</v>
      </c>
      <c r="K161" s="392"/>
      <c r="L161" s="392">
        <f>(Q11/$R11*100*($E11/365))+(Q12/$R12*100*($E12/365))</f>
        <v>0</v>
      </c>
      <c r="M161" s="392"/>
      <c r="N161" s="363">
        <f t="shared" ref="N161:N212" si="41">H161+J161+L161</f>
        <v>100</v>
      </c>
      <c r="O161" s="363"/>
      <c r="R161" s="1">
        <v>1961</v>
      </c>
      <c r="S161" s="5">
        <f>(O11*($E11/365))+(O12*($E12/365))</f>
        <v>63.4</v>
      </c>
      <c r="T161" s="5">
        <f>(P11*($E11/365))+(P12*($E12/365))</f>
        <v>0</v>
      </c>
      <c r="U161" s="5">
        <f>(Q11*($E11/365))+(Q12*($E12/365))</f>
        <v>0</v>
      </c>
      <c r="V161" s="9"/>
      <c r="W161" s="5">
        <f t="shared" ref="W161:W213" si="42">S161+T161+U161</f>
        <v>63.4</v>
      </c>
    </row>
    <row r="162" spans="1:23" x14ac:dyDescent="0.15">
      <c r="A162" s="1">
        <v>1962</v>
      </c>
      <c r="B162" s="5">
        <f>(K13*($E13/365))+(K14*($E14/365))</f>
        <v>100</v>
      </c>
      <c r="C162" s="5">
        <f>(L13*($E13/365))+(L14*($E14/365))</f>
        <v>0</v>
      </c>
      <c r="D162" s="5">
        <f>(M13*($E13/365))+(M14*($E14/365))</f>
        <v>0</v>
      </c>
      <c r="E162" s="17">
        <f t="shared" si="40"/>
        <v>100</v>
      </c>
      <c r="G162" s="1">
        <v>1962</v>
      </c>
      <c r="H162" s="392">
        <f>(O13/$R13*100*($E13/365))+(O14/$R14*100*($E14/365))</f>
        <v>100</v>
      </c>
      <c r="I162" s="392"/>
      <c r="J162" s="392">
        <f>(P13/$R13*100*($E13/365))+(P14/$R14*100*($E14/365))</f>
        <v>0</v>
      </c>
      <c r="K162" s="392"/>
      <c r="L162" s="392">
        <f>(Q13/$R13*100*($E13/365))+(Q14/$R14*100*($E14/365))</f>
        <v>0</v>
      </c>
      <c r="M162" s="392"/>
      <c r="N162" s="363">
        <f t="shared" si="41"/>
        <v>100</v>
      </c>
      <c r="O162" s="363"/>
      <c r="R162" s="1">
        <v>1962</v>
      </c>
      <c r="S162" s="5">
        <f>(O13*($E13/365))+(O14*($E14/365))</f>
        <v>63.4</v>
      </c>
      <c r="T162" s="5">
        <f>(P13*($E13/365))+(P14*($E14/365))</f>
        <v>0</v>
      </c>
      <c r="U162" s="5">
        <f>(Q13*($E13/365))+(Q14*($E14/365))</f>
        <v>0</v>
      </c>
      <c r="V162" s="9"/>
      <c r="W162" s="5">
        <f t="shared" si="42"/>
        <v>63.4</v>
      </c>
    </row>
    <row r="163" spans="1:23" x14ac:dyDescent="0.15">
      <c r="A163" s="1">
        <v>1963</v>
      </c>
      <c r="B163" s="5">
        <f>(K15*($E15/365))+(K16*($E16/365))</f>
        <v>100.00000000000001</v>
      </c>
      <c r="C163" s="5">
        <f>(L15*($E15/365))+(L16*($E16/365))</f>
        <v>0</v>
      </c>
      <c r="D163" s="5">
        <f>(M15*($E15/365))+(M16*($E16/365))</f>
        <v>0</v>
      </c>
      <c r="E163" s="17">
        <f t="shared" si="40"/>
        <v>100.00000000000001</v>
      </c>
      <c r="G163" s="1">
        <v>1963</v>
      </c>
      <c r="H163" s="392">
        <f>(O15/$R15*100*($E15/365))+(O16/$R16*100*($E16/365))</f>
        <v>100.00000000000001</v>
      </c>
      <c r="I163" s="392"/>
      <c r="J163" s="392">
        <f>(P15/$R15*100*($E15/365))+(P16/$R16*100*($E16/365))</f>
        <v>0</v>
      </c>
      <c r="K163" s="392"/>
      <c r="L163" s="392">
        <f>(Q15/$R15*100*($E15/365))+(Q16/$R16*100*($E16/365))</f>
        <v>0</v>
      </c>
      <c r="M163" s="392"/>
      <c r="N163" s="363">
        <f t="shared" si="41"/>
        <v>100.00000000000001</v>
      </c>
      <c r="O163" s="363"/>
      <c r="R163" s="1">
        <v>1963</v>
      </c>
      <c r="S163" s="5">
        <f>(O15*($E15/365))+(O16*($E16/365))</f>
        <v>63.223561643835616</v>
      </c>
      <c r="T163" s="5">
        <f>(P15*($E15/365))+(P16*($E16/365))</f>
        <v>0</v>
      </c>
      <c r="U163" s="5">
        <f>(Q15*($E15/365))+(Q16*($E16/365))</f>
        <v>0</v>
      </c>
      <c r="V163" s="9"/>
      <c r="W163" s="5">
        <f t="shared" si="42"/>
        <v>63.223561643835616</v>
      </c>
    </row>
    <row r="164" spans="1:23" x14ac:dyDescent="0.15">
      <c r="A164" s="1">
        <v>1964</v>
      </c>
      <c r="B164" s="5">
        <f>(K17*($E17/366))+(K18*($E18/366))</f>
        <v>100</v>
      </c>
      <c r="C164" s="5">
        <f>(L17*($E17/366))+(L18*($E18/366))</f>
        <v>0</v>
      </c>
      <c r="D164" s="5">
        <f>(M17*($E17/366))+(M18*($E18/366))</f>
        <v>0</v>
      </c>
      <c r="E164" s="17">
        <f t="shared" si="40"/>
        <v>100</v>
      </c>
      <c r="G164" s="1">
        <v>1964</v>
      </c>
      <c r="H164" s="392">
        <f>(O17/$R17*100*($E17/366))+(O18/$R18*100*($E18/366))</f>
        <v>100</v>
      </c>
      <c r="I164" s="392"/>
      <c r="J164" s="392">
        <f>(P17/$R17*100*($E17/366))+(P18/$R18*100*($E18/366))</f>
        <v>0</v>
      </c>
      <c r="K164" s="392"/>
      <c r="L164" s="392">
        <f>(Q17/$R17*100*($E17/366))+(Q18/$R18*100*($E18/366))</f>
        <v>0</v>
      </c>
      <c r="M164" s="392"/>
      <c r="N164" s="363">
        <f t="shared" si="41"/>
        <v>100</v>
      </c>
      <c r="O164" s="363"/>
      <c r="R164" s="1">
        <v>1964</v>
      </c>
      <c r="S164" s="5">
        <f>(O17*($E17/366))+(O18*($E18/366))</f>
        <v>60.599999999999994</v>
      </c>
      <c r="T164" s="5">
        <f>(P17*($E17/366))+(P18*($E18/366))</f>
        <v>0</v>
      </c>
      <c r="U164" s="5">
        <f>(Q17*($E17/366))+(Q18*($E18/366))</f>
        <v>0</v>
      </c>
      <c r="V164" s="9"/>
      <c r="W164" s="5">
        <f t="shared" si="42"/>
        <v>60.599999999999994</v>
      </c>
    </row>
    <row r="165" spans="1:23" x14ac:dyDescent="0.15">
      <c r="A165" s="1">
        <v>1965</v>
      </c>
      <c r="B165" s="5">
        <f>(K19*($E19/365))+(K20*($E20/365))</f>
        <v>100</v>
      </c>
      <c r="C165" s="5">
        <f>(L19*($E19/365))+(L20*($E20/365))</f>
        <v>0</v>
      </c>
      <c r="D165" s="5">
        <f>(M19*($E19/365))+(M20*($E20/365))</f>
        <v>0</v>
      </c>
      <c r="E165" s="17">
        <f t="shared" si="40"/>
        <v>100</v>
      </c>
      <c r="G165" s="1">
        <v>1965</v>
      </c>
      <c r="H165" s="392">
        <f>(O19/$R19*100*($E19/365))+(O20/$R20*100*($E20/365))</f>
        <v>100</v>
      </c>
      <c r="I165" s="392"/>
      <c r="J165" s="392">
        <f>(P19/$R19*100*($E19/365))+(P20/$R20*100*($E20/365))</f>
        <v>0</v>
      </c>
      <c r="K165" s="392"/>
      <c r="L165" s="392">
        <f>(Q19/$R19*100*($E19/365))+(Q20/$R20*100*($E20/365))</f>
        <v>0</v>
      </c>
      <c r="M165" s="392"/>
      <c r="N165" s="363">
        <f t="shared" si="41"/>
        <v>100</v>
      </c>
      <c r="O165" s="363"/>
      <c r="R165" s="1">
        <v>1965</v>
      </c>
      <c r="S165" s="5">
        <f>(O19*($E19/365))+(O20*($E20/365))</f>
        <v>60.6</v>
      </c>
      <c r="T165" s="5">
        <f>(P19*($E19/365))+(P20*($E20/365))</f>
        <v>0</v>
      </c>
      <c r="U165" s="5">
        <f>(Q19*($E19/365))+(Q20*($E20/365))</f>
        <v>0</v>
      </c>
      <c r="V165" s="9"/>
      <c r="W165" s="5">
        <f t="shared" si="42"/>
        <v>60.6</v>
      </c>
    </row>
    <row r="166" spans="1:23" x14ac:dyDescent="0.15">
      <c r="A166" s="1">
        <v>1966</v>
      </c>
      <c r="B166" s="5">
        <f>(K21*($E21/365))+(K22*($E22/365))</f>
        <v>100</v>
      </c>
      <c r="C166" s="5">
        <f>(L21*($E21/365))+(L22*($E22/365))</f>
        <v>0</v>
      </c>
      <c r="D166" s="5">
        <f>(M21*($E21/365))+(M22*($E22/365))</f>
        <v>0</v>
      </c>
      <c r="E166" s="17">
        <f t="shared" si="40"/>
        <v>100</v>
      </c>
      <c r="G166" s="1">
        <v>1966</v>
      </c>
      <c r="H166" s="392">
        <f>(O21/$R21*100*($E21/365))+(O22/$R22*100*($E22/365))</f>
        <v>100</v>
      </c>
      <c r="I166" s="392"/>
      <c r="J166" s="392">
        <f>(P21/$R21*100*($E21/365))+(P22/$R22*100*($E22/365))</f>
        <v>0</v>
      </c>
      <c r="K166" s="392"/>
      <c r="L166" s="392">
        <f>(Q21/$R21*100*($E21/365))+(Q22/$R22*100*($E22/365))</f>
        <v>0</v>
      </c>
      <c r="M166" s="392"/>
      <c r="N166" s="363">
        <f t="shared" si="41"/>
        <v>100</v>
      </c>
      <c r="O166" s="363"/>
      <c r="R166" s="1">
        <v>1966</v>
      </c>
      <c r="S166" s="5">
        <f>(O21*($E21/365))+(O22*($E22/365))</f>
        <v>60.6</v>
      </c>
      <c r="T166" s="5">
        <f>(P21*($E21/365))+(P22*($E22/365))</f>
        <v>0</v>
      </c>
      <c r="U166" s="5">
        <f>(Q21*($E21/365))+(Q22*($E22/365))</f>
        <v>0</v>
      </c>
      <c r="V166" s="9"/>
      <c r="W166" s="5">
        <f t="shared" si="42"/>
        <v>60.6</v>
      </c>
    </row>
    <row r="167" spans="1:23" x14ac:dyDescent="0.15">
      <c r="A167" s="1">
        <v>1967</v>
      </c>
      <c r="B167" s="5">
        <f>(K23*($E23/365))+(K24*($E24/365))</f>
        <v>100</v>
      </c>
      <c r="C167" s="5">
        <f>(L23*($E23/365))+(L24*($E24/365))</f>
        <v>0</v>
      </c>
      <c r="D167" s="5">
        <f>(M23*($E23/365))+(M24*($E24/365))</f>
        <v>0</v>
      </c>
      <c r="E167" s="17">
        <f t="shared" si="40"/>
        <v>100</v>
      </c>
      <c r="G167" s="1">
        <v>1967</v>
      </c>
      <c r="H167" s="392">
        <f>(O23/$R23*100*($E23/365))+(O24/$R24*100*($E24/365))</f>
        <v>100</v>
      </c>
      <c r="I167" s="392"/>
      <c r="J167" s="392">
        <f>(P23/$R23*100*($E23/365))+(P24/$R24*100*($E24/365))</f>
        <v>0</v>
      </c>
      <c r="K167" s="392"/>
      <c r="L167" s="392">
        <f>(Q23/$R23*100*($E23/365))+(Q24/$R24*100*($E24/365))</f>
        <v>0</v>
      </c>
      <c r="M167" s="392"/>
      <c r="N167" s="363">
        <f t="shared" si="41"/>
        <v>100</v>
      </c>
      <c r="O167" s="363"/>
      <c r="R167" s="1">
        <v>1967</v>
      </c>
      <c r="S167" s="5">
        <f>(O23*($E23/365))+(O24*($E24/365))</f>
        <v>57.463561643835618</v>
      </c>
      <c r="T167" s="5">
        <f>(P23*($E23/365))+(P24*($E24/365))</f>
        <v>0</v>
      </c>
      <c r="U167" s="5">
        <f>(Q23*($E23/365))+(Q24*($E24/365))</f>
        <v>0</v>
      </c>
      <c r="V167" s="9"/>
      <c r="W167" s="5">
        <f t="shared" si="42"/>
        <v>57.463561643835618</v>
      </c>
    </row>
    <row r="168" spans="1:23" x14ac:dyDescent="0.15">
      <c r="A168" s="1">
        <v>1968</v>
      </c>
      <c r="B168" s="5">
        <f>(K25*($E25/366))+(K26*($E26/366))</f>
        <v>100</v>
      </c>
      <c r="C168" s="5">
        <f>(L25*($E25/366))+(L26*($E26/366))</f>
        <v>0</v>
      </c>
      <c r="D168" s="5">
        <f>(M25*($E25/366))+(M26*($E26/366))</f>
        <v>0</v>
      </c>
      <c r="E168" s="17">
        <f t="shared" si="40"/>
        <v>100</v>
      </c>
      <c r="G168" s="1">
        <v>1968</v>
      </c>
      <c r="H168" s="392">
        <f>(O25/$R25*100*($E25/366))+(O26/$R26*100*($E26/366))</f>
        <v>100</v>
      </c>
      <c r="I168" s="392"/>
      <c r="J168" s="392">
        <f>(P25/$R25*100*($E25/366))+(P26/$R26*100*($E26/366))</f>
        <v>0</v>
      </c>
      <c r="K168" s="392"/>
      <c r="L168" s="392">
        <f>(Q25/$R25*100*($E25/366))+(Q26/$R26*100*($E26/366))</f>
        <v>0</v>
      </c>
      <c r="M168" s="392"/>
      <c r="N168" s="363">
        <f t="shared" si="41"/>
        <v>100</v>
      </c>
      <c r="O168" s="363"/>
      <c r="R168" s="1">
        <v>1968</v>
      </c>
      <c r="S168" s="5">
        <f>(O25*($E25/366))+(O26*($E26/366))</f>
        <v>57</v>
      </c>
      <c r="T168" s="5">
        <f>(P25*($E25/366))+(P26*($E26/366))</f>
        <v>0</v>
      </c>
      <c r="U168" s="5">
        <f>(Q25*($E25/366))+(Q26*($E26/366))</f>
        <v>0</v>
      </c>
      <c r="V168" s="9"/>
      <c r="W168" s="5">
        <f t="shared" si="42"/>
        <v>57</v>
      </c>
    </row>
    <row r="169" spans="1:23" x14ac:dyDescent="0.15">
      <c r="A169" s="1">
        <v>1969</v>
      </c>
      <c r="B169" s="5">
        <f>(K27*($E27/365))+(K28*($E28/365))</f>
        <v>100</v>
      </c>
      <c r="C169" s="5">
        <f>(L27*($E27/365))+(L28*($E28/365))</f>
        <v>0</v>
      </c>
      <c r="D169" s="5">
        <f>(M27*($E27/365))+(M28*($E28/365))</f>
        <v>0</v>
      </c>
      <c r="E169" s="17">
        <f t="shared" si="40"/>
        <v>100</v>
      </c>
      <c r="G169" s="1">
        <v>1969</v>
      </c>
      <c r="H169" s="392">
        <f>(O27/$R27*100*($E27/365))+(O28/$R28*100*($E28/365))</f>
        <v>100</v>
      </c>
      <c r="I169" s="392"/>
      <c r="J169" s="392">
        <f>(P27/$R27*100*($E27/365))+(P28/$R28*100*($E28/365))</f>
        <v>0</v>
      </c>
      <c r="K169" s="392"/>
      <c r="L169" s="392">
        <f>(Q27/$R27*100*($E27/365))+(Q28/$R28*100*($E28/365))</f>
        <v>0</v>
      </c>
      <c r="M169" s="392"/>
      <c r="N169" s="363">
        <f t="shared" si="41"/>
        <v>100</v>
      </c>
      <c r="O169" s="363"/>
      <c r="R169" s="1">
        <v>1969</v>
      </c>
      <c r="S169" s="5">
        <f>(O27*($E27/365))+(O28*($E28/365))</f>
        <v>57</v>
      </c>
      <c r="T169" s="5">
        <f>(P27*($E27/365))+(P28*($E28/365))</f>
        <v>0</v>
      </c>
      <c r="U169" s="5">
        <f>(Q27*($E27/365))+(Q28*($E28/365))</f>
        <v>0</v>
      </c>
      <c r="V169" s="9"/>
      <c r="W169" s="5">
        <f t="shared" si="42"/>
        <v>57</v>
      </c>
    </row>
    <row r="170" spans="1:23" x14ac:dyDescent="0.15">
      <c r="A170" s="1">
        <v>1970</v>
      </c>
      <c r="B170" s="5">
        <f>(K29*($E29/365))+(K30*($E30/365))</f>
        <v>100</v>
      </c>
      <c r="C170" s="5">
        <f>(L29*($E29/365))+(L30*($E30/365))</f>
        <v>0</v>
      </c>
      <c r="D170" s="5">
        <f>(M29*($E29/365))+(M30*($E30/365))</f>
        <v>0</v>
      </c>
      <c r="E170" s="17">
        <f t="shared" si="40"/>
        <v>100</v>
      </c>
      <c r="G170" s="1">
        <v>1970</v>
      </c>
      <c r="H170" s="392">
        <f>(O29/$R29*100*($E29/365))+(O30/$R30*100*($E30/365))</f>
        <v>100</v>
      </c>
      <c r="I170" s="392"/>
      <c r="J170" s="392">
        <f>(P29/$R29*100*($E29/365))+(P30/$R30*100*($E30/365))</f>
        <v>0</v>
      </c>
      <c r="K170" s="392"/>
      <c r="L170" s="392">
        <f>(Q29/$R29*100*($E29/365))+(Q30/$R30*100*($E30/365))</f>
        <v>0</v>
      </c>
      <c r="M170" s="392"/>
      <c r="N170" s="363">
        <f t="shared" si="41"/>
        <v>100</v>
      </c>
      <c r="O170" s="363"/>
      <c r="R170" s="1">
        <v>1970</v>
      </c>
      <c r="S170" s="5">
        <f>(O29*($E29/365))+(O30*($E30/365))</f>
        <v>59.218082191780823</v>
      </c>
      <c r="T170" s="5">
        <f>(P29*($E29/365))+(P30*($E30/365))</f>
        <v>0</v>
      </c>
      <c r="U170" s="5">
        <f>(Q29*($E29/365))+(Q30*($E30/365))</f>
        <v>0</v>
      </c>
      <c r="V170" s="9"/>
      <c r="W170" s="5">
        <f t="shared" si="42"/>
        <v>59.218082191780823</v>
      </c>
    </row>
    <row r="171" spans="1:23" x14ac:dyDescent="0.15">
      <c r="A171" s="1">
        <v>1971</v>
      </c>
      <c r="B171" s="5">
        <f>(K31*($E31/365))+(K32*($E32/365))</f>
        <v>100</v>
      </c>
      <c r="C171" s="5">
        <f>(L31*($E31/365))+(L32*($E32/365))</f>
        <v>0</v>
      </c>
      <c r="D171" s="5">
        <f>(M31*($E31/365))+(M32*($E32/365))</f>
        <v>0</v>
      </c>
      <c r="E171" s="17">
        <f t="shared" si="40"/>
        <v>100</v>
      </c>
      <c r="G171" s="1">
        <v>1971</v>
      </c>
      <c r="H171" s="392">
        <f>(O31/$R31*100*($E31/365))+(O32/$R32*100*($E32/365))</f>
        <v>100</v>
      </c>
      <c r="I171" s="392"/>
      <c r="J171" s="392">
        <f>(P31/$R31*100*($E31/365))+(P32/$R32*100*($E32/365))</f>
        <v>0</v>
      </c>
      <c r="K171" s="392"/>
      <c r="L171" s="392">
        <f>(Q31/$R31*100*($E31/365))+(Q32/$R32*100*($E32/365))</f>
        <v>0</v>
      </c>
      <c r="M171" s="392"/>
      <c r="N171" s="363">
        <f t="shared" si="41"/>
        <v>100</v>
      </c>
      <c r="O171" s="363"/>
      <c r="R171" s="1">
        <v>1971</v>
      </c>
      <c r="S171" s="5">
        <f>(O31*($E31/365))+(O32*($E32/365))</f>
        <v>59.3</v>
      </c>
      <c r="T171" s="5">
        <f>(P31*($E31/365))+(P32*($E32/365))</f>
        <v>0</v>
      </c>
      <c r="U171" s="5">
        <f>(Q31*($E31/365))+(Q32*($E32/365))</f>
        <v>0</v>
      </c>
      <c r="V171" s="9"/>
      <c r="W171" s="5">
        <f t="shared" si="42"/>
        <v>59.3</v>
      </c>
    </row>
    <row r="172" spans="1:23" x14ac:dyDescent="0.15">
      <c r="A172" s="1">
        <v>1972</v>
      </c>
      <c r="B172" s="5">
        <f>(K33*($E33/366))+(K34*($E34/366))+(K35*($E35/366))</f>
        <v>99.999999999999986</v>
      </c>
      <c r="C172" s="5">
        <f>(L33*($E33/366))+(L34*($E34/366))+(L35*($E35/366))</f>
        <v>0</v>
      </c>
      <c r="D172" s="5">
        <f>(M33*($E33/366))+(M34*($E34/366))+(M35*($E35/366))</f>
        <v>0</v>
      </c>
      <c r="E172" s="17">
        <f t="shared" si="40"/>
        <v>99.999999999999986</v>
      </c>
      <c r="G172" s="1">
        <v>1972</v>
      </c>
      <c r="H172" s="392">
        <f>(O33/$R33*100*($E33/366))+(O34/$R34*100*($E34/366))+(O35/$R35*100*($E35/366))</f>
        <v>99.999999999999986</v>
      </c>
      <c r="I172" s="392"/>
      <c r="J172" s="392">
        <f>(P33/$R33*100*($E33/366))+(P34/$R34*100*($E34/366))+(P35/$R35*100*($E35/366))</f>
        <v>0</v>
      </c>
      <c r="K172" s="392"/>
      <c r="L172" s="392">
        <f>(Q33/$R33*100*($E33/366))+(Q34/$R34*100*($E34/366))+(Q35/$R35*100*($E35/366))</f>
        <v>0</v>
      </c>
      <c r="M172" s="392"/>
      <c r="N172" s="363">
        <f t="shared" si="41"/>
        <v>99.999999999999986</v>
      </c>
      <c r="O172" s="363"/>
      <c r="R172" s="1">
        <v>1972</v>
      </c>
      <c r="S172" s="5">
        <f>(O33*($E33/366))+(O34*($E34/366))+(O35*($E35/366))</f>
        <v>59.187978142076503</v>
      </c>
      <c r="T172" s="5">
        <f>(P33*($E33/366))+(P34*($E34/366))+(P35*($E35/366))</f>
        <v>0</v>
      </c>
      <c r="U172" s="5">
        <f>(Q33*($E33/366))+(Q34*($E34/366))+(Q35*($E35/366))</f>
        <v>0</v>
      </c>
      <c r="V172" s="9"/>
      <c r="W172" s="5">
        <f t="shared" si="42"/>
        <v>59.187978142076503</v>
      </c>
    </row>
    <row r="173" spans="1:23" x14ac:dyDescent="0.15">
      <c r="A173" s="1">
        <v>1973</v>
      </c>
      <c r="B173" s="5">
        <f>(K36*($E36/365))+(K37*($E37/365))</f>
        <v>100</v>
      </c>
      <c r="C173" s="5">
        <f>(L36*($E36/365))+(L37*($E37/365))</f>
        <v>0</v>
      </c>
      <c r="D173" s="5">
        <f>(M36*($E36/365))+(M37*($E37/365))</f>
        <v>0</v>
      </c>
      <c r="E173" s="17">
        <f t="shared" si="40"/>
        <v>100</v>
      </c>
      <c r="G173" s="1">
        <v>1973</v>
      </c>
      <c r="H173" s="392">
        <f>(O36/$R36*100*($E36/365))+(O37/$R37*100*($E37/365))</f>
        <v>100</v>
      </c>
      <c r="I173" s="392"/>
      <c r="J173" s="392">
        <f>(P36/$R36*100*($E36/365))+(P37/$R37*100*($E37/365))</f>
        <v>0</v>
      </c>
      <c r="K173" s="392"/>
      <c r="L173" s="392">
        <f>(Q36/$R36*100*($E36/365))+(Q37/$R37*100*($E37/365))</f>
        <v>0</v>
      </c>
      <c r="M173" s="392"/>
      <c r="N173" s="363">
        <f t="shared" si="41"/>
        <v>100</v>
      </c>
      <c r="O173" s="363"/>
      <c r="R173" s="1">
        <v>1973</v>
      </c>
      <c r="S173" s="5">
        <f>(O36*($E36/365))+(O37*($E37/365))</f>
        <v>55.2</v>
      </c>
      <c r="T173" s="5">
        <f>(P36*($E36/365))+(P37*($E37/365))</f>
        <v>0</v>
      </c>
      <c r="U173" s="5">
        <f>(Q36*($E36/365))+(Q37*($E37/365))</f>
        <v>0</v>
      </c>
      <c r="V173" s="9"/>
      <c r="W173" s="5">
        <f t="shared" si="42"/>
        <v>55.2</v>
      </c>
    </row>
    <row r="174" spans="1:23" x14ac:dyDescent="0.15">
      <c r="A174" s="1">
        <v>1974</v>
      </c>
      <c r="B174" s="5">
        <f>(K38*($E38/365))+(K39*($E39/365))</f>
        <v>100.00000000000001</v>
      </c>
      <c r="C174" s="5">
        <f>(L38*($E38/365))+(L39*($E39/365))</f>
        <v>0</v>
      </c>
      <c r="D174" s="5">
        <f>(M38*($E38/365))+(M39*($E39/365))</f>
        <v>0</v>
      </c>
      <c r="E174" s="17">
        <f t="shared" si="40"/>
        <v>100.00000000000001</v>
      </c>
      <c r="G174" s="1">
        <v>1974</v>
      </c>
      <c r="H174" s="392">
        <f>(O38/$R38*100*($E38/365))+(O39/$R39*100*($E39/365))</f>
        <v>100.00000000000001</v>
      </c>
      <c r="I174" s="392"/>
      <c r="J174" s="392">
        <f>(P38/$R38*100*($E38/365))+(P39/$R39*100*($E39/365))</f>
        <v>0</v>
      </c>
      <c r="K174" s="392"/>
      <c r="L174" s="392">
        <f>(Q38/$R38*100*($E38/365))+(Q39/$R39*100*($E39/365))</f>
        <v>0</v>
      </c>
      <c r="M174" s="392"/>
      <c r="N174" s="363">
        <f t="shared" si="41"/>
        <v>100.00000000000001</v>
      </c>
      <c r="O174" s="363"/>
      <c r="R174" s="1">
        <v>1974</v>
      </c>
      <c r="S174" s="5">
        <f>(O38*($E38/365))+(O39*($E39/365))</f>
        <v>55.2</v>
      </c>
      <c r="T174" s="5">
        <f>(P38*($E38/365))+(P39*($E39/365))</f>
        <v>0</v>
      </c>
      <c r="U174" s="5">
        <f>(Q38*($E38/365))+(Q39*($E39/365))</f>
        <v>0</v>
      </c>
      <c r="V174" s="9"/>
      <c r="W174" s="5">
        <f t="shared" si="42"/>
        <v>55.2</v>
      </c>
    </row>
    <row r="175" spans="1:23" x14ac:dyDescent="0.15">
      <c r="A175" s="1">
        <v>1975</v>
      </c>
      <c r="B175" s="5">
        <f>(K40*($E40/365))+(K41*($E41/365))</f>
        <v>100</v>
      </c>
      <c r="C175" s="5">
        <f>(L40*($E40/365))+(L41*($E41/365))</f>
        <v>0</v>
      </c>
      <c r="D175" s="5">
        <f>(M40*($E40/365))+(M41*($E41/365))</f>
        <v>0</v>
      </c>
      <c r="E175" s="17">
        <f t="shared" si="40"/>
        <v>100</v>
      </c>
      <c r="G175" s="1">
        <v>1975</v>
      </c>
      <c r="H175" s="392">
        <f>(O40/$R40*100*($E40/365))+(O41/$R41*100*($E41/365))</f>
        <v>100</v>
      </c>
      <c r="I175" s="392"/>
      <c r="J175" s="392">
        <f>(P40/$R40*100*($E40/365))+(P41/$R41*100*($E41/365))</f>
        <v>0</v>
      </c>
      <c r="K175" s="392"/>
      <c r="L175" s="392">
        <f>(Q40/$R40*100*($E40/365))+(Q41/$R41*100*($E41/365))</f>
        <v>0</v>
      </c>
      <c r="M175" s="392"/>
      <c r="N175" s="363">
        <f t="shared" si="41"/>
        <v>100</v>
      </c>
      <c r="O175" s="363"/>
      <c r="R175" s="1">
        <v>1975</v>
      </c>
      <c r="S175" s="5">
        <f>(O40*($E40/365))+(O41*($E41/365))</f>
        <v>55.2</v>
      </c>
      <c r="T175" s="5">
        <f>(P40*($E40/365))+(P41*($E41/365))</f>
        <v>0</v>
      </c>
      <c r="U175" s="5">
        <f>(Q40*($E40/365))+(Q41*($E41/365))</f>
        <v>0</v>
      </c>
      <c r="V175" s="9"/>
      <c r="W175" s="5">
        <f t="shared" si="42"/>
        <v>55.2</v>
      </c>
    </row>
    <row r="176" spans="1:23" x14ac:dyDescent="0.15">
      <c r="A176" s="1">
        <v>1976</v>
      </c>
      <c r="B176" s="5">
        <f>(K42*($E42/366))+(K43*($E43/366))</f>
        <v>100</v>
      </c>
      <c r="C176" s="5">
        <f>(L42*($E42/366))+(L43*($E43/366))</f>
        <v>0</v>
      </c>
      <c r="D176" s="5">
        <f>(M42*($E42/366))+(M43*($E43/366))</f>
        <v>0</v>
      </c>
      <c r="E176" s="17">
        <f t="shared" si="40"/>
        <v>100</v>
      </c>
      <c r="G176" s="1">
        <v>1976</v>
      </c>
      <c r="H176" s="392">
        <f>(O42/$R42*100*($E42/366))+(O43/$R43*100*($E43/366))</f>
        <v>100</v>
      </c>
      <c r="I176" s="392"/>
      <c r="J176" s="392">
        <f>(P42/$R42*100*($E42/366))+(P43/$R43*100*($E43/366))</f>
        <v>0</v>
      </c>
      <c r="K176" s="392"/>
      <c r="L176" s="392">
        <f>(Q42/$R42*100*($E42/366))+(Q43/$R43*100*($E43/366))</f>
        <v>0</v>
      </c>
      <c r="M176" s="392"/>
      <c r="N176" s="363">
        <f t="shared" si="41"/>
        <v>100</v>
      </c>
      <c r="O176" s="363"/>
      <c r="R176" s="1">
        <v>1976</v>
      </c>
      <c r="S176" s="5">
        <f>(O42*($E42/366))+(O43*($E43/366))</f>
        <v>55.057923497267765</v>
      </c>
      <c r="T176" s="5">
        <f>(P42*($E42/366))+(P43*($E43/366))</f>
        <v>0</v>
      </c>
      <c r="U176" s="5">
        <f>(Q42*($E42/366))+(Q43*($E43/366))</f>
        <v>0</v>
      </c>
      <c r="V176" s="9"/>
      <c r="W176" s="5">
        <f t="shared" si="42"/>
        <v>55.057923497267765</v>
      </c>
    </row>
    <row r="177" spans="1:23" x14ac:dyDescent="0.15">
      <c r="A177" s="1">
        <v>1977</v>
      </c>
      <c r="B177" s="5">
        <f>(K44*($E44/365))+(K45*($E45/365))</f>
        <v>100</v>
      </c>
      <c r="C177" s="5">
        <f>(L44*($E44/365))+(L45*($E45/365))</f>
        <v>0</v>
      </c>
      <c r="D177" s="5">
        <f>(M44*($E44/365))+(M45*($E45/365))</f>
        <v>0</v>
      </c>
      <c r="E177" s="17">
        <f t="shared" si="40"/>
        <v>100</v>
      </c>
      <c r="G177" s="1">
        <v>1977</v>
      </c>
      <c r="H177" s="392">
        <f>(O44/$R44*100*($E44/365))+(O45/$R45*100*($E45/365))</f>
        <v>100</v>
      </c>
      <c r="I177" s="392"/>
      <c r="J177" s="392">
        <f>(P44/$R44*100*($E44/365))+(P45/$R45*100*($E45/365))</f>
        <v>0</v>
      </c>
      <c r="K177" s="392"/>
      <c r="L177" s="392">
        <f>(Q44/$R44*100*($E44/365))+(Q45/$R45*100*($E45/365))</f>
        <v>0</v>
      </c>
      <c r="M177" s="392"/>
      <c r="N177" s="363">
        <f t="shared" si="41"/>
        <v>100</v>
      </c>
      <c r="O177" s="363"/>
      <c r="R177" s="1">
        <v>1977</v>
      </c>
      <c r="S177" s="5">
        <f>(O44*($E44/365))+(O45*($E45/365))</f>
        <v>48.7</v>
      </c>
      <c r="T177" s="5">
        <f>(P44*($E44/365))+(P45*($E45/365))</f>
        <v>0</v>
      </c>
      <c r="U177" s="5">
        <f>(Q44*($E44/365))+(Q45*($E45/365))</f>
        <v>0</v>
      </c>
      <c r="V177" s="9"/>
      <c r="W177" s="5">
        <f t="shared" si="42"/>
        <v>48.7</v>
      </c>
    </row>
    <row r="178" spans="1:23" x14ac:dyDescent="0.15">
      <c r="A178" s="1">
        <v>1978</v>
      </c>
      <c r="B178" s="5">
        <f>(K46*($E46/365))+(K47*($E47/365))</f>
        <v>100</v>
      </c>
      <c r="C178" s="5">
        <f>(L46*($E46/365))+(L47*($E47/365))</f>
        <v>0</v>
      </c>
      <c r="D178" s="5">
        <f>(M46*($E46/365))+(M47*($E47/365))</f>
        <v>0</v>
      </c>
      <c r="E178" s="17">
        <f t="shared" si="40"/>
        <v>100</v>
      </c>
      <c r="G178" s="1">
        <v>1978</v>
      </c>
      <c r="H178" s="392">
        <f>(O46/$R46*100*($E46/365))+(O47/$R47*100*($E47/365))</f>
        <v>100</v>
      </c>
      <c r="I178" s="392"/>
      <c r="J178" s="392">
        <f>(P46/$R46*100*($E46/365))+(P47/$R47*100*($E47/365))</f>
        <v>0</v>
      </c>
      <c r="K178" s="392"/>
      <c r="L178" s="392">
        <f>(Q46/$R46*100*($E46/365))+(Q47/$R47*100*($E47/365))</f>
        <v>0</v>
      </c>
      <c r="M178" s="392"/>
      <c r="N178" s="363">
        <f t="shared" si="41"/>
        <v>100</v>
      </c>
      <c r="O178" s="363"/>
      <c r="R178" s="1">
        <v>1978</v>
      </c>
      <c r="S178" s="5">
        <f>(O46*($E46/365))+(O47*($E47/365))</f>
        <v>48.70000000000001</v>
      </c>
      <c r="T178" s="5">
        <f>(P46*($E46/365))+(P47*($E47/365))</f>
        <v>0</v>
      </c>
      <c r="U178" s="5">
        <f>(Q46*($E46/365))+(Q47*($E47/365))</f>
        <v>0</v>
      </c>
      <c r="V178" s="9"/>
      <c r="W178" s="5">
        <f t="shared" si="42"/>
        <v>48.70000000000001</v>
      </c>
    </row>
    <row r="179" spans="1:23" x14ac:dyDescent="0.15">
      <c r="A179" s="1">
        <v>1979</v>
      </c>
      <c r="B179" s="5">
        <f>(K48*($E48/365))+(K49*($E49/365))</f>
        <v>100.00000000000001</v>
      </c>
      <c r="C179" s="5">
        <f>(L48*($E48/365))+(L49*($E49/365))</f>
        <v>0</v>
      </c>
      <c r="D179" s="5">
        <f>(M48*($E48/365))+(M49*($E49/365))</f>
        <v>0</v>
      </c>
      <c r="E179" s="17">
        <f t="shared" si="40"/>
        <v>100.00000000000001</v>
      </c>
      <c r="G179" s="1">
        <v>1979</v>
      </c>
      <c r="H179" s="392">
        <f>(O48/$R48*100*($E48/365))+(O49/$R49*100*($E49/365))</f>
        <v>100.00000000000001</v>
      </c>
      <c r="I179" s="392"/>
      <c r="J179" s="392">
        <f>(P48/$R48*100*($E48/365))+(P49/$R49*100*($E49/365))</f>
        <v>0</v>
      </c>
      <c r="K179" s="392"/>
      <c r="L179" s="392">
        <f>(Q48/$R48*100*($E48/365))+(Q49/$R49*100*($E49/365))</f>
        <v>0</v>
      </c>
      <c r="M179" s="392"/>
      <c r="N179" s="363">
        <f t="shared" si="41"/>
        <v>100.00000000000001</v>
      </c>
      <c r="O179" s="363"/>
      <c r="R179" s="1">
        <v>1979</v>
      </c>
      <c r="S179" s="5">
        <f>(O48*($E48/365))+(O49*($E49/365))</f>
        <v>48.670410958904114</v>
      </c>
      <c r="T179" s="5">
        <f>(P48*($E48/365))+(P49*($E49/365))</f>
        <v>0</v>
      </c>
      <c r="U179" s="5">
        <f>(Q48*($E48/365))+(Q49*($E49/365))</f>
        <v>0</v>
      </c>
      <c r="V179" s="9"/>
      <c r="W179" s="5">
        <f t="shared" si="42"/>
        <v>48.670410958904114</v>
      </c>
    </row>
    <row r="180" spans="1:23" x14ac:dyDescent="0.15">
      <c r="A180" s="1">
        <v>1980</v>
      </c>
      <c r="B180" s="5">
        <f>(K50*($E50/366))+(K51*($E51/366))</f>
        <v>100</v>
      </c>
      <c r="C180" s="5">
        <f>(L50*($E50/366))+(L51*($E51/366))</f>
        <v>0</v>
      </c>
      <c r="D180" s="5">
        <f>(M50*($E50/366))+(M51*($E51/366))</f>
        <v>0</v>
      </c>
      <c r="E180" s="17">
        <f t="shared" si="40"/>
        <v>100</v>
      </c>
      <c r="G180" s="1">
        <v>1980</v>
      </c>
      <c r="H180" s="392">
        <f>(O50/$R50*100*($E50/366))+(O51/$R51*100*($E51/366))</f>
        <v>100</v>
      </c>
      <c r="I180" s="392"/>
      <c r="J180" s="392">
        <f>(P50/$R50*100*($E50/366))+(P51/$R51*100*($E51/366))</f>
        <v>0</v>
      </c>
      <c r="K180" s="392"/>
      <c r="L180" s="392">
        <f>(Q50/$R50*100*($E50/366))+(Q51/$R51*100*($E51/366))</f>
        <v>0</v>
      </c>
      <c r="M180" s="392"/>
      <c r="N180" s="363">
        <f t="shared" si="41"/>
        <v>100</v>
      </c>
      <c r="O180" s="363"/>
      <c r="R180" s="1">
        <v>1980</v>
      </c>
      <c r="S180" s="5">
        <f>(O50*($E50/366))+(O51*($E51/366))</f>
        <v>51.759016393442629</v>
      </c>
      <c r="T180" s="5">
        <f>(P50*($E50/366))+(P51*($E51/366))</f>
        <v>0</v>
      </c>
      <c r="U180" s="5">
        <f>(Q50*($E50/366))+(Q51*($E51/366))</f>
        <v>0</v>
      </c>
      <c r="V180" s="9"/>
      <c r="W180" s="5">
        <f t="shared" si="42"/>
        <v>51.759016393442629</v>
      </c>
    </row>
    <row r="181" spans="1:23" x14ac:dyDescent="0.15">
      <c r="A181" s="1">
        <v>1981</v>
      </c>
      <c r="B181" s="5">
        <f>(K52*($E52/365))+(K53*($E53/365))</f>
        <v>100</v>
      </c>
      <c r="C181" s="5">
        <f>(L52*($E52/365))+(L53*($E53/365))</f>
        <v>0</v>
      </c>
      <c r="D181" s="5">
        <f>(M52*($E52/365))+(M53*($E53/365))</f>
        <v>0</v>
      </c>
      <c r="E181" s="17">
        <f t="shared" si="40"/>
        <v>100</v>
      </c>
      <c r="G181" s="1">
        <v>1981</v>
      </c>
      <c r="H181" s="392">
        <f>(O52/$R52*100*($E52/365))+(O53/$R53*100*($E53/365))</f>
        <v>100</v>
      </c>
      <c r="I181" s="392"/>
      <c r="J181" s="392">
        <f>(P52/$R52*100*($E52/365))+(P53/$R53*100*($E53/365))</f>
        <v>0</v>
      </c>
      <c r="K181" s="392"/>
      <c r="L181" s="392">
        <f>(Q52/$R52*100*($E52/365))+(Q53/$R53*100*($E53/365))</f>
        <v>0</v>
      </c>
      <c r="M181" s="392"/>
      <c r="N181" s="363">
        <f t="shared" si="41"/>
        <v>100</v>
      </c>
      <c r="O181" s="363"/>
      <c r="R181" s="1">
        <v>1981</v>
      </c>
      <c r="S181" s="5">
        <f>(O52*($E52/365))+(O53*($E53/365))</f>
        <v>55.6</v>
      </c>
      <c r="T181" s="5">
        <f>(P52*($E52/365))+(P53*($E53/365))</f>
        <v>0</v>
      </c>
      <c r="U181" s="5">
        <f>(Q52*($E52/365))+(Q53*($E53/365))</f>
        <v>0</v>
      </c>
      <c r="V181" s="9"/>
      <c r="W181" s="5">
        <f t="shared" si="42"/>
        <v>55.6</v>
      </c>
    </row>
    <row r="182" spans="1:23" x14ac:dyDescent="0.15">
      <c r="A182" s="1">
        <v>1982</v>
      </c>
      <c r="B182" s="5">
        <f>(K54*($E54/365))+(K55*($E55/365))</f>
        <v>100</v>
      </c>
      <c r="C182" s="5">
        <f>(L54*($E54/365))+(L55*($E55/365))</f>
        <v>0</v>
      </c>
      <c r="D182" s="5">
        <f>(M54*($E54/365))+(M55*($E55/365))</f>
        <v>0</v>
      </c>
      <c r="E182" s="17">
        <f t="shared" si="40"/>
        <v>100</v>
      </c>
      <c r="G182" s="1">
        <v>1982</v>
      </c>
      <c r="H182" s="392">
        <f>(O54/$R54*100*($E54/365))+(O55/$R55*100*($E55/365))</f>
        <v>100</v>
      </c>
      <c r="I182" s="392"/>
      <c r="J182" s="392">
        <f>(P54/$R54*100*($E54/365))+(P55/$R55*100*($E55/365))</f>
        <v>0</v>
      </c>
      <c r="K182" s="392"/>
      <c r="L182" s="392">
        <f>(Q54/$R54*100*($E54/365))+(Q55/$R55*100*($E55/365))</f>
        <v>0</v>
      </c>
      <c r="M182" s="392"/>
      <c r="N182" s="363">
        <f t="shared" si="41"/>
        <v>100</v>
      </c>
      <c r="O182" s="363"/>
      <c r="R182" s="1">
        <v>1982</v>
      </c>
      <c r="S182" s="5">
        <f>(O54*($E54/365))+(O55*($E55/365))</f>
        <v>55.6</v>
      </c>
      <c r="T182" s="5">
        <f>(P54*($E54/365))+(P55*($E55/365))</f>
        <v>0</v>
      </c>
      <c r="U182" s="5">
        <f>(Q54*($E54/365))+(Q55*($E55/365))</f>
        <v>0</v>
      </c>
      <c r="V182" s="9"/>
      <c r="W182" s="5">
        <f t="shared" si="42"/>
        <v>55.6</v>
      </c>
    </row>
    <row r="183" spans="1:23" x14ac:dyDescent="0.15">
      <c r="A183" s="1">
        <v>1983</v>
      </c>
      <c r="B183" s="5">
        <f>(K56*($E56/365))+(K57*($E57/365))</f>
        <v>99.999999999999986</v>
      </c>
      <c r="C183" s="5">
        <f>(L56*($E56/365))+(L57*($E57/365))</f>
        <v>0</v>
      </c>
      <c r="D183" s="5">
        <f>(M56*($E56/365))+(M57*($E57/365))</f>
        <v>0</v>
      </c>
      <c r="E183" s="17">
        <f t="shared" si="40"/>
        <v>99.999999999999986</v>
      </c>
      <c r="G183" s="1">
        <v>1983</v>
      </c>
      <c r="H183" s="392">
        <f>(O56/$R56*100*($E56/365))+(O57/$R57*100*($E57/365))</f>
        <v>99.999999999999986</v>
      </c>
      <c r="I183" s="392"/>
      <c r="J183" s="392">
        <f>(P56/$R56*100*($E56/365))+(P57/$R57*100*($E57/365))</f>
        <v>0</v>
      </c>
      <c r="K183" s="392"/>
      <c r="L183" s="392">
        <f>(Q56/$R56*100*($E56/365))+(Q57/$R57*100*($E57/365))</f>
        <v>0</v>
      </c>
      <c r="M183" s="392"/>
      <c r="N183" s="363">
        <f t="shared" si="41"/>
        <v>99.999999999999986</v>
      </c>
      <c r="O183" s="363"/>
      <c r="R183" s="1">
        <v>1983</v>
      </c>
      <c r="S183" s="5">
        <f>(O56*($E56/365))+(O57*($E57/365))</f>
        <v>55.516164383561645</v>
      </c>
      <c r="T183" s="5">
        <f>(P56*($E56/365))+(P57*($E57/365))</f>
        <v>0</v>
      </c>
      <c r="U183" s="5">
        <f>(Q56*($E56/365))+(Q57*($E57/365))</f>
        <v>0</v>
      </c>
      <c r="V183" s="9"/>
      <c r="W183" s="5">
        <f t="shared" si="42"/>
        <v>55.516164383561645</v>
      </c>
    </row>
    <row r="184" spans="1:23" x14ac:dyDescent="0.15">
      <c r="A184" s="1">
        <v>1984</v>
      </c>
      <c r="B184" s="5">
        <f>(K58*($E58/366))+(K59*($E59/366))</f>
        <v>100</v>
      </c>
      <c r="C184" s="5">
        <f>(L58*($E58/366))+(L59*($E59/366))</f>
        <v>0</v>
      </c>
      <c r="D184" s="5">
        <f>(M58*($E58/366))+(M59*($E59/366))</f>
        <v>0</v>
      </c>
      <c r="E184" s="17">
        <f t="shared" si="40"/>
        <v>100</v>
      </c>
      <c r="G184" s="1">
        <v>1984</v>
      </c>
      <c r="H184" s="392">
        <f>(O58/$R58*100*($E58/366))+(O59/$R59*100*($E59/366))</f>
        <v>100</v>
      </c>
      <c r="I184" s="392"/>
      <c r="J184" s="392">
        <f>(P58/$R58*100*($E58/366))+(P59/$R59*100*($E59/366))</f>
        <v>0</v>
      </c>
      <c r="K184" s="392"/>
      <c r="L184" s="392">
        <f>(Q58/$R58*100*($E58/366))+(Q59/$R59*100*($E59/366))</f>
        <v>0</v>
      </c>
      <c r="M184" s="392"/>
      <c r="N184" s="363">
        <f t="shared" si="41"/>
        <v>100</v>
      </c>
      <c r="O184" s="363"/>
      <c r="R184" s="1">
        <v>1984</v>
      </c>
      <c r="S184" s="5">
        <f>(O58*($E58/366))+(O59*($E59/366))</f>
        <v>50.5</v>
      </c>
      <c r="T184" s="5">
        <f>(P58*($E58/366))+(P59*($E59/366))</f>
        <v>0</v>
      </c>
      <c r="U184" s="5">
        <f>(Q58*($E58/366))+(Q59*($E59/366))</f>
        <v>0</v>
      </c>
      <c r="V184" s="9"/>
      <c r="W184" s="5">
        <f t="shared" si="42"/>
        <v>50.5</v>
      </c>
    </row>
    <row r="185" spans="1:23" x14ac:dyDescent="0.15">
      <c r="A185" s="1">
        <v>1985</v>
      </c>
      <c r="B185" s="5">
        <f>(K60*($E60/365))+(K61*($E61/365))</f>
        <v>100</v>
      </c>
      <c r="C185" s="5">
        <f>(L60*($E60/365))+(L61*($E61/365))</f>
        <v>0</v>
      </c>
      <c r="D185" s="5">
        <f>(M60*($E60/365))+(M61*($E61/365))</f>
        <v>0</v>
      </c>
      <c r="E185" s="17">
        <f t="shared" si="40"/>
        <v>100</v>
      </c>
      <c r="G185" s="1">
        <v>1985</v>
      </c>
      <c r="H185" s="392">
        <f>(O60/$R60*100*($E60/365))+(O61/$R61*100*($E61/365))</f>
        <v>100</v>
      </c>
      <c r="I185" s="392"/>
      <c r="J185" s="392">
        <f>(P60/$R60*100*($E60/365))+(P61/$R61*100*($E61/365))</f>
        <v>0</v>
      </c>
      <c r="K185" s="392"/>
      <c r="L185" s="392">
        <f>(Q60/$R60*100*($E60/365))+(Q61/$R61*100*($E61/365))</f>
        <v>0</v>
      </c>
      <c r="M185" s="392"/>
      <c r="N185" s="363">
        <f t="shared" si="41"/>
        <v>100</v>
      </c>
      <c r="O185" s="363"/>
      <c r="R185" s="1">
        <v>1985</v>
      </c>
      <c r="S185" s="5">
        <f>(O60*($E60/365))+(O61*($E61/365))</f>
        <v>50.5</v>
      </c>
      <c r="T185" s="5">
        <f>(P60*($E60/365))+(P61*($E61/365))</f>
        <v>0</v>
      </c>
      <c r="U185" s="5">
        <f>(Q60*($E60/365))+(Q61*($E61/365))</f>
        <v>0</v>
      </c>
      <c r="V185" s="9"/>
      <c r="W185" s="5">
        <f t="shared" si="42"/>
        <v>50.5</v>
      </c>
    </row>
    <row r="186" spans="1:23" x14ac:dyDescent="0.15">
      <c r="A186" s="1">
        <v>1986</v>
      </c>
      <c r="B186" s="5">
        <f>(K62*($E62/365))+(K63*($E63/365))</f>
        <v>100</v>
      </c>
      <c r="C186" s="5">
        <f>(L62*($E62/365))+(L63*($E63/365))</f>
        <v>0</v>
      </c>
      <c r="D186" s="5">
        <f>(M62*($E62/365))+(M63*($E63/365))</f>
        <v>0</v>
      </c>
      <c r="E186" s="17">
        <f t="shared" si="40"/>
        <v>100</v>
      </c>
      <c r="G186" s="1">
        <v>1986</v>
      </c>
      <c r="H186" s="392">
        <f>(O62/$R62*100*($E62/365))+(O63/$R63*100*($E63/365))</f>
        <v>100</v>
      </c>
      <c r="I186" s="392"/>
      <c r="J186" s="392">
        <f>(P62/$R62*100*($E62/365))+(P63/$R63*100*($E63/365))</f>
        <v>0</v>
      </c>
      <c r="K186" s="392"/>
      <c r="L186" s="392">
        <f>(Q62/$R62*100*($E62/365))+(Q63/$R63*100*($E63/365))</f>
        <v>0</v>
      </c>
      <c r="M186" s="392"/>
      <c r="N186" s="363">
        <f t="shared" si="41"/>
        <v>100</v>
      </c>
      <c r="O186" s="363"/>
      <c r="R186" s="1">
        <v>1986</v>
      </c>
      <c r="S186" s="5">
        <f>(O62*($E62/365))+(O63*($E63/365))</f>
        <v>54.117260273972605</v>
      </c>
      <c r="T186" s="5">
        <f>(P62*($E62/365))+(P63*($E63/365))</f>
        <v>0</v>
      </c>
      <c r="U186" s="5">
        <f>(Q62*($E62/365))+(Q63*($E63/365))</f>
        <v>0</v>
      </c>
      <c r="V186" s="9"/>
      <c r="W186" s="5">
        <f t="shared" si="42"/>
        <v>54.117260273972605</v>
      </c>
    </row>
    <row r="187" spans="1:23" x14ac:dyDescent="0.15">
      <c r="A187" s="1">
        <v>1987</v>
      </c>
      <c r="B187" s="5">
        <f>(K64*($E64/365))+(K65*($E65/365))</f>
        <v>100</v>
      </c>
      <c r="C187" s="5">
        <f>(L64*($E64/365))+(L65*($E65/365))</f>
        <v>0</v>
      </c>
      <c r="D187" s="5">
        <f>(M64*($E64/365))+(M65*($E65/365))</f>
        <v>0</v>
      </c>
      <c r="E187" s="17">
        <f t="shared" si="40"/>
        <v>100</v>
      </c>
      <c r="G187" s="1">
        <v>1987</v>
      </c>
      <c r="H187" s="392">
        <f>(O64/$R64*100*($E64/365))+(O65/$R65*100*($E65/365))</f>
        <v>100</v>
      </c>
      <c r="I187" s="392"/>
      <c r="J187" s="392">
        <f>(P64/$R64*100*($E64/365))+(P65/$R65*100*($E65/365))</f>
        <v>0</v>
      </c>
      <c r="K187" s="392"/>
      <c r="L187" s="392">
        <f>(Q64/$R64*100*($E64/365))+(Q65/$R65*100*($E65/365))</f>
        <v>0</v>
      </c>
      <c r="M187" s="392"/>
      <c r="N187" s="363">
        <f t="shared" si="41"/>
        <v>100</v>
      </c>
      <c r="O187" s="363"/>
      <c r="R187" s="1">
        <v>1987</v>
      </c>
      <c r="S187" s="5">
        <f>(O64*($E64/365))+(O65*($E65/365))</f>
        <v>58.6</v>
      </c>
      <c r="T187" s="5">
        <f>(P64*($E64/365))+(P65*($E65/365))</f>
        <v>0</v>
      </c>
      <c r="U187" s="5">
        <f>(Q64*($E64/365))+(Q65*($E65/365))</f>
        <v>0</v>
      </c>
      <c r="V187" s="9"/>
      <c r="W187" s="5">
        <f t="shared" si="42"/>
        <v>58.6</v>
      </c>
    </row>
    <row r="188" spans="1:23" x14ac:dyDescent="0.15">
      <c r="A188" s="1">
        <v>1988</v>
      </c>
      <c r="B188" s="5">
        <f>(K66*($E66/366))+(K67*($E67/366))</f>
        <v>100</v>
      </c>
      <c r="C188" s="5">
        <f>(L66*($E66/366))+(L67*($E67/366))</f>
        <v>0</v>
      </c>
      <c r="D188" s="5">
        <f>(M66*($E66/366))+(M67*($E67/366))</f>
        <v>0</v>
      </c>
      <c r="E188" s="17">
        <f t="shared" si="40"/>
        <v>100</v>
      </c>
      <c r="G188" s="1">
        <v>1988</v>
      </c>
      <c r="H188" s="392">
        <f>(O66/$R66*100*($E66/366))+(O67/$R67*100*($E67/366))</f>
        <v>100</v>
      </c>
      <c r="I188" s="392"/>
      <c r="J188" s="392">
        <f>(P66/$R66*100*($E66/366))+(P67/$R67*100*($E67/366))</f>
        <v>0</v>
      </c>
      <c r="K188" s="392"/>
      <c r="L188" s="392">
        <f>(Q66/$R66*100*($E66/366))+(Q67/$R67*100*($E67/366))</f>
        <v>0</v>
      </c>
      <c r="M188" s="392"/>
      <c r="N188" s="363">
        <f t="shared" si="41"/>
        <v>100</v>
      </c>
      <c r="O188" s="363"/>
      <c r="R188" s="1">
        <v>1988</v>
      </c>
      <c r="S188" s="5">
        <f>(O66*($E66/366))+(O67*($E67/366))</f>
        <v>58.6</v>
      </c>
      <c r="T188" s="5">
        <f>(P66*($E66/366))+(P67*($E67/366))</f>
        <v>0</v>
      </c>
      <c r="U188" s="5">
        <f>(Q66*($E66/366))+(Q67*($E67/366))</f>
        <v>0</v>
      </c>
      <c r="V188" s="9"/>
      <c r="W188" s="5">
        <f t="shared" si="42"/>
        <v>58.6</v>
      </c>
    </row>
    <row r="189" spans="1:23" x14ac:dyDescent="0.15">
      <c r="A189" s="1">
        <v>1989</v>
      </c>
      <c r="B189" s="5">
        <f>(K68*($E68/365))+(K69*($E69/365))+(K70*($E70/365))</f>
        <v>100</v>
      </c>
      <c r="C189" s="5">
        <f>(L68*($E68/365))+(L69*($E69/365))+(L70*($E70/365))</f>
        <v>0</v>
      </c>
      <c r="D189" s="5">
        <f>(M68*($E68/365))+(M69*($E69/365))+(M70*($E70/365))</f>
        <v>0</v>
      </c>
      <c r="E189" s="17">
        <f t="shared" si="40"/>
        <v>100</v>
      </c>
      <c r="G189" s="1">
        <v>1989</v>
      </c>
      <c r="H189" s="392">
        <f>(O68/$R68*100*($E68/365))+(O69/$R69*100*($E69/365))+(O70/$R70*100*($E70/365))</f>
        <v>100</v>
      </c>
      <c r="I189" s="392"/>
      <c r="J189" s="392">
        <f>(P68/$R68*100*($E68/365))+(P69/$R69*100*($E69/365))+(P70/$R70*100*($E70/365))</f>
        <v>0</v>
      </c>
      <c r="K189" s="392"/>
      <c r="L189" s="392">
        <f>(Q68/$R68*100*($E68/365))+(Q69/$R69*100*($E69/365))+(Q70/$R70*100*($E70/365))</f>
        <v>0</v>
      </c>
      <c r="M189" s="392"/>
      <c r="N189" s="363">
        <f t="shared" si="41"/>
        <v>100</v>
      </c>
      <c r="O189" s="363"/>
      <c r="R189" s="1">
        <v>1989</v>
      </c>
      <c r="S189" s="5">
        <f>(O68*($E68/365))+(O69*($E69/365))+(O70*($E70/365))</f>
        <v>58.6</v>
      </c>
      <c r="T189" s="5">
        <f>(P68*($E68/365))+(P69*($E69/365))+(P70*($E70/365))</f>
        <v>0</v>
      </c>
      <c r="U189" s="5">
        <f>(Q68*($E68/365))+(Q69*($E69/365))+(Q70*($E70/365))</f>
        <v>0</v>
      </c>
      <c r="V189" s="9"/>
      <c r="W189" s="5">
        <f t="shared" si="42"/>
        <v>58.6</v>
      </c>
    </row>
    <row r="190" spans="1:23" x14ac:dyDescent="0.15">
      <c r="A190" s="1">
        <v>1990</v>
      </c>
      <c r="B190" s="5">
        <f>(K71*($E71/365))+(K72*($E72/365))</f>
        <v>100</v>
      </c>
      <c r="C190" s="5">
        <f>(L71*($E71/365))+(L72*($E72/365))</f>
        <v>0</v>
      </c>
      <c r="D190" s="5">
        <f>(M71*($E71/365))+(M72*($E72/365))</f>
        <v>0</v>
      </c>
      <c r="E190" s="17">
        <f t="shared" si="40"/>
        <v>100</v>
      </c>
      <c r="G190" s="1">
        <v>1990</v>
      </c>
      <c r="H190" s="392">
        <f>(O71/$R71*100*($E71/365))+(O72/$R72*100*($E72/365))</f>
        <v>100</v>
      </c>
      <c r="I190" s="392"/>
      <c r="J190" s="392">
        <f>(P71/$R71*100*($E71/365))+(P72/$R72*100*($E72/365))</f>
        <v>0</v>
      </c>
      <c r="K190" s="392"/>
      <c r="L190" s="392">
        <f>(Q71/$R71*100*($E71/365))+(Q72/$R72*100*($E72/365))</f>
        <v>0</v>
      </c>
      <c r="M190" s="392"/>
      <c r="N190" s="363">
        <f t="shared" si="41"/>
        <v>100</v>
      </c>
      <c r="O190" s="363"/>
      <c r="R190" s="1">
        <v>1990</v>
      </c>
      <c r="S190" s="5">
        <f>(O71*($E71/365))+(O72*($E72/365))</f>
        <v>54.478630136986304</v>
      </c>
      <c r="T190" s="5">
        <f>(P71*($E71/365))+(P72*($E72/365))</f>
        <v>0</v>
      </c>
      <c r="U190" s="5">
        <f>(Q71*($E71/365))+(Q72*($E72/365))</f>
        <v>0</v>
      </c>
      <c r="V190" s="9"/>
      <c r="W190" s="5">
        <f t="shared" si="42"/>
        <v>54.478630136986304</v>
      </c>
    </row>
    <row r="191" spans="1:23" x14ac:dyDescent="0.15">
      <c r="A191" s="1">
        <v>1991</v>
      </c>
      <c r="B191" s="5">
        <f>(K73*($E73/365))+(K74*($E74/365))</f>
        <v>100</v>
      </c>
      <c r="C191" s="5">
        <f>(L73*($E73/365))+(L74*($E74/365))</f>
        <v>0</v>
      </c>
      <c r="D191" s="5">
        <f>(M73*($E73/365))+(M74*($E74/365))</f>
        <v>0</v>
      </c>
      <c r="E191" s="17">
        <f t="shared" si="40"/>
        <v>100</v>
      </c>
      <c r="G191" s="1">
        <v>1991</v>
      </c>
      <c r="H191" s="392">
        <f>(O73/$R73*100*($E73/365))+(O74/$R74*100*($E74/365))</f>
        <v>100</v>
      </c>
      <c r="I191" s="392"/>
      <c r="J191" s="392">
        <f>(P73/$R73*100*($E73/365))+(P74/$R74*100*($E74/365))</f>
        <v>0</v>
      </c>
      <c r="K191" s="392"/>
      <c r="L191" s="392">
        <f>(Q73/$R73*100*($E73/365))+(Q74/$R74*100*($E74/365))</f>
        <v>0</v>
      </c>
      <c r="M191" s="392"/>
      <c r="N191" s="363">
        <f t="shared" si="41"/>
        <v>100</v>
      </c>
      <c r="O191" s="363"/>
      <c r="R191" s="1">
        <v>1991</v>
      </c>
      <c r="S191" s="5">
        <f>(O73*($E73/365))+(O74*($E74/365))</f>
        <v>53.7</v>
      </c>
      <c r="T191" s="5">
        <f>(P73*($E73/365))+(P74*($E74/365))</f>
        <v>0</v>
      </c>
      <c r="U191" s="5">
        <f>(Q73*($E73/365))+(Q74*($E74/365))</f>
        <v>0</v>
      </c>
      <c r="V191" s="9"/>
      <c r="W191" s="5">
        <f t="shared" si="42"/>
        <v>53.7</v>
      </c>
    </row>
    <row r="192" spans="1:23" x14ac:dyDescent="0.15">
      <c r="A192" s="1">
        <v>1992</v>
      </c>
      <c r="B192" s="5">
        <f>(K75*($E75/366))+(K76*($E76/366))</f>
        <v>100</v>
      </c>
      <c r="C192" s="5">
        <f>(L75*($E75/366))+(L76*($E76/366))</f>
        <v>0</v>
      </c>
      <c r="D192" s="5">
        <f>(M75*($E75/366))+(M76*($E76/366))</f>
        <v>0</v>
      </c>
      <c r="E192" s="17">
        <f t="shared" si="40"/>
        <v>100</v>
      </c>
      <c r="G192" s="1">
        <v>1992</v>
      </c>
      <c r="H192" s="392">
        <f>(O75/$R75*100*($E75/366))+(O76/$R76*100*($E76/366))</f>
        <v>100</v>
      </c>
      <c r="I192" s="392"/>
      <c r="J192" s="392">
        <f>(P75/$R75*100*($E75/366))+(P76/$R76*100*($E76/366))</f>
        <v>0</v>
      </c>
      <c r="K192" s="392"/>
      <c r="L192" s="392">
        <f>(Q75/$R75*100*($E75/366))+(Q76/$R76*100*($E76/366))</f>
        <v>0</v>
      </c>
      <c r="M192" s="392"/>
      <c r="N192" s="363">
        <f t="shared" si="41"/>
        <v>100</v>
      </c>
      <c r="O192" s="363"/>
      <c r="R192" s="1">
        <v>1992</v>
      </c>
      <c r="S192" s="5">
        <f>(O75*($E75/366))+(O76*($E76/366))</f>
        <v>53.7</v>
      </c>
      <c r="T192" s="5">
        <f>(P75*($E75/366))+(P76*($E76/366))</f>
        <v>0</v>
      </c>
      <c r="U192" s="5">
        <f>(Q75*($E75/366))+(Q76*($E76/366))</f>
        <v>0</v>
      </c>
      <c r="V192" s="9"/>
      <c r="W192" s="5">
        <f t="shared" si="42"/>
        <v>53.7</v>
      </c>
    </row>
    <row r="193" spans="1:23" x14ac:dyDescent="0.15">
      <c r="A193" s="1">
        <v>1993</v>
      </c>
      <c r="B193" s="5">
        <f>(K77*($E77/365))+(K78*($E78/365))</f>
        <v>73.515981735159812</v>
      </c>
      <c r="C193" s="5">
        <f>(L77*($E77/365))+(L78*($E78/365))</f>
        <v>7.5668623613829089</v>
      </c>
      <c r="D193" s="5">
        <f>(M77*($E77/365))+(M78*($E78/365))</f>
        <v>15.133724722765818</v>
      </c>
      <c r="E193" s="17">
        <f t="shared" si="40"/>
        <v>96.216568819308534</v>
      </c>
      <c r="G193" s="1">
        <v>1993</v>
      </c>
      <c r="H193" s="392">
        <f>(O77/$R77*100*($E77/365))+(O78/$R78*100*($E78/365))</f>
        <v>77.084354722422489</v>
      </c>
      <c r="I193" s="392"/>
      <c r="J193" s="392">
        <f>(P77/$R77*100*($E77/365))+(P78/$R78*100*($E78/365))</f>
        <v>8.3633741888968984</v>
      </c>
      <c r="K193" s="392"/>
      <c r="L193" s="392">
        <f>(Q77/$R77*100*($E77/365))+(Q78/$R78*100*($E78/365))</f>
        <v>14.552271088680607</v>
      </c>
      <c r="M193" s="392"/>
      <c r="N193" s="363">
        <f t="shared" si="41"/>
        <v>100</v>
      </c>
      <c r="O193" s="363"/>
      <c r="R193" s="1">
        <v>1993</v>
      </c>
      <c r="S193" s="5">
        <f>(O77*($E77/365))+(O78*($E78/365))</f>
        <v>40.352054794520548</v>
      </c>
      <c r="T193" s="5">
        <f>(P77*($E77/365))+(P78*($E78/365))</f>
        <v>3.9726027397260273</v>
      </c>
      <c r="U193" s="5">
        <f>(Q77*($E77/365))+(Q78*($E78/365))</f>
        <v>6.912328767123288</v>
      </c>
      <c r="V193" s="9"/>
      <c r="W193" s="5">
        <f t="shared" si="42"/>
        <v>51.236986301369868</v>
      </c>
    </row>
    <row r="194" spans="1:23" x14ac:dyDescent="0.15">
      <c r="A194" s="1">
        <v>1994</v>
      </c>
      <c r="B194" s="5">
        <f>(K79*($E79/365))+(K80*($E80/365))+(K81*($E81/365))</f>
        <v>55.107632093933461</v>
      </c>
      <c r="C194" s="5">
        <f>(L79*($E79/365))+(L80*($E80/365))+(L81*($E81/365))</f>
        <v>11.037181996086106</v>
      </c>
      <c r="D194" s="5">
        <f>(M79*($E79/365))+(M80*($E80/365))+(M81*($E81/365))</f>
        <v>28.336594911937379</v>
      </c>
      <c r="E194" s="17">
        <f t="shared" si="40"/>
        <v>94.481409001956948</v>
      </c>
      <c r="G194" s="1">
        <v>1994</v>
      </c>
      <c r="H194" s="392">
        <f>(O79/$R79*100*($E79/365))+(O80/$R80*100*($E80/365))+(O81/$R81*100*($E81/365))</f>
        <v>60.478497311966848</v>
      </c>
      <c r="I194" s="392"/>
      <c r="J194" s="392">
        <f>(P79/$R79*100*($E79/365))+(P80/$R80*100*($E80/365))+(P81/$R81*100*($E81/365))</f>
        <v>14.526419277989325</v>
      </c>
      <c r="K194" s="392"/>
      <c r="L194" s="392">
        <f>(Q79/$R79*100*($E79/365))+(Q80/$R80*100*($E80/365))+(Q81/$R81*100*($E81/365))</f>
        <v>24.995083410043833</v>
      </c>
      <c r="M194" s="392"/>
      <c r="N194" s="363">
        <f t="shared" si="41"/>
        <v>100</v>
      </c>
      <c r="O194" s="363"/>
      <c r="R194" s="1">
        <v>1994</v>
      </c>
      <c r="S194" s="5">
        <f>(O79*($E79/365))+(O80*($E80/365))+(O81*($E81/365))</f>
        <v>31.579452054794526</v>
      </c>
      <c r="T194" s="5">
        <f>(P79*($E79/365))+(P80*($E80/365))+(P81*($E81/365))</f>
        <v>6.1986301369863011</v>
      </c>
      <c r="U194" s="5">
        <f>(Q79*($E79/365))+(Q80*($E80/365))+(Q81*($E81/365))</f>
        <v>13.021917808219179</v>
      </c>
      <c r="V194" s="9"/>
      <c r="W194" s="5">
        <f t="shared" si="42"/>
        <v>50.800000000000004</v>
      </c>
    </row>
    <row r="195" spans="1:23" x14ac:dyDescent="0.15">
      <c r="A195" s="1">
        <v>1995</v>
      </c>
      <c r="B195" s="5">
        <f>(K82*($E82/365))+(K83*($E83/365))</f>
        <v>69.523809523809518</v>
      </c>
      <c r="C195" s="5">
        <f>(L82*($E82/365))+(L83*($E83/365))</f>
        <v>0</v>
      </c>
      <c r="D195" s="5">
        <f>(M82*($E82/365))+(M83*($E83/365))</f>
        <v>28.571428571428569</v>
      </c>
      <c r="E195" s="17">
        <f t="shared" si="40"/>
        <v>98.095238095238088</v>
      </c>
      <c r="G195" s="1">
        <v>1995</v>
      </c>
      <c r="H195" s="392">
        <f>(O83/$R83*100*($E83/365))+(O82/$R82*100*($E82/365))</f>
        <v>72.909698996655521</v>
      </c>
      <c r="I195" s="392"/>
      <c r="J195" s="392">
        <f>(P83/$R83*100*($E83/365))+(P82/$R82*100*($E82/365))</f>
        <v>4.1806020066889635</v>
      </c>
      <c r="K195" s="392"/>
      <c r="L195" s="392">
        <f>(Q83/$R83*100*($E83/365))+(Q82/$R82*100*($E82/365))</f>
        <v>22.909698996655518</v>
      </c>
      <c r="M195" s="392"/>
      <c r="N195" s="363">
        <f t="shared" si="41"/>
        <v>100</v>
      </c>
      <c r="O195" s="363"/>
      <c r="R195" s="1">
        <v>1995</v>
      </c>
      <c r="S195" s="5">
        <f>(O82*($E82/365))+(O83*($E83/365))</f>
        <v>43.6</v>
      </c>
      <c r="T195" s="5">
        <f>(P82*($E82/365))+(P83*($E83/365))</f>
        <v>2.5</v>
      </c>
      <c r="U195" s="5">
        <f>(Q82*($E82/365))+(Q83*($E83/365))</f>
        <v>13.7</v>
      </c>
      <c r="V195" s="9"/>
      <c r="W195" s="5">
        <f t="shared" si="42"/>
        <v>59.8</v>
      </c>
    </row>
    <row r="196" spans="1:23" x14ac:dyDescent="0.15">
      <c r="A196" s="1">
        <v>1996</v>
      </c>
      <c r="B196" s="5">
        <f>(K84*($E84/366))+(K85*($E85/366))+(K86*($E86/366))</f>
        <v>67.759562841530055</v>
      </c>
      <c r="C196" s="5">
        <f>(L84*($E84/366))+(L85*($E85/366))+(L86*($E86/366))</f>
        <v>0</v>
      </c>
      <c r="D196" s="5">
        <f>(M84*($E84/366))+(M85*($E85/366))+(M86*($E86/366))</f>
        <v>28.194119177725732</v>
      </c>
      <c r="E196" s="17">
        <f t="shared" si="40"/>
        <v>95.95368201925578</v>
      </c>
      <c r="G196" s="1">
        <v>1996</v>
      </c>
      <c r="H196" s="392">
        <f>(O84/$R84*100*($E84/366))+(O85/$R85*100*($E85/366))+(O86/$R86*100*($E86/366))</f>
        <v>76.980645868742812</v>
      </c>
      <c r="I196" s="392"/>
      <c r="J196" s="392">
        <f>(P84/$R84*100*($E84/366))+(P85/$R85*100*($E85/366))+(P86/$R86*100*($E86/366))</f>
        <v>3.5523694647001851</v>
      </c>
      <c r="K196" s="392"/>
      <c r="L196" s="392">
        <f>(Q84/$R84*100*($E84/366))+(Q85/$R85*100*($E85/366))+(Q86/$R86*100*($E86/366))</f>
        <v>19.466984666557014</v>
      </c>
      <c r="M196" s="392"/>
      <c r="N196" s="363">
        <f t="shared" si="41"/>
        <v>100.00000000000001</v>
      </c>
      <c r="O196" s="363"/>
      <c r="R196" s="1">
        <v>1996</v>
      </c>
      <c r="S196" s="5">
        <f>(O84*($E84/366))+(O85*($E85/366))+(O86*($E86/366))</f>
        <v>44.231147540983599</v>
      </c>
      <c r="T196" s="5">
        <f>(P84*($E84/366))+(P85*($E85/366))+(P86*($E86/366))</f>
        <v>2.1243169398907105</v>
      </c>
      <c r="U196" s="5">
        <f>(Q84*($E84/366))+(Q85*($E85/366))+(Q86*($E86/366))</f>
        <v>11.641256830601092</v>
      </c>
      <c r="V196" s="9"/>
      <c r="W196" s="5">
        <f t="shared" si="42"/>
        <v>57.996721311475405</v>
      </c>
    </row>
    <row r="197" spans="1:23" x14ac:dyDescent="0.15">
      <c r="A197" s="1">
        <v>1997</v>
      </c>
      <c r="B197" s="5">
        <f>(K88*($E88/365))+(K87*($E87/365))</f>
        <v>100</v>
      </c>
      <c r="C197" s="5">
        <f>(L88*($E88/365))+(L87*($E87/365))</f>
        <v>0</v>
      </c>
      <c r="D197" s="5">
        <f>(M88*($E88/365))+(M87*($E87/365))</f>
        <v>0</v>
      </c>
      <c r="E197" s="17">
        <f t="shared" si="40"/>
        <v>100</v>
      </c>
      <c r="G197" s="1">
        <v>1997</v>
      </c>
      <c r="H197" s="392">
        <f>(O87/$R87*100*($E87/365))+(O88/$R88*100*($E88/365))</f>
        <v>100</v>
      </c>
      <c r="I197" s="392"/>
      <c r="J197" s="392">
        <f>(P87/$R87*100*($E87/365))+(P88/$R88*100*($E88/365))</f>
        <v>0</v>
      </c>
      <c r="K197" s="392"/>
      <c r="L197" s="392">
        <f>(Q87/$R87*100*($E87/365))+(Q88/$R88*100*($E88/365))</f>
        <v>0</v>
      </c>
      <c r="M197" s="392"/>
      <c r="N197" s="363">
        <f t="shared" si="41"/>
        <v>100</v>
      </c>
      <c r="O197" s="363"/>
      <c r="R197" s="1">
        <v>1997</v>
      </c>
      <c r="S197" s="5">
        <f>(O88*($E88/365))+(O87*($E87/365))</f>
        <v>47.8</v>
      </c>
      <c r="T197" s="5">
        <f>(P88*($E88/365))+(P87*($E87/365))</f>
        <v>0</v>
      </c>
      <c r="U197" s="5">
        <f>(Q88*($E88/365))+(Q87*($E87/365))</f>
        <v>0</v>
      </c>
      <c r="V197" s="9"/>
      <c r="W197" s="5">
        <f t="shared" si="42"/>
        <v>47.8</v>
      </c>
    </row>
    <row r="198" spans="1:23" x14ac:dyDescent="0.15">
      <c r="A198" s="1">
        <v>1998</v>
      </c>
      <c r="B198" s="5">
        <f>(K90*($E90/365))+(K89*($E89/365))</f>
        <v>97.97782126549248</v>
      </c>
      <c r="C198" s="5">
        <f>(L90*($E90/365))+(L89*($E89/365))</f>
        <v>0</v>
      </c>
      <c r="D198" s="5">
        <f>(M90*($E90/365))+(M89*($E89/365))</f>
        <v>0</v>
      </c>
      <c r="E198" s="17">
        <f t="shared" si="40"/>
        <v>97.97782126549248</v>
      </c>
      <c r="G198" s="1">
        <v>1998</v>
      </c>
      <c r="H198" s="392">
        <f>(O90/$R90*100*($E90/365))+(O89/$R89*100*($E89/365))</f>
        <v>100</v>
      </c>
      <c r="I198" s="392"/>
      <c r="J198" s="392">
        <f>(P90/$R90*100*($E90/365))+(P89/$R89*100*($E89/365))</f>
        <v>0</v>
      </c>
      <c r="K198" s="392"/>
      <c r="L198" s="392">
        <f>(Q90/$R90*100*($E90/365))+(Q89/$R89*100*($E89/365))</f>
        <v>0</v>
      </c>
      <c r="M198" s="392"/>
      <c r="N198" s="363">
        <f t="shared" si="41"/>
        <v>100</v>
      </c>
      <c r="O198" s="363"/>
      <c r="R198" s="1">
        <v>1998</v>
      </c>
      <c r="S198" s="5">
        <f>(O90*($E90/365))+(O89*($E89/365))</f>
        <v>47.8</v>
      </c>
      <c r="T198" s="5">
        <f>(P90*($E90/365))+(P89*($E89/365))</f>
        <v>0</v>
      </c>
      <c r="U198" s="5">
        <f>(Q90*($E90/365))+(Q89*($E89/365))</f>
        <v>0</v>
      </c>
      <c r="V198" s="9"/>
      <c r="W198" s="5">
        <f t="shared" si="42"/>
        <v>47.8</v>
      </c>
    </row>
    <row r="199" spans="1:23" x14ac:dyDescent="0.15">
      <c r="A199" s="1">
        <v>1999</v>
      </c>
      <c r="B199" s="5">
        <f>(K92*($E92/365))+(K91*($E91/365))+(K93*($E93/365))</f>
        <v>94.446240676139411</v>
      </c>
      <c r="C199" s="5">
        <f>(L92*($E92/365))+(L91*($E91/365))+(L93*($E93/365))</f>
        <v>1.0482430017867779</v>
      </c>
      <c r="D199" s="5">
        <f>(M92*($E92/365))+(M91*($E91/365))+(M93*($E93/365))</f>
        <v>0</v>
      </c>
      <c r="E199" s="17">
        <f t="shared" si="40"/>
        <v>95.494483677926183</v>
      </c>
      <c r="G199" s="1">
        <v>1999</v>
      </c>
      <c r="H199" s="392">
        <f>(O91/$R91*100*($E91/365))+(O92/$R92*100*($E92/365))+(O93/$R93*100*($E93/365))</f>
        <v>96.200913242009136</v>
      </c>
      <c r="I199" s="392"/>
      <c r="J199" s="392">
        <f>(P91/$R91*100*($E91/365))+(P92/$R92*100*($E92/365))+(P93/$R93*100*($E93/365))</f>
        <v>3.7990867579908683</v>
      </c>
      <c r="K199" s="392"/>
      <c r="L199" s="392">
        <f>(Q91/$R91*100*($E91/365))+(Q92/$R92*100*($E92/365))+(Q93/$R93*100*($E93/365))</f>
        <v>0</v>
      </c>
      <c r="M199" s="392"/>
      <c r="N199" s="363">
        <f t="shared" si="41"/>
        <v>100</v>
      </c>
      <c r="O199" s="363"/>
      <c r="R199" s="1">
        <v>1999</v>
      </c>
      <c r="S199" s="5">
        <f>(O92*($E92/365))+(O91*($E91/365))+(O93*($E93/365))</f>
        <v>55.177534246575341</v>
      </c>
      <c r="T199" s="5">
        <f>(P92*($E92/365))+(P91*($E91/365))+(P93*($E93/365))</f>
        <v>2.5073972602739727</v>
      </c>
      <c r="U199" s="5">
        <f>(Q92*($E92/365))+(Q91*($E91/365))+(Q93*($E93/365))</f>
        <v>0</v>
      </c>
      <c r="V199" s="9"/>
      <c r="W199" s="5">
        <f t="shared" si="42"/>
        <v>57.684931506849317</v>
      </c>
    </row>
    <row r="200" spans="1:23" x14ac:dyDescent="0.15">
      <c r="A200" s="1">
        <v>2000</v>
      </c>
      <c r="B200" s="5">
        <f>(K96*($E96/366))+(K95*($E95/366))+(K94*($E94/366))</f>
        <v>89.154193395105722</v>
      </c>
      <c r="C200" s="5">
        <f>(L96*($E96/366))+(L95*($E95/366))+(L94*($E94/366))</f>
        <v>4.3478260869565215</v>
      </c>
      <c r="D200" s="5">
        <f>(M96*($E96/366))+(M95*($E95/366))+(M94*($E94/366))</f>
        <v>0</v>
      </c>
      <c r="E200" s="17">
        <f t="shared" si="40"/>
        <v>93.502019482062238</v>
      </c>
      <c r="G200" s="1">
        <v>2000</v>
      </c>
      <c r="H200" s="392">
        <f>(O94/$R94*100*($E94/366))+(O95/$R95*100*($E95/366))+(O96/$R96*100*($E96/366))</f>
        <v>86.345758469652267</v>
      </c>
      <c r="I200" s="392"/>
      <c r="J200" s="392">
        <f>(P94/$R94*100*($E94/366))+(P95/$R95*100*($E95/366))+(P96/$R96*100*($E96/366))</f>
        <v>13.654241530347726</v>
      </c>
      <c r="K200" s="392"/>
      <c r="L200" s="392">
        <f>(Q94/$R94*100*($E94/366))+(Q95/$R95*100*($E95/366))+(Q96/$R96*100*($E96/366))</f>
        <v>0</v>
      </c>
      <c r="M200" s="392"/>
      <c r="N200" s="363">
        <f t="shared" si="41"/>
        <v>100</v>
      </c>
      <c r="O200" s="363"/>
      <c r="R200" s="1">
        <v>2000</v>
      </c>
      <c r="S200" s="5">
        <f>(O96*($E96/366))+(O95*($E95/366))+(O94*($E94/366))</f>
        <v>52.830601092896174</v>
      </c>
      <c r="T200" s="5">
        <f>(P96*($E96/366))+(P95*($E95/366))+(P94*($E94/366))</f>
        <v>8.471311475409836</v>
      </c>
      <c r="U200" s="5">
        <f>(Q96*($E96/366))+(Q95*($E95/366))+(Q94*($E94/366))</f>
        <v>0</v>
      </c>
      <c r="V200" s="9"/>
      <c r="W200" s="5">
        <f>S200+T200+U200</f>
        <v>61.301912568306008</v>
      </c>
    </row>
    <row r="201" spans="1:23" x14ac:dyDescent="0.15">
      <c r="A201" s="1">
        <v>2001</v>
      </c>
      <c r="B201" s="5">
        <f>(K98*($E98/365))+(K97*($E97/365))</f>
        <v>80.669710806697111</v>
      </c>
      <c r="C201" s="5">
        <f>(L98*($E98/365))+(L97*($E97/365))</f>
        <v>5.1750380517503798</v>
      </c>
      <c r="D201" s="5">
        <f>(M98*($E98/365))+(M97*($E97/365))</f>
        <v>0</v>
      </c>
      <c r="E201" s="17">
        <f t="shared" si="40"/>
        <v>85.844748858447488</v>
      </c>
      <c r="G201" s="1">
        <v>2001</v>
      </c>
      <c r="H201" s="392">
        <f>(O97/$R97*100*($E97/365))+(O98/$R98*100*($E98/365))</f>
        <v>88.495575221238937</v>
      </c>
      <c r="I201" s="392"/>
      <c r="J201" s="392">
        <f>(P97/$R97*100*($E97/365))+(P98/$R98*100*($E98/365))</f>
        <v>11.504424778761061</v>
      </c>
      <c r="K201" s="392"/>
      <c r="L201" s="392">
        <f>(Q97/$R97*100*($E97/365))+(Q98/$R98*100*($E98/365))</f>
        <v>0</v>
      </c>
      <c r="M201" s="392"/>
      <c r="N201" s="363">
        <f t="shared" si="41"/>
        <v>100</v>
      </c>
      <c r="O201" s="363"/>
      <c r="R201" s="1">
        <v>2001</v>
      </c>
      <c r="S201" s="5">
        <f>(O98*($E98/365))+(O97*($E97/365))</f>
        <v>50</v>
      </c>
      <c r="T201" s="5">
        <f>(P98*($E98/365))+(P97*($E97/365))</f>
        <v>6.5</v>
      </c>
      <c r="U201" s="5">
        <f>(Q98*($E98/365))+(Q97*($E97/365))</f>
        <v>0</v>
      </c>
      <c r="V201" s="9"/>
      <c r="W201" s="5">
        <f t="shared" si="42"/>
        <v>56.5</v>
      </c>
    </row>
    <row r="202" spans="1:23" x14ac:dyDescent="0.15">
      <c r="A202" s="1">
        <v>2002</v>
      </c>
      <c r="B202" s="5">
        <f>(K100*($E100/365))+(K99*($E99/365))</f>
        <v>77.777777777777786</v>
      </c>
      <c r="C202" s="5">
        <f>(L100*($E100/365))+(L99*($E99/365))</f>
        <v>5.5555555555555554</v>
      </c>
      <c r="D202" s="5">
        <f>(M100*($E100/365))+(M99*($E99/365))</f>
        <v>0</v>
      </c>
      <c r="E202" s="17">
        <f t="shared" si="40"/>
        <v>83.333333333333343</v>
      </c>
      <c r="G202" s="1">
        <v>2002</v>
      </c>
      <c r="H202" s="392">
        <f>(O99/$R99*100*($E99/365))+(O100/$R100*100*($E100/365))</f>
        <v>88.495575221238937</v>
      </c>
      <c r="I202" s="392"/>
      <c r="J202" s="392">
        <f>(P99/$R99*100*($E99/365))+(P100/$R100*100*($E100/365))</f>
        <v>11.504424778761061</v>
      </c>
      <c r="K202" s="392"/>
      <c r="L202" s="392">
        <f>(Q99/$R99*100*($E99/365))+(Q100/$R100*100*($E100/365))</f>
        <v>0</v>
      </c>
      <c r="M202" s="392"/>
      <c r="N202" s="363">
        <f t="shared" si="41"/>
        <v>100</v>
      </c>
      <c r="O202" s="363"/>
      <c r="R202" s="1">
        <v>2002</v>
      </c>
      <c r="S202" s="5">
        <f>(O100*($E100/365))+(O99*($E99/365))</f>
        <v>50</v>
      </c>
      <c r="T202" s="5">
        <f>(P100*($E100/365))+(P99*($E99/365))</f>
        <v>6.5</v>
      </c>
      <c r="U202" s="5">
        <f>(Q100*($E100/365))+(Q99*($E99/365))</f>
        <v>0</v>
      </c>
      <c r="V202" s="9"/>
      <c r="W202" s="5">
        <f t="shared" si="42"/>
        <v>56.5</v>
      </c>
    </row>
    <row r="203" spans="1:23" x14ac:dyDescent="0.15">
      <c r="A203" s="1">
        <v>2003</v>
      </c>
      <c r="B203" s="5">
        <f>(K102*($E102/365))+(K101*($E101/365))</f>
        <v>77.777777777777786</v>
      </c>
      <c r="C203" s="5">
        <f>(L102*($E102/365))+(L101*($E101/365))</f>
        <v>5.5555555555555554</v>
      </c>
      <c r="D203" s="5">
        <f>(M102*($E102/365))+(M101*($E101/365))</f>
        <v>0</v>
      </c>
      <c r="E203" s="17">
        <f t="shared" si="40"/>
        <v>83.333333333333343</v>
      </c>
      <c r="G203" s="1">
        <v>2003</v>
      </c>
      <c r="H203" s="392">
        <f>(O101/$R101*100*($E101/365))+(O102/$R102*100*($E102/365))</f>
        <v>88.238260159539578</v>
      </c>
      <c r="I203" s="392"/>
      <c r="J203" s="392">
        <f>(P101/$R101*100*($E101/365))+(P102/$R102*100*($E102/365))</f>
        <v>11.761739840460415</v>
      </c>
      <c r="K203" s="392"/>
      <c r="L203" s="392">
        <f>(Q101/$R101*100*($E101/365))+(Q102/$R102*100*($E102/365))</f>
        <v>0</v>
      </c>
      <c r="M203" s="392"/>
      <c r="N203" s="363">
        <f t="shared" si="41"/>
        <v>100</v>
      </c>
      <c r="O203" s="363"/>
      <c r="R203" s="1">
        <v>2003</v>
      </c>
      <c r="S203" s="5">
        <f>(O102*($E102/365))+(O101*($E101/365))</f>
        <v>50</v>
      </c>
      <c r="T203" s="5">
        <f>(P102*($E102/365))+(P101*($E101/365))</f>
        <v>6.6660273972602733</v>
      </c>
      <c r="U203" s="5">
        <f>(Q102*($E102/365))+(Q101*($E101/365))</f>
        <v>0</v>
      </c>
      <c r="V203" s="9"/>
      <c r="W203" s="5">
        <f t="shared" si="42"/>
        <v>56.666027397260272</v>
      </c>
    </row>
    <row r="204" spans="1:23" x14ac:dyDescent="0.15">
      <c r="A204" s="1">
        <v>2004</v>
      </c>
      <c r="B204" s="5">
        <f>(K104*($E104/366))+(K103*($E103/366))</f>
        <v>82.149362477231335</v>
      </c>
      <c r="C204" s="5">
        <f>(L104*($E104/366))+(L103*($E103/366))</f>
        <v>5.5555555555555554</v>
      </c>
      <c r="D204" s="5">
        <f>(M104*($E104/366))+(M103*($E103/366))</f>
        <v>0</v>
      </c>
      <c r="E204" s="17">
        <f t="shared" si="40"/>
        <v>87.704918032786892</v>
      </c>
      <c r="G204" s="1">
        <v>2004</v>
      </c>
      <c r="H204" s="392">
        <f>(O103/$R103*100*($E103/366))+(O104/$R104*100*($E104/366))</f>
        <v>87.563056230503207</v>
      </c>
      <c r="I204" s="392"/>
      <c r="J204" s="392">
        <f>(P103/$R103*100*($E103/366))+(P104/$R104*100*($E104/366))</f>
        <v>12.436943769496787</v>
      </c>
      <c r="K204" s="392"/>
      <c r="L204" s="392">
        <f>(Q103/$R103*100*($E103/366))+(Q104/$R104*100*($E104/366))</f>
        <v>0</v>
      </c>
      <c r="M204" s="392"/>
      <c r="N204" s="363">
        <f t="shared" si="41"/>
        <v>100</v>
      </c>
      <c r="O204" s="363"/>
      <c r="R204" s="1">
        <v>2004</v>
      </c>
      <c r="S204" s="5">
        <f>(O104*($E104/366))+(O103*($E103/366))</f>
        <v>49.990163934426235</v>
      </c>
      <c r="T204" s="5">
        <f>(P104*($E104/366))+(P103*($E103/366))</f>
        <v>7.1</v>
      </c>
      <c r="U204" s="5">
        <f>(Q104*($E104/366))+(Q103*($E103/366))</f>
        <v>0</v>
      </c>
      <c r="V204" s="9"/>
      <c r="W204" s="5">
        <f t="shared" si="42"/>
        <v>57.090163934426236</v>
      </c>
    </row>
    <row r="205" spans="1:23" x14ac:dyDescent="0.15">
      <c r="A205" s="1">
        <v>2005</v>
      </c>
      <c r="B205" s="5">
        <f>(K106*($E106/365))+(K105*($E105/365))</f>
        <v>94.444444444444457</v>
      </c>
      <c r="C205" s="5">
        <f>(L106*($E106/365))+(L105*($E105/365))</f>
        <v>5.5555555555555554</v>
      </c>
      <c r="D205" s="5">
        <f>(M106*($E106/365))+(M105*($E105/365))</f>
        <v>0</v>
      </c>
      <c r="E205" s="17">
        <f t="shared" si="40"/>
        <v>100.00000000000001</v>
      </c>
      <c r="G205" s="1">
        <v>2005</v>
      </c>
      <c r="H205" s="392">
        <f>(O105/$R105*100*($E105/365))+(O106/$R106*100*($E106/365))</f>
        <v>87.949261067457201</v>
      </c>
      <c r="I205" s="392"/>
      <c r="J205" s="392">
        <f>(P105/$R105*100*($E105/365))+(P106/$R106*100*($E106/365))</f>
        <v>12.050738932542787</v>
      </c>
      <c r="K205" s="392"/>
      <c r="L205" s="392">
        <f>(Q105/$R105*100*($E105/365))+(Q106/$R106*100*($E106/365))</f>
        <v>0</v>
      </c>
      <c r="M205" s="392"/>
      <c r="N205" s="363">
        <f t="shared" si="41"/>
        <v>99.999999999999986</v>
      </c>
      <c r="O205" s="363"/>
      <c r="R205" s="1">
        <v>2005</v>
      </c>
      <c r="S205" s="5">
        <f>(O106*($E106/365))+(O105*($E105/365))</f>
        <v>51.489315068493148</v>
      </c>
      <c r="T205" s="5">
        <f>(P106*($E106/365))+(P105*($E105/365))</f>
        <v>6.9980821917808225</v>
      </c>
      <c r="U205" s="5">
        <f>(Q106*($E106/365))+(Q105*($E105/365))</f>
        <v>0</v>
      </c>
      <c r="V205" s="9"/>
      <c r="W205" s="5">
        <f t="shared" si="42"/>
        <v>58.487397260273973</v>
      </c>
    </row>
    <row r="206" spans="1:23" x14ac:dyDescent="0.15">
      <c r="A206" s="1">
        <v>2006</v>
      </c>
      <c r="B206" s="5">
        <f>(K108*($E108/365))+(K107*($E107/365))</f>
        <v>92.968036529680376</v>
      </c>
      <c r="C206" s="5">
        <f>(L108*($E108/365))+(L107*($E107/365))</f>
        <v>5.5555555555555554</v>
      </c>
      <c r="D206" s="5">
        <f>(M108*($E108/365))+(M107*($E107/365))</f>
        <v>0</v>
      </c>
      <c r="E206" s="17">
        <f t="shared" si="40"/>
        <v>98.523592085235933</v>
      </c>
      <c r="G206" s="1">
        <v>2006</v>
      </c>
      <c r="H206" s="392">
        <f>(O107/$R107*100*($E107/365))+(O108/$R108*100*($E108/365))</f>
        <v>90.469208211143695</v>
      </c>
      <c r="I206" s="392"/>
      <c r="J206" s="392">
        <f>(P107/$R107*100*($E107/365))+(P108/$R108*100*($E108/365))</f>
        <v>9.5307917888563054</v>
      </c>
      <c r="K206" s="392"/>
      <c r="L206" s="392">
        <f>(Q107/$R107*100*($E107/365))+(Q108/$R108*100*($E108/365))</f>
        <v>0</v>
      </c>
      <c r="M206" s="392"/>
      <c r="N206" s="363">
        <f t="shared" si="41"/>
        <v>100</v>
      </c>
      <c r="O206" s="363"/>
      <c r="R206" s="1">
        <v>2006</v>
      </c>
      <c r="S206" s="5">
        <f>(O108*($E108/365))+(O107*($E107/365))</f>
        <v>61.7</v>
      </c>
      <c r="T206" s="5">
        <f>(P108*($E108/365))+(P107*($E107/365))</f>
        <v>6.5</v>
      </c>
      <c r="U206" s="5">
        <f>(Q108*($E108/365))+(Q107*($E107/365))</f>
        <v>0</v>
      </c>
      <c r="V206" s="9"/>
      <c r="W206" s="5">
        <f t="shared" si="42"/>
        <v>68.2</v>
      </c>
    </row>
    <row r="207" spans="1:23" x14ac:dyDescent="0.15">
      <c r="A207" s="1">
        <v>2007</v>
      </c>
      <c r="B207" s="5">
        <f>(K110*($E110/365))+(K109*($E109/365))+(K111*($E111/365))</f>
        <v>86.955859969558603</v>
      </c>
      <c r="C207" s="5">
        <f>(L110*($E110/365))+(L109*($E109/365))+(L111*($E111/365))</f>
        <v>5.5555555555555554</v>
      </c>
      <c r="D207" s="5">
        <f>(M110*($E110/365))+(M109*($E109/365))+(M111*($E111/365))</f>
        <v>0</v>
      </c>
      <c r="E207" s="17">
        <f t="shared" si="40"/>
        <v>92.51141552511416</v>
      </c>
      <c r="G207" s="1">
        <v>2007</v>
      </c>
      <c r="H207" s="392">
        <f>(O109/$R109*100*($E109/365))+(O110/$R110*100*($E110/365))+(O111/$R111*100*($E111/365))</f>
        <v>90.469208211143695</v>
      </c>
      <c r="I207" s="392"/>
      <c r="J207" s="392">
        <f>(P109/$R109*100*($E109/365))+(P110/$R110*100*($E110/365))+(P111/$R111*100*($E111/365))</f>
        <v>9.5307917888563054</v>
      </c>
      <c r="K207" s="392"/>
      <c r="L207" s="392">
        <f>(Q109/$R109*100*($E109/365))+(Q110/$R110*100*($E110/365))+(Q111/$R111*100*($E111/365))</f>
        <v>0</v>
      </c>
      <c r="M207" s="392"/>
      <c r="N207" s="363">
        <f t="shared" si="41"/>
        <v>100</v>
      </c>
      <c r="O207" s="363"/>
      <c r="R207" s="1">
        <v>2007</v>
      </c>
      <c r="S207" s="5">
        <f>(O110*($E110/365))+(O109*($E109/365))+(O111*($E111/365))</f>
        <v>61.7</v>
      </c>
      <c r="T207" s="5">
        <f>(P110*($E110/365))+(P109*($E109/365))+(P111*($E111/365))</f>
        <v>6.5</v>
      </c>
      <c r="U207" s="5">
        <f>(Q110*($E110/365))+(Q109*($E109/365))+(Q111*($E111/365))</f>
        <v>0</v>
      </c>
      <c r="V207" s="9"/>
      <c r="W207" s="5">
        <f t="shared" si="42"/>
        <v>68.2</v>
      </c>
    </row>
    <row r="208" spans="1:23" x14ac:dyDescent="0.15">
      <c r="A208" s="1">
        <v>2008</v>
      </c>
      <c r="B208" s="5">
        <f>(K113*($E113/366))+(K112*($E112/366))+(K114*($E114/366))</f>
        <v>87.14329083181542</v>
      </c>
      <c r="C208" s="5">
        <f>(L113*($E113/366))+(L112*($E112/366))+(L114*($E114/366))</f>
        <v>5.5555555555555554</v>
      </c>
      <c r="D208" s="5">
        <f>(M113*($E113/366))+(M112*($E112/366))+(M114*($E114/366))</f>
        <v>0</v>
      </c>
      <c r="E208" s="17">
        <f t="shared" si="40"/>
        <v>92.698846387370978</v>
      </c>
      <c r="G208" s="1">
        <v>2008</v>
      </c>
      <c r="H208" s="392">
        <f>(O112/$R112*100*($E112/366))+(O113/$R113*100*($E113/366))+(O114/$R114*100*($E114/366))</f>
        <v>90.469208211143695</v>
      </c>
      <c r="I208" s="392"/>
      <c r="J208" s="392">
        <f>(P112/$R112*100*($E112/366))+(P113/$R113*100*($E113/366))+(P114/$R114*100*($E114/366))</f>
        <v>9.5307917888563054</v>
      </c>
      <c r="K208" s="392"/>
      <c r="L208" s="392">
        <f>(Q112/$R112*100*($E112/366))+(Q113/$R113*100*($E113/366))+(Q114/$R114*100*($E114/366))</f>
        <v>0</v>
      </c>
      <c r="M208" s="392"/>
      <c r="N208" s="363">
        <f t="shared" si="41"/>
        <v>100</v>
      </c>
      <c r="O208" s="363"/>
      <c r="R208" s="1">
        <v>2008</v>
      </c>
      <c r="S208" s="5">
        <f>(O113*($E113/366))+(O112*($E112/366))+(O114*($E114/366))</f>
        <v>61.7</v>
      </c>
      <c r="T208" s="5">
        <f>(P113*($E113/366))+(P112*($E112/366))+(P114*($E114/366))</f>
        <v>6.5</v>
      </c>
      <c r="U208" s="5">
        <f>(Q113*($E113/366))+(Q112*($E112/366))+(Q114*($E114/366))</f>
        <v>0</v>
      </c>
      <c r="V208" s="9"/>
      <c r="W208" s="5">
        <f t="shared" si="42"/>
        <v>68.2</v>
      </c>
    </row>
    <row r="209" spans="1:23" x14ac:dyDescent="0.15">
      <c r="A209" s="1">
        <v>2009</v>
      </c>
      <c r="B209" s="5">
        <f>(K115*($E115/365))+(K116*($E116/365))</f>
        <v>68.386605783866059</v>
      </c>
      <c r="C209" s="5">
        <f>(L115*($E115/365))+(L116*($E116/365))</f>
        <v>29.984779299847794</v>
      </c>
      <c r="D209" s="5">
        <f>(M115*($E115/365))+(M116*($E116/365))</f>
        <v>1.6286149162861492</v>
      </c>
      <c r="E209" s="17">
        <f t="shared" si="40"/>
        <v>100</v>
      </c>
      <c r="G209" s="1">
        <v>2009</v>
      </c>
      <c r="H209" s="392">
        <f>(O115/$R115*100*($E115/365))+(O116/$R116*100*($E116/365))</f>
        <v>64.213392596330394</v>
      </c>
      <c r="I209" s="392"/>
      <c r="J209" s="392">
        <f>(P115/$R115*100*($E115/365))+(P116/$R116*100*($E116/365))</f>
        <v>35.123370559933171</v>
      </c>
      <c r="K209" s="392"/>
      <c r="L209" s="392">
        <f>(Q115/$R115*100*($E115/365))+(Q116/$R116*100*($E116/365))</f>
        <v>0.66323684373644087</v>
      </c>
      <c r="M209" s="392"/>
      <c r="N209" s="363">
        <f t="shared" si="41"/>
        <v>100.00000000000001</v>
      </c>
      <c r="O209" s="363"/>
      <c r="R209" s="1">
        <v>2009</v>
      </c>
      <c r="S209" s="5">
        <f>(O115*($E115/365))+(O116*($E116/365))</f>
        <v>43.788493150684936</v>
      </c>
      <c r="T209" s="5">
        <f>(P115*($E115/365))+(P116*($E116/365))</f>
        <v>23.414794520547947</v>
      </c>
      <c r="U209" s="5">
        <f>(Q115*($E115/365))+(Q116*($E116/365))</f>
        <v>0.4397260273972603</v>
      </c>
      <c r="V209" s="9"/>
      <c r="W209" s="5">
        <f t="shared" si="42"/>
        <v>67.643013698630142</v>
      </c>
    </row>
    <row r="210" spans="1:23" x14ac:dyDescent="0.15">
      <c r="A210" s="1">
        <v>2010</v>
      </c>
      <c r="B210" s="5">
        <f>(K117*($E117/365))+(K118*($E118/365))+(K119*($E119/365))+(K120*($E120/365))</f>
        <v>5.5654042438893363</v>
      </c>
      <c r="C210" s="5">
        <f>(L117*($E117/365))+(L118*($E118/365))+(L119*($E119/365))+(L120*($E120/365))</f>
        <v>90.583758617602285</v>
      </c>
      <c r="D210" s="5">
        <f>(M117*($E117/365))+(M118*($E118/365))+(M119*($E119/365))+(M120*($E120/365))</f>
        <v>2.237442922374429</v>
      </c>
      <c r="E210" s="17">
        <f t="shared" si="40"/>
        <v>98.386605783866045</v>
      </c>
      <c r="G210" s="1">
        <v>2010</v>
      </c>
      <c r="H210" s="392">
        <f>(O117/$R117*100*($E117/365))+(O118/$R118*100*($E118/365))+(O119/$R119*100*($E119/365))+(O120/$R120*100*($E120/365))</f>
        <v>0.91748911249314147</v>
      </c>
      <c r="I210" s="392"/>
      <c r="J210" s="392">
        <f>(P117/$R117*100*($E117/365))+(P118/$R118*100*($E118/365))+(P119/$R119*100*($E119/365))+(P120/$R120*100*($E120/365))</f>
        <v>98.171335036766152</v>
      </c>
      <c r="K210" s="392"/>
      <c r="L210" s="392">
        <f>(Q117/$R117*100*($E117/365))+(Q118/$R118*100*($E118/365))+(Q119/$R119*100*($E119/365))+(Q120/$R120*100*($E120/365))</f>
        <v>0.91117585074071783</v>
      </c>
      <c r="M210" s="392"/>
      <c r="N210" s="363">
        <f t="shared" si="41"/>
        <v>100.00000000000001</v>
      </c>
      <c r="O210" s="363"/>
      <c r="R210" s="1">
        <v>2010</v>
      </c>
      <c r="S210" s="5">
        <f>(O117*($E117/365))+(O118*($E118/365))+(O119*($E119/365))+(O120*($E120/365))</f>
        <v>0.59999999999999987</v>
      </c>
      <c r="T210" s="5">
        <f>(P117*($E117/365))+(P118*($E118/365))+(P119*($E119/365))+(P120*($E120/365))</f>
        <v>64.2</v>
      </c>
      <c r="U210" s="5">
        <f>(Q117*($E117/365))+(Q118*($E118/365))+(Q119*($E119/365))+(Q120*($E120/365))</f>
        <v>0.60410958904109591</v>
      </c>
      <c r="V210" s="9"/>
      <c r="W210" s="5">
        <f t="shared" si="42"/>
        <v>65.404109589041099</v>
      </c>
    </row>
    <row r="211" spans="1:23" x14ac:dyDescent="0.15">
      <c r="A211" s="1">
        <v>2011</v>
      </c>
      <c r="B211" s="5">
        <f>(K121*($E121/365))+(K122*($E122/365))+(K123*($E123/365))</f>
        <v>5.5555555555555554</v>
      </c>
      <c r="C211" s="5">
        <f>(L121*($E121/365))+(L122*($E122/365))+(L123*($E123/365))</f>
        <v>87.214611872146122</v>
      </c>
      <c r="D211" s="5">
        <f>(M121*($E121/365))+(M122*($E122/365))+(M123*($E123/365))</f>
        <v>0</v>
      </c>
      <c r="E211" s="17">
        <f t="shared" si="40"/>
        <v>92.770167427701679</v>
      </c>
      <c r="G211" s="1">
        <v>2011</v>
      </c>
      <c r="H211" s="392">
        <f>(O121/$R121*100*($E121/365))+(O122/$R122*100*($E122/365))+(O123/$R123*100*($E123/365))</f>
        <v>0.92592592592592582</v>
      </c>
      <c r="I211" s="392"/>
      <c r="J211" s="392">
        <f>(P121/$R121*100*($E121/365))+(P122/$R122*100*($E122/365))+(P123/$R123*100*($E123/365))</f>
        <v>99.074074074074076</v>
      </c>
      <c r="K211" s="392"/>
      <c r="L211" s="392">
        <f>(Q121/$R121*100*($E121/365))+(Q122/$R122*100*($E122/365))+(Q123/$R123*100*($E123/365))</f>
        <v>0</v>
      </c>
      <c r="M211" s="392"/>
      <c r="N211" s="363">
        <f t="shared" si="41"/>
        <v>100</v>
      </c>
      <c r="O211" s="363"/>
      <c r="R211" s="1">
        <v>2011</v>
      </c>
      <c r="S211" s="5">
        <f>(O121*($E121/365))+(O122*($E122/365))+(O123*($E123/365))</f>
        <v>0.6</v>
      </c>
      <c r="T211" s="5">
        <f>(P121*($E121/365))+(P122*($E122/365))+(P123*($E123/365))</f>
        <v>64.2</v>
      </c>
      <c r="U211" s="5">
        <f>(Q121*($E121/365))+(Q122*($E122/365))+(Q123*($E123/365))</f>
        <v>0</v>
      </c>
      <c r="V211" s="9"/>
      <c r="W211" s="5">
        <f t="shared" si="42"/>
        <v>64.8</v>
      </c>
    </row>
    <row r="212" spans="1:23" x14ac:dyDescent="0.15">
      <c r="A212" s="1">
        <v>2012</v>
      </c>
      <c r="B212" s="5">
        <f>(K124*($E124/366))+(K125*($E125/366))+(K126*($E126/366))+(K127*($E127/366))+(K128*($E128/366))+(K129*($E129/366))</f>
        <v>6.4375419422874121</v>
      </c>
      <c r="C212" s="5">
        <f>(L124*($E124/366))+(L125*($E125/366))+(L126*($E126/366))+(L127*($E127/366))+(L128*($E128/366))+(L129*($E129/366))</f>
        <v>90.597737513181855</v>
      </c>
      <c r="D212" s="5">
        <f>(M124*($E124/366))+(M125*($E125/366))+(M126*($E126/366))+(M127*($E127/366))+(M128*($E128/366))+(M129*($E129/366))</f>
        <v>0</v>
      </c>
      <c r="E212" s="17">
        <f t="shared" si="40"/>
        <v>97.035279455469265</v>
      </c>
      <c r="G212" s="1">
        <v>2012</v>
      </c>
      <c r="H212" s="392">
        <f>(O124/$R124*100*($E124/366))+(O125/$R125*100*($E125/366))+(O126/$R126*100*($E126/366))+(O127/$R127*100*($E127/366))+(O128/$R128*100*($E128/366))+(O129/$R129*100*($E129/366))</f>
        <v>2.3929268017473442</v>
      </c>
      <c r="I212" s="392"/>
      <c r="J212" s="392">
        <f>(P124/$R124*100*($E124/366))+(P125/$R125*100*($E125/366))+(P126/$R126*100*($E126/366))+(P127/$R127*100*($E127/366))+(P128/$R128*100*($E128/366))+(P129/$R129*100*($E129/366))</f>
        <v>97.607073198252664</v>
      </c>
      <c r="K212" s="392"/>
      <c r="L212" s="392">
        <f>(Q124/$R124*100*($E124/366))+(Q125/$R125*100*($E125/366))+(Q126/$R126*100*($E126/366))+(Q127/$R127*100*($E127/366))+(Q128/$R128*100*($E128/366))+(Q129/$R129*100*($E129/366))</f>
        <v>0</v>
      </c>
      <c r="M212" s="392"/>
      <c r="N212" s="363">
        <f t="shared" si="41"/>
        <v>100.00000000000001</v>
      </c>
      <c r="O212" s="363"/>
      <c r="R212" s="1">
        <v>2012</v>
      </c>
      <c r="S212" s="5">
        <f>(O124*($E124/366))+(O125*($E125/366))+(O126*($E126/366))+(O127*($E127/366))+(O128*($E128/366))+(O129*($E129/366))</f>
        <v>1.5950819672131147</v>
      </c>
      <c r="T212" s="5">
        <f>(P124*($E124/366))+(P125*($E125/366))+(P126*($E126/366))+(P127*($E127/366))+(P128*($E128/366))+(P129*($E129/366))</f>
        <v>63.254098360655732</v>
      </c>
      <c r="U212" s="5">
        <f>(Q124*($E124/366))+(Q125*($E125/366))+(Q126*($E126/366))+(Q127*($E127/366))+(Q128*($E128/366))+(Q129*($E129/366))</f>
        <v>0</v>
      </c>
      <c r="V212" s="9"/>
      <c r="W212" s="5">
        <f t="shared" si="42"/>
        <v>64.849180327868851</v>
      </c>
    </row>
    <row r="213" spans="1:23" x14ac:dyDescent="0.15">
      <c r="A213" s="1">
        <v>2013</v>
      </c>
      <c r="B213" s="5">
        <f>(K130*($E130/365))+(K131*($E131/365))</f>
        <v>94.73684210526315</v>
      </c>
      <c r="C213" s="5">
        <f>(L130*($E130/365))+(L131*($E131/365))</f>
        <v>5.2631578947368416</v>
      </c>
      <c r="D213" s="5">
        <f>(M130*($E130/365))+(M131*($E131/365))</f>
        <v>0</v>
      </c>
      <c r="E213" s="17">
        <f t="shared" si="40"/>
        <v>99.999999999999986</v>
      </c>
      <c r="G213" s="1">
        <v>2013</v>
      </c>
      <c r="H213" s="392">
        <f>(O130/$R130*100*($E130/365))+(O131/$R131*100*($E131/365))</f>
        <v>90.412979351032448</v>
      </c>
      <c r="I213" s="392"/>
      <c r="J213" s="392">
        <f>(P130/$R130*100*($E130/365))+(P131/$R131*100*($E131/365))</f>
        <v>9.5870206489675525</v>
      </c>
      <c r="K213" s="392"/>
      <c r="L213" s="392">
        <f>(Q130/$R130*100*($E130/365))+(Q131/$R131*100*($E131/365))</f>
        <v>0</v>
      </c>
      <c r="M213" s="392"/>
      <c r="N213" s="363">
        <f>H213+J213+L213</f>
        <v>100</v>
      </c>
      <c r="O213" s="363"/>
      <c r="R213" s="1">
        <v>2013</v>
      </c>
      <c r="S213" s="5">
        <f>(O130*($E130/365))+(O131*($E131/365))</f>
        <v>61.3</v>
      </c>
      <c r="T213" s="5">
        <f>(P130*($E130/365))+(P131*($E131/365))</f>
        <v>6.5</v>
      </c>
      <c r="U213" s="5">
        <f>(Q130*($E130/365))+(Q131*($E131/365))</f>
        <v>0</v>
      </c>
      <c r="V213" s="9"/>
      <c r="W213" s="5">
        <f t="shared" si="42"/>
        <v>67.8</v>
      </c>
    </row>
    <row r="214" spans="1:23" x14ac:dyDescent="0.15">
      <c r="A214" s="1">
        <v>2014</v>
      </c>
      <c r="B214" s="5">
        <f>(K132*($E132/365))+(K133*($E133/365))</f>
        <v>94.73684210526315</v>
      </c>
      <c r="C214" s="5">
        <f>(L132*($E132/365))+(L133*($E133/365))</f>
        <v>5.2631578947368416</v>
      </c>
      <c r="D214" s="5">
        <f>(M132*($E132/365))+(M133*($E133/365))</f>
        <v>0</v>
      </c>
      <c r="E214" s="17">
        <f>B214+C214+D214</f>
        <v>99.999999999999986</v>
      </c>
      <c r="G214" s="1">
        <v>2014</v>
      </c>
      <c r="H214" s="392">
        <f>(O132/$R132*100*($E132/365))+(O133/$R133*100*($E133/365))</f>
        <v>90.386329508642049</v>
      </c>
      <c r="I214" s="392"/>
      <c r="J214" s="392">
        <f>(P132/$R132*100*($E132/365))+(P133/$R133*100*($E133/365))</f>
        <v>9.6136704913579454</v>
      </c>
      <c r="K214" s="392"/>
      <c r="L214" s="392">
        <f>(Q132/$R132*100*($E132/365))+(Q133/$R133*100*($E133/365))</f>
        <v>0</v>
      </c>
      <c r="M214" s="392"/>
      <c r="N214" s="363">
        <f>H214+J214+L214</f>
        <v>100</v>
      </c>
      <c r="O214" s="363"/>
      <c r="R214" s="1">
        <v>2014</v>
      </c>
      <c r="S214" s="5">
        <f>(O132*($E132/365))+(O133*($E133/365))</f>
        <v>61.295616438356156</v>
      </c>
      <c r="T214" s="5">
        <f>(P132*($E132/365))+(P133*($E133/365))</f>
        <v>6.5197260273972608</v>
      </c>
      <c r="U214" s="5">
        <f>(Q132*($E132/365))+(Q133*($E133/365))</f>
        <v>0</v>
      </c>
      <c r="V214" s="9"/>
      <c r="W214" s="5">
        <f>S214+T214+U214</f>
        <v>67.815342465753417</v>
      </c>
    </row>
    <row r="215" spans="1:23" x14ac:dyDescent="0.15">
      <c r="A215" s="1">
        <v>2015</v>
      </c>
      <c r="B215" s="5">
        <f>(K134*($E134/365))+(K135*($E135/365))</f>
        <v>94.798846431146359</v>
      </c>
      <c r="C215" s="5">
        <f>(L134*($E134/365))+(L135*($E135/365))</f>
        <v>5.2011535688536403</v>
      </c>
      <c r="D215" s="5">
        <f>(M134*($E134/365))+(M135*($E135/365))</f>
        <v>0</v>
      </c>
      <c r="E215" s="17">
        <f>B215+C215+D215</f>
        <v>100</v>
      </c>
      <c r="G215" s="1">
        <v>2015</v>
      </c>
      <c r="H215" s="392">
        <f>(O134/$R134*100*($E134/365))+(O135/$R135*100*($E135/365))</f>
        <v>89.197080291970806</v>
      </c>
      <c r="I215" s="392"/>
      <c r="J215" s="392">
        <f>(P134/$R134*100*($E134/365))+(P135/$R135*100*($E135/365))</f>
        <v>10.802919708029197</v>
      </c>
      <c r="K215" s="392"/>
      <c r="L215" s="392">
        <f>(Q134/$R134*100*($E134/365))+(Q135/$R135*100*($E135/365))</f>
        <v>0</v>
      </c>
      <c r="M215" s="392"/>
      <c r="N215" s="363">
        <f>H215+J215+L215</f>
        <v>100</v>
      </c>
      <c r="O215" s="363"/>
      <c r="R215" s="1">
        <v>2015</v>
      </c>
      <c r="S215" s="5">
        <f>(O134*($E134/365))+(O135*($E135/365))</f>
        <v>61.099999999999994</v>
      </c>
      <c r="T215" s="5">
        <f>(P134*($E134/365))+(P135*($E135/365))</f>
        <v>7.4</v>
      </c>
      <c r="U215" s="5">
        <f>(Q134*($E134/365))+(Q135*($E135/365))</f>
        <v>0</v>
      </c>
      <c r="V215" s="9"/>
      <c r="W215" s="5">
        <f>S215+T215+U215</f>
        <v>68.5</v>
      </c>
    </row>
    <row r="216" spans="1:23" x14ac:dyDescent="0.15">
      <c r="A216" s="1">
        <v>2016</v>
      </c>
      <c r="B216" s="5">
        <f>(K136*($E136/366))+(K137*($E137/366))</f>
        <v>95</v>
      </c>
      <c r="C216" s="5">
        <f>(L136*($E136/366))+(L137*($E137/366))</f>
        <v>5</v>
      </c>
      <c r="D216" s="5">
        <f>(M136*($E136/366))+(M137*($E137/366))</f>
        <v>0</v>
      </c>
      <c r="E216" s="17">
        <f>B216+C216+D216</f>
        <v>100</v>
      </c>
      <c r="G216" s="1">
        <v>2016</v>
      </c>
      <c r="H216" s="392">
        <f>(O136/$R136*100*($E136/366))+(O137/$R137*100*($E137/366))</f>
        <v>89.197080291970806</v>
      </c>
      <c r="I216" s="392"/>
      <c r="J216" s="392">
        <f>(P136/$R136*100*($E136/366))+(P137/$R137*100*($E137/366))</f>
        <v>10.802919708029197</v>
      </c>
      <c r="K216" s="392"/>
      <c r="L216" s="392">
        <f>(Q136/$R136*100*($E136/366))+(Q137/$R137*100*($E137/366))</f>
        <v>0</v>
      </c>
      <c r="M216" s="392"/>
      <c r="N216" s="363">
        <f>H216+J216+L216</f>
        <v>100</v>
      </c>
      <c r="O216" s="363"/>
      <c r="R216" s="1">
        <v>2016</v>
      </c>
      <c r="S216" s="5">
        <f>(O136*($E136/366))+(O137*($E137/366))</f>
        <v>61.1</v>
      </c>
      <c r="T216" s="5">
        <f>(P136*($E136/366))+(P137*($E137/366))</f>
        <v>7.4</v>
      </c>
      <c r="U216" s="5">
        <f>(Q136*($E136/366))+(Q137*($E137/366))</f>
        <v>0</v>
      </c>
      <c r="V216" s="9"/>
      <c r="W216" s="5">
        <f>S216+T216+U216</f>
        <v>68.5</v>
      </c>
    </row>
    <row r="217" spans="1:23" x14ac:dyDescent="0.15">
      <c r="A217" s="1">
        <v>2017</v>
      </c>
      <c r="B217" s="5">
        <f>(K138*($E138/365))+(K139*($E139/365))</f>
        <v>95</v>
      </c>
      <c r="C217" s="5">
        <f>(L138*($E138/365))+(L139*($E139/365))</f>
        <v>5</v>
      </c>
      <c r="D217" s="5">
        <f>(M138*($E138/365))+(M139*($E139/365))</f>
        <v>0</v>
      </c>
      <c r="E217" s="17">
        <f>B217+C217+D217</f>
        <v>100</v>
      </c>
      <c r="G217" s="1">
        <v>2017</v>
      </c>
      <c r="H217" s="392">
        <f>(O138/$R138*100*($E138/365))+(O139/$R139*100*($E139/365))</f>
        <v>89.458290534582915</v>
      </c>
      <c r="I217" s="392"/>
      <c r="J217" s="392">
        <f>(P138/$R138*100*($E138/365))+(P139/$R139*100*($E139/365))</f>
        <v>10.541709465417096</v>
      </c>
      <c r="K217" s="392"/>
      <c r="L217" s="392">
        <f>(Q138/$R138*100*($E138/365))+(Q139/$R139*100*($E139/365))</f>
        <v>0</v>
      </c>
      <c r="M217" s="392"/>
      <c r="N217" s="363">
        <f>H217+J217+L217</f>
        <v>100.00000000000001</v>
      </c>
      <c r="O217" s="363"/>
      <c r="R217" s="1">
        <v>2017</v>
      </c>
      <c r="S217" s="5">
        <f>(O138*($E138/365))+(O139*($E139/365))</f>
        <v>61.066575342465754</v>
      </c>
      <c r="T217" s="5">
        <f>(P138*($E138/365))+(P139*($E139/365))</f>
        <v>7.1994520547945209</v>
      </c>
      <c r="U217" s="5">
        <f>(Q138*($E138/365))+(Q139*($E139/365))</f>
        <v>0</v>
      </c>
      <c r="V217" s="9"/>
      <c r="W217" s="5">
        <f>S217+T217+U217</f>
        <v>68.266027397260274</v>
      </c>
    </row>
    <row r="218" spans="1:23" x14ac:dyDescent="0.15">
      <c r="A218" s="1">
        <v>2018</v>
      </c>
      <c r="B218" s="5">
        <f>(K140*($E140/365))+(K141*($E141/365))</f>
        <v>95</v>
      </c>
      <c r="C218" s="5">
        <f>(L140*($E140/365))+(L141*($E141/365))</f>
        <v>5</v>
      </c>
      <c r="D218" s="5">
        <f>(M140*($E140/365))+(M141*($E141/365))</f>
        <v>0</v>
      </c>
      <c r="E218" s="17">
        <f t="shared" ref="E218" si="43">B218+C218+D218</f>
        <v>100</v>
      </c>
      <c r="G218" s="1">
        <v>2018</v>
      </c>
      <c r="H218" s="392">
        <f>(O140/$R140*100*($E140/365))+(O141/$R141*100*($E141/365))</f>
        <v>90.760059612518646</v>
      </c>
      <c r="I218" s="392"/>
      <c r="J218" s="392">
        <f>(P140/$R140*100*($E140/365))+(P141/$R141*100*($E141/365))</f>
        <v>9.2399403874813721</v>
      </c>
      <c r="K218" s="392"/>
      <c r="L218" s="392">
        <f>(Q140/$R140*100*($E140/365))+(Q141/$R141*100*($E141/365))</f>
        <v>0</v>
      </c>
      <c r="M218" s="392"/>
      <c r="N218" s="363">
        <f t="shared" ref="N218" si="44">H218+J218+L218</f>
        <v>100.00000000000001</v>
      </c>
      <c r="O218" s="363"/>
      <c r="R218" s="1">
        <v>2018</v>
      </c>
      <c r="S218" s="5">
        <f>(O140*($E140/365))+(O141*($E141/365))</f>
        <v>60.9</v>
      </c>
      <c r="T218" s="5">
        <f>(P140*($E140/365))+(P141*($E141/365))</f>
        <v>6.2</v>
      </c>
      <c r="U218" s="5">
        <f>(Q140*($E140/365))+(Q141*($E141/365))</f>
        <v>0</v>
      </c>
      <c r="V218" s="9"/>
      <c r="W218" s="5">
        <f t="shared" ref="W218" si="45">S218+T218+U218</f>
        <v>67.099999999999994</v>
      </c>
    </row>
    <row r="219" spans="1:23" x14ac:dyDescent="0.15">
      <c r="A219" s="1">
        <v>2019</v>
      </c>
      <c r="B219" s="5">
        <f>(K142*($E142/365))+(K143*($E143/365))</f>
        <v>95</v>
      </c>
      <c r="C219" s="5">
        <f>(L142*($E142/365))+(L143*($E143/365))</f>
        <v>5</v>
      </c>
      <c r="D219" s="5">
        <f>(M142*($E142/365))+(M143*($E143/365))</f>
        <v>0</v>
      </c>
      <c r="E219" s="17">
        <f t="shared" ref="E219" si="46">B219+C219+D219</f>
        <v>100</v>
      </c>
      <c r="G219" s="1">
        <v>2019</v>
      </c>
      <c r="H219" s="392">
        <f>(O142/$R142*100*($E142/365))+(O143/$R143*100*($E143/365))</f>
        <v>90.760059612518646</v>
      </c>
      <c r="I219" s="392"/>
      <c r="J219" s="392">
        <f>(P142/$R142*100*($E142/365))+(P143/$R143*100*($E143/365))</f>
        <v>9.2399403874813721</v>
      </c>
      <c r="K219" s="392"/>
      <c r="L219" s="392">
        <f>(Q142/$R142*100*($E142/365))+(Q143/$R143*100*($E143/365))</f>
        <v>0</v>
      </c>
      <c r="M219" s="392"/>
      <c r="N219" s="363">
        <f t="shared" ref="N219" si="47">H219+J219+L219</f>
        <v>100.00000000000001</v>
      </c>
      <c r="O219" s="363"/>
      <c r="R219" s="1">
        <v>2019</v>
      </c>
      <c r="S219" s="5">
        <f>(O142*($E142/365))+(O143*($E143/365))</f>
        <v>60.9</v>
      </c>
      <c r="T219" s="5">
        <f>(P142*($E142/365))+(P143*($E143/365))</f>
        <v>6.2</v>
      </c>
      <c r="U219" s="5">
        <f>(Q142*($E142/365))+(Q143*($E143/365))</f>
        <v>0</v>
      </c>
      <c r="V219" s="9"/>
      <c r="W219" s="5">
        <f t="shared" ref="W219" si="48">S219+T219+U219</f>
        <v>67.099999999999994</v>
      </c>
    </row>
    <row r="220" spans="1:23" x14ac:dyDescent="0.15">
      <c r="A220" s="1">
        <v>2020</v>
      </c>
      <c r="B220" s="5">
        <f>(K144*($E144/366))+(K145*($E145/366))</f>
        <v>95.069607077803795</v>
      </c>
      <c r="C220" s="5">
        <f>(L144*($E144/366))+(L145*($E145/366))</f>
        <v>4.9303929221962006</v>
      </c>
      <c r="D220" s="5">
        <f>(M144*($E144/366))+(M145*($E145/366))</f>
        <v>0</v>
      </c>
      <c r="E220" s="17">
        <f>B220+C220+D220</f>
        <v>100</v>
      </c>
      <c r="G220" s="1">
        <v>2020</v>
      </c>
      <c r="H220" s="392">
        <f>(O144/$R144*100*($E144/366))+(O145/$R145*100*($E145/366))</f>
        <v>90.76005961251866</v>
      </c>
      <c r="I220" s="392"/>
      <c r="J220" s="392">
        <f>(P144/$R144*100*($E144/366))+(P145/$R145*100*($E145/366))</f>
        <v>9.2399403874813721</v>
      </c>
      <c r="K220" s="392"/>
      <c r="L220" s="392">
        <f>(Q144/$R144*100*($E144/366))+(Q145/$R145*100*($E145/366))</f>
        <v>0</v>
      </c>
      <c r="M220" s="392"/>
      <c r="N220" s="363">
        <f t="shared" ref="N220" si="49">H220+J220+L220</f>
        <v>100.00000000000003</v>
      </c>
      <c r="O220" s="363"/>
      <c r="R220" s="1">
        <v>2020</v>
      </c>
      <c r="S220" s="5">
        <f>(O144*($E144/366))+(O145*($E145/366))</f>
        <v>60.9</v>
      </c>
      <c r="T220" s="5">
        <f>(P144*($E144/366))+(P145*($E145/366))</f>
        <v>6.2</v>
      </c>
      <c r="U220" s="5">
        <f>(Q144*($E144/366))+(Q145*($E145/366))</f>
        <v>0</v>
      </c>
      <c r="W220" s="5">
        <f>S220+T220+U220</f>
        <v>67.099999999999994</v>
      </c>
    </row>
    <row r="221" spans="1:23" x14ac:dyDescent="0.15">
      <c r="A221" s="1">
        <v>2021</v>
      </c>
      <c r="B221" s="5">
        <f>(K146*($E146/365))+(K147*($E147/365))+(K148*($E148/365))+(K149*($E149/365))</f>
        <v>95.234181343770388</v>
      </c>
      <c r="C221" s="5">
        <f>(L146*($E146/365))+(L147*($E147/365))+(L148*($E148/365))+(L149*($E149/365))</f>
        <v>4.765818656229615</v>
      </c>
      <c r="D221" s="5">
        <f>(M146*($E146/365))+(M147*($E147/365))+(M148*($E148/365))+(M149*($E149/365))</f>
        <v>0</v>
      </c>
      <c r="E221" s="17">
        <f>B221+C221+D221</f>
        <v>100</v>
      </c>
      <c r="G221" s="1">
        <v>2021</v>
      </c>
      <c r="H221" s="392">
        <f>(O146/$R146*100*($E146/365))+(O147/$R147*100*($E147/365))+(O148/$R148*100*($E148/365))+(O149/$R149*100*($E149/365))</f>
        <v>90.520649761294308</v>
      </c>
      <c r="I221" s="392"/>
      <c r="J221" s="392">
        <f>(P146/$R146*100*($E146/365))+(P147/$R147*100*($E147/365))+(P148/$R148*100*($E148/365))+(P149/$R149*100*($E149/365))</f>
        <v>9.4793502387056989</v>
      </c>
      <c r="K221" s="392"/>
      <c r="L221" s="392">
        <f>(Q146/$R146*100*($E146/365))+(Q147/$R147*100*($E147/365))+(Q148/$R148*100*($E148/365))+(Q149/$R149*100*($E149/365))</f>
        <v>0</v>
      </c>
      <c r="M221" s="392"/>
      <c r="N221" s="363">
        <f t="shared" ref="N221" si="50">H221+J221+L221</f>
        <v>100</v>
      </c>
      <c r="O221" s="363"/>
      <c r="R221" s="1">
        <v>2021</v>
      </c>
      <c r="S221" s="5">
        <f>(O146*($E146/365))+(O147*($E147/365))+(O148*($E148/365))+(O149*($E149/365))</f>
        <v>60.22657534246575</v>
      </c>
      <c r="T221" s="5">
        <f>(P146*($E146/365))+(P147*($E147/365))+(P148*($E148/365))+(P149*($E149/365))</f>
        <v>6.2978082191780835</v>
      </c>
      <c r="U221" s="5">
        <f>(Q146*($E146/365))+(Q147*($E147/365))+(Q148*($E148/365))+(Q149*($E149/365))</f>
        <v>0</v>
      </c>
      <c r="W221" s="5">
        <f>S221+T221+U221</f>
        <v>66.52438356164383</v>
      </c>
    </row>
    <row r="222" spans="1:23" x14ac:dyDescent="0.15">
      <c r="A222" s="1">
        <v>2022</v>
      </c>
      <c r="B222" s="5">
        <f>(K150*($E150/365))+(K151*($E151/365))+(K152*($E152/365))</f>
        <v>95.236790606653628</v>
      </c>
      <c r="C222" s="5">
        <f>(L150*($E150/365))+(L151*($E151/365))+(L152*($E152/365))</f>
        <v>4.7632093933463802</v>
      </c>
      <c r="D222" s="5">
        <f>(M150*($E150/365))+(M151*($E151/365))+(M152*($E152/365))</f>
        <v>0</v>
      </c>
      <c r="E222" s="17">
        <f>B222+C222+D222</f>
        <v>100.00000000000001</v>
      </c>
      <c r="G222" s="1">
        <v>2022</v>
      </c>
      <c r="H222" s="392">
        <f>(O150/$R150*100*($E150/365))+(O151/$R151*100*($E151/365))+(O152/$R152*100*($E152/365))</f>
        <v>89.082278481012651</v>
      </c>
      <c r="I222" s="392"/>
      <c r="J222" s="392">
        <f>(P150/$R150*100*($E150/365))+(P151/$R151*100*($E151/365))+(P152/$R152*100*($E152/365))</f>
        <v>10.917721518987342</v>
      </c>
      <c r="K222" s="392"/>
      <c r="L222" s="392">
        <f>(Q150/$R150*100*($E150/365))+(Q151/$R151*100*($E151/365))+(Q152/$R152*100*($E152/365))</f>
        <v>0</v>
      </c>
      <c r="M222" s="392"/>
      <c r="N222" s="363">
        <f t="shared" ref="N222" si="51">H222+J222+L222</f>
        <v>100</v>
      </c>
      <c r="O222" s="363"/>
      <c r="R222" s="1">
        <v>2022</v>
      </c>
      <c r="S222" s="5">
        <f>(O150*($E150/365))+(O151*($E151/365))+(O152*($E152/365))</f>
        <v>56.3</v>
      </c>
      <c r="T222" s="5">
        <f>(P150*($E150/365))+(P151*($E151/365))+(P152*($E152/365))</f>
        <v>6.9</v>
      </c>
      <c r="U222" s="5">
        <f>(Q150*($E150/365))+(Q151*($E151/365))+(Q152*($E152/365))</f>
        <v>0</v>
      </c>
      <c r="W222" s="5">
        <f>S222+T222+U222</f>
        <v>63.199999999999996</v>
      </c>
    </row>
  </sheetData>
  <mergeCells count="429">
    <mergeCell ref="H222:I222"/>
    <mergeCell ref="J222:K222"/>
    <mergeCell ref="L222:M222"/>
    <mergeCell ref="N222:O222"/>
    <mergeCell ref="H214:I214"/>
    <mergeCell ref="J214:K214"/>
    <mergeCell ref="L214:M214"/>
    <mergeCell ref="N214:O214"/>
    <mergeCell ref="N206:O206"/>
    <mergeCell ref="N207:O207"/>
    <mergeCell ref="H220:I220"/>
    <mergeCell ref="J220:K220"/>
    <mergeCell ref="L220:M220"/>
    <mergeCell ref="N220:O220"/>
    <mergeCell ref="H218:I218"/>
    <mergeCell ref="J218:K218"/>
    <mergeCell ref="L218:M218"/>
    <mergeCell ref="N218:O218"/>
    <mergeCell ref="H216:I216"/>
    <mergeCell ref="J216:K216"/>
    <mergeCell ref="L216:M216"/>
    <mergeCell ref="N216:O216"/>
    <mergeCell ref="H211:I211"/>
    <mergeCell ref="J211:K211"/>
    <mergeCell ref="L211:M211"/>
    <mergeCell ref="N211:O211"/>
    <mergeCell ref="N209:O209"/>
    <mergeCell ref="N210:O210"/>
    <mergeCell ref="AT4:AW4"/>
    <mergeCell ref="AX4:BA4"/>
    <mergeCell ref="N200:O200"/>
    <mergeCell ref="N201:O201"/>
    <mergeCell ref="L194:M194"/>
    <mergeCell ref="L195:M195"/>
    <mergeCell ref="L196:M196"/>
    <mergeCell ref="L197:M197"/>
    <mergeCell ref="L198:M198"/>
    <mergeCell ref="L199:M199"/>
    <mergeCell ref="L188:M188"/>
    <mergeCell ref="L189:M189"/>
    <mergeCell ref="L190:M190"/>
    <mergeCell ref="L191:M191"/>
    <mergeCell ref="L192:M192"/>
    <mergeCell ref="L193:M193"/>
    <mergeCell ref="Z4:AC4"/>
    <mergeCell ref="L201:M201"/>
    <mergeCell ref="N183:O183"/>
    <mergeCell ref="R156:W156"/>
    <mergeCell ref="L203:M203"/>
    <mergeCell ref="L187:M187"/>
    <mergeCell ref="N193:O193"/>
    <mergeCell ref="N198:O198"/>
    <mergeCell ref="N196:O196"/>
    <mergeCell ref="L200:M200"/>
    <mergeCell ref="N199:O199"/>
    <mergeCell ref="N197:O197"/>
    <mergeCell ref="N194:O194"/>
    <mergeCell ref="N195:O195"/>
    <mergeCell ref="J210:K210"/>
    <mergeCell ref="J206:K206"/>
    <mergeCell ref="H210:I210"/>
    <mergeCell ref="N203:O203"/>
    <mergeCell ref="N204:O204"/>
    <mergeCell ref="N205:O205"/>
    <mergeCell ref="N202:O202"/>
    <mergeCell ref="L207:M207"/>
    <mergeCell ref="L205:M205"/>
    <mergeCell ref="J209:K209"/>
    <mergeCell ref="L208:M208"/>
    <mergeCell ref="J207:K207"/>
    <mergeCell ref="J208:K208"/>
    <mergeCell ref="J205:K205"/>
    <mergeCell ref="J203:K203"/>
    <mergeCell ref="J204:K204"/>
    <mergeCell ref="H208:I208"/>
    <mergeCell ref="H203:I203"/>
    <mergeCell ref="L210:M210"/>
    <mergeCell ref="L204:M204"/>
    <mergeCell ref="N208:O208"/>
    <mergeCell ref="L209:M209"/>
    <mergeCell ref="L206:M206"/>
    <mergeCell ref="L202:M202"/>
    <mergeCell ref="L212:M212"/>
    <mergeCell ref="N212:O212"/>
    <mergeCell ref="C127:D127"/>
    <mergeCell ref="C128:D128"/>
    <mergeCell ref="C129:D129"/>
    <mergeCell ref="C151:D151"/>
    <mergeCell ref="C144:D144"/>
    <mergeCell ref="C145:D145"/>
    <mergeCell ref="H198:I198"/>
    <mergeCell ref="H193:I193"/>
    <mergeCell ref="J199:K199"/>
    <mergeCell ref="J200:K200"/>
    <mergeCell ref="J201:K201"/>
    <mergeCell ref="J202:K202"/>
    <mergeCell ref="J193:K193"/>
    <mergeCell ref="H209:I209"/>
    <mergeCell ref="H212:I212"/>
    <mergeCell ref="J212:K212"/>
    <mergeCell ref="J196:K196"/>
    <mergeCell ref="H206:I206"/>
    <mergeCell ref="H207:I207"/>
    <mergeCell ref="H200:I200"/>
    <mergeCell ref="H204:I204"/>
    <mergeCell ref="H205:I205"/>
    <mergeCell ref="J185:K185"/>
    <mergeCell ref="H187:I187"/>
    <mergeCell ref="J187:K187"/>
    <mergeCell ref="J195:K195"/>
    <mergeCell ref="N185:O185"/>
    <mergeCell ref="N188:O188"/>
    <mergeCell ref="N189:O189"/>
    <mergeCell ref="N190:O190"/>
    <mergeCell ref="J188:K188"/>
    <mergeCell ref="J189:K189"/>
    <mergeCell ref="J190:K190"/>
    <mergeCell ref="N191:O191"/>
    <mergeCell ref="N192:O192"/>
    <mergeCell ref="J191:K191"/>
    <mergeCell ref="J192:K192"/>
    <mergeCell ref="L185:M185"/>
    <mergeCell ref="N187:O187"/>
    <mergeCell ref="J186:K186"/>
    <mergeCell ref="L186:M186"/>
    <mergeCell ref="H185:I185"/>
    <mergeCell ref="H199:I199"/>
    <mergeCell ref="H188:I188"/>
    <mergeCell ref="H189:I189"/>
    <mergeCell ref="H190:I190"/>
    <mergeCell ref="H192:I192"/>
    <mergeCell ref="H201:I201"/>
    <mergeCell ref="H202:I202"/>
    <mergeCell ref="H194:I194"/>
    <mergeCell ref="H195:I195"/>
    <mergeCell ref="H196:I196"/>
    <mergeCell ref="H197:I197"/>
    <mergeCell ref="J197:K197"/>
    <mergeCell ref="J198:K198"/>
    <mergeCell ref="J194:K194"/>
    <mergeCell ref="H191:I191"/>
    <mergeCell ref="H186:I186"/>
    <mergeCell ref="H179:I179"/>
    <mergeCell ref="J179:K179"/>
    <mergeCell ref="L179:M179"/>
    <mergeCell ref="N179:O179"/>
    <mergeCell ref="H180:I180"/>
    <mergeCell ref="J180:K180"/>
    <mergeCell ref="L180:M180"/>
    <mergeCell ref="N180:O180"/>
    <mergeCell ref="N181:O181"/>
    <mergeCell ref="H182:I182"/>
    <mergeCell ref="J182:K182"/>
    <mergeCell ref="L182:M182"/>
    <mergeCell ref="N182:O182"/>
    <mergeCell ref="H183:I183"/>
    <mergeCell ref="J183:K183"/>
    <mergeCell ref="L183:M183"/>
    <mergeCell ref="N186:O186"/>
    <mergeCell ref="H181:I181"/>
    <mergeCell ref="J181:K181"/>
    <mergeCell ref="H184:I184"/>
    <mergeCell ref="J184:K184"/>
    <mergeCell ref="L184:M184"/>
    <mergeCell ref="H177:I177"/>
    <mergeCell ref="J177:K177"/>
    <mergeCell ref="L177:M177"/>
    <mergeCell ref="N177:O177"/>
    <mergeCell ref="H178:I178"/>
    <mergeCell ref="J178:K178"/>
    <mergeCell ref="L178:M178"/>
    <mergeCell ref="N178:O178"/>
    <mergeCell ref="N184:O184"/>
    <mergeCell ref="L181:M181"/>
    <mergeCell ref="H175:I175"/>
    <mergeCell ref="J175:K175"/>
    <mergeCell ref="L175:M175"/>
    <mergeCell ref="N175:O175"/>
    <mergeCell ref="H176:I176"/>
    <mergeCell ref="J176:K176"/>
    <mergeCell ref="L176:M176"/>
    <mergeCell ref="N176:O176"/>
    <mergeCell ref="H173:I173"/>
    <mergeCell ref="J173:K173"/>
    <mergeCell ref="L173:M173"/>
    <mergeCell ref="N173:O173"/>
    <mergeCell ref="H174:I174"/>
    <mergeCell ref="J174:K174"/>
    <mergeCell ref="L174:M174"/>
    <mergeCell ref="N174:O174"/>
    <mergeCell ref="H171:I171"/>
    <mergeCell ref="J171:K171"/>
    <mergeCell ref="L171:M171"/>
    <mergeCell ref="N171:O171"/>
    <mergeCell ref="H172:I172"/>
    <mergeCell ref="J172:K172"/>
    <mergeCell ref="L172:M172"/>
    <mergeCell ref="N172:O172"/>
    <mergeCell ref="H169:I169"/>
    <mergeCell ref="J169:K169"/>
    <mergeCell ref="L169:M169"/>
    <mergeCell ref="N169:O169"/>
    <mergeCell ref="H170:I170"/>
    <mergeCell ref="J170:K170"/>
    <mergeCell ref="L170:M170"/>
    <mergeCell ref="N170:O170"/>
    <mergeCell ref="H167:I167"/>
    <mergeCell ref="J167:K167"/>
    <mergeCell ref="L167:M167"/>
    <mergeCell ref="N167:O167"/>
    <mergeCell ref="H168:I168"/>
    <mergeCell ref="J168:K168"/>
    <mergeCell ref="L168:M168"/>
    <mergeCell ref="N168:O168"/>
    <mergeCell ref="G3:M3"/>
    <mergeCell ref="O3:Q3"/>
    <mergeCell ref="N162:O162"/>
    <mergeCell ref="L158:M158"/>
    <mergeCell ref="N158:O158"/>
    <mergeCell ref="H160:I160"/>
    <mergeCell ref="J160:K160"/>
    <mergeCell ref="L160:M160"/>
    <mergeCell ref="N160:O160"/>
    <mergeCell ref="H159:I159"/>
    <mergeCell ref="J159:K159"/>
    <mergeCell ref="H162:I162"/>
    <mergeCell ref="J162:K162"/>
    <mergeCell ref="L162:M162"/>
    <mergeCell ref="H158:I158"/>
    <mergeCell ref="J158:K158"/>
    <mergeCell ref="J161:K161"/>
    <mergeCell ref="A4:A5"/>
    <mergeCell ref="B4:B5"/>
    <mergeCell ref="C4:D5"/>
    <mergeCell ref="E4:E5"/>
    <mergeCell ref="F4:F5"/>
    <mergeCell ref="G4:J4"/>
    <mergeCell ref="C19:D19"/>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152:D152"/>
    <mergeCell ref="J163:K163"/>
    <mergeCell ref="C95:D95"/>
    <mergeCell ref="C20:D20"/>
    <mergeCell ref="C14:D14"/>
    <mergeCell ref="C15:D15"/>
    <mergeCell ref="C16:D16"/>
    <mergeCell ref="C17:D17"/>
    <mergeCell ref="C18:D18"/>
    <mergeCell ref="C21:D21"/>
    <mergeCell ref="C22:D22"/>
    <mergeCell ref="C23:D23"/>
    <mergeCell ref="C24:D24"/>
    <mergeCell ref="C27:D27"/>
    <mergeCell ref="C28:D28"/>
    <mergeCell ref="C25:D25"/>
    <mergeCell ref="C26:D26"/>
    <mergeCell ref="C29:D29"/>
    <mergeCell ref="C30:D30"/>
    <mergeCell ref="C33:D33"/>
    <mergeCell ref="C34:D34"/>
    <mergeCell ref="C31:D31"/>
    <mergeCell ref="C32:D32"/>
    <mergeCell ref="C35:D35"/>
    <mergeCell ref="H161:I161"/>
    <mergeCell ref="AP4:AS4"/>
    <mergeCell ref="C8:D8"/>
    <mergeCell ref="K4:N4"/>
    <mergeCell ref="O4:R4"/>
    <mergeCell ref="S4:S5"/>
    <mergeCell ref="T4:T5"/>
    <mergeCell ref="C11:D11"/>
    <mergeCell ref="C12:D12"/>
    <mergeCell ref="C13:D13"/>
    <mergeCell ref="C7:D7"/>
    <mergeCell ref="C6:D6"/>
    <mergeCell ref="C9:D9"/>
    <mergeCell ref="C10:D10"/>
    <mergeCell ref="AH4:AK4"/>
    <mergeCell ref="AL4:AO4"/>
    <mergeCell ref="U4:U5"/>
    <mergeCell ref="V4:Y4"/>
    <mergeCell ref="AD4:AG4"/>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82:D82"/>
    <mergeCell ref="C79:D79"/>
    <mergeCell ref="C80:D80"/>
    <mergeCell ref="C83:D83"/>
    <mergeCell ref="C84:D84"/>
    <mergeCell ref="C87:D87"/>
    <mergeCell ref="C88:D88"/>
    <mergeCell ref="C85:D85"/>
    <mergeCell ref="C86:D86"/>
    <mergeCell ref="C89:D89"/>
    <mergeCell ref="C90:D90"/>
    <mergeCell ref="C93:D93"/>
    <mergeCell ref="C94:D94"/>
    <mergeCell ref="C91:D91"/>
    <mergeCell ref="C92:D92"/>
    <mergeCell ref="C96:D96"/>
    <mergeCell ref="C97:D97"/>
    <mergeCell ref="C100:D100"/>
    <mergeCell ref="C101:D101"/>
    <mergeCell ref="C98:D98"/>
    <mergeCell ref="C99:D99"/>
    <mergeCell ref="C111:D111"/>
    <mergeCell ref="C102:D102"/>
    <mergeCell ref="C103:D103"/>
    <mergeCell ref="C106:D106"/>
    <mergeCell ref="C107:D107"/>
    <mergeCell ref="C104:D104"/>
    <mergeCell ref="C105:D105"/>
    <mergeCell ref="C114:D114"/>
    <mergeCell ref="C130:D130"/>
    <mergeCell ref="C115:D115"/>
    <mergeCell ref="C124:D124"/>
    <mergeCell ref="C125:D125"/>
    <mergeCell ref="C116:D116"/>
    <mergeCell ref="C117:D117"/>
    <mergeCell ref="C108:D108"/>
    <mergeCell ref="C109:D109"/>
    <mergeCell ref="C112:D112"/>
    <mergeCell ref="C113:D113"/>
    <mergeCell ref="C110:D110"/>
    <mergeCell ref="C118:D118"/>
    <mergeCell ref="C119:D119"/>
    <mergeCell ref="C120:D120"/>
    <mergeCell ref="C121:D121"/>
    <mergeCell ref="C122:D122"/>
    <mergeCell ref="C123:D123"/>
    <mergeCell ref="C126:D126"/>
    <mergeCell ref="C133:D133"/>
    <mergeCell ref="C132:D132"/>
    <mergeCell ref="C134:D134"/>
    <mergeCell ref="C135:D135"/>
    <mergeCell ref="C136:D136"/>
    <mergeCell ref="C137:D137"/>
    <mergeCell ref="C138:D138"/>
    <mergeCell ref="C131:D131"/>
    <mergeCell ref="C139:D139"/>
    <mergeCell ref="C150:D150"/>
    <mergeCell ref="C140:D140"/>
    <mergeCell ref="C141:D141"/>
    <mergeCell ref="H217:I217"/>
    <mergeCell ref="J217:K217"/>
    <mergeCell ref="L217:M217"/>
    <mergeCell ref="N217:O217"/>
    <mergeCell ref="H215:I215"/>
    <mergeCell ref="J215:K215"/>
    <mergeCell ref="L215:M215"/>
    <mergeCell ref="N215:O215"/>
    <mergeCell ref="H213:I213"/>
    <mergeCell ref="J213:K213"/>
    <mergeCell ref="L213:M213"/>
    <mergeCell ref="N213:O213"/>
    <mergeCell ref="L159:M159"/>
    <mergeCell ref="N159:O159"/>
    <mergeCell ref="L161:M161"/>
    <mergeCell ref="N161:O161"/>
    <mergeCell ref="C142:D142"/>
    <mergeCell ref="C143:D143"/>
    <mergeCell ref="H165:I165"/>
    <mergeCell ref="J165:K165"/>
    <mergeCell ref="H163:I163"/>
    <mergeCell ref="H221:I221"/>
    <mergeCell ref="J221:K221"/>
    <mergeCell ref="L221:M221"/>
    <mergeCell ref="N221:O221"/>
    <mergeCell ref="C146:D146"/>
    <mergeCell ref="C147:D147"/>
    <mergeCell ref="C148:D148"/>
    <mergeCell ref="C149:D149"/>
    <mergeCell ref="H219:I219"/>
    <mergeCell ref="J219:K219"/>
    <mergeCell ref="L219:M219"/>
    <mergeCell ref="N219:O219"/>
    <mergeCell ref="L165:M165"/>
    <mergeCell ref="N165:O165"/>
    <mergeCell ref="H166:I166"/>
    <mergeCell ref="J166:K166"/>
    <mergeCell ref="L166:M166"/>
    <mergeCell ref="N166:O166"/>
    <mergeCell ref="L163:M163"/>
    <mergeCell ref="N163:O163"/>
    <mergeCell ref="H164:I164"/>
    <mergeCell ref="J164:K164"/>
    <mergeCell ref="L164:M164"/>
    <mergeCell ref="N164:O164"/>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BA113"/>
  <sheetViews>
    <sheetView zoomScale="115" zoomScaleNormal="120" workbookViewId="0">
      <pane xSplit="1" ySplit="5" topLeftCell="AN64" activePane="bottomRight" state="frozen"/>
      <selection pane="topRight" activeCell="B1" sqref="B1"/>
      <selection pane="bottomLeft" activeCell="A6" sqref="A6"/>
      <selection pane="bottomRight" activeCell="AN67" sqref="AN67"/>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141</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28" customFormat="1" x14ac:dyDescent="0.15">
      <c r="A6" s="28">
        <v>1993</v>
      </c>
      <c r="B6" s="293"/>
      <c r="C6" s="405" t="s">
        <v>1261</v>
      </c>
      <c r="D6" s="405"/>
      <c r="E6" s="28">
        <v>214</v>
      </c>
      <c r="G6" s="65"/>
      <c r="J6" s="72"/>
      <c r="K6" s="46"/>
      <c r="L6" s="46"/>
      <c r="M6" s="46"/>
      <c r="N6" s="67"/>
      <c r="O6" s="45"/>
      <c r="P6" s="46"/>
      <c r="Q6" s="46"/>
      <c r="R6" s="47"/>
      <c r="T6" s="284"/>
      <c r="U6" s="293"/>
      <c r="V6" s="37"/>
      <c r="Y6" s="38"/>
      <c r="AD6" s="37"/>
      <c r="AG6" s="38"/>
      <c r="AL6" s="37"/>
      <c r="AO6" s="38"/>
      <c r="AP6" s="37"/>
      <c r="AS6" s="38"/>
      <c r="AW6" s="38"/>
      <c r="BA6" s="39"/>
    </row>
    <row r="7" spans="1:53" s="170" customFormat="1" x14ac:dyDescent="0.15">
      <c r="A7" s="170">
        <v>1993</v>
      </c>
      <c r="B7" s="281">
        <v>34184</v>
      </c>
      <c r="C7" s="395" t="s">
        <v>1021</v>
      </c>
      <c r="D7" s="395"/>
      <c r="E7" s="170">
        <v>151</v>
      </c>
      <c r="F7" s="170" t="s">
        <v>335</v>
      </c>
      <c r="G7" s="232">
        <v>12</v>
      </c>
      <c r="I7" s="170">
        <v>3</v>
      </c>
      <c r="J7" s="240">
        <v>15</v>
      </c>
      <c r="K7" s="213">
        <f t="shared" ref="K7:K47" si="0">G7/J7*100</f>
        <v>80</v>
      </c>
      <c r="L7" s="213">
        <f t="shared" ref="L7:L47" si="1">H7/J7*100</f>
        <v>0</v>
      </c>
      <c r="M7" s="213">
        <f t="shared" ref="M7:M47" si="2">I7/J7*100</f>
        <v>20</v>
      </c>
      <c r="N7" s="234">
        <f t="shared" ref="N7:N51" si="3">SUM(K7:M7)</f>
        <v>100</v>
      </c>
      <c r="O7" s="212">
        <v>36</v>
      </c>
      <c r="P7" s="213"/>
      <c r="Q7" s="213">
        <v>12</v>
      </c>
      <c r="R7" s="214">
        <f t="shared" ref="R7:R51" si="4">SUM(O7:Q7)</f>
        <v>48</v>
      </c>
      <c r="S7" s="170">
        <v>5</v>
      </c>
      <c r="T7" s="283">
        <v>34126</v>
      </c>
      <c r="U7" s="281">
        <v>34184</v>
      </c>
      <c r="V7" s="177" t="s">
        <v>1020</v>
      </c>
      <c r="W7" s="170" t="s">
        <v>22</v>
      </c>
      <c r="X7" s="170" t="s">
        <v>11</v>
      </c>
      <c r="Y7" s="178">
        <v>36</v>
      </c>
      <c r="Z7" s="170" t="s">
        <v>1022</v>
      </c>
      <c r="AA7" s="170" t="s">
        <v>869</v>
      </c>
      <c r="AB7" s="170" t="s">
        <v>12</v>
      </c>
      <c r="AC7" s="170">
        <v>12</v>
      </c>
      <c r="AD7" s="177"/>
      <c r="AG7" s="178"/>
      <c r="AL7" s="177"/>
      <c r="AO7" s="178"/>
      <c r="AP7" s="177"/>
      <c r="AS7" s="178"/>
      <c r="AW7" s="178"/>
      <c r="BA7" s="179"/>
    </row>
    <row r="8" spans="1:53" s="170" customFormat="1" x14ac:dyDescent="0.15">
      <c r="A8" s="170">
        <v>1994</v>
      </c>
      <c r="B8" s="281"/>
      <c r="C8" s="395" t="s">
        <v>1021</v>
      </c>
      <c r="D8" s="395"/>
      <c r="E8" s="170">
        <v>257</v>
      </c>
      <c r="G8" s="232">
        <v>12</v>
      </c>
      <c r="I8" s="170">
        <v>3</v>
      </c>
      <c r="J8" s="240">
        <v>15</v>
      </c>
      <c r="K8" s="213">
        <f t="shared" si="0"/>
        <v>80</v>
      </c>
      <c r="L8" s="213">
        <f t="shared" si="1"/>
        <v>0</v>
      </c>
      <c r="M8" s="213">
        <f t="shared" si="2"/>
        <v>20</v>
      </c>
      <c r="N8" s="234">
        <f t="shared" si="3"/>
        <v>100</v>
      </c>
      <c r="O8" s="212">
        <v>36</v>
      </c>
      <c r="P8" s="213"/>
      <c r="Q8" s="213">
        <v>12</v>
      </c>
      <c r="R8" s="214">
        <f t="shared" si="4"/>
        <v>48</v>
      </c>
      <c r="S8" s="170">
        <v>5</v>
      </c>
      <c r="T8" s="283"/>
      <c r="U8" s="281"/>
      <c r="V8" s="177" t="s">
        <v>1020</v>
      </c>
      <c r="W8" s="170" t="s">
        <v>22</v>
      </c>
      <c r="X8" s="170" t="s">
        <v>11</v>
      </c>
      <c r="Y8" s="178">
        <v>36</v>
      </c>
      <c r="Z8" s="170" t="s">
        <v>1022</v>
      </c>
      <c r="AA8" s="170" t="s">
        <v>869</v>
      </c>
      <c r="AB8" s="170" t="s">
        <v>12</v>
      </c>
      <c r="AC8" s="170">
        <v>12</v>
      </c>
      <c r="AD8" s="177"/>
      <c r="AG8" s="178"/>
      <c r="AL8" s="177"/>
      <c r="AO8" s="178"/>
      <c r="AP8" s="177"/>
      <c r="AS8" s="178"/>
      <c r="AW8" s="178"/>
      <c r="BA8" s="179"/>
    </row>
    <row r="9" spans="1:53" s="28" customFormat="1" x14ac:dyDescent="0.15">
      <c r="A9" s="28">
        <v>1994</v>
      </c>
      <c r="B9" s="293">
        <v>34592</v>
      </c>
      <c r="C9" s="394" t="s">
        <v>1023</v>
      </c>
      <c r="D9" s="394"/>
      <c r="E9" s="28">
        <v>108</v>
      </c>
      <c r="F9" s="28">
        <v>4</v>
      </c>
      <c r="G9" s="65">
        <v>9</v>
      </c>
      <c r="I9" s="28">
        <v>1</v>
      </c>
      <c r="J9" s="72">
        <v>14</v>
      </c>
      <c r="K9" s="46">
        <f t="shared" si="0"/>
        <v>64.285714285714292</v>
      </c>
      <c r="L9" s="46">
        <f t="shared" si="1"/>
        <v>0</v>
      </c>
      <c r="M9" s="46">
        <f t="shared" si="2"/>
        <v>7.1428571428571423</v>
      </c>
      <c r="N9" s="67">
        <f t="shared" si="3"/>
        <v>71.428571428571431</v>
      </c>
      <c r="O9" s="45">
        <v>36</v>
      </c>
      <c r="P9" s="46"/>
      <c r="Q9" s="46"/>
      <c r="R9" s="47">
        <f t="shared" si="4"/>
        <v>36</v>
      </c>
      <c r="S9" s="28">
        <v>5</v>
      </c>
      <c r="T9" s="284"/>
      <c r="U9" s="293">
        <v>34592</v>
      </c>
      <c r="V9" s="37" t="s">
        <v>1020</v>
      </c>
      <c r="W9" s="28" t="s">
        <v>22</v>
      </c>
      <c r="X9" s="28" t="s">
        <v>11</v>
      </c>
      <c r="Y9" s="38">
        <v>36</v>
      </c>
      <c r="Z9" s="28" t="s">
        <v>1024</v>
      </c>
      <c r="AA9" s="28" t="s">
        <v>327</v>
      </c>
      <c r="AB9" s="28" t="s">
        <v>12</v>
      </c>
      <c r="AC9" s="28">
        <v>0</v>
      </c>
      <c r="AD9" s="37"/>
      <c r="AG9" s="38"/>
      <c r="AL9" s="37"/>
      <c r="AO9" s="38"/>
      <c r="AP9" s="37"/>
      <c r="AS9" s="38"/>
      <c r="AW9" s="38"/>
      <c r="BA9" s="39"/>
    </row>
    <row r="10" spans="1:53" s="28" customFormat="1" x14ac:dyDescent="0.15">
      <c r="A10" s="28">
        <v>1995</v>
      </c>
      <c r="B10" s="293"/>
      <c r="C10" s="394" t="s">
        <v>1023</v>
      </c>
      <c r="D10" s="394"/>
      <c r="E10" s="28">
        <v>354</v>
      </c>
      <c r="G10" s="65">
        <v>9</v>
      </c>
      <c r="I10" s="28">
        <v>1</v>
      </c>
      <c r="J10" s="72">
        <v>14</v>
      </c>
      <c r="K10" s="46">
        <f t="shared" si="0"/>
        <v>64.285714285714292</v>
      </c>
      <c r="L10" s="46">
        <f t="shared" si="1"/>
        <v>0</v>
      </c>
      <c r="M10" s="46">
        <f t="shared" si="2"/>
        <v>7.1428571428571423</v>
      </c>
      <c r="N10" s="67">
        <f t="shared" si="3"/>
        <v>71.428571428571431</v>
      </c>
      <c r="O10" s="45">
        <v>36</v>
      </c>
      <c r="P10" s="46"/>
      <c r="Q10" s="46"/>
      <c r="R10" s="47">
        <f t="shared" si="4"/>
        <v>36</v>
      </c>
      <c r="S10" s="28">
        <v>5</v>
      </c>
      <c r="T10" s="284"/>
      <c r="U10" s="293"/>
      <c r="V10" s="37" t="s">
        <v>1020</v>
      </c>
      <c r="W10" s="28" t="s">
        <v>22</v>
      </c>
      <c r="X10" s="28" t="s">
        <v>11</v>
      </c>
      <c r="Y10" s="38">
        <v>36</v>
      </c>
      <c r="Z10" s="28" t="s">
        <v>1024</v>
      </c>
      <c r="AA10" s="28" t="s">
        <v>327</v>
      </c>
      <c r="AB10" s="28" t="s">
        <v>12</v>
      </c>
      <c r="AC10" s="28">
        <v>0</v>
      </c>
      <c r="AD10" s="37"/>
      <c r="AG10" s="38"/>
      <c r="AL10" s="37"/>
      <c r="AO10" s="38"/>
      <c r="AP10" s="37"/>
      <c r="AS10" s="38"/>
      <c r="AW10" s="38"/>
      <c r="BA10" s="39"/>
    </row>
    <row r="11" spans="1:53" s="170" customFormat="1" x14ac:dyDescent="0.15">
      <c r="A11" s="170">
        <v>1995</v>
      </c>
      <c r="B11" s="281">
        <v>35054</v>
      </c>
      <c r="C11" s="395" t="s">
        <v>1114</v>
      </c>
      <c r="D11" s="395"/>
      <c r="E11" s="170">
        <v>11</v>
      </c>
      <c r="F11" s="170">
        <v>1</v>
      </c>
      <c r="G11" s="232">
        <v>9</v>
      </c>
      <c r="H11" s="170">
        <v>1</v>
      </c>
      <c r="I11" s="170">
        <v>5</v>
      </c>
      <c r="J11" s="240">
        <v>16</v>
      </c>
      <c r="K11" s="213">
        <f t="shared" si="0"/>
        <v>56.25</v>
      </c>
      <c r="L11" s="213">
        <f t="shared" si="1"/>
        <v>6.25</v>
      </c>
      <c r="M11" s="213">
        <f t="shared" si="2"/>
        <v>31.25</v>
      </c>
      <c r="N11" s="234">
        <f t="shared" si="3"/>
        <v>93.75</v>
      </c>
      <c r="O11" s="212">
        <v>39</v>
      </c>
      <c r="P11" s="213">
        <v>8</v>
      </c>
      <c r="Q11" s="213">
        <v>26</v>
      </c>
      <c r="R11" s="214">
        <f t="shared" si="4"/>
        <v>73</v>
      </c>
      <c r="S11" s="170">
        <v>3</v>
      </c>
      <c r="T11" s="283">
        <v>34973</v>
      </c>
      <c r="U11" s="281">
        <v>35045</v>
      </c>
      <c r="V11" s="177" t="s">
        <v>973</v>
      </c>
      <c r="W11" s="170" t="s">
        <v>20</v>
      </c>
      <c r="X11" s="170" t="s">
        <v>12</v>
      </c>
      <c r="Y11" s="178">
        <v>18</v>
      </c>
      <c r="Z11" s="177" t="s">
        <v>1020</v>
      </c>
      <c r="AA11" s="170" t="s">
        <v>22</v>
      </c>
      <c r="AB11" s="170" t="s">
        <v>11</v>
      </c>
      <c r="AC11" s="170">
        <v>17</v>
      </c>
      <c r="AD11" s="177" t="s">
        <v>1025</v>
      </c>
      <c r="AE11" s="170" t="s">
        <v>27</v>
      </c>
      <c r="AF11" s="170" t="s">
        <v>11</v>
      </c>
      <c r="AG11" s="178">
        <v>14</v>
      </c>
      <c r="AH11" s="170" t="s">
        <v>1026</v>
      </c>
      <c r="AI11" s="170" t="s">
        <v>294</v>
      </c>
      <c r="AJ11" s="170" t="s">
        <v>11</v>
      </c>
      <c r="AK11" s="170">
        <v>8</v>
      </c>
      <c r="AL11" s="177" t="s">
        <v>1117</v>
      </c>
      <c r="AM11" s="170" t="s">
        <v>115</v>
      </c>
      <c r="AN11" s="170" t="s">
        <v>12</v>
      </c>
      <c r="AO11" s="178">
        <v>8</v>
      </c>
      <c r="AP11" s="177" t="s">
        <v>1120</v>
      </c>
      <c r="AQ11" s="170" t="s">
        <v>74</v>
      </c>
      <c r="AR11" s="170" t="s">
        <v>18</v>
      </c>
      <c r="AS11" s="178">
        <v>8</v>
      </c>
      <c r="AW11" s="178"/>
      <c r="BA11" s="179"/>
    </row>
    <row r="12" spans="1:53" s="170" customFormat="1" x14ac:dyDescent="0.15">
      <c r="A12" s="170">
        <v>1996</v>
      </c>
      <c r="B12" s="281"/>
      <c r="C12" s="395" t="s">
        <v>1114</v>
      </c>
      <c r="D12" s="395"/>
      <c r="E12" s="170">
        <v>0</v>
      </c>
      <c r="G12" s="232">
        <v>9</v>
      </c>
      <c r="H12" s="170">
        <v>1</v>
      </c>
      <c r="I12" s="170">
        <v>5</v>
      </c>
      <c r="J12" s="240">
        <v>16</v>
      </c>
      <c r="K12" s="213">
        <f t="shared" si="0"/>
        <v>56.25</v>
      </c>
      <c r="L12" s="213">
        <f t="shared" si="1"/>
        <v>6.25</v>
      </c>
      <c r="M12" s="213">
        <f t="shared" si="2"/>
        <v>31.25</v>
      </c>
      <c r="N12" s="234">
        <f t="shared" si="3"/>
        <v>93.75</v>
      </c>
      <c r="O12" s="212">
        <v>39</v>
      </c>
      <c r="P12" s="213">
        <v>8</v>
      </c>
      <c r="Q12" s="213">
        <v>26</v>
      </c>
      <c r="R12" s="214">
        <f t="shared" si="4"/>
        <v>73</v>
      </c>
      <c r="S12" s="170">
        <v>3</v>
      </c>
      <c r="T12" s="283"/>
      <c r="U12" s="281"/>
      <c r="V12" s="177" t="s">
        <v>973</v>
      </c>
      <c r="W12" s="170" t="s">
        <v>20</v>
      </c>
      <c r="X12" s="170" t="s">
        <v>12</v>
      </c>
      <c r="Y12" s="178">
        <v>18</v>
      </c>
      <c r="Z12" s="177" t="s">
        <v>1020</v>
      </c>
      <c r="AA12" s="170" t="s">
        <v>22</v>
      </c>
      <c r="AB12" s="170" t="s">
        <v>11</v>
      </c>
      <c r="AC12" s="170">
        <v>17</v>
      </c>
      <c r="AD12" s="177" t="s">
        <v>1025</v>
      </c>
      <c r="AE12" s="170" t="s">
        <v>27</v>
      </c>
      <c r="AF12" s="170" t="s">
        <v>11</v>
      </c>
      <c r="AG12" s="178">
        <v>14</v>
      </c>
      <c r="AH12" s="170" t="s">
        <v>1026</v>
      </c>
      <c r="AI12" s="170" t="s">
        <v>294</v>
      </c>
      <c r="AJ12" s="170" t="s">
        <v>11</v>
      </c>
      <c r="AK12" s="170">
        <v>8</v>
      </c>
      <c r="AL12" s="177" t="s">
        <v>1117</v>
      </c>
      <c r="AM12" s="170" t="s">
        <v>115</v>
      </c>
      <c r="AN12" s="170" t="s">
        <v>12</v>
      </c>
      <c r="AO12" s="178">
        <v>8</v>
      </c>
      <c r="AP12" s="177" t="s">
        <v>1120</v>
      </c>
      <c r="AQ12" s="170" t="s">
        <v>74</v>
      </c>
      <c r="AR12" s="170" t="s">
        <v>18</v>
      </c>
      <c r="AS12" s="178">
        <v>8</v>
      </c>
      <c r="AW12" s="178"/>
      <c r="BA12" s="179"/>
    </row>
    <row r="13" spans="1:53" s="170" customFormat="1" x14ac:dyDescent="0.15">
      <c r="A13" s="170">
        <v>1996</v>
      </c>
      <c r="B13" s="281"/>
      <c r="C13" s="395" t="s">
        <v>1114</v>
      </c>
      <c r="D13" s="395"/>
      <c r="E13" s="170">
        <v>366</v>
      </c>
      <c r="G13" s="232">
        <v>9</v>
      </c>
      <c r="H13" s="170">
        <v>1</v>
      </c>
      <c r="I13" s="170">
        <v>5</v>
      </c>
      <c r="J13" s="240">
        <v>16</v>
      </c>
      <c r="K13" s="213">
        <f t="shared" si="0"/>
        <v>56.25</v>
      </c>
      <c r="L13" s="213">
        <f t="shared" si="1"/>
        <v>6.25</v>
      </c>
      <c r="M13" s="213">
        <f t="shared" si="2"/>
        <v>31.25</v>
      </c>
      <c r="N13" s="234">
        <f t="shared" si="3"/>
        <v>93.75</v>
      </c>
      <c r="O13" s="212">
        <v>39</v>
      </c>
      <c r="P13" s="213">
        <v>8</v>
      </c>
      <c r="Q13" s="213">
        <v>26</v>
      </c>
      <c r="R13" s="214">
        <f t="shared" si="4"/>
        <v>73</v>
      </c>
      <c r="S13" s="170">
        <v>3</v>
      </c>
      <c r="T13" s="283"/>
      <c r="U13" s="281"/>
      <c r="V13" s="177" t="s">
        <v>973</v>
      </c>
      <c r="W13" s="170" t="s">
        <v>20</v>
      </c>
      <c r="X13" s="170" t="s">
        <v>12</v>
      </c>
      <c r="Y13" s="178">
        <v>18</v>
      </c>
      <c r="Z13" s="177" t="s">
        <v>1020</v>
      </c>
      <c r="AA13" s="170" t="s">
        <v>22</v>
      </c>
      <c r="AB13" s="170" t="s">
        <v>11</v>
      </c>
      <c r="AC13" s="170">
        <v>17</v>
      </c>
      <c r="AD13" s="177" t="s">
        <v>1025</v>
      </c>
      <c r="AE13" s="170" t="s">
        <v>27</v>
      </c>
      <c r="AF13" s="170" t="s">
        <v>11</v>
      </c>
      <c r="AG13" s="178">
        <v>14</v>
      </c>
      <c r="AH13" s="170" t="s">
        <v>1026</v>
      </c>
      <c r="AI13" s="170" t="s">
        <v>294</v>
      </c>
      <c r="AJ13" s="170" t="s">
        <v>11</v>
      </c>
      <c r="AK13" s="170">
        <v>8</v>
      </c>
      <c r="AL13" s="177" t="s">
        <v>1117</v>
      </c>
      <c r="AM13" s="170" t="s">
        <v>115</v>
      </c>
      <c r="AN13" s="170" t="s">
        <v>12</v>
      </c>
      <c r="AO13" s="178">
        <v>8</v>
      </c>
      <c r="AP13" s="177" t="s">
        <v>1120</v>
      </c>
      <c r="AQ13" s="170" t="s">
        <v>74</v>
      </c>
      <c r="AR13" s="170" t="s">
        <v>18</v>
      </c>
      <c r="AS13" s="178">
        <v>8</v>
      </c>
      <c r="AW13" s="178"/>
      <c r="BA13" s="179"/>
    </row>
    <row r="14" spans="1:53" s="170" customFormat="1" x14ac:dyDescent="0.15">
      <c r="A14" s="170">
        <v>1997</v>
      </c>
      <c r="B14" s="281"/>
      <c r="C14" s="395" t="s">
        <v>1114</v>
      </c>
      <c r="D14" s="395"/>
      <c r="E14" s="170">
        <v>43</v>
      </c>
      <c r="G14" s="232">
        <v>9</v>
      </c>
      <c r="H14" s="170">
        <v>1</v>
      </c>
      <c r="I14" s="170">
        <v>5</v>
      </c>
      <c r="J14" s="240">
        <v>16</v>
      </c>
      <c r="K14" s="213">
        <f t="shared" si="0"/>
        <v>56.25</v>
      </c>
      <c r="L14" s="213">
        <f t="shared" si="1"/>
        <v>6.25</v>
      </c>
      <c r="M14" s="213">
        <f t="shared" si="2"/>
        <v>31.25</v>
      </c>
      <c r="N14" s="234">
        <f t="shared" si="3"/>
        <v>93.75</v>
      </c>
      <c r="O14" s="212">
        <v>39</v>
      </c>
      <c r="P14" s="213">
        <v>8</v>
      </c>
      <c r="Q14" s="213">
        <v>26</v>
      </c>
      <c r="R14" s="214">
        <f t="shared" si="4"/>
        <v>73</v>
      </c>
      <c r="S14" s="170">
        <v>3</v>
      </c>
      <c r="T14" s="283"/>
      <c r="U14" s="281"/>
      <c r="V14" s="177" t="s">
        <v>973</v>
      </c>
      <c r="W14" s="170" t="s">
        <v>20</v>
      </c>
      <c r="X14" s="170" t="s">
        <v>12</v>
      </c>
      <c r="Y14" s="178">
        <v>18</v>
      </c>
      <c r="Z14" s="177" t="s">
        <v>1020</v>
      </c>
      <c r="AA14" s="170" t="s">
        <v>22</v>
      </c>
      <c r="AB14" s="170" t="s">
        <v>11</v>
      </c>
      <c r="AC14" s="170">
        <v>17</v>
      </c>
      <c r="AD14" s="177" t="s">
        <v>1025</v>
      </c>
      <c r="AE14" s="170" t="s">
        <v>27</v>
      </c>
      <c r="AF14" s="170" t="s">
        <v>11</v>
      </c>
      <c r="AG14" s="178">
        <v>14</v>
      </c>
      <c r="AH14" s="170" t="s">
        <v>1026</v>
      </c>
      <c r="AI14" s="170" t="s">
        <v>294</v>
      </c>
      <c r="AJ14" s="170" t="s">
        <v>11</v>
      </c>
      <c r="AK14" s="170">
        <v>8</v>
      </c>
      <c r="AL14" s="177" t="s">
        <v>1117</v>
      </c>
      <c r="AM14" s="170" t="s">
        <v>115</v>
      </c>
      <c r="AN14" s="170" t="s">
        <v>12</v>
      </c>
      <c r="AO14" s="178">
        <v>8</v>
      </c>
      <c r="AP14" s="177" t="s">
        <v>1120</v>
      </c>
      <c r="AQ14" s="170" t="s">
        <v>74</v>
      </c>
      <c r="AR14" s="170" t="s">
        <v>18</v>
      </c>
      <c r="AS14" s="178">
        <v>8</v>
      </c>
      <c r="AW14" s="178"/>
      <c r="BA14" s="179"/>
    </row>
    <row r="15" spans="1:53" s="28" customFormat="1" x14ac:dyDescent="0.15">
      <c r="A15" s="28">
        <v>1997</v>
      </c>
      <c r="B15" s="293">
        <v>35474</v>
      </c>
      <c r="C15" s="394" t="s">
        <v>1115</v>
      </c>
      <c r="D15" s="394"/>
      <c r="E15" s="28">
        <v>175</v>
      </c>
      <c r="F15" s="28">
        <v>2</v>
      </c>
      <c r="G15" s="65">
        <v>11</v>
      </c>
      <c r="H15" s="28">
        <v>2</v>
      </c>
      <c r="I15" s="28">
        <v>4</v>
      </c>
      <c r="J15" s="72">
        <v>19</v>
      </c>
      <c r="K15" s="46">
        <f t="shared" si="0"/>
        <v>57.894736842105267</v>
      </c>
      <c r="L15" s="46">
        <f t="shared" si="1"/>
        <v>10.526315789473683</v>
      </c>
      <c r="M15" s="46">
        <f t="shared" si="2"/>
        <v>21.052631578947366</v>
      </c>
      <c r="N15" s="67">
        <f t="shared" si="3"/>
        <v>89.473684210526315</v>
      </c>
      <c r="O15" s="45">
        <v>39</v>
      </c>
      <c r="P15" s="46">
        <v>8</v>
      </c>
      <c r="Q15" s="46">
        <v>18</v>
      </c>
      <c r="R15" s="47">
        <f t="shared" si="4"/>
        <v>65</v>
      </c>
      <c r="S15" s="28">
        <v>3</v>
      </c>
      <c r="T15" s="284"/>
      <c r="U15" s="293">
        <v>35474</v>
      </c>
      <c r="V15" s="37" t="s">
        <v>973</v>
      </c>
      <c r="W15" s="28" t="s">
        <v>20</v>
      </c>
      <c r="X15" s="28" t="s">
        <v>12</v>
      </c>
      <c r="Y15" s="38">
        <v>18</v>
      </c>
      <c r="Z15" s="37" t="s">
        <v>1020</v>
      </c>
      <c r="AA15" s="28" t="s">
        <v>22</v>
      </c>
      <c r="AB15" s="28" t="s">
        <v>11</v>
      </c>
      <c r="AC15" s="28">
        <v>17</v>
      </c>
      <c r="AD15" s="37" t="s">
        <v>1025</v>
      </c>
      <c r="AE15" s="28" t="s">
        <v>27</v>
      </c>
      <c r="AF15" s="28" t="s">
        <v>11</v>
      </c>
      <c r="AG15" s="38">
        <v>14</v>
      </c>
      <c r="AH15" s="28" t="s">
        <v>1026</v>
      </c>
      <c r="AI15" s="28" t="s">
        <v>294</v>
      </c>
      <c r="AJ15" s="28" t="s">
        <v>11</v>
      </c>
      <c r="AK15" s="28">
        <v>8</v>
      </c>
      <c r="AL15" s="37" t="s">
        <v>1120</v>
      </c>
      <c r="AM15" s="28" t="s">
        <v>74</v>
      </c>
      <c r="AN15" s="28" t="s">
        <v>18</v>
      </c>
      <c r="AO15" s="38">
        <v>8</v>
      </c>
      <c r="AP15" s="37"/>
      <c r="AS15" s="38"/>
      <c r="AW15" s="38"/>
      <c r="BA15" s="39"/>
    </row>
    <row r="16" spans="1:53" s="170" customFormat="1" x14ac:dyDescent="0.15">
      <c r="A16" s="170">
        <v>1997</v>
      </c>
      <c r="B16" s="281">
        <v>35649</v>
      </c>
      <c r="C16" s="395" t="s">
        <v>1118</v>
      </c>
      <c r="D16" s="395"/>
      <c r="E16" s="170">
        <v>147</v>
      </c>
      <c r="F16" s="170">
        <v>2</v>
      </c>
      <c r="G16" s="232">
        <v>7</v>
      </c>
      <c r="H16" s="170">
        <v>3</v>
      </c>
      <c r="I16" s="170">
        <v>4</v>
      </c>
      <c r="J16" s="240">
        <v>14</v>
      </c>
      <c r="K16" s="213">
        <f t="shared" si="0"/>
        <v>50</v>
      </c>
      <c r="L16" s="213">
        <f t="shared" si="1"/>
        <v>21.428571428571427</v>
      </c>
      <c r="M16" s="213">
        <f t="shared" si="2"/>
        <v>28.571428571428569</v>
      </c>
      <c r="N16" s="234">
        <f t="shared" si="3"/>
        <v>100</v>
      </c>
      <c r="O16" s="212">
        <v>39</v>
      </c>
      <c r="P16" s="213">
        <v>8</v>
      </c>
      <c r="Q16" s="213">
        <v>18</v>
      </c>
      <c r="R16" s="214">
        <f t="shared" si="4"/>
        <v>65</v>
      </c>
      <c r="S16" s="170">
        <v>3</v>
      </c>
      <c r="T16" s="283"/>
      <c r="U16" s="281">
        <v>35649</v>
      </c>
      <c r="V16" s="177" t="s">
        <v>973</v>
      </c>
      <c r="W16" s="170" t="s">
        <v>20</v>
      </c>
      <c r="X16" s="170" t="s">
        <v>12</v>
      </c>
      <c r="Y16" s="178">
        <v>18</v>
      </c>
      <c r="Z16" s="177" t="s">
        <v>1020</v>
      </c>
      <c r="AA16" s="170" t="s">
        <v>22</v>
      </c>
      <c r="AB16" s="170" t="s">
        <v>11</v>
      </c>
      <c r="AC16" s="170">
        <v>17</v>
      </c>
      <c r="AD16" s="177" t="s">
        <v>1025</v>
      </c>
      <c r="AE16" s="170" t="s">
        <v>27</v>
      </c>
      <c r="AF16" s="170" t="s">
        <v>11</v>
      </c>
      <c r="AG16" s="178">
        <v>14</v>
      </c>
      <c r="AH16" s="170" t="s">
        <v>1026</v>
      </c>
      <c r="AI16" s="170" t="s">
        <v>294</v>
      </c>
      <c r="AJ16" s="170" t="s">
        <v>11</v>
      </c>
      <c r="AK16" s="170">
        <v>8</v>
      </c>
      <c r="AL16" s="177" t="s">
        <v>1120</v>
      </c>
      <c r="AM16" s="170" t="s">
        <v>74</v>
      </c>
      <c r="AN16" s="170" t="s">
        <v>18</v>
      </c>
      <c r="AO16" s="178">
        <v>8</v>
      </c>
      <c r="AP16" s="177"/>
      <c r="AS16" s="178"/>
      <c r="AW16" s="178"/>
      <c r="BA16" s="179"/>
    </row>
    <row r="17" spans="1:53" s="170" customFormat="1" x14ac:dyDescent="0.15">
      <c r="A17" s="170">
        <v>1998</v>
      </c>
      <c r="B17" s="281"/>
      <c r="C17" s="395" t="s">
        <v>1118</v>
      </c>
      <c r="D17" s="395"/>
      <c r="E17" s="170">
        <v>97</v>
      </c>
      <c r="G17" s="232">
        <v>7</v>
      </c>
      <c r="H17" s="170">
        <v>3</v>
      </c>
      <c r="I17" s="170">
        <v>4</v>
      </c>
      <c r="J17" s="240">
        <v>14</v>
      </c>
      <c r="K17" s="213">
        <f t="shared" si="0"/>
        <v>50</v>
      </c>
      <c r="L17" s="213">
        <f t="shared" si="1"/>
        <v>21.428571428571427</v>
      </c>
      <c r="M17" s="213">
        <f t="shared" si="2"/>
        <v>28.571428571428569</v>
      </c>
      <c r="N17" s="234">
        <f t="shared" si="3"/>
        <v>100</v>
      </c>
      <c r="O17" s="212">
        <v>39</v>
      </c>
      <c r="P17" s="213">
        <v>8</v>
      </c>
      <c r="Q17" s="213">
        <v>18</v>
      </c>
      <c r="R17" s="214">
        <f t="shared" si="4"/>
        <v>65</v>
      </c>
      <c r="S17" s="170">
        <v>3</v>
      </c>
      <c r="T17" s="283"/>
      <c r="U17" s="281"/>
      <c r="V17" s="177" t="s">
        <v>973</v>
      </c>
      <c r="W17" s="170" t="s">
        <v>20</v>
      </c>
      <c r="X17" s="170" t="s">
        <v>12</v>
      </c>
      <c r="Y17" s="178">
        <v>18</v>
      </c>
      <c r="Z17" s="177" t="s">
        <v>1020</v>
      </c>
      <c r="AA17" s="170" t="s">
        <v>22</v>
      </c>
      <c r="AB17" s="170" t="s">
        <v>11</v>
      </c>
      <c r="AC17" s="170">
        <v>17</v>
      </c>
      <c r="AD17" s="177" t="s">
        <v>1025</v>
      </c>
      <c r="AE17" s="170" t="s">
        <v>27</v>
      </c>
      <c r="AF17" s="170" t="s">
        <v>11</v>
      </c>
      <c r="AG17" s="178">
        <v>14</v>
      </c>
      <c r="AH17" s="170" t="s">
        <v>1026</v>
      </c>
      <c r="AI17" s="170" t="s">
        <v>294</v>
      </c>
      <c r="AJ17" s="170" t="s">
        <v>11</v>
      </c>
      <c r="AK17" s="170">
        <v>8</v>
      </c>
      <c r="AL17" s="177" t="s">
        <v>1120</v>
      </c>
      <c r="AM17" s="170" t="s">
        <v>74</v>
      </c>
      <c r="AN17" s="170" t="s">
        <v>18</v>
      </c>
      <c r="AO17" s="178">
        <v>8</v>
      </c>
      <c r="AP17" s="177"/>
      <c r="AS17" s="178"/>
      <c r="AW17" s="178"/>
      <c r="BA17" s="179"/>
    </row>
    <row r="18" spans="1:53" s="28" customFormat="1" x14ac:dyDescent="0.15">
      <c r="A18" s="28">
        <v>1998</v>
      </c>
      <c r="B18" s="293">
        <v>35893</v>
      </c>
      <c r="C18" s="394" t="s">
        <v>1119</v>
      </c>
      <c r="D18" s="394"/>
      <c r="E18" s="28">
        <v>232</v>
      </c>
      <c r="F18" s="28">
        <v>4</v>
      </c>
      <c r="G18" s="65">
        <v>9</v>
      </c>
      <c r="H18" s="28">
        <v>4</v>
      </c>
      <c r="J18" s="72">
        <v>13</v>
      </c>
      <c r="K18" s="46">
        <f t="shared" si="0"/>
        <v>69.230769230769226</v>
      </c>
      <c r="L18" s="46">
        <f t="shared" si="1"/>
        <v>30.76923076923077</v>
      </c>
      <c r="M18" s="46">
        <f t="shared" ref="M18:M27" si="5">I18/J18*100</f>
        <v>0</v>
      </c>
      <c r="N18" s="67">
        <f t="shared" ref="N18:N27" si="6">SUM(K18:M18)</f>
        <v>100</v>
      </c>
      <c r="O18" s="45">
        <v>39</v>
      </c>
      <c r="P18" s="46">
        <v>8</v>
      </c>
      <c r="Q18" s="46"/>
      <c r="R18" s="47">
        <f t="shared" si="4"/>
        <v>47</v>
      </c>
      <c r="S18" s="28">
        <v>5</v>
      </c>
      <c r="T18" s="284"/>
      <c r="U18" s="293">
        <v>35893</v>
      </c>
      <c r="V18" s="37" t="s">
        <v>1020</v>
      </c>
      <c r="W18" s="28" t="s">
        <v>22</v>
      </c>
      <c r="X18" s="28" t="s">
        <v>11</v>
      </c>
      <c r="Y18" s="38">
        <v>17</v>
      </c>
      <c r="Z18" s="37" t="s">
        <v>1025</v>
      </c>
      <c r="AA18" s="28" t="s">
        <v>27</v>
      </c>
      <c r="AB18" s="28" t="s">
        <v>11</v>
      </c>
      <c r="AC18" s="38">
        <v>14</v>
      </c>
      <c r="AD18" s="37" t="s">
        <v>1026</v>
      </c>
      <c r="AE18" s="28" t="s">
        <v>294</v>
      </c>
      <c r="AF18" s="28" t="s">
        <v>11</v>
      </c>
      <c r="AG18" s="38">
        <v>8</v>
      </c>
      <c r="AH18" s="28" t="s">
        <v>1120</v>
      </c>
      <c r="AI18" s="28" t="s">
        <v>74</v>
      </c>
      <c r="AJ18" s="28" t="s">
        <v>18</v>
      </c>
      <c r="AK18" s="28">
        <v>8</v>
      </c>
      <c r="AL18" s="37"/>
      <c r="AO18" s="38"/>
      <c r="AP18" s="37"/>
      <c r="AS18" s="38"/>
      <c r="AW18" s="38"/>
      <c r="BA18" s="39"/>
    </row>
    <row r="19" spans="1:53" s="170" customFormat="1" x14ac:dyDescent="0.15">
      <c r="A19" s="170">
        <v>1998</v>
      </c>
      <c r="B19" s="281">
        <v>36125</v>
      </c>
      <c r="C19" s="395" t="s">
        <v>1121</v>
      </c>
      <c r="D19" s="395"/>
      <c r="E19" s="170">
        <v>36</v>
      </c>
      <c r="F19" s="170">
        <v>1</v>
      </c>
      <c r="G19" s="232">
        <v>13</v>
      </c>
      <c r="I19" s="170">
        <v>2</v>
      </c>
      <c r="J19" s="240">
        <v>15</v>
      </c>
      <c r="K19" s="213">
        <f t="shared" ref="K19:K27" si="7">G19/J19*100</f>
        <v>86.666666666666671</v>
      </c>
      <c r="L19" s="213">
        <f t="shared" ref="L19:L27" si="8">H19/J19*100</f>
        <v>0</v>
      </c>
      <c r="M19" s="213">
        <f t="shared" si="5"/>
        <v>13.333333333333334</v>
      </c>
      <c r="N19" s="234">
        <f t="shared" si="6"/>
        <v>100</v>
      </c>
      <c r="O19" s="212">
        <v>41</v>
      </c>
      <c r="P19" s="213"/>
      <c r="Q19" s="213">
        <v>8</v>
      </c>
      <c r="R19" s="214">
        <f t="shared" si="4"/>
        <v>49</v>
      </c>
      <c r="S19" s="170">
        <v>5</v>
      </c>
      <c r="T19" s="283">
        <v>36071</v>
      </c>
      <c r="U19" s="281">
        <v>36125</v>
      </c>
      <c r="V19" s="177" t="s">
        <v>1020</v>
      </c>
      <c r="W19" s="170" t="s">
        <v>22</v>
      </c>
      <c r="X19" s="170" t="s">
        <v>11</v>
      </c>
      <c r="Y19" s="178">
        <v>21</v>
      </c>
      <c r="Z19" s="177" t="s">
        <v>1027</v>
      </c>
      <c r="AA19" s="170" t="s">
        <v>852</v>
      </c>
      <c r="AB19" s="170" t="s">
        <v>11</v>
      </c>
      <c r="AC19" s="178">
        <v>17</v>
      </c>
      <c r="AD19" s="170" t="s">
        <v>1028</v>
      </c>
      <c r="AE19" s="170" t="s">
        <v>1029</v>
      </c>
      <c r="AF19" s="170" t="s">
        <v>12</v>
      </c>
      <c r="AG19" s="178">
        <v>8</v>
      </c>
      <c r="AH19" s="252"/>
      <c r="AL19" s="177"/>
      <c r="AO19" s="178"/>
      <c r="AP19" s="177"/>
      <c r="AS19" s="178"/>
      <c r="AW19" s="178"/>
      <c r="BA19" s="179"/>
    </row>
    <row r="20" spans="1:53" s="170" customFormat="1" x14ac:dyDescent="0.15">
      <c r="A20" s="170">
        <v>1999</v>
      </c>
      <c r="B20" s="281"/>
      <c r="C20" s="395" t="s">
        <v>1121</v>
      </c>
      <c r="D20" s="395"/>
      <c r="E20" s="170">
        <v>34</v>
      </c>
      <c r="G20" s="232">
        <v>13</v>
      </c>
      <c r="I20" s="170">
        <v>2</v>
      </c>
      <c r="J20" s="240">
        <v>15</v>
      </c>
      <c r="K20" s="213">
        <f t="shared" si="7"/>
        <v>86.666666666666671</v>
      </c>
      <c r="L20" s="213">
        <f t="shared" si="8"/>
        <v>0</v>
      </c>
      <c r="M20" s="213">
        <f t="shared" si="5"/>
        <v>13.333333333333334</v>
      </c>
      <c r="N20" s="234">
        <f t="shared" si="6"/>
        <v>100</v>
      </c>
      <c r="O20" s="212">
        <v>41</v>
      </c>
      <c r="P20" s="213"/>
      <c r="Q20" s="213">
        <v>8</v>
      </c>
      <c r="R20" s="214">
        <f t="shared" si="4"/>
        <v>49</v>
      </c>
      <c r="S20" s="170">
        <v>5</v>
      </c>
      <c r="T20" s="283"/>
      <c r="U20" s="281"/>
      <c r="V20" s="177" t="s">
        <v>1020</v>
      </c>
      <c r="W20" s="170" t="s">
        <v>22</v>
      </c>
      <c r="X20" s="170" t="s">
        <v>11</v>
      </c>
      <c r="Y20" s="178">
        <v>21</v>
      </c>
      <c r="Z20" s="170" t="s">
        <v>1027</v>
      </c>
      <c r="AA20" s="170" t="s">
        <v>852</v>
      </c>
      <c r="AB20" s="170" t="s">
        <v>11</v>
      </c>
      <c r="AC20" s="170">
        <v>17</v>
      </c>
      <c r="AD20" s="177" t="s">
        <v>1028</v>
      </c>
      <c r="AE20" s="170" t="s">
        <v>1029</v>
      </c>
      <c r="AF20" s="170" t="s">
        <v>12</v>
      </c>
      <c r="AG20" s="178">
        <v>8</v>
      </c>
      <c r="AL20" s="177"/>
      <c r="AO20" s="178"/>
      <c r="AP20" s="177"/>
      <c r="AS20" s="178"/>
      <c r="AW20" s="178"/>
      <c r="BA20" s="179"/>
    </row>
    <row r="21" spans="1:53" s="28" customFormat="1" x14ac:dyDescent="0.15">
      <c r="A21" s="28">
        <v>1999</v>
      </c>
      <c r="B21" s="293">
        <v>36195</v>
      </c>
      <c r="C21" s="394" t="s">
        <v>1122</v>
      </c>
      <c r="D21" s="394"/>
      <c r="E21" s="28">
        <v>162</v>
      </c>
      <c r="F21" s="28">
        <v>2</v>
      </c>
      <c r="G21" s="65">
        <v>12</v>
      </c>
      <c r="I21" s="28">
        <v>3</v>
      </c>
      <c r="J21" s="72">
        <v>15</v>
      </c>
      <c r="K21" s="46">
        <f t="shared" si="7"/>
        <v>80</v>
      </c>
      <c r="L21" s="46">
        <f t="shared" si="8"/>
        <v>0</v>
      </c>
      <c r="M21" s="46">
        <f t="shared" si="5"/>
        <v>20</v>
      </c>
      <c r="N21" s="67">
        <f t="shared" si="6"/>
        <v>100</v>
      </c>
      <c r="O21" s="45">
        <v>41</v>
      </c>
      <c r="P21" s="46"/>
      <c r="Q21" s="46">
        <v>22</v>
      </c>
      <c r="R21" s="47">
        <f t="shared" si="4"/>
        <v>63</v>
      </c>
      <c r="S21" s="28">
        <v>3</v>
      </c>
      <c r="T21" s="284"/>
      <c r="U21" s="293">
        <v>36195</v>
      </c>
      <c r="V21" s="37" t="s">
        <v>1020</v>
      </c>
      <c r="W21" s="28" t="s">
        <v>22</v>
      </c>
      <c r="X21" s="28" t="s">
        <v>11</v>
      </c>
      <c r="Y21" s="38">
        <v>21</v>
      </c>
      <c r="Z21" s="37" t="s">
        <v>1027</v>
      </c>
      <c r="AA21" s="28" t="s">
        <v>852</v>
      </c>
      <c r="AB21" s="28" t="s">
        <v>11</v>
      </c>
      <c r="AC21" s="38">
        <v>17</v>
      </c>
      <c r="AD21" s="28" t="s">
        <v>1028</v>
      </c>
      <c r="AE21" s="28" t="s">
        <v>1029</v>
      </c>
      <c r="AF21" s="28" t="s">
        <v>12</v>
      </c>
      <c r="AG21" s="38">
        <v>8</v>
      </c>
      <c r="AH21" s="28" t="s">
        <v>1030</v>
      </c>
      <c r="AI21" s="28" t="s">
        <v>1031</v>
      </c>
      <c r="AJ21" s="28" t="s">
        <v>12</v>
      </c>
      <c r="AK21" s="28">
        <v>14</v>
      </c>
      <c r="AL21" s="37"/>
      <c r="AO21" s="38"/>
      <c r="AP21" s="37"/>
      <c r="AS21" s="38"/>
      <c r="AW21" s="38"/>
      <c r="BA21" s="39"/>
    </row>
    <row r="22" spans="1:53" s="170" customFormat="1" x14ac:dyDescent="0.15">
      <c r="A22" s="170">
        <v>1999</v>
      </c>
      <c r="B22" s="281">
        <v>36357</v>
      </c>
      <c r="C22" s="395" t="s">
        <v>1116</v>
      </c>
      <c r="D22" s="395"/>
      <c r="E22" s="170">
        <v>169</v>
      </c>
      <c r="F22" s="170">
        <v>2</v>
      </c>
      <c r="G22" s="232">
        <v>13</v>
      </c>
      <c r="J22" s="240">
        <v>13</v>
      </c>
      <c r="K22" s="213">
        <f t="shared" si="7"/>
        <v>100</v>
      </c>
      <c r="L22" s="213">
        <f t="shared" si="8"/>
        <v>0</v>
      </c>
      <c r="M22" s="213">
        <f t="shared" si="5"/>
        <v>0</v>
      </c>
      <c r="N22" s="234">
        <f t="shared" si="6"/>
        <v>100</v>
      </c>
      <c r="O22" s="212">
        <v>62</v>
      </c>
      <c r="P22" s="213"/>
      <c r="Q22" s="213"/>
      <c r="R22" s="214">
        <f t="shared" si="4"/>
        <v>62</v>
      </c>
      <c r="S22" s="170">
        <v>2</v>
      </c>
      <c r="T22" s="283"/>
      <c r="U22" s="281">
        <v>36357</v>
      </c>
      <c r="V22" s="177" t="s">
        <v>1032</v>
      </c>
      <c r="W22" s="170" t="s">
        <v>1050</v>
      </c>
      <c r="X22" s="170" t="s">
        <v>11</v>
      </c>
      <c r="Y22" s="178">
        <v>24</v>
      </c>
      <c r="Z22" s="177" t="s">
        <v>1020</v>
      </c>
      <c r="AA22" s="170" t="s">
        <v>22</v>
      </c>
      <c r="AB22" s="170" t="s">
        <v>11</v>
      </c>
      <c r="AC22" s="178">
        <v>21</v>
      </c>
      <c r="AD22" s="177" t="s">
        <v>1027</v>
      </c>
      <c r="AE22" s="170" t="s">
        <v>852</v>
      </c>
      <c r="AF22" s="170" t="s">
        <v>11</v>
      </c>
      <c r="AG22" s="178">
        <v>17</v>
      </c>
      <c r="AL22" s="177"/>
      <c r="AO22" s="178"/>
      <c r="AP22" s="177"/>
      <c r="AS22" s="178"/>
      <c r="AW22" s="178"/>
      <c r="BA22" s="179"/>
    </row>
    <row r="23" spans="1:53" s="170" customFormat="1" x14ac:dyDescent="0.15">
      <c r="A23" s="170">
        <v>2000</v>
      </c>
      <c r="B23" s="281"/>
      <c r="C23" s="395" t="s">
        <v>1116</v>
      </c>
      <c r="D23" s="395"/>
      <c r="E23" s="170">
        <v>124</v>
      </c>
      <c r="G23" s="232">
        <v>13</v>
      </c>
      <c r="J23" s="240">
        <v>13</v>
      </c>
      <c r="K23" s="213">
        <f t="shared" si="7"/>
        <v>100</v>
      </c>
      <c r="L23" s="213">
        <f t="shared" si="8"/>
        <v>0</v>
      </c>
      <c r="M23" s="213">
        <f t="shared" si="5"/>
        <v>0</v>
      </c>
      <c r="N23" s="234">
        <f t="shared" si="6"/>
        <v>100</v>
      </c>
      <c r="O23" s="212">
        <v>62</v>
      </c>
      <c r="P23" s="213"/>
      <c r="Q23" s="213"/>
      <c r="R23" s="214">
        <f t="shared" si="4"/>
        <v>62</v>
      </c>
      <c r="S23" s="170">
        <v>2</v>
      </c>
      <c r="T23" s="283"/>
      <c r="U23" s="281"/>
      <c r="V23" s="177" t="s">
        <v>1032</v>
      </c>
      <c r="W23" s="170" t="s">
        <v>1050</v>
      </c>
      <c r="X23" s="170" t="s">
        <v>11</v>
      </c>
      <c r="Y23" s="178">
        <v>24</v>
      </c>
      <c r="Z23" s="177" t="s">
        <v>1020</v>
      </c>
      <c r="AA23" s="170" t="s">
        <v>22</v>
      </c>
      <c r="AB23" s="170" t="s">
        <v>11</v>
      </c>
      <c r="AC23" s="170">
        <v>21</v>
      </c>
      <c r="AD23" s="177" t="s">
        <v>1027</v>
      </c>
      <c r="AE23" s="170" t="s">
        <v>852</v>
      </c>
      <c r="AF23" s="170" t="s">
        <v>11</v>
      </c>
      <c r="AG23" s="178">
        <v>17</v>
      </c>
      <c r="AL23" s="177"/>
      <c r="AO23" s="178"/>
      <c r="AP23" s="177"/>
      <c r="AS23" s="178"/>
      <c r="AW23" s="178"/>
      <c r="BA23" s="179"/>
    </row>
    <row r="24" spans="1:53" s="28" customFormat="1" x14ac:dyDescent="0.15">
      <c r="A24" s="28">
        <v>2000</v>
      </c>
      <c r="B24" s="293">
        <v>36650</v>
      </c>
      <c r="C24" s="394" t="s">
        <v>1123</v>
      </c>
      <c r="D24" s="394"/>
      <c r="E24" s="28">
        <v>242</v>
      </c>
      <c r="F24" s="28">
        <v>7</v>
      </c>
      <c r="G24" s="65">
        <v>13</v>
      </c>
      <c r="I24" s="28">
        <v>2</v>
      </c>
      <c r="J24" s="72">
        <v>15</v>
      </c>
      <c r="K24" s="46">
        <f t="shared" si="7"/>
        <v>86.666666666666671</v>
      </c>
      <c r="L24" s="46">
        <f t="shared" si="8"/>
        <v>0</v>
      </c>
      <c r="M24" s="46">
        <f t="shared" si="5"/>
        <v>13.333333333333334</v>
      </c>
      <c r="N24" s="67">
        <f t="shared" si="6"/>
        <v>100</v>
      </c>
      <c r="O24" s="45">
        <v>62</v>
      </c>
      <c r="P24" s="46"/>
      <c r="Q24" s="46">
        <v>8</v>
      </c>
      <c r="R24" s="47">
        <f t="shared" si="4"/>
        <v>70</v>
      </c>
      <c r="S24" s="28">
        <v>3</v>
      </c>
      <c r="T24" s="284"/>
      <c r="U24" s="293">
        <v>36650</v>
      </c>
      <c r="V24" s="37" t="s">
        <v>1032</v>
      </c>
      <c r="W24" s="28" t="s">
        <v>1050</v>
      </c>
      <c r="X24" s="28" t="s">
        <v>11</v>
      </c>
      <c r="Y24" s="38">
        <v>24</v>
      </c>
      <c r="Z24" s="37" t="s">
        <v>1020</v>
      </c>
      <c r="AA24" s="28" t="s">
        <v>22</v>
      </c>
      <c r="AB24" s="28" t="s">
        <v>11</v>
      </c>
      <c r="AC24" s="38">
        <v>21</v>
      </c>
      <c r="AD24" s="37" t="s">
        <v>1027</v>
      </c>
      <c r="AE24" s="28" t="s">
        <v>852</v>
      </c>
      <c r="AF24" s="28" t="s">
        <v>11</v>
      </c>
      <c r="AG24" s="38">
        <v>17</v>
      </c>
      <c r="AH24" s="28" t="s">
        <v>1028</v>
      </c>
      <c r="AI24" s="28" t="s">
        <v>1029</v>
      </c>
      <c r="AJ24" s="28" t="s">
        <v>12</v>
      </c>
      <c r="AK24" s="28">
        <v>8</v>
      </c>
      <c r="AL24" s="37"/>
      <c r="AO24" s="38"/>
      <c r="AP24" s="37"/>
      <c r="AS24" s="38"/>
      <c r="AW24" s="38"/>
      <c r="BA24" s="39"/>
    </row>
    <row r="25" spans="1:53" s="28" customFormat="1" x14ac:dyDescent="0.15">
      <c r="A25" s="28">
        <v>2001</v>
      </c>
      <c r="B25" s="293"/>
      <c r="C25" s="394" t="s">
        <v>1123</v>
      </c>
      <c r="D25" s="394"/>
      <c r="E25" s="28">
        <v>0</v>
      </c>
      <c r="G25" s="65">
        <v>13</v>
      </c>
      <c r="I25" s="28">
        <v>2</v>
      </c>
      <c r="J25" s="72">
        <v>15</v>
      </c>
      <c r="K25" s="46">
        <f t="shared" si="7"/>
        <v>86.666666666666671</v>
      </c>
      <c r="L25" s="46">
        <f t="shared" si="8"/>
        <v>0</v>
      </c>
      <c r="M25" s="46">
        <f t="shared" si="5"/>
        <v>13.333333333333334</v>
      </c>
      <c r="N25" s="67">
        <f t="shared" si="6"/>
        <v>100</v>
      </c>
      <c r="O25" s="45">
        <v>62</v>
      </c>
      <c r="P25" s="46"/>
      <c r="Q25" s="46">
        <v>8</v>
      </c>
      <c r="R25" s="47">
        <f t="shared" si="4"/>
        <v>70</v>
      </c>
      <c r="S25" s="28">
        <v>3</v>
      </c>
      <c r="T25" s="284"/>
      <c r="U25" s="293"/>
      <c r="V25" s="37" t="s">
        <v>1032</v>
      </c>
      <c r="W25" s="28" t="s">
        <v>1050</v>
      </c>
      <c r="X25" s="28" t="s">
        <v>11</v>
      </c>
      <c r="Y25" s="38">
        <v>24</v>
      </c>
      <c r="Z25" s="37" t="s">
        <v>1020</v>
      </c>
      <c r="AA25" s="28" t="s">
        <v>22</v>
      </c>
      <c r="AB25" s="28" t="s">
        <v>11</v>
      </c>
      <c r="AC25" s="38">
        <v>21</v>
      </c>
      <c r="AD25" s="37" t="s">
        <v>1027</v>
      </c>
      <c r="AE25" s="28" t="s">
        <v>852</v>
      </c>
      <c r="AF25" s="28" t="s">
        <v>11</v>
      </c>
      <c r="AG25" s="38">
        <v>17</v>
      </c>
      <c r="AH25" s="28" t="s">
        <v>1028</v>
      </c>
      <c r="AI25" s="28" t="s">
        <v>1029</v>
      </c>
      <c r="AJ25" s="28" t="s">
        <v>12</v>
      </c>
      <c r="AK25" s="28">
        <v>8</v>
      </c>
      <c r="AL25" s="37"/>
      <c r="AO25" s="38"/>
      <c r="AP25" s="37"/>
      <c r="AS25" s="38"/>
      <c r="AW25" s="38"/>
      <c r="BA25" s="39"/>
    </row>
    <row r="26" spans="1:53" s="28" customFormat="1" x14ac:dyDescent="0.15">
      <c r="A26" s="28">
        <v>2001</v>
      </c>
      <c r="B26" s="293"/>
      <c r="C26" s="394" t="s">
        <v>1123</v>
      </c>
      <c r="D26" s="394"/>
      <c r="E26" s="28">
        <v>365</v>
      </c>
      <c r="G26" s="65">
        <v>13</v>
      </c>
      <c r="I26" s="28">
        <v>2</v>
      </c>
      <c r="J26" s="72">
        <v>15</v>
      </c>
      <c r="K26" s="46">
        <f t="shared" si="7"/>
        <v>86.666666666666671</v>
      </c>
      <c r="L26" s="46">
        <f t="shared" si="8"/>
        <v>0</v>
      </c>
      <c r="M26" s="46">
        <f t="shared" si="5"/>
        <v>13.333333333333334</v>
      </c>
      <c r="N26" s="67">
        <f t="shared" si="6"/>
        <v>100</v>
      </c>
      <c r="O26" s="45">
        <v>62</v>
      </c>
      <c r="P26" s="46"/>
      <c r="Q26" s="46">
        <v>8</v>
      </c>
      <c r="R26" s="47">
        <f t="shared" si="4"/>
        <v>70</v>
      </c>
      <c r="S26" s="28">
        <v>3</v>
      </c>
      <c r="T26" s="284"/>
      <c r="U26" s="293"/>
      <c r="V26" s="37" t="s">
        <v>1032</v>
      </c>
      <c r="W26" s="28" t="s">
        <v>1050</v>
      </c>
      <c r="X26" s="28" t="s">
        <v>11</v>
      </c>
      <c r="Y26" s="38">
        <v>24</v>
      </c>
      <c r="Z26" s="37" t="s">
        <v>1020</v>
      </c>
      <c r="AA26" s="28" t="s">
        <v>22</v>
      </c>
      <c r="AB26" s="28" t="s">
        <v>11</v>
      </c>
      <c r="AC26" s="28">
        <v>21</v>
      </c>
      <c r="AD26" s="37" t="s">
        <v>1027</v>
      </c>
      <c r="AE26" s="28" t="s">
        <v>852</v>
      </c>
      <c r="AF26" s="28" t="s">
        <v>11</v>
      </c>
      <c r="AG26" s="38">
        <v>17</v>
      </c>
      <c r="AH26" s="28" t="s">
        <v>1028</v>
      </c>
      <c r="AI26" s="28" t="s">
        <v>1029</v>
      </c>
      <c r="AJ26" s="28" t="s">
        <v>12</v>
      </c>
      <c r="AK26" s="28">
        <v>8</v>
      </c>
      <c r="AL26" s="37"/>
      <c r="AO26" s="38"/>
      <c r="AP26" s="37"/>
      <c r="AS26" s="38"/>
      <c r="AW26" s="38"/>
      <c r="BA26" s="39"/>
    </row>
    <row r="27" spans="1:53" s="28" customFormat="1" x14ac:dyDescent="0.15">
      <c r="A27" s="28">
        <v>2002</v>
      </c>
      <c r="B27" s="293"/>
      <c r="C27" s="394" t="s">
        <v>1123</v>
      </c>
      <c r="D27" s="394"/>
      <c r="E27" s="28">
        <v>308</v>
      </c>
      <c r="G27" s="65">
        <v>13</v>
      </c>
      <c r="I27" s="28">
        <v>2</v>
      </c>
      <c r="J27" s="72">
        <v>15</v>
      </c>
      <c r="K27" s="46">
        <f t="shared" si="7"/>
        <v>86.666666666666671</v>
      </c>
      <c r="L27" s="46">
        <f t="shared" si="8"/>
        <v>0</v>
      </c>
      <c r="M27" s="46">
        <f t="shared" si="5"/>
        <v>13.333333333333334</v>
      </c>
      <c r="N27" s="67">
        <f t="shared" si="6"/>
        <v>100</v>
      </c>
      <c r="O27" s="45">
        <v>62</v>
      </c>
      <c r="P27" s="46"/>
      <c r="Q27" s="46">
        <v>8</v>
      </c>
      <c r="R27" s="47">
        <f t="shared" si="4"/>
        <v>70</v>
      </c>
      <c r="S27" s="28">
        <v>3</v>
      </c>
      <c r="T27" s="284"/>
      <c r="U27" s="293"/>
      <c r="V27" s="37" t="s">
        <v>1032</v>
      </c>
      <c r="W27" s="28" t="s">
        <v>1050</v>
      </c>
      <c r="X27" s="28" t="s">
        <v>11</v>
      </c>
      <c r="Y27" s="38">
        <v>24</v>
      </c>
      <c r="Z27" s="37" t="s">
        <v>1020</v>
      </c>
      <c r="AA27" s="28" t="s">
        <v>22</v>
      </c>
      <c r="AB27" s="28" t="s">
        <v>11</v>
      </c>
      <c r="AC27" s="38">
        <v>21</v>
      </c>
      <c r="AD27" s="37" t="s">
        <v>1027</v>
      </c>
      <c r="AE27" s="28" t="s">
        <v>852</v>
      </c>
      <c r="AF27" s="28" t="s">
        <v>11</v>
      </c>
      <c r="AG27" s="38">
        <v>17</v>
      </c>
      <c r="AH27" s="28" t="s">
        <v>1028</v>
      </c>
      <c r="AI27" s="28" t="s">
        <v>1029</v>
      </c>
      <c r="AJ27" s="28" t="s">
        <v>12</v>
      </c>
      <c r="AK27" s="28">
        <v>8</v>
      </c>
      <c r="AL27" s="37"/>
      <c r="AO27" s="38"/>
      <c r="AP27" s="37"/>
      <c r="AS27" s="38"/>
      <c r="AW27" s="38"/>
      <c r="BA27" s="39"/>
    </row>
    <row r="28" spans="1:53" s="170" customFormat="1" x14ac:dyDescent="0.15">
      <c r="A28" s="170">
        <v>2002</v>
      </c>
      <c r="B28" s="281">
        <v>37565</v>
      </c>
      <c r="C28" s="395" t="s">
        <v>1124</v>
      </c>
      <c r="D28" s="395"/>
      <c r="E28" s="170">
        <v>57</v>
      </c>
      <c r="F28" s="170">
        <v>1</v>
      </c>
      <c r="G28" s="232">
        <v>11</v>
      </c>
      <c r="H28" s="170">
        <v>7</v>
      </c>
      <c r="J28" s="240">
        <v>18</v>
      </c>
      <c r="K28" s="213">
        <f t="shared" si="0"/>
        <v>61.111111111111114</v>
      </c>
      <c r="L28" s="213">
        <f t="shared" si="1"/>
        <v>38.888888888888893</v>
      </c>
      <c r="M28" s="213">
        <f t="shared" si="2"/>
        <v>0</v>
      </c>
      <c r="N28" s="234">
        <f t="shared" si="3"/>
        <v>100</v>
      </c>
      <c r="O28" s="212">
        <v>33</v>
      </c>
      <c r="P28" s="213">
        <v>22</v>
      </c>
      <c r="Q28" s="213"/>
      <c r="R28" s="214">
        <f t="shared" si="4"/>
        <v>55</v>
      </c>
      <c r="S28" s="170">
        <v>2</v>
      </c>
      <c r="T28" s="283">
        <v>37534</v>
      </c>
      <c r="U28" s="281">
        <v>37565</v>
      </c>
      <c r="V28" s="177" t="s">
        <v>1033</v>
      </c>
      <c r="W28" s="170" t="s">
        <v>87</v>
      </c>
      <c r="X28" s="170" t="s">
        <v>11</v>
      </c>
      <c r="Y28" s="178">
        <v>26</v>
      </c>
      <c r="Z28" s="170" t="s">
        <v>1034</v>
      </c>
      <c r="AA28" s="170" t="s">
        <v>932</v>
      </c>
      <c r="AB28" s="170" t="s">
        <v>18</v>
      </c>
      <c r="AC28" s="170">
        <v>12</v>
      </c>
      <c r="AD28" s="177" t="s">
        <v>1027</v>
      </c>
      <c r="AE28" s="170" t="s">
        <v>852</v>
      </c>
      <c r="AF28" s="170" t="s">
        <v>11</v>
      </c>
      <c r="AG28" s="178">
        <v>7</v>
      </c>
      <c r="AH28" s="170" t="s">
        <v>1035</v>
      </c>
      <c r="AI28" s="170" t="s">
        <v>81</v>
      </c>
      <c r="AJ28" s="170" t="s">
        <v>18</v>
      </c>
      <c r="AK28" s="170">
        <v>10</v>
      </c>
      <c r="AL28" s="177"/>
      <c r="AO28" s="178"/>
      <c r="AP28" s="177"/>
      <c r="AS28" s="178"/>
      <c r="AW28" s="178"/>
      <c r="BA28" s="179"/>
    </row>
    <row r="29" spans="1:53" s="170" customFormat="1" x14ac:dyDescent="0.15">
      <c r="A29" s="170">
        <v>2003</v>
      </c>
      <c r="B29" s="304"/>
      <c r="C29" s="395" t="s">
        <v>1124</v>
      </c>
      <c r="D29" s="395"/>
      <c r="E29" s="170">
        <v>0</v>
      </c>
      <c r="G29" s="232">
        <v>11</v>
      </c>
      <c r="H29" s="170">
        <v>7</v>
      </c>
      <c r="J29" s="240">
        <v>18</v>
      </c>
      <c r="K29" s="213">
        <f t="shared" si="0"/>
        <v>61.111111111111114</v>
      </c>
      <c r="L29" s="213">
        <f t="shared" si="1"/>
        <v>38.888888888888893</v>
      </c>
      <c r="M29" s="213">
        <f t="shared" si="2"/>
        <v>0</v>
      </c>
      <c r="N29" s="234">
        <f t="shared" si="3"/>
        <v>100</v>
      </c>
      <c r="O29" s="212">
        <v>33</v>
      </c>
      <c r="P29" s="213">
        <v>22</v>
      </c>
      <c r="Q29" s="213"/>
      <c r="R29" s="214">
        <f t="shared" si="4"/>
        <v>55</v>
      </c>
      <c r="S29" s="170">
        <v>2</v>
      </c>
      <c r="T29" s="283"/>
      <c r="U29" s="281"/>
      <c r="V29" s="177" t="s">
        <v>1033</v>
      </c>
      <c r="W29" s="170" t="s">
        <v>87</v>
      </c>
      <c r="X29" s="170" t="s">
        <v>11</v>
      </c>
      <c r="Y29" s="178">
        <v>26</v>
      </c>
      <c r="Z29" s="170" t="s">
        <v>1034</v>
      </c>
      <c r="AA29" s="170" t="s">
        <v>932</v>
      </c>
      <c r="AB29" s="170" t="s">
        <v>18</v>
      </c>
      <c r="AC29" s="170">
        <v>12</v>
      </c>
      <c r="AD29" s="177" t="s">
        <v>1027</v>
      </c>
      <c r="AE29" s="170" t="s">
        <v>852</v>
      </c>
      <c r="AF29" s="170" t="s">
        <v>11</v>
      </c>
      <c r="AG29" s="178">
        <v>7</v>
      </c>
      <c r="AH29" s="170" t="s">
        <v>1035</v>
      </c>
      <c r="AI29" s="170" t="s">
        <v>81</v>
      </c>
      <c r="AJ29" s="170" t="s">
        <v>18</v>
      </c>
      <c r="AK29" s="170">
        <v>10</v>
      </c>
      <c r="AL29" s="177"/>
      <c r="AO29" s="178"/>
      <c r="AP29" s="177"/>
      <c r="AS29" s="178"/>
      <c r="AW29" s="178"/>
      <c r="BA29" s="179"/>
    </row>
    <row r="30" spans="1:53" s="170" customFormat="1" x14ac:dyDescent="0.15">
      <c r="A30" s="170">
        <v>2003</v>
      </c>
      <c r="B30" s="304"/>
      <c r="C30" s="395" t="s">
        <v>1124</v>
      </c>
      <c r="D30" s="395"/>
      <c r="E30" s="170">
        <v>365</v>
      </c>
      <c r="G30" s="232">
        <v>11</v>
      </c>
      <c r="H30" s="170">
        <v>7</v>
      </c>
      <c r="J30" s="240">
        <v>18</v>
      </c>
      <c r="K30" s="213">
        <f t="shared" si="0"/>
        <v>61.111111111111114</v>
      </c>
      <c r="L30" s="213">
        <f t="shared" si="1"/>
        <v>38.888888888888893</v>
      </c>
      <c r="M30" s="213">
        <f t="shared" si="2"/>
        <v>0</v>
      </c>
      <c r="N30" s="234">
        <f t="shared" si="3"/>
        <v>100</v>
      </c>
      <c r="O30" s="212">
        <v>33</v>
      </c>
      <c r="P30" s="213">
        <v>22</v>
      </c>
      <c r="Q30" s="213"/>
      <c r="R30" s="214">
        <f t="shared" si="4"/>
        <v>55</v>
      </c>
      <c r="S30" s="170">
        <v>2</v>
      </c>
      <c r="T30" s="283"/>
      <c r="U30" s="281"/>
      <c r="V30" s="177" t="s">
        <v>1033</v>
      </c>
      <c r="W30" s="170" t="s">
        <v>87</v>
      </c>
      <c r="X30" s="170" t="s">
        <v>11</v>
      </c>
      <c r="Y30" s="178">
        <v>26</v>
      </c>
      <c r="Z30" s="170" t="s">
        <v>1034</v>
      </c>
      <c r="AA30" s="170" t="s">
        <v>932</v>
      </c>
      <c r="AB30" s="170" t="s">
        <v>18</v>
      </c>
      <c r="AC30" s="170">
        <v>12</v>
      </c>
      <c r="AD30" s="177" t="s">
        <v>1027</v>
      </c>
      <c r="AE30" s="170" t="s">
        <v>852</v>
      </c>
      <c r="AF30" s="170" t="s">
        <v>11</v>
      </c>
      <c r="AG30" s="178">
        <v>7</v>
      </c>
      <c r="AH30" s="170" t="s">
        <v>1035</v>
      </c>
      <c r="AI30" s="170" t="s">
        <v>81</v>
      </c>
      <c r="AJ30" s="170" t="s">
        <v>18</v>
      </c>
      <c r="AK30" s="170">
        <v>10</v>
      </c>
      <c r="AL30" s="177"/>
      <c r="AO30" s="178"/>
      <c r="AP30" s="177"/>
      <c r="AS30" s="178"/>
      <c r="AW30" s="178"/>
      <c r="BA30" s="179"/>
    </row>
    <row r="31" spans="1:53" s="170" customFormat="1" x14ac:dyDescent="0.15">
      <c r="A31" s="170">
        <v>2004</v>
      </c>
      <c r="B31" s="304"/>
      <c r="C31" s="395" t="s">
        <v>1124</v>
      </c>
      <c r="D31" s="395"/>
      <c r="E31" s="170">
        <v>68</v>
      </c>
      <c r="G31" s="232">
        <v>11</v>
      </c>
      <c r="H31" s="170">
        <v>7</v>
      </c>
      <c r="J31" s="240">
        <v>18</v>
      </c>
      <c r="K31" s="213">
        <f>G31/J31*100</f>
        <v>61.111111111111114</v>
      </c>
      <c r="L31" s="213">
        <f>H31/J31*100</f>
        <v>38.888888888888893</v>
      </c>
      <c r="M31" s="213">
        <f>I31/J31*100</f>
        <v>0</v>
      </c>
      <c r="N31" s="234">
        <f t="shared" si="3"/>
        <v>100</v>
      </c>
      <c r="O31" s="212">
        <v>33</v>
      </c>
      <c r="P31" s="213">
        <v>22</v>
      </c>
      <c r="Q31" s="213"/>
      <c r="R31" s="214">
        <f t="shared" si="4"/>
        <v>55</v>
      </c>
      <c r="S31" s="170">
        <v>2</v>
      </c>
      <c r="T31" s="283"/>
      <c r="U31" s="281"/>
      <c r="V31" s="177" t="s">
        <v>1033</v>
      </c>
      <c r="W31" s="170" t="s">
        <v>87</v>
      </c>
      <c r="X31" s="170" t="s">
        <v>11</v>
      </c>
      <c r="Y31" s="178">
        <v>26</v>
      </c>
      <c r="Z31" s="170" t="s">
        <v>1034</v>
      </c>
      <c r="AA31" s="170" t="s">
        <v>932</v>
      </c>
      <c r="AB31" s="170" t="s">
        <v>18</v>
      </c>
      <c r="AC31" s="170">
        <v>12</v>
      </c>
      <c r="AD31" s="177" t="s">
        <v>1027</v>
      </c>
      <c r="AE31" s="170" t="s">
        <v>852</v>
      </c>
      <c r="AF31" s="170" t="s">
        <v>11</v>
      </c>
      <c r="AG31" s="178">
        <v>7</v>
      </c>
      <c r="AH31" s="170" t="s">
        <v>1035</v>
      </c>
      <c r="AI31" s="170" t="s">
        <v>81</v>
      </c>
      <c r="AJ31" s="170" t="s">
        <v>18</v>
      </c>
      <c r="AK31" s="170">
        <v>10</v>
      </c>
      <c r="AL31" s="177"/>
      <c r="AO31" s="178"/>
      <c r="AP31" s="177"/>
      <c r="AS31" s="178"/>
      <c r="AW31" s="178"/>
      <c r="BA31" s="179"/>
    </row>
    <row r="32" spans="1:53" s="28" customFormat="1" x14ac:dyDescent="0.15">
      <c r="A32" s="28">
        <v>2004</v>
      </c>
      <c r="B32" s="275">
        <v>38055</v>
      </c>
      <c r="C32" s="394" t="s">
        <v>1036</v>
      </c>
      <c r="D32" s="394"/>
      <c r="E32" s="28">
        <v>268</v>
      </c>
      <c r="F32" s="28">
        <v>2</v>
      </c>
      <c r="G32" s="65">
        <v>5</v>
      </c>
      <c r="H32" s="28">
        <v>11</v>
      </c>
      <c r="J32" s="72">
        <v>18</v>
      </c>
      <c r="K32" s="46">
        <f t="shared" si="0"/>
        <v>27.777777777777779</v>
      </c>
      <c r="L32" s="46">
        <f t="shared" si="1"/>
        <v>61.111111111111114</v>
      </c>
      <c r="M32" s="46">
        <f t="shared" si="2"/>
        <v>0</v>
      </c>
      <c r="N32" s="67">
        <f t="shared" si="3"/>
        <v>88.888888888888886</v>
      </c>
      <c r="O32" s="45">
        <v>20</v>
      </c>
      <c r="P32" s="46">
        <v>22</v>
      </c>
      <c r="Q32" s="46"/>
      <c r="R32" s="47">
        <f t="shared" si="4"/>
        <v>42</v>
      </c>
      <c r="S32" s="28">
        <v>5</v>
      </c>
      <c r="T32" s="284"/>
      <c r="U32" s="275">
        <v>38055</v>
      </c>
      <c r="V32" s="37" t="s">
        <v>1032</v>
      </c>
      <c r="W32" s="28" t="s">
        <v>1050</v>
      </c>
      <c r="X32" s="28" t="s">
        <v>11</v>
      </c>
      <c r="Y32" s="38">
        <v>20</v>
      </c>
      <c r="Z32" s="28" t="s">
        <v>1034</v>
      </c>
      <c r="AA32" s="28" t="s">
        <v>932</v>
      </c>
      <c r="AB32" s="28" t="s">
        <v>18</v>
      </c>
      <c r="AC32" s="28">
        <v>12</v>
      </c>
      <c r="AD32" s="37" t="s">
        <v>1035</v>
      </c>
      <c r="AE32" s="28" t="s">
        <v>81</v>
      </c>
      <c r="AF32" s="28" t="s">
        <v>18</v>
      </c>
      <c r="AG32" s="38">
        <v>10</v>
      </c>
      <c r="AL32" s="37"/>
      <c r="AO32" s="38"/>
      <c r="AP32" s="37"/>
      <c r="AS32" s="38"/>
      <c r="AW32" s="38"/>
      <c r="BA32" s="39"/>
    </row>
    <row r="33" spans="1:53" s="170" customFormat="1" x14ac:dyDescent="0.15">
      <c r="A33" s="170">
        <v>2004</v>
      </c>
      <c r="B33" s="304">
        <v>38323</v>
      </c>
      <c r="C33" s="395" t="s">
        <v>1125</v>
      </c>
      <c r="D33" s="395"/>
      <c r="E33" s="170">
        <v>30</v>
      </c>
      <c r="F33" s="170">
        <v>7</v>
      </c>
      <c r="G33" s="232">
        <v>12</v>
      </c>
      <c r="H33" s="170">
        <v>6</v>
      </c>
      <c r="J33" s="240">
        <v>18</v>
      </c>
      <c r="K33" s="213">
        <f t="shared" si="0"/>
        <v>66.666666666666657</v>
      </c>
      <c r="L33" s="213">
        <f t="shared" si="1"/>
        <v>33.333333333333329</v>
      </c>
      <c r="M33" s="213">
        <f t="shared" si="2"/>
        <v>0</v>
      </c>
      <c r="N33" s="234">
        <f t="shared" si="3"/>
        <v>99.999999999999986</v>
      </c>
      <c r="O33" s="212">
        <v>46</v>
      </c>
      <c r="P33" s="213">
        <v>22</v>
      </c>
      <c r="Q33" s="213"/>
      <c r="R33" s="214">
        <f t="shared" si="4"/>
        <v>68</v>
      </c>
      <c r="S33" s="170">
        <v>3</v>
      </c>
      <c r="T33" s="283"/>
      <c r="U33" s="304">
        <v>38323</v>
      </c>
      <c r="V33" s="177" t="s">
        <v>1033</v>
      </c>
      <c r="W33" s="170" t="s">
        <v>87</v>
      </c>
      <c r="X33" s="170" t="s">
        <v>11</v>
      </c>
      <c r="Y33" s="178">
        <v>26</v>
      </c>
      <c r="Z33" s="177" t="s">
        <v>1032</v>
      </c>
      <c r="AA33" s="170" t="s">
        <v>1050</v>
      </c>
      <c r="AB33" s="170" t="s">
        <v>11</v>
      </c>
      <c r="AC33" s="170">
        <v>20</v>
      </c>
      <c r="AD33" s="177" t="s">
        <v>1034</v>
      </c>
      <c r="AE33" s="170" t="s">
        <v>932</v>
      </c>
      <c r="AF33" s="170" t="s">
        <v>18</v>
      </c>
      <c r="AG33" s="178">
        <v>12</v>
      </c>
      <c r="AH33" s="170" t="s">
        <v>1035</v>
      </c>
      <c r="AI33" s="170" t="s">
        <v>81</v>
      </c>
      <c r="AJ33" s="170" t="s">
        <v>18</v>
      </c>
      <c r="AK33" s="170">
        <v>10</v>
      </c>
      <c r="AL33" s="177"/>
      <c r="AO33" s="178"/>
      <c r="AP33" s="177"/>
      <c r="AS33" s="178"/>
      <c r="AW33" s="178"/>
      <c r="BA33" s="179"/>
    </row>
    <row r="34" spans="1:53" s="170" customFormat="1" x14ac:dyDescent="0.15">
      <c r="A34" s="170">
        <v>2005</v>
      </c>
      <c r="B34" s="304"/>
      <c r="C34" s="395" t="s">
        <v>1125</v>
      </c>
      <c r="D34" s="395"/>
      <c r="E34" s="170">
        <v>0</v>
      </c>
      <c r="G34" s="232">
        <v>12</v>
      </c>
      <c r="H34" s="170">
        <v>6</v>
      </c>
      <c r="J34" s="240">
        <v>18</v>
      </c>
      <c r="K34" s="213">
        <f t="shared" si="0"/>
        <v>66.666666666666657</v>
      </c>
      <c r="L34" s="213">
        <f t="shared" si="1"/>
        <v>33.333333333333329</v>
      </c>
      <c r="M34" s="213">
        <f t="shared" si="2"/>
        <v>0</v>
      </c>
      <c r="N34" s="234">
        <f t="shared" si="3"/>
        <v>99.999999999999986</v>
      </c>
      <c r="O34" s="212">
        <v>46</v>
      </c>
      <c r="P34" s="213">
        <v>22</v>
      </c>
      <c r="Q34" s="213"/>
      <c r="R34" s="214">
        <f t="shared" si="4"/>
        <v>68</v>
      </c>
      <c r="S34" s="170">
        <v>3</v>
      </c>
      <c r="T34" s="283"/>
      <c r="U34" s="281"/>
      <c r="V34" s="177" t="s">
        <v>1033</v>
      </c>
      <c r="W34" s="170" t="s">
        <v>87</v>
      </c>
      <c r="X34" s="170" t="s">
        <v>11</v>
      </c>
      <c r="Y34" s="178">
        <v>26</v>
      </c>
      <c r="Z34" s="170" t="s">
        <v>1032</v>
      </c>
      <c r="AA34" s="170" t="s">
        <v>1050</v>
      </c>
      <c r="AB34" s="170" t="s">
        <v>11</v>
      </c>
      <c r="AC34" s="170">
        <v>20</v>
      </c>
      <c r="AD34" s="177" t="s">
        <v>1034</v>
      </c>
      <c r="AE34" s="170" t="s">
        <v>932</v>
      </c>
      <c r="AF34" s="170" t="s">
        <v>18</v>
      </c>
      <c r="AG34" s="178">
        <v>12</v>
      </c>
      <c r="AH34" s="170" t="s">
        <v>1035</v>
      </c>
      <c r="AI34" s="170" t="s">
        <v>81</v>
      </c>
      <c r="AJ34" s="170" t="s">
        <v>18</v>
      </c>
      <c r="AK34" s="170">
        <v>10</v>
      </c>
      <c r="AL34" s="177"/>
      <c r="AO34" s="178"/>
      <c r="AP34" s="177"/>
      <c r="AS34" s="178"/>
      <c r="AW34" s="178"/>
      <c r="BA34" s="179"/>
    </row>
    <row r="35" spans="1:53" s="170" customFormat="1" x14ac:dyDescent="0.15">
      <c r="A35" s="170">
        <v>2005</v>
      </c>
      <c r="B35" s="304"/>
      <c r="C35" s="395" t="s">
        <v>1125</v>
      </c>
      <c r="D35" s="395"/>
      <c r="E35" s="170">
        <v>365</v>
      </c>
      <c r="G35" s="232">
        <v>12</v>
      </c>
      <c r="H35" s="170">
        <v>6</v>
      </c>
      <c r="J35" s="240">
        <v>18</v>
      </c>
      <c r="K35" s="213">
        <f t="shared" si="0"/>
        <v>66.666666666666657</v>
      </c>
      <c r="L35" s="213">
        <f t="shared" si="1"/>
        <v>33.333333333333329</v>
      </c>
      <c r="M35" s="213">
        <f t="shared" si="2"/>
        <v>0</v>
      </c>
      <c r="N35" s="234">
        <f t="shared" si="3"/>
        <v>99.999999999999986</v>
      </c>
      <c r="O35" s="212">
        <v>46</v>
      </c>
      <c r="P35" s="213">
        <v>22</v>
      </c>
      <c r="Q35" s="213"/>
      <c r="R35" s="214">
        <f t="shared" si="4"/>
        <v>68</v>
      </c>
      <c r="S35" s="170">
        <v>3</v>
      </c>
      <c r="T35" s="283"/>
      <c r="U35" s="281"/>
      <c r="V35" s="177" t="s">
        <v>1033</v>
      </c>
      <c r="W35" s="170" t="s">
        <v>87</v>
      </c>
      <c r="X35" s="170" t="s">
        <v>11</v>
      </c>
      <c r="Y35" s="178">
        <v>26</v>
      </c>
      <c r="Z35" s="177" t="s">
        <v>1032</v>
      </c>
      <c r="AA35" s="170" t="s">
        <v>1050</v>
      </c>
      <c r="AB35" s="170" t="s">
        <v>11</v>
      </c>
      <c r="AC35" s="170">
        <v>20</v>
      </c>
      <c r="AD35" s="177" t="s">
        <v>1034</v>
      </c>
      <c r="AE35" s="170" t="s">
        <v>932</v>
      </c>
      <c r="AF35" s="170" t="s">
        <v>18</v>
      </c>
      <c r="AG35" s="178">
        <v>12</v>
      </c>
      <c r="AH35" s="170" t="s">
        <v>1035</v>
      </c>
      <c r="AI35" s="170" t="s">
        <v>81</v>
      </c>
      <c r="AJ35" s="170" t="s">
        <v>18</v>
      </c>
      <c r="AK35" s="170">
        <v>10</v>
      </c>
      <c r="AL35" s="177"/>
      <c r="AO35" s="178"/>
      <c r="AP35" s="177"/>
      <c r="AS35" s="178"/>
      <c r="AW35" s="178"/>
      <c r="BA35" s="179"/>
    </row>
    <row r="36" spans="1:53" s="170" customFormat="1" x14ac:dyDescent="0.15">
      <c r="A36" s="170">
        <v>2006</v>
      </c>
      <c r="B36" s="304"/>
      <c r="C36" s="395" t="s">
        <v>1125</v>
      </c>
      <c r="D36" s="395"/>
      <c r="E36" s="170">
        <v>97</v>
      </c>
      <c r="G36" s="232">
        <v>12</v>
      </c>
      <c r="H36" s="170">
        <v>6</v>
      </c>
      <c r="J36" s="240">
        <v>18</v>
      </c>
      <c r="K36" s="213">
        <f>G36/J36*100</f>
        <v>66.666666666666657</v>
      </c>
      <c r="L36" s="213">
        <f>H36/J36*100</f>
        <v>33.333333333333329</v>
      </c>
      <c r="M36" s="213">
        <f>I36/J36*100</f>
        <v>0</v>
      </c>
      <c r="N36" s="234">
        <f t="shared" si="3"/>
        <v>99.999999999999986</v>
      </c>
      <c r="O36" s="212">
        <v>46</v>
      </c>
      <c r="P36" s="213">
        <v>22</v>
      </c>
      <c r="Q36" s="213"/>
      <c r="R36" s="214">
        <f t="shared" si="4"/>
        <v>68</v>
      </c>
      <c r="S36" s="170">
        <v>3</v>
      </c>
      <c r="T36" s="283"/>
      <c r="U36" s="281"/>
      <c r="V36" s="177" t="s">
        <v>1033</v>
      </c>
      <c r="W36" s="170" t="s">
        <v>87</v>
      </c>
      <c r="X36" s="170" t="s">
        <v>11</v>
      </c>
      <c r="Y36" s="178">
        <v>26</v>
      </c>
      <c r="Z36" s="170" t="s">
        <v>1032</v>
      </c>
      <c r="AA36" s="170" t="s">
        <v>1050</v>
      </c>
      <c r="AB36" s="170" t="s">
        <v>11</v>
      </c>
      <c r="AC36" s="170">
        <v>20</v>
      </c>
      <c r="AD36" s="177" t="s">
        <v>1034</v>
      </c>
      <c r="AE36" s="170" t="s">
        <v>932</v>
      </c>
      <c r="AF36" s="170" t="s">
        <v>18</v>
      </c>
      <c r="AG36" s="178">
        <v>12</v>
      </c>
      <c r="AH36" s="170" t="s">
        <v>1035</v>
      </c>
      <c r="AI36" s="170" t="s">
        <v>81</v>
      </c>
      <c r="AJ36" s="170" t="s">
        <v>18</v>
      </c>
      <c r="AK36" s="170">
        <v>10</v>
      </c>
      <c r="AL36" s="177"/>
      <c r="AO36" s="178"/>
      <c r="AP36" s="177"/>
      <c r="AS36" s="178"/>
      <c r="AW36" s="178"/>
      <c r="BA36" s="179"/>
    </row>
    <row r="37" spans="1:53" s="28" customFormat="1" x14ac:dyDescent="0.15">
      <c r="A37" s="28">
        <v>2006</v>
      </c>
      <c r="B37" s="275">
        <v>38815</v>
      </c>
      <c r="C37" s="394" t="s">
        <v>1126</v>
      </c>
      <c r="D37" s="394"/>
      <c r="E37" s="28">
        <v>213</v>
      </c>
      <c r="F37" s="28">
        <v>4</v>
      </c>
      <c r="G37" s="65">
        <v>9</v>
      </c>
      <c r="H37" s="28">
        <v>9</v>
      </c>
      <c r="J37" s="72">
        <v>18</v>
      </c>
      <c r="K37" s="46">
        <f t="shared" si="0"/>
        <v>50</v>
      </c>
      <c r="L37" s="46">
        <f t="shared" si="1"/>
        <v>50</v>
      </c>
      <c r="M37" s="46">
        <f t="shared" si="2"/>
        <v>0</v>
      </c>
      <c r="N37" s="67">
        <f t="shared" si="3"/>
        <v>100</v>
      </c>
      <c r="O37" s="45">
        <v>20</v>
      </c>
      <c r="P37" s="46">
        <v>22</v>
      </c>
      <c r="Q37" s="46"/>
      <c r="R37" s="47">
        <f t="shared" si="4"/>
        <v>42</v>
      </c>
      <c r="S37" s="28">
        <v>5</v>
      </c>
      <c r="T37" s="284"/>
      <c r="U37" s="275">
        <v>38815</v>
      </c>
      <c r="V37" s="37" t="s">
        <v>1032</v>
      </c>
      <c r="W37" s="28" t="s">
        <v>1050</v>
      </c>
      <c r="X37" s="28" t="s">
        <v>11</v>
      </c>
      <c r="Y37" s="38">
        <v>20</v>
      </c>
      <c r="Z37" s="28" t="s">
        <v>1034</v>
      </c>
      <c r="AA37" s="28" t="s">
        <v>932</v>
      </c>
      <c r="AB37" s="28" t="s">
        <v>18</v>
      </c>
      <c r="AC37" s="28">
        <v>12</v>
      </c>
      <c r="AD37" s="37" t="s">
        <v>1035</v>
      </c>
      <c r="AE37" s="28" t="s">
        <v>81</v>
      </c>
      <c r="AF37" s="28" t="s">
        <v>18</v>
      </c>
      <c r="AG37" s="38">
        <v>10</v>
      </c>
      <c r="AH37" s="37" t="s">
        <v>1020</v>
      </c>
      <c r="AI37" s="28" t="s">
        <v>22</v>
      </c>
      <c r="AJ37" s="28" t="s">
        <v>11</v>
      </c>
      <c r="AK37" s="28">
        <v>0</v>
      </c>
      <c r="AL37" s="37"/>
      <c r="AO37" s="38"/>
      <c r="AP37" s="37"/>
      <c r="AS37" s="38"/>
      <c r="AW37" s="38"/>
      <c r="BA37" s="39"/>
    </row>
    <row r="38" spans="1:53" s="170" customFormat="1" x14ac:dyDescent="0.15">
      <c r="A38" s="170">
        <v>2006</v>
      </c>
      <c r="B38" s="304">
        <v>39028</v>
      </c>
      <c r="C38" s="395" t="s">
        <v>1127</v>
      </c>
      <c r="D38" s="395"/>
      <c r="E38" s="170">
        <v>55</v>
      </c>
      <c r="F38" s="170">
        <v>1</v>
      </c>
      <c r="G38" s="232">
        <v>9</v>
      </c>
      <c r="H38" s="170">
        <v>9</v>
      </c>
      <c r="J38" s="240">
        <v>18</v>
      </c>
      <c r="K38" s="213">
        <f t="shared" si="0"/>
        <v>50</v>
      </c>
      <c r="L38" s="213">
        <f t="shared" si="1"/>
        <v>50</v>
      </c>
      <c r="M38" s="213">
        <f t="shared" si="2"/>
        <v>0</v>
      </c>
      <c r="N38" s="234">
        <f t="shared" si="3"/>
        <v>100</v>
      </c>
      <c r="O38" s="212">
        <v>31</v>
      </c>
      <c r="P38" s="213">
        <v>28</v>
      </c>
      <c r="Q38" s="213"/>
      <c r="R38" s="214">
        <f t="shared" si="4"/>
        <v>59</v>
      </c>
      <c r="S38" s="170">
        <v>3</v>
      </c>
      <c r="T38" s="283">
        <v>38997</v>
      </c>
      <c r="U38" s="304">
        <v>39028</v>
      </c>
      <c r="V38" s="177" t="s">
        <v>1032</v>
      </c>
      <c r="W38" s="170" t="s">
        <v>1050</v>
      </c>
      <c r="X38" s="170" t="s">
        <v>11</v>
      </c>
      <c r="Y38" s="178">
        <v>23</v>
      </c>
      <c r="Z38" s="170" t="s">
        <v>1034</v>
      </c>
      <c r="AA38" s="170" t="s">
        <v>932</v>
      </c>
      <c r="AB38" s="170" t="s">
        <v>18</v>
      </c>
      <c r="AC38" s="170">
        <v>18</v>
      </c>
      <c r="AD38" s="177" t="s">
        <v>1038</v>
      </c>
      <c r="AE38" s="170" t="s">
        <v>1037</v>
      </c>
      <c r="AF38" s="170" t="s">
        <v>18</v>
      </c>
      <c r="AG38" s="178">
        <v>10</v>
      </c>
      <c r="AH38" s="177" t="s">
        <v>1027</v>
      </c>
      <c r="AI38" s="170" t="s">
        <v>852</v>
      </c>
      <c r="AJ38" s="170" t="s">
        <v>11</v>
      </c>
      <c r="AK38" s="170">
        <v>8</v>
      </c>
      <c r="AL38" s="177"/>
      <c r="AO38" s="178"/>
      <c r="AP38" s="177"/>
      <c r="AS38" s="178"/>
      <c r="AW38" s="178"/>
      <c r="BA38" s="179"/>
    </row>
    <row r="39" spans="1:53" s="170" customFormat="1" x14ac:dyDescent="0.15">
      <c r="A39" s="170">
        <v>2007</v>
      </c>
      <c r="B39" s="304"/>
      <c r="C39" s="395" t="s">
        <v>1127</v>
      </c>
      <c r="D39" s="395"/>
      <c r="E39" s="170">
        <v>353</v>
      </c>
      <c r="G39" s="232">
        <v>9</v>
      </c>
      <c r="H39" s="170">
        <v>9</v>
      </c>
      <c r="J39" s="240">
        <v>18</v>
      </c>
      <c r="K39" s="213">
        <f t="shared" si="0"/>
        <v>50</v>
      </c>
      <c r="L39" s="213">
        <f t="shared" si="1"/>
        <v>50</v>
      </c>
      <c r="M39" s="213">
        <f t="shared" si="2"/>
        <v>0</v>
      </c>
      <c r="N39" s="234">
        <f t="shared" si="3"/>
        <v>100</v>
      </c>
      <c r="O39" s="212">
        <v>31</v>
      </c>
      <c r="P39" s="213">
        <v>28</v>
      </c>
      <c r="Q39" s="213"/>
      <c r="R39" s="214">
        <f t="shared" si="4"/>
        <v>59</v>
      </c>
      <c r="S39" s="170">
        <v>3</v>
      </c>
      <c r="T39" s="283"/>
      <c r="U39" s="281"/>
      <c r="V39" s="177" t="s">
        <v>1032</v>
      </c>
      <c r="W39" s="170" t="s">
        <v>1050</v>
      </c>
      <c r="X39" s="170" t="s">
        <v>11</v>
      </c>
      <c r="Y39" s="178">
        <v>23</v>
      </c>
      <c r="Z39" s="170" t="s">
        <v>1034</v>
      </c>
      <c r="AA39" s="170" t="s">
        <v>932</v>
      </c>
      <c r="AB39" s="170" t="s">
        <v>18</v>
      </c>
      <c r="AC39" s="170">
        <v>18</v>
      </c>
      <c r="AD39" s="177" t="s">
        <v>1038</v>
      </c>
      <c r="AE39" s="170" t="s">
        <v>1037</v>
      </c>
      <c r="AF39" s="170" t="s">
        <v>18</v>
      </c>
      <c r="AG39" s="178">
        <v>10</v>
      </c>
      <c r="AH39" s="177" t="s">
        <v>1027</v>
      </c>
      <c r="AI39" s="170" t="s">
        <v>852</v>
      </c>
      <c r="AJ39" s="170" t="s">
        <v>11</v>
      </c>
      <c r="AK39" s="170">
        <v>8</v>
      </c>
      <c r="AL39" s="177"/>
      <c r="AO39" s="178"/>
      <c r="AP39" s="177"/>
      <c r="AS39" s="178"/>
      <c r="AW39" s="178"/>
      <c r="BA39" s="179"/>
    </row>
    <row r="40" spans="1:53" s="28" customFormat="1" x14ac:dyDescent="0.15">
      <c r="A40" s="28">
        <v>2007</v>
      </c>
      <c r="B40" s="275">
        <v>39436</v>
      </c>
      <c r="C40" s="394" t="s">
        <v>1039</v>
      </c>
      <c r="D40" s="394"/>
      <c r="E40" s="28">
        <v>12</v>
      </c>
      <c r="F40" s="28">
        <v>2</v>
      </c>
      <c r="G40" s="65">
        <v>10</v>
      </c>
      <c r="H40" s="28">
        <v>9</v>
      </c>
      <c r="J40" s="72">
        <v>19</v>
      </c>
      <c r="K40" s="46">
        <f t="shared" si="0"/>
        <v>52.631578947368418</v>
      </c>
      <c r="L40" s="46">
        <f t="shared" si="1"/>
        <v>47.368421052631575</v>
      </c>
      <c r="M40" s="46">
        <f t="shared" si="2"/>
        <v>0</v>
      </c>
      <c r="N40" s="67">
        <f t="shared" si="3"/>
        <v>100</v>
      </c>
      <c r="O40" s="45">
        <v>31</v>
      </c>
      <c r="P40" s="46">
        <v>28</v>
      </c>
      <c r="Q40" s="46"/>
      <c r="R40" s="47">
        <f t="shared" si="4"/>
        <v>59</v>
      </c>
      <c r="S40" s="28">
        <v>3</v>
      </c>
      <c r="T40" s="284"/>
      <c r="U40" s="275">
        <v>39436</v>
      </c>
      <c r="V40" s="37" t="s">
        <v>1032</v>
      </c>
      <c r="W40" s="28" t="s">
        <v>1050</v>
      </c>
      <c r="X40" s="28" t="s">
        <v>11</v>
      </c>
      <c r="Y40" s="38">
        <v>23</v>
      </c>
      <c r="Z40" s="28" t="s">
        <v>1034</v>
      </c>
      <c r="AA40" s="28" t="s">
        <v>932</v>
      </c>
      <c r="AB40" s="28" t="s">
        <v>18</v>
      </c>
      <c r="AC40" s="28">
        <v>18</v>
      </c>
      <c r="AD40" s="37" t="s">
        <v>1038</v>
      </c>
      <c r="AE40" s="28" t="s">
        <v>1037</v>
      </c>
      <c r="AF40" s="28" t="s">
        <v>18</v>
      </c>
      <c r="AG40" s="38">
        <v>10</v>
      </c>
      <c r="AH40" s="37" t="s">
        <v>1027</v>
      </c>
      <c r="AI40" s="28" t="s">
        <v>852</v>
      </c>
      <c r="AJ40" s="28" t="s">
        <v>11</v>
      </c>
      <c r="AK40" s="28">
        <v>8</v>
      </c>
      <c r="AL40" s="37"/>
      <c r="AO40" s="38"/>
      <c r="AP40" s="37"/>
      <c r="AS40" s="38"/>
      <c r="AW40" s="38"/>
      <c r="BA40" s="39"/>
    </row>
    <row r="41" spans="1:53" s="28" customFormat="1" x14ac:dyDescent="0.15">
      <c r="A41" s="28">
        <v>2008</v>
      </c>
      <c r="B41" s="275"/>
      <c r="C41" s="394" t="s">
        <v>1039</v>
      </c>
      <c r="D41" s="394"/>
      <c r="E41" s="28">
        <v>0</v>
      </c>
      <c r="G41" s="65">
        <v>10</v>
      </c>
      <c r="H41" s="28">
        <v>9</v>
      </c>
      <c r="J41" s="72">
        <v>19</v>
      </c>
      <c r="K41" s="46">
        <f t="shared" si="0"/>
        <v>52.631578947368418</v>
      </c>
      <c r="L41" s="46">
        <f t="shared" si="1"/>
        <v>47.368421052631575</v>
      </c>
      <c r="M41" s="46">
        <f t="shared" si="2"/>
        <v>0</v>
      </c>
      <c r="N41" s="67">
        <f t="shared" si="3"/>
        <v>100</v>
      </c>
      <c r="O41" s="45">
        <v>31</v>
      </c>
      <c r="P41" s="46">
        <v>28</v>
      </c>
      <c r="Q41" s="46"/>
      <c r="R41" s="47">
        <f t="shared" si="4"/>
        <v>59</v>
      </c>
      <c r="S41" s="28">
        <v>3</v>
      </c>
      <c r="T41" s="284"/>
      <c r="U41" s="293"/>
      <c r="V41" s="37" t="s">
        <v>1032</v>
      </c>
      <c r="W41" s="28" t="s">
        <v>1050</v>
      </c>
      <c r="X41" s="28" t="s">
        <v>11</v>
      </c>
      <c r="Y41" s="38">
        <v>23</v>
      </c>
      <c r="Z41" s="28" t="s">
        <v>1034</v>
      </c>
      <c r="AA41" s="28" t="s">
        <v>932</v>
      </c>
      <c r="AB41" s="28" t="s">
        <v>18</v>
      </c>
      <c r="AC41" s="28">
        <v>18</v>
      </c>
      <c r="AD41" s="37" t="s">
        <v>1038</v>
      </c>
      <c r="AE41" s="28" t="s">
        <v>1037</v>
      </c>
      <c r="AF41" s="28" t="s">
        <v>18</v>
      </c>
      <c r="AG41" s="38">
        <v>10</v>
      </c>
      <c r="AH41" s="28" t="s">
        <v>1027</v>
      </c>
      <c r="AI41" s="28" t="s">
        <v>852</v>
      </c>
      <c r="AJ41" s="28" t="s">
        <v>11</v>
      </c>
      <c r="AK41" s="28">
        <v>8</v>
      </c>
      <c r="AL41" s="37"/>
      <c r="AO41" s="38"/>
      <c r="AP41" s="37"/>
      <c r="AS41" s="38"/>
      <c r="AW41" s="38"/>
      <c r="BA41" s="39"/>
    </row>
    <row r="42" spans="1:53" s="28" customFormat="1" x14ac:dyDescent="0.15">
      <c r="A42" s="28">
        <v>2008</v>
      </c>
      <c r="B42" s="275"/>
      <c r="C42" s="394" t="s">
        <v>1039</v>
      </c>
      <c r="D42" s="394"/>
      <c r="E42" s="28">
        <v>366</v>
      </c>
      <c r="G42" s="65">
        <v>10</v>
      </c>
      <c r="H42" s="28">
        <v>9</v>
      </c>
      <c r="J42" s="72">
        <v>19</v>
      </c>
      <c r="K42" s="46">
        <f t="shared" si="0"/>
        <v>52.631578947368418</v>
      </c>
      <c r="L42" s="46">
        <f t="shared" si="1"/>
        <v>47.368421052631575</v>
      </c>
      <c r="M42" s="46">
        <f t="shared" si="2"/>
        <v>0</v>
      </c>
      <c r="N42" s="67">
        <f t="shared" si="3"/>
        <v>100</v>
      </c>
      <c r="O42" s="45">
        <v>31</v>
      </c>
      <c r="P42" s="46">
        <v>28</v>
      </c>
      <c r="Q42" s="46"/>
      <c r="R42" s="47">
        <f t="shared" si="4"/>
        <v>59</v>
      </c>
      <c r="S42" s="28">
        <v>3</v>
      </c>
      <c r="T42" s="284"/>
      <c r="U42" s="293"/>
      <c r="V42" s="37" t="s">
        <v>1032</v>
      </c>
      <c r="W42" s="28" t="s">
        <v>1050</v>
      </c>
      <c r="X42" s="28" t="s">
        <v>11</v>
      </c>
      <c r="Y42" s="38">
        <v>23</v>
      </c>
      <c r="Z42" s="28" t="s">
        <v>1034</v>
      </c>
      <c r="AA42" s="28" t="s">
        <v>932</v>
      </c>
      <c r="AB42" s="28" t="s">
        <v>18</v>
      </c>
      <c r="AC42" s="28">
        <v>18</v>
      </c>
      <c r="AD42" s="37" t="s">
        <v>1038</v>
      </c>
      <c r="AE42" s="28" t="s">
        <v>1037</v>
      </c>
      <c r="AF42" s="28" t="s">
        <v>18</v>
      </c>
      <c r="AG42" s="38">
        <v>10</v>
      </c>
      <c r="AH42" s="37" t="s">
        <v>1027</v>
      </c>
      <c r="AI42" s="28" t="s">
        <v>852</v>
      </c>
      <c r="AJ42" s="28" t="s">
        <v>11</v>
      </c>
      <c r="AK42" s="28">
        <v>8</v>
      </c>
      <c r="AL42" s="37"/>
      <c r="AO42" s="38"/>
      <c r="AP42" s="37"/>
      <c r="AS42" s="38"/>
      <c r="AW42" s="38"/>
      <c r="BA42" s="39"/>
    </row>
    <row r="43" spans="1:53" s="28" customFormat="1" x14ac:dyDescent="0.15">
      <c r="A43" s="28">
        <v>2009</v>
      </c>
      <c r="B43" s="275"/>
      <c r="C43" s="394" t="s">
        <v>1039</v>
      </c>
      <c r="D43" s="394"/>
      <c r="E43" s="28">
        <v>70</v>
      </c>
      <c r="G43" s="65">
        <v>10</v>
      </c>
      <c r="H43" s="28">
        <v>9</v>
      </c>
      <c r="J43" s="72">
        <v>19</v>
      </c>
      <c r="K43" s="46">
        <f t="shared" si="0"/>
        <v>52.631578947368418</v>
      </c>
      <c r="L43" s="46">
        <f t="shared" si="1"/>
        <v>47.368421052631575</v>
      </c>
      <c r="M43" s="46">
        <f t="shared" si="2"/>
        <v>0</v>
      </c>
      <c r="N43" s="67">
        <f t="shared" si="3"/>
        <v>100</v>
      </c>
      <c r="O43" s="45">
        <v>31</v>
      </c>
      <c r="P43" s="46">
        <v>28</v>
      </c>
      <c r="Q43" s="46"/>
      <c r="R43" s="47">
        <f t="shared" si="4"/>
        <v>59</v>
      </c>
      <c r="S43" s="28">
        <v>3</v>
      </c>
      <c r="T43" s="284"/>
      <c r="U43" s="293"/>
      <c r="V43" s="37" t="s">
        <v>1032</v>
      </c>
      <c r="W43" s="28" t="s">
        <v>1050</v>
      </c>
      <c r="X43" s="28" t="s">
        <v>11</v>
      </c>
      <c r="Y43" s="38">
        <v>23</v>
      </c>
      <c r="Z43" s="28" t="s">
        <v>1034</v>
      </c>
      <c r="AA43" s="28" t="s">
        <v>932</v>
      </c>
      <c r="AB43" s="28" t="s">
        <v>18</v>
      </c>
      <c r="AC43" s="28">
        <v>18</v>
      </c>
      <c r="AD43" s="37" t="s">
        <v>1038</v>
      </c>
      <c r="AE43" s="28" t="s">
        <v>1037</v>
      </c>
      <c r="AF43" s="28" t="s">
        <v>18</v>
      </c>
      <c r="AG43" s="38">
        <v>10</v>
      </c>
      <c r="AH43" s="28" t="s">
        <v>1027</v>
      </c>
      <c r="AI43" s="28" t="s">
        <v>852</v>
      </c>
      <c r="AJ43" s="28" t="s">
        <v>11</v>
      </c>
      <c r="AK43" s="28">
        <v>8</v>
      </c>
      <c r="AL43" s="37"/>
      <c r="AO43" s="38"/>
      <c r="AP43" s="37"/>
      <c r="AS43" s="38"/>
      <c r="AW43" s="38"/>
      <c r="BA43" s="39"/>
    </row>
    <row r="44" spans="1:53" s="170" customFormat="1" x14ac:dyDescent="0.15">
      <c r="A44" s="170">
        <v>2009</v>
      </c>
      <c r="B44" s="304">
        <v>39884</v>
      </c>
      <c r="C44" s="395" t="s">
        <v>1128</v>
      </c>
      <c r="D44" s="395"/>
      <c r="E44" s="170">
        <v>295</v>
      </c>
      <c r="F44" s="170">
        <v>2</v>
      </c>
      <c r="G44" s="232">
        <v>11</v>
      </c>
      <c r="H44" s="170">
        <v>4</v>
      </c>
      <c r="J44" s="240">
        <v>15</v>
      </c>
      <c r="K44" s="213">
        <f t="shared" si="0"/>
        <v>73.333333333333329</v>
      </c>
      <c r="L44" s="213">
        <f t="shared" si="1"/>
        <v>26.666666666666668</v>
      </c>
      <c r="M44" s="213">
        <f t="shared" si="2"/>
        <v>0</v>
      </c>
      <c r="N44" s="234">
        <f t="shared" si="3"/>
        <v>100</v>
      </c>
      <c r="O44" s="212">
        <v>49</v>
      </c>
      <c r="P44" s="213">
        <v>18</v>
      </c>
      <c r="R44" s="214">
        <f>SUM(O44:P44)</f>
        <v>67</v>
      </c>
      <c r="S44" s="170">
        <v>3</v>
      </c>
      <c r="T44" s="283"/>
      <c r="U44" s="281">
        <v>39884</v>
      </c>
      <c r="V44" s="177" t="s">
        <v>1032</v>
      </c>
      <c r="W44" s="170" t="s">
        <v>1050</v>
      </c>
      <c r="X44" s="170" t="s">
        <v>11</v>
      </c>
      <c r="Y44" s="178">
        <v>23</v>
      </c>
      <c r="Z44" s="170" t="s">
        <v>1033</v>
      </c>
      <c r="AA44" s="170" t="s">
        <v>87</v>
      </c>
      <c r="AB44" s="170" t="s">
        <v>11</v>
      </c>
      <c r="AC44" s="170">
        <v>18</v>
      </c>
      <c r="AD44" s="177" t="s">
        <v>1034</v>
      </c>
      <c r="AE44" s="170" t="s">
        <v>932</v>
      </c>
      <c r="AF44" s="170" t="s">
        <v>18</v>
      </c>
      <c r="AG44" s="178">
        <v>18</v>
      </c>
      <c r="AH44" s="177" t="s">
        <v>1027</v>
      </c>
      <c r="AI44" s="170" t="s">
        <v>852</v>
      </c>
      <c r="AJ44" s="170" t="s">
        <v>11</v>
      </c>
      <c r="AK44" s="170">
        <v>8</v>
      </c>
      <c r="AL44" s="177" t="s">
        <v>95</v>
      </c>
      <c r="AM44" s="170" t="s">
        <v>327</v>
      </c>
      <c r="AN44" s="170" t="s">
        <v>11</v>
      </c>
      <c r="AO44" s="178">
        <v>0</v>
      </c>
      <c r="AP44" s="177"/>
      <c r="AS44" s="178"/>
      <c r="AW44" s="178"/>
      <c r="BA44" s="179"/>
    </row>
    <row r="45" spans="1:53" s="170" customFormat="1" x14ac:dyDescent="0.15">
      <c r="A45" s="170">
        <v>2010</v>
      </c>
      <c r="B45" s="304"/>
      <c r="C45" s="395" t="s">
        <v>1128</v>
      </c>
      <c r="D45" s="395"/>
      <c r="E45" s="170">
        <v>81</v>
      </c>
      <c r="G45" s="232">
        <v>11</v>
      </c>
      <c r="H45" s="170">
        <v>4</v>
      </c>
      <c r="J45" s="240">
        <v>15</v>
      </c>
      <c r="K45" s="213">
        <f>G45/J45*100</f>
        <v>73.333333333333329</v>
      </c>
      <c r="L45" s="213">
        <f>H45/J45*100</f>
        <v>26.666666666666668</v>
      </c>
      <c r="M45" s="213">
        <f>I45/J45*100</f>
        <v>0</v>
      </c>
      <c r="N45" s="234">
        <f t="shared" si="3"/>
        <v>100</v>
      </c>
      <c r="O45" s="212">
        <v>49</v>
      </c>
      <c r="P45" s="213">
        <v>18</v>
      </c>
      <c r="R45" s="214">
        <f>SUM(O45:P45)</f>
        <v>67</v>
      </c>
      <c r="S45" s="170">
        <v>3</v>
      </c>
      <c r="T45" s="283"/>
      <c r="U45" s="281"/>
      <c r="V45" s="177" t="s">
        <v>1032</v>
      </c>
      <c r="W45" s="170" t="s">
        <v>1050</v>
      </c>
      <c r="X45" s="170" t="s">
        <v>11</v>
      </c>
      <c r="Y45" s="178">
        <v>23</v>
      </c>
      <c r="Z45" s="170" t="s">
        <v>1033</v>
      </c>
      <c r="AA45" s="170" t="s">
        <v>87</v>
      </c>
      <c r="AB45" s="170" t="s">
        <v>11</v>
      </c>
      <c r="AC45" s="170">
        <v>18</v>
      </c>
      <c r="AD45" s="177" t="s">
        <v>1034</v>
      </c>
      <c r="AE45" s="170" t="s">
        <v>932</v>
      </c>
      <c r="AF45" s="170" t="s">
        <v>18</v>
      </c>
      <c r="AG45" s="178">
        <v>18</v>
      </c>
      <c r="AH45" s="170" t="s">
        <v>1027</v>
      </c>
      <c r="AI45" s="170" t="s">
        <v>852</v>
      </c>
      <c r="AJ45" s="170" t="s">
        <v>11</v>
      </c>
      <c r="AK45" s="170">
        <v>8</v>
      </c>
      <c r="AL45" s="177" t="s">
        <v>95</v>
      </c>
      <c r="AM45" s="170" t="s">
        <v>327</v>
      </c>
      <c r="AN45" s="170" t="s">
        <v>11</v>
      </c>
      <c r="AO45" s="178">
        <v>0</v>
      </c>
      <c r="AP45" s="177"/>
      <c r="AS45" s="178"/>
      <c r="AW45" s="178"/>
      <c r="BA45" s="179"/>
    </row>
    <row r="46" spans="1:53" s="28" customFormat="1" x14ac:dyDescent="0.15">
      <c r="A46" s="28">
        <v>2010</v>
      </c>
      <c r="B46" s="275">
        <v>40260</v>
      </c>
      <c r="C46" s="394" t="s">
        <v>1129</v>
      </c>
      <c r="D46" s="394"/>
      <c r="E46" s="28">
        <v>224</v>
      </c>
      <c r="F46" s="28">
        <v>4</v>
      </c>
      <c r="G46" s="65">
        <v>8</v>
      </c>
      <c r="H46" s="28">
        <v>5</v>
      </c>
      <c r="J46" s="72">
        <v>15</v>
      </c>
      <c r="K46" s="46">
        <f t="shared" si="0"/>
        <v>53.333333333333336</v>
      </c>
      <c r="L46" s="46">
        <f t="shared" si="1"/>
        <v>33.333333333333329</v>
      </c>
      <c r="M46" s="46">
        <f t="shared" si="2"/>
        <v>0</v>
      </c>
      <c r="N46" s="67">
        <f t="shared" si="3"/>
        <v>86.666666666666657</v>
      </c>
      <c r="O46" s="45">
        <v>26</v>
      </c>
      <c r="P46" s="46">
        <v>18</v>
      </c>
      <c r="R46" s="47">
        <f>SUM(O46:P46)</f>
        <v>44</v>
      </c>
      <c r="S46" s="28">
        <v>5</v>
      </c>
      <c r="T46" s="284"/>
      <c r="U46" s="293">
        <v>40260</v>
      </c>
      <c r="V46" s="37" t="s">
        <v>1033</v>
      </c>
      <c r="W46" s="28" t="s">
        <v>87</v>
      </c>
      <c r="X46" s="28" t="s">
        <v>11</v>
      </c>
      <c r="Y46" s="38">
        <v>18</v>
      </c>
      <c r="Z46" s="28" t="s">
        <v>1034</v>
      </c>
      <c r="AA46" s="28" t="s">
        <v>932</v>
      </c>
      <c r="AB46" s="28" t="s">
        <v>18</v>
      </c>
      <c r="AC46" s="28">
        <v>18</v>
      </c>
      <c r="AD46" s="37" t="s">
        <v>1027</v>
      </c>
      <c r="AE46" s="28" t="s">
        <v>852</v>
      </c>
      <c r="AF46" s="28" t="s">
        <v>11</v>
      </c>
      <c r="AG46" s="38">
        <v>8</v>
      </c>
      <c r="AH46" s="28" t="s">
        <v>95</v>
      </c>
      <c r="AI46" s="28" t="s">
        <v>327</v>
      </c>
      <c r="AJ46" s="28" t="s">
        <v>11</v>
      </c>
      <c r="AK46" s="28">
        <v>0</v>
      </c>
      <c r="AL46" s="37"/>
      <c r="AO46" s="38"/>
      <c r="AP46" s="37"/>
      <c r="AS46" s="38"/>
      <c r="AW46" s="38"/>
      <c r="BA46" s="39"/>
    </row>
    <row r="47" spans="1:53" s="170" customFormat="1" x14ac:dyDescent="0.15">
      <c r="A47" s="170">
        <v>2010</v>
      </c>
      <c r="B47" s="304">
        <v>40484</v>
      </c>
      <c r="C47" s="395" t="s">
        <v>1130</v>
      </c>
      <c r="D47" s="395"/>
      <c r="E47" s="170">
        <v>60</v>
      </c>
      <c r="F47" s="170">
        <v>1</v>
      </c>
      <c r="G47" s="232">
        <v>8</v>
      </c>
      <c r="H47" s="170">
        <v>6</v>
      </c>
      <c r="J47" s="240">
        <v>14</v>
      </c>
      <c r="K47" s="213">
        <f t="shared" si="0"/>
        <v>57.142857142857139</v>
      </c>
      <c r="L47" s="213">
        <f t="shared" si="1"/>
        <v>42.857142857142854</v>
      </c>
      <c r="M47" s="213">
        <f t="shared" si="2"/>
        <v>0</v>
      </c>
      <c r="N47" s="234">
        <f t="shared" si="3"/>
        <v>100</v>
      </c>
      <c r="O47" s="212">
        <v>33</v>
      </c>
      <c r="P47" s="213">
        <v>22</v>
      </c>
      <c r="R47" s="214">
        <f>SUM(O47:P47)</f>
        <v>55</v>
      </c>
      <c r="S47" s="170">
        <v>2</v>
      </c>
      <c r="T47" s="283">
        <v>40453</v>
      </c>
      <c r="U47" s="281">
        <v>40484</v>
      </c>
      <c r="V47" s="177" t="s">
        <v>404</v>
      </c>
      <c r="W47" s="170" t="s">
        <v>75</v>
      </c>
      <c r="X47" s="170" t="s">
        <v>11</v>
      </c>
      <c r="Y47" s="178">
        <v>33</v>
      </c>
      <c r="Z47" s="170" t="s">
        <v>1034</v>
      </c>
      <c r="AA47" s="170" t="s">
        <v>932</v>
      </c>
      <c r="AB47" s="170" t="s">
        <v>18</v>
      </c>
      <c r="AC47" s="170">
        <v>22</v>
      </c>
      <c r="AD47" s="177"/>
      <c r="AG47" s="178"/>
      <c r="AL47" s="177"/>
      <c r="AO47" s="178"/>
      <c r="AP47" s="177"/>
      <c r="AS47" s="178"/>
      <c r="AW47" s="178"/>
      <c r="BA47" s="179"/>
    </row>
    <row r="48" spans="1:53" s="170" customFormat="1" x14ac:dyDescent="0.15">
      <c r="A48" s="170">
        <v>2011</v>
      </c>
      <c r="B48" s="304"/>
      <c r="C48" s="395" t="s">
        <v>1130</v>
      </c>
      <c r="D48" s="395"/>
      <c r="E48" s="170">
        <v>297</v>
      </c>
      <c r="G48" s="232">
        <v>8</v>
      </c>
      <c r="H48" s="170">
        <v>6</v>
      </c>
      <c r="J48" s="240">
        <v>14</v>
      </c>
      <c r="K48" s="213">
        <f t="shared" ref="K48:K53" si="9">G48/J48*100</f>
        <v>57.142857142857139</v>
      </c>
      <c r="L48" s="213">
        <f t="shared" ref="L48:L53" si="10">H48/J48*100</f>
        <v>42.857142857142854</v>
      </c>
      <c r="M48" s="213">
        <f t="shared" ref="M48:M53" si="11">I48/J48*100</f>
        <v>0</v>
      </c>
      <c r="N48" s="234">
        <f t="shared" si="3"/>
        <v>100</v>
      </c>
      <c r="O48" s="212">
        <v>33</v>
      </c>
      <c r="P48" s="213">
        <v>22</v>
      </c>
      <c r="R48" s="214">
        <f>SUM(O48:P48)</f>
        <v>55</v>
      </c>
      <c r="S48" s="170">
        <v>2</v>
      </c>
      <c r="T48" s="283"/>
      <c r="U48" s="281"/>
      <c r="V48" s="177" t="s">
        <v>404</v>
      </c>
      <c r="W48" s="170" t="s">
        <v>75</v>
      </c>
      <c r="X48" s="170" t="s">
        <v>11</v>
      </c>
      <c r="Y48" s="178">
        <v>33</v>
      </c>
      <c r="Z48" s="170" t="s">
        <v>1034</v>
      </c>
      <c r="AA48" s="170" t="s">
        <v>932</v>
      </c>
      <c r="AB48" s="170" t="s">
        <v>18</v>
      </c>
      <c r="AC48" s="170">
        <v>22</v>
      </c>
      <c r="AD48" s="177"/>
      <c r="AG48" s="178"/>
      <c r="AL48" s="177"/>
      <c r="AO48" s="178"/>
      <c r="AP48" s="177"/>
      <c r="AS48" s="178"/>
      <c r="AW48" s="178"/>
      <c r="BA48" s="179"/>
    </row>
    <row r="49" spans="1:53" s="28" customFormat="1" x14ac:dyDescent="0.15">
      <c r="A49" s="28">
        <v>2011</v>
      </c>
      <c r="B49" s="275">
        <v>40841</v>
      </c>
      <c r="C49" s="394" t="s">
        <v>1131</v>
      </c>
      <c r="D49" s="394"/>
      <c r="E49" s="28">
        <v>68</v>
      </c>
      <c r="F49" s="28">
        <v>1</v>
      </c>
      <c r="G49" s="65">
        <v>14</v>
      </c>
      <c r="J49" s="72">
        <v>14</v>
      </c>
      <c r="K49" s="46">
        <f t="shared" si="9"/>
        <v>100</v>
      </c>
      <c r="L49" s="46">
        <f t="shared" si="10"/>
        <v>0</v>
      </c>
      <c r="M49" s="46">
        <f t="shared" si="11"/>
        <v>0</v>
      </c>
      <c r="N49" s="67">
        <f t="shared" si="3"/>
        <v>100</v>
      </c>
      <c r="O49" s="45">
        <v>56</v>
      </c>
      <c r="P49" s="46"/>
      <c r="Q49" s="46"/>
      <c r="R49" s="47">
        <f t="shared" si="4"/>
        <v>56</v>
      </c>
      <c r="S49" s="28">
        <v>2</v>
      </c>
      <c r="T49" s="284">
        <v>40803</v>
      </c>
      <c r="U49" s="293">
        <v>40841</v>
      </c>
      <c r="V49" s="37" t="s">
        <v>1132</v>
      </c>
      <c r="W49" s="28" t="s">
        <v>78</v>
      </c>
      <c r="X49" s="28" t="s">
        <v>11</v>
      </c>
      <c r="Y49" s="38">
        <v>22</v>
      </c>
      <c r="Z49" s="28" t="s">
        <v>404</v>
      </c>
      <c r="AA49" s="28" t="s">
        <v>75</v>
      </c>
      <c r="AB49" s="28" t="s">
        <v>11</v>
      </c>
      <c r="AC49" s="28">
        <v>20</v>
      </c>
      <c r="AD49" s="37" t="s">
        <v>1133</v>
      </c>
      <c r="AE49" s="28" t="s">
        <v>1134</v>
      </c>
      <c r="AF49" s="28" t="s">
        <v>11</v>
      </c>
      <c r="AG49" s="38">
        <v>14</v>
      </c>
      <c r="AL49" s="37"/>
      <c r="AO49" s="38"/>
      <c r="AP49" s="37"/>
      <c r="AS49" s="38"/>
      <c r="AW49" s="38"/>
      <c r="BA49" s="39"/>
    </row>
    <row r="50" spans="1:53" s="28" customFormat="1" x14ac:dyDescent="0.15">
      <c r="A50" s="28">
        <v>2012</v>
      </c>
      <c r="B50" s="275"/>
      <c r="C50" s="394" t="s">
        <v>1131</v>
      </c>
      <c r="D50" s="394"/>
      <c r="E50" s="28">
        <v>0</v>
      </c>
      <c r="G50" s="65">
        <v>14</v>
      </c>
      <c r="J50" s="72">
        <v>14</v>
      </c>
      <c r="K50" s="46">
        <f t="shared" si="9"/>
        <v>100</v>
      </c>
      <c r="L50" s="46">
        <f t="shared" si="10"/>
        <v>0</v>
      </c>
      <c r="M50" s="46">
        <f t="shared" si="11"/>
        <v>0</v>
      </c>
      <c r="N50" s="67">
        <f t="shared" si="3"/>
        <v>100</v>
      </c>
      <c r="O50" s="45">
        <v>56</v>
      </c>
      <c r="P50" s="46"/>
      <c r="Q50" s="46"/>
      <c r="R50" s="47">
        <f t="shared" si="4"/>
        <v>56</v>
      </c>
      <c r="S50" s="28">
        <v>2</v>
      </c>
      <c r="T50" s="284"/>
      <c r="U50" s="293"/>
      <c r="V50" s="37" t="s">
        <v>1132</v>
      </c>
      <c r="W50" s="28" t="s">
        <v>78</v>
      </c>
      <c r="X50" s="28" t="s">
        <v>11</v>
      </c>
      <c r="Y50" s="38">
        <v>22</v>
      </c>
      <c r="Z50" s="28" t="s">
        <v>404</v>
      </c>
      <c r="AA50" s="28" t="s">
        <v>75</v>
      </c>
      <c r="AB50" s="28" t="s">
        <v>11</v>
      </c>
      <c r="AC50" s="28">
        <v>20</v>
      </c>
      <c r="AD50" s="37" t="s">
        <v>1133</v>
      </c>
      <c r="AE50" s="28" t="s">
        <v>1134</v>
      </c>
      <c r="AF50" s="28" t="s">
        <v>11</v>
      </c>
      <c r="AG50" s="38">
        <v>14</v>
      </c>
      <c r="AL50" s="37"/>
      <c r="AO50" s="38"/>
      <c r="AP50" s="37"/>
      <c r="AS50" s="38"/>
      <c r="AW50" s="38"/>
      <c r="BA50" s="39"/>
    </row>
    <row r="51" spans="1:53" s="28" customFormat="1" x14ac:dyDescent="0.15">
      <c r="A51" s="28">
        <v>2012</v>
      </c>
      <c r="B51" s="275"/>
      <c r="C51" s="394" t="s">
        <v>1131</v>
      </c>
      <c r="D51" s="394"/>
      <c r="E51" s="28">
        <v>366</v>
      </c>
      <c r="G51" s="65">
        <v>14</v>
      </c>
      <c r="J51" s="72">
        <v>14</v>
      </c>
      <c r="K51" s="46">
        <f t="shared" si="9"/>
        <v>100</v>
      </c>
      <c r="L51" s="46">
        <f t="shared" si="10"/>
        <v>0</v>
      </c>
      <c r="M51" s="46">
        <f t="shared" si="11"/>
        <v>0</v>
      </c>
      <c r="N51" s="67">
        <f t="shared" si="3"/>
        <v>100</v>
      </c>
      <c r="O51" s="45">
        <v>56</v>
      </c>
      <c r="P51" s="46"/>
      <c r="Q51" s="46"/>
      <c r="R51" s="47">
        <f t="shared" si="4"/>
        <v>56</v>
      </c>
      <c r="S51" s="28">
        <v>2</v>
      </c>
      <c r="T51" s="284"/>
      <c r="U51" s="293"/>
      <c r="V51" s="37" t="s">
        <v>1132</v>
      </c>
      <c r="W51" s="28" t="s">
        <v>78</v>
      </c>
      <c r="X51" s="28" t="s">
        <v>11</v>
      </c>
      <c r="Y51" s="38">
        <v>22</v>
      </c>
      <c r="Z51" s="28" t="s">
        <v>404</v>
      </c>
      <c r="AA51" s="28" t="s">
        <v>75</v>
      </c>
      <c r="AB51" s="28" t="s">
        <v>11</v>
      </c>
      <c r="AC51" s="28">
        <v>20</v>
      </c>
      <c r="AD51" s="37" t="s">
        <v>1133</v>
      </c>
      <c r="AE51" s="28" t="s">
        <v>1134</v>
      </c>
      <c r="AF51" s="28" t="s">
        <v>11</v>
      </c>
      <c r="AG51" s="38">
        <v>14</v>
      </c>
      <c r="AL51" s="37"/>
      <c r="AO51" s="38"/>
      <c r="AP51" s="37"/>
      <c r="AS51" s="38"/>
      <c r="AW51" s="38"/>
      <c r="BA51" s="39"/>
    </row>
    <row r="52" spans="1:53" s="28" customFormat="1" x14ac:dyDescent="0.15">
      <c r="A52" s="28">
        <v>2013</v>
      </c>
      <c r="B52" s="275"/>
      <c r="C52" s="394" t="s">
        <v>1131</v>
      </c>
      <c r="D52" s="394"/>
      <c r="E52" s="28">
        <v>0</v>
      </c>
      <c r="G52" s="65">
        <v>14</v>
      </c>
      <c r="J52" s="72">
        <v>14</v>
      </c>
      <c r="K52" s="46">
        <f t="shared" si="9"/>
        <v>100</v>
      </c>
      <c r="L52" s="46">
        <f t="shared" si="10"/>
        <v>0</v>
      </c>
      <c r="M52" s="46">
        <f t="shared" si="11"/>
        <v>0</v>
      </c>
      <c r="N52" s="67">
        <f t="shared" ref="N52:N57" si="12">SUM(K52:M52)</f>
        <v>100</v>
      </c>
      <c r="O52" s="45">
        <v>56</v>
      </c>
      <c r="P52" s="46"/>
      <c r="Q52" s="46"/>
      <c r="R52" s="47">
        <f>SUM(O52:Q52)</f>
        <v>56</v>
      </c>
      <c r="S52" s="28">
        <v>2</v>
      </c>
      <c r="T52" s="284"/>
      <c r="U52" s="293"/>
      <c r="V52" s="37" t="s">
        <v>1132</v>
      </c>
      <c r="W52" s="28" t="s">
        <v>78</v>
      </c>
      <c r="X52" s="28" t="s">
        <v>11</v>
      </c>
      <c r="Y52" s="38">
        <v>22</v>
      </c>
      <c r="Z52" s="28" t="s">
        <v>404</v>
      </c>
      <c r="AA52" s="28" t="s">
        <v>75</v>
      </c>
      <c r="AB52" s="28" t="s">
        <v>11</v>
      </c>
      <c r="AC52" s="28">
        <v>20</v>
      </c>
      <c r="AD52" s="37" t="s">
        <v>1133</v>
      </c>
      <c r="AE52" s="28" t="s">
        <v>1134</v>
      </c>
      <c r="AF52" s="28" t="s">
        <v>11</v>
      </c>
      <c r="AG52" s="38">
        <v>14</v>
      </c>
      <c r="AL52" s="37"/>
      <c r="AO52" s="38"/>
      <c r="AP52" s="37"/>
      <c r="AS52" s="38"/>
      <c r="AW52" s="38"/>
      <c r="BA52" s="39"/>
    </row>
    <row r="53" spans="1:53" s="28" customFormat="1" x14ac:dyDescent="0.15">
      <c r="A53" s="28">
        <v>2013</v>
      </c>
      <c r="B53" s="275"/>
      <c r="C53" s="394" t="s">
        <v>1131</v>
      </c>
      <c r="D53" s="394"/>
      <c r="E53" s="28">
        <v>365</v>
      </c>
      <c r="G53" s="65">
        <v>14</v>
      </c>
      <c r="J53" s="72">
        <v>14</v>
      </c>
      <c r="K53" s="46">
        <f t="shared" si="9"/>
        <v>100</v>
      </c>
      <c r="L53" s="46">
        <f t="shared" si="10"/>
        <v>0</v>
      </c>
      <c r="M53" s="46">
        <f t="shared" si="11"/>
        <v>0</v>
      </c>
      <c r="N53" s="67">
        <f t="shared" si="12"/>
        <v>100</v>
      </c>
      <c r="O53" s="45">
        <v>56</v>
      </c>
      <c r="P53" s="46"/>
      <c r="Q53" s="46"/>
      <c r="R53" s="47">
        <f>SUM(O53:Q53)</f>
        <v>56</v>
      </c>
      <c r="S53" s="28">
        <v>2</v>
      </c>
      <c r="T53" s="284"/>
      <c r="U53" s="293"/>
      <c r="V53" s="37" t="s">
        <v>1132</v>
      </c>
      <c r="W53" s="28" t="s">
        <v>78</v>
      </c>
      <c r="X53" s="28" t="s">
        <v>11</v>
      </c>
      <c r="Y53" s="38">
        <v>22</v>
      </c>
      <c r="Z53" s="28" t="s">
        <v>404</v>
      </c>
      <c r="AA53" s="28" t="s">
        <v>75</v>
      </c>
      <c r="AB53" s="28" t="s">
        <v>11</v>
      </c>
      <c r="AC53" s="28">
        <v>20</v>
      </c>
      <c r="AD53" s="37" t="s">
        <v>1133</v>
      </c>
      <c r="AE53" s="28" t="s">
        <v>1134</v>
      </c>
      <c r="AF53" s="28" t="s">
        <v>11</v>
      </c>
      <c r="AG53" s="38">
        <v>14</v>
      </c>
      <c r="AL53" s="37"/>
      <c r="AO53" s="38"/>
      <c r="AP53" s="37"/>
      <c r="AS53" s="38"/>
      <c r="AW53" s="38"/>
      <c r="BA53" s="39"/>
    </row>
    <row r="54" spans="1:53" s="28" customFormat="1" x14ac:dyDescent="0.15">
      <c r="A54" s="28">
        <v>2014</v>
      </c>
      <c r="B54" s="275"/>
      <c r="C54" s="394" t="s">
        <v>1131</v>
      </c>
      <c r="D54" s="394"/>
      <c r="E54" s="28">
        <v>21</v>
      </c>
      <c r="G54" s="65">
        <v>14</v>
      </c>
      <c r="J54" s="72">
        <v>14</v>
      </c>
      <c r="K54" s="46">
        <f>G54/J54*100</f>
        <v>100</v>
      </c>
      <c r="L54" s="46">
        <f>H54/J54*100</f>
        <v>0</v>
      </c>
      <c r="M54" s="46">
        <f>I54/J54*100</f>
        <v>0</v>
      </c>
      <c r="N54" s="67">
        <f t="shared" si="12"/>
        <v>100</v>
      </c>
      <c r="O54" s="45">
        <v>56</v>
      </c>
      <c r="P54" s="46"/>
      <c r="Q54" s="46"/>
      <c r="R54" s="47">
        <f>SUM(O54:Q54)</f>
        <v>56</v>
      </c>
      <c r="S54" s="28">
        <v>2</v>
      </c>
      <c r="T54" s="284"/>
      <c r="U54" s="293"/>
      <c r="V54" s="37" t="s">
        <v>1132</v>
      </c>
      <c r="W54" s="28" t="s">
        <v>78</v>
      </c>
      <c r="X54" s="28" t="s">
        <v>11</v>
      </c>
      <c r="Y54" s="38">
        <v>22</v>
      </c>
      <c r="Z54" s="28" t="s">
        <v>404</v>
      </c>
      <c r="AA54" s="28" t="s">
        <v>75</v>
      </c>
      <c r="AB54" s="28" t="s">
        <v>11</v>
      </c>
      <c r="AC54" s="28">
        <v>20</v>
      </c>
      <c r="AD54" s="37" t="s">
        <v>1133</v>
      </c>
      <c r="AE54" s="28" t="s">
        <v>1134</v>
      </c>
      <c r="AF54" s="28" t="s">
        <v>11</v>
      </c>
      <c r="AG54" s="38">
        <v>14</v>
      </c>
      <c r="AL54" s="37"/>
      <c r="AO54" s="38"/>
      <c r="AP54" s="37"/>
      <c r="AS54" s="38"/>
      <c r="AW54" s="38"/>
      <c r="BA54" s="39"/>
    </row>
    <row r="55" spans="1:53" s="170" customFormat="1" x14ac:dyDescent="0.15">
      <c r="A55" s="170">
        <v>2014</v>
      </c>
      <c r="B55" s="304">
        <v>41661</v>
      </c>
      <c r="C55" s="395" t="s">
        <v>1289</v>
      </c>
      <c r="D55" s="395"/>
      <c r="E55" s="170">
        <v>169</v>
      </c>
      <c r="F55" s="170">
        <v>2</v>
      </c>
      <c r="G55" s="232">
        <v>11</v>
      </c>
      <c r="H55" s="170">
        <v>3</v>
      </c>
      <c r="J55" s="240">
        <v>14</v>
      </c>
      <c r="K55" s="213">
        <f>G55/J55*100</f>
        <v>78.571428571428569</v>
      </c>
      <c r="L55" s="213">
        <f>H55/J55*100</f>
        <v>21.428571428571427</v>
      </c>
      <c r="M55" s="213">
        <f>I55/J55*100</f>
        <v>0</v>
      </c>
      <c r="N55" s="234">
        <f t="shared" si="12"/>
        <v>100</v>
      </c>
      <c r="O55" s="212">
        <v>50</v>
      </c>
      <c r="P55" s="213">
        <v>13</v>
      </c>
      <c r="R55" s="214">
        <f>SUM(O55:P55)</f>
        <v>63</v>
      </c>
      <c r="S55" s="170">
        <v>2</v>
      </c>
      <c r="T55" s="283"/>
      <c r="U55" s="281"/>
      <c r="V55" s="177" t="s">
        <v>1132</v>
      </c>
      <c r="W55" s="170" t="s">
        <v>78</v>
      </c>
      <c r="X55" s="170" t="s">
        <v>11</v>
      </c>
      <c r="Y55" s="178">
        <v>16</v>
      </c>
      <c r="Z55" s="170" t="s">
        <v>404</v>
      </c>
      <c r="AA55" s="170" t="s">
        <v>75</v>
      </c>
      <c r="AB55" s="170" t="s">
        <v>11</v>
      </c>
      <c r="AC55" s="170">
        <v>20</v>
      </c>
      <c r="AD55" s="177" t="s">
        <v>1133</v>
      </c>
      <c r="AE55" s="170" t="s">
        <v>1134</v>
      </c>
      <c r="AF55" s="170" t="s">
        <v>11</v>
      </c>
      <c r="AG55" s="178">
        <v>14</v>
      </c>
      <c r="AH55" s="170" t="s">
        <v>1034</v>
      </c>
      <c r="AI55" s="170" t="s">
        <v>932</v>
      </c>
      <c r="AJ55" s="170" t="s">
        <v>18</v>
      </c>
      <c r="AK55" s="170">
        <v>13</v>
      </c>
      <c r="AL55" s="177"/>
      <c r="AO55" s="178"/>
      <c r="AP55" s="177"/>
      <c r="AS55" s="178"/>
      <c r="AW55" s="178"/>
      <c r="BA55" s="179"/>
    </row>
    <row r="56" spans="1:53" s="170" customFormat="1" x14ac:dyDescent="0.15">
      <c r="A56" s="170">
        <v>2014</v>
      </c>
      <c r="B56" s="303">
        <v>41830</v>
      </c>
      <c r="C56" s="395" t="s">
        <v>1289</v>
      </c>
      <c r="D56" s="395"/>
      <c r="E56" s="170">
        <v>118</v>
      </c>
      <c r="F56" s="243">
        <v>0</v>
      </c>
      <c r="G56" s="232">
        <v>10</v>
      </c>
      <c r="H56" s="170">
        <v>3</v>
      </c>
      <c r="J56" s="240">
        <v>13</v>
      </c>
      <c r="K56" s="213">
        <f>G56/J56*100</f>
        <v>76.923076923076934</v>
      </c>
      <c r="L56" s="213">
        <f>H56/J56*100</f>
        <v>23.076923076923077</v>
      </c>
      <c r="M56" s="213">
        <f>I56/J56*100</f>
        <v>0</v>
      </c>
      <c r="N56" s="234">
        <f t="shared" si="12"/>
        <v>100.00000000000001</v>
      </c>
      <c r="O56" s="212">
        <v>50</v>
      </c>
      <c r="P56" s="213">
        <v>13</v>
      </c>
      <c r="R56" s="214">
        <f>SUM(O56:P56)</f>
        <v>63</v>
      </c>
      <c r="S56" s="170">
        <v>2</v>
      </c>
      <c r="T56" s="283"/>
      <c r="U56" s="281"/>
      <c r="V56" s="177" t="s">
        <v>1132</v>
      </c>
      <c r="W56" s="170" t="s">
        <v>78</v>
      </c>
      <c r="X56" s="170" t="s">
        <v>11</v>
      </c>
      <c r="Y56" s="178">
        <v>16</v>
      </c>
      <c r="Z56" s="170" t="s">
        <v>404</v>
      </c>
      <c r="AA56" s="170" t="s">
        <v>75</v>
      </c>
      <c r="AB56" s="170" t="s">
        <v>11</v>
      </c>
      <c r="AC56" s="170">
        <v>20</v>
      </c>
      <c r="AD56" s="177" t="s">
        <v>1133</v>
      </c>
      <c r="AE56" s="170" t="s">
        <v>1134</v>
      </c>
      <c r="AF56" s="170" t="s">
        <v>11</v>
      </c>
      <c r="AG56" s="178">
        <v>14</v>
      </c>
      <c r="AH56" s="170" t="s">
        <v>1034</v>
      </c>
      <c r="AI56" s="170" t="s">
        <v>932</v>
      </c>
      <c r="AJ56" s="170" t="s">
        <v>18</v>
      </c>
      <c r="AK56" s="170">
        <v>13</v>
      </c>
      <c r="AL56" s="177"/>
      <c r="AO56" s="178"/>
      <c r="AP56" s="177"/>
      <c r="AS56" s="178"/>
      <c r="AW56" s="178"/>
      <c r="BA56" s="179"/>
    </row>
    <row r="57" spans="1:53" s="28" customFormat="1" x14ac:dyDescent="0.15">
      <c r="A57" s="28">
        <v>2014</v>
      </c>
      <c r="B57" s="275">
        <v>41948</v>
      </c>
      <c r="C57" s="394" t="s">
        <v>1290</v>
      </c>
      <c r="D57" s="394"/>
      <c r="E57" s="28">
        <v>57</v>
      </c>
      <c r="F57" s="28">
        <v>1</v>
      </c>
      <c r="G57" s="65">
        <v>9</v>
      </c>
      <c r="H57" s="28">
        <v>5</v>
      </c>
      <c r="J57" s="72">
        <v>14</v>
      </c>
      <c r="K57" s="46">
        <f>G57/J57*100</f>
        <v>64.285714285714292</v>
      </c>
      <c r="L57" s="46">
        <f>H57/J57*100</f>
        <v>35.714285714285715</v>
      </c>
      <c r="M57" s="46">
        <f>I57/J57*100</f>
        <v>0</v>
      </c>
      <c r="N57" s="67">
        <f t="shared" si="12"/>
        <v>100</v>
      </c>
      <c r="O57" s="45">
        <v>40</v>
      </c>
      <c r="P57" s="46">
        <v>21</v>
      </c>
      <c r="R57" s="47">
        <f>SUM(O57:P57)</f>
        <v>61</v>
      </c>
      <c r="S57" s="28">
        <v>2</v>
      </c>
      <c r="T57" s="284">
        <v>41915</v>
      </c>
      <c r="U57" s="293">
        <v>41948</v>
      </c>
      <c r="V57" s="37" t="s">
        <v>404</v>
      </c>
      <c r="W57" s="28" t="s">
        <v>75</v>
      </c>
      <c r="X57" s="28" t="s">
        <v>11</v>
      </c>
      <c r="Y57" s="38">
        <v>23</v>
      </c>
      <c r="Z57" s="37" t="s">
        <v>1133</v>
      </c>
      <c r="AA57" s="28" t="s">
        <v>1134</v>
      </c>
      <c r="AB57" s="28" t="s">
        <v>11</v>
      </c>
      <c r="AC57" s="28">
        <v>17</v>
      </c>
      <c r="AD57" s="37" t="s">
        <v>1034</v>
      </c>
      <c r="AE57" s="28" t="s">
        <v>932</v>
      </c>
      <c r="AF57" s="28" t="s">
        <v>18</v>
      </c>
      <c r="AG57" s="38">
        <v>21</v>
      </c>
      <c r="AL57" s="37"/>
      <c r="AO57" s="38"/>
      <c r="AP57" s="37"/>
      <c r="AS57" s="38"/>
      <c r="AW57" s="38"/>
      <c r="BA57" s="39"/>
    </row>
    <row r="58" spans="1:53" s="28" customFormat="1" x14ac:dyDescent="0.15">
      <c r="A58" s="28">
        <v>2015</v>
      </c>
      <c r="B58" s="275"/>
      <c r="C58" s="394" t="s">
        <v>1290</v>
      </c>
      <c r="D58" s="394"/>
      <c r="E58" s="28">
        <v>307</v>
      </c>
      <c r="G58" s="65">
        <v>9</v>
      </c>
      <c r="H58" s="28">
        <v>5</v>
      </c>
      <c r="J58" s="72">
        <v>14</v>
      </c>
      <c r="K58" s="46">
        <f t="shared" ref="K58:K59" si="13">G58/J58*100</f>
        <v>64.285714285714292</v>
      </c>
      <c r="L58" s="46">
        <f t="shared" ref="L58:L59" si="14">H58/J58*100</f>
        <v>35.714285714285715</v>
      </c>
      <c r="M58" s="46">
        <f t="shared" ref="M58:M59" si="15">I58/J58*100</f>
        <v>0</v>
      </c>
      <c r="N58" s="67">
        <f t="shared" ref="N58:N59" si="16">SUM(K58:M58)</f>
        <v>100</v>
      </c>
      <c r="O58" s="45">
        <v>40</v>
      </c>
      <c r="P58" s="46">
        <v>21</v>
      </c>
      <c r="R58" s="47">
        <f t="shared" ref="R58:R59" si="17">SUM(O58:P58)</f>
        <v>61</v>
      </c>
      <c r="S58" s="28">
        <v>2</v>
      </c>
      <c r="T58" s="284"/>
      <c r="U58" s="293"/>
      <c r="V58" s="37" t="s">
        <v>404</v>
      </c>
      <c r="W58" s="28" t="s">
        <v>75</v>
      </c>
      <c r="X58" s="28" t="s">
        <v>11</v>
      </c>
      <c r="Y58" s="38">
        <v>23</v>
      </c>
      <c r="Z58" s="37" t="s">
        <v>1133</v>
      </c>
      <c r="AA58" s="28" t="s">
        <v>1134</v>
      </c>
      <c r="AB58" s="28" t="s">
        <v>11</v>
      </c>
      <c r="AC58" s="28">
        <v>17</v>
      </c>
      <c r="AD58" s="37" t="s">
        <v>1034</v>
      </c>
      <c r="AE58" s="28" t="s">
        <v>932</v>
      </c>
      <c r="AF58" s="28" t="s">
        <v>18</v>
      </c>
      <c r="AG58" s="38">
        <v>21</v>
      </c>
      <c r="AL58" s="37"/>
      <c r="AO58" s="38"/>
      <c r="AP58" s="37"/>
      <c r="AS58" s="38"/>
      <c r="AW58" s="38"/>
      <c r="BA58" s="39"/>
    </row>
    <row r="59" spans="1:53" s="28" customFormat="1" x14ac:dyDescent="0.15">
      <c r="A59" s="28">
        <v>2015</v>
      </c>
      <c r="B59" s="301">
        <v>42312</v>
      </c>
      <c r="C59" s="394" t="s">
        <v>1290</v>
      </c>
      <c r="D59" s="394"/>
      <c r="E59" s="28">
        <v>58</v>
      </c>
      <c r="F59" s="83">
        <v>0</v>
      </c>
      <c r="G59" s="65">
        <v>8</v>
      </c>
      <c r="H59" s="28">
        <v>5</v>
      </c>
      <c r="J59" s="72">
        <v>13</v>
      </c>
      <c r="K59" s="46">
        <f t="shared" si="13"/>
        <v>61.53846153846154</v>
      </c>
      <c r="L59" s="46">
        <f t="shared" si="14"/>
        <v>38.461538461538467</v>
      </c>
      <c r="M59" s="46">
        <f t="shared" si="15"/>
        <v>0</v>
      </c>
      <c r="N59" s="67">
        <f t="shared" si="16"/>
        <v>100</v>
      </c>
      <c r="O59" s="45">
        <v>40</v>
      </c>
      <c r="P59" s="46">
        <v>21</v>
      </c>
      <c r="R59" s="47">
        <f t="shared" si="17"/>
        <v>61</v>
      </c>
      <c r="S59" s="28">
        <v>2</v>
      </c>
      <c r="T59" s="284"/>
      <c r="U59" s="293"/>
      <c r="V59" s="37" t="s">
        <v>404</v>
      </c>
      <c r="W59" s="28" t="s">
        <v>75</v>
      </c>
      <c r="X59" s="28" t="s">
        <v>11</v>
      </c>
      <c r="Y59" s="38">
        <v>23</v>
      </c>
      <c r="Z59" s="37" t="s">
        <v>1133</v>
      </c>
      <c r="AA59" s="28" t="s">
        <v>1134</v>
      </c>
      <c r="AB59" s="28" t="s">
        <v>11</v>
      </c>
      <c r="AC59" s="28">
        <v>17</v>
      </c>
      <c r="AD59" s="37" t="s">
        <v>1034</v>
      </c>
      <c r="AE59" s="28" t="s">
        <v>932</v>
      </c>
      <c r="AF59" s="28" t="s">
        <v>18</v>
      </c>
      <c r="AG59" s="38">
        <v>21</v>
      </c>
      <c r="AL59" s="37"/>
      <c r="AO59" s="38"/>
      <c r="AP59" s="37"/>
      <c r="AS59" s="38"/>
      <c r="AW59" s="38"/>
      <c r="BA59" s="39"/>
    </row>
    <row r="60" spans="1:53" s="28" customFormat="1" x14ac:dyDescent="0.15">
      <c r="A60" s="28">
        <v>2016</v>
      </c>
      <c r="B60" s="301"/>
      <c r="C60" s="394" t="s">
        <v>1290</v>
      </c>
      <c r="D60" s="394"/>
      <c r="E60" s="28">
        <v>41</v>
      </c>
      <c r="F60" s="83"/>
      <c r="G60" s="65">
        <v>8</v>
      </c>
      <c r="H60" s="28">
        <v>5</v>
      </c>
      <c r="J60" s="72">
        <v>13</v>
      </c>
      <c r="K60" s="46">
        <f t="shared" ref="K60:K63" si="18">G60/J60*100</f>
        <v>61.53846153846154</v>
      </c>
      <c r="L60" s="46">
        <f t="shared" ref="L60:L63" si="19">H60/J60*100</f>
        <v>38.461538461538467</v>
      </c>
      <c r="M60" s="46">
        <f t="shared" ref="M60:M63" si="20">I60/J60*100</f>
        <v>0</v>
      </c>
      <c r="N60" s="67">
        <f t="shared" ref="N60:N63" si="21">SUM(K60:M60)</f>
        <v>100</v>
      </c>
      <c r="O60" s="45">
        <v>40</v>
      </c>
      <c r="P60" s="46">
        <v>21</v>
      </c>
      <c r="R60" s="47">
        <f t="shared" ref="R60:R61" si="22">SUM(O60:P60)</f>
        <v>61</v>
      </c>
      <c r="S60" s="28">
        <v>2</v>
      </c>
      <c r="T60" s="284"/>
      <c r="U60" s="293"/>
      <c r="V60" s="37" t="s">
        <v>404</v>
      </c>
      <c r="W60" s="28" t="s">
        <v>75</v>
      </c>
      <c r="X60" s="28" t="s">
        <v>11</v>
      </c>
      <c r="Y60" s="38">
        <v>23</v>
      </c>
      <c r="Z60" s="37" t="s">
        <v>1133</v>
      </c>
      <c r="AA60" s="28" t="s">
        <v>1134</v>
      </c>
      <c r="AB60" s="28" t="s">
        <v>11</v>
      </c>
      <c r="AC60" s="28">
        <v>17</v>
      </c>
      <c r="AD60" s="37" t="s">
        <v>1034</v>
      </c>
      <c r="AE60" s="28" t="s">
        <v>932</v>
      </c>
      <c r="AF60" s="28" t="s">
        <v>18</v>
      </c>
      <c r="AG60" s="38">
        <v>21</v>
      </c>
      <c r="AL60" s="37"/>
      <c r="AO60" s="38"/>
      <c r="AP60" s="37"/>
      <c r="AS60" s="38"/>
      <c r="AW60" s="38"/>
      <c r="BA60" s="39"/>
    </row>
    <row r="61" spans="1:53" s="170" customFormat="1" x14ac:dyDescent="0.15">
      <c r="A61" s="170">
        <v>2016</v>
      </c>
      <c r="B61" s="281">
        <v>42411</v>
      </c>
      <c r="C61" s="395" t="s">
        <v>1343</v>
      </c>
      <c r="D61" s="395"/>
      <c r="E61" s="170">
        <v>325</v>
      </c>
      <c r="F61" s="190">
        <v>2</v>
      </c>
      <c r="G61" s="232">
        <v>8</v>
      </c>
      <c r="H61" s="170">
        <v>6</v>
      </c>
      <c r="J61" s="240">
        <v>14</v>
      </c>
      <c r="K61" s="213">
        <f t="shared" si="18"/>
        <v>57.142857142857139</v>
      </c>
      <c r="L61" s="213">
        <f t="shared" si="19"/>
        <v>42.857142857142854</v>
      </c>
      <c r="M61" s="213">
        <f t="shared" si="20"/>
        <v>0</v>
      </c>
      <c r="N61" s="234">
        <f t="shared" si="21"/>
        <v>100</v>
      </c>
      <c r="O61" s="212">
        <v>40</v>
      </c>
      <c r="P61" s="213">
        <v>21</v>
      </c>
      <c r="R61" s="214">
        <f t="shared" si="22"/>
        <v>61</v>
      </c>
      <c r="S61" s="170">
        <v>2</v>
      </c>
      <c r="T61" s="283"/>
      <c r="U61" s="281">
        <v>42411</v>
      </c>
      <c r="V61" s="177" t="s">
        <v>404</v>
      </c>
      <c r="W61" s="170" t="s">
        <v>75</v>
      </c>
      <c r="X61" s="170" t="s">
        <v>11</v>
      </c>
      <c r="Y61" s="178">
        <v>23</v>
      </c>
      <c r="Z61" s="177" t="s">
        <v>1133</v>
      </c>
      <c r="AA61" s="170" t="s">
        <v>1134</v>
      </c>
      <c r="AB61" s="170" t="s">
        <v>11</v>
      </c>
      <c r="AC61" s="170">
        <v>17</v>
      </c>
      <c r="AD61" s="177" t="s">
        <v>1034</v>
      </c>
      <c r="AE61" s="170" t="s">
        <v>932</v>
      </c>
      <c r="AF61" s="170" t="s">
        <v>18</v>
      </c>
      <c r="AG61" s="178">
        <v>21</v>
      </c>
      <c r="AL61" s="177"/>
      <c r="AO61" s="178"/>
      <c r="AP61" s="177"/>
      <c r="AS61" s="178"/>
      <c r="AW61" s="178"/>
      <c r="BA61" s="179"/>
    </row>
    <row r="62" spans="1:53" s="170" customFormat="1" x14ac:dyDescent="0.15">
      <c r="A62" s="170">
        <v>2017</v>
      </c>
      <c r="B62" s="281"/>
      <c r="C62" s="395" t="s">
        <v>1343</v>
      </c>
      <c r="D62" s="395"/>
      <c r="E62" s="170">
        <v>355</v>
      </c>
      <c r="F62" s="190"/>
      <c r="G62" s="232">
        <v>8</v>
      </c>
      <c r="H62" s="170">
        <v>6</v>
      </c>
      <c r="J62" s="240">
        <v>14</v>
      </c>
      <c r="K62" s="213">
        <f t="shared" si="18"/>
        <v>57.142857142857139</v>
      </c>
      <c r="L62" s="213">
        <f t="shared" si="19"/>
        <v>42.857142857142854</v>
      </c>
      <c r="M62" s="213">
        <f t="shared" si="20"/>
        <v>0</v>
      </c>
      <c r="N62" s="234">
        <f t="shared" si="21"/>
        <v>100</v>
      </c>
      <c r="O62" s="212">
        <v>40</v>
      </c>
      <c r="P62" s="213">
        <v>21</v>
      </c>
      <c r="R62" s="214">
        <f t="shared" ref="R62:R63" si="23">SUM(O62:P62)</f>
        <v>61</v>
      </c>
      <c r="S62" s="170">
        <v>2</v>
      </c>
      <c r="T62" s="283"/>
      <c r="U62" s="281"/>
      <c r="V62" s="177" t="s">
        <v>404</v>
      </c>
      <c r="W62" s="170" t="s">
        <v>75</v>
      </c>
      <c r="X62" s="170" t="s">
        <v>11</v>
      </c>
      <c r="Y62" s="178">
        <v>23</v>
      </c>
      <c r="Z62" s="177" t="s">
        <v>1133</v>
      </c>
      <c r="AA62" s="170" t="s">
        <v>1134</v>
      </c>
      <c r="AB62" s="170" t="s">
        <v>11</v>
      </c>
      <c r="AC62" s="170">
        <v>17</v>
      </c>
      <c r="AD62" s="177" t="s">
        <v>1034</v>
      </c>
      <c r="AE62" s="170" t="s">
        <v>932</v>
      </c>
      <c r="AF62" s="170" t="s">
        <v>18</v>
      </c>
      <c r="AG62" s="178">
        <v>21</v>
      </c>
      <c r="AL62" s="177"/>
      <c r="AO62" s="178"/>
      <c r="AP62" s="177"/>
      <c r="AS62" s="178"/>
      <c r="AW62" s="178"/>
      <c r="BA62" s="179"/>
    </row>
    <row r="63" spans="1:53" s="170" customFormat="1" x14ac:dyDescent="0.15">
      <c r="A63" s="170">
        <v>2017</v>
      </c>
      <c r="B63" s="299">
        <v>43091</v>
      </c>
      <c r="C63" s="395" t="s">
        <v>1343</v>
      </c>
      <c r="D63" s="395"/>
      <c r="E63" s="170">
        <v>10</v>
      </c>
      <c r="F63" s="191">
        <v>0</v>
      </c>
      <c r="G63" s="232">
        <v>8</v>
      </c>
      <c r="H63" s="170">
        <v>5</v>
      </c>
      <c r="J63" s="240">
        <v>13</v>
      </c>
      <c r="K63" s="213">
        <f t="shared" si="18"/>
        <v>61.53846153846154</v>
      </c>
      <c r="L63" s="213">
        <f t="shared" si="19"/>
        <v>38.461538461538467</v>
      </c>
      <c r="M63" s="213">
        <f t="shared" si="20"/>
        <v>0</v>
      </c>
      <c r="N63" s="234">
        <f t="shared" si="21"/>
        <v>100</v>
      </c>
      <c r="O63" s="212">
        <v>40</v>
      </c>
      <c r="P63" s="213">
        <v>21</v>
      </c>
      <c r="R63" s="214">
        <f t="shared" si="23"/>
        <v>61</v>
      </c>
      <c r="S63" s="170">
        <v>2</v>
      </c>
      <c r="T63" s="283"/>
      <c r="U63" s="281"/>
      <c r="V63" s="177" t="s">
        <v>404</v>
      </c>
      <c r="W63" s="170" t="s">
        <v>75</v>
      </c>
      <c r="X63" s="170" t="s">
        <v>11</v>
      </c>
      <c r="Y63" s="178">
        <v>23</v>
      </c>
      <c r="Z63" s="177" t="s">
        <v>1133</v>
      </c>
      <c r="AA63" s="170" t="s">
        <v>1134</v>
      </c>
      <c r="AB63" s="170" t="s">
        <v>11</v>
      </c>
      <c r="AC63" s="170">
        <v>17</v>
      </c>
      <c r="AD63" s="177" t="s">
        <v>1034</v>
      </c>
      <c r="AE63" s="170" t="s">
        <v>932</v>
      </c>
      <c r="AF63" s="170" t="s">
        <v>18</v>
      </c>
      <c r="AG63" s="178">
        <v>21</v>
      </c>
      <c r="AL63" s="177"/>
      <c r="AO63" s="178"/>
      <c r="AP63" s="177"/>
      <c r="AS63" s="178"/>
      <c r="AW63" s="178"/>
      <c r="BA63" s="179"/>
    </row>
    <row r="64" spans="1:53" s="170" customFormat="1" x14ac:dyDescent="0.15">
      <c r="A64" s="170">
        <v>2018</v>
      </c>
      <c r="B64" s="299"/>
      <c r="C64" s="395" t="s">
        <v>1343</v>
      </c>
      <c r="D64" s="395"/>
      <c r="E64" s="170">
        <v>330</v>
      </c>
      <c r="F64" s="191"/>
      <c r="G64" s="232">
        <v>8</v>
      </c>
      <c r="H64" s="170">
        <v>5</v>
      </c>
      <c r="J64" s="240">
        <v>13</v>
      </c>
      <c r="K64" s="213">
        <f t="shared" ref="K64:K65" si="24">G64/J64*100</f>
        <v>61.53846153846154</v>
      </c>
      <c r="L64" s="213">
        <f t="shared" ref="L64:L65" si="25">H64/J64*100</f>
        <v>38.461538461538467</v>
      </c>
      <c r="M64" s="213">
        <f t="shared" ref="M64:M65" si="26">I64/J64*100</f>
        <v>0</v>
      </c>
      <c r="N64" s="234">
        <f t="shared" ref="N64:N65" si="27">SUM(K64:M64)</f>
        <v>100</v>
      </c>
      <c r="O64" s="212">
        <v>40</v>
      </c>
      <c r="P64" s="213">
        <v>21</v>
      </c>
      <c r="R64" s="214">
        <f t="shared" ref="R64" si="28">SUM(O64:P64)</f>
        <v>61</v>
      </c>
      <c r="S64" s="170">
        <v>2</v>
      </c>
      <c r="T64" s="283"/>
      <c r="U64" s="281"/>
      <c r="V64" s="177" t="s">
        <v>404</v>
      </c>
      <c r="W64" s="170" t="s">
        <v>75</v>
      </c>
      <c r="X64" s="170" t="s">
        <v>11</v>
      </c>
      <c r="Y64" s="178">
        <v>23</v>
      </c>
      <c r="Z64" s="177" t="s">
        <v>1133</v>
      </c>
      <c r="AA64" s="170" t="s">
        <v>1134</v>
      </c>
      <c r="AB64" s="170" t="s">
        <v>11</v>
      </c>
      <c r="AC64" s="170">
        <v>17</v>
      </c>
      <c r="AD64" s="177" t="s">
        <v>1034</v>
      </c>
      <c r="AE64" s="170" t="s">
        <v>932</v>
      </c>
      <c r="AF64" s="170" t="s">
        <v>18</v>
      </c>
      <c r="AG64" s="178">
        <v>21</v>
      </c>
      <c r="AK64" s="178"/>
      <c r="AO64" s="178"/>
      <c r="AP64" s="177"/>
      <c r="AS64" s="178"/>
      <c r="AW64" s="178"/>
      <c r="BA64" s="179"/>
    </row>
    <row r="65" spans="1:53" s="170" customFormat="1" x14ac:dyDescent="0.15">
      <c r="A65" s="170">
        <v>2018</v>
      </c>
      <c r="B65" s="299">
        <v>43431</v>
      </c>
      <c r="C65" s="395" t="s">
        <v>1343</v>
      </c>
      <c r="D65" s="395"/>
      <c r="E65" s="170">
        <v>35</v>
      </c>
      <c r="F65" s="191">
        <v>0</v>
      </c>
      <c r="G65" s="232">
        <v>7</v>
      </c>
      <c r="H65" s="170">
        <v>6</v>
      </c>
      <c r="J65" s="240">
        <v>13</v>
      </c>
      <c r="K65" s="213">
        <f t="shared" si="24"/>
        <v>53.846153846153847</v>
      </c>
      <c r="L65" s="213">
        <f t="shared" si="25"/>
        <v>46.153846153846153</v>
      </c>
      <c r="M65" s="213">
        <f t="shared" si="26"/>
        <v>0</v>
      </c>
      <c r="N65" s="234">
        <f t="shared" si="27"/>
        <v>100</v>
      </c>
      <c r="O65" s="212">
        <v>21</v>
      </c>
      <c r="P65" s="213">
        <v>11</v>
      </c>
      <c r="R65" s="214">
        <f t="shared" ref="R65" si="29">SUM(O65:P65)</f>
        <v>32</v>
      </c>
      <c r="S65" s="170">
        <v>5</v>
      </c>
      <c r="T65" s="283">
        <v>43379</v>
      </c>
      <c r="U65" s="281"/>
      <c r="V65" s="177" t="s">
        <v>404</v>
      </c>
      <c r="W65" s="170" t="s">
        <v>75</v>
      </c>
      <c r="X65" s="170" t="s">
        <v>11</v>
      </c>
      <c r="Y65" s="178">
        <v>8</v>
      </c>
      <c r="Z65" s="177" t="s">
        <v>1133</v>
      </c>
      <c r="AA65" s="170" t="s">
        <v>1134</v>
      </c>
      <c r="AB65" s="170" t="s">
        <v>11</v>
      </c>
      <c r="AC65" s="170">
        <v>13</v>
      </c>
      <c r="AD65" s="177" t="s">
        <v>1034</v>
      </c>
      <c r="AE65" s="170" t="s">
        <v>932</v>
      </c>
      <c r="AF65" s="170" t="s">
        <v>18</v>
      </c>
      <c r="AG65" s="178">
        <v>11</v>
      </c>
      <c r="AK65" s="178"/>
      <c r="AO65" s="178"/>
      <c r="AS65" s="178"/>
      <c r="AW65" s="178"/>
      <c r="BA65" s="179"/>
    </row>
    <row r="66" spans="1:53" s="170" customFormat="1" x14ac:dyDescent="0.15">
      <c r="A66" s="170">
        <v>2019</v>
      </c>
      <c r="B66" s="299"/>
      <c r="C66" s="395" t="s">
        <v>1343</v>
      </c>
      <c r="D66" s="395"/>
      <c r="E66" s="170">
        <v>23</v>
      </c>
      <c r="F66" s="235"/>
      <c r="G66" s="170">
        <v>7</v>
      </c>
      <c r="H66" s="170">
        <v>6</v>
      </c>
      <c r="J66" s="240">
        <v>13</v>
      </c>
      <c r="K66" s="213">
        <f t="shared" ref="K66:K74" si="30">G66/J66*100</f>
        <v>53.846153846153847</v>
      </c>
      <c r="L66" s="213">
        <f t="shared" ref="L66:L74" si="31">H66/J66*100</f>
        <v>46.153846153846153</v>
      </c>
      <c r="M66" s="213">
        <f t="shared" ref="M66:M74" si="32">I66/J66*100</f>
        <v>0</v>
      </c>
      <c r="N66" s="234">
        <f t="shared" ref="N66:N74" si="33">SUM(K66:M66)</f>
        <v>100</v>
      </c>
      <c r="O66" s="212">
        <v>21</v>
      </c>
      <c r="P66" s="213">
        <v>11</v>
      </c>
      <c r="R66" s="214">
        <f t="shared" ref="R66:R73" si="34">SUM(O66:P66)</f>
        <v>32</v>
      </c>
      <c r="S66" s="170">
        <v>5</v>
      </c>
      <c r="T66" s="283"/>
      <c r="U66" s="296"/>
      <c r="V66" s="177" t="s">
        <v>404</v>
      </c>
      <c r="W66" s="170" t="s">
        <v>75</v>
      </c>
      <c r="X66" s="170" t="s">
        <v>11</v>
      </c>
      <c r="Y66" s="178">
        <v>8</v>
      </c>
      <c r="Z66" s="177" t="s">
        <v>1133</v>
      </c>
      <c r="AA66" s="170" t="s">
        <v>1134</v>
      </c>
      <c r="AB66" s="170" t="s">
        <v>11</v>
      </c>
      <c r="AC66" s="170">
        <v>13</v>
      </c>
      <c r="AD66" s="177" t="s">
        <v>1034</v>
      </c>
      <c r="AE66" s="170" t="s">
        <v>932</v>
      </c>
      <c r="AF66" s="170" t="s">
        <v>18</v>
      </c>
      <c r="AG66" s="178">
        <v>11</v>
      </c>
      <c r="AK66" s="178"/>
      <c r="AO66" s="178"/>
      <c r="AS66" s="178"/>
      <c r="AW66" s="178"/>
      <c r="BA66" s="179"/>
    </row>
    <row r="67" spans="1:53" s="28" customFormat="1" x14ac:dyDescent="0.15">
      <c r="A67" s="28">
        <v>2019</v>
      </c>
      <c r="B67" s="275">
        <v>43488</v>
      </c>
      <c r="C67" s="394" t="s">
        <v>1417</v>
      </c>
      <c r="D67" s="394"/>
      <c r="E67" s="28">
        <v>342</v>
      </c>
      <c r="F67" s="39">
        <v>1</v>
      </c>
      <c r="G67" s="28">
        <v>11</v>
      </c>
      <c r="H67" s="28">
        <v>3</v>
      </c>
      <c r="J67" s="72">
        <v>14</v>
      </c>
      <c r="K67" s="46">
        <f t="shared" si="30"/>
        <v>78.571428571428569</v>
      </c>
      <c r="L67" s="46">
        <f t="shared" si="31"/>
        <v>21.428571428571427</v>
      </c>
      <c r="M67" s="46">
        <f t="shared" si="32"/>
        <v>0</v>
      </c>
      <c r="N67" s="47">
        <f t="shared" si="33"/>
        <v>100</v>
      </c>
      <c r="O67" s="46">
        <v>53</v>
      </c>
      <c r="P67" s="46">
        <v>13</v>
      </c>
      <c r="R67" s="47">
        <f t="shared" si="34"/>
        <v>66</v>
      </c>
      <c r="S67" s="36">
        <v>3</v>
      </c>
      <c r="T67" s="284"/>
      <c r="U67" s="290">
        <v>43488</v>
      </c>
      <c r="V67" s="28" t="s">
        <v>404</v>
      </c>
      <c r="W67" s="28" t="s">
        <v>75</v>
      </c>
      <c r="X67" s="28" t="s">
        <v>11</v>
      </c>
      <c r="Y67" s="38">
        <v>8</v>
      </c>
      <c r="Z67" s="37" t="s">
        <v>1133</v>
      </c>
      <c r="AA67" s="28" t="s">
        <v>1134</v>
      </c>
      <c r="AB67" s="28" t="s">
        <v>11</v>
      </c>
      <c r="AC67" s="28">
        <v>13</v>
      </c>
      <c r="AD67" s="37" t="s">
        <v>1418</v>
      </c>
      <c r="AE67" s="28" t="s">
        <v>1433</v>
      </c>
      <c r="AF67" s="28" t="s">
        <v>11</v>
      </c>
      <c r="AG67" s="38">
        <v>16</v>
      </c>
      <c r="AH67" s="28" t="s">
        <v>1419</v>
      </c>
      <c r="AI67" s="28" t="s">
        <v>1420</v>
      </c>
      <c r="AJ67" s="28" t="s">
        <v>11</v>
      </c>
      <c r="AK67" s="38">
        <v>16</v>
      </c>
      <c r="AL67" s="28" t="s">
        <v>1421</v>
      </c>
      <c r="AM67" s="28" t="s">
        <v>99</v>
      </c>
      <c r="AN67" s="28" t="s">
        <v>18</v>
      </c>
      <c r="AO67" s="38">
        <v>13</v>
      </c>
      <c r="AS67" s="38"/>
      <c r="AW67" s="38"/>
      <c r="BA67" s="39"/>
    </row>
    <row r="68" spans="1:53" s="28" customFormat="1" x14ac:dyDescent="0.15">
      <c r="A68" s="28">
        <v>2020</v>
      </c>
      <c r="B68" s="275"/>
      <c r="C68" s="394" t="s">
        <v>1417</v>
      </c>
      <c r="D68" s="394"/>
      <c r="E68" s="28">
        <v>0</v>
      </c>
      <c r="F68" s="39"/>
      <c r="G68" s="28">
        <v>11</v>
      </c>
      <c r="H68" s="28">
        <v>3</v>
      </c>
      <c r="J68" s="72">
        <v>14</v>
      </c>
      <c r="K68" s="46">
        <f t="shared" si="30"/>
        <v>78.571428571428569</v>
      </c>
      <c r="L68" s="46">
        <f t="shared" si="31"/>
        <v>21.428571428571427</v>
      </c>
      <c r="M68" s="46">
        <f t="shared" si="32"/>
        <v>0</v>
      </c>
      <c r="N68" s="47">
        <f t="shared" si="33"/>
        <v>100</v>
      </c>
      <c r="O68" s="46">
        <v>53</v>
      </c>
      <c r="P68" s="46">
        <v>13</v>
      </c>
      <c r="R68" s="47">
        <f t="shared" si="34"/>
        <v>66</v>
      </c>
      <c r="S68" s="36">
        <v>3</v>
      </c>
      <c r="T68" s="284"/>
      <c r="U68" s="290"/>
      <c r="V68" s="28" t="s">
        <v>404</v>
      </c>
      <c r="W68" s="28" t="s">
        <v>75</v>
      </c>
      <c r="X68" s="28" t="s">
        <v>11</v>
      </c>
      <c r="Y68" s="38">
        <v>8</v>
      </c>
      <c r="Z68" s="28" t="s">
        <v>1133</v>
      </c>
      <c r="AA68" s="28" t="s">
        <v>1134</v>
      </c>
      <c r="AB68" s="28" t="s">
        <v>11</v>
      </c>
      <c r="AC68" s="38">
        <v>13</v>
      </c>
      <c r="AD68" s="28" t="s">
        <v>1418</v>
      </c>
      <c r="AE68" s="28" t="s">
        <v>1433</v>
      </c>
      <c r="AF68" s="28" t="s">
        <v>11</v>
      </c>
      <c r="AG68" s="38">
        <v>16</v>
      </c>
      <c r="AH68" s="28" t="s">
        <v>1419</v>
      </c>
      <c r="AI68" s="28" t="s">
        <v>1420</v>
      </c>
      <c r="AJ68" s="28" t="s">
        <v>11</v>
      </c>
      <c r="AK68" s="38">
        <v>16</v>
      </c>
      <c r="AL68" s="28" t="s">
        <v>1421</v>
      </c>
      <c r="AM68" s="28" t="s">
        <v>99</v>
      </c>
      <c r="AN68" s="28" t="s">
        <v>18</v>
      </c>
      <c r="AO68" s="38">
        <v>13</v>
      </c>
      <c r="AS68" s="38"/>
      <c r="AW68" s="38"/>
      <c r="BA68" s="39"/>
    </row>
    <row r="69" spans="1:53" s="28" customFormat="1" x14ac:dyDescent="0.15">
      <c r="A69" s="28">
        <v>2020</v>
      </c>
      <c r="B69" s="275"/>
      <c r="C69" s="394" t="s">
        <v>1417</v>
      </c>
      <c r="D69" s="394"/>
      <c r="E69" s="28">
        <v>366</v>
      </c>
      <c r="F69" s="39"/>
      <c r="G69" s="28">
        <v>11</v>
      </c>
      <c r="H69" s="28">
        <v>3</v>
      </c>
      <c r="J69" s="72">
        <v>14</v>
      </c>
      <c r="K69" s="46">
        <f t="shared" si="30"/>
        <v>78.571428571428569</v>
      </c>
      <c r="L69" s="46">
        <f t="shared" si="31"/>
        <v>21.428571428571427</v>
      </c>
      <c r="M69" s="46">
        <f t="shared" si="32"/>
        <v>0</v>
      </c>
      <c r="N69" s="47">
        <f t="shared" si="33"/>
        <v>100</v>
      </c>
      <c r="O69" s="46">
        <v>53</v>
      </c>
      <c r="P69" s="46">
        <v>13</v>
      </c>
      <c r="R69" s="47">
        <f t="shared" si="34"/>
        <v>66</v>
      </c>
      <c r="S69" s="36">
        <v>3</v>
      </c>
      <c r="T69" s="284"/>
      <c r="U69" s="290"/>
      <c r="V69" s="28" t="s">
        <v>404</v>
      </c>
      <c r="W69" s="28" t="s">
        <v>75</v>
      </c>
      <c r="X69" s="28" t="s">
        <v>11</v>
      </c>
      <c r="Y69" s="38">
        <v>8</v>
      </c>
      <c r="Z69" s="28" t="s">
        <v>1133</v>
      </c>
      <c r="AA69" s="28" t="s">
        <v>1134</v>
      </c>
      <c r="AB69" s="28" t="s">
        <v>11</v>
      </c>
      <c r="AC69" s="38">
        <v>13</v>
      </c>
      <c r="AD69" s="28" t="s">
        <v>1418</v>
      </c>
      <c r="AE69" s="28" t="s">
        <v>1433</v>
      </c>
      <c r="AF69" s="28" t="s">
        <v>11</v>
      </c>
      <c r="AG69" s="38">
        <v>16</v>
      </c>
      <c r="AH69" s="28" t="s">
        <v>1419</v>
      </c>
      <c r="AI69" s="28" t="s">
        <v>1420</v>
      </c>
      <c r="AJ69" s="28" t="s">
        <v>11</v>
      </c>
      <c r="AK69" s="38">
        <v>16</v>
      </c>
      <c r="AL69" s="28" t="s">
        <v>1421</v>
      </c>
      <c r="AM69" s="28" t="s">
        <v>99</v>
      </c>
      <c r="AN69" s="28" t="s">
        <v>18</v>
      </c>
      <c r="AO69" s="38">
        <v>13</v>
      </c>
      <c r="AS69" s="38"/>
      <c r="AW69" s="38"/>
      <c r="BA69" s="39"/>
    </row>
    <row r="70" spans="1:53" s="28" customFormat="1" x14ac:dyDescent="0.15">
      <c r="A70" s="28">
        <v>2021</v>
      </c>
      <c r="B70" s="275"/>
      <c r="C70" s="394" t="s">
        <v>1417</v>
      </c>
      <c r="D70" s="394"/>
      <c r="E70" s="28">
        <v>132</v>
      </c>
      <c r="F70" s="39"/>
      <c r="G70" s="28">
        <v>11</v>
      </c>
      <c r="H70" s="28">
        <v>3</v>
      </c>
      <c r="J70" s="72">
        <v>14</v>
      </c>
      <c r="K70" s="46">
        <f t="shared" si="30"/>
        <v>78.571428571428569</v>
      </c>
      <c r="L70" s="46">
        <f t="shared" si="31"/>
        <v>21.428571428571427</v>
      </c>
      <c r="M70" s="46">
        <f t="shared" si="32"/>
        <v>0</v>
      </c>
      <c r="N70" s="47">
        <f t="shared" si="33"/>
        <v>100</v>
      </c>
      <c r="O70" s="46">
        <v>53</v>
      </c>
      <c r="P70" s="46">
        <v>13</v>
      </c>
      <c r="R70" s="47">
        <f t="shared" si="34"/>
        <v>66</v>
      </c>
      <c r="S70" s="36">
        <v>3</v>
      </c>
      <c r="T70" s="284"/>
      <c r="U70" s="290"/>
      <c r="V70" s="28" t="s">
        <v>404</v>
      </c>
      <c r="W70" s="28" t="s">
        <v>75</v>
      </c>
      <c r="X70" s="28" t="s">
        <v>11</v>
      </c>
      <c r="Y70" s="38">
        <v>8</v>
      </c>
      <c r="Z70" s="28" t="s">
        <v>1133</v>
      </c>
      <c r="AA70" s="28" t="s">
        <v>1134</v>
      </c>
      <c r="AB70" s="28" t="s">
        <v>11</v>
      </c>
      <c r="AC70" s="38">
        <v>13</v>
      </c>
      <c r="AD70" s="28" t="s">
        <v>1418</v>
      </c>
      <c r="AE70" s="28" t="s">
        <v>1433</v>
      </c>
      <c r="AF70" s="28" t="s">
        <v>11</v>
      </c>
      <c r="AG70" s="38">
        <v>16</v>
      </c>
      <c r="AH70" s="28" t="s">
        <v>1419</v>
      </c>
      <c r="AI70" s="28" t="s">
        <v>1420</v>
      </c>
      <c r="AJ70" s="28" t="s">
        <v>11</v>
      </c>
      <c r="AK70" s="38">
        <v>16</v>
      </c>
      <c r="AL70" s="28" t="s">
        <v>1421</v>
      </c>
      <c r="AM70" s="28" t="s">
        <v>99</v>
      </c>
      <c r="AN70" s="28" t="s">
        <v>18</v>
      </c>
      <c r="AO70" s="38">
        <v>13</v>
      </c>
      <c r="AS70" s="38"/>
      <c r="AW70" s="38"/>
      <c r="BA70" s="39"/>
    </row>
    <row r="71" spans="1:53" s="28" customFormat="1" x14ac:dyDescent="0.15">
      <c r="A71" s="28">
        <v>2021</v>
      </c>
      <c r="B71" s="301">
        <v>44328</v>
      </c>
      <c r="C71" s="394" t="s">
        <v>1417</v>
      </c>
      <c r="D71" s="394"/>
      <c r="E71" s="28">
        <v>22</v>
      </c>
      <c r="F71" s="340">
        <v>0</v>
      </c>
      <c r="G71" s="28">
        <v>10</v>
      </c>
      <c r="H71" s="28">
        <v>3</v>
      </c>
      <c r="J71" s="72">
        <v>13</v>
      </c>
      <c r="K71" s="46">
        <f t="shared" si="30"/>
        <v>76.923076923076934</v>
      </c>
      <c r="L71" s="46">
        <f t="shared" si="31"/>
        <v>23.076923076923077</v>
      </c>
      <c r="M71" s="46">
        <f t="shared" si="32"/>
        <v>0</v>
      </c>
      <c r="N71" s="47">
        <f t="shared" si="33"/>
        <v>100.00000000000001</v>
      </c>
      <c r="O71" s="46">
        <v>53</v>
      </c>
      <c r="P71" s="46">
        <v>13</v>
      </c>
      <c r="R71" s="47">
        <f t="shared" si="34"/>
        <v>66</v>
      </c>
      <c r="S71" s="36">
        <v>3</v>
      </c>
      <c r="T71" s="284"/>
      <c r="U71" s="290"/>
      <c r="V71" s="28" t="s">
        <v>404</v>
      </c>
      <c r="W71" s="28" t="s">
        <v>75</v>
      </c>
      <c r="X71" s="28" t="s">
        <v>11</v>
      </c>
      <c r="Y71" s="38">
        <v>8</v>
      </c>
      <c r="Z71" s="28" t="s">
        <v>1133</v>
      </c>
      <c r="AA71" s="28" t="s">
        <v>1134</v>
      </c>
      <c r="AB71" s="28" t="s">
        <v>11</v>
      </c>
      <c r="AC71" s="38">
        <v>13</v>
      </c>
      <c r="AD71" s="28" t="s">
        <v>1418</v>
      </c>
      <c r="AE71" s="28" t="s">
        <v>1433</v>
      </c>
      <c r="AF71" s="28" t="s">
        <v>11</v>
      </c>
      <c r="AG71" s="38">
        <v>16</v>
      </c>
      <c r="AH71" s="28" t="s">
        <v>1419</v>
      </c>
      <c r="AI71" s="28" t="s">
        <v>1420</v>
      </c>
      <c r="AJ71" s="28" t="s">
        <v>11</v>
      </c>
      <c r="AK71" s="38">
        <v>16</v>
      </c>
      <c r="AL71" s="28" t="s">
        <v>1421</v>
      </c>
      <c r="AM71" s="28" t="s">
        <v>99</v>
      </c>
      <c r="AN71" s="28" t="s">
        <v>18</v>
      </c>
      <c r="AO71" s="38">
        <v>13</v>
      </c>
      <c r="AS71" s="38"/>
      <c r="AW71" s="38"/>
      <c r="BA71" s="39"/>
    </row>
    <row r="72" spans="1:53" s="170" customFormat="1" x14ac:dyDescent="0.15">
      <c r="A72" s="170">
        <v>2021</v>
      </c>
      <c r="B72" s="281">
        <v>44350</v>
      </c>
      <c r="C72" s="395" t="s">
        <v>1511</v>
      </c>
      <c r="D72" s="395"/>
      <c r="E72" s="170">
        <v>211</v>
      </c>
      <c r="F72" s="179">
        <v>4</v>
      </c>
      <c r="G72" s="170">
        <v>10</v>
      </c>
      <c r="H72" s="170">
        <v>4</v>
      </c>
      <c r="J72" s="240">
        <v>14</v>
      </c>
      <c r="K72" s="213">
        <f t="shared" si="30"/>
        <v>71.428571428571431</v>
      </c>
      <c r="L72" s="213">
        <f t="shared" si="31"/>
        <v>28.571428571428569</v>
      </c>
      <c r="M72" s="213">
        <f t="shared" si="32"/>
        <v>0</v>
      </c>
      <c r="N72" s="234">
        <f t="shared" si="33"/>
        <v>100</v>
      </c>
      <c r="O72" s="212">
        <v>35</v>
      </c>
      <c r="P72" s="213">
        <v>12</v>
      </c>
      <c r="R72" s="214">
        <f t="shared" si="34"/>
        <v>47</v>
      </c>
      <c r="S72" s="170">
        <v>5</v>
      </c>
      <c r="T72" s="283"/>
      <c r="U72" s="296"/>
      <c r="V72" s="177" t="s">
        <v>404</v>
      </c>
      <c r="W72" s="170" t="s">
        <v>75</v>
      </c>
      <c r="X72" s="170" t="s">
        <v>11</v>
      </c>
      <c r="Y72" s="178">
        <v>8</v>
      </c>
      <c r="Z72" s="177" t="s">
        <v>1133</v>
      </c>
      <c r="AA72" s="170" t="s">
        <v>1134</v>
      </c>
      <c r="AB72" s="170" t="s">
        <v>11</v>
      </c>
      <c r="AC72" s="170">
        <v>13</v>
      </c>
      <c r="AD72" s="177" t="s">
        <v>1419</v>
      </c>
      <c r="AE72" s="170" t="s">
        <v>1420</v>
      </c>
      <c r="AF72" s="170" t="s">
        <v>11</v>
      </c>
      <c r="AG72" s="178">
        <v>16</v>
      </c>
      <c r="AH72" s="170" t="s">
        <v>1421</v>
      </c>
      <c r="AI72" s="170" t="s">
        <v>99</v>
      </c>
      <c r="AJ72" s="170" t="s">
        <v>18</v>
      </c>
      <c r="AK72" s="178">
        <v>13</v>
      </c>
      <c r="AO72" s="178"/>
      <c r="AS72" s="178"/>
      <c r="AW72" s="178"/>
      <c r="BA72" s="179"/>
    </row>
    <row r="73" spans="1:53" s="170" customFormat="1" x14ac:dyDescent="0.15">
      <c r="A73" s="170">
        <v>2022</v>
      </c>
      <c r="B73" s="281"/>
      <c r="C73" s="395" t="s">
        <v>1511</v>
      </c>
      <c r="D73" s="395"/>
      <c r="E73" s="170">
        <v>347</v>
      </c>
      <c r="F73" s="179"/>
      <c r="G73" s="170">
        <v>10</v>
      </c>
      <c r="H73" s="170">
        <v>4</v>
      </c>
      <c r="J73" s="240">
        <v>14</v>
      </c>
      <c r="K73" s="213">
        <f t="shared" si="30"/>
        <v>71.428571428571431</v>
      </c>
      <c r="L73" s="213">
        <f t="shared" si="31"/>
        <v>28.571428571428569</v>
      </c>
      <c r="M73" s="213">
        <f t="shared" si="32"/>
        <v>0</v>
      </c>
      <c r="N73" s="234">
        <f t="shared" si="33"/>
        <v>100</v>
      </c>
      <c r="O73" s="212">
        <v>35</v>
      </c>
      <c r="P73" s="213">
        <v>12</v>
      </c>
      <c r="R73" s="214">
        <f t="shared" si="34"/>
        <v>47</v>
      </c>
      <c r="S73" s="170">
        <v>5</v>
      </c>
      <c r="T73" s="283"/>
      <c r="U73" s="296"/>
      <c r="V73" s="177" t="s">
        <v>404</v>
      </c>
      <c r="W73" s="170" t="s">
        <v>75</v>
      </c>
      <c r="X73" s="170" t="s">
        <v>11</v>
      </c>
      <c r="Y73" s="178">
        <v>8</v>
      </c>
      <c r="Z73" s="177" t="s">
        <v>1133</v>
      </c>
      <c r="AA73" s="170" t="s">
        <v>1134</v>
      </c>
      <c r="AB73" s="170" t="s">
        <v>11</v>
      </c>
      <c r="AC73" s="170">
        <v>13</v>
      </c>
      <c r="AD73" s="177" t="s">
        <v>1419</v>
      </c>
      <c r="AE73" s="170" t="s">
        <v>1420</v>
      </c>
      <c r="AF73" s="170" t="s">
        <v>11</v>
      </c>
      <c r="AG73" s="178">
        <v>16</v>
      </c>
      <c r="AH73" s="170" t="s">
        <v>1421</v>
      </c>
      <c r="AI73" s="170" t="s">
        <v>99</v>
      </c>
      <c r="AJ73" s="170" t="s">
        <v>18</v>
      </c>
      <c r="AK73" s="178">
        <v>13</v>
      </c>
      <c r="AO73" s="178"/>
      <c r="AS73" s="178"/>
      <c r="AW73" s="178"/>
      <c r="BA73" s="179"/>
    </row>
    <row r="74" spans="1:53" s="28" customFormat="1" x14ac:dyDescent="0.15">
      <c r="A74" s="28">
        <v>2022</v>
      </c>
      <c r="B74" s="293">
        <v>44909</v>
      </c>
      <c r="C74" s="394" t="s">
        <v>1524</v>
      </c>
      <c r="D74" s="394"/>
      <c r="E74" s="28">
        <v>18</v>
      </c>
      <c r="F74" s="39">
        <v>1</v>
      </c>
      <c r="G74" s="28">
        <v>11</v>
      </c>
      <c r="H74" s="28">
        <v>4</v>
      </c>
      <c r="J74" s="72">
        <v>15</v>
      </c>
      <c r="K74" s="46">
        <f t="shared" si="30"/>
        <v>73.333333333333329</v>
      </c>
      <c r="L74" s="46">
        <f t="shared" si="31"/>
        <v>26.666666666666668</v>
      </c>
      <c r="M74" s="46">
        <f t="shared" si="32"/>
        <v>0</v>
      </c>
      <c r="N74" s="47">
        <f t="shared" si="33"/>
        <v>100</v>
      </c>
      <c r="O74" s="46">
        <v>39</v>
      </c>
      <c r="P74" s="46">
        <v>15</v>
      </c>
      <c r="R74" s="47">
        <v>54</v>
      </c>
      <c r="S74" s="36">
        <v>2</v>
      </c>
      <c r="T74" s="284">
        <v>44835</v>
      </c>
      <c r="U74" s="293">
        <v>44909</v>
      </c>
      <c r="V74" s="28" t="s">
        <v>404</v>
      </c>
      <c r="W74" s="28" t="s">
        <v>1525</v>
      </c>
      <c r="X74" s="28" t="s">
        <v>11</v>
      </c>
      <c r="Y74" s="38">
        <v>26</v>
      </c>
      <c r="Z74" s="28" t="s">
        <v>1133</v>
      </c>
      <c r="AA74" s="28" t="s">
        <v>1134</v>
      </c>
      <c r="AB74" s="28" t="s">
        <v>11</v>
      </c>
      <c r="AC74" s="38">
        <v>13</v>
      </c>
      <c r="AD74" s="28" t="s">
        <v>1526</v>
      </c>
      <c r="AE74" s="28" t="s">
        <v>1542</v>
      </c>
      <c r="AF74" s="28" t="s">
        <v>18</v>
      </c>
      <c r="AG74" s="38">
        <v>15</v>
      </c>
      <c r="AK74" s="38"/>
      <c r="AO74" s="38"/>
      <c r="AS74" s="38"/>
      <c r="AW74" s="38"/>
      <c r="BA74" s="39"/>
    </row>
    <row r="76" spans="1:53" ht="18" customHeight="1" x14ac:dyDescent="0.15">
      <c r="B76" s="15" t="s">
        <v>1262</v>
      </c>
    </row>
    <row r="77" spans="1:53" ht="9" customHeight="1" x14ac:dyDescent="0.15"/>
    <row r="78" spans="1:53" s="194" customFormat="1" ht="9" customHeight="1" x14ac:dyDescent="0.15">
      <c r="A78" s="192"/>
      <c r="B78" s="193" t="s">
        <v>1213</v>
      </c>
      <c r="C78" s="193"/>
      <c r="D78" s="193"/>
      <c r="E78" s="193"/>
      <c r="F78" s="193"/>
      <c r="G78" s="193" t="s">
        <v>1214</v>
      </c>
      <c r="H78" s="193"/>
      <c r="I78" s="193"/>
      <c r="J78" s="193"/>
      <c r="K78" s="193"/>
      <c r="L78" s="193"/>
      <c r="M78" s="193"/>
      <c r="N78" s="193"/>
      <c r="R78" s="386" t="s">
        <v>1215</v>
      </c>
      <c r="S78" s="386"/>
      <c r="T78" s="386"/>
      <c r="U78" s="386"/>
      <c r="V78" s="386"/>
      <c r="W78" s="386"/>
      <c r="X78" s="195"/>
      <c r="Y78" s="195"/>
      <c r="AA78" s="195"/>
      <c r="AB78" s="195"/>
      <c r="AC78" s="195"/>
      <c r="AD78" s="195"/>
    </row>
    <row r="79" spans="1:53" s="199" customFormat="1" ht="9" customHeight="1" x14ac:dyDescent="0.15">
      <c r="A79" s="196"/>
      <c r="B79" s="197" t="s">
        <v>1217</v>
      </c>
      <c r="C79" s="198"/>
      <c r="D79" s="198"/>
      <c r="E79" s="198"/>
      <c r="F79" s="198"/>
      <c r="G79" s="197" t="s">
        <v>1216</v>
      </c>
      <c r="H79" s="198"/>
      <c r="I79" s="198"/>
      <c r="J79" s="198"/>
      <c r="K79" s="198"/>
      <c r="L79" s="198"/>
      <c r="M79" s="198"/>
      <c r="N79" s="198"/>
      <c r="R79" s="200" t="s">
        <v>1218</v>
      </c>
      <c r="S79" s="201"/>
      <c r="T79" s="202"/>
      <c r="U79" s="202"/>
      <c r="V79" s="202"/>
      <c r="W79" s="200" t="s">
        <v>1219</v>
      </c>
      <c r="X79" s="202"/>
      <c r="Y79" s="202"/>
      <c r="AA79" s="202"/>
      <c r="AB79" s="202"/>
      <c r="AC79" s="202"/>
      <c r="AD79" s="202"/>
    </row>
    <row r="80" spans="1:53" s="185" customFormat="1" ht="12" customHeight="1" x14ac:dyDescent="0.15">
      <c r="A80" s="203" t="s">
        <v>3</v>
      </c>
      <c r="B80" s="204" t="s">
        <v>8</v>
      </c>
      <c r="C80" s="204" t="s">
        <v>9</v>
      </c>
      <c r="D80" s="204" t="s">
        <v>10</v>
      </c>
      <c r="E80" s="205" t="s">
        <v>1193</v>
      </c>
      <c r="F80" s="204"/>
      <c r="G80" s="185" t="s">
        <v>3</v>
      </c>
      <c r="H80" s="387" t="s">
        <v>0</v>
      </c>
      <c r="I80" s="387"/>
      <c r="J80" s="387" t="s">
        <v>1</v>
      </c>
      <c r="K80" s="387"/>
      <c r="L80" s="387" t="s">
        <v>2</v>
      </c>
      <c r="M80" s="387"/>
      <c r="N80" s="388" t="s">
        <v>1193</v>
      </c>
      <c r="O80" s="388"/>
      <c r="P80" s="206"/>
      <c r="Q80" s="206"/>
      <c r="R80" s="207" t="s">
        <v>3</v>
      </c>
      <c r="S80" s="208" t="s">
        <v>135</v>
      </c>
      <c r="T80" s="206" t="s">
        <v>133</v>
      </c>
      <c r="U80" s="204" t="s">
        <v>134</v>
      </c>
      <c r="V80" s="206"/>
      <c r="W80" s="209" t="s">
        <v>26</v>
      </c>
    </row>
    <row r="81" spans="1:25" x14ac:dyDescent="0.15">
      <c r="A81" s="1">
        <v>1990</v>
      </c>
      <c r="C81" s="5"/>
      <c r="D81" s="5"/>
      <c r="E81" s="17"/>
      <c r="G81" s="1">
        <v>1990</v>
      </c>
      <c r="H81" s="365"/>
      <c r="I81" s="365"/>
      <c r="J81" s="365"/>
      <c r="K81" s="365"/>
      <c r="L81" s="365"/>
      <c r="M81" s="365"/>
      <c r="N81" s="363"/>
      <c r="O81" s="363"/>
      <c r="R81" s="1">
        <v>1990</v>
      </c>
    </row>
    <row r="82" spans="1:25" x14ac:dyDescent="0.15">
      <c r="A82" s="1">
        <v>1991</v>
      </c>
      <c r="C82" s="5"/>
      <c r="D82" s="5"/>
      <c r="E82" s="17"/>
      <c r="G82" s="1">
        <v>1991</v>
      </c>
      <c r="H82" s="362"/>
      <c r="I82" s="362"/>
      <c r="J82" s="362"/>
      <c r="K82" s="362"/>
      <c r="L82" s="362"/>
      <c r="M82" s="362"/>
      <c r="N82" s="363"/>
      <c r="O82" s="363"/>
      <c r="R82" s="1">
        <v>1991</v>
      </c>
    </row>
    <row r="83" spans="1:25" x14ac:dyDescent="0.15">
      <c r="A83" s="1">
        <v>1992</v>
      </c>
      <c r="C83" s="5"/>
      <c r="D83" s="5"/>
      <c r="E83" s="17"/>
      <c r="G83" s="1">
        <v>1992</v>
      </c>
      <c r="H83" s="362"/>
      <c r="I83" s="362"/>
      <c r="J83" s="362"/>
      <c r="K83" s="362"/>
      <c r="L83" s="362"/>
      <c r="M83" s="362"/>
      <c r="N83" s="363"/>
      <c r="O83" s="363"/>
      <c r="R83" s="1">
        <v>1992</v>
      </c>
    </row>
    <row r="84" spans="1:25" x14ac:dyDescent="0.15">
      <c r="A84" s="1">
        <v>1993</v>
      </c>
      <c r="B84" s="5">
        <f>(K7*($E7/151))</f>
        <v>80</v>
      </c>
      <c r="C84" s="5">
        <f>(L7*($E7/151))</f>
        <v>0</v>
      </c>
      <c r="D84" s="5">
        <f>(M7*($E7/151))</f>
        <v>20</v>
      </c>
      <c r="E84" s="17">
        <f t="shared" ref="E84:E103" si="35">SUM(B84:D84)</f>
        <v>100</v>
      </c>
      <c r="G84" s="1">
        <v>1993</v>
      </c>
      <c r="H84" s="362">
        <f>(O7/$R7*100*($E7/151))</f>
        <v>75</v>
      </c>
      <c r="I84" s="362"/>
      <c r="J84" s="362">
        <f>(P7/$R7*100*($E7/151))</f>
        <v>0</v>
      </c>
      <c r="K84" s="362"/>
      <c r="L84" s="362">
        <f>(Q7/$R7*100*($E7/151))</f>
        <v>25</v>
      </c>
      <c r="M84" s="362"/>
      <c r="N84" s="363">
        <f t="shared" ref="N84:N99" si="36">SUM(H84:L84)</f>
        <v>100</v>
      </c>
      <c r="O84" s="363"/>
      <c r="R84" s="1">
        <v>1993</v>
      </c>
      <c r="S84" s="5">
        <f>(O7*($E7/151))</f>
        <v>36</v>
      </c>
      <c r="T84" s="5">
        <f>(P7*($E7/151))</f>
        <v>0</v>
      </c>
      <c r="U84" s="5">
        <f>(Q7*($E7/151))</f>
        <v>12</v>
      </c>
      <c r="W84" s="5">
        <f>SUM(S84:U84)</f>
        <v>48</v>
      </c>
      <c r="Y84" s="26" t="s">
        <v>1222</v>
      </c>
    </row>
    <row r="85" spans="1:25" x14ac:dyDescent="0.15">
      <c r="A85" s="1">
        <v>1994</v>
      </c>
      <c r="B85" s="5">
        <f>(K8*($E8/365))+(K9*($E9/365))</f>
        <v>75.350293542074368</v>
      </c>
      <c r="C85" s="5">
        <f>(L8*($E8/365))+(L9*($E9/365))</f>
        <v>0</v>
      </c>
      <c r="D85" s="5">
        <f>(M8*($E8/365))+(M9*($E9/365))</f>
        <v>16.195694716242659</v>
      </c>
      <c r="E85" s="17">
        <f t="shared" si="35"/>
        <v>91.545988258317024</v>
      </c>
      <c r="G85" s="1">
        <v>1994</v>
      </c>
      <c r="H85" s="362">
        <f>(O8/$R8*100*($E8/365))+(O9/$R9*100*($E9/365))</f>
        <v>82.397260273972606</v>
      </c>
      <c r="I85" s="362"/>
      <c r="J85" s="362">
        <f>(P8/$R8*100*($E8/365))+(P9/$R9*100*($E9/365))</f>
        <v>0</v>
      </c>
      <c r="K85" s="362"/>
      <c r="L85" s="362">
        <f>(Q8/$R8*100*($E8/365))+(Q9/$R9*100*($E9/365))</f>
        <v>17.602739726027398</v>
      </c>
      <c r="M85" s="362"/>
      <c r="N85" s="363">
        <f t="shared" si="36"/>
        <v>100</v>
      </c>
      <c r="O85" s="363"/>
      <c r="R85" s="1">
        <v>1994</v>
      </c>
      <c r="S85" s="5">
        <f>(O8*($E8/365))+(O9*($E9/365))</f>
        <v>36</v>
      </c>
      <c r="T85" s="5">
        <f>(P8*($E8/365))+(P9*($E9/365))</f>
        <v>0</v>
      </c>
      <c r="U85" s="5">
        <f>(Q8*($E8/365))+(Q9*($E9/365))</f>
        <v>8.4493150684931511</v>
      </c>
      <c r="W85" s="5">
        <f t="shared" ref="W85:W103" si="37">SUM(S85:U85)</f>
        <v>44.449315068493149</v>
      </c>
    </row>
    <row r="86" spans="1:25" x14ac:dyDescent="0.15">
      <c r="A86" s="1">
        <v>1995</v>
      </c>
      <c r="B86" s="5">
        <f>(K10*($E10/365))+(K11*($E11/365))</f>
        <v>64.043542074363998</v>
      </c>
      <c r="C86" s="5">
        <f>(L10*($E10/365))+(L11*($E11/365))</f>
        <v>0.18835616438356165</v>
      </c>
      <c r="D86" s="5">
        <f>(M10*($E10/365))+(M11*($E11/365))</f>
        <v>7.8693737769080228</v>
      </c>
      <c r="E86" s="17">
        <f t="shared" si="35"/>
        <v>72.101272015655582</v>
      </c>
      <c r="G86" s="1">
        <v>1995</v>
      </c>
      <c r="H86" s="362">
        <f>(O10/$R10*100*($E10/365))+(O11/$R11*100*($E11/365))</f>
        <v>98.596359542127985</v>
      </c>
      <c r="I86" s="362"/>
      <c r="J86" s="362">
        <f>(P10/$R10*100*($E10/365))+(P11/$R11*100*($E11/365))</f>
        <v>0.33026834302871083</v>
      </c>
      <c r="K86" s="362"/>
      <c r="L86" s="362">
        <f>(Q10/$R10*100*($E10/365))+(Q11/$R11*100*($E11/365))</f>
        <v>1.0733721148433102</v>
      </c>
      <c r="M86" s="362"/>
      <c r="N86" s="363">
        <f t="shared" si="36"/>
        <v>100</v>
      </c>
      <c r="O86" s="363"/>
      <c r="R86" s="1">
        <v>1995</v>
      </c>
      <c r="S86" s="5">
        <f>(O10*($E10/365))+(O11*($E11/365))</f>
        <v>36.090410958904108</v>
      </c>
      <c r="T86" s="5">
        <f>(P10*($E10/365))+(P11*($E11/365))</f>
        <v>0.24109589041095891</v>
      </c>
      <c r="U86" s="5">
        <f>(Q10*($E10/365))+(Q11*($E11/365))</f>
        <v>0.78356164383561644</v>
      </c>
      <c r="W86" s="5">
        <f t="shared" si="37"/>
        <v>37.115068493150687</v>
      </c>
    </row>
    <row r="87" spans="1:25" x14ac:dyDescent="0.15">
      <c r="A87" s="1">
        <v>1996</v>
      </c>
      <c r="B87" s="5">
        <f>(K12*($E12/366))+(K13*($E13/366))</f>
        <v>56.25</v>
      </c>
      <c r="C87" s="5">
        <f>(L12*($E12/366))+(L13*($E13/366))</f>
        <v>6.25</v>
      </c>
      <c r="D87" s="5">
        <f>(M12*($E12/366))+(M13*($E13/366))</f>
        <v>31.25</v>
      </c>
      <c r="E87" s="17">
        <f t="shared" si="35"/>
        <v>93.75</v>
      </c>
      <c r="G87" s="1">
        <v>1996</v>
      </c>
      <c r="H87" s="362">
        <f>(O12/$R12*100*($E12/366))+(O13/$R13*100*($E13/366))</f>
        <v>53.424657534246577</v>
      </c>
      <c r="I87" s="362"/>
      <c r="J87" s="362">
        <f>(P12/$R12*100*($E12/366))+(P13/$R13*100*($E13/366))</f>
        <v>10.95890410958904</v>
      </c>
      <c r="K87" s="362"/>
      <c r="L87" s="362">
        <f>(Q12/$R12*100*($E12/366))+(Q13/$R13*100*($E13/366))</f>
        <v>35.61643835616438</v>
      </c>
      <c r="M87" s="362"/>
      <c r="N87" s="363">
        <f t="shared" si="36"/>
        <v>100</v>
      </c>
      <c r="O87" s="363"/>
      <c r="R87" s="1">
        <v>1996</v>
      </c>
      <c r="S87" s="5">
        <f>(O12*($E12/366))+(O13*($E13/366))</f>
        <v>39</v>
      </c>
      <c r="T87" s="5">
        <f>(P12*($E12/366))+(P13*($E13/366))</f>
        <v>8</v>
      </c>
      <c r="U87" s="5">
        <f>(Q12*($E12/366))+(Q13*($E13/366))</f>
        <v>26</v>
      </c>
      <c r="W87" s="5">
        <f t="shared" si="37"/>
        <v>73</v>
      </c>
    </row>
    <row r="88" spans="1:25" x14ac:dyDescent="0.15">
      <c r="A88" s="1">
        <v>1997</v>
      </c>
      <c r="B88" s="5">
        <f>(K14*($E14/365))+(K15*($E15/365))+(K16*($E16/365))</f>
        <v>54.521449170872387</v>
      </c>
      <c r="C88" s="5">
        <f>(L14*($E14/365))+(L15*($E15/365))+(L16*($E16/365))</f>
        <v>14.413302090843548</v>
      </c>
      <c r="D88" s="5">
        <f>(M14*($E14/365))+(M15*($E15/365))+(M16*($E16/365))</f>
        <v>25.282083633741887</v>
      </c>
      <c r="E88" s="17">
        <f t="shared" si="35"/>
        <v>94.216834895457822</v>
      </c>
      <c r="G88" s="1">
        <v>1997</v>
      </c>
      <c r="H88" s="362">
        <f>(O14/$R14*100*($E14/365))+(O15/$R15*100*($E15/365))+(O16/$R16*100*($E16/365))</f>
        <v>59.225370613623575</v>
      </c>
      <c r="I88" s="362"/>
      <c r="J88" s="362">
        <f>(P14/$R14*100*($E14/365))+(P15/$R15*100*($E15/365))+(P16/$R16*100*($E16/365))</f>
        <v>12.148793972025349</v>
      </c>
      <c r="K88" s="362"/>
      <c r="L88" s="362">
        <f>(Q14/$R14*100*($E14/365))+(Q15/$R15*100*($E15/365))+(Q16/$R16*100*($E16/365))</f>
        <v>28.625835414351084</v>
      </c>
      <c r="M88" s="362"/>
      <c r="N88" s="363">
        <f t="shared" si="36"/>
        <v>100.00000000000001</v>
      </c>
      <c r="O88" s="363"/>
      <c r="R88" s="1">
        <v>1997</v>
      </c>
      <c r="S88" s="5">
        <f>(O14*($E14/365))+(O15*($E15/365))+(O16*($E16/365))</f>
        <v>39</v>
      </c>
      <c r="T88" s="5">
        <f>(P14*($E14/365))+(P15*($E15/365))+(P16*($E16/365))</f>
        <v>8</v>
      </c>
      <c r="U88" s="5">
        <f>(Q14*($E14/365))+(Q15*($E15/365))+(Q16*($E16/365))</f>
        <v>18.942465753424656</v>
      </c>
      <c r="W88" s="5">
        <f t="shared" si="37"/>
        <v>65.942465753424656</v>
      </c>
    </row>
    <row r="89" spans="1:25" x14ac:dyDescent="0.15">
      <c r="A89" s="1">
        <v>1998</v>
      </c>
      <c r="B89" s="5">
        <f>(K17*($E17/365))+(K18*($E18/365))+(K19*($E19/365))</f>
        <v>65.839831401475237</v>
      </c>
      <c r="C89" s="5">
        <f>(L17*($E17/365))+(L18*($E18/365))+(L19*($E19/365))</f>
        <v>25.252145115158818</v>
      </c>
      <c r="D89" s="5">
        <f>(M17*($E17/365))+(M18*($E18/365))+(M19*($E19/365))</f>
        <v>8.9080234833659482</v>
      </c>
      <c r="E89" s="17">
        <f t="shared" si="35"/>
        <v>100</v>
      </c>
      <c r="G89" s="1">
        <v>1998</v>
      </c>
      <c r="H89" s="362">
        <f>(O17/$R17*100*($E17/365))+(O18/$R18*100*($E18/365))+(O19/$R19*100*($E19/365))</f>
        <v>76.940571856839512</v>
      </c>
      <c r="I89" s="362"/>
      <c r="J89" s="362">
        <f>(P17/$R17*100*($E17/365))+(P18/$R18*100*($E18/365))+(P19/$R19*100*($E19/365))</f>
        <v>14.089814586462795</v>
      </c>
      <c r="K89" s="362"/>
      <c r="L89" s="362">
        <f>(Q17/$R17*100*($E17/365))+(Q18/$R18*100*($E18/365))+(Q19/$R19*100*($E19/365))</f>
        <v>8.9696135566977055</v>
      </c>
      <c r="M89" s="362"/>
      <c r="N89" s="363">
        <f t="shared" si="36"/>
        <v>100.00000000000001</v>
      </c>
      <c r="O89" s="363"/>
      <c r="R89" s="1">
        <v>1998</v>
      </c>
      <c r="S89" s="5">
        <f>(O17*($E17/365))+(O18*($E18/365))+(O19*($E19/365))</f>
        <v>39.197260273972603</v>
      </c>
      <c r="T89" s="5">
        <f>(P17*($E17/365))+(P18*($E18/365))+(P19*($E19/365))</f>
        <v>7.2109589041095896</v>
      </c>
      <c r="U89" s="5">
        <f>(Q17*($E17/365))+(Q18*($E18/365))+(Q19*($E19/365))</f>
        <v>5.5726027397260278</v>
      </c>
      <c r="W89" s="5">
        <f t="shared" si="37"/>
        <v>51.980821917808221</v>
      </c>
    </row>
    <row r="90" spans="1:25" x14ac:dyDescent="0.15">
      <c r="A90" s="1">
        <v>1999</v>
      </c>
      <c r="B90" s="5">
        <f>(K20*($E20/365))+(K21*($E21/365))+(K22*($E22/365))</f>
        <v>89.881278538812779</v>
      </c>
      <c r="C90" s="5">
        <f>(L20*($E20/365))+(L21*($E21/365))+(L22*($E22/365))</f>
        <v>0</v>
      </c>
      <c r="D90" s="5">
        <f>(M20*($E20/365))+(M21*($E21/365))+(M22*($E22/365))</f>
        <v>10.118721461187215</v>
      </c>
      <c r="E90" s="17">
        <f t="shared" si="35"/>
        <v>100</v>
      </c>
      <c r="G90" s="1">
        <v>1999</v>
      </c>
      <c r="H90" s="362">
        <f>(O20/$R20*100*($E20/365))+(O21/$R21*100*($E21/365))+(O22/$R22*100*($E22/365))</f>
        <v>82.98015096449538</v>
      </c>
      <c r="I90" s="362"/>
      <c r="J90" s="362">
        <f>(P20/$R20*100*($E20/365))+(P21/$R21*100*($E21/365))+(P22/$R22*100*($E22/365))</f>
        <v>0</v>
      </c>
      <c r="K90" s="362"/>
      <c r="L90" s="362">
        <f>(Q20/$R20*100*($E20/365))+(Q21/$R21*100*($E21/365))+(Q22/$R22*100*($E22/365))</f>
        <v>17.01984903550461</v>
      </c>
      <c r="M90" s="362"/>
      <c r="N90" s="363">
        <f t="shared" si="36"/>
        <v>99.999999999999986</v>
      </c>
      <c r="O90" s="363"/>
      <c r="R90" s="1">
        <v>1999</v>
      </c>
      <c r="S90" s="5">
        <f>(O20*($E20/365))+(O21*($E21/365))+(O22*($E22/365))</f>
        <v>50.723287671232875</v>
      </c>
      <c r="T90" s="5">
        <f>(P20*($E20/365))+(P21*($E21/365))+(P22*($E22/365))</f>
        <v>0</v>
      </c>
      <c r="U90" s="5">
        <f>(Q20*($E20/365))+(Q21*($E21/365))+(Q22*($E22/365))</f>
        <v>10.509589041095891</v>
      </c>
      <c r="W90" s="5">
        <f t="shared" si="37"/>
        <v>61.232876712328768</v>
      </c>
    </row>
    <row r="91" spans="1:25" x14ac:dyDescent="0.15">
      <c r="A91" s="1">
        <v>2000</v>
      </c>
      <c r="B91" s="5">
        <f>(K23*($E23/366))+(K24*($E24/366))</f>
        <v>91.183970856102007</v>
      </c>
      <c r="C91" s="5">
        <f>(L23*($E23/366))+(L24*($E24/366))</f>
        <v>0</v>
      </c>
      <c r="D91" s="5">
        <f>(M23*($E23/366))+(M24*($E24/366))</f>
        <v>8.8160291438979961</v>
      </c>
      <c r="E91" s="17">
        <f t="shared" si="35"/>
        <v>100</v>
      </c>
      <c r="G91" s="1">
        <v>2000</v>
      </c>
      <c r="H91" s="362">
        <f>(O23/$R23*100*($E23/366))+(O24/$R24*100*($E24/366))</f>
        <v>92.44340359094457</v>
      </c>
      <c r="I91" s="362"/>
      <c r="J91" s="362">
        <f>(P23/$R23*100*($E23/366))+(P24/$R24*100*($E24/366))</f>
        <v>0</v>
      </c>
      <c r="K91" s="362"/>
      <c r="L91" s="362">
        <f>(Q23/$R23*100*($E23/366))+(Q24/$R24*100*($E24/366))</f>
        <v>7.556596409055425</v>
      </c>
      <c r="M91" s="362"/>
      <c r="N91" s="363">
        <f t="shared" si="36"/>
        <v>100</v>
      </c>
      <c r="O91" s="363"/>
      <c r="R91" s="1">
        <v>2000</v>
      </c>
      <c r="S91" s="5">
        <f>(O23*($E23/366))+(O24*($E24/366))</f>
        <v>62</v>
      </c>
      <c r="T91" s="5">
        <f>(P23*($E23/366))+(P24*($E24/366))</f>
        <v>0</v>
      </c>
      <c r="U91" s="5">
        <f>(Q23*($E23/366))+(Q24*($E24/366))</f>
        <v>5.2896174863387975</v>
      </c>
      <c r="W91" s="5">
        <f t="shared" si="37"/>
        <v>67.289617486338798</v>
      </c>
    </row>
    <row r="92" spans="1:25" x14ac:dyDescent="0.15">
      <c r="A92" s="1">
        <v>2001</v>
      </c>
      <c r="B92" s="5">
        <f>(K25*($E25/365))+(K26*($E26/365))</f>
        <v>86.666666666666671</v>
      </c>
      <c r="C92" s="5">
        <f>(L25*($E25/365))+(L26*($E26/365))</f>
        <v>0</v>
      </c>
      <c r="D92" s="5">
        <f>(M25*($E25/365))+(M26*($E26/365))</f>
        <v>13.333333333333334</v>
      </c>
      <c r="E92" s="17">
        <f t="shared" si="35"/>
        <v>100</v>
      </c>
      <c r="G92" s="1">
        <v>2001</v>
      </c>
      <c r="H92" s="362">
        <f>(O25/$R25*100*($E25/365))+(O26/$R26*100*($E26/365))</f>
        <v>88.571428571428569</v>
      </c>
      <c r="I92" s="362"/>
      <c r="J92" s="362">
        <f>(P25/$R25*100*($E25/365))+(P26/$R26*100*($E26/365))</f>
        <v>0</v>
      </c>
      <c r="K92" s="362"/>
      <c r="L92" s="362">
        <f>(Q25/$R25*100*($E25/365))+(Q26/$R26*100*($E26/365))</f>
        <v>11.428571428571429</v>
      </c>
      <c r="M92" s="362"/>
      <c r="N92" s="363">
        <f t="shared" si="36"/>
        <v>100</v>
      </c>
      <c r="O92" s="363"/>
      <c r="R92" s="1">
        <v>2001</v>
      </c>
      <c r="S92" s="5">
        <f>(O25*($E25/365))+(O26*($E26/365))</f>
        <v>62</v>
      </c>
      <c r="T92" s="5">
        <f>(P25*($E25/365))+(P26*($E26/365))</f>
        <v>0</v>
      </c>
      <c r="U92" s="5">
        <f>(Q25*($E25/365))+(Q26*($E26/365))</f>
        <v>8</v>
      </c>
      <c r="W92" s="5">
        <f t="shared" si="37"/>
        <v>70</v>
      </c>
    </row>
    <row r="93" spans="1:25" x14ac:dyDescent="0.15">
      <c r="A93" s="1">
        <v>2002</v>
      </c>
      <c r="B93" s="5">
        <f>(K27*($E27/365))+(K28*($E28/365))</f>
        <v>82.675799086757991</v>
      </c>
      <c r="C93" s="5">
        <f>(L27*($E27/365))+(L28*($E28/365))</f>
        <v>6.0730593607305945</v>
      </c>
      <c r="D93" s="5">
        <f>(M27*($E27/365))+(M28*($E28/365))</f>
        <v>11.251141552511415</v>
      </c>
      <c r="E93" s="17">
        <f t="shared" si="35"/>
        <v>100</v>
      </c>
      <c r="G93" s="1">
        <v>2002</v>
      </c>
      <c r="H93" s="362">
        <f>(O27/$R27*100*($E27/365))+(O28/$R28*100*($E28/365))</f>
        <v>84.109589041095887</v>
      </c>
      <c r="I93" s="362"/>
      <c r="J93" s="362">
        <f>(P27/$R27*100*($E27/365))+(P28/$R28*100*($E28/365))</f>
        <v>6.2465753424657535</v>
      </c>
      <c r="K93" s="362"/>
      <c r="L93" s="362">
        <f>(Q27/$R27*100*($E27/365))+(Q28/$R28*100*($E28/365))</f>
        <v>9.6438356164383556</v>
      </c>
      <c r="M93" s="362"/>
      <c r="N93" s="363">
        <f t="shared" si="36"/>
        <v>99.999999999999986</v>
      </c>
      <c r="O93" s="363"/>
      <c r="R93" s="1">
        <v>2002</v>
      </c>
      <c r="S93" s="5">
        <f>(O27*($E27/365))+(O28*($E28/365))</f>
        <v>57.471232876712328</v>
      </c>
      <c r="T93" s="5">
        <f>(P27*($E27/365))+(P28*($E28/365))</f>
        <v>3.4356164383561643</v>
      </c>
      <c r="U93" s="5">
        <f>(Q27*($E27/365))+(Q28*($E28/365))</f>
        <v>6.7506849315068491</v>
      </c>
      <c r="W93" s="5">
        <f t="shared" si="37"/>
        <v>67.657534246575338</v>
      </c>
    </row>
    <row r="94" spans="1:25" x14ac:dyDescent="0.15">
      <c r="A94" s="1">
        <v>2003</v>
      </c>
      <c r="B94" s="5">
        <f>(K29*($E29/365))+(K30*($E30/365))</f>
        <v>61.111111111111114</v>
      </c>
      <c r="C94" s="5">
        <f>(L29*($E29/365))+(L30*($E30/365))</f>
        <v>38.888888888888893</v>
      </c>
      <c r="D94" s="5">
        <f>(M29*($E29/365))+(M30*($E30/365))</f>
        <v>0</v>
      </c>
      <c r="E94" s="17">
        <f t="shared" si="35"/>
        <v>100</v>
      </c>
      <c r="G94" s="1">
        <v>2003</v>
      </c>
      <c r="H94" s="362">
        <f>(O29/$R29*100*($E29/365))+(O30/$R30*100*($E30/365))</f>
        <v>60</v>
      </c>
      <c r="I94" s="362"/>
      <c r="J94" s="362">
        <f>(P29/$R29*100*($E29/365))+(P30/$R30*100*($E30/365))</f>
        <v>40</v>
      </c>
      <c r="K94" s="362"/>
      <c r="L94" s="362">
        <f>(Q29/$R29*100*($E29/365))+(Q30/$R30*100*($E30/365))</f>
        <v>0</v>
      </c>
      <c r="M94" s="362"/>
      <c r="N94" s="363">
        <f t="shared" si="36"/>
        <v>100</v>
      </c>
      <c r="O94" s="363"/>
      <c r="R94" s="1">
        <v>2003</v>
      </c>
      <c r="S94" s="5">
        <f>(O29*($E29/365))+(O30*($E30/365))</f>
        <v>33</v>
      </c>
      <c r="T94" s="5">
        <f>(P29*($E29/365))+(P30*($E30/365))</f>
        <v>22</v>
      </c>
      <c r="U94" s="5">
        <f>(Q29*($E29/365))+(Q30*($E30/365))</f>
        <v>0</v>
      </c>
      <c r="W94" s="5">
        <f t="shared" si="37"/>
        <v>55</v>
      </c>
    </row>
    <row r="95" spans="1:25" x14ac:dyDescent="0.15">
      <c r="A95" s="1">
        <v>2004</v>
      </c>
      <c r="B95" s="5">
        <f>(K31*($E31/366))+(K32*($E32/366))+(K33*($E33/366))</f>
        <v>37.158469945355193</v>
      </c>
      <c r="C95" s="5">
        <f>(L31*($E31/366))+(L32*($E32/366))+(L33*($E33/366))</f>
        <v>54.705525197328477</v>
      </c>
      <c r="D95" s="5">
        <f>(M31*($E31/366))+(M32*($E32/366))+(M33*($E33/366))</f>
        <v>0</v>
      </c>
      <c r="E95" s="17">
        <f t="shared" si="35"/>
        <v>91.863995142683677</v>
      </c>
      <c r="G95" s="1">
        <v>2004</v>
      </c>
      <c r="H95" s="362">
        <f>(O31/$R31*100*($E31/366))+(O32/$R32*100*($E32/366))+(O33/$R33*100*($E33/366))</f>
        <v>51.560974116422528</v>
      </c>
      <c r="I95" s="362"/>
      <c r="J95" s="362">
        <f>(P31/$R31*100*($E31/366))+(P32/$R32*100*($E32/366))+(P33/$R33*100*($E33/366))</f>
        <v>48.439025883577479</v>
      </c>
      <c r="K95" s="362"/>
      <c r="L95" s="362">
        <f>(Q31/$R31*100*($E31/366))+(Q32/$R32*100*($E32/366))+(Q33/$R33*100*($E33/366))</f>
        <v>0</v>
      </c>
      <c r="M95" s="362"/>
      <c r="N95" s="363">
        <f t="shared" si="36"/>
        <v>100</v>
      </c>
      <c r="O95" s="363"/>
      <c r="R95" s="1">
        <v>2004</v>
      </c>
      <c r="S95" s="5">
        <f>(O31*($E31/366))+(O32*($E32/366))+(O33*($E33/366))</f>
        <v>24.546448087431692</v>
      </c>
      <c r="T95" s="5">
        <f>(P31*($E31/366))+(P32*($E32/366))+(P33*($E33/366))</f>
        <v>22</v>
      </c>
      <c r="U95" s="5">
        <f>(Q31*($E31/366))+(Q32*($E32/366))+(Q33*($E33/366))</f>
        <v>0</v>
      </c>
      <c r="W95" s="5">
        <f t="shared" si="37"/>
        <v>46.546448087431692</v>
      </c>
    </row>
    <row r="96" spans="1:25" x14ac:dyDescent="0.15">
      <c r="A96" s="1">
        <v>2005</v>
      </c>
      <c r="B96" s="5">
        <f>(K34*($E34/365))+(K35*($E35/365))</f>
        <v>66.666666666666657</v>
      </c>
      <c r="C96" s="5">
        <f>(L34*($E34/365))+(L35*($E35/365))</f>
        <v>33.333333333333329</v>
      </c>
      <c r="D96" s="5">
        <f>(M34*($E34/365))+(M35*($E35/365))</f>
        <v>0</v>
      </c>
      <c r="E96" s="17">
        <f t="shared" si="35"/>
        <v>99.999999999999986</v>
      </c>
      <c r="G96" s="1">
        <v>2005</v>
      </c>
      <c r="H96" s="362">
        <f>(O34/$R34*100*($E34/365))+(O35/$R35*100*($E35/365))</f>
        <v>67.64705882352942</v>
      </c>
      <c r="I96" s="362"/>
      <c r="J96" s="362">
        <f>(P34/$R34*100*($E34/365))+(P35/$R35*100*($E35/365))</f>
        <v>32.352941176470587</v>
      </c>
      <c r="K96" s="362"/>
      <c r="L96" s="362">
        <f>(Q34/$R34*100*($E34/365))+(Q35/$R35*100*($E35/365))</f>
        <v>0</v>
      </c>
      <c r="M96" s="362"/>
      <c r="N96" s="363">
        <f t="shared" si="36"/>
        <v>100</v>
      </c>
      <c r="O96" s="363"/>
      <c r="R96" s="1">
        <v>2005</v>
      </c>
      <c r="S96" s="5">
        <f>(O34*($E34/365))+(O35*($E35/365))</f>
        <v>46</v>
      </c>
      <c r="T96" s="5">
        <f>(P34*($E34/365))+(P35*($E35/365))</f>
        <v>22</v>
      </c>
      <c r="U96" s="5">
        <f>(Q34*($E34/365))+(Q35*($E35/365))</f>
        <v>0</v>
      </c>
      <c r="W96" s="5">
        <f t="shared" si="37"/>
        <v>68</v>
      </c>
    </row>
    <row r="97" spans="1:23" x14ac:dyDescent="0.15">
      <c r="A97" s="1">
        <v>2006</v>
      </c>
      <c r="B97" s="5">
        <f>(K36*($E36/365))+(K37*($E37/365))+(K38*($E38/365))</f>
        <v>54.429223744292237</v>
      </c>
      <c r="C97" s="5">
        <f>(L36*($E36/365))+(L37*($E37/365))+(L38*($E38/365))</f>
        <v>45.570776255707763</v>
      </c>
      <c r="D97" s="5">
        <f>(M36*($E36/365))+(M37*($E37/365))+(M38*($E38/365))</f>
        <v>0</v>
      </c>
      <c r="E97" s="17">
        <f t="shared" si="35"/>
        <v>100</v>
      </c>
      <c r="G97" s="1">
        <v>2006</v>
      </c>
      <c r="H97" s="362">
        <f>(O36/$R36*100*($E36/365))+(O37/$R37*100*($E37/365))+(O38/$R38*100*($E38/365))</f>
        <v>53.683431115654997</v>
      </c>
      <c r="I97" s="362"/>
      <c r="J97" s="362">
        <f>(P36/$R36*100*($E36/365))+(P37/$R37*100*($E37/365))+(P38/$R38*100*($E38/365))</f>
        <v>46.31656888434501</v>
      </c>
      <c r="K97" s="362"/>
      <c r="L97" s="362">
        <f>(Q36/$R36*100*($E36/365))+(Q37/$R37*100*($E37/365))+(Q38/$R38*100*($E38/365))</f>
        <v>0</v>
      </c>
      <c r="M97" s="362"/>
      <c r="N97" s="363">
        <f t="shared" si="36"/>
        <v>100</v>
      </c>
      <c r="O97" s="363"/>
      <c r="R97" s="1">
        <v>2006</v>
      </c>
      <c r="S97" s="5">
        <f>(O36*($E36/365))+(O37*($E37/365))+(O38*($E38/365))</f>
        <v>28.567123287671233</v>
      </c>
      <c r="T97" s="5">
        <f>(P36*($E36/365))+(P37*($E37/365))+(P38*($E38/365))</f>
        <v>22.904109589041099</v>
      </c>
      <c r="U97" s="5">
        <f>(Q36*($E36/365))+(Q37*($E37/365))+(Q38*($E38/365))</f>
        <v>0</v>
      </c>
      <c r="W97" s="5">
        <f t="shared" si="37"/>
        <v>51.471232876712335</v>
      </c>
    </row>
    <row r="98" spans="1:23" x14ac:dyDescent="0.15">
      <c r="A98" s="1">
        <v>2007</v>
      </c>
      <c r="B98" s="5">
        <f>(K39*($E39/365))+(K40*($E40/365))</f>
        <v>50.086517664023077</v>
      </c>
      <c r="C98" s="5">
        <f>(L39*($E39/365))+(L40*($E40/365))</f>
        <v>49.91348233597693</v>
      </c>
      <c r="D98" s="5">
        <f>(M39*($E39/365))+(M40*($E40/365))</f>
        <v>0</v>
      </c>
      <c r="E98" s="17">
        <f t="shared" si="35"/>
        <v>100</v>
      </c>
      <c r="G98" s="1">
        <v>2007</v>
      </c>
      <c r="H98" s="362">
        <f>(O39/$R39*100*($E39/365))+(O40/$R40*100*($E40/365))</f>
        <v>52.542372881355938</v>
      </c>
      <c r="I98" s="362"/>
      <c r="J98" s="362">
        <f>(P39/$R39*100*($E39/365))+(P40/$R40*100*($E40/365))</f>
        <v>47.457627118644069</v>
      </c>
      <c r="K98" s="362"/>
      <c r="L98" s="362">
        <f>(Q39/$R39*100*($E39/365))+(Q40/$R40*100*($E40/365))</f>
        <v>0</v>
      </c>
      <c r="M98" s="362"/>
      <c r="N98" s="363">
        <f t="shared" si="36"/>
        <v>100</v>
      </c>
      <c r="O98" s="363"/>
      <c r="R98" s="1">
        <v>2007</v>
      </c>
      <c r="S98" s="5">
        <f>(O39*($E39/365))+(O40*($E40/365))</f>
        <v>31</v>
      </c>
      <c r="T98" s="5">
        <f>(P39*($E39/365))+(P40*($E40/365))</f>
        <v>28.000000000000004</v>
      </c>
      <c r="U98" s="5">
        <f>(Q39*($E39/365))+(Q40*($E40/365))</f>
        <v>0</v>
      </c>
      <c r="W98" s="5">
        <f t="shared" si="37"/>
        <v>59</v>
      </c>
    </row>
    <row r="99" spans="1:23" x14ac:dyDescent="0.15">
      <c r="A99" s="1">
        <v>2008</v>
      </c>
      <c r="B99" s="5">
        <f>(K41*($E41/366))+(K42*($E42/366))</f>
        <v>52.631578947368418</v>
      </c>
      <c r="C99" s="5">
        <f>(L41*($E41/366))+(L42*($E42/366))</f>
        <v>47.368421052631575</v>
      </c>
      <c r="D99" s="5">
        <f>(M41*($E41/366))+(M42*($E42/366))</f>
        <v>0</v>
      </c>
      <c r="E99" s="17">
        <f t="shared" si="35"/>
        <v>100</v>
      </c>
      <c r="G99" s="1">
        <v>2008</v>
      </c>
      <c r="H99" s="362">
        <f>(O41/$R41*100*($E41/366))+(O42/$R42*100*($E42/366))</f>
        <v>52.542372881355938</v>
      </c>
      <c r="I99" s="362"/>
      <c r="J99" s="362">
        <f>(P41/$R41*100*($E41/366))+(P42/$R42*100*($E42/366))</f>
        <v>47.457627118644069</v>
      </c>
      <c r="K99" s="362"/>
      <c r="L99" s="362">
        <f>(Q41/$R41*100*($E41/366))+(Q42/$R42*100*($E42/366))</f>
        <v>0</v>
      </c>
      <c r="M99" s="362"/>
      <c r="N99" s="363">
        <f t="shared" si="36"/>
        <v>100</v>
      </c>
      <c r="O99" s="363"/>
      <c r="R99" s="1">
        <v>2008</v>
      </c>
      <c r="S99" s="5">
        <f>(O41*($E41/366))+(O42*($E42/366))</f>
        <v>31</v>
      </c>
      <c r="T99" s="5">
        <f>(P41*($E41/366))+(P42*($E42/366))</f>
        <v>28</v>
      </c>
      <c r="U99" s="5">
        <f>(Q41*($E41/366))+(Q42*($E42/366))</f>
        <v>0</v>
      </c>
      <c r="W99" s="5">
        <f t="shared" si="37"/>
        <v>59</v>
      </c>
    </row>
    <row r="100" spans="1:23" x14ac:dyDescent="0.15">
      <c r="A100" s="1">
        <v>2009</v>
      </c>
      <c r="B100" s="5">
        <f>(K43*($E43/365))+(K44*($E44/365))</f>
        <v>69.363133862052379</v>
      </c>
      <c r="C100" s="5">
        <f>(L43*($E43/365))+(L44*($E44/365))</f>
        <v>30.636866137947607</v>
      </c>
      <c r="D100" s="5">
        <f>(M43*($E43/365))+(M44*($E44/365))</f>
        <v>0</v>
      </c>
      <c r="E100" s="17">
        <f t="shared" si="35"/>
        <v>99.999999999999986</v>
      </c>
      <c r="G100" s="1">
        <v>2009</v>
      </c>
      <c r="H100" s="362">
        <f>(O43/$R43*100*($E43/365))+(O44/$R44*100*($E44/365))</f>
        <v>69.18518621196317</v>
      </c>
      <c r="I100" s="362"/>
      <c r="J100" s="362">
        <f>(P43/$R43*100*($E43/365))+(P44/$R44*100*($E44/365))</f>
        <v>30.81481378803683</v>
      </c>
      <c r="K100" s="362"/>
      <c r="L100" s="362">
        <f>(Q43/$R43*100*($E43/365))+(Q44/$R44*100*($E44/365))</f>
        <v>0</v>
      </c>
      <c r="M100" s="362"/>
      <c r="N100" s="363">
        <f t="shared" ref="N100:N105" si="38">SUM(H100:L100)</f>
        <v>100</v>
      </c>
      <c r="O100" s="363"/>
      <c r="R100" s="1">
        <v>2009</v>
      </c>
      <c r="S100" s="5">
        <f>(O43*($E43/365))+(O44*($E44/365))</f>
        <v>45.547945205479451</v>
      </c>
      <c r="T100" s="5">
        <f>(P43*($E43/365))+(P44*($E44/365))</f>
        <v>19.917808219178085</v>
      </c>
      <c r="U100" s="5">
        <f>(Q43*($E43/365))+(Q44*($E44/365))</f>
        <v>0</v>
      </c>
      <c r="W100" s="5">
        <f t="shared" si="37"/>
        <v>65.465753424657535</v>
      </c>
    </row>
    <row r="101" spans="1:23" x14ac:dyDescent="0.15">
      <c r="A101" s="1">
        <v>2010</v>
      </c>
      <c r="B101" s="5">
        <f>(K45*($E45/365))+(K46*($E46/365))+(K47*($E47/365))</f>
        <v>58.397912589693419</v>
      </c>
      <c r="C101" s="5">
        <f>(L45*($E45/365))+(L46*($E46/365))+(L47*($E47/365))</f>
        <v>33.419439008480104</v>
      </c>
      <c r="D101" s="5">
        <f>(M45*($E45/365))+(M46*($E46/365))+(M47*($E47/365))</f>
        <v>0</v>
      </c>
      <c r="E101" s="17">
        <f t="shared" si="35"/>
        <v>91.817351598173531</v>
      </c>
      <c r="G101" s="1">
        <v>2010</v>
      </c>
      <c r="H101" s="362">
        <f>(O45/$R45*100*($E45/365))+(O46/$R46*100*($E46/365))+(O47/$R47*100*($E47/365))</f>
        <v>62.356833516105652</v>
      </c>
      <c r="I101" s="362"/>
      <c r="J101" s="362">
        <f>(P45/$R45*100*($E45/365))+(P46/$R46*100*($E46/365))+(P47/$R47*100*($E47/365))</f>
        <v>37.643166483894355</v>
      </c>
      <c r="K101" s="362"/>
      <c r="L101" s="362">
        <f>(Q45/$R45*100*($E45/365))+(Q46/$R46*100*($E46/365))+(Q47/$R47*100*($E47/365))</f>
        <v>0</v>
      </c>
      <c r="M101" s="362"/>
      <c r="N101" s="363">
        <f t="shared" si="38"/>
        <v>100</v>
      </c>
      <c r="O101" s="363"/>
      <c r="R101" s="1">
        <v>2010</v>
      </c>
      <c r="S101" s="5">
        <f>(O45*($E45/365))+(O46*($E46/365))+(O47*($E47/365))</f>
        <v>32.254794520547946</v>
      </c>
      <c r="T101" s="5">
        <f>(P45*($E45/365))+(P46*($E46/365))+(P47*($E47/365))</f>
        <v>18.657534246575342</v>
      </c>
      <c r="U101" s="5">
        <f>(Q45*($E45/365))+(Q46*($E46/365))+(Q47*($E47/365))</f>
        <v>0</v>
      </c>
      <c r="W101" s="5">
        <f t="shared" si="37"/>
        <v>50.912328767123284</v>
      </c>
    </row>
    <row r="102" spans="1:23" x14ac:dyDescent="0.15">
      <c r="A102" s="1">
        <v>2011</v>
      </c>
      <c r="B102" s="5">
        <f>(K48*($E48/365))+(K49*($E49/365))</f>
        <v>65.127201565557726</v>
      </c>
      <c r="C102" s="5">
        <f>(L48*($E48/365))+(L49*($E49/365))</f>
        <v>34.872798434442267</v>
      </c>
      <c r="D102" s="5">
        <f>(M48*($E48/365))+(M49*($E49/365))</f>
        <v>0</v>
      </c>
      <c r="E102" s="17">
        <f t="shared" si="35"/>
        <v>100</v>
      </c>
      <c r="G102" s="1">
        <v>2011</v>
      </c>
      <c r="H102" s="362">
        <f>(O48/$R48*100*($E48/365))+(O49/$R49*100*($E49/365))</f>
        <v>67.452054794520549</v>
      </c>
      <c r="I102" s="362"/>
      <c r="J102" s="362">
        <f>(P48/$R48*100*($E48/365))+(P49/$R49*100*($E49/365))</f>
        <v>32.547945205479451</v>
      </c>
      <c r="K102" s="362"/>
      <c r="L102" s="362">
        <f>(Q48/$R48*100*($E48/365))+(Q49/$R49*100*($E49/365))</f>
        <v>0</v>
      </c>
      <c r="M102" s="362"/>
      <c r="N102" s="363">
        <f t="shared" si="38"/>
        <v>100</v>
      </c>
      <c r="O102" s="363"/>
      <c r="R102" s="1">
        <v>2011</v>
      </c>
      <c r="S102" s="5">
        <f>(O48*($E48/365))+(O49*($E49/365))</f>
        <v>37.284931506849318</v>
      </c>
      <c r="T102" s="5">
        <f>(P48*($E48/365))+(P49*($E49/365))</f>
        <v>17.901369863013699</v>
      </c>
      <c r="U102" s="5">
        <f>(Q48*($E48/365))+(Q49*($E49/365))</f>
        <v>0</v>
      </c>
      <c r="W102" s="5">
        <f t="shared" si="37"/>
        <v>55.186301369863017</v>
      </c>
    </row>
    <row r="103" spans="1:23" x14ac:dyDescent="0.15">
      <c r="A103" s="1">
        <v>2012</v>
      </c>
      <c r="B103" s="5">
        <f>(K50*($E50/366))+(K51*($E51/366))</f>
        <v>100</v>
      </c>
      <c r="C103" s="5">
        <f>(L50*($E50/366))+(L51*($E51/366))</f>
        <v>0</v>
      </c>
      <c r="D103" s="5">
        <f>(M50*($E50/366))+(M51*($E51/366))</f>
        <v>0</v>
      </c>
      <c r="E103" s="17">
        <f t="shared" si="35"/>
        <v>100</v>
      </c>
      <c r="G103" s="1">
        <v>2012</v>
      </c>
      <c r="H103" s="362">
        <f>(O50/$R50*100*($E50/366))+(O51/$R51*100*($E51/366))</f>
        <v>100</v>
      </c>
      <c r="I103" s="362"/>
      <c r="J103" s="362">
        <f>(P50/$R50*100*($E50/366))+(P51/$R51*100*($E51/366))</f>
        <v>0</v>
      </c>
      <c r="K103" s="362"/>
      <c r="L103" s="362">
        <f>(Q50/$R50*100*($E50/366))+(Q51/$R51*100*($E51/366))</f>
        <v>0</v>
      </c>
      <c r="M103" s="362"/>
      <c r="N103" s="363">
        <f t="shared" si="38"/>
        <v>100</v>
      </c>
      <c r="O103" s="363"/>
      <c r="R103" s="1">
        <v>2012</v>
      </c>
      <c r="S103" s="5">
        <f>(O50*($E50/366))+(O51*($E51/366))</f>
        <v>56</v>
      </c>
      <c r="T103" s="5">
        <f>(P50*($E50/366))+(P51*($E51/366))</f>
        <v>0</v>
      </c>
      <c r="U103" s="5">
        <f>(Q50*($E50/366))+(Q51*($E51/366))</f>
        <v>0</v>
      </c>
      <c r="W103" s="5">
        <f t="shared" si="37"/>
        <v>56</v>
      </c>
    </row>
    <row r="104" spans="1:23" x14ac:dyDescent="0.15">
      <c r="A104" s="1">
        <v>2013</v>
      </c>
      <c r="B104" s="5">
        <f>(K52*($E52/365))+(K53*($E53/365))</f>
        <v>100</v>
      </c>
      <c r="C104" s="5">
        <f>(L52*($E52/365))+(L53*($E53/365))</f>
        <v>0</v>
      </c>
      <c r="D104" s="5">
        <f>(M52*($E52/365))+(M53*($E53/365))</f>
        <v>0</v>
      </c>
      <c r="E104" s="17">
        <f>SUM(B104:D104)</f>
        <v>100</v>
      </c>
      <c r="G104" s="1">
        <v>2013</v>
      </c>
      <c r="H104" s="362">
        <f>(O52/$R52*100*($E52/365))+(O53/$R53*100*($E53/365))</f>
        <v>100</v>
      </c>
      <c r="I104" s="362"/>
      <c r="J104" s="362">
        <f>(P52/$R52*100*($E52/365))+(P53/$R53*100*($E53/365))</f>
        <v>0</v>
      </c>
      <c r="K104" s="362"/>
      <c r="L104" s="362">
        <f>(Q52/$R52*100*($E52/365))+(Q53/$R53*100*($E53/365))</f>
        <v>0</v>
      </c>
      <c r="M104" s="362"/>
      <c r="N104" s="363">
        <f t="shared" si="38"/>
        <v>100</v>
      </c>
      <c r="O104" s="363"/>
      <c r="R104" s="1">
        <v>2013</v>
      </c>
      <c r="S104" s="5">
        <f>(O52*($E52/365))+(O53*($E53/365))</f>
        <v>56</v>
      </c>
      <c r="T104" s="5">
        <f>(P52*($E52/365))+(P53*($E53/365))</f>
        <v>0</v>
      </c>
      <c r="U104" s="5">
        <f>(Q52*($E52/365))+(Q53*($E53/365))</f>
        <v>0</v>
      </c>
      <c r="W104" s="5">
        <f>SUM(S104:U104)</f>
        <v>56</v>
      </c>
    </row>
    <row r="105" spans="1:23" x14ac:dyDescent="0.15">
      <c r="A105" s="1">
        <v>2014</v>
      </c>
      <c r="B105" s="5">
        <f>(K54*($E54/365))+(K55*($E55/365))+(K56*($E56/365))+(K57*($E57/365))</f>
        <v>77.040493752822528</v>
      </c>
      <c r="C105" s="5">
        <f>(L54*($E54/365))+(L55*($E55/365))+(L56*($E56/365))+(L57*($E57/365))</f>
        <v>22.95950624717748</v>
      </c>
      <c r="D105" s="5">
        <f>(M54*($E54/365))+(M55*($E55/365))+(M56*($E56/365))+(M57*($E57/365))</f>
        <v>0</v>
      </c>
      <c r="E105" s="17">
        <f>SUM(B105:D105)</f>
        <v>100</v>
      </c>
      <c r="G105" s="1">
        <v>2014</v>
      </c>
      <c r="H105" s="362">
        <f>(O54/$R54*100*($E54/365))+(O55/$R55*100*($E55/365))+(O56/$R56*100*($E56/365))+(O57/$R57*100*($E57/365))</f>
        <v>78.398582728248115</v>
      </c>
      <c r="I105" s="362"/>
      <c r="J105" s="362">
        <f>(P54/$R54*100*($E54/365))+(P55/$R55*100*($E55/365))+(P56/$R56*100*($E56/365))+(P57/$R57*100*($E57/365))</f>
        <v>21.601417271751874</v>
      </c>
      <c r="K105" s="362"/>
      <c r="L105" s="362">
        <f>(Q54/$R54*100*($E54/365))+(Q55/$R55*100*($E55/365))+(Q56/$R56*100*($E56/365))+(Q57/$R57*100*($E57/365))</f>
        <v>0</v>
      </c>
      <c r="M105" s="362"/>
      <c r="N105" s="363">
        <f t="shared" si="38"/>
        <v>99.999999999999986</v>
      </c>
      <c r="O105" s="363"/>
      <c r="R105" s="1">
        <v>2014</v>
      </c>
      <c r="S105" s="5">
        <f>(O54*($E54/365))+(O55*($E55/365))+(O56*($E56/365))+(O57*($E57/365))</f>
        <v>48.783561643835618</v>
      </c>
      <c r="T105" s="5">
        <f>(P54*($E54/365))+(P55*($E55/365))+(P56*($E56/365))+(P57*($E57/365))</f>
        <v>13.501369863013698</v>
      </c>
      <c r="U105" s="5">
        <f>(Q54*($E54/365))+(Q55*($E55/365))+(Q56*($E56/365))+(Q57*($E57/365))</f>
        <v>0</v>
      </c>
      <c r="W105" s="5">
        <f>SUM(S105:U105)</f>
        <v>62.284931506849318</v>
      </c>
    </row>
    <row r="106" spans="1:23" x14ac:dyDescent="0.15">
      <c r="A106" s="1">
        <v>2015</v>
      </c>
      <c r="B106" s="5">
        <f>(K58*($E58/365))+(K59*($E59/365))</f>
        <v>63.849164534096047</v>
      </c>
      <c r="C106" s="5">
        <f>(L58*($E58/365))+(L59*($E59/365))</f>
        <v>36.15083546590396</v>
      </c>
      <c r="D106" s="5">
        <f>(M58*($E58/365))+(M59*($E59/365))</f>
        <v>0</v>
      </c>
      <c r="E106" s="17">
        <f>SUM(B106:D106)</f>
        <v>100</v>
      </c>
      <c r="G106" s="1">
        <v>2015</v>
      </c>
      <c r="H106" s="362">
        <f>(O58/$R58*100*($E58/365))+(O59/$R59*100*($E59/365))</f>
        <v>65.573770491803273</v>
      </c>
      <c r="I106" s="362"/>
      <c r="J106" s="362">
        <f>(P58/$R58*100*($E58/365))+(P59/$R59*100*($E59/365))</f>
        <v>34.42622950819672</v>
      </c>
      <c r="K106" s="362"/>
      <c r="L106" s="362">
        <f>(Q58/$R58*100*($E58/365))+(Q59/$R59*100*($E59/365))</f>
        <v>0</v>
      </c>
      <c r="M106" s="362"/>
      <c r="N106" s="363">
        <f>SUM(H106:L106)</f>
        <v>100</v>
      </c>
      <c r="O106" s="363"/>
      <c r="R106" s="1">
        <v>2015</v>
      </c>
      <c r="S106" s="5">
        <f>(O58*($E58/365))+(O59*($E59/365))</f>
        <v>40</v>
      </c>
      <c r="T106" s="5">
        <f>(P58*($E58/365))+(P59*($E59/365))</f>
        <v>21</v>
      </c>
      <c r="U106" s="5">
        <f>(Q58*($E58/365))+(Q59*($E59/365))</f>
        <v>0</v>
      </c>
      <c r="W106" s="5">
        <f>SUM(S106:U106)</f>
        <v>61</v>
      </c>
    </row>
    <row r="107" spans="1:23" x14ac:dyDescent="0.15">
      <c r="A107" s="1">
        <v>2016</v>
      </c>
      <c r="B107" s="5">
        <f>(K60*($E60/366))+(K61*($E61/366))</f>
        <v>57.635260913949438</v>
      </c>
      <c r="C107" s="5">
        <f>(L60*($E60/366))+(L61*($E61/366))</f>
        <v>42.364739086050562</v>
      </c>
      <c r="D107" s="5">
        <f>(M60*($E60/366))+(M61*($E61/366))</f>
        <v>0</v>
      </c>
      <c r="E107" s="17">
        <f t="shared" ref="E107" si="39">SUM(B107:D107)</f>
        <v>100</v>
      </c>
      <c r="G107" s="1">
        <v>2016</v>
      </c>
      <c r="H107" s="362">
        <f>(O60/$R60*100*($E60/366))+(O61/$R61*100*($E61/366))</f>
        <v>65.573770491803273</v>
      </c>
      <c r="I107" s="362"/>
      <c r="J107" s="362">
        <f>(P60/$R60*100*($E60/366))+(P61/$R61*100*($E61/366))</f>
        <v>34.42622950819672</v>
      </c>
      <c r="K107" s="362"/>
      <c r="L107" s="362">
        <f>(Q60/$R60*100*($E60/366))+(Q61/$R61*100*($E61/366))</f>
        <v>0</v>
      </c>
      <c r="M107" s="362"/>
      <c r="N107" s="363">
        <f t="shared" ref="N107" si="40">SUM(H107:L107)</f>
        <v>100</v>
      </c>
      <c r="O107" s="363"/>
      <c r="R107" s="1">
        <v>2016</v>
      </c>
      <c r="S107" s="5">
        <f>(O60*($E60/366))+(O61*($E61/366))</f>
        <v>40</v>
      </c>
      <c r="T107" s="5">
        <f>(P60*($E60/366))+(P61*($E61/366))</f>
        <v>21</v>
      </c>
      <c r="U107" s="5">
        <f>(Q60*($E60/366))+(Q61*($E61/366))</f>
        <v>0</v>
      </c>
      <c r="W107" s="5">
        <f t="shared" ref="W107" si="41">SUM(S107:U107)</f>
        <v>61</v>
      </c>
    </row>
    <row r="108" spans="1:23" x14ac:dyDescent="0.15">
      <c r="A108" s="1">
        <v>2017</v>
      </c>
      <c r="B108" s="5">
        <f>(K62*($E62/365))+(K63*($E63/365))</f>
        <v>57.263284660544933</v>
      </c>
      <c r="C108" s="5">
        <f>(L62*($E62/365))+(L63*($E63/365))</f>
        <v>42.73671533945506</v>
      </c>
      <c r="D108" s="5">
        <f>(M62*($E62/365))+(M63*($E63/365))</f>
        <v>0</v>
      </c>
      <c r="E108" s="17">
        <f t="shared" ref="E108" si="42">SUM(B108:D108)</f>
        <v>100</v>
      </c>
      <c r="G108" s="1">
        <v>2017</v>
      </c>
      <c r="H108" s="362">
        <f>(O62/$R62*100*($E62/365))+(O63/$R63*100*($E63/365))</f>
        <v>65.573770491803273</v>
      </c>
      <c r="I108" s="362"/>
      <c r="J108" s="362">
        <f>(P62/$R62*100*($E62/365))+(P63/$R63*100*($E63/365))</f>
        <v>34.42622950819672</v>
      </c>
      <c r="K108" s="362"/>
      <c r="L108" s="362">
        <f>(Q62/$R62*100*($E62/365))+(Q63/$R63*100*($E63/365))</f>
        <v>0</v>
      </c>
      <c r="M108" s="362"/>
      <c r="N108" s="363">
        <f t="shared" ref="N108" si="43">SUM(H108:L108)</f>
        <v>100</v>
      </c>
      <c r="O108" s="363"/>
      <c r="R108" s="1">
        <v>2017</v>
      </c>
      <c r="S108" s="5">
        <f>(O62*($E62/365)+(O63*($E63/365)))</f>
        <v>40</v>
      </c>
      <c r="T108" s="5">
        <f>(P62*($E62/365)+(P63*($E63/365)))</f>
        <v>21</v>
      </c>
      <c r="U108" s="5">
        <f>(Q62*($E62/365)+(Q63*($E63/365)))</f>
        <v>0</v>
      </c>
      <c r="W108" s="5">
        <f t="shared" ref="W108" si="44">SUM(S108:U108)</f>
        <v>61</v>
      </c>
    </row>
    <row r="109" spans="1:23" x14ac:dyDescent="0.15">
      <c r="A109" s="1">
        <v>2018</v>
      </c>
      <c r="B109" s="5">
        <f>(K64*($E64/365))+(K65*($E65/365))</f>
        <v>60.800842992623814</v>
      </c>
      <c r="C109" s="5">
        <f>(L64*($E64/365))+(L65*($E65/365))</f>
        <v>39.199157007376186</v>
      </c>
      <c r="D109" s="5">
        <f>(M64*($E64/365))+(M65*($E65/365))</f>
        <v>0</v>
      </c>
      <c r="E109" s="17">
        <f t="shared" ref="E109" si="45">SUM(B109:D109)</f>
        <v>100</v>
      </c>
      <c r="G109" s="1">
        <v>2018</v>
      </c>
      <c r="H109" s="362">
        <f>(O64/$R64*100*($E64/365))+(O65/$R65*100*($E65/365))</f>
        <v>65.578682910397475</v>
      </c>
      <c r="I109" s="362"/>
      <c r="J109" s="362">
        <f>(P64/$R64*100*($E64/365))+(P65/$R65*100*($E65/365))</f>
        <v>34.42131708960251</v>
      </c>
      <c r="K109" s="362"/>
      <c r="L109" s="362">
        <f>(Q64/$R64*100*($E64/365))+(Q65/$R65*100*($E65/365))</f>
        <v>0</v>
      </c>
      <c r="M109" s="362"/>
      <c r="N109" s="363">
        <f t="shared" ref="N109" si="46">SUM(H109:L109)</f>
        <v>99.999999999999986</v>
      </c>
      <c r="O109" s="363"/>
      <c r="R109" s="1">
        <v>2018</v>
      </c>
      <c r="S109" s="5">
        <f>(O64*($E64/365)+(O65*($E65/365)))</f>
        <v>38.178082191780817</v>
      </c>
      <c r="T109" s="5">
        <f>(P64*($E64/365)+(P65*($E65/365)))</f>
        <v>20.041095890410958</v>
      </c>
      <c r="U109" s="5">
        <f>(Q64*($E64/365)+(Q65*($E65/365)))</f>
        <v>0</v>
      </c>
      <c r="W109" s="5">
        <f t="shared" ref="W109" si="47">SUM(S109:U109)</f>
        <v>58.219178082191775</v>
      </c>
    </row>
    <row r="110" spans="1:23" x14ac:dyDescent="0.15">
      <c r="A110" s="1">
        <v>2019</v>
      </c>
      <c r="B110" s="5">
        <f>(K66*($E66/365))+(K67*($E67/365))</f>
        <v>77.013397561342771</v>
      </c>
      <c r="C110" s="5">
        <f>(L66*($E66/365))+(L67*($E67/365))</f>
        <v>22.986602438657229</v>
      </c>
      <c r="D110" s="5">
        <f>(M66*($E66/365))+(M67*($E67/365))</f>
        <v>0</v>
      </c>
      <c r="E110" s="17">
        <f t="shared" ref="E110:E111" si="48">SUM(B110:D110)</f>
        <v>100</v>
      </c>
      <c r="G110" s="1">
        <v>2019</v>
      </c>
      <c r="H110" s="362">
        <f>(O66/$R66*100*($E66/365))+(O67/$R67*100*($E67/365))</f>
        <v>79.378113325031137</v>
      </c>
      <c r="I110" s="362"/>
      <c r="J110" s="362">
        <f>(P66/$R66*100*($E66/365))+(P67/$R67*100*($E67/365))</f>
        <v>20.621886674968867</v>
      </c>
      <c r="K110" s="362"/>
      <c r="L110" s="362">
        <f>(Q66/$R66*100*($E66/365))+(Q67/$R67*100*($E67/365))</f>
        <v>0</v>
      </c>
      <c r="M110" s="362"/>
      <c r="N110" s="363">
        <f t="shared" ref="N110" si="49">SUM(H110:L110)</f>
        <v>100</v>
      </c>
      <c r="O110" s="363"/>
      <c r="R110" s="1">
        <v>2019</v>
      </c>
      <c r="S110" s="5">
        <f>(O66*($E66/365)+(O67*($E67/365)))</f>
        <v>50.983561643835621</v>
      </c>
      <c r="T110" s="5">
        <f>(P66*($E66/365)+(P67*($E67/365)))</f>
        <v>12.873972602739727</v>
      </c>
      <c r="U110" s="5">
        <f>(Q66*($E66/365)+(Q67*($E67/365)))</f>
        <v>0</v>
      </c>
      <c r="W110" s="5">
        <f t="shared" ref="W110:W111" si="50">SUM(S110:U110)</f>
        <v>63.857534246575348</v>
      </c>
    </row>
    <row r="111" spans="1:23" x14ac:dyDescent="0.15">
      <c r="A111" s="1">
        <v>2020</v>
      </c>
      <c r="B111" s="5">
        <f t="shared" ref="B111:D111" si="51">(K68*($E68/366))+(K69*($E69/366))</f>
        <v>78.571428571428569</v>
      </c>
      <c r="C111" s="5">
        <f t="shared" si="51"/>
        <v>21.428571428571427</v>
      </c>
      <c r="D111" s="5">
        <f t="shared" si="51"/>
        <v>0</v>
      </c>
      <c r="E111" s="17">
        <f t="shared" si="48"/>
        <v>100</v>
      </c>
      <c r="G111" s="1">
        <v>2020</v>
      </c>
      <c r="H111" s="362">
        <f>(O68/$R68*100*($E68/366))+(O69/$R69*100*($E69/366))</f>
        <v>80.303030303030297</v>
      </c>
      <c r="I111" s="362"/>
      <c r="J111" s="362">
        <f>(P68/$R68*100*($E68/366))+(P69/$R69*100*($E69/366))</f>
        <v>19.696969696969695</v>
      </c>
      <c r="K111" s="362"/>
      <c r="L111" s="362">
        <f>(Q68/$R68*100*($E68/366))+(Q69/$R69*100*($E69/366))</f>
        <v>0</v>
      </c>
      <c r="M111" s="362"/>
      <c r="N111" s="363">
        <f t="shared" ref="N111" si="52">SUM(H111:L111)</f>
        <v>100</v>
      </c>
      <c r="O111" s="363"/>
      <c r="R111" s="1">
        <v>2020</v>
      </c>
      <c r="S111" s="5">
        <f t="shared" ref="S111:U111" si="53">(O68*($E68/366)+(O69*($E69/366)))</f>
        <v>53</v>
      </c>
      <c r="T111" s="5">
        <f t="shared" si="53"/>
        <v>13</v>
      </c>
      <c r="U111" s="5">
        <f t="shared" si="53"/>
        <v>0</v>
      </c>
      <c r="W111" s="5">
        <f t="shared" si="50"/>
        <v>66</v>
      </c>
    </row>
    <row r="112" spans="1:23" x14ac:dyDescent="0.15">
      <c r="A112" s="1">
        <v>2021</v>
      </c>
      <c r="B112" s="5">
        <f>(K70*($E70/365))+(K71*($E71/365))+(K72*($E72/365))</f>
        <v>74.342917356615985</v>
      </c>
      <c r="C112" s="5">
        <f>(L70*($E70/365))+(L71*($E71/365))+(L72*($E72/365))</f>
        <v>25.657082643384008</v>
      </c>
      <c r="D112" s="5">
        <f>(M70*($E70/365))+(M71*($E71/365))+(M72*($E72/365))</f>
        <v>0</v>
      </c>
      <c r="E112" s="17">
        <f t="shared" ref="E112" si="54">SUM(B112:D112)</f>
        <v>100</v>
      </c>
      <c r="G112" s="1">
        <v>2021</v>
      </c>
      <c r="H112" s="362">
        <f>(O70/$R70*100*($E70/365))+(O71/$R71*100*($E71/365))+(O72/$R72*100*($E72/365))</f>
        <v>76.929952394831432</v>
      </c>
      <c r="I112" s="362"/>
      <c r="J112" s="362">
        <f>(P70/$R70*100*($E70/365))+(P71/$R71*100*($E71/365))+(P72/$R72*100*($E72/365))</f>
        <v>23.070047605168561</v>
      </c>
      <c r="K112" s="362"/>
      <c r="L112" s="362">
        <f>(Q70/$R70*100*($E70/365))+(Q71/$R71*100*($E71/365))</f>
        <v>0</v>
      </c>
      <c r="M112" s="362"/>
      <c r="N112" s="363">
        <f t="shared" ref="N112" si="55">SUM(H112:L112)</f>
        <v>100</v>
      </c>
      <c r="O112" s="363"/>
      <c r="R112" s="1">
        <v>2021</v>
      </c>
      <c r="S112" s="5">
        <f>(O70*($E70/365)+(O71*($E71/365)))+(O72*($E72/365))</f>
        <v>42.594520547945208</v>
      </c>
      <c r="T112" s="5">
        <f>(P70*($E70/365)+(P71*($E71/365)))+(P72*($E72/365))</f>
        <v>12.421917808219177</v>
      </c>
      <c r="U112" s="5">
        <f>(Q70*($E70/365)+(Q71*($E71/365)))+(Q72*($E72/365))</f>
        <v>0</v>
      </c>
      <c r="W112" s="5">
        <f t="shared" ref="W112" si="56">SUM(S112:U112)</f>
        <v>55.016438356164386</v>
      </c>
    </row>
    <row r="113" spans="1:23" x14ac:dyDescent="0.15">
      <c r="A113" s="1">
        <v>2022</v>
      </c>
      <c r="B113" s="5">
        <f>(K73*($E73/365))+(K74*($E74/365))</f>
        <v>71.522504892367905</v>
      </c>
      <c r="C113" s="5">
        <f>(L73*($E73/365))+(L74*($E74/365))</f>
        <v>28.477495107632095</v>
      </c>
      <c r="D113" s="5">
        <f>(M73*($E73/365))+(M74*($E74/365))</f>
        <v>0</v>
      </c>
      <c r="E113" s="17">
        <f t="shared" ref="E113" si="57">SUM(B113:D113)</f>
        <v>100</v>
      </c>
      <c r="G113" s="1">
        <v>2022</v>
      </c>
      <c r="H113" s="362">
        <f>(O73/$R73*100*($E73/365))+(O74/$R74*100*($E74/365))</f>
        <v>74.357330224424359</v>
      </c>
      <c r="I113" s="362"/>
      <c r="J113" s="362">
        <f>(P73/$R73*100*($E73/365))+(P74/$R74*100*($E74/365))</f>
        <v>25.642669775575634</v>
      </c>
      <c r="K113" s="362"/>
      <c r="L113" s="362">
        <f>(Q73/$R73*100*($E73/365))+(Q74/$R74*100*($E74/365))</f>
        <v>0</v>
      </c>
      <c r="M113" s="362"/>
      <c r="N113" s="363">
        <f t="shared" ref="N113" si="58">SUM(H113:L113)</f>
        <v>100</v>
      </c>
      <c r="O113" s="363"/>
      <c r="R113" s="1">
        <v>2022</v>
      </c>
      <c r="S113" s="5">
        <f>(O73*($E73/365)+(O74*($E74/365)))</f>
        <v>35.197260273972603</v>
      </c>
      <c r="T113" s="5">
        <f>(P73*($E73/365)+(P74*($E74/365)))</f>
        <v>12.147945205479452</v>
      </c>
      <c r="U113" s="5">
        <f>(Q73*($E73/365)+(Q74*($E74/365)))</f>
        <v>0</v>
      </c>
      <c r="W113" s="5">
        <f t="shared" ref="W113" si="59">SUM(S113:U113)</f>
        <v>47.345205479452055</v>
      </c>
    </row>
  </sheetData>
  <mergeCells count="227">
    <mergeCell ref="C73:D73"/>
    <mergeCell ref="C74:D74"/>
    <mergeCell ref="J80:K80"/>
    <mergeCell ref="L80:M80"/>
    <mergeCell ref="J91:K91"/>
    <mergeCell ref="H92:I92"/>
    <mergeCell ref="H100:I100"/>
    <mergeCell ref="L97:M97"/>
    <mergeCell ref="L82:M82"/>
    <mergeCell ref="L83:M83"/>
    <mergeCell ref="L84:M84"/>
    <mergeCell ref="L85:M85"/>
    <mergeCell ref="L86:M86"/>
    <mergeCell ref="L92:M92"/>
    <mergeCell ref="L98:M98"/>
    <mergeCell ref="J82:K82"/>
    <mergeCell ref="J83:K83"/>
    <mergeCell ref="J84:K84"/>
    <mergeCell ref="J85:K85"/>
    <mergeCell ref="J87:K87"/>
    <mergeCell ref="J88:K88"/>
    <mergeCell ref="J94:K94"/>
    <mergeCell ref="J93:K93"/>
    <mergeCell ref="J99:K99"/>
    <mergeCell ref="H106:I106"/>
    <mergeCell ref="J106:K106"/>
    <mergeCell ref="L106:M106"/>
    <mergeCell ref="N106:O106"/>
    <mergeCell ref="H108:I108"/>
    <mergeCell ref="J108:K108"/>
    <mergeCell ref="L108:M108"/>
    <mergeCell ref="N108:O108"/>
    <mergeCell ref="J105:K105"/>
    <mergeCell ref="H105:I105"/>
    <mergeCell ref="L105:M105"/>
    <mergeCell ref="N105:O105"/>
    <mergeCell ref="J90:K90"/>
    <mergeCell ref="H91:I91"/>
    <mergeCell ref="N94:O94"/>
    <mergeCell ref="J95:K95"/>
    <mergeCell ref="J96:K96"/>
    <mergeCell ref="J97:K97"/>
    <mergeCell ref="J98:K98"/>
    <mergeCell ref="H95:I95"/>
    <mergeCell ref="H97:I97"/>
    <mergeCell ref="H94:I94"/>
    <mergeCell ref="L95:M95"/>
    <mergeCell ref="L96:M96"/>
    <mergeCell ref="H93:I93"/>
    <mergeCell ref="L94:M94"/>
    <mergeCell ref="N95:O95"/>
    <mergeCell ref="N96:O96"/>
    <mergeCell ref="H96:I96"/>
    <mergeCell ref="AT4:AW4"/>
    <mergeCell ref="AX4:BA4"/>
    <mergeCell ref="H104:I104"/>
    <mergeCell ref="J104:K104"/>
    <mergeCell ref="L104:M104"/>
    <mergeCell ref="N104:O104"/>
    <mergeCell ref="K4:N4"/>
    <mergeCell ref="N82:O82"/>
    <mergeCell ref="L103:M103"/>
    <mergeCell ref="N83:O83"/>
    <mergeCell ref="N84:O84"/>
    <mergeCell ref="L99:M99"/>
    <mergeCell ref="L100:M100"/>
    <mergeCell ref="N92:O92"/>
    <mergeCell ref="N89:O89"/>
    <mergeCell ref="N90:O90"/>
    <mergeCell ref="N93:O93"/>
    <mergeCell ref="L102:M102"/>
    <mergeCell ref="N86:O86"/>
    <mergeCell ref="L87:M87"/>
    <mergeCell ref="L90:M90"/>
    <mergeCell ref="L91:M91"/>
    <mergeCell ref="J86:K86"/>
    <mergeCell ref="J89:K89"/>
    <mergeCell ref="C16:D16"/>
    <mergeCell ref="C19:D19"/>
    <mergeCell ref="L101:M101"/>
    <mergeCell ref="N85:O85"/>
    <mergeCell ref="C9:D9"/>
    <mergeCell ref="C10:D10"/>
    <mergeCell ref="C11:D11"/>
    <mergeCell ref="C12:D12"/>
    <mergeCell ref="C13:D13"/>
    <mergeCell ref="C14:D14"/>
    <mergeCell ref="C15:D15"/>
    <mergeCell ref="C17:D17"/>
    <mergeCell ref="C29:D29"/>
    <mergeCell ref="C31:D31"/>
    <mergeCell ref="C36:D36"/>
    <mergeCell ref="C23:D23"/>
    <mergeCell ref="C34:D34"/>
    <mergeCell ref="N91:O91"/>
    <mergeCell ref="L93:M93"/>
    <mergeCell ref="C54:D54"/>
    <mergeCell ref="J92:K92"/>
    <mergeCell ref="C55:D55"/>
    <mergeCell ref="C57:D57"/>
    <mergeCell ref="L89:M89"/>
    <mergeCell ref="A4:A5"/>
    <mergeCell ref="B4:B5"/>
    <mergeCell ref="C4:D5"/>
    <mergeCell ref="E4:E5"/>
    <mergeCell ref="AP4:AS4"/>
    <mergeCell ref="S4:S5"/>
    <mergeCell ref="T4:T5"/>
    <mergeCell ref="U4:U5"/>
    <mergeCell ref="V4:Y4"/>
    <mergeCell ref="G4:J4"/>
    <mergeCell ref="AL4:AO4"/>
    <mergeCell ref="F4:F5"/>
    <mergeCell ref="O4:R4"/>
    <mergeCell ref="AH4:AK4"/>
    <mergeCell ref="C6:D6"/>
    <mergeCell ref="C7:D7"/>
    <mergeCell ref="C8:D8"/>
    <mergeCell ref="J81:K81"/>
    <mergeCell ref="H81:I81"/>
    <mergeCell ref="R78:W78"/>
    <mergeCell ref="L88:M88"/>
    <mergeCell ref="N87:O87"/>
    <mergeCell ref="N88:O88"/>
    <mergeCell ref="N80:O80"/>
    <mergeCell ref="L81:M81"/>
    <mergeCell ref="C43:D43"/>
    <mergeCell ref="C44:D44"/>
    <mergeCell ref="C46:D46"/>
    <mergeCell ref="C47:D47"/>
    <mergeCell ref="C48:D48"/>
    <mergeCell ref="C49:D49"/>
    <mergeCell ref="C50:D50"/>
    <mergeCell ref="C45:D45"/>
    <mergeCell ref="C58:D58"/>
    <mergeCell ref="C51:D51"/>
    <mergeCell ref="C56:D56"/>
    <mergeCell ref="C52:D52"/>
    <mergeCell ref="C53:D53"/>
    <mergeCell ref="G3:M3"/>
    <mergeCell ref="O3:Q3"/>
    <mergeCell ref="Z4:AC4"/>
    <mergeCell ref="AD4:AG4"/>
    <mergeCell ref="N81:O81"/>
    <mergeCell ref="C18:D18"/>
    <mergeCell ref="C20:D20"/>
    <mergeCell ref="C21:D21"/>
    <mergeCell ref="C38:D38"/>
    <mergeCell ref="C39:D39"/>
    <mergeCell ref="C40:D40"/>
    <mergeCell ref="C41:D41"/>
    <mergeCell ref="C42:D42"/>
    <mergeCell ref="C30:D30"/>
    <mergeCell ref="C32:D32"/>
    <mergeCell ref="C33:D33"/>
    <mergeCell ref="C35:D35"/>
    <mergeCell ref="C22:D22"/>
    <mergeCell ref="C37:D37"/>
    <mergeCell ref="C24:D24"/>
    <mergeCell ref="C25:D25"/>
    <mergeCell ref="C26:D26"/>
    <mergeCell ref="C27:D27"/>
    <mergeCell ref="C28:D28"/>
    <mergeCell ref="C59:D59"/>
    <mergeCell ref="C60:D60"/>
    <mergeCell ref="C61:D61"/>
    <mergeCell ref="C62:D62"/>
    <mergeCell ref="C63:D63"/>
    <mergeCell ref="C64:D64"/>
    <mergeCell ref="C65:D65"/>
    <mergeCell ref="H90:I90"/>
    <mergeCell ref="C66:D66"/>
    <mergeCell ref="C67:D67"/>
    <mergeCell ref="H86:I86"/>
    <mergeCell ref="C68:D68"/>
    <mergeCell ref="C69:D69"/>
    <mergeCell ref="H80:I80"/>
    <mergeCell ref="C70:D70"/>
    <mergeCell ref="C71:D71"/>
    <mergeCell ref="H87:I87"/>
    <mergeCell ref="H88:I88"/>
    <mergeCell ref="H89:I89"/>
    <mergeCell ref="C72:D72"/>
    <mergeCell ref="H83:I83"/>
    <mergeCell ref="H84:I84"/>
    <mergeCell ref="H82:I82"/>
    <mergeCell ref="H85:I85"/>
    <mergeCell ref="H101:I101"/>
    <mergeCell ref="J101:K101"/>
    <mergeCell ref="H103:I103"/>
    <mergeCell ref="J102:K102"/>
    <mergeCell ref="J103:K103"/>
    <mergeCell ref="N100:O100"/>
    <mergeCell ref="N97:O97"/>
    <mergeCell ref="H99:I99"/>
    <mergeCell ref="H98:I98"/>
    <mergeCell ref="J100:K100"/>
    <mergeCell ref="N102:O102"/>
    <mergeCell ref="H102:I102"/>
    <mergeCell ref="N101:O101"/>
    <mergeCell ref="N99:O99"/>
    <mergeCell ref="N98:O98"/>
    <mergeCell ref="N103:O103"/>
    <mergeCell ref="H113:I113"/>
    <mergeCell ref="J113:K113"/>
    <mergeCell ref="L113:M113"/>
    <mergeCell ref="N113:O113"/>
    <mergeCell ref="H107:I107"/>
    <mergeCell ref="J107:K107"/>
    <mergeCell ref="L107:M107"/>
    <mergeCell ref="N107:O107"/>
    <mergeCell ref="H109:I109"/>
    <mergeCell ref="J109:K109"/>
    <mergeCell ref="L109:M109"/>
    <mergeCell ref="N109:O109"/>
    <mergeCell ref="H112:I112"/>
    <mergeCell ref="J112:K112"/>
    <mergeCell ref="L112:M112"/>
    <mergeCell ref="N112:O112"/>
    <mergeCell ref="H111:I111"/>
    <mergeCell ref="J111:K111"/>
    <mergeCell ref="L111:M111"/>
    <mergeCell ref="N111:O111"/>
    <mergeCell ref="H110:I110"/>
    <mergeCell ref="J110:K110"/>
    <mergeCell ref="L110:M110"/>
    <mergeCell ref="N110:O110"/>
  </mergeCells>
  <phoneticPr fontId="23" type="noConversion"/>
  <pageMargins left="0.78740157499999996" right="0.78740157499999996" top="0.984251969" bottom="0.984251969" header="0.4921259845" footer="0.4921259845"/>
  <pageSetup paperSize="9" orientation="landscape" r:id="rId1"/>
  <headerFooter alignWithMargins="0"/>
  <drawing r:id="rId2"/>
  <legacyDrawing r:id="rId3"/>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BA113"/>
  <sheetViews>
    <sheetView zoomScale="110" zoomScaleNormal="98" workbookViewId="0">
      <pane xSplit="1" ySplit="5" topLeftCell="AR66"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142</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28" customFormat="1" x14ac:dyDescent="0.15">
      <c r="A6" s="28">
        <v>1992</v>
      </c>
      <c r="B6" s="293"/>
      <c r="C6" s="405" t="s">
        <v>1261</v>
      </c>
      <c r="D6" s="405"/>
      <c r="E6" s="84">
        <v>344</v>
      </c>
      <c r="F6" s="113"/>
      <c r="G6" s="65"/>
      <c r="J6" s="72"/>
      <c r="K6" s="46"/>
      <c r="L6" s="46"/>
      <c r="M6" s="46"/>
      <c r="N6" s="67"/>
      <c r="O6" s="45"/>
      <c r="P6" s="46"/>
      <c r="Q6" s="46"/>
      <c r="R6" s="47"/>
      <c r="T6" s="284"/>
      <c r="U6" s="293"/>
      <c r="V6" s="37"/>
      <c r="Y6" s="38"/>
      <c r="AD6" s="37"/>
      <c r="AG6" s="38"/>
      <c r="AL6" s="37"/>
      <c r="AO6" s="38"/>
      <c r="AP6" s="37"/>
      <c r="AS6" s="38"/>
      <c r="AW6" s="38"/>
      <c r="BA6" s="39"/>
    </row>
    <row r="7" spans="1:53" s="170" customFormat="1" x14ac:dyDescent="0.15">
      <c r="A7" s="170">
        <v>1992</v>
      </c>
      <c r="B7" s="281">
        <v>33948</v>
      </c>
      <c r="C7" s="395" t="s">
        <v>1017</v>
      </c>
      <c r="D7" s="395"/>
      <c r="E7" s="170">
        <f>366-344</f>
        <v>22</v>
      </c>
      <c r="F7" s="170" t="s">
        <v>335</v>
      </c>
      <c r="G7" s="232"/>
      <c r="I7" s="170">
        <v>19</v>
      </c>
      <c r="J7" s="240">
        <v>19</v>
      </c>
      <c r="K7" s="213">
        <f t="shared" ref="K7:K49" si="0">G7/J7*100</f>
        <v>0</v>
      </c>
      <c r="L7" s="213">
        <f t="shared" ref="L7:L49" si="1">H7/J7*100</f>
        <v>0</v>
      </c>
      <c r="M7" s="213">
        <f t="shared" ref="M7:M49" si="2">I7/J7*100</f>
        <v>100</v>
      </c>
      <c r="N7" s="234">
        <f t="shared" ref="N7:N53" si="3">SUM(K7:M7)</f>
        <v>100</v>
      </c>
      <c r="O7" s="212"/>
      <c r="P7" s="213"/>
      <c r="Q7" s="213">
        <v>51.8</v>
      </c>
      <c r="R7" s="214">
        <f t="shared" ref="R7:R53" si="4">SUM(O7:Q7)</f>
        <v>51.8</v>
      </c>
      <c r="S7" s="170">
        <v>1</v>
      </c>
      <c r="T7" s="283">
        <v>33923</v>
      </c>
      <c r="U7" s="281">
        <v>33940</v>
      </c>
      <c r="V7" s="177" t="s">
        <v>1012</v>
      </c>
      <c r="W7" s="170" t="s">
        <v>979</v>
      </c>
      <c r="X7" s="170" t="s">
        <v>12</v>
      </c>
      <c r="Y7" s="178">
        <v>51.8</v>
      </c>
      <c r="AD7" s="177"/>
      <c r="AG7" s="178"/>
      <c r="AL7" s="177"/>
      <c r="AO7" s="178"/>
      <c r="AP7" s="177"/>
      <c r="AS7" s="178"/>
      <c r="AW7" s="178"/>
      <c r="BA7" s="179"/>
    </row>
    <row r="8" spans="1:53" s="170" customFormat="1" x14ac:dyDescent="0.15">
      <c r="A8" s="170">
        <v>1993</v>
      </c>
      <c r="B8" s="281"/>
      <c r="C8" s="395" t="s">
        <v>1017</v>
      </c>
      <c r="D8" s="395"/>
      <c r="E8" s="170">
        <v>74</v>
      </c>
      <c r="G8" s="232"/>
      <c r="I8" s="170">
        <v>19</v>
      </c>
      <c r="J8" s="240">
        <v>19</v>
      </c>
      <c r="K8" s="213">
        <f t="shared" si="0"/>
        <v>0</v>
      </c>
      <c r="L8" s="213">
        <f t="shared" si="1"/>
        <v>0</v>
      </c>
      <c r="M8" s="213">
        <f t="shared" si="2"/>
        <v>100</v>
      </c>
      <c r="N8" s="234">
        <f t="shared" si="3"/>
        <v>100</v>
      </c>
      <c r="O8" s="212"/>
      <c r="P8" s="213"/>
      <c r="Q8" s="213">
        <v>51.8</v>
      </c>
      <c r="R8" s="214">
        <f t="shared" si="4"/>
        <v>51.8</v>
      </c>
      <c r="S8" s="170">
        <v>1</v>
      </c>
      <c r="T8" s="283"/>
      <c r="U8" s="281"/>
      <c r="V8" s="177" t="s">
        <v>1012</v>
      </c>
      <c r="W8" s="170" t="s">
        <v>979</v>
      </c>
      <c r="X8" s="170" t="s">
        <v>12</v>
      </c>
      <c r="Y8" s="178">
        <v>51.8</v>
      </c>
      <c r="AD8" s="177"/>
      <c r="AG8" s="178"/>
      <c r="AL8" s="177"/>
      <c r="AO8" s="178"/>
      <c r="AP8" s="177"/>
      <c r="AS8" s="178"/>
      <c r="AW8" s="178"/>
      <c r="BA8" s="179"/>
    </row>
    <row r="9" spans="1:53" s="28" customFormat="1" x14ac:dyDescent="0.15">
      <c r="A9" s="28">
        <v>1993</v>
      </c>
      <c r="B9" s="293">
        <v>34044</v>
      </c>
      <c r="C9" s="394" t="s">
        <v>1140</v>
      </c>
      <c r="D9" s="394"/>
      <c r="E9" s="28">
        <f xml:space="preserve"> 365-E8</f>
        <v>291</v>
      </c>
      <c r="F9" s="28">
        <v>1</v>
      </c>
      <c r="G9" s="65"/>
      <c r="I9" s="28">
        <v>17</v>
      </c>
      <c r="J9" s="72">
        <v>17</v>
      </c>
      <c r="K9" s="46">
        <f t="shared" si="0"/>
        <v>0</v>
      </c>
      <c r="L9" s="46">
        <f t="shared" si="1"/>
        <v>0</v>
      </c>
      <c r="M9" s="46">
        <f t="shared" si="2"/>
        <v>100</v>
      </c>
      <c r="N9" s="67">
        <f t="shared" si="3"/>
        <v>100</v>
      </c>
      <c r="O9" s="45"/>
      <c r="P9" s="46"/>
      <c r="Q9" s="46">
        <v>51.8</v>
      </c>
      <c r="R9" s="47">
        <f t="shared" si="4"/>
        <v>51.8</v>
      </c>
      <c r="S9" s="28">
        <v>1</v>
      </c>
      <c r="T9" s="284"/>
      <c r="U9" s="293">
        <v>34044</v>
      </c>
      <c r="V9" s="37" t="s">
        <v>1012</v>
      </c>
      <c r="W9" s="28" t="s">
        <v>979</v>
      </c>
      <c r="X9" s="28" t="s">
        <v>12</v>
      </c>
      <c r="Y9" s="38">
        <v>51.8</v>
      </c>
      <c r="AD9" s="37"/>
      <c r="AG9" s="38"/>
      <c r="AL9" s="37"/>
      <c r="AO9" s="38"/>
      <c r="AP9" s="37"/>
      <c r="AS9" s="38"/>
      <c r="AW9" s="38"/>
      <c r="BA9" s="39"/>
    </row>
    <row r="10" spans="1:53" s="28" customFormat="1" x14ac:dyDescent="0.15">
      <c r="A10" s="28">
        <v>1994</v>
      </c>
      <c r="B10" s="293"/>
      <c r="C10" s="394" t="s">
        <v>1140</v>
      </c>
      <c r="D10" s="394"/>
      <c r="E10" s="28">
        <v>0</v>
      </c>
      <c r="G10" s="65"/>
      <c r="I10" s="28">
        <v>17</v>
      </c>
      <c r="J10" s="72">
        <v>17</v>
      </c>
      <c r="K10" s="46">
        <f t="shared" si="0"/>
        <v>0</v>
      </c>
      <c r="L10" s="46">
        <f t="shared" si="1"/>
        <v>0</v>
      </c>
      <c r="M10" s="46">
        <f t="shared" si="2"/>
        <v>100</v>
      </c>
      <c r="N10" s="67">
        <f t="shared" si="3"/>
        <v>100</v>
      </c>
      <c r="O10" s="45"/>
      <c r="P10" s="46"/>
      <c r="Q10" s="46">
        <v>51.8</v>
      </c>
      <c r="R10" s="47">
        <f t="shared" si="4"/>
        <v>51.8</v>
      </c>
      <c r="S10" s="28">
        <v>1</v>
      </c>
      <c r="T10" s="284"/>
      <c r="U10" s="293"/>
      <c r="V10" s="37" t="s">
        <v>1012</v>
      </c>
      <c r="W10" s="28" t="s">
        <v>979</v>
      </c>
      <c r="X10" s="28" t="s">
        <v>12</v>
      </c>
      <c r="Y10" s="38">
        <v>51.8</v>
      </c>
      <c r="AD10" s="37"/>
      <c r="AG10" s="38"/>
      <c r="AL10" s="37"/>
      <c r="AO10" s="38"/>
      <c r="AP10" s="37"/>
      <c r="AS10" s="38"/>
      <c r="AW10" s="38"/>
      <c r="BA10" s="39"/>
    </row>
    <row r="11" spans="1:53" s="28" customFormat="1" x14ac:dyDescent="0.15">
      <c r="A11" s="28">
        <v>1994</v>
      </c>
      <c r="B11" s="293"/>
      <c r="C11" s="394" t="s">
        <v>1140</v>
      </c>
      <c r="D11" s="394"/>
      <c r="E11" s="28">
        <v>365</v>
      </c>
      <c r="G11" s="65"/>
      <c r="I11" s="28">
        <v>17</v>
      </c>
      <c r="J11" s="72">
        <v>17</v>
      </c>
      <c r="K11" s="46">
        <f t="shared" si="0"/>
        <v>0</v>
      </c>
      <c r="L11" s="46">
        <f t="shared" si="1"/>
        <v>0</v>
      </c>
      <c r="M11" s="46">
        <f t="shared" si="2"/>
        <v>100</v>
      </c>
      <c r="N11" s="67">
        <f t="shared" si="3"/>
        <v>100</v>
      </c>
      <c r="O11" s="45"/>
      <c r="P11" s="46"/>
      <c r="Q11" s="46">
        <v>51.8</v>
      </c>
      <c r="R11" s="47">
        <f t="shared" si="4"/>
        <v>51.8</v>
      </c>
      <c r="S11" s="28">
        <v>1</v>
      </c>
      <c r="T11" s="284"/>
      <c r="U11" s="293"/>
      <c r="V11" s="37" t="s">
        <v>1012</v>
      </c>
      <c r="W11" s="28" t="s">
        <v>979</v>
      </c>
      <c r="X11" s="28" t="s">
        <v>12</v>
      </c>
      <c r="Y11" s="38">
        <v>51.8</v>
      </c>
      <c r="AD11" s="37"/>
      <c r="AG11" s="38"/>
      <c r="AL11" s="37"/>
      <c r="AO11" s="38"/>
      <c r="AP11" s="37"/>
      <c r="AS11" s="38"/>
      <c r="AW11" s="38"/>
      <c r="BA11" s="39"/>
    </row>
    <row r="12" spans="1:53" s="28" customFormat="1" x14ac:dyDescent="0.15">
      <c r="A12" s="28">
        <v>1995</v>
      </c>
      <c r="B12" s="293"/>
      <c r="C12" s="394" t="s">
        <v>1140</v>
      </c>
      <c r="D12" s="394"/>
      <c r="E12" s="28">
        <v>0</v>
      </c>
      <c r="G12" s="65"/>
      <c r="I12" s="28">
        <v>17</v>
      </c>
      <c r="J12" s="72">
        <v>17</v>
      </c>
      <c r="K12" s="46">
        <f t="shared" si="0"/>
        <v>0</v>
      </c>
      <c r="L12" s="46">
        <f t="shared" si="1"/>
        <v>0</v>
      </c>
      <c r="M12" s="46">
        <f t="shared" si="2"/>
        <v>100</v>
      </c>
      <c r="N12" s="67">
        <f t="shared" si="3"/>
        <v>100</v>
      </c>
      <c r="O12" s="45"/>
      <c r="P12" s="46"/>
      <c r="Q12" s="46">
        <v>51.8</v>
      </c>
      <c r="R12" s="47">
        <f t="shared" si="4"/>
        <v>51.8</v>
      </c>
      <c r="S12" s="28">
        <v>1</v>
      </c>
      <c r="T12" s="284"/>
      <c r="U12" s="293"/>
      <c r="V12" s="37" t="s">
        <v>1012</v>
      </c>
      <c r="W12" s="28" t="s">
        <v>979</v>
      </c>
      <c r="X12" s="28" t="s">
        <v>12</v>
      </c>
      <c r="Y12" s="38">
        <v>51.8</v>
      </c>
      <c r="AD12" s="37"/>
      <c r="AG12" s="38"/>
      <c r="AL12" s="37"/>
      <c r="AO12" s="38"/>
      <c r="AP12" s="37"/>
      <c r="AS12" s="38"/>
      <c r="AW12" s="38"/>
      <c r="BA12" s="39"/>
    </row>
    <row r="13" spans="1:53" s="28" customFormat="1" x14ac:dyDescent="0.15">
      <c r="A13" s="28">
        <v>1995</v>
      </c>
      <c r="B13" s="293"/>
      <c r="C13" s="394" t="s">
        <v>1140</v>
      </c>
      <c r="D13" s="394"/>
      <c r="E13" s="28">
        <v>365</v>
      </c>
      <c r="G13" s="65"/>
      <c r="I13" s="28">
        <v>17</v>
      </c>
      <c r="J13" s="72">
        <v>17</v>
      </c>
      <c r="K13" s="46">
        <f t="shared" si="0"/>
        <v>0</v>
      </c>
      <c r="L13" s="46">
        <f t="shared" si="1"/>
        <v>0</v>
      </c>
      <c r="M13" s="46">
        <f t="shared" si="2"/>
        <v>100</v>
      </c>
      <c r="N13" s="67">
        <f t="shared" si="3"/>
        <v>100</v>
      </c>
      <c r="O13" s="45"/>
      <c r="P13" s="46"/>
      <c r="Q13" s="46">
        <v>51.8</v>
      </c>
      <c r="R13" s="47">
        <f t="shared" si="4"/>
        <v>51.8</v>
      </c>
      <c r="S13" s="28">
        <v>1</v>
      </c>
      <c r="T13" s="284"/>
      <c r="U13" s="293"/>
      <c r="V13" s="37" t="s">
        <v>1012</v>
      </c>
      <c r="W13" s="28" t="s">
        <v>979</v>
      </c>
      <c r="X13" s="28" t="s">
        <v>12</v>
      </c>
      <c r="Y13" s="38">
        <v>51.8</v>
      </c>
      <c r="AD13" s="37"/>
      <c r="AG13" s="38"/>
      <c r="AL13" s="37"/>
      <c r="AO13" s="38"/>
      <c r="AP13" s="37"/>
      <c r="AS13" s="38"/>
      <c r="AW13" s="38"/>
      <c r="BA13" s="39"/>
    </row>
    <row r="14" spans="1:53" s="28" customFormat="1" x14ac:dyDescent="0.15">
      <c r="A14" s="28">
        <v>1996</v>
      </c>
      <c r="B14" s="293"/>
      <c r="C14" s="394" t="s">
        <v>1140</v>
      </c>
      <c r="D14" s="394"/>
      <c r="E14" s="28">
        <v>53</v>
      </c>
      <c r="G14" s="65"/>
      <c r="I14" s="28">
        <v>17</v>
      </c>
      <c r="J14" s="72">
        <v>17</v>
      </c>
      <c r="K14" s="46">
        <f t="shared" si="0"/>
        <v>0</v>
      </c>
      <c r="L14" s="46">
        <f t="shared" si="1"/>
        <v>0</v>
      </c>
      <c r="M14" s="46">
        <f t="shared" si="2"/>
        <v>100</v>
      </c>
      <c r="N14" s="67">
        <f t="shared" si="3"/>
        <v>100</v>
      </c>
      <c r="O14" s="45"/>
      <c r="P14" s="46"/>
      <c r="Q14" s="46">
        <v>51.8</v>
      </c>
      <c r="R14" s="47">
        <f t="shared" si="4"/>
        <v>51.8</v>
      </c>
      <c r="S14" s="28">
        <v>1</v>
      </c>
      <c r="T14" s="284"/>
      <c r="U14" s="293"/>
      <c r="V14" s="37" t="s">
        <v>1012</v>
      </c>
      <c r="W14" s="28" t="s">
        <v>979</v>
      </c>
      <c r="X14" s="28" t="s">
        <v>12</v>
      </c>
      <c r="Y14" s="38">
        <v>51.8</v>
      </c>
      <c r="AD14" s="37"/>
      <c r="AG14" s="38"/>
      <c r="AL14" s="37"/>
      <c r="AO14" s="38"/>
      <c r="AP14" s="37"/>
      <c r="AS14" s="38"/>
      <c r="AW14" s="38"/>
      <c r="BA14" s="39"/>
    </row>
    <row r="15" spans="1:53" s="170" customFormat="1" x14ac:dyDescent="0.15">
      <c r="A15" s="170">
        <v>1996</v>
      </c>
      <c r="B15" s="281">
        <v>35118</v>
      </c>
      <c r="C15" s="395" t="s">
        <v>1141</v>
      </c>
      <c r="D15" s="395"/>
      <c r="E15" s="170">
        <v>278</v>
      </c>
      <c r="F15" s="170">
        <v>6</v>
      </c>
      <c r="G15" s="232"/>
      <c r="I15" s="170">
        <v>18</v>
      </c>
      <c r="J15" s="240">
        <v>18</v>
      </c>
      <c r="K15" s="213">
        <f t="shared" si="0"/>
        <v>0</v>
      </c>
      <c r="L15" s="213">
        <f t="shared" si="1"/>
        <v>0</v>
      </c>
      <c r="M15" s="213">
        <f t="shared" si="2"/>
        <v>100</v>
      </c>
      <c r="N15" s="234">
        <f t="shared" si="3"/>
        <v>100</v>
      </c>
      <c r="O15" s="212"/>
      <c r="P15" s="213"/>
      <c r="Q15" s="213">
        <v>51.8</v>
      </c>
      <c r="R15" s="214">
        <f t="shared" si="4"/>
        <v>51.8</v>
      </c>
      <c r="S15" s="170">
        <v>1</v>
      </c>
      <c r="T15" s="283"/>
      <c r="U15" s="281">
        <v>35118</v>
      </c>
      <c r="V15" s="177" t="s">
        <v>1012</v>
      </c>
      <c r="W15" s="170" t="s">
        <v>979</v>
      </c>
      <c r="X15" s="170" t="s">
        <v>12</v>
      </c>
      <c r="Y15" s="178">
        <v>51.8</v>
      </c>
      <c r="AD15" s="177"/>
      <c r="AG15" s="178"/>
      <c r="AL15" s="177"/>
      <c r="AO15" s="178"/>
      <c r="AP15" s="177"/>
      <c r="AS15" s="178"/>
      <c r="AW15" s="178"/>
      <c r="BA15" s="179"/>
    </row>
    <row r="16" spans="1:53" s="28" customFormat="1" x14ac:dyDescent="0.15">
      <c r="A16" s="28">
        <v>1996</v>
      </c>
      <c r="B16" s="293">
        <v>35396</v>
      </c>
      <c r="C16" s="394" t="s">
        <v>1142</v>
      </c>
      <c r="D16" s="394"/>
      <c r="E16" s="28">
        <f xml:space="preserve"> 366-E15-E14</f>
        <v>35</v>
      </c>
      <c r="F16" s="28">
        <v>1</v>
      </c>
      <c r="G16" s="65">
        <v>13</v>
      </c>
      <c r="H16" s="28">
        <v>3</v>
      </c>
      <c r="J16" s="72">
        <v>17</v>
      </c>
      <c r="K16" s="46">
        <f t="shared" si="0"/>
        <v>76.470588235294116</v>
      </c>
      <c r="L16" s="46">
        <f t="shared" si="1"/>
        <v>17.647058823529413</v>
      </c>
      <c r="M16" s="46">
        <f t="shared" si="2"/>
        <v>0</v>
      </c>
      <c r="N16" s="67">
        <f t="shared" si="3"/>
        <v>94.117647058823536</v>
      </c>
      <c r="O16" s="45">
        <v>60.6</v>
      </c>
      <c r="P16" s="46">
        <v>11.7</v>
      </c>
      <c r="Q16" s="46"/>
      <c r="R16" s="47">
        <f t="shared" si="4"/>
        <v>72.3</v>
      </c>
      <c r="S16" s="28">
        <v>3</v>
      </c>
      <c r="T16" s="284">
        <v>35380</v>
      </c>
      <c r="U16" s="293">
        <v>35396</v>
      </c>
      <c r="V16" s="37" t="s">
        <v>1007</v>
      </c>
      <c r="W16" s="28" t="s">
        <v>87</v>
      </c>
      <c r="X16" s="28" t="s">
        <v>11</v>
      </c>
      <c r="Y16" s="38">
        <v>51.1</v>
      </c>
      <c r="Z16" s="28" t="s">
        <v>1013</v>
      </c>
      <c r="AA16" s="28" t="s">
        <v>17</v>
      </c>
      <c r="AB16" s="28" t="s">
        <v>18</v>
      </c>
      <c r="AC16" s="28">
        <v>11.7</v>
      </c>
      <c r="AD16" s="37" t="s">
        <v>1014</v>
      </c>
      <c r="AE16" s="28" t="s">
        <v>22</v>
      </c>
      <c r="AF16" s="28" t="s">
        <v>11</v>
      </c>
      <c r="AG16" s="38">
        <v>9.5</v>
      </c>
      <c r="AL16" s="37"/>
      <c r="AO16" s="38"/>
      <c r="AP16" s="37"/>
      <c r="AS16" s="38"/>
      <c r="AW16" s="38"/>
      <c r="BA16" s="39"/>
    </row>
    <row r="17" spans="1:53" s="28" customFormat="1" x14ac:dyDescent="0.15">
      <c r="A17" s="28">
        <v>1997</v>
      </c>
      <c r="B17" s="293"/>
      <c r="C17" s="394" t="s">
        <v>1142</v>
      </c>
      <c r="D17" s="394"/>
      <c r="E17" s="28">
        <v>0</v>
      </c>
      <c r="G17" s="65">
        <v>13</v>
      </c>
      <c r="H17" s="28">
        <v>3</v>
      </c>
      <c r="J17" s="72">
        <v>17</v>
      </c>
      <c r="K17" s="46">
        <f t="shared" si="0"/>
        <v>76.470588235294116</v>
      </c>
      <c r="L17" s="46">
        <f t="shared" si="1"/>
        <v>17.647058823529413</v>
      </c>
      <c r="M17" s="46">
        <f t="shared" si="2"/>
        <v>0</v>
      </c>
      <c r="N17" s="67">
        <f t="shared" si="3"/>
        <v>94.117647058823536</v>
      </c>
      <c r="O17" s="45">
        <v>60.6</v>
      </c>
      <c r="P17" s="46">
        <v>11.7</v>
      </c>
      <c r="Q17" s="46"/>
      <c r="R17" s="47">
        <f t="shared" si="4"/>
        <v>72.3</v>
      </c>
      <c r="S17" s="28">
        <v>3</v>
      </c>
      <c r="T17" s="284"/>
      <c r="U17" s="293"/>
      <c r="V17" s="37" t="s">
        <v>1007</v>
      </c>
      <c r="W17" s="28" t="s">
        <v>87</v>
      </c>
      <c r="X17" s="28" t="s">
        <v>11</v>
      </c>
      <c r="Y17" s="38">
        <v>51.1</v>
      </c>
      <c r="Z17" s="28" t="s">
        <v>1013</v>
      </c>
      <c r="AA17" s="28" t="s">
        <v>17</v>
      </c>
      <c r="AB17" s="28" t="s">
        <v>18</v>
      </c>
      <c r="AC17" s="28">
        <v>11.7</v>
      </c>
      <c r="AD17" s="37" t="s">
        <v>1014</v>
      </c>
      <c r="AE17" s="28" t="s">
        <v>22</v>
      </c>
      <c r="AF17" s="28" t="s">
        <v>11</v>
      </c>
      <c r="AG17" s="38">
        <v>9.5</v>
      </c>
      <c r="AL17" s="37"/>
      <c r="AO17" s="38"/>
      <c r="AP17" s="37"/>
      <c r="AS17" s="38"/>
      <c r="AW17" s="38"/>
      <c r="BA17" s="39"/>
    </row>
    <row r="18" spans="1:53" s="28" customFormat="1" x14ac:dyDescent="0.15">
      <c r="A18" s="28">
        <v>1997</v>
      </c>
      <c r="B18" s="293"/>
      <c r="C18" s="394" t="s">
        <v>1142</v>
      </c>
      <c r="D18" s="394"/>
      <c r="E18" s="28">
        <v>365</v>
      </c>
      <c r="G18" s="65">
        <v>13</v>
      </c>
      <c r="H18" s="28">
        <v>3</v>
      </c>
      <c r="J18" s="72">
        <v>17</v>
      </c>
      <c r="K18" s="46">
        <f t="shared" si="0"/>
        <v>76.470588235294116</v>
      </c>
      <c r="L18" s="46">
        <f t="shared" si="1"/>
        <v>17.647058823529413</v>
      </c>
      <c r="M18" s="46">
        <f t="shared" si="2"/>
        <v>0</v>
      </c>
      <c r="N18" s="67">
        <f t="shared" si="3"/>
        <v>94.117647058823536</v>
      </c>
      <c r="O18" s="45">
        <v>60.6</v>
      </c>
      <c r="P18" s="46">
        <v>11.7</v>
      </c>
      <c r="Q18" s="46"/>
      <c r="R18" s="47">
        <f t="shared" si="4"/>
        <v>72.3</v>
      </c>
      <c r="S18" s="28">
        <v>3</v>
      </c>
      <c r="T18" s="284"/>
      <c r="U18" s="293"/>
      <c r="V18" s="37" t="s">
        <v>1007</v>
      </c>
      <c r="W18" s="28" t="s">
        <v>87</v>
      </c>
      <c r="X18" s="28" t="s">
        <v>11</v>
      </c>
      <c r="Y18" s="38">
        <v>51.1</v>
      </c>
      <c r="Z18" s="28" t="s">
        <v>1013</v>
      </c>
      <c r="AA18" s="28" t="s">
        <v>17</v>
      </c>
      <c r="AB18" s="28" t="s">
        <v>18</v>
      </c>
      <c r="AC18" s="28">
        <v>11.7</v>
      </c>
      <c r="AD18" s="37" t="s">
        <v>1014</v>
      </c>
      <c r="AE18" s="28" t="s">
        <v>22</v>
      </c>
      <c r="AF18" s="28" t="s">
        <v>11</v>
      </c>
      <c r="AG18" s="38">
        <v>9.5</v>
      </c>
      <c r="AL18" s="37"/>
      <c r="AO18" s="38"/>
      <c r="AP18" s="37"/>
      <c r="AS18" s="38"/>
      <c r="AW18" s="38"/>
      <c r="BA18" s="39"/>
    </row>
    <row r="19" spans="1:53" s="28" customFormat="1" x14ac:dyDescent="0.15">
      <c r="A19" s="28">
        <v>1998</v>
      </c>
      <c r="B19" s="293"/>
      <c r="C19" s="394" t="s">
        <v>1142</v>
      </c>
      <c r="D19" s="394"/>
      <c r="E19" s="28">
        <v>83</v>
      </c>
      <c r="G19" s="65">
        <v>13</v>
      </c>
      <c r="H19" s="28">
        <v>3</v>
      </c>
      <c r="J19" s="72">
        <v>17</v>
      </c>
      <c r="K19" s="46">
        <f t="shared" si="0"/>
        <v>76.470588235294116</v>
      </c>
      <c r="L19" s="46">
        <f t="shared" si="1"/>
        <v>17.647058823529413</v>
      </c>
      <c r="M19" s="46">
        <f t="shared" si="2"/>
        <v>0</v>
      </c>
      <c r="N19" s="67">
        <f t="shared" si="3"/>
        <v>94.117647058823536</v>
      </c>
      <c r="O19" s="45">
        <v>60.6</v>
      </c>
      <c r="P19" s="46">
        <v>11.7</v>
      </c>
      <c r="Q19" s="46"/>
      <c r="R19" s="47">
        <f t="shared" si="4"/>
        <v>72.3</v>
      </c>
      <c r="S19" s="28">
        <v>3</v>
      </c>
      <c r="T19" s="284"/>
      <c r="U19" s="293"/>
      <c r="V19" s="37" t="s">
        <v>1007</v>
      </c>
      <c r="W19" s="28" t="s">
        <v>87</v>
      </c>
      <c r="X19" s="28" t="s">
        <v>11</v>
      </c>
      <c r="Y19" s="38">
        <v>51.1</v>
      </c>
      <c r="Z19" s="28" t="s">
        <v>1013</v>
      </c>
      <c r="AA19" s="28" t="s">
        <v>17</v>
      </c>
      <c r="AB19" s="28" t="s">
        <v>18</v>
      </c>
      <c r="AC19" s="28">
        <v>11.7</v>
      </c>
      <c r="AD19" s="37" t="s">
        <v>1014</v>
      </c>
      <c r="AE19" s="28" t="s">
        <v>22</v>
      </c>
      <c r="AF19" s="28" t="s">
        <v>11</v>
      </c>
      <c r="AG19" s="38">
        <v>9.5</v>
      </c>
      <c r="AL19" s="37"/>
      <c r="AO19" s="38"/>
      <c r="AP19" s="37"/>
      <c r="AS19" s="38"/>
      <c r="AW19" s="38"/>
      <c r="BA19" s="39"/>
    </row>
    <row r="20" spans="1:53" s="28" customFormat="1" x14ac:dyDescent="0.15">
      <c r="A20" s="28">
        <v>1998</v>
      </c>
      <c r="B20" s="301">
        <v>35879</v>
      </c>
      <c r="C20" s="394" t="s">
        <v>1142</v>
      </c>
      <c r="D20" s="394"/>
      <c r="E20" s="28">
        <v>282</v>
      </c>
      <c r="F20" s="83">
        <v>0</v>
      </c>
      <c r="G20" s="65">
        <v>10</v>
      </c>
      <c r="H20" s="28">
        <v>2</v>
      </c>
      <c r="J20" s="72">
        <v>15</v>
      </c>
      <c r="K20" s="46">
        <f t="shared" si="0"/>
        <v>66.666666666666657</v>
      </c>
      <c r="L20" s="46">
        <f t="shared" si="1"/>
        <v>13.333333333333334</v>
      </c>
      <c r="M20" s="46">
        <f t="shared" si="2"/>
        <v>0</v>
      </c>
      <c r="N20" s="67">
        <f t="shared" si="3"/>
        <v>79.999999999999986</v>
      </c>
      <c r="O20" s="45">
        <v>60.6</v>
      </c>
      <c r="P20" s="46">
        <v>11.7</v>
      </c>
      <c r="Q20" s="46"/>
      <c r="R20" s="47">
        <f t="shared" si="4"/>
        <v>72.3</v>
      </c>
      <c r="S20" s="28">
        <v>3</v>
      </c>
      <c r="T20" s="284"/>
      <c r="U20" s="293"/>
      <c r="V20" s="37" t="s">
        <v>1007</v>
      </c>
      <c r="W20" s="28" t="s">
        <v>87</v>
      </c>
      <c r="X20" s="28" t="s">
        <v>11</v>
      </c>
      <c r="Y20" s="38">
        <v>51.1</v>
      </c>
      <c r="Z20" s="28" t="s">
        <v>1013</v>
      </c>
      <c r="AA20" s="28" t="s">
        <v>17</v>
      </c>
      <c r="AB20" s="28" t="s">
        <v>18</v>
      </c>
      <c r="AC20" s="28">
        <v>11.7</v>
      </c>
      <c r="AD20" s="37" t="s">
        <v>1014</v>
      </c>
      <c r="AE20" s="28" t="s">
        <v>22</v>
      </c>
      <c r="AF20" s="28" t="s">
        <v>11</v>
      </c>
      <c r="AG20" s="38">
        <v>9.5</v>
      </c>
      <c r="AL20" s="37"/>
      <c r="AO20" s="38"/>
      <c r="AP20" s="37"/>
      <c r="AS20" s="38"/>
      <c r="AW20" s="38"/>
      <c r="BA20" s="39"/>
    </row>
    <row r="21" spans="1:53" s="28" customFormat="1" x14ac:dyDescent="0.15">
      <c r="A21" s="28">
        <v>1999</v>
      </c>
      <c r="B21" s="293"/>
      <c r="C21" s="394" t="s">
        <v>1142</v>
      </c>
      <c r="D21" s="394"/>
      <c r="E21" s="28">
        <v>137</v>
      </c>
      <c r="G21" s="65">
        <v>10</v>
      </c>
      <c r="H21" s="28">
        <v>2</v>
      </c>
      <c r="J21" s="72">
        <v>15</v>
      </c>
      <c r="K21" s="46">
        <f t="shared" si="0"/>
        <v>66.666666666666657</v>
      </c>
      <c r="L21" s="46">
        <f t="shared" si="1"/>
        <v>13.333333333333334</v>
      </c>
      <c r="M21" s="46">
        <f t="shared" si="2"/>
        <v>0</v>
      </c>
      <c r="N21" s="67">
        <f t="shared" si="3"/>
        <v>79.999999999999986</v>
      </c>
      <c r="O21" s="45">
        <v>60.6</v>
      </c>
      <c r="P21" s="46">
        <v>11.7</v>
      </c>
      <c r="Q21" s="46"/>
      <c r="R21" s="47">
        <f t="shared" si="4"/>
        <v>72.3</v>
      </c>
      <c r="S21" s="28">
        <v>3</v>
      </c>
      <c r="T21" s="284"/>
      <c r="U21" s="293"/>
      <c r="V21" s="37" t="s">
        <v>1007</v>
      </c>
      <c r="W21" s="28" t="s">
        <v>87</v>
      </c>
      <c r="X21" s="28" t="s">
        <v>11</v>
      </c>
      <c r="Y21" s="38">
        <v>51.1</v>
      </c>
      <c r="Z21" s="28" t="s">
        <v>1013</v>
      </c>
      <c r="AA21" s="28" t="s">
        <v>17</v>
      </c>
      <c r="AB21" s="28" t="s">
        <v>18</v>
      </c>
      <c r="AC21" s="28">
        <v>11.7</v>
      </c>
      <c r="AD21" s="37" t="s">
        <v>1014</v>
      </c>
      <c r="AE21" s="28" t="s">
        <v>22</v>
      </c>
      <c r="AF21" s="28" t="s">
        <v>11</v>
      </c>
      <c r="AG21" s="38">
        <v>9.5</v>
      </c>
      <c r="AL21" s="37"/>
      <c r="AO21" s="38"/>
      <c r="AP21" s="37"/>
      <c r="AS21" s="38"/>
      <c r="AW21" s="38"/>
      <c r="BA21" s="39"/>
    </row>
    <row r="22" spans="1:53" s="170" customFormat="1" x14ac:dyDescent="0.15">
      <c r="A22" s="170">
        <v>1999</v>
      </c>
      <c r="B22" s="281">
        <v>36298</v>
      </c>
      <c r="C22" s="395" t="s">
        <v>1015</v>
      </c>
      <c r="D22" s="395"/>
      <c r="E22" s="170">
        <v>164</v>
      </c>
      <c r="F22" s="170">
        <v>2</v>
      </c>
      <c r="G22" s="232">
        <v>8</v>
      </c>
      <c r="H22" s="170">
        <v>2</v>
      </c>
      <c r="J22" s="240">
        <v>14</v>
      </c>
      <c r="K22" s="213">
        <f t="shared" si="0"/>
        <v>57.142857142857139</v>
      </c>
      <c r="L22" s="213">
        <f t="shared" si="1"/>
        <v>14.285714285714285</v>
      </c>
      <c r="M22" s="213">
        <f t="shared" si="2"/>
        <v>0</v>
      </c>
      <c r="N22" s="234">
        <f t="shared" si="3"/>
        <v>71.428571428571416</v>
      </c>
      <c r="O22" s="212">
        <v>60.6</v>
      </c>
      <c r="P22" s="213">
        <v>11.7</v>
      </c>
      <c r="Q22" s="213"/>
      <c r="R22" s="214">
        <f>SUM(O22:Q22)</f>
        <v>72.3</v>
      </c>
      <c r="S22" s="170">
        <v>3</v>
      </c>
      <c r="T22" s="283"/>
      <c r="U22" s="281">
        <v>36298</v>
      </c>
      <c r="V22" s="177" t="s">
        <v>1007</v>
      </c>
      <c r="W22" s="170" t="s">
        <v>87</v>
      </c>
      <c r="X22" s="170" t="s">
        <v>11</v>
      </c>
      <c r="Y22" s="178">
        <v>51.1</v>
      </c>
      <c r="Z22" s="170" t="s">
        <v>1013</v>
      </c>
      <c r="AA22" s="170" t="s">
        <v>17</v>
      </c>
      <c r="AB22" s="170" t="s">
        <v>18</v>
      </c>
      <c r="AC22" s="170">
        <v>11.7</v>
      </c>
      <c r="AD22" s="177" t="s">
        <v>1014</v>
      </c>
      <c r="AE22" s="170" t="s">
        <v>22</v>
      </c>
      <c r="AF22" s="170" t="s">
        <v>11</v>
      </c>
      <c r="AG22" s="178">
        <v>9.5</v>
      </c>
      <c r="AL22" s="177"/>
      <c r="AO22" s="178"/>
      <c r="AP22" s="177"/>
      <c r="AS22" s="178"/>
      <c r="AW22" s="178"/>
      <c r="BA22" s="179"/>
    </row>
    <row r="23" spans="1:53" s="28" customFormat="1" x14ac:dyDescent="0.15">
      <c r="A23" s="28">
        <v>1999</v>
      </c>
      <c r="B23" s="293">
        <v>36462</v>
      </c>
      <c r="C23" s="394" t="s">
        <v>1016</v>
      </c>
      <c r="D23" s="394"/>
      <c r="E23" s="28">
        <v>64</v>
      </c>
      <c r="F23" s="28">
        <v>2</v>
      </c>
      <c r="G23" s="65">
        <v>7</v>
      </c>
      <c r="H23" s="28">
        <v>2</v>
      </c>
      <c r="J23" s="72">
        <v>14</v>
      </c>
      <c r="K23" s="46">
        <f t="shared" si="0"/>
        <v>50</v>
      </c>
      <c r="L23" s="46">
        <f t="shared" si="1"/>
        <v>14.285714285714285</v>
      </c>
      <c r="M23" s="46">
        <f t="shared" si="2"/>
        <v>0</v>
      </c>
      <c r="N23" s="46">
        <f t="shared" si="3"/>
        <v>64.285714285714278</v>
      </c>
      <c r="O23" s="45">
        <v>60.6</v>
      </c>
      <c r="P23" s="46">
        <v>11.7</v>
      </c>
      <c r="Q23" s="46"/>
      <c r="R23" s="47">
        <f t="shared" si="4"/>
        <v>72.3</v>
      </c>
      <c r="S23" s="28">
        <v>3</v>
      </c>
      <c r="T23" s="284"/>
      <c r="U23" s="293">
        <v>36462</v>
      </c>
      <c r="V23" s="37" t="s">
        <v>1007</v>
      </c>
      <c r="W23" s="28" t="s">
        <v>87</v>
      </c>
      <c r="X23" s="28" t="s">
        <v>11</v>
      </c>
      <c r="Y23" s="38">
        <v>51.1</v>
      </c>
      <c r="Z23" s="28" t="s">
        <v>1013</v>
      </c>
      <c r="AA23" s="28" t="s">
        <v>17</v>
      </c>
      <c r="AB23" s="28" t="s">
        <v>18</v>
      </c>
      <c r="AC23" s="28">
        <v>11.7</v>
      </c>
      <c r="AD23" s="37" t="s">
        <v>1014</v>
      </c>
      <c r="AE23" s="28" t="s">
        <v>22</v>
      </c>
      <c r="AF23" s="28" t="s">
        <v>11</v>
      </c>
      <c r="AG23" s="38">
        <v>9.5</v>
      </c>
      <c r="AL23" s="37"/>
      <c r="AO23" s="38"/>
      <c r="AP23" s="37"/>
      <c r="AS23" s="38"/>
      <c r="AW23" s="38"/>
      <c r="BA23" s="39"/>
    </row>
    <row r="24" spans="1:53" s="28" customFormat="1" x14ac:dyDescent="0.15">
      <c r="A24" s="28">
        <v>2000</v>
      </c>
      <c r="B24" s="293"/>
      <c r="C24" s="394" t="s">
        <v>1016</v>
      </c>
      <c r="D24" s="394"/>
      <c r="E24" s="28">
        <v>300</v>
      </c>
      <c r="G24" s="65">
        <v>7</v>
      </c>
      <c r="H24" s="28">
        <v>2</v>
      </c>
      <c r="J24" s="72">
        <v>14</v>
      </c>
      <c r="K24" s="46">
        <f>G24/J24*100</f>
        <v>50</v>
      </c>
      <c r="L24" s="46">
        <f>H24/J24*100</f>
        <v>14.285714285714285</v>
      </c>
      <c r="M24" s="46">
        <f>I24/J24*100</f>
        <v>0</v>
      </c>
      <c r="N24" s="46">
        <f>SUM(K24:M24)</f>
        <v>64.285714285714278</v>
      </c>
      <c r="O24" s="45">
        <v>60.6</v>
      </c>
      <c r="P24" s="46">
        <v>11.7</v>
      </c>
      <c r="Q24" s="46"/>
      <c r="R24" s="47">
        <f t="shared" si="4"/>
        <v>72.3</v>
      </c>
      <c r="S24" s="28">
        <v>3</v>
      </c>
      <c r="T24" s="284"/>
      <c r="U24" s="293"/>
      <c r="V24" s="37" t="s">
        <v>1007</v>
      </c>
      <c r="W24" s="28" t="s">
        <v>87</v>
      </c>
      <c r="X24" s="28" t="s">
        <v>11</v>
      </c>
      <c r="Y24" s="38">
        <v>51.1</v>
      </c>
      <c r="Z24" s="28" t="s">
        <v>1013</v>
      </c>
      <c r="AA24" s="28" t="s">
        <v>17</v>
      </c>
      <c r="AB24" s="28" t="s">
        <v>18</v>
      </c>
      <c r="AC24" s="28">
        <v>11.7</v>
      </c>
      <c r="AD24" s="37" t="s">
        <v>1014</v>
      </c>
      <c r="AE24" s="28" t="s">
        <v>22</v>
      </c>
      <c r="AF24" s="28" t="s">
        <v>11</v>
      </c>
      <c r="AG24" s="38">
        <v>9.5</v>
      </c>
      <c r="AL24" s="37"/>
      <c r="AO24" s="38"/>
      <c r="AP24" s="37"/>
      <c r="AS24" s="38"/>
      <c r="AW24" s="38"/>
      <c r="BA24" s="39"/>
    </row>
    <row r="25" spans="1:53" s="170" customFormat="1" x14ac:dyDescent="0.15">
      <c r="A25" s="170">
        <v>2000</v>
      </c>
      <c r="B25" s="281">
        <v>36826</v>
      </c>
      <c r="C25" s="395" t="s">
        <v>1143</v>
      </c>
      <c r="D25" s="395"/>
      <c r="E25" s="170">
        <f xml:space="preserve"> 366-E24</f>
        <v>66</v>
      </c>
      <c r="F25" s="170">
        <v>1</v>
      </c>
      <c r="G25" s="232">
        <v>7</v>
      </c>
      <c r="H25" s="170">
        <v>6</v>
      </c>
      <c r="J25" s="240">
        <v>14</v>
      </c>
      <c r="K25" s="213">
        <f>G25/J25*100</f>
        <v>50</v>
      </c>
      <c r="L25" s="213">
        <f>H25/J25*100</f>
        <v>42.857142857142854</v>
      </c>
      <c r="M25" s="213">
        <f>I25/J25*100</f>
        <v>0</v>
      </c>
      <c r="N25" s="234">
        <f>SUM(K25:M25)</f>
        <v>92.857142857142861</v>
      </c>
      <c r="O25" s="212">
        <v>23.4</v>
      </c>
      <c r="P25" s="213">
        <v>19.899999999999999</v>
      </c>
      <c r="Q25" s="213"/>
      <c r="R25" s="214">
        <f t="shared" si="4"/>
        <v>43.3</v>
      </c>
      <c r="S25" s="170">
        <v>5</v>
      </c>
      <c r="T25" s="283">
        <v>36807</v>
      </c>
      <c r="U25" s="281">
        <v>36826</v>
      </c>
      <c r="V25" s="177" t="s">
        <v>1018</v>
      </c>
      <c r="W25" s="170" t="s">
        <v>99</v>
      </c>
      <c r="X25" s="170" t="s">
        <v>11</v>
      </c>
      <c r="Y25" s="178">
        <v>23.4</v>
      </c>
      <c r="Z25" s="170" t="s">
        <v>1003</v>
      </c>
      <c r="AA25" s="170" t="s">
        <v>1019</v>
      </c>
      <c r="AB25" s="170" t="s">
        <v>18</v>
      </c>
      <c r="AC25" s="170">
        <v>19.899999999999999</v>
      </c>
      <c r="AD25" s="177"/>
      <c r="AG25" s="178"/>
      <c r="AL25" s="177"/>
      <c r="AO25" s="178"/>
      <c r="AP25" s="177"/>
      <c r="AS25" s="178"/>
      <c r="AW25" s="178"/>
      <c r="BA25" s="179"/>
    </row>
    <row r="26" spans="1:53" s="170" customFormat="1" x14ac:dyDescent="0.15">
      <c r="A26" s="170">
        <v>2001</v>
      </c>
      <c r="B26" s="281"/>
      <c r="C26" s="395" t="s">
        <v>1143</v>
      </c>
      <c r="D26" s="395"/>
      <c r="E26" s="170">
        <v>185</v>
      </c>
      <c r="G26" s="232">
        <v>7</v>
      </c>
      <c r="H26" s="170">
        <v>6</v>
      </c>
      <c r="J26" s="240">
        <v>14</v>
      </c>
      <c r="K26" s="213">
        <f>G26/J26*100</f>
        <v>50</v>
      </c>
      <c r="L26" s="213">
        <f>H26/J26*100</f>
        <v>42.857142857142854</v>
      </c>
      <c r="M26" s="213">
        <f>I26/J26*100</f>
        <v>0</v>
      </c>
      <c r="N26" s="234">
        <f>SUM(K26:M26)</f>
        <v>92.857142857142861</v>
      </c>
      <c r="O26" s="212">
        <v>23.4</v>
      </c>
      <c r="P26" s="213">
        <v>19.899999999999999</v>
      </c>
      <c r="Q26" s="213"/>
      <c r="R26" s="214">
        <f t="shared" si="4"/>
        <v>43.3</v>
      </c>
      <c r="S26" s="170">
        <v>5</v>
      </c>
      <c r="T26" s="283"/>
      <c r="U26" s="281"/>
      <c r="V26" s="177" t="s">
        <v>1018</v>
      </c>
      <c r="W26" s="170" t="s">
        <v>99</v>
      </c>
      <c r="X26" s="170" t="s">
        <v>11</v>
      </c>
      <c r="Y26" s="178">
        <v>23.4</v>
      </c>
      <c r="Z26" s="170" t="s">
        <v>1003</v>
      </c>
      <c r="AA26" s="170" t="s">
        <v>1019</v>
      </c>
      <c r="AB26" s="170" t="s">
        <v>18</v>
      </c>
      <c r="AC26" s="170">
        <v>19.899999999999999</v>
      </c>
      <c r="AD26" s="177"/>
      <c r="AG26" s="178"/>
      <c r="AL26" s="177"/>
      <c r="AO26" s="178"/>
      <c r="AP26" s="177"/>
      <c r="AS26" s="178"/>
      <c r="AW26" s="178"/>
      <c r="BA26" s="179"/>
    </row>
    <row r="27" spans="1:53" s="28" customFormat="1" x14ac:dyDescent="0.15">
      <c r="A27" s="28">
        <v>2001</v>
      </c>
      <c r="B27" s="312">
        <v>37077</v>
      </c>
      <c r="C27" s="394" t="s">
        <v>1002</v>
      </c>
      <c r="D27" s="394"/>
      <c r="E27" s="28">
        <f xml:space="preserve"> 365-E26</f>
        <v>180</v>
      </c>
      <c r="F27" s="28">
        <v>7</v>
      </c>
      <c r="G27" s="65"/>
      <c r="H27" s="28">
        <v>6</v>
      </c>
      <c r="I27" s="28">
        <v>4</v>
      </c>
      <c r="J27" s="72">
        <v>14</v>
      </c>
      <c r="K27" s="46">
        <f t="shared" si="0"/>
        <v>0</v>
      </c>
      <c r="L27" s="46">
        <f t="shared" si="1"/>
        <v>42.857142857142854</v>
      </c>
      <c r="M27" s="46">
        <f t="shared" si="2"/>
        <v>28.571428571428569</v>
      </c>
      <c r="N27" s="67">
        <f t="shared" si="3"/>
        <v>71.428571428571416</v>
      </c>
      <c r="O27" s="45"/>
      <c r="P27" s="46">
        <v>19.899999999999999</v>
      </c>
      <c r="Q27" s="46">
        <v>34</v>
      </c>
      <c r="R27" s="47">
        <f t="shared" si="4"/>
        <v>53.9</v>
      </c>
      <c r="S27" s="28">
        <v>2</v>
      </c>
      <c r="T27" s="284"/>
      <c r="U27" s="312">
        <v>37077</v>
      </c>
      <c r="V27" s="37" t="s">
        <v>1144</v>
      </c>
      <c r="W27" s="28" t="s">
        <v>20</v>
      </c>
      <c r="X27" s="28" t="s">
        <v>12</v>
      </c>
      <c r="Y27" s="38">
        <v>34</v>
      </c>
      <c r="Z27" s="28" t="s">
        <v>1003</v>
      </c>
      <c r="AA27" s="28" t="s">
        <v>306</v>
      </c>
      <c r="AB27" s="28" t="s">
        <v>18</v>
      </c>
      <c r="AC27" s="28">
        <v>19.899999999999999</v>
      </c>
      <c r="AD27" s="37"/>
      <c r="AG27" s="38"/>
      <c r="AL27" s="37"/>
      <c r="AO27" s="38"/>
      <c r="AP27" s="37"/>
      <c r="AS27" s="38"/>
      <c r="AW27" s="38"/>
      <c r="BA27" s="39"/>
    </row>
    <row r="28" spans="1:53" s="28" customFormat="1" x14ac:dyDescent="0.15">
      <c r="A28" s="28">
        <v>2002</v>
      </c>
      <c r="B28" s="312"/>
      <c r="C28" s="394" t="s">
        <v>1002</v>
      </c>
      <c r="D28" s="394"/>
      <c r="E28" s="28">
        <v>0</v>
      </c>
      <c r="G28" s="65"/>
      <c r="H28" s="28">
        <v>6</v>
      </c>
      <c r="I28" s="28">
        <v>4</v>
      </c>
      <c r="J28" s="72">
        <v>14</v>
      </c>
      <c r="K28" s="46">
        <f t="shared" si="0"/>
        <v>0</v>
      </c>
      <c r="L28" s="46">
        <f t="shared" si="1"/>
        <v>42.857142857142854</v>
      </c>
      <c r="M28" s="46">
        <f t="shared" si="2"/>
        <v>28.571428571428569</v>
      </c>
      <c r="N28" s="67">
        <f t="shared" si="3"/>
        <v>71.428571428571416</v>
      </c>
      <c r="O28" s="45"/>
      <c r="P28" s="46">
        <v>19.899999999999999</v>
      </c>
      <c r="Q28" s="46">
        <v>34</v>
      </c>
      <c r="R28" s="47">
        <f t="shared" si="4"/>
        <v>53.9</v>
      </c>
      <c r="S28" s="28">
        <v>2</v>
      </c>
      <c r="T28" s="284"/>
      <c r="U28" s="293"/>
      <c r="V28" s="37" t="s">
        <v>1144</v>
      </c>
      <c r="W28" s="28" t="s">
        <v>20</v>
      </c>
      <c r="X28" s="28" t="s">
        <v>12</v>
      </c>
      <c r="Y28" s="38">
        <v>34</v>
      </c>
      <c r="Z28" s="28" t="s">
        <v>1003</v>
      </c>
      <c r="AA28" s="28" t="s">
        <v>306</v>
      </c>
      <c r="AB28" s="28" t="s">
        <v>18</v>
      </c>
      <c r="AC28" s="28">
        <v>19.899999999999999</v>
      </c>
      <c r="AD28" s="37"/>
      <c r="AG28" s="38"/>
      <c r="AL28" s="37"/>
      <c r="AO28" s="38"/>
      <c r="AP28" s="37"/>
      <c r="AS28" s="38"/>
      <c r="AW28" s="38"/>
      <c r="BA28" s="39"/>
    </row>
    <row r="29" spans="1:53" s="28" customFormat="1" x14ac:dyDescent="0.15">
      <c r="A29" s="28">
        <v>2002</v>
      </c>
      <c r="B29" s="312"/>
      <c r="C29" s="394" t="s">
        <v>1002</v>
      </c>
      <c r="D29" s="394"/>
      <c r="E29" s="28">
        <v>365</v>
      </c>
      <c r="G29" s="65"/>
      <c r="H29" s="28">
        <v>6</v>
      </c>
      <c r="I29" s="28">
        <v>4</v>
      </c>
      <c r="J29" s="72">
        <v>14</v>
      </c>
      <c r="K29" s="46">
        <f t="shared" si="0"/>
        <v>0</v>
      </c>
      <c r="L29" s="46">
        <f t="shared" si="1"/>
        <v>42.857142857142854</v>
      </c>
      <c r="M29" s="46">
        <f t="shared" si="2"/>
        <v>28.571428571428569</v>
      </c>
      <c r="N29" s="67">
        <f t="shared" si="3"/>
        <v>71.428571428571416</v>
      </c>
      <c r="O29" s="45"/>
      <c r="P29" s="46">
        <v>19.899999999999999</v>
      </c>
      <c r="Q29" s="46">
        <v>34</v>
      </c>
      <c r="R29" s="47">
        <f t="shared" si="4"/>
        <v>53.9</v>
      </c>
      <c r="S29" s="28">
        <v>2</v>
      </c>
      <c r="T29" s="284"/>
      <c r="U29" s="293"/>
      <c r="V29" s="37" t="s">
        <v>1144</v>
      </c>
      <c r="W29" s="28" t="s">
        <v>20</v>
      </c>
      <c r="X29" s="28" t="s">
        <v>12</v>
      </c>
      <c r="Y29" s="38">
        <v>34</v>
      </c>
      <c r="Z29" s="28" t="s">
        <v>1003</v>
      </c>
      <c r="AA29" s="28" t="s">
        <v>306</v>
      </c>
      <c r="AB29" s="28" t="s">
        <v>18</v>
      </c>
      <c r="AC29" s="28">
        <v>19.899999999999999</v>
      </c>
      <c r="AD29" s="37"/>
      <c r="AG29" s="38"/>
      <c r="AL29" s="37"/>
      <c r="AO29" s="38"/>
      <c r="AP29" s="37"/>
      <c r="AS29" s="38"/>
      <c r="AW29" s="38"/>
      <c r="BA29" s="39"/>
    </row>
    <row r="30" spans="1:53" s="28" customFormat="1" x14ac:dyDescent="0.15">
      <c r="A30" s="28">
        <v>2003</v>
      </c>
      <c r="B30" s="312"/>
      <c r="C30" s="394" t="s">
        <v>1002</v>
      </c>
      <c r="D30" s="394"/>
      <c r="E30" s="28">
        <v>64</v>
      </c>
      <c r="G30" s="65"/>
      <c r="H30" s="28">
        <v>6</v>
      </c>
      <c r="I30" s="28">
        <v>4</v>
      </c>
      <c r="J30" s="72">
        <v>14</v>
      </c>
      <c r="K30" s="46">
        <f t="shared" si="0"/>
        <v>0</v>
      </c>
      <c r="L30" s="46">
        <f t="shared" si="1"/>
        <v>42.857142857142854</v>
      </c>
      <c r="M30" s="46">
        <f t="shared" si="2"/>
        <v>28.571428571428569</v>
      </c>
      <c r="N30" s="67">
        <f t="shared" si="3"/>
        <v>71.428571428571416</v>
      </c>
      <c r="O30" s="45"/>
      <c r="P30" s="46">
        <v>19.899999999999999</v>
      </c>
      <c r="Q30" s="46">
        <v>34</v>
      </c>
      <c r="R30" s="47">
        <f t="shared" si="4"/>
        <v>53.9</v>
      </c>
      <c r="S30" s="28">
        <v>2</v>
      </c>
      <c r="T30" s="284"/>
      <c r="U30" s="293"/>
      <c r="V30" s="37" t="s">
        <v>1144</v>
      </c>
      <c r="W30" s="28" t="s">
        <v>20</v>
      </c>
      <c r="X30" s="28" t="s">
        <v>12</v>
      </c>
      <c r="Y30" s="38">
        <v>34</v>
      </c>
      <c r="Z30" s="28" t="s">
        <v>1003</v>
      </c>
      <c r="AA30" s="28" t="s">
        <v>306</v>
      </c>
      <c r="AB30" s="28" t="s">
        <v>18</v>
      </c>
      <c r="AC30" s="28">
        <v>19.899999999999999</v>
      </c>
      <c r="AD30" s="37"/>
      <c r="AG30" s="38"/>
      <c r="AL30" s="37"/>
      <c r="AO30" s="38"/>
      <c r="AP30" s="37"/>
      <c r="AS30" s="38"/>
      <c r="AW30" s="38"/>
      <c r="BA30" s="39"/>
    </row>
    <row r="31" spans="1:53" s="28" customFormat="1" x14ac:dyDescent="0.15">
      <c r="A31" s="28">
        <v>2003</v>
      </c>
      <c r="B31" s="313">
        <v>37686</v>
      </c>
      <c r="C31" s="394" t="s">
        <v>1002</v>
      </c>
      <c r="D31" s="394"/>
      <c r="E31" s="28">
        <f xml:space="preserve"> 365-E30</f>
        <v>301</v>
      </c>
      <c r="F31" s="69">
        <v>0</v>
      </c>
      <c r="G31" s="65"/>
      <c r="H31" s="28">
        <v>5</v>
      </c>
      <c r="I31" s="28">
        <v>5</v>
      </c>
      <c r="J31" s="72">
        <v>14</v>
      </c>
      <c r="K31" s="46">
        <f t="shared" si="0"/>
        <v>0</v>
      </c>
      <c r="L31" s="46">
        <f t="shared" si="1"/>
        <v>35.714285714285715</v>
      </c>
      <c r="M31" s="46">
        <f t="shared" si="2"/>
        <v>35.714285714285715</v>
      </c>
      <c r="N31" s="67">
        <f t="shared" si="3"/>
        <v>71.428571428571431</v>
      </c>
      <c r="O31" s="45"/>
      <c r="P31" s="46">
        <v>19.899999999999999</v>
      </c>
      <c r="Q31" s="46">
        <v>34</v>
      </c>
      <c r="R31" s="47">
        <f t="shared" si="4"/>
        <v>53.9</v>
      </c>
      <c r="S31" s="28">
        <v>2</v>
      </c>
      <c r="T31" s="284"/>
      <c r="U31" s="293"/>
      <c r="V31" s="37" t="s">
        <v>1144</v>
      </c>
      <c r="W31" s="28" t="s">
        <v>20</v>
      </c>
      <c r="X31" s="28" t="s">
        <v>12</v>
      </c>
      <c r="Y31" s="38">
        <v>34</v>
      </c>
      <c r="Z31" s="28" t="s">
        <v>1003</v>
      </c>
      <c r="AA31" s="28" t="s">
        <v>306</v>
      </c>
      <c r="AB31" s="28" t="s">
        <v>18</v>
      </c>
      <c r="AC31" s="28">
        <v>19.899999999999999</v>
      </c>
      <c r="AD31" s="37"/>
      <c r="AG31" s="38"/>
      <c r="AL31" s="37"/>
      <c r="AO31" s="38"/>
      <c r="AP31" s="37"/>
      <c r="AS31" s="38"/>
      <c r="AW31" s="38"/>
      <c r="BA31" s="39"/>
    </row>
    <row r="32" spans="1:53" s="28" customFormat="1" x14ac:dyDescent="0.15">
      <c r="A32" s="28">
        <v>2004</v>
      </c>
      <c r="B32" s="314"/>
      <c r="C32" s="394" t="s">
        <v>1002</v>
      </c>
      <c r="D32" s="394"/>
      <c r="E32" s="28">
        <v>124</v>
      </c>
      <c r="G32" s="65"/>
      <c r="H32" s="28">
        <v>5</v>
      </c>
      <c r="I32" s="28">
        <v>5</v>
      </c>
      <c r="J32" s="72">
        <v>14</v>
      </c>
      <c r="K32" s="46">
        <f>G32/J32*100</f>
        <v>0</v>
      </c>
      <c r="L32" s="46">
        <f>H32/J32*100</f>
        <v>35.714285714285715</v>
      </c>
      <c r="M32" s="46">
        <f>I32/J32*100</f>
        <v>35.714285714285715</v>
      </c>
      <c r="N32" s="67">
        <f t="shared" si="3"/>
        <v>71.428571428571431</v>
      </c>
      <c r="O32" s="45"/>
      <c r="P32" s="46">
        <v>19.899999999999999</v>
      </c>
      <c r="Q32" s="46">
        <v>34</v>
      </c>
      <c r="R32" s="47">
        <f t="shared" si="4"/>
        <v>53.9</v>
      </c>
      <c r="S32" s="28">
        <v>2</v>
      </c>
      <c r="T32" s="284"/>
      <c r="U32" s="293"/>
      <c r="V32" s="37" t="s">
        <v>1144</v>
      </c>
      <c r="W32" s="28" t="s">
        <v>20</v>
      </c>
      <c r="X32" s="28" t="s">
        <v>12</v>
      </c>
      <c r="Y32" s="38">
        <v>34</v>
      </c>
      <c r="Z32" s="28" t="s">
        <v>1003</v>
      </c>
      <c r="AA32" s="28" t="s">
        <v>306</v>
      </c>
      <c r="AB32" s="28" t="s">
        <v>18</v>
      </c>
      <c r="AC32" s="28">
        <v>19.899999999999999</v>
      </c>
      <c r="AD32" s="37"/>
      <c r="AG32" s="38"/>
      <c r="AL32" s="37"/>
      <c r="AO32" s="38"/>
      <c r="AP32" s="37"/>
      <c r="AS32" s="38"/>
      <c r="AW32" s="38"/>
      <c r="BA32" s="39"/>
    </row>
    <row r="33" spans="1:53" s="28" customFormat="1" x14ac:dyDescent="0.15">
      <c r="A33" s="28">
        <v>2004</v>
      </c>
      <c r="B33" s="313">
        <v>38111</v>
      </c>
      <c r="C33" s="394" t="s">
        <v>1002</v>
      </c>
      <c r="D33" s="394"/>
      <c r="E33" s="28">
        <v>224</v>
      </c>
      <c r="F33" s="69">
        <v>0</v>
      </c>
      <c r="G33" s="65"/>
      <c r="H33" s="28">
        <v>5</v>
      </c>
      <c r="I33" s="28">
        <v>6</v>
      </c>
      <c r="J33" s="72">
        <v>14</v>
      </c>
      <c r="K33" s="46">
        <f t="shared" si="0"/>
        <v>0</v>
      </c>
      <c r="L33" s="46">
        <f t="shared" si="1"/>
        <v>35.714285714285715</v>
      </c>
      <c r="M33" s="46">
        <f t="shared" si="2"/>
        <v>42.857142857142854</v>
      </c>
      <c r="N33" s="67">
        <f t="shared" si="3"/>
        <v>78.571428571428569</v>
      </c>
      <c r="O33" s="45"/>
      <c r="P33" s="46">
        <v>19.899999999999999</v>
      </c>
      <c r="Q33" s="46">
        <v>34</v>
      </c>
      <c r="R33" s="47">
        <f t="shared" si="4"/>
        <v>53.9</v>
      </c>
      <c r="S33" s="28">
        <v>2</v>
      </c>
      <c r="T33" s="284"/>
      <c r="U33" s="293"/>
      <c r="V33" s="37" t="s">
        <v>1144</v>
      </c>
      <c r="W33" s="28" t="s">
        <v>20</v>
      </c>
      <c r="X33" s="28" t="s">
        <v>12</v>
      </c>
      <c r="Y33" s="38">
        <v>34</v>
      </c>
      <c r="Z33" s="28" t="s">
        <v>1003</v>
      </c>
      <c r="AA33" s="28" t="s">
        <v>306</v>
      </c>
      <c r="AB33" s="28" t="s">
        <v>18</v>
      </c>
      <c r="AC33" s="28">
        <v>19.899999999999999</v>
      </c>
      <c r="AD33" s="37"/>
      <c r="AG33" s="38"/>
      <c r="AL33" s="37"/>
      <c r="AO33" s="38"/>
      <c r="AP33" s="37"/>
      <c r="AS33" s="38"/>
      <c r="AW33" s="38"/>
      <c r="BA33" s="39"/>
    </row>
    <row r="34" spans="1:53" s="170" customFormat="1" x14ac:dyDescent="0.15">
      <c r="A34" s="170">
        <v>2004</v>
      </c>
      <c r="B34" s="304">
        <v>38335</v>
      </c>
      <c r="C34" s="395" t="s">
        <v>1004</v>
      </c>
      <c r="D34" s="395"/>
      <c r="E34" s="170">
        <f xml:space="preserve"> 366-E33-E32</f>
        <v>18</v>
      </c>
      <c r="F34" s="170">
        <v>1</v>
      </c>
      <c r="G34" s="232"/>
      <c r="H34" s="170">
        <v>2</v>
      </c>
      <c r="I34" s="170">
        <v>12</v>
      </c>
      <c r="J34" s="240">
        <v>14</v>
      </c>
      <c r="K34" s="213">
        <f t="shared" si="0"/>
        <v>0</v>
      </c>
      <c r="L34" s="213">
        <f t="shared" si="1"/>
        <v>14.285714285714285</v>
      </c>
      <c r="M34" s="213">
        <f t="shared" si="2"/>
        <v>85.714285714285708</v>
      </c>
      <c r="N34" s="234">
        <f t="shared" si="3"/>
        <v>100</v>
      </c>
      <c r="O34" s="212"/>
      <c r="P34" s="213">
        <v>7.8</v>
      </c>
      <c r="Q34" s="213">
        <v>49</v>
      </c>
      <c r="R34" s="214">
        <f t="shared" si="4"/>
        <v>56.8</v>
      </c>
      <c r="S34" s="170">
        <v>2</v>
      </c>
      <c r="T34" s="283">
        <v>38270</v>
      </c>
      <c r="U34" s="304">
        <v>38335</v>
      </c>
      <c r="V34" s="177" t="s">
        <v>130</v>
      </c>
      <c r="W34" s="170" t="s">
        <v>97</v>
      </c>
      <c r="X34" s="170" t="s">
        <v>12</v>
      </c>
      <c r="Y34" s="178">
        <v>27.7</v>
      </c>
      <c r="Z34" s="177" t="s">
        <v>1144</v>
      </c>
      <c r="AA34" s="170" t="s">
        <v>20</v>
      </c>
      <c r="AB34" s="170" t="s">
        <v>12</v>
      </c>
      <c r="AC34" s="170">
        <v>14.2</v>
      </c>
      <c r="AD34" s="177" t="s">
        <v>1003</v>
      </c>
      <c r="AE34" s="170" t="s">
        <v>306</v>
      </c>
      <c r="AF34" s="170" t="s">
        <v>18</v>
      </c>
      <c r="AG34" s="178">
        <v>7.8</v>
      </c>
      <c r="AH34" s="170" t="s">
        <v>1005</v>
      </c>
      <c r="AI34" s="170" t="s">
        <v>932</v>
      </c>
      <c r="AJ34" s="170" t="s">
        <v>12</v>
      </c>
      <c r="AK34" s="170">
        <v>7.1</v>
      </c>
      <c r="AL34" s="177"/>
      <c r="AO34" s="178"/>
      <c r="AP34" s="177"/>
      <c r="AS34" s="178"/>
      <c r="AW34" s="178"/>
      <c r="BA34" s="179"/>
    </row>
    <row r="35" spans="1:53" s="170" customFormat="1" x14ac:dyDescent="0.15">
      <c r="A35" s="170">
        <v>2005</v>
      </c>
      <c r="B35" s="304"/>
      <c r="C35" s="395" t="s">
        <v>1004</v>
      </c>
      <c r="D35" s="395"/>
      <c r="E35" s="170">
        <v>0</v>
      </c>
      <c r="G35" s="232"/>
      <c r="H35" s="170">
        <v>2</v>
      </c>
      <c r="I35" s="170">
        <v>12</v>
      </c>
      <c r="J35" s="240">
        <v>14</v>
      </c>
      <c r="K35" s="213">
        <f t="shared" si="0"/>
        <v>0</v>
      </c>
      <c r="L35" s="213">
        <f t="shared" si="1"/>
        <v>14.285714285714285</v>
      </c>
      <c r="M35" s="213">
        <f t="shared" si="2"/>
        <v>85.714285714285708</v>
      </c>
      <c r="N35" s="234">
        <f t="shared" si="3"/>
        <v>100</v>
      </c>
      <c r="O35" s="212"/>
      <c r="P35" s="213">
        <v>7.8</v>
      </c>
      <c r="Q35" s="213">
        <v>49</v>
      </c>
      <c r="R35" s="214">
        <f t="shared" si="4"/>
        <v>56.8</v>
      </c>
      <c r="S35" s="170">
        <v>2</v>
      </c>
      <c r="T35" s="283"/>
      <c r="U35" s="281"/>
      <c r="V35" s="177" t="s">
        <v>130</v>
      </c>
      <c r="W35" s="170" t="s">
        <v>97</v>
      </c>
      <c r="X35" s="170" t="s">
        <v>12</v>
      </c>
      <c r="Y35" s="178">
        <v>27.7</v>
      </c>
      <c r="Z35" s="177" t="s">
        <v>1144</v>
      </c>
      <c r="AA35" s="170" t="s">
        <v>20</v>
      </c>
      <c r="AB35" s="170" t="s">
        <v>12</v>
      </c>
      <c r="AC35" s="170">
        <v>14.2</v>
      </c>
      <c r="AD35" s="177" t="s">
        <v>1003</v>
      </c>
      <c r="AE35" s="170" t="s">
        <v>306</v>
      </c>
      <c r="AF35" s="170" t="s">
        <v>18</v>
      </c>
      <c r="AG35" s="178">
        <v>7.8</v>
      </c>
      <c r="AH35" s="170" t="s">
        <v>1005</v>
      </c>
      <c r="AI35" s="170" t="s">
        <v>932</v>
      </c>
      <c r="AJ35" s="170" t="s">
        <v>12</v>
      </c>
      <c r="AK35" s="170">
        <v>7.1</v>
      </c>
      <c r="AL35" s="177"/>
      <c r="AO35" s="178"/>
      <c r="AP35" s="177"/>
      <c r="AS35" s="178"/>
      <c r="AW35" s="178"/>
      <c r="BA35" s="179"/>
    </row>
    <row r="36" spans="1:53" s="170" customFormat="1" x14ac:dyDescent="0.15">
      <c r="A36" s="170">
        <v>2005</v>
      </c>
      <c r="B36" s="304"/>
      <c r="C36" s="395" t="s">
        <v>1004</v>
      </c>
      <c r="D36" s="395"/>
      <c r="E36" s="170">
        <v>365</v>
      </c>
      <c r="G36" s="232"/>
      <c r="H36" s="170">
        <v>2</v>
      </c>
      <c r="I36" s="170">
        <v>12</v>
      </c>
      <c r="J36" s="240">
        <v>14</v>
      </c>
      <c r="K36" s="213">
        <f t="shared" si="0"/>
        <v>0</v>
      </c>
      <c r="L36" s="213">
        <f t="shared" si="1"/>
        <v>14.285714285714285</v>
      </c>
      <c r="M36" s="213">
        <f t="shared" si="2"/>
        <v>85.714285714285708</v>
      </c>
      <c r="N36" s="234">
        <f t="shared" si="3"/>
        <v>100</v>
      </c>
      <c r="O36" s="212"/>
      <c r="P36" s="213">
        <v>7.8</v>
      </c>
      <c r="Q36" s="213">
        <v>49</v>
      </c>
      <c r="R36" s="214">
        <f t="shared" si="4"/>
        <v>56.8</v>
      </c>
      <c r="S36" s="170">
        <v>2</v>
      </c>
      <c r="T36" s="283"/>
      <c r="U36" s="281"/>
      <c r="V36" s="177" t="s">
        <v>130</v>
      </c>
      <c r="W36" s="170" t="s">
        <v>97</v>
      </c>
      <c r="X36" s="170" t="s">
        <v>12</v>
      </c>
      <c r="Y36" s="178">
        <v>27.7</v>
      </c>
      <c r="Z36" s="177" t="s">
        <v>1144</v>
      </c>
      <c r="AA36" s="170" t="s">
        <v>20</v>
      </c>
      <c r="AB36" s="170" t="s">
        <v>12</v>
      </c>
      <c r="AC36" s="170">
        <v>14.2</v>
      </c>
      <c r="AD36" s="177" t="s">
        <v>1003</v>
      </c>
      <c r="AE36" s="170" t="s">
        <v>306</v>
      </c>
      <c r="AF36" s="170" t="s">
        <v>18</v>
      </c>
      <c r="AG36" s="178">
        <v>7.8</v>
      </c>
      <c r="AH36" s="170" t="s">
        <v>1005</v>
      </c>
      <c r="AI36" s="170" t="s">
        <v>932</v>
      </c>
      <c r="AJ36" s="170" t="s">
        <v>12</v>
      </c>
      <c r="AK36" s="170">
        <v>7.1</v>
      </c>
      <c r="AL36" s="177"/>
      <c r="AO36" s="178"/>
      <c r="AP36" s="177"/>
      <c r="AS36" s="178"/>
      <c r="AW36" s="178"/>
      <c r="BA36" s="179"/>
    </row>
    <row r="37" spans="1:53" s="170" customFormat="1" x14ac:dyDescent="0.15">
      <c r="A37" s="170">
        <v>2006</v>
      </c>
      <c r="B37" s="304"/>
      <c r="C37" s="395" t="s">
        <v>1004</v>
      </c>
      <c r="D37" s="395"/>
      <c r="E37" s="170">
        <v>120</v>
      </c>
      <c r="G37" s="232"/>
      <c r="H37" s="170">
        <v>2</v>
      </c>
      <c r="I37" s="170">
        <v>12</v>
      </c>
      <c r="J37" s="240">
        <v>14</v>
      </c>
      <c r="K37" s="213">
        <f>G37/J37*100</f>
        <v>0</v>
      </c>
      <c r="L37" s="213">
        <f>H37/J37*100</f>
        <v>14.285714285714285</v>
      </c>
      <c r="M37" s="213">
        <f>I37/J37*100</f>
        <v>85.714285714285708</v>
      </c>
      <c r="N37" s="234">
        <f t="shared" si="3"/>
        <v>100</v>
      </c>
      <c r="O37" s="212"/>
      <c r="P37" s="213">
        <v>7.8</v>
      </c>
      <c r="Q37" s="213">
        <v>49</v>
      </c>
      <c r="R37" s="214">
        <f t="shared" si="4"/>
        <v>56.8</v>
      </c>
      <c r="S37" s="170">
        <v>2</v>
      </c>
      <c r="T37" s="283"/>
      <c r="U37" s="281"/>
      <c r="V37" s="177" t="s">
        <v>130</v>
      </c>
      <c r="W37" s="170" t="s">
        <v>97</v>
      </c>
      <c r="X37" s="170" t="s">
        <v>12</v>
      </c>
      <c r="Y37" s="178">
        <v>27.7</v>
      </c>
      <c r="Z37" s="177" t="s">
        <v>1144</v>
      </c>
      <c r="AA37" s="170" t="s">
        <v>20</v>
      </c>
      <c r="AB37" s="170" t="s">
        <v>12</v>
      </c>
      <c r="AC37" s="170">
        <v>14.2</v>
      </c>
      <c r="AD37" s="177" t="s">
        <v>1003</v>
      </c>
      <c r="AE37" s="170" t="s">
        <v>306</v>
      </c>
      <c r="AF37" s="170" t="s">
        <v>18</v>
      </c>
      <c r="AG37" s="178">
        <v>7.8</v>
      </c>
      <c r="AH37" s="170" t="s">
        <v>1005</v>
      </c>
      <c r="AI37" s="170" t="s">
        <v>932</v>
      </c>
      <c r="AJ37" s="170" t="s">
        <v>12</v>
      </c>
      <c r="AK37" s="170">
        <v>7.1</v>
      </c>
      <c r="AL37" s="177"/>
      <c r="AO37" s="178"/>
      <c r="AP37" s="177"/>
      <c r="AS37" s="178"/>
      <c r="AW37" s="178"/>
      <c r="BA37" s="179"/>
    </row>
    <row r="38" spans="1:53" s="170" customFormat="1" x14ac:dyDescent="0.15">
      <c r="A38" s="170">
        <v>2006</v>
      </c>
      <c r="B38" s="299">
        <v>38838</v>
      </c>
      <c r="C38" s="395" t="s">
        <v>1004</v>
      </c>
      <c r="D38" s="395"/>
      <c r="E38" s="170">
        <v>78</v>
      </c>
      <c r="F38" s="191">
        <v>0</v>
      </c>
      <c r="G38" s="232"/>
      <c r="H38" s="170">
        <v>1</v>
      </c>
      <c r="I38" s="170">
        <v>13</v>
      </c>
      <c r="J38" s="240">
        <v>14</v>
      </c>
      <c r="K38" s="213">
        <f t="shared" si="0"/>
        <v>0</v>
      </c>
      <c r="L38" s="213">
        <f t="shared" si="1"/>
        <v>7.1428571428571423</v>
      </c>
      <c r="M38" s="213">
        <f t="shared" si="2"/>
        <v>92.857142857142861</v>
      </c>
      <c r="N38" s="234">
        <f t="shared" si="3"/>
        <v>100</v>
      </c>
      <c r="O38" s="212"/>
      <c r="P38" s="213">
        <v>7.8</v>
      </c>
      <c r="Q38" s="213">
        <v>49</v>
      </c>
      <c r="R38" s="214">
        <f t="shared" si="4"/>
        <v>56.8</v>
      </c>
      <c r="S38" s="170">
        <v>2</v>
      </c>
      <c r="T38" s="283"/>
      <c r="U38" s="281"/>
      <c r="V38" s="177" t="s">
        <v>130</v>
      </c>
      <c r="W38" s="170" t="s">
        <v>97</v>
      </c>
      <c r="X38" s="170" t="s">
        <v>12</v>
      </c>
      <c r="Y38" s="178">
        <v>27.7</v>
      </c>
      <c r="Z38" s="177" t="s">
        <v>1144</v>
      </c>
      <c r="AA38" s="170" t="s">
        <v>20</v>
      </c>
      <c r="AB38" s="170" t="s">
        <v>12</v>
      </c>
      <c r="AC38" s="170">
        <v>14.2</v>
      </c>
      <c r="AD38" s="177" t="s">
        <v>1003</v>
      </c>
      <c r="AE38" s="170" t="s">
        <v>306</v>
      </c>
      <c r="AF38" s="170" t="s">
        <v>18</v>
      </c>
      <c r="AG38" s="178">
        <v>7.8</v>
      </c>
      <c r="AH38" s="170" t="s">
        <v>1005</v>
      </c>
      <c r="AI38" s="170" t="s">
        <v>932</v>
      </c>
      <c r="AJ38" s="170" t="s">
        <v>12</v>
      </c>
      <c r="AK38" s="170">
        <v>7.1</v>
      </c>
      <c r="AL38" s="177"/>
      <c r="AO38" s="178"/>
      <c r="AP38" s="177"/>
      <c r="AS38" s="178"/>
      <c r="AW38" s="178"/>
      <c r="BA38" s="179"/>
    </row>
    <row r="39" spans="1:53" s="28" customFormat="1" x14ac:dyDescent="0.15">
      <c r="A39" s="28">
        <v>2006</v>
      </c>
      <c r="B39" s="275">
        <v>38916</v>
      </c>
      <c r="C39" s="394" t="s">
        <v>1145</v>
      </c>
      <c r="D39" s="394"/>
      <c r="E39" s="28">
        <f xml:space="preserve"> 365-E38-E37</f>
        <v>167</v>
      </c>
      <c r="F39" s="28">
        <v>4</v>
      </c>
      <c r="G39" s="65">
        <v>2</v>
      </c>
      <c r="I39" s="28">
        <v>12</v>
      </c>
      <c r="J39" s="72">
        <v>14</v>
      </c>
      <c r="K39" s="46">
        <f t="shared" si="0"/>
        <v>14.285714285714285</v>
      </c>
      <c r="L39" s="46">
        <f t="shared" si="1"/>
        <v>0</v>
      </c>
      <c r="M39" s="46">
        <f t="shared" si="2"/>
        <v>85.714285714285708</v>
      </c>
      <c r="N39" s="67">
        <f t="shared" si="3"/>
        <v>100</v>
      </c>
      <c r="O39" s="45">
        <v>12.8</v>
      </c>
      <c r="P39" s="46"/>
      <c r="Q39" s="46">
        <v>34</v>
      </c>
      <c r="R39" s="47">
        <f t="shared" si="4"/>
        <v>46.8</v>
      </c>
      <c r="S39" s="28">
        <v>5</v>
      </c>
      <c r="T39" s="284"/>
      <c r="U39" s="275">
        <v>38916</v>
      </c>
      <c r="V39" s="37" t="s">
        <v>1144</v>
      </c>
      <c r="W39" s="28" t="s">
        <v>20</v>
      </c>
      <c r="X39" s="28" t="s">
        <v>12</v>
      </c>
      <c r="Y39" s="38">
        <v>19.100000000000001</v>
      </c>
      <c r="Z39" s="37" t="s">
        <v>1006</v>
      </c>
      <c r="AA39" s="28" t="s">
        <v>106</v>
      </c>
      <c r="AB39" s="28" t="s">
        <v>11</v>
      </c>
      <c r="AC39" s="28">
        <v>12.8</v>
      </c>
      <c r="AD39" s="37" t="s">
        <v>124</v>
      </c>
      <c r="AE39" s="28" t="s">
        <v>327</v>
      </c>
      <c r="AF39" s="28" t="s">
        <v>12</v>
      </c>
      <c r="AG39" s="38">
        <v>7.8</v>
      </c>
      <c r="AH39" s="28" t="s">
        <v>1005</v>
      </c>
      <c r="AI39" s="28" t="s">
        <v>932</v>
      </c>
      <c r="AJ39" s="28" t="s">
        <v>12</v>
      </c>
      <c r="AK39" s="28">
        <v>7.1</v>
      </c>
      <c r="AL39" s="37"/>
      <c r="AO39" s="38"/>
      <c r="AP39" s="37"/>
      <c r="AS39" s="38"/>
      <c r="AW39" s="38"/>
      <c r="BA39" s="39"/>
    </row>
    <row r="40" spans="1:53" s="28" customFormat="1" x14ac:dyDescent="0.15">
      <c r="A40" s="28">
        <v>2007</v>
      </c>
      <c r="B40" s="275"/>
      <c r="C40" s="394" t="s">
        <v>1145</v>
      </c>
      <c r="D40" s="394"/>
      <c r="E40" s="28">
        <v>0</v>
      </c>
      <c r="G40" s="65">
        <v>2</v>
      </c>
      <c r="I40" s="28">
        <v>12</v>
      </c>
      <c r="J40" s="72">
        <v>14</v>
      </c>
      <c r="K40" s="46">
        <f t="shared" si="0"/>
        <v>14.285714285714285</v>
      </c>
      <c r="L40" s="46">
        <f t="shared" si="1"/>
        <v>0</v>
      </c>
      <c r="M40" s="46">
        <f t="shared" si="2"/>
        <v>85.714285714285708</v>
      </c>
      <c r="N40" s="67">
        <f t="shared" si="3"/>
        <v>100</v>
      </c>
      <c r="O40" s="45">
        <v>12.8</v>
      </c>
      <c r="P40" s="46"/>
      <c r="Q40" s="46">
        <v>34</v>
      </c>
      <c r="R40" s="47">
        <f t="shared" si="4"/>
        <v>46.8</v>
      </c>
      <c r="S40" s="28">
        <v>5</v>
      </c>
      <c r="T40" s="284"/>
      <c r="U40" s="293"/>
      <c r="V40" s="37" t="s">
        <v>1144</v>
      </c>
      <c r="W40" s="28" t="s">
        <v>20</v>
      </c>
      <c r="X40" s="28" t="s">
        <v>12</v>
      </c>
      <c r="Y40" s="38">
        <v>19.100000000000001</v>
      </c>
      <c r="Z40" s="37" t="s">
        <v>1006</v>
      </c>
      <c r="AA40" s="28" t="s">
        <v>106</v>
      </c>
      <c r="AB40" s="28" t="s">
        <v>11</v>
      </c>
      <c r="AC40" s="28">
        <v>12.8</v>
      </c>
      <c r="AD40" s="37" t="s">
        <v>124</v>
      </c>
      <c r="AE40" s="28" t="s">
        <v>327</v>
      </c>
      <c r="AF40" s="28" t="s">
        <v>12</v>
      </c>
      <c r="AG40" s="38">
        <v>7.8</v>
      </c>
      <c r="AH40" s="28" t="s">
        <v>1005</v>
      </c>
      <c r="AI40" s="28" t="s">
        <v>932</v>
      </c>
      <c r="AJ40" s="28" t="s">
        <v>12</v>
      </c>
      <c r="AK40" s="28">
        <v>7.1</v>
      </c>
      <c r="AL40" s="37"/>
      <c r="AO40" s="38"/>
      <c r="AP40" s="37"/>
      <c r="AS40" s="38"/>
      <c r="AW40" s="38"/>
      <c r="BA40" s="39"/>
    </row>
    <row r="41" spans="1:53" s="28" customFormat="1" x14ac:dyDescent="0.15">
      <c r="A41" s="28">
        <v>2007</v>
      </c>
      <c r="B41" s="275"/>
      <c r="C41" s="394" t="s">
        <v>1145</v>
      </c>
      <c r="D41" s="394"/>
      <c r="E41" s="28">
        <v>365</v>
      </c>
      <c r="G41" s="65">
        <v>2</v>
      </c>
      <c r="I41" s="28">
        <v>12</v>
      </c>
      <c r="J41" s="72">
        <v>14</v>
      </c>
      <c r="K41" s="46">
        <f t="shared" si="0"/>
        <v>14.285714285714285</v>
      </c>
      <c r="L41" s="46">
        <f t="shared" si="1"/>
        <v>0</v>
      </c>
      <c r="M41" s="46">
        <f t="shared" si="2"/>
        <v>85.714285714285708</v>
      </c>
      <c r="N41" s="67">
        <f t="shared" si="3"/>
        <v>100</v>
      </c>
      <c r="O41" s="45">
        <v>12.8</v>
      </c>
      <c r="P41" s="46"/>
      <c r="Q41" s="46">
        <v>34</v>
      </c>
      <c r="R41" s="47">
        <f t="shared" si="4"/>
        <v>46.8</v>
      </c>
      <c r="S41" s="28">
        <v>5</v>
      </c>
      <c r="T41" s="284"/>
      <c r="U41" s="293"/>
      <c r="V41" s="37" t="s">
        <v>1144</v>
      </c>
      <c r="W41" s="28" t="s">
        <v>20</v>
      </c>
      <c r="X41" s="28" t="s">
        <v>12</v>
      </c>
      <c r="Y41" s="38">
        <v>19.100000000000001</v>
      </c>
      <c r="Z41" s="37" t="s">
        <v>1006</v>
      </c>
      <c r="AA41" s="28" t="s">
        <v>106</v>
      </c>
      <c r="AB41" s="28" t="s">
        <v>11</v>
      </c>
      <c r="AC41" s="28">
        <v>12.8</v>
      </c>
      <c r="AD41" s="37" t="s">
        <v>124</v>
      </c>
      <c r="AE41" s="28" t="s">
        <v>327</v>
      </c>
      <c r="AF41" s="28" t="s">
        <v>12</v>
      </c>
      <c r="AG41" s="38">
        <v>7.8</v>
      </c>
      <c r="AH41" s="28" t="s">
        <v>1005</v>
      </c>
      <c r="AI41" s="28" t="s">
        <v>932</v>
      </c>
      <c r="AJ41" s="28" t="s">
        <v>12</v>
      </c>
      <c r="AK41" s="28">
        <v>7.1</v>
      </c>
      <c r="AL41" s="37"/>
      <c r="AO41" s="38"/>
      <c r="AP41" s="37"/>
      <c r="AS41" s="38"/>
      <c r="AW41" s="38"/>
      <c r="BA41" s="39"/>
    </row>
    <row r="42" spans="1:53" s="28" customFormat="1" x14ac:dyDescent="0.15">
      <c r="A42" s="28">
        <v>2008</v>
      </c>
      <c r="B42" s="275"/>
      <c r="C42" s="394" t="s">
        <v>1145</v>
      </c>
      <c r="D42" s="394"/>
      <c r="E42" s="28">
        <v>30</v>
      </c>
      <c r="G42" s="65">
        <v>2</v>
      </c>
      <c r="I42" s="28">
        <v>12</v>
      </c>
      <c r="J42" s="72">
        <v>14</v>
      </c>
      <c r="K42" s="46">
        <f>G42/J42*100</f>
        <v>14.285714285714285</v>
      </c>
      <c r="L42" s="46">
        <f>H42/J42*100</f>
        <v>0</v>
      </c>
      <c r="M42" s="46">
        <f>I42/J42*100</f>
        <v>85.714285714285708</v>
      </c>
      <c r="N42" s="67">
        <f t="shared" si="3"/>
        <v>100</v>
      </c>
      <c r="O42" s="45">
        <v>12.8</v>
      </c>
      <c r="P42" s="46"/>
      <c r="Q42" s="46">
        <v>34</v>
      </c>
      <c r="R42" s="47">
        <f t="shared" si="4"/>
        <v>46.8</v>
      </c>
      <c r="S42" s="28">
        <v>5</v>
      </c>
      <c r="T42" s="284"/>
      <c r="U42" s="293"/>
      <c r="V42" s="37" t="s">
        <v>1144</v>
      </c>
      <c r="W42" s="28" t="s">
        <v>20</v>
      </c>
      <c r="X42" s="28" t="s">
        <v>12</v>
      </c>
      <c r="Y42" s="38">
        <v>19.100000000000001</v>
      </c>
      <c r="Z42" s="37" t="s">
        <v>1006</v>
      </c>
      <c r="AA42" s="28" t="s">
        <v>106</v>
      </c>
      <c r="AB42" s="28" t="s">
        <v>11</v>
      </c>
      <c r="AC42" s="28">
        <v>12.8</v>
      </c>
      <c r="AD42" s="37" t="s">
        <v>124</v>
      </c>
      <c r="AE42" s="28" t="s">
        <v>327</v>
      </c>
      <c r="AF42" s="28" t="s">
        <v>12</v>
      </c>
      <c r="AG42" s="38">
        <v>7.8</v>
      </c>
      <c r="AH42" s="28" t="s">
        <v>1005</v>
      </c>
      <c r="AI42" s="28" t="s">
        <v>932</v>
      </c>
      <c r="AJ42" s="28" t="s">
        <v>12</v>
      </c>
      <c r="AK42" s="28">
        <v>7.1</v>
      </c>
      <c r="AL42" s="37"/>
      <c r="AO42" s="38"/>
      <c r="AP42" s="37"/>
      <c r="AS42" s="38"/>
      <c r="AW42" s="38"/>
      <c r="BA42" s="39"/>
    </row>
    <row r="43" spans="1:53" s="170" customFormat="1" x14ac:dyDescent="0.15">
      <c r="A43" s="170">
        <v>2008</v>
      </c>
      <c r="B43" s="281">
        <v>39478</v>
      </c>
      <c r="C43" s="395" t="s">
        <v>1146</v>
      </c>
      <c r="D43" s="395"/>
      <c r="E43" s="170">
        <v>117</v>
      </c>
      <c r="F43" s="170">
        <v>7</v>
      </c>
      <c r="G43" s="232">
        <v>2</v>
      </c>
      <c r="H43" s="170">
        <v>1</v>
      </c>
      <c r="I43" s="170">
        <v>11</v>
      </c>
      <c r="J43" s="240">
        <v>14</v>
      </c>
      <c r="K43" s="213">
        <f>G43/J43*100</f>
        <v>14.285714285714285</v>
      </c>
      <c r="L43" s="213">
        <f>H43/J43*100</f>
        <v>7.1428571428571423</v>
      </c>
      <c r="M43" s="213">
        <f>I43/J43*100</f>
        <v>78.571428571428569</v>
      </c>
      <c r="N43" s="234">
        <f t="shared" si="3"/>
        <v>100</v>
      </c>
      <c r="O43" s="212">
        <v>12.8</v>
      </c>
      <c r="P43" s="213">
        <v>7.8</v>
      </c>
      <c r="Q43" s="213">
        <v>34</v>
      </c>
      <c r="R43" s="214">
        <f t="shared" si="4"/>
        <v>54.6</v>
      </c>
      <c r="S43" s="170">
        <v>2</v>
      </c>
      <c r="T43" s="283"/>
      <c r="U43" s="281">
        <v>39478</v>
      </c>
      <c r="V43" s="177" t="s">
        <v>1144</v>
      </c>
      <c r="W43" s="170" t="s">
        <v>20</v>
      </c>
      <c r="X43" s="170" t="s">
        <v>12</v>
      </c>
      <c r="Y43" s="178">
        <v>19.100000000000001</v>
      </c>
      <c r="Z43" s="177" t="s">
        <v>1006</v>
      </c>
      <c r="AA43" s="170" t="s">
        <v>106</v>
      </c>
      <c r="AB43" s="170" t="s">
        <v>11</v>
      </c>
      <c r="AC43" s="170">
        <v>12.8</v>
      </c>
      <c r="AD43" s="177" t="s">
        <v>124</v>
      </c>
      <c r="AE43" s="170" t="s">
        <v>327</v>
      </c>
      <c r="AF43" s="170" t="s">
        <v>12</v>
      </c>
      <c r="AG43" s="178">
        <v>7.8</v>
      </c>
      <c r="AH43" s="170" t="s">
        <v>1003</v>
      </c>
      <c r="AI43" s="170" t="s">
        <v>306</v>
      </c>
      <c r="AJ43" s="170" t="s">
        <v>18</v>
      </c>
      <c r="AK43" s="170">
        <v>7.8</v>
      </c>
      <c r="AL43" s="177" t="s">
        <v>1005</v>
      </c>
      <c r="AM43" s="170" t="s">
        <v>932</v>
      </c>
      <c r="AN43" s="170" t="s">
        <v>12</v>
      </c>
      <c r="AO43" s="178">
        <v>7.1</v>
      </c>
      <c r="AP43" s="177"/>
      <c r="AS43" s="178"/>
      <c r="AW43" s="178"/>
      <c r="BA43" s="179"/>
    </row>
    <row r="44" spans="1:53" s="170" customFormat="1" x14ac:dyDescent="0.15">
      <c r="A44" s="170">
        <v>2008</v>
      </c>
      <c r="B44" s="299">
        <v>39595</v>
      </c>
      <c r="C44" s="395" t="s">
        <v>1146</v>
      </c>
      <c r="D44" s="395"/>
      <c r="E44" s="170">
        <v>218</v>
      </c>
      <c r="F44" s="191">
        <v>0</v>
      </c>
      <c r="G44" s="232">
        <v>2</v>
      </c>
      <c r="H44" s="170">
        <v>2</v>
      </c>
      <c r="I44" s="170">
        <v>10</v>
      </c>
      <c r="J44" s="240">
        <v>14</v>
      </c>
      <c r="K44" s="213">
        <f t="shared" si="0"/>
        <v>14.285714285714285</v>
      </c>
      <c r="L44" s="213">
        <f t="shared" si="1"/>
        <v>14.285714285714285</v>
      </c>
      <c r="M44" s="213">
        <f t="shared" si="2"/>
        <v>71.428571428571431</v>
      </c>
      <c r="N44" s="234">
        <f t="shared" si="3"/>
        <v>100</v>
      </c>
      <c r="O44" s="212">
        <v>12.8</v>
      </c>
      <c r="P44" s="213">
        <v>7.8</v>
      </c>
      <c r="Q44" s="213">
        <v>34</v>
      </c>
      <c r="R44" s="214">
        <f t="shared" si="4"/>
        <v>54.6</v>
      </c>
      <c r="S44" s="170">
        <v>2</v>
      </c>
      <c r="T44" s="283"/>
      <c r="U44" s="281"/>
      <c r="V44" s="177" t="s">
        <v>1144</v>
      </c>
      <c r="W44" s="170" t="s">
        <v>20</v>
      </c>
      <c r="X44" s="170" t="s">
        <v>12</v>
      </c>
      <c r="Y44" s="178">
        <v>19.100000000000001</v>
      </c>
      <c r="Z44" s="177" t="s">
        <v>1006</v>
      </c>
      <c r="AA44" s="170" t="s">
        <v>106</v>
      </c>
      <c r="AB44" s="170" t="s">
        <v>11</v>
      </c>
      <c r="AC44" s="170">
        <v>12.8</v>
      </c>
      <c r="AD44" s="177" t="s">
        <v>124</v>
      </c>
      <c r="AE44" s="170" t="s">
        <v>327</v>
      </c>
      <c r="AF44" s="170" t="s">
        <v>12</v>
      </c>
      <c r="AG44" s="178">
        <v>7.8</v>
      </c>
      <c r="AH44" s="170" t="s">
        <v>1003</v>
      </c>
      <c r="AI44" s="170" t="s">
        <v>306</v>
      </c>
      <c r="AJ44" s="170" t="s">
        <v>18</v>
      </c>
      <c r="AK44" s="170">
        <v>7.8</v>
      </c>
      <c r="AL44" s="177" t="s">
        <v>1005</v>
      </c>
      <c r="AM44" s="170" t="s">
        <v>932</v>
      </c>
      <c r="AN44" s="170" t="s">
        <v>12</v>
      </c>
      <c r="AO44" s="178">
        <v>7.1</v>
      </c>
      <c r="AP44" s="177"/>
      <c r="AS44" s="178"/>
      <c r="AW44" s="178"/>
      <c r="BA44" s="179"/>
    </row>
    <row r="45" spans="1:53" s="28" customFormat="1" x14ac:dyDescent="0.15">
      <c r="A45" s="28">
        <v>2008</v>
      </c>
      <c r="B45" s="275">
        <v>39813</v>
      </c>
      <c r="C45" s="394" t="s">
        <v>1147</v>
      </c>
      <c r="D45" s="394"/>
      <c r="E45" s="28">
        <f xml:space="preserve"> 366-E44-E43-E42</f>
        <v>1</v>
      </c>
      <c r="F45" s="28">
        <v>1</v>
      </c>
      <c r="G45" s="65">
        <v>15</v>
      </c>
      <c r="J45" s="72">
        <v>15</v>
      </c>
      <c r="K45" s="46">
        <f t="shared" si="0"/>
        <v>100</v>
      </c>
      <c r="L45" s="46">
        <f t="shared" si="1"/>
        <v>0</v>
      </c>
      <c r="M45" s="46">
        <f t="shared" si="2"/>
        <v>0</v>
      </c>
      <c r="N45" s="67">
        <f t="shared" si="3"/>
        <v>100</v>
      </c>
      <c r="O45" s="45">
        <v>56.8</v>
      </c>
      <c r="P45" s="46"/>
      <c r="Q45" s="46"/>
      <c r="R45" s="47">
        <f t="shared" si="4"/>
        <v>56.8</v>
      </c>
      <c r="S45" s="28">
        <v>3</v>
      </c>
      <c r="T45" s="284">
        <v>39733</v>
      </c>
      <c r="U45" s="275">
        <v>39813</v>
      </c>
      <c r="V45" s="37" t="s">
        <v>1007</v>
      </c>
      <c r="W45" s="28" t="s">
        <v>87</v>
      </c>
      <c r="X45" s="28" t="s">
        <v>11</v>
      </c>
      <c r="Y45" s="38">
        <v>31.9</v>
      </c>
      <c r="Z45" s="28" t="s">
        <v>1008</v>
      </c>
      <c r="AA45" s="28" t="s">
        <v>117</v>
      </c>
      <c r="AB45" s="28" t="s">
        <v>11</v>
      </c>
      <c r="AC45" s="28">
        <v>11.4</v>
      </c>
      <c r="AD45" s="37" t="s">
        <v>1009</v>
      </c>
      <c r="AE45" s="28" t="s">
        <v>893</v>
      </c>
      <c r="AF45" s="28" t="s">
        <v>11</v>
      </c>
      <c r="AG45" s="38">
        <v>7.8</v>
      </c>
      <c r="AH45" s="37" t="s">
        <v>1006</v>
      </c>
      <c r="AI45" s="28" t="s">
        <v>106</v>
      </c>
      <c r="AJ45" s="28" t="s">
        <v>11</v>
      </c>
      <c r="AK45" s="28">
        <v>5.7</v>
      </c>
      <c r="AL45" s="37"/>
      <c r="AO45" s="38"/>
      <c r="AP45" s="37"/>
      <c r="AS45" s="38"/>
      <c r="AW45" s="38"/>
      <c r="BA45" s="39"/>
    </row>
    <row r="46" spans="1:53" s="28" customFormat="1" x14ac:dyDescent="0.15">
      <c r="A46" s="28">
        <v>2009</v>
      </c>
      <c r="B46" s="275"/>
      <c r="C46" s="394" t="s">
        <v>1147</v>
      </c>
      <c r="D46" s="394"/>
      <c r="E46" s="28">
        <v>187</v>
      </c>
      <c r="G46" s="65">
        <v>15</v>
      </c>
      <c r="J46" s="72">
        <v>15</v>
      </c>
      <c r="K46" s="46">
        <f t="shared" si="0"/>
        <v>100</v>
      </c>
      <c r="L46" s="46">
        <f t="shared" si="1"/>
        <v>0</v>
      </c>
      <c r="M46" s="46">
        <f t="shared" si="2"/>
        <v>0</v>
      </c>
      <c r="N46" s="67">
        <f t="shared" si="3"/>
        <v>100</v>
      </c>
      <c r="O46" s="45">
        <v>56.8</v>
      </c>
      <c r="P46" s="46"/>
      <c r="Q46" s="46"/>
      <c r="R46" s="47">
        <f t="shared" si="4"/>
        <v>56.8</v>
      </c>
      <c r="S46" s="28">
        <v>3</v>
      </c>
      <c r="T46" s="284"/>
      <c r="U46" s="293"/>
      <c r="V46" s="37" t="s">
        <v>1007</v>
      </c>
      <c r="W46" s="28" t="s">
        <v>87</v>
      </c>
      <c r="X46" s="28" t="s">
        <v>11</v>
      </c>
      <c r="Y46" s="38">
        <v>31.9</v>
      </c>
      <c r="Z46" s="28" t="s">
        <v>1008</v>
      </c>
      <c r="AA46" s="28" t="s">
        <v>117</v>
      </c>
      <c r="AB46" s="28" t="s">
        <v>11</v>
      </c>
      <c r="AC46" s="28">
        <v>11.4</v>
      </c>
      <c r="AD46" s="37" t="s">
        <v>1009</v>
      </c>
      <c r="AE46" s="28" t="s">
        <v>893</v>
      </c>
      <c r="AF46" s="28" t="s">
        <v>11</v>
      </c>
      <c r="AG46" s="38">
        <v>7.8</v>
      </c>
      <c r="AH46" s="37" t="s">
        <v>1006</v>
      </c>
      <c r="AI46" s="28" t="s">
        <v>106</v>
      </c>
      <c r="AJ46" s="28" t="s">
        <v>11</v>
      </c>
      <c r="AK46" s="28">
        <v>5.7</v>
      </c>
      <c r="AL46" s="37"/>
      <c r="AO46" s="38"/>
      <c r="AP46" s="37"/>
      <c r="AS46" s="38"/>
      <c r="AW46" s="38"/>
      <c r="BA46" s="39"/>
    </row>
    <row r="47" spans="1:53" s="28" customFormat="1" x14ac:dyDescent="0.15">
      <c r="A47" s="28">
        <v>2009</v>
      </c>
      <c r="B47" s="298">
        <v>40001</v>
      </c>
      <c r="C47" s="394" t="s">
        <v>1147</v>
      </c>
      <c r="D47" s="394"/>
      <c r="E47" s="28">
        <f xml:space="preserve"> 365-E46</f>
        <v>178</v>
      </c>
      <c r="F47" s="69">
        <v>0</v>
      </c>
      <c r="G47" s="65">
        <v>14</v>
      </c>
      <c r="J47" s="72">
        <v>15</v>
      </c>
      <c r="K47" s="46">
        <f t="shared" si="0"/>
        <v>93.333333333333329</v>
      </c>
      <c r="L47" s="46">
        <f t="shared" si="1"/>
        <v>0</v>
      </c>
      <c r="M47" s="46">
        <f t="shared" si="2"/>
        <v>0</v>
      </c>
      <c r="N47" s="67">
        <f t="shared" si="3"/>
        <v>93.333333333333329</v>
      </c>
      <c r="O47" s="45">
        <v>56.8</v>
      </c>
      <c r="P47" s="46"/>
      <c r="Q47" s="46"/>
      <c r="R47" s="47">
        <f t="shared" si="4"/>
        <v>56.8</v>
      </c>
      <c r="S47" s="28">
        <v>3</v>
      </c>
      <c r="T47" s="284"/>
      <c r="U47" s="293"/>
      <c r="V47" s="37" t="s">
        <v>1007</v>
      </c>
      <c r="W47" s="28" t="s">
        <v>87</v>
      </c>
      <c r="X47" s="28" t="s">
        <v>11</v>
      </c>
      <c r="Y47" s="38">
        <v>31.9</v>
      </c>
      <c r="Z47" s="28" t="s">
        <v>1008</v>
      </c>
      <c r="AA47" s="28" t="s">
        <v>117</v>
      </c>
      <c r="AB47" s="28" t="s">
        <v>11</v>
      </c>
      <c r="AC47" s="28">
        <v>11.4</v>
      </c>
      <c r="AD47" s="37" t="s">
        <v>1009</v>
      </c>
      <c r="AE47" s="28" t="s">
        <v>893</v>
      </c>
      <c r="AF47" s="28" t="s">
        <v>11</v>
      </c>
      <c r="AG47" s="38">
        <v>7.8</v>
      </c>
      <c r="AH47" s="37" t="s">
        <v>1006</v>
      </c>
      <c r="AI47" s="28" t="s">
        <v>106</v>
      </c>
      <c r="AJ47" s="28" t="s">
        <v>11</v>
      </c>
      <c r="AK47" s="28">
        <v>5.7</v>
      </c>
      <c r="AL47" s="37"/>
      <c r="AO47" s="38"/>
      <c r="AP47" s="37"/>
      <c r="AS47" s="38"/>
      <c r="AW47" s="38"/>
      <c r="BA47" s="39"/>
    </row>
    <row r="48" spans="1:53" s="28" customFormat="1" x14ac:dyDescent="0.15">
      <c r="A48" s="28">
        <v>2010</v>
      </c>
      <c r="B48" s="275"/>
      <c r="C48" s="394" t="s">
        <v>1147</v>
      </c>
      <c r="D48" s="394"/>
      <c r="E48" s="28">
        <v>0</v>
      </c>
      <c r="G48" s="65">
        <v>14</v>
      </c>
      <c r="J48" s="72">
        <v>15</v>
      </c>
      <c r="K48" s="46">
        <f t="shared" si="0"/>
        <v>93.333333333333329</v>
      </c>
      <c r="L48" s="46">
        <f t="shared" si="1"/>
        <v>0</v>
      </c>
      <c r="M48" s="46">
        <f t="shared" si="2"/>
        <v>0</v>
      </c>
      <c r="N48" s="67">
        <f t="shared" si="3"/>
        <v>93.333333333333329</v>
      </c>
      <c r="O48" s="45">
        <v>56.8</v>
      </c>
      <c r="P48" s="46"/>
      <c r="Q48" s="46"/>
      <c r="R48" s="47">
        <f t="shared" si="4"/>
        <v>56.8</v>
      </c>
      <c r="S48" s="28">
        <v>3</v>
      </c>
      <c r="T48" s="284"/>
      <c r="U48" s="293"/>
      <c r="V48" s="37" t="s">
        <v>1007</v>
      </c>
      <c r="W48" s="28" t="s">
        <v>87</v>
      </c>
      <c r="X48" s="28" t="s">
        <v>11</v>
      </c>
      <c r="Y48" s="38">
        <v>31.9</v>
      </c>
      <c r="Z48" s="28" t="s">
        <v>1008</v>
      </c>
      <c r="AA48" s="28" t="s">
        <v>117</v>
      </c>
      <c r="AB48" s="28" t="s">
        <v>11</v>
      </c>
      <c r="AC48" s="28">
        <v>11.4</v>
      </c>
      <c r="AD48" s="37" t="s">
        <v>1009</v>
      </c>
      <c r="AE48" s="28" t="s">
        <v>893</v>
      </c>
      <c r="AF48" s="28" t="s">
        <v>11</v>
      </c>
      <c r="AG48" s="38">
        <v>7.8</v>
      </c>
      <c r="AH48" s="37" t="s">
        <v>1006</v>
      </c>
      <c r="AI48" s="28" t="s">
        <v>106</v>
      </c>
      <c r="AJ48" s="28" t="s">
        <v>11</v>
      </c>
      <c r="AK48" s="28">
        <v>5.7</v>
      </c>
      <c r="AL48" s="37"/>
      <c r="AO48" s="38"/>
      <c r="AP48" s="37"/>
      <c r="AS48" s="38"/>
      <c r="AW48" s="38"/>
      <c r="BA48" s="39"/>
    </row>
    <row r="49" spans="1:53" s="28" customFormat="1" x14ac:dyDescent="0.15">
      <c r="A49" s="28">
        <v>2010</v>
      </c>
      <c r="B49" s="275"/>
      <c r="C49" s="394" t="s">
        <v>1147</v>
      </c>
      <c r="D49" s="394"/>
      <c r="E49" s="28">
        <v>365</v>
      </c>
      <c r="G49" s="65">
        <v>14</v>
      </c>
      <c r="J49" s="72">
        <v>15</v>
      </c>
      <c r="K49" s="46">
        <f t="shared" si="0"/>
        <v>93.333333333333329</v>
      </c>
      <c r="L49" s="46">
        <f t="shared" si="1"/>
        <v>0</v>
      </c>
      <c r="M49" s="46">
        <f t="shared" si="2"/>
        <v>0</v>
      </c>
      <c r="N49" s="67">
        <f t="shared" si="3"/>
        <v>93.333333333333329</v>
      </c>
      <c r="O49" s="45">
        <v>56.8</v>
      </c>
      <c r="P49" s="46"/>
      <c r="Q49" s="46"/>
      <c r="R49" s="47">
        <f t="shared" si="4"/>
        <v>56.8</v>
      </c>
      <c r="S49" s="28">
        <v>3</v>
      </c>
      <c r="T49" s="284"/>
      <c r="U49" s="293"/>
      <c r="V49" s="37" t="s">
        <v>1007</v>
      </c>
      <c r="W49" s="28" t="s">
        <v>87</v>
      </c>
      <c r="X49" s="28" t="s">
        <v>11</v>
      </c>
      <c r="Y49" s="38">
        <v>31.9</v>
      </c>
      <c r="Z49" s="28" t="s">
        <v>1008</v>
      </c>
      <c r="AA49" s="28" t="s">
        <v>117</v>
      </c>
      <c r="AB49" s="28" t="s">
        <v>11</v>
      </c>
      <c r="AC49" s="28">
        <v>11.4</v>
      </c>
      <c r="AD49" s="37" t="s">
        <v>1009</v>
      </c>
      <c r="AE49" s="28" t="s">
        <v>893</v>
      </c>
      <c r="AF49" s="28" t="s">
        <v>11</v>
      </c>
      <c r="AG49" s="38">
        <v>7.8</v>
      </c>
      <c r="AH49" s="37" t="s">
        <v>1006</v>
      </c>
      <c r="AI49" s="28" t="s">
        <v>106</v>
      </c>
      <c r="AJ49" s="28" t="s">
        <v>11</v>
      </c>
      <c r="AK49" s="28">
        <v>5.7</v>
      </c>
      <c r="AL49" s="37"/>
      <c r="AO49" s="38"/>
      <c r="AP49" s="37"/>
      <c r="AS49" s="38"/>
      <c r="AW49" s="38"/>
      <c r="BA49" s="39"/>
    </row>
    <row r="50" spans="1:53" s="28" customFormat="1" x14ac:dyDescent="0.15">
      <c r="A50" s="28">
        <v>2011</v>
      </c>
      <c r="B50" s="275"/>
      <c r="C50" s="394" t="s">
        <v>1147</v>
      </c>
      <c r="D50" s="394"/>
      <c r="E50" s="28">
        <v>0</v>
      </c>
      <c r="G50" s="65">
        <v>14</v>
      </c>
      <c r="J50" s="72">
        <v>15</v>
      </c>
      <c r="K50" s="46">
        <f t="shared" ref="K50:K56" si="5">G50/J50*100</f>
        <v>93.333333333333329</v>
      </c>
      <c r="L50" s="46">
        <f t="shared" ref="L50:L55" si="6">H50/J50*100</f>
        <v>0</v>
      </c>
      <c r="M50" s="46">
        <f t="shared" ref="M50:M56" si="7">I50/J50*100</f>
        <v>0</v>
      </c>
      <c r="N50" s="67">
        <f t="shared" si="3"/>
        <v>93.333333333333329</v>
      </c>
      <c r="O50" s="45">
        <v>56.8</v>
      </c>
      <c r="P50" s="46"/>
      <c r="Q50" s="46"/>
      <c r="R50" s="47">
        <f t="shared" si="4"/>
        <v>56.8</v>
      </c>
      <c r="S50" s="28">
        <v>3</v>
      </c>
      <c r="T50" s="284"/>
      <c r="U50" s="293"/>
      <c r="V50" s="37" t="s">
        <v>1007</v>
      </c>
      <c r="W50" s="28" t="s">
        <v>87</v>
      </c>
      <c r="X50" s="28" t="s">
        <v>11</v>
      </c>
      <c r="Y50" s="38">
        <v>31.9</v>
      </c>
      <c r="Z50" s="28" t="s">
        <v>1008</v>
      </c>
      <c r="AA50" s="28" t="s">
        <v>117</v>
      </c>
      <c r="AB50" s="28" t="s">
        <v>11</v>
      </c>
      <c r="AC50" s="28">
        <v>11.4</v>
      </c>
      <c r="AD50" s="37" t="s">
        <v>1009</v>
      </c>
      <c r="AE50" s="28" t="s">
        <v>893</v>
      </c>
      <c r="AF50" s="28" t="s">
        <v>11</v>
      </c>
      <c r="AG50" s="38">
        <v>7.8</v>
      </c>
      <c r="AH50" s="37" t="s">
        <v>1006</v>
      </c>
      <c r="AI50" s="28" t="s">
        <v>106</v>
      </c>
      <c r="AJ50" s="28" t="s">
        <v>11</v>
      </c>
      <c r="AK50" s="28">
        <v>5.7</v>
      </c>
      <c r="AL50" s="37"/>
      <c r="AO50" s="38"/>
      <c r="AP50" s="37"/>
      <c r="AS50" s="38"/>
      <c r="AW50" s="38"/>
      <c r="BA50" s="39"/>
    </row>
    <row r="51" spans="1:53" s="28" customFormat="1" x14ac:dyDescent="0.15">
      <c r="A51" s="28">
        <v>2011</v>
      </c>
      <c r="B51" s="275"/>
      <c r="C51" s="394" t="s">
        <v>1147</v>
      </c>
      <c r="D51" s="394"/>
      <c r="E51" s="28">
        <v>365</v>
      </c>
      <c r="G51" s="65">
        <v>14</v>
      </c>
      <c r="J51" s="72">
        <v>15</v>
      </c>
      <c r="K51" s="46">
        <f t="shared" si="5"/>
        <v>93.333333333333329</v>
      </c>
      <c r="L51" s="46">
        <f t="shared" si="6"/>
        <v>0</v>
      </c>
      <c r="M51" s="46">
        <f t="shared" si="7"/>
        <v>0</v>
      </c>
      <c r="N51" s="67">
        <f t="shared" si="3"/>
        <v>93.333333333333329</v>
      </c>
      <c r="O51" s="45">
        <v>56.8</v>
      </c>
      <c r="P51" s="46"/>
      <c r="Q51" s="46"/>
      <c r="R51" s="47">
        <f t="shared" si="4"/>
        <v>56.8</v>
      </c>
      <c r="S51" s="28">
        <v>3</v>
      </c>
      <c r="T51" s="284"/>
      <c r="U51" s="275"/>
      <c r="V51" s="37" t="s">
        <v>1007</v>
      </c>
      <c r="W51" s="28" t="s">
        <v>87</v>
      </c>
      <c r="X51" s="28" t="s">
        <v>11</v>
      </c>
      <c r="Y51" s="38">
        <v>31.9</v>
      </c>
      <c r="Z51" s="28" t="s">
        <v>1008</v>
      </c>
      <c r="AA51" s="28" t="s">
        <v>117</v>
      </c>
      <c r="AB51" s="28" t="s">
        <v>11</v>
      </c>
      <c r="AC51" s="28">
        <v>11.4</v>
      </c>
      <c r="AD51" s="37" t="s">
        <v>1009</v>
      </c>
      <c r="AE51" s="28" t="s">
        <v>893</v>
      </c>
      <c r="AF51" s="28" t="s">
        <v>11</v>
      </c>
      <c r="AG51" s="38">
        <v>7.8</v>
      </c>
      <c r="AH51" s="37" t="s">
        <v>1006</v>
      </c>
      <c r="AI51" s="28" t="s">
        <v>106</v>
      </c>
      <c r="AJ51" s="28" t="s">
        <v>11</v>
      </c>
      <c r="AK51" s="28">
        <v>5.7</v>
      </c>
      <c r="AL51" s="37"/>
      <c r="AO51" s="38"/>
      <c r="AP51" s="37"/>
      <c r="AS51" s="38"/>
      <c r="AW51" s="38"/>
      <c r="BA51" s="39"/>
    </row>
    <row r="52" spans="1:53" s="28" customFormat="1" x14ac:dyDescent="0.15">
      <c r="A52" s="28">
        <v>2012</v>
      </c>
      <c r="B52" s="275"/>
      <c r="C52" s="394" t="s">
        <v>1147</v>
      </c>
      <c r="D52" s="394"/>
      <c r="E52" s="28">
        <v>346</v>
      </c>
      <c r="G52" s="65">
        <v>14</v>
      </c>
      <c r="J52" s="72">
        <v>15</v>
      </c>
      <c r="K52" s="46">
        <f t="shared" si="5"/>
        <v>93.333333333333329</v>
      </c>
      <c r="L52" s="46">
        <f t="shared" si="6"/>
        <v>0</v>
      </c>
      <c r="M52" s="46">
        <f t="shared" si="7"/>
        <v>0</v>
      </c>
      <c r="N52" s="67">
        <f t="shared" si="3"/>
        <v>93.333333333333329</v>
      </c>
      <c r="O52" s="45">
        <v>56.8</v>
      </c>
      <c r="P52" s="46"/>
      <c r="Q52" s="46"/>
      <c r="R52" s="47">
        <f t="shared" si="4"/>
        <v>56.8</v>
      </c>
      <c r="S52" s="28">
        <v>3</v>
      </c>
      <c r="T52" s="284"/>
      <c r="U52" s="293"/>
      <c r="V52" s="37" t="s">
        <v>1007</v>
      </c>
      <c r="W52" s="28" t="s">
        <v>87</v>
      </c>
      <c r="X52" s="28" t="s">
        <v>11</v>
      </c>
      <c r="Y52" s="38">
        <v>31.9</v>
      </c>
      <c r="Z52" s="28" t="s">
        <v>1008</v>
      </c>
      <c r="AA52" s="28" t="s">
        <v>117</v>
      </c>
      <c r="AB52" s="28" t="s">
        <v>11</v>
      </c>
      <c r="AC52" s="28">
        <v>11.4</v>
      </c>
      <c r="AD52" s="37" t="s">
        <v>1009</v>
      </c>
      <c r="AE52" s="28" t="s">
        <v>893</v>
      </c>
      <c r="AF52" s="28" t="s">
        <v>11</v>
      </c>
      <c r="AG52" s="38">
        <v>7.8</v>
      </c>
      <c r="AH52" s="37" t="s">
        <v>1006</v>
      </c>
      <c r="AI52" s="28" t="s">
        <v>106</v>
      </c>
      <c r="AJ52" s="28" t="s">
        <v>11</v>
      </c>
      <c r="AK52" s="28">
        <v>5.7</v>
      </c>
      <c r="AL52" s="37"/>
      <c r="AO52" s="38"/>
      <c r="AP52" s="37"/>
      <c r="AS52" s="38"/>
      <c r="AW52" s="38"/>
      <c r="BA52" s="39"/>
    </row>
    <row r="53" spans="1:53" s="170" customFormat="1" x14ac:dyDescent="0.15">
      <c r="A53" s="170">
        <v>2012</v>
      </c>
      <c r="B53" s="304">
        <v>41255</v>
      </c>
      <c r="C53" s="425" t="s">
        <v>1148</v>
      </c>
      <c r="D53" s="425"/>
      <c r="E53" s="170">
        <f xml:space="preserve"> 366-E52</f>
        <v>20</v>
      </c>
      <c r="F53" s="170">
        <v>1</v>
      </c>
      <c r="G53" s="232">
        <v>2</v>
      </c>
      <c r="H53" s="170">
        <v>1</v>
      </c>
      <c r="I53" s="170">
        <v>12</v>
      </c>
      <c r="J53" s="240">
        <v>15</v>
      </c>
      <c r="K53" s="213">
        <f t="shared" si="5"/>
        <v>13.333333333333334</v>
      </c>
      <c r="L53" s="213">
        <f t="shared" si="6"/>
        <v>6.666666666666667</v>
      </c>
      <c r="M53" s="213">
        <f t="shared" si="7"/>
        <v>80</v>
      </c>
      <c r="N53" s="234">
        <f t="shared" si="3"/>
        <v>100</v>
      </c>
      <c r="O53" s="212">
        <v>7.8</v>
      </c>
      <c r="P53" s="213">
        <v>5.7</v>
      </c>
      <c r="Q53" s="213">
        <v>46.8</v>
      </c>
      <c r="R53" s="214">
        <f t="shared" si="4"/>
        <v>60.3</v>
      </c>
      <c r="S53" s="170">
        <v>3</v>
      </c>
      <c r="T53" s="283">
        <v>41210</v>
      </c>
      <c r="U53" s="304">
        <v>41255</v>
      </c>
      <c r="V53" s="177" t="s">
        <v>1144</v>
      </c>
      <c r="W53" s="170" t="s">
        <v>20</v>
      </c>
      <c r="X53" s="170" t="s">
        <v>12</v>
      </c>
      <c r="Y53" s="178">
        <v>26.2</v>
      </c>
      <c r="Z53" s="177" t="s">
        <v>130</v>
      </c>
      <c r="AA53" s="170" t="s">
        <v>97</v>
      </c>
      <c r="AB53" s="170" t="s">
        <v>12</v>
      </c>
      <c r="AC53" s="170">
        <v>20.6</v>
      </c>
      <c r="AD53" s="177" t="s">
        <v>1010</v>
      </c>
      <c r="AE53" s="170" t="s">
        <v>892</v>
      </c>
      <c r="AF53" s="170" t="s">
        <v>11</v>
      </c>
      <c r="AG53" s="178">
        <v>7.8</v>
      </c>
      <c r="AH53" s="170" t="s">
        <v>1011</v>
      </c>
      <c r="AI53" s="170" t="s">
        <v>89</v>
      </c>
      <c r="AJ53" s="170" t="s">
        <v>18</v>
      </c>
      <c r="AK53" s="170">
        <v>5.7</v>
      </c>
      <c r="AL53" s="177"/>
      <c r="AO53" s="178"/>
      <c r="AP53" s="177"/>
      <c r="AS53" s="178"/>
      <c r="AW53" s="178"/>
      <c r="BA53" s="179"/>
    </row>
    <row r="54" spans="1:53" s="170" customFormat="1" x14ac:dyDescent="0.15">
      <c r="A54" s="170">
        <v>2013</v>
      </c>
      <c r="B54" s="304"/>
      <c r="C54" s="425" t="s">
        <v>1148</v>
      </c>
      <c r="D54" s="425"/>
      <c r="E54" s="170">
        <v>0</v>
      </c>
      <c r="G54" s="232">
        <v>2</v>
      </c>
      <c r="H54" s="170">
        <v>1</v>
      </c>
      <c r="I54" s="170">
        <v>12</v>
      </c>
      <c r="J54" s="240">
        <v>15</v>
      </c>
      <c r="K54" s="213">
        <f t="shared" si="5"/>
        <v>13.333333333333334</v>
      </c>
      <c r="L54" s="213">
        <f t="shared" si="6"/>
        <v>6.666666666666667</v>
      </c>
      <c r="M54" s="213">
        <f t="shared" si="7"/>
        <v>80</v>
      </c>
      <c r="N54" s="234">
        <f>SUM(K54:M54)</f>
        <v>100</v>
      </c>
      <c r="O54" s="212">
        <v>7.8</v>
      </c>
      <c r="P54" s="213">
        <v>5.7</v>
      </c>
      <c r="Q54" s="213">
        <v>46.8</v>
      </c>
      <c r="R54" s="214">
        <f>SUM(O54:Q54)</f>
        <v>60.3</v>
      </c>
      <c r="S54" s="170">
        <v>3</v>
      </c>
      <c r="T54" s="283"/>
      <c r="U54" s="304"/>
      <c r="V54" s="177" t="s">
        <v>1144</v>
      </c>
      <c r="W54" s="170" t="s">
        <v>20</v>
      </c>
      <c r="X54" s="170" t="s">
        <v>12</v>
      </c>
      <c r="Y54" s="178">
        <v>26.2</v>
      </c>
      <c r="Z54" s="177" t="s">
        <v>130</v>
      </c>
      <c r="AA54" s="170" t="s">
        <v>97</v>
      </c>
      <c r="AB54" s="170" t="s">
        <v>12</v>
      </c>
      <c r="AC54" s="170">
        <v>20.6</v>
      </c>
      <c r="AD54" s="177" t="s">
        <v>1010</v>
      </c>
      <c r="AE54" s="170" t="s">
        <v>892</v>
      </c>
      <c r="AF54" s="170" t="s">
        <v>11</v>
      </c>
      <c r="AG54" s="178">
        <v>7.8</v>
      </c>
      <c r="AH54" s="170" t="s">
        <v>1011</v>
      </c>
      <c r="AI54" s="170" t="s">
        <v>89</v>
      </c>
      <c r="AJ54" s="170" t="s">
        <v>18</v>
      </c>
      <c r="AK54" s="170">
        <v>5.7</v>
      </c>
      <c r="AL54" s="177"/>
      <c r="AO54" s="178"/>
      <c r="AP54" s="177"/>
      <c r="AS54" s="178"/>
      <c r="AW54" s="178"/>
      <c r="BA54" s="179"/>
    </row>
    <row r="55" spans="1:53" s="170" customFormat="1" x14ac:dyDescent="0.15">
      <c r="A55" s="170">
        <v>2013</v>
      </c>
      <c r="B55" s="304"/>
      <c r="C55" s="425" t="s">
        <v>1148</v>
      </c>
      <c r="D55" s="425"/>
      <c r="E55" s="170">
        <v>365</v>
      </c>
      <c r="G55" s="232">
        <v>2</v>
      </c>
      <c r="H55" s="170">
        <v>1</v>
      </c>
      <c r="I55" s="170">
        <v>12</v>
      </c>
      <c r="J55" s="240">
        <v>15</v>
      </c>
      <c r="K55" s="213">
        <f t="shared" si="5"/>
        <v>13.333333333333334</v>
      </c>
      <c r="L55" s="213">
        <f t="shared" si="6"/>
        <v>6.666666666666667</v>
      </c>
      <c r="M55" s="213">
        <f t="shared" si="7"/>
        <v>80</v>
      </c>
      <c r="N55" s="234">
        <f>SUM(K55:M55)</f>
        <v>100</v>
      </c>
      <c r="O55" s="212">
        <v>7.8</v>
      </c>
      <c r="P55" s="213">
        <v>5.7</v>
      </c>
      <c r="Q55" s="213">
        <v>46.8</v>
      </c>
      <c r="R55" s="214">
        <f>SUM(O55:Q55)</f>
        <v>60.3</v>
      </c>
      <c r="S55" s="170">
        <v>3</v>
      </c>
      <c r="T55" s="283"/>
      <c r="U55" s="304"/>
      <c r="V55" s="177" t="s">
        <v>1144</v>
      </c>
      <c r="W55" s="170" t="s">
        <v>20</v>
      </c>
      <c r="X55" s="170" t="s">
        <v>12</v>
      </c>
      <c r="Y55" s="178">
        <v>26.2</v>
      </c>
      <c r="Z55" s="177" t="s">
        <v>130</v>
      </c>
      <c r="AA55" s="170" t="s">
        <v>97</v>
      </c>
      <c r="AB55" s="170" t="s">
        <v>12</v>
      </c>
      <c r="AC55" s="170">
        <v>20.6</v>
      </c>
      <c r="AD55" s="177" t="s">
        <v>1010</v>
      </c>
      <c r="AE55" s="170" t="s">
        <v>892</v>
      </c>
      <c r="AF55" s="170" t="s">
        <v>11</v>
      </c>
      <c r="AG55" s="178">
        <v>7.8</v>
      </c>
      <c r="AH55" s="170" t="s">
        <v>1011</v>
      </c>
      <c r="AI55" s="170" t="s">
        <v>89</v>
      </c>
      <c r="AJ55" s="170" t="s">
        <v>18</v>
      </c>
      <c r="AK55" s="170">
        <v>5.7</v>
      </c>
      <c r="AL55" s="177"/>
      <c r="AO55" s="178"/>
      <c r="AP55" s="177"/>
      <c r="AS55" s="178"/>
      <c r="AW55" s="178"/>
      <c r="BA55" s="179"/>
    </row>
    <row r="56" spans="1:53" s="170" customFormat="1" x14ac:dyDescent="0.15">
      <c r="A56" s="170">
        <v>2014</v>
      </c>
      <c r="B56" s="304"/>
      <c r="C56" s="425" t="s">
        <v>1148</v>
      </c>
      <c r="D56" s="425"/>
      <c r="E56" s="170">
        <v>267</v>
      </c>
      <c r="G56" s="232">
        <v>2</v>
      </c>
      <c r="H56" s="170">
        <v>1</v>
      </c>
      <c r="I56" s="170">
        <v>12</v>
      </c>
      <c r="J56" s="240">
        <v>15</v>
      </c>
      <c r="K56" s="213">
        <f t="shared" si="5"/>
        <v>13.333333333333334</v>
      </c>
      <c r="L56" s="213">
        <f>H56/J56*100</f>
        <v>6.666666666666667</v>
      </c>
      <c r="M56" s="213">
        <f t="shared" si="7"/>
        <v>80</v>
      </c>
      <c r="N56" s="234">
        <f>SUM(K56:M56)</f>
        <v>100</v>
      </c>
      <c r="O56" s="212">
        <v>7.8</v>
      </c>
      <c r="P56" s="213">
        <v>5.7</v>
      </c>
      <c r="Q56" s="213">
        <v>46.8</v>
      </c>
      <c r="R56" s="214">
        <f>SUM(O56:Q56)</f>
        <v>60.3</v>
      </c>
      <c r="S56" s="170">
        <v>3</v>
      </c>
      <c r="T56" s="283"/>
      <c r="U56" s="304"/>
      <c r="V56" s="177" t="s">
        <v>1144</v>
      </c>
      <c r="W56" s="170" t="s">
        <v>20</v>
      </c>
      <c r="X56" s="170" t="s">
        <v>12</v>
      </c>
      <c r="Y56" s="178">
        <v>26.2</v>
      </c>
      <c r="Z56" s="177" t="s">
        <v>130</v>
      </c>
      <c r="AA56" s="170" t="s">
        <v>97</v>
      </c>
      <c r="AB56" s="170" t="s">
        <v>12</v>
      </c>
      <c r="AC56" s="170">
        <v>20.6</v>
      </c>
      <c r="AD56" s="177" t="s">
        <v>1010</v>
      </c>
      <c r="AE56" s="170" t="s">
        <v>892</v>
      </c>
      <c r="AF56" s="170" t="s">
        <v>11</v>
      </c>
      <c r="AG56" s="178">
        <v>7.8</v>
      </c>
      <c r="AH56" s="170" t="s">
        <v>1011</v>
      </c>
      <c r="AI56" s="170" t="s">
        <v>89</v>
      </c>
      <c r="AJ56" s="170" t="s">
        <v>18</v>
      </c>
      <c r="AK56" s="170">
        <v>5.7</v>
      </c>
      <c r="AL56" s="177"/>
      <c r="AO56" s="178"/>
      <c r="AP56" s="177"/>
      <c r="AS56" s="178"/>
      <c r="AW56" s="178"/>
      <c r="BA56" s="179"/>
    </row>
    <row r="57" spans="1:53" s="28" customFormat="1" x14ac:dyDescent="0.15">
      <c r="A57" s="28">
        <v>2014</v>
      </c>
      <c r="B57" s="275">
        <v>41907</v>
      </c>
      <c r="C57" s="394" t="s">
        <v>1291</v>
      </c>
      <c r="D57" s="394"/>
      <c r="E57" s="28">
        <v>98</v>
      </c>
      <c r="F57" s="28">
        <v>4</v>
      </c>
      <c r="G57" s="65">
        <v>2</v>
      </c>
      <c r="I57" s="28">
        <v>13</v>
      </c>
      <c r="J57" s="72">
        <v>15</v>
      </c>
      <c r="K57" s="46">
        <f t="shared" ref="K57:K61" si="8">G57/J57*100</f>
        <v>13.333333333333334</v>
      </c>
      <c r="L57" s="46">
        <f t="shared" ref="L57:L61" si="9">H57/J57*100</f>
        <v>0</v>
      </c>
      <c r="M57" s="46">
        <f t="shared" ref="M57:M61" si="10">I57/J57*100</f>
        <v>86.666666666666671</v>
      </c>
      <c r="N57" s="67">
        <f t="shared" ref="N57:N61" si="11">SUM(K57:M57)</f>
        <v>100</v>
      </c>
      <c r="O57" s="45">
        <v>8.6</v>
      </c>
      <c r="P57" s="46"/>
      <c r="Q57" s="46">
        <v>47.8</v>
      </c>
      <c r="R57" s="47">
        <f>SUM(O57:Q57)</f>
        <v>56.4</v>
      </c>
      <c r="S57" s="28">
        <v>2</v>
      </c>
      <c r="T57" s="284"/>
      <c r="U57" s="275">
        <v>41907</v>
      </c>
      <c r="V57" s="37" t="s">
        <v>1144</v>
      </c>
      <c r="W57" s="28" t="s">
        <v>20</v>
      </c>
      <c r="X57" s="28" t="s">
        <v>12</v>
      </c>
      <c r="Y57" s="38">
        <v>27.1</v>
      </c>
      <c r="Z57" s="28" t="s">
        <v>130</v>
      </c>
      <c r="AA57" s="28" t="s">
        <v>97</v>
      </c>
      <c r="AB57" s="28" t="s">
        <v>12</v>
      </c>
      <c r="AC57" s="28">
        <v>20.7</v>
      </c>
      <c r="AD57" s="37" t="s">
        <v>1010</v>
      </c>
      <c r="AE57" s="28" t="s">
        <v>892</v>
      </c>
      <c r="AF57" s="28" t="s">
        <v>11</v>
      </c>
      <c r="AG57" s="38">
        <v>8.6</v>
      </c>
      <c r="AH57" s="37"/>
      <c r="AL57" s="37"/>
      <c r="AO57" s="38"/>
      <c r="AP57" s="37"/>
      <c r="AS57" s="38"/>
      <c r="AW57" s="38"/>
      <c r="BA57" s="39"/>
    </row>
    <row r="58" spans="1:53" s="28" customFormat="1" x14ac:dyDescent="0.15">
      <c r="A58" s="28">
        <v>2015</v>
      </c>
      <c r="B58" s="275"/>
      <c r="C58" s="394" t="s">
        <v>1291</v>
      </c>
      <c r="D58" s="394"/>
      <c r="E58" s="28">
        <v>0</v>
      </c>
      <c r="G58" s="65">
        <v>2</v>
      </c>
      <c r="I58" s="28">
        <v>13</v>
      </c>
      <c r="J58" s="72">
        <v>15</v>
      </c>
      <c r="K58" s="46">
        <f t="shared" si="8"/>
        <v>13.333333333333334</v>
      </c>
      <c r="L58" s="46">
        <f t="shared" si="9"/>
        <v>0</v>
      </c>
      <c r="M58" s="46">
        <f t="shared" si="10"/>
        <v>86.666666666666671</v>
      </c>
      <c r="N58" s="67">
        <f t="shared" si="11"/>
        <v>100</v>
      </c>
      <c r="O58" s="45">
        <v>8.6</v>
      </c>
      <c r="P58" s="46"/>
      <c r="Q58" s="46">
        <v>47.8</v>
      </c>
      <c r="R58" s="47">
        <f t="shared" ref="R58:R61" si="12">SUM(O58:Q58)</f>
        <v>56.4</v>
      </c>
      <c r="S58" s="28">
        <v>2</v>
      </c>
      <c r="T58" s="284"/>
      <c r="U58" s="275"/>
      <c r="V58" s="37" t="s">
        <v>1144</v>
      </c>
      <c r="W58" s="28" t="s">
        <v>20</v>
      </c>
      <c r="X58" s="28" t="s">
        <v>12</v>
      </c>
      <c r="Y58" s="38">
        <v>27.1</v>
      </c>
      <c r="Z58" s="28" t="s">
        <v>130</v>
      </c>
      <c r="AA58" s="28" t="s">
        <v>97</v>
      </c>
      <c r="AB58" s="28" t="s">
        <v>12</v>
      </c>
      <c r="AC58" s="28">
        <v>20.7</v>
      </c>
      <c r="AD58" s="37" t="s">
        <v>1010</v>
      </c>
      <c r="AE58" s="28" t="s">
        <v>892</v>
      </c>
      <c r="AF58" s="28" t="s">
        <v>11</v>
      </c>
      <c r="AG58" s="38">
        <v>8.6</v>
      </c>
      <c r="AH58" s="37"/>
      <c r="AL58" s="37"/>
      <c r="AO58" s="38"/>
      <c r="AP58" s="37"/>
      <c r="AS58" s="38"/>
      <c r="AW58" s="38"/>
      <c r="BA58" s="39"/>
    </row>
    <row r="59" spans="1:53" s="28" customFormat="1" x14ac:dyDescent="0.15">
      <c r="A59" s="28">
        <v>2015</v>
      </c>
      <c r="B59" s="275"/>
      <c r="C59" s="394" t="s">
        <v>1291</v>
      </c>
      <c r="D59" s="394"/>
      <c r="E59" s="28">
        <v>365</v>
      </c>
      <c r="G59" s="65">
        <v>2</v>
      </c>
      <c r="I59" s="28">
        <v>13</v>
      </c>
      <c r="J59" s="72">
        <v>15</v>
      </c>
      <c r="K59" s="46">
        <f t="shared" si="8"/>
        <v>13.333333333333334</v>
      </c>
      <c r="L59" s="46">
        <f t="shared" si="9"/>
        <v>0</v>
      </c>
      <c r="M59" s="46">
        <f t="shared" si="10"/>
        <v>86.666666666666671</v>
      </c>
      <c r="N59" s="67">
        <f t="shared" si="11"/>
        <v>100</v>
      </c>
      <c r="O59" s="45">
        <v>8.6</v>
      </c>
      <c r="P59" s="46"/>
      <c r="Q59" s="46">
        <v>47.8</v>
      </c>
      <c r="R59" s="47">
        <f t="shared" si="12"/>
        <v>56.4</v>
      </c>
      <c r="S59" s="28">
        <v>2</v>
      </c>
      <c r="T59" s="284"/>
      <c r="U59" s="293"/>
      <c r="V59" s="37" t="s">
        <v>1144</v>
      </c>
      <c r="W59" s="28" t="s">
        <v>20</v>
      </c>
      <c r="X59" s="28" t="s">
        <v>12</v>
      </c>
      <c r="Y59" s="38">
        <v>27.1</v>
      </c>
      <c r="Z59" s="28" t="s">
        <v>130</v>
      </c>
      <c r="AA59" s="28" t="s">
        <v>97</v>
      </c>
      <c r="AB59" s="28" t="s">
        <v>12</v>
      </c>
      <c r="AC59" s="28">
        <v>20.7</v>
      </c>
      <c r="AD59" s="37" t="s">
        <v>1010</v>
      </c>
      <c r="AE59" s="28" t="s">
        <v>892</v>
      </c>
      <c r="AF59" s="28" t="s">
        <v>11</v>
      </c>
      <c r="AG59" s="38">
        <v>8.6</v>
      </c>
      <c r="AH59" s="37"/>
      <c r="AL59" s="37"/>
      <c r="AO59" s="38"/>
      <c r="AP59" s="37"/>
      <c r="AS59" s="38"/>
      <c r="AW59" s="38"/>
      <c r="BA59" s="39"/>
    </row>
    <row r="60" spans="1:53" s="28" customFormat="1" x14ac:dyDescent="0.15">
      <c r="A60" s="28">
        <v>2016</v>
      </c>
      <c r="B60" s="275"/>
      <c r="C60" s="394" t="s">
        <v>1291</v>
      </c>
      <c r="D60" s="394"/>
      <c r="E60" s="28">
        <v>347</v>
      </c>
      <c r="G60" s="65">
        <v>2</v>
      </c>
      <c r="I60" s="28">
        <v>13</v>
      </c>
      <c r="J60" s="72">
        <v>15</v>
      </c>
      <c r="K60" s="46">
        <f t="shared" si="8"/>
        <v>13.333333333333334</v>
      </c>
      <c r="L60" s="46">
        <f t="shared" si="9"/>
        <v>0</v>
      </c>
      <c r="M60" s="46">
        <f t="shared" si="10"/>
        <v>86.666666666666671</v>
      </c>
      <c r="N60" s="67">
        <f t="shared" si="11"/>
        <v>100</v>
      </c>
      <c r="O60" s="45">
        <v>8.6</v>
      </c>
      <c r="P60" s="46"/>
      <c r="Q60" s="46">
        <v>47.8</v>
      </c>
      <c r="R60" s="47">
        <f t="shared" si="12"/>
        <v>56.4</v>
      </c>
      <c r="S60" s="28">
        <v>2</v>
      </c>
      <c r="T60" s="284"/>
      <c r="U60" s="293"/>
      <c r="V60" s="37" t="s">
        <v>1144</v>
      </c>
      <c r="W60" s="28" t="s">
        <v>20</v>
      </c>
      <c r="X60" s="28" t="s">
        <v>12</v>
      </c>
      <c r="Y60" s="38">
        <v>27.1</v>
      </c>
      <c r="Z60" s="28" t="s">
        <v>130</v>
      </c>
      <c r="AA60" s="28" t="s">
        <v>97</v>
      </c>
      <c r="AB60" s="28" t="s">
        <v>12</v>
      </c>
      <c r="AC60" s="28">
        <v>20.7</v>
      </c>
      <c r="AD60" s="37" t="s">
        <v>1010</v>
      </c>
      <c r="AE60" s="28" t="s">
        <v>892</v>
      </c>
      <c r="AF60" s="28" t="s">
        <v>11</v>
      </c>
      <c r="AG60" s="38">
        <v>8.6</v>
      </c>
      <c r="AH60" s="37"/>
      <c r="AL60" s="37"/>
      <c r="AO60" s="38"/>
      <c r="AP60" s="37"/>
      <c r="AS60" s="38"/>
      <c r="AW60" s="38"/>
      <c r="BA60" s="39"/>
    </row>
    <row r="61" spans="1:53" s="170" customFormat="1" x14ac:dyDescent="0.15">
      <c r="A61" s="170">
        <v>2016</v>
      </c>
      <c r="B61" s="304">
        <v>42717</v>
      </c>
      <c r="C61" s="395" t="s">
        <v>1344</v>
      </c>
      <c r="D61" s="395"/>
      <c r="E61" s="170">
        <v>19</v>
      </c>
      <c r="F61" s="170">
        <v>1</v>
      </c>
      <c r="G61" s="232"/>
      <c r="I61" s="170">
        <v>15</v>
      </c>
      <c r="J61" s="240">
        <v>15</v>
      </c>
      <c r="K61" s="213">
        <f t="shared" si="8"/>
        <v>0</v>
      </c>
      <c r="L61" s="213">
        <f t="shared" si="9"/>
        <v>0</v>
      </c>
      <c r="M61" s="213">
        <f t="shared" si="10"/>
        <v>100</v>
      </c>
      <c r="N61" s="234">
        <f t="shared" si="11"/>
        <v>100</v>
      </c>
      <c r="O61" s="212"/>
      <c r="P61" s="213"/>
      <c r="Q61" s="213">
        <v>51.8</v>
      </c>
      <c r="R61" s="214">
        <f t="shared" si="12"/>
        <v>51.8</v>
      </c>
      <c r="S61" s="170">
        <v>2</v>
      </c>
      <c r="T61" s="283">
        <v>42666</v>
      </c>
      <c r="U61" s="281">
        <v>42717</v>
      </c>
      <c r="V61" s="177" t="s">
        <v>1345</v>
      </c>
      <c r="W61" s="170" t="s">
        <v>932</v>
      </c>
      <c r="X61" s="170" t="s">
        <v>12</v>
      </c>
      <c r="Y61" s="178">
        <v>39.700000000000003</v>
      </c>
      <c r="Z61" s="170" t="s">
        <v>1144</v>
      </c>
      <c r="AA61" s="170" t="s">
        <v>20</v>
      </c>
      <c r="AB61" s="170" t="s">
        <v>12</v>
      </c>
      <c r="AC61" s="170">
        <v>12.1</v>
      </c>
      <c r="AD61" s="177"/>
      <c r="AG61" s="178"/>
      <c r="AH61" s="177"/>
      <c r="AL61" s="177"/>
      <c r="AO61" s="178"/>
      <c r="AP61" s="177"/>
      <c r="AS61" s="178"/>
      <c r="AW61" s="178"/>
      <c r="BA61" s="179"/>
    </row>
    <row r="62" spans="1:53" s="170" customFormat="1" x14ac:dyDescent="0.15">
      <c r="A62" s="170">
        <v>2017</v>
      </c>
      <c r="B62" s="304"/>
      <c r="C62" s="395" t="s">
        <v>1344</v>
      </c>
      <c r="D62" s="395"/>
      <c r="E62" s="170">
        <v>267</v>
      </c>
      <c r="G62" s="232"/>
      <c r="I62" s="170">
        <v>15</v>
      </c>
      <c r="J62" s="240">
        <v>15</v>
      </c>
      <c r="K62" s="213">
        <f t="shared" ref="K62:K63" si="13">G62/J62*100</f>
        <v>0</v>
      </c>
      <c r="L62" s="213">
        <f t="shared" ref="L62:L63" si="14">H62/J62*100</f>
        <v>0</v>
      </c>
      <c r="M62" s="213">
        <f t="shared" ref="M62:M63" si="15">I62/J62*100</f>
        <v>100</v>
      </c>
      <c r="N62" s="234">
        <f t="shared" ref="N62:N63" si="16">SUM(K62:M62)</f>
        <v>100</v>
      </c>
      <c r="O62" s="212"/>
      <c r="P62" s="213"/>
      <c r="Q62" s="213">
        <v>51.8</v>
      </c>
      <c r="R62" s="214">
        <f t="shared" ref="R62:R63" si="17">SUM(O62:Q62)</f>
        <v>51.8</v>
      </c>
      <c r="S62" s="170">
        <v>2</v>
      </c>
      <c r="T62" s="283"/>
      <c r="U62" s="281"/>
      <c r="V62" s="177" t="s">
        <v>1345</v>
      </c>
      <c r="W62" s="170" t="s">
        <v>932</v>
      </c>
      <c r="X62" s="170" t="s">
        <v>12</v>
      </c>
      <c r="Y62" s="178">
        <v>39.700000000000003</v>
      </c>
      <c r="Z62" s="170" t="s">
        <v>1144</v>
      </c>
      <c r="AA62" s="170" t="s">
        <v>20</v>
      </c>
      <c r="AB62" s="170" t="s">
        <v>12</v>
      </c>
      <c r="AC62" s="170">
        <v>12.1</v>
      </c>
      <c r="AD62" s="177"/>
      <c r="AG62" s="178"/>
      <c r="AH62" s="177"/>
      <c r="AL62" s="177"/>
      <c r="AO62" s="178"/>
      <c r="AP62" s="177"/>
      <c r="AS62" s="178"/>
      <c r="AW62" s="178"/>
      <c r="BA62" s="179"/>
    </row>
    <row r="63" spans="1:53" s="170" customFormat="1" x14ac:dyDescent="0.15">
      <c r="A63" s="170">
        <v>2017</v>
      </c>
      <c r="B63" s="299">
        <v>43003</v>
      </c>
      <c r="C63" s="395" t="s">
        <v>1344</v>
      </c>
      <c r="D63" s="395"/>
      <c r="E63" s="170">
        <v>98</v>
      </c>
      <c r="F63" s="191">
        <v>0</v>
      </c>
      <c r="G63" s="232"/>
      <c r="I63" s="170">
        <v>15</v>
      </c>
      <c r="J63" s="240">
        <v>15</v>
      </c>
      <c r="K63" s="213">
        <f t="shared" si="13"/>
        <v>0</v>
      </c>
      <c r="L63" s="213">
        <f t="shared" si="14"/>
        <v>0</v>
      </c>
      <c r="M63" s="213">
        <f t="shared" si="15"/>
        <v>100</v>
      </c>
      <c r="N63" s="234">
        <f t="shared" si="16"/>
        <v>100</v>
      </c>
      <c r="O63" s="212"/>
      <c r="P63" s="213"/>
      <c r="Q63" s="213">
        <v>48.9</v>
      </c>
      <c r="R63" s="214">
        <f t="shared" si="17"/>
        <v>48.9</v>
      </c>
      <c r="S63" s="170">
        <v>5</v>
      </c>
      <c r="T63" s="283"/>
      <c r="U63" s="281"/>
      <c r="V63" s="177" t="s">
        <v>1345</v>
      </c>
      <c r="W63" s="170" t="s">
        <v>932</v>
      </c>
      <c r="X63" s="170" t="s">
        <v>12</v>
      </c>
      <c r="Y63" s="178">
        <v>39.700000000000003</v>
      </c>
      <c r="Z63" s="170" t="s">
        <v>1422</v>
      </c>
      <c r="AA63" s="170" t="s">
        <v>304</v>
      </c>
      <c r="AB63" s="170" t="s">
        <v>12</v>
      </c>
      <c r="AC63" s="170">
        <v>9.1999999999999993</v>
      </c>
      <c r="AD63" s="177"/>
      <c r="AG63" s="178"/>
      <c r="AH63" s="177"/>
      <c r="AL63" s="177"/>
      <c r="AO63" s="178"/>
      <c r="AP63" s="177"/>
      <c r="AS63" s="178"/>
      <c r="AW63" s="178"/>
      <c r="BA63" s="179"/>
    </row>
    <row r="64" spans="1:53" s="170" customFormat="1" x14ac:dyDescent="0.15">
      <c r="A64" s="170">
        <v>2018</v>
      </c>
      <c r="B64" s="299"/>
      <c r="C64" s="395" t="s">
        <v>1344</v>
      </c>
      <c r="D64" s="395"/>
      <c r="E64" s="170">
        <v>0</v>
      </c>
      <c r="F64" s="191"/>
      <c r="G64" s="232"/>
      <c r="I64" s="170">
        <v>15</v>
      </c>
      <c r="J64" s="240">
        <v>15</v>
      </c>
      <c r="K64" s="213">
        <f t="shared" ref="K64" si="18">G64/J64*100</f>
        <v>0</v>
      </c>
      <c r="L64" s="213">
        <f t="shared" ref="L64" si="19">H64/J64*100</f>
        <v>0</v>
      </c>
      <c r="M64" s="213">
        <f t="shared" ref="M64" si="20">I64/J64*100</f>
        <v>100</v>
      </c>
      <c r="N64" s="234">
        <f t="shared" ref="N64" si="21">SUM(K64:M64)</f>
        <v>100</v>
      </c>
      <c r="O64" s="212"/>
      <c r="P64" s="213"/>
      <c r="Q64" s="213">
        <v>48.9</v>
      </c>
      <c r="R64" s="214">
        <f t="shared" ref="R64" si="22">SUM(O64:Q64)</f>
        <v>48.9</v>
      </c>
      <c r="S64" s="170">
        <v>5</v>
      </c>
      <c r="T64" s="283"/>
      <c r="U64" s="281"/>
      <c r="V64" s="177" t="s">
        <v>1345</v>
      </c>
      <c r="W64" s="170" t="s">
        <v>932</v>
      </c>
      <c r="X64" s="170" t="s">
        <v>12</v>
      </c>
      <c r="Y64" s="178">
        <v>39.700000000000003</v>
      </c>
      <c r="Z64" s="170" t="s">
        <v>1422</v>
      </c>
      <c r="AA64" s="170" t="s">
        <v>304</v>
      </c>
      <c r="AB64" s="170" t="s">
        <v>12</v>
      </c>
      <c r="AC64" s="274">
        <v>9.1999999999999993</v>
      </c>
      <c r="AD64" s="177"/>
      <c r="AG64" s="178"/>
      <c r="AH64" s="177"/>
      <c r="AL64" s="177"/>
      <c r="AO64" s="178"/>
      <c r="AP64" s="177"/>
      <c r="AS64" s="178"/>
      <c r="AW64" s="178"/>
      <c r="BA64" s="179"/>
    </row>
    <row r="65" spans="1:53" s="170" customFormat="1" x14ac:dyDescent="0.15">
      <c r="A65" s="170">
        <v>2018</v>
      </c>
      <c r="B65" s="299"/>
      <c r="C65" s="395" t="s">
        <v>1344</v>
      </c>
      <c r="D65" s="395"/>
      <c r="E65" s="170">
        <v>365</v>
      </c>
      <c r="F65" s="191"/>
      <c r="G65" s="232"/>
      <c r="I65" s="170">
        <v>15</v>
      </c>
      <c r="J65" s="240">
        <v>15</v>
      </c>
      <c r="K65" s="213">
        <f t="shared" ref="K65" si="23">G65/J65*100</f>
        <v>0</v>
      </c>
      <c r="L65" s="213">
        <f t="shared" ref="L65" si="24">H65/J65*100</f>
        <v>0</v>
      </c>
      <c r="M65" s="213">
        <f t="shared" ref="M65" si="25">I65/J65*100</f>
        <v>100</v>
      </c>
      <c r="N65" s="234">
        <f t="shared" ref="N65" si="26">SUM(K65:M65)</f>
        <v>100</v>
      </c>
      <c r="O65" s="212"/>
      <c r="P65" s="213"/>
      <c r="Q65" s="213">
        <v>48.9</v>
      </c>
      <c r="R65" s="214">
        <f t="shared" ref="R65" si="27">SUM(O65:Q65)</f>
        <v>48.9</v>
      </c>
      <c r="S65" s="170">
        <v>5</v>
      </c>
      <c r="T65" s="283"/>
      <c r="U65" s="281"/>
      <c r="V65" s="177" t="s">
        <v>1345</v>
      </c>
      <c r="W65" s="170" t="s">
        <v>932</v>
      </c>
      <c r="X65" s="170" t="s">
        <v>12</v>
      </c>
      <c r="Y65" s="178">
        <v>39.700000000000003</v>
      </c>
      <c r="Z65" s="170" t="s">
        <v>1422</v>
      </c>
      <c r="AA65" s="170" t="s">
        <v>304</v>
      </c>
      <c r="AB65" s="170" t="s">
        <v>12</v>
      </c>
      <c r="AC65" s="274">
        <v>9.1999999999999993</v>
      </c>
      <c r="AD65" s="177"/>
      <c r="AG65" s="178"/>
      <c r="AH65" s="177"/>
      <c r="AL65" s="177"/>
      <c r="AO65" s="178"/>
      <c r="AP65" s="177"/>
      <c r="AS65" s="178"/>
      <c r="AW65" s="178"/>
      <c r="BA65" s="179"/>
    </row>
    <row r="66" spans="1:53" s="170" customFormat="1" x14ac:dyDescent="0.15">
      <c r="A66" s="170">
        <v>2019</v>
      </c>
      <c r="B66" s="299"/>
      <c r="C66" s="395" t="s">
        <v>1344</v>
      </c>
      <c r="D66" s="395"/>
      <c r="E66" s="170">
        <v>218</v>
      </c>
      <c r="F66" s="191"/>
      <c r="G66" s="232"/>
      <c r="I66" s="170">
        <v>15</v>
      </c>
      <c r="J66" s="240">
        <v>15</v>
      </c>
      <c r="K66" s="213">
        <f t="shared" ref="K66" si="28">G66/J66*100</f>
        <v>0</v>
      </c>
      <c r="L66" s="213">
        <f t="shared" ref="L66" si="29">H66/J66*100</f>
        <v>0</v>
      </c>
      <c r="M66" s="213">
        <f t="shared" ref="M66" si="30">I66/J66*100</f>
        <v>100</v>
      </c>
      <c r="N66" s="234">
        <f t="shared" ref="N66" si="31">SUM(K66:M66)</f>
        <v>100</v>
      </c>
      <c r="O66" s="212"/>
      <c r="P66" s="213"/>
      <c r="Q66" s="213">
        <v>48.9</v>
      </c>
      <c r="R66" s="214">
        <f t="shared" ref="R66" si="32">SUM(O66:Q66)</f>
        <v>48.9</v>
      </c>
      <c r="S66" s="170">
        <v>5</v>
      </c>
      <c r="T66" s="283"/>
      <c r="U66" s="281"/>
      <c r="V66" s="177" t="s">
        <v>1345</v>
      </c>
      <c r="W66" s="170" t="s">
        <v>932</v>
      </c>
      <c r="X66" s="170" t="s">
        <v>12</v>
      </c>
      <c r="Y66" s="178">
        <v>39.700000000000003</v>
      </c>
      <c r="Z66" s="170" t="s">
        <v>1422</v>
      </c>
      <c r="AA66" s="170" t="s">
        <v>304</v>
      </c>
      <c r="AB66" s="170" t="s">
        <v>12</v>
      </c>
      <c r="AC66" s="274">
        <v>9.1999999999999993</v>
      </c>
      <c r="AD66" s="177"/>
      <c r="AH66" s="177"/>
      <c r="AL66" s="177"/>
      <c r="AO66" s="178"/>
      <c r="AS66" s="178"/>
      <c r="AW66" s="178"/>
      <c r="BA66" s="179"/>
    </row>
    <row r="67" spans="1:53" s="170" customFormat="1" x14ac:dyDescent="0.15">
      <c r="A67" s="170">
        <v>2019</v>
      </c>
      <c r="B67" s="304">
        <v>43684</v>
      </c>
      <c r="C67" s="395" t="s">
        <v>1344</v>
      </c>
      <c r="D67" s="395"/>
      <c r="E67" s="170">
        <v>147</v>
      </c>
      <c r="F67" s="336">
        <v>7</v>
      </c>
      <c r="H67" s="170">
        <v>2</v>
      </c>
      <c r="I67" s="170">
        <v>13</v>
      </c>
      <c r="J67" s="240">
        <v>15</v>
      </c>
      <c r="K67" s="213">
        <f t="shared" ref="K67:K73" si="33">G67/J67*100</f>
        <v>0</v>
      </c>
      <c r="L67" s="213">
        <f t="shared" ref="L67:L73" si="34">H67/J67*100</f>
        <v>13.333333333333334</v>
      </c>
      <c r="M67" s="213">
        <f t="shared" ref="M67:M73" si="35">I67/J67*100</f>
        <v>86.666666666666671</v>
      </c>
      <c r="N67" s="234">
        <f t="shared" ref="N67:N73" si="36">SUM(K67:M67)</f>
        <v>100</v>
      </c>
      <c r="O67" s="212"/>
      <c r="P67" s="213">
        <v>5.7</v>
      </c>
      <c r="Q67" s="213">
        <v>48.9</v>
      </c>
      <c r="R67" s="214">
        <f t="shared" ref="R67:R69" si="37">SUM(O67:Q67)</f>
        <v>54.6</v>
      </c>
      <c r="S67" s="189">
        <v>2</v>
      </c>
      <c r="T67" s="283"/>
      <c r="U67" s="281"/>
      <c r="V67" s="177" t="s">
        <v>1345</v>
      </c>
      <c r="W67" s="170" t="s">
        <v>932</v>
      </c>
      <c r="X67" s="170" t="s">
        <v>12</v>
      </c>
      <c r="Y67" s="178">
        <v>39.700000000000003</v>
      </c>
      <c r="Z67" s="170" t="s">
        <v>1422</v>
      </c>
      <c r="AA67" s="170" t="s">
        <v>304</v>
      </c>
      <c r="AB67" s="170" t="s">
        <v>12</v>
      </c>
      <c r="AC67" s="344">
        <v>9.1999999999999993</v>
      </c>
      <c r="AD67" s="170" t="s">
        <v>1011</v>
      </c>
      <c r="AE67" s="170" t="s">
        <v>89</v>
      </c>
      <c r="AF67" s="170" t="s">
        <v>18</v>
      </c>
      <c r="AG67" s="170">
        <v>5.7</v>
      </c>
      <c r="AH67" s="177"/>
      <c r="AK67" s="178"/>
      <c r="AO67" s="178"/>
      <c r="AS67" s="178"/>
      <c r="AW67" s="178"/>
      <c r="BA67" s="179"/>
    </row>
    <row r="68" spans="1:53" s="170" customFormat="1" x14ac:dyDescent="0.15">
      <c r="A68" s="170">
        <v>2020</v>
      </c>
      <c r="B68" s="304"/>
      <c r="C68" s="395" t="s">
        <v>1344</v>
      </c>
      <c r="D68" s="395"/>
      <c r="E68" s="170">
        <v>345</v>
      </c>
      <c r="F68" s="336"/>
      <c r="H68" s="170">
        <v>2</v>
      </c>
      <c r="I68" s="170">
        <v>13</v>
      </c>
      <c r="J68" s="240">
        <v>15</v>
      </c>
      <c r="K68" s="213">
        <f t="shared" si="33"/>
        <v>0</v>
      </c>
      <c r="L68" s="213">
        <f t="shared" si="34"/>
        <v>13.333333333333334</v>
      </c>
      <c r="M68" s="213">
        <f t="shared" si="35"/>
        <v>86.666666666666671</v>
      </c>
      <c r="N68" s="214">
        <f t="shared" si="36"/>
        <v>100</v>
      </c>
      <c r="O68" s="213"/>
      <c r="P68" s="213">
        <v>5.7</v>
      </c>
      <c r="Q68" s="213">
        <v>48.9</v>
      </c>
      <c r="R68" s="214">
        <f t="shared" si="37"/>
        <v>54.6</v>
      </c>
      <c r="S68" s="189">
        <v>2</v>
      </c>
      <c r="T68" s="283"/>
      <c r="U68" s="281"/>
      <c r="V68" s="177" t="s">
        <v>1345</v>
      </c>
      <c r="W68" s="170" t="s">
        <v>932</v>
      </c>
      <c r="X68" s="170" t="s">
        <v>12</v>
      </c>
      <c r="Y68" s="170">
        <v>39.700000000000003</v>
      </c>
      <c r="Z68" s="170" t="s">
        <v>1422</v>
      </c>
      <c r="AA68" s="170" t="s">
        <v>304</v>
      </c>
      <c r="AB68" s="170" t="s">
        <v>12</v>
      </c>
      <c r="AC68" s="344">
        <v>9.1999999999999993</v>
      </c>
      <c r="AD68" s="170" t="s">
        <v>1011</v>
      </c>
      <c r="AE68" s="170" t="s">
        <v>89</v>
      </c>
      <c r="AF68" s="170" t="s">
        <v>18</v>
      </c>
      <c r="AG68" s="178">
        <v>5.7</v>
      </c>
      <c r="AK68" s="178"/>
      <c r="AO68" s="178"/>
      <c r="AS68" s="178"/>
      <c r="AW68" s="178"/>
      <c r="BA68" s="179"/>
    </row>
    <row r="69" spans="1:53" s="28" customFormat="1" x14ac:dyDescent="0.15">
      <c r="A69" s="28">
        <v>2020</v>
      </c>
      <c r="B69" s="275">
        <v>44176</v>
      </c>
      <c r="C69" s="394" t="s">
        <v>1465</v>
      </c>
      <c r="D69" s="394"/>
      <c r="E69" s="28">
        <v>21</v>
      </c>
      <c r="F69" s="339">
        <v>1</v>
      </c>
      <c r="G69" s="28">
        <v>15</v>
      </c>
      <c r="J69" s="72">
        <v>15</v>
      </c>
      <c r="K69" s="46">
        <f t="shared" si="33"/>
        <v>100</v>
      </c>
      <c r="L69" s="46">
        <f t="shared" si="34"/>
        <v>0</v>
      </c>
      <c r="M69" s="46">
        <f t="shared" si="35"/>
        <v>0</v>
      </c>
      <c r="N69" s="47">
        <f t="shared" si="36"/>
        <v>100</v>
      </c>
      <c r="O69" s="46">
        <v>51.8</v>
      </c>
      <c r="P69" s="46"/>
      <c r="Q69" s="46"/>
      <c r="R69" s="47">
        <f t="shared" si="37"/>
        <v>51.8</v>
      </c>
      <c r="S69" s="36">
        <v>2</v>
      </c>
      <c r="T69" s="284">
        <v>44115</v>
      </c>
      <c r="U69" s="290">
        <v>44176</v>
      </c>
      <c r="V69" s="28" t="s">
        <v>1007</v>
      </c>
      <c r="W69" s="28" t="s">
        <v>87</v>
      </c>
      <c r="X69" s="28" t="s">
        <v>11</v>
      </c>
      <c r="Y69" s="28">
        <v>35.5</v>
      </c>
      <c r="Z69" s="28" t="s">
        <v>1009</v>
      </c>
      <c r="AA69" s="28" t="s">
        <v>893</v>
      </c>
      <c r="AB69" s="28" t="s">
        <v>11</v>
      </c>
      <c r="AC69" s="345">
        <v>8.5</v>
      </c>
      <c r="AD69" s="28" t="s">
        <v>82</v>
      </c>
      <c r="AE69" s="28" t="s">
        <v>899</v>
      </c>
      <c r="AF69" s="28" t="s">
        <v>11</v>
      </c>
      <c r="AG69" s="38">
        <v>7.8</v>
      </c>
      <c r="AK69" s="38"/>
      <c r="AO69" s="38"/>
      <c r="AS69" s="38"/>
      <c r="AW69" s="38"/>
      <c r="BA69" s="39"/>
    </row>
    <row r="70" spans="1:53" s="28" customFormat="1" x14ac:dyDescent="0.15">
      <c r="A70" s="28">
        <v>2021</v>
      </c>
      <c r="B70" s="275"/>
      <c r="C70" s="394" t="s">
        <v>1465</v>
      </c>
      <c r="D70" s="394"/>
      <c r="E70" s="28">
        <v>0</v>
      </c>
      <c r="F70" s="339"/>
      <c r="G70" s="28">
        <v>15</v>
      </c>
      <c r="J70" s="72">
        <v>15</v>
      </c>
      <c r="K70" s="46">
        <f t="shared" si="33"/>
        <v>100</v>
      </c>
      <c r="L70" s="46">
        <f t="shared" si="34"/>
        <v>0</v>
      </c>
      <c r="M70" s="46">
        <f t="shared" si="35"/>
        <v>0</v>
      </c>
      <c r="N70" s="47">
        <f t="shared" si="36"/>
        <v>100</v>
      </c>
      <c r="O70" s="46">
        <v>51.8</v>
      </c>
      <c r="P70" s="46"/>
      <c r="Q70" s="46"/>
      <c r="R70" s="47">
        <v>51.8</v>
      </c>
      <c r="S70" s="36">
        <v>2</v>
      </c>
      <c r="T70" s="284"/>
      <c r="U70" s="290"/>
      <c r="V70" s="28" t="s">
        <v>1007</v>
      </c>
      <c r="W70" s="28" t="s">
        <v>87</v>
      </c>
      <c r="X70" s="28" t="s">
        <v>11</v>
      </c>
      <c r="Y70" s="28">
        <v>35.5</v>
      </c>
      <c r="Z70" s="28" t="s">
        <v>1009</v>
      </c>
      <c r="AA70" s="28" t="s">
        <v>893</v>
      </c>
      <c r="AB70" s="28" t="s">
        <v>11</v>
      </c>
      <c r="AC70" s="345">
        <v>8.5</v>
      </c>
      <c r="AD70" s="28" t="s">
        <v>82</v>
      </c>
      <c r="AE70" s="28" t="s">
        <v>899</v>
      </c>
      <c r="AF70" s="28" t="s">
        <v>11</v>
      </c>
      <c r="AG70" s="38">
        <v>7.8</v>
      </c>
      <c r="AK70" s="38"/>
      <c r="AO70" s="38"/>
      <c r="AS70" s="38"/>
      <c r="AW70" s="38"/>
      <c r="BA70" s="39"/>
    </row>
    <row r="71" spans="1:53" s="28" customFormat="1" x14ac:dyDescent="0.15">
      <c r="A71" s="28">
        <v>2021</v>
      </c>
      <c r="B71" s="275"/>
      <c r="C71" s="394" t="s">
        <v>1465</v>
      </c>
      <c r="D71" s="394"/>
      <c r="E71" s="28">
        <v>365</v>
      </c>
      <c r="F71" s="339"/>
      <c r="G71" s="28">
        <v>15</v>
      </c>
      <c r="J71" s="72">
        <v>15</v>
      </c>
      <c r="K71" s="46">
        <f t="shared" si="33"/>
        <v>100</v>
      </c>
      <c r="L71" s="46">
        <f t="shared" si="34"/>
        <v>0</v>
      </c>
      <c r="M71" s="46">
        <f t="shared" si="35"/>
        <v>0</v>
      </c>
      <c r="N71" s="47">
        <f t="shared" si="36"/>
        <v>100</v>
      </c>
      <c r="O71" s="46">
        <v>51.8</v>
      </c>
      <c r="P71" s="46"/>
      <c r="Q71" s="46"/>
      <c r="R71" s="47">
        <v>51.8</v>
      </c>
      <c r="S71" s="36">
        <v>2</v>
      </c>
      <c r="T71" s="284"/>
      <c r="U71" s="290"/>
      <c r="V71" s="28" t="s">
        <v>1007</v>
      </c>
      <c r="W71" s="28" t="s">
        <v>87</v>
      </c>
      <c r="X71" s="28" t="s">
        <v>11</v>
      </c>
      <c r="Y71" s="28">
        <v>35.5</v>
      </c>
      <c r="Z71" s="28" t="s">
        <v>1009</v>
      </c>
      <c r="AA71" s="28" t="s">
        <v>893</v>
      </c>
      <c r="AB71" s="28" t="s">
        <v>11</v>
      </c>
      <c r="AC71" s="345">
        <v>8.5</v>
      </c>
      <c r="AD71" s="28" t="s">
        <v>82</v>
      </c>
      <c r="AE71" s="28" t="s">
        <v>899</v>
      </c>
      <c r="AF71" s="28" t="s">
        <v>11</v>
      </c>
      <c r="AG71" s="38">
        <v>7.8</v>
      </c>
      <c r="AK71" s="38"/>
      <c r="AO71" s="38"/>
      <c r="AS71" s="38"/>
      <c r="AW71" s="38"/>
      <c r="BA71" s="39"/>
    </row>
    <row r="72" spans="1:53" s="28" customFormat="1" x14ac:dyDescent="0.15">
      <c r="A72" s="28">
        <v>2022</v>
      </c>
      <c r="B72" s="275"/>
      <c r="C72" s="394" t="s">
        <v>1465</v>
      </c>
      <c r="D72" s="394"/>
      <c r="E72" s="28">
        <v>0</v>
      </c>
      <c r="F72" s="339"/>
      <c r="G72" s="28">
        <v>15</v>
      </c>
      <c r="J72" s="72">
        <v>15</v>
      </c>
      <c r="K72" s="46">
        <f t="shared" si="33"/>
        <v>100</v>
      </c>
      <c r="L72" s="46">
        <f t="shared" si="34"/>
        <v>0</v>
      </c>
      <c r="M72" s="46">
        <f t="shared" si="35"/>
        <v>0</v>
      </c>
      <c r="N72" s="47">
        <f t="shared" si="36"/>
        <v>100</v>
      </c>
      <c r="O72" s="46">
        <v>51.8</v>
      </c>
      <c r="P72" s="46"/>
      <c r="Q72" s="46"/>
      <c r="R72" s="47">
        <v>51.8</v>
      </c>
      <c r="S72" s="36">
        <v>2</v>
      </c>
      <c r="T72" s="284"/>
      <c r="U72" s="290"/>
      <c r="V72" s="28" t="s">
        <v>1007</v>
      </c>
      <c r="W72" s="28" t="s">
        <v>87</v>
      </c>
      <c r="X72" s="28" t="s">
        <v>11</v>
      </c>
      <c r="Y72" s="28">
        <v>35.5</v>
      </c>
      <c r="Z72" s="28" t="s">
        <v>1009</v>
      </c>
      <c r="AA72" s="28" t="s">
        <v>893</v>
      </c>
      <c r="AB72" s="28" t="s">
        <v>11</v>
      </c>
      <c r="AC72" s="345">
        <v>8.5</v>
      </c>
      <c r="AD72" s="28" t="s">
        <v>82</v>
      </c>
      <c r="AE72" s="28" t="s">
        <v>899</v>
      </c>
      <c r="AF72" s="28" t="s">
        <v>11</v>
      </c>
      <c r="AG72" s="38">
        <v>7.8</v>
      </c>
      <c r="AK72" s="38"/>
      <c r="AO72" s="38"/>
      <c r="AS72" s="38"/>
      <c r="AW72" s="38"/>
      <c r="BA72" s="39"/>
    </row>
    <row r="73" spans="1:53" s="28" customFormat="1" x14ac:dyDescent="0.15">
      <c r="A73" s="28">
        <v>2022</v>
      </c>
      <c r="B73" s="275"/>
      <c r="C73" s="394" t="s">
        <v>1465</v>
      </c>
      <c r="D73" s="394"/>
      <c r="E73" s="28">
        <v>365</v>
      </c>
      <c r="F73" s="339"/>
      <c r="G73" s="28">
        <v>15</v>
      </c>
      <c r="J73" s="72">
        <v>15</v>
      </c>
      <c r="K73" s="46">
        <f t="shared" si="33"/>
        <v>100</v>
      </c>
      <c r="L73" s="46">
        <f t="shared" si="34"/>
        <v>0</v>
      </c>
      <c r="M73" s="46">
        <f t="shared" si="35"/>
        <v>0</v>
      </c>
      <c r="N73" s="47">
        <f t="shared" si="36"/>
        <v>100</v>
      </c>
      <c r="O73" s="46">
        <v>51.8</v>
      </c>
      <c r="P73" s="46"/>
      <c r="Q73" s="46"/>
      <c r="R73" s="47">
        <v>51.8</v>
      </c>
      <c r="S73" s="36">
        <v>2</v>
      </c>
      <c r="T73" s="284"/>
      <c r="U73" s="290"/>
      <c r="V73" s="28" t="s">
        <v>1007</v>
      </c>
      <c r="W73" s="28" t="s">
        <v>87</v>
      </c>
      <c r="X73" s="28" t="s">
        <v>11</v>
      </c>
      <c r="Y73" s="28">
        <v>35.5</v>
      </c>
      <c r="Z73" s="28" t="s">
        <v>1009</v>
      </c>
      <c r="AA73" s="28" t="s">
        <v>893</v>
      </c>
      <c r="AB73" s="28" t="s">
        <v>11</v>
      </c>
      <c r="AC73" s="345">
        <v>8.5</v>
      </c>
      <c r="AD73" s="28" t="s">
        <v>82</v>
      </c>
      <c r="AE73" s="28" t="s">
        <v>899</v>
      </c>
      <c r="AF73" s="28" t="s">
        <v>11</v>
      </c>
      <c r="AG73" s="38">
        <v>7.8</v>
      </c>
      <c r="AK73" s="38"/>
      <c r="AO73" s="38"/>
      <c r="AS73" s="38"/>
      <c r="AW73" s="38"/>
      <c r="BA73" s="39"/>
    </row>
    <row r="74" spans="1:53" s="28" customFormat="1" x14ac:dyDescent="0.15">
      <c r="B74" s="275"/>
      <c r="F74" s="166"/>
      <c r="J74" s="71"/>
      <c r="K74" s="46"/>
      <c r="L74" s="46"/>
      <c r="M74" s="46"/>
      <c r="N74" s="67"/>
      <c r="O74" s="46"/>
      <c r="P74" s="46"/>
      <c r="Q74" s="46"/>
      <c r="R74" s="67"/>
      <c r="T74" s="293"/>
      <c r="U74" s="293"/>
      <c r="AC74" s="359"/>
      <c r="AW74" s="38"/>
    </row>
    <row r="75" spans="1:53" x14ac:dyDescent="0.15">
      <c r="AW75" s="16"/>
    </row>
    <row r="76" spans="1:53" ht="18" customHeight="1" x14ac:dyDescent="0.15">
      <c r="B76" s="15" t="s">
        <v>1262</v>
      </c>
    </row>
    <row r="77" spans="1:53" ht="9" customHeight="1" x14ac:dyDescent="0.15"/>
    <row r="78" spans="1:53" s="194" customFormat="1" ht="9" customHeight="1" x14ac:dyDescent="0.15">
      <c r="A78" s="192"/>
      <c r="B78" s="193" t="s">
        <v>1213</v>
      </c>
      <c r="C78" s="193"/>
      <c r="D78" s="193"/>
      <c r="E78" s="193"/>
      <c r="F78" s="193"/>
      <c r="G78" s="193" t="s">
        <v>1214</v>
      </c>
      <c r="H78" s="193"/>
      <c r="I78" s="193"/>
      <c r="J78" s="193"/>
      <c r="K78" s="193"/>
      <c r="L78" s="193"/>
      <c r="M78" s="193"/>
      <c r="N78" s="193"/>
      <c r="R78" s="386" t="s">
        <v>1215</v>
      </c>
      <c r="S78" s="386"/>
      <c r="T78" s="386"/>
      <c r="U78" s="386"/>
      <c r="V78" s="386"/>
      <c r="W78" s="386"/>
      <c r="X78" s="195"/>
      <c r="Y78" s="195"/>
      <c r="AA78" s="195"/>
      <c r="AB78" s="195"/>
      <c r="AC78" s="195"/>
      <c r="AD78" s="195"/>
    </row>
    <row r="79" spans="1:53" s="199" customFormat="1" ht="9" customHeight="1" x14ac:dyDescent="0.15">
      <c r="A79" s="196"/>
      <c r="B79" s="197" t="s">
        <v>1217</v>
      </c>
      <c r="C79" s="198"/>
      <c r="D79" s="198"/>
      <c r="E79" s="198"/>
      <c r="F79" s="198"/>
      <c r="G79" s="197" t="s">
        <v>1216</v>
      </c>
      <c r="H79" s="198"/>
      <c r="I79" s="198"/>
      <c r="J79" s="198"/>
      <c r="K79" s="198"/>
      <c r="L79" s="198"/>
      <c r="M79" s="198"/>
      <c r="N79" s="198"/>
      <c r="R79" s="200" t="s">
        <v>1218</v>
      </c>
      <c r="S79" s="201"/>
      <c r="T79" s="202"/>
      <c r="U79" s="202"/>
      <c r="V79" s="202"/>
      <c r="W79" s="200" t="s">
        <v>1219</v>
      </c>
      <c r="X79" s="202"/>
      <c r="Y79" s="202"/>
      <c r="AA79" s="202"/>
      <c r="AB79" s="202"/>
      <c r="AC79" s="202"/>
      <c r="AD79" s="202"/>
    </row>
    <row r="80" spans="1:53" s="185" customFormat="1" ht="12" customHeight="1" x14ac:dyDescent="0.15">
      <c r="A80" s="203" t="s">
        <v>3</v>
      </c>
      <c r="B80" s="204" t="s">
        <v>8</v>
      </c>
      <c r="C80" s="204" t="s">
        <v>9</v>
      </c>
      <c r="D80" s="204" t="s">
        <v>10</v>
      </c>
      <c r="E80" s="205" t="s">
        <v>1193</v>
      </c>
      <c r="F80" s="204"/>
      <c r="G80" s="185" t="s">
        <v>3</v>
      </c>
      <c r="H80" s="387" t="s">
        <v>0</v>
      </c>
      <c r="I80" s="387"/>
      <c r="J80" s="387" t="s">
        <v>1</v>
      </c>
      <c r="K80" s="387"/>
      <c r="L80" s="387" t="s">
        <v>2</v>
      </c>
      <c r="M80" s="387"/>
      <c r="N80" s="388" t="s">
        <v>1193</v>
      </c>
      <c r="O80" s="388"/>
      <c r="P80" s="206"/>
      <c r="Q80" s="206"/>
      <c r="R80" s="207" t="s">
        <v>3</v>
      </c>
      <c r="S80" s="208" t="s">
        <v>135</v>
      </c>
      <c r="T80" s="206" t="s">
        <v>133</v>
      </c>
      <c r="U80" s="204" t="s">
        <v>134</v>
      </c>
      <c r="V80" s="206"/>
      <c r="W80" s="209" t="s">
        <v>26</v>
      </c>
    </row>
    <row r="81" spans="1:28" x14ac:dyDescent="0.15">
      <c r="A81" s="13">
        <v>1990</v>
      </c>
      <c r="B81" s="5"/>
      <c r="C81" s="5"/>
      <c r="D81" s="5"/>
      <c r="E81" s="17"/>
      <c r="F81" s="5"/>
      <c r="G81" s="1">
        <v>1990</v>
      </c>
      <c r="H81" s="5"/>
      <c r="I81" s="5"/>
      <c r="J81" s="5"/>
      <c r="K81" s="5"/>
      <c r="L81" s="5"/>
      <c r="M81" s="5"/>
      <c r="N81" s="17"/>
      <c r="O81" s="17"/>
      <c r="P81" s="9"/>
      <c r="Q81" s="9"/>
      <c r="R81" s="1">
        <v>1990</v>
      </c>
      <c r="S81" s="9"/>
      <c r="T81" s="9"/>
      <c r="U81" s="5"/>
      <c r="V81" s="9"/>
      <c r="W81" s="114"/>
    </row>
    <row r="82" spans="1:28" x14ac:dyDescent="0.15">
      <c r="A82" s="13">
        <v>1991</v>
      </c>
      <c r="B82" s="5"/>
      <c r="C82" s="5"/>
      <c r="D82" s="5"/>
      <c r="E82" s="17"/>
      <c r="F82" s="5"/>
      <c r="G82" s="1">
        <v>1991</v>
      </c>
      <c r="H82" s="5"/>
      <c r="I82" s="5"/>
      <c r="J82" s="5"/>
      <c r="K82" s="5"/>
      <c r="L82" s="5"/>
      <c r="M82" s="5"/>
      <c r="N82" s="17"/>
      <c r="O82" s="17"/>
      <c r="P82" s="9"/>
      <c r="Q82" s="9"/>
      <c r="R82" s="1">
        <v>1991</v>
      </c>
      <c r="S82" s="9"/>
      <c r="T82" s="9"/>
      <c r="U82" s="5"/>
      <c r="V82" s="9"/>
      <c r="W82" s="114"/>
    </row>
    <row r="83" spans="1:28" x14ac:dyDescent="0.15">
      <c r="A83" s="1">
        <v>1992</v>
      </c>
      <c r="B83" s="5">
        <f>(K7*($E7/22))</f>
        <v>0</v>
      </c>
      <c r="C83" s="5">
        <f>(L7*($E7/22))</f>
        <v>0</v>
      </c>
      <c r="D83" s="5">
        <f>(M7*($E7/22))</f>
        <v>100</v>
      </c>
      <c r="E83" s="23">
        <f t="shared" ref="E83:E103" si="38">SUM(B83:D83)</f>
        <v>100</v>
      </c>
      <c r="G83" s="1">
        <v>1992</v>
      </c>
      <c r="H83" s="392">
        <f>(O7/$R7*100*($E7/22))</f>
        <v>0</v>
      </c>
      <c r="I83" s="392"/>
      <c r="J83" s="392">
        <f>(P7/$R7*100*($E7/22))</f>
        <v>0</v>
      </c>
      <c r="K83" s="392"/>
      <c r="L83" s="392">
        <f>(Q7/$R7*100*($E7/22))</f>
        <v>100</v>
      </c>
      <c r="M83" s="392"/>
      <c r="N83" s="413">
        <f t="shared" ref="N83:N103" si="39">H83+J83+L83</f>
        <v>100</v>
      </c>
      <c r="O83" s="413"/>
      <c r="R83" s="1">
        <v>1992</v>
      </c>
      <c r="S83" s="5">
        <f>(O7*($E7/22))</f>
        <v>0</v>
      </c>
      <c r="T83" s="5">
        <f>(P7*($E7/22))</f>
        <v>0</v>
      </c>
      <c r="U83" s="5">
        <f>(Q7*($E7/22))</f>
        <v>51.8</v>
      </c>
      <c r="W83" s="5">
        <f t="shared" ref="W83:W103" si="40">S83+T83+U83</f>
        <v>51.8</v>
      </c>
      <c r="X83" s="24"/>
      <c r="Y83" s="26" t="s">
        <v>1223</v>
      </c>
      <c r="Z83" s="24"/>
      <c r="AA83" s="24"/>
      <c r="AB83" s="25"/>
    </row>
    <row r="84" spans="1:28" x14ac:dyDescent="0.15">
      <c r="A84" s="1">
        <v>1993</v>
      </c>
      <c r="B84" s="5">
        <f>(K8*($E8/365))+(K9*($E9/365))</f>
        <v>0</v>
      </c>
      <c r="C84" s="5">
        <f>(L8*($E8/365))+(L9*($E9/365))</f>
        <v>0</v>
      </c>
      <c r="D84" s="5">
        <f>(M8*($E8/365))+(M9*($E9/365))</f>
        <v>100</v>
      </c>
      <c r="E84" s="23">
        <f t="shared" si="38"/>
        <v>100</v>
      </c>
      <c r="G84" s="1">
        <v>1993</v>
      </c>
      <c r="H84" s="392">
        <f>(O8/$R8*100*($E8/365))+(O9/$R9*100*($E9/365))</f>
        <v>0</v>
      </c>
      <c r="I84" s="392"/>
      <c r="J84" s="392">
        <f>(P8/$R8*100*($E8/365))+(P9/$R9*100*($E9/365))</f>
        <v>0</v>
      </c>
      <c r="K84" s="392"/>
      <c r="L84" s="392">
        <f>(Q8/$R8*100*($E8/365))+(Q9/$R9*100*($E9/365))</f>
        <v>100</v>
      </c>
      <c r="M84" s="392"/>
      <c r="N84" s="413">
        <f t="shared" si="39"/>
        <v>100</v>
      </c>
      <c r="O84" s="413"/>
      <c r="R84" s="1">
        <v>1993</v>
      </c>
      <c r="S84" s="5">
        <f>(O8*($E8/365))+(O9*($E9/365))</f>
        <v>0</v>
      </c>
      <c r="T84" s="5">
        <f>(P8*($E8/365))+(P9*($E9/365))</f>
        <v>0</v>
      </c>
      <c r="U84" s="5">
        <f>(Q8*($E8/365))+(Q9*($E9/365))</f>
        <v>51.79999999999999</v>
      </c>
      <c r="W84" s="5">
        <f t="shared" si="40"/>
        <v>51.79999999999999</v>
      </c>
    </row>
    <row r="85" spans="1:28" x14ac:dyDescent="0.15">
      <c r="A85" s="1">
        <v>1994</v>
      </c>
      <c r="B85" s="5">
        <f>(K10*($E10/365))+(K11*($E11/365))</f>
        <v>0</v>
      </c>
      <c r="C85" s="5">
        <f>(L10*($E10/365))+(L11*($E11/365))</f>
        <v>0</v>
      </c>
      <c r="D85" s="5">
        <f>(M10*($E10/365))+(M11*($E11/365))</f>
        <v>100</v>
      </c>
      <c r="E85" s="23">
        <f t="shared" si="38"/>
        <v>100</v>
      </c>
      <c r="G85" s="1">
        <v>1994</v>
      </c>
      <c r="H85" s="392">
        <f>(O10/$R10*100*($E10/365))+(O11/$R11*100*($E11/365))</f>
        <v>0</v>
      </c>
      <c r="I85" s="392"/>
      <c r="J85" s="392">
        <f>(P10/$R10*100*($E10/365))+(P11/$R11*100*($E11/365))</f>
        <v>0</v>
      </c>
      <c r="K85" s="392"/>
      <c r="L85" s="392">
        <f>(Q10/$R10*100*($E10/365))+(Q11/$R11*100*($E11/365))</f>
        <v>100</v>
      </c>
      <c r="M85" s="392"/>
      <c r="N85" s="413">
        <f t="shared" si="39"/>
        <v>100</v>
      </c>
      <c r="O85" s="413"/>
      <c r="R85" s="1">
        <v>1994</v>
      </c>
      <c r="S85" s="5">
        <f>(O10*($E10/365))+(O11*($E11/365))</f>
        <v>0</v>
      </c>
      <c r="T85" s="5">
        <f>(P10*($E10/365))+(P11*($E11/365))</f>
        <v>0</v>
      </c>
      <c r="U85" s="5">
        <f>(Q10*($E10/365))+(Q11*($E11/365))</f>
        <v>51.8</v>
      </c>
      <c r="W85" s="5">
        <f t="shared" si="40"/>
        <v>51.8</v>
      </c>
    </row>
    <row r="86" spans="1:28" x14ac:dyDescent="0.15">
      <c r="A86" s="1">
        <v>1995</v>
      </c>
      <c r="B86" s="5">
        <f>(K12*($E12/365))+(K13*($E13/365))</f>
        <v>0</v>
      </c>
      <c r="C86" s="5">
        <f>(L12*($E12/365))+(L13*($E13/365))</f>
        <v>0</v>
      </c>
      <c r="D86" s="5">
        <f>(M12*($E12/365))+(M13*($E13/365))</f>
        <v>100</v>
      </c>
      <c r="E86" s="23">
        <f t="shared" si="38"/>
        <v>100</v>
      </c>
      <c r="G86" s="1">
        <v>1995</v>
      </c>
      <c r="H86" s="392">
        <f>(O12/$R12*100*($E12/365))+(O13/$R13*100*($E13/365))</f>
        <v>0</v>
      </c>
      <c r="I86" s="392"/>
      <c r="J86" s="392">
        <f>(P12/$R12*100*($E12/365))+(P13/$R13*100*($E13/365))</f>
        <v>0</v>
      </c>
      <c r="K86" s="392"/>
      <c r="L86" s="392">
        <f>(Q12/$R12*100*($E12/365))+(Q13/$R13*100*($E13/365))</f>
        <v>100</v>
      </c>
      <c r="M86" s="392"/>
      <c r="N86" s="413">
        <f t="shared" si="39"/>
        <v>100</v>
      </c>
      <c r="O86" s="413"/>
      <c r="R86" s="1">
        <v>1995</v>
      </c>
      <c r="S86" s="5">
        <f>(O12*($E12/365))+(O13*($E13/365))</f>
        <v>0</v>
      </c>
      <c r="T86" s="5">
        <f>(P12*($E12/365))+(P13*($E13/365))</f>
        <v>0</v>
      </c>
      <c r="U86" s="5">
        <f>(Q12*($E12/365))+(Q13*($E13/365))</f>
        <v>51.8</v>
      </c>
      <c r="W86" s="5">
        <f t="shared" si="40"/>
        <v>51.8</v>
      </c>
    </row>
    <row r="87" spans="1:28" x14ac:dyDescent="0.15">
      <c r="A87" s="1">
        <v>1996</v>
      </c>
      <c r="B87" s="5">
        <f>(K14*($E14/366))+(K15*($E15/366))+(K16*($E16/366))</f>
        <v>7.3127611700417869</v>
      </c>
      <c r="C87" s="5">
        <f>(L14*($E14/366))+(L15*($E15/366))+(L16*($E16/366))</f>
        <v>1.6875602700096433</v>
      </c>
      <c r="D87" s="5">
        <f>(M14*($E14/366))+(M15*($E15/366))+(M16*($E16/366))</f>
        <v>90.437158469945345</v>
      </c>
      <c r="E87" s="23">
        <f t="shared" si="38"/>
        <v>99.437479909996767</v>
      </c>
      <c r="G87" s="1">
        <v>1996</v>
      </c>
      <c r="H87" s="392">
        <f>(O14/$R14*100*($E14/366))+(O15/$R15*100*($E15/366))+(O16/$R16*100*($E16/366))</f>
        <v>8.0153277554814863</v>
      </c>
      <c r="I87" s="392"/>
      <c r="J87" s="392">
        <f>(P14/$R14*100*($E14/366))+(P15/$R15*100*($E15/366))+(P16/$R16*100*($E16/366))</f>
        <v>1.5475137745731582</v>
      </c>
      <c r="K87" s="392"/>
      <c r="L87" s="392">
        <f>(Q14/$R14*100*($E14/366))+(Q15/$R15*100*($E15/366))+(Q16/$R16*100*($E16/366))</f>
        <v>90.437158469945345</v>
      </c>
      <c r="M87" s="392"/>
      <c r="N87" s="413">
        <f t="shared" si="39"/>
        <v>99.999999999999986</v>
      </c>
      <c r="O87" s="413"/>
      <c r="R87" s="1">
        <v>1996</v>
      </c>
      <c r="S87" s="5">
        <f>(O14*($E14/366))+(O15*($E15/366))+(O16*($E16/366))</f>
        <v>5.7950819672131146</v>
      </c>
      <c r="T87" s="5">
        <f>(P14*($E14/366))+(P15*($E15/366))+(P16*($E16/366))</f>
        <v>1.1188524590163933</v>
      </c>
      <c r="U87" s="5">
        <f>(Q14*($E14/366))+(Q15*($E15/366))+(Q16*($E16/366))</f>
        <v>46.846448087431689</v>
      </c>
      <c r="W87" s="5">
        <f t="shared" si="40"/>
        <v>53.760382513661199</v>
      </c>
    </row>
    <row r="88" spans="1:28" x14ac:dyDescent="0.15">
      <c r="A88" s="1">
        <v>1997</v>
      </c>
      <c r="B88" s="5">
        <f>(K17*($E17/365))+(K18*($E18/365))</f>
        <v>76.470588235294116</v>
      </c>
      <c r="C88" s="5">
        <f>(L17*($E17/365))+(L18*($E18/365))</f>
        <v>17.647058823529413</v>
      </c>
      <c r="D88" s="5">
        <f>(M17*($E17/365))+(M18*($E18/365))</f>
        <v>0</v>
      </c>
      <c r="E88" s="23">
        <f t="shared" si="38"/>
        <v>94.117647058823536</v>
      </c>
      <c r="G88" s="1">
        <v>1997</v>
      </c>
      <c r="H88" s="392">
        <f>(O17/$R17*100*($E17/365))+(O18/$R18*100*($E18/365))</f>
        <v>83.817427385892117</v>
      </c>
      <c r="I88" s="392"/>
      <c r="J88" s="392">
        <f>(P17/$R17*100*($E17/365))+(P18/$R18*100*($E18/365))</f>
        <v>16.182572614107883</v>
      </c>
      <c r="K88" s="392"/>
      <c r="L88" s="392">
        <f>(Q17/$R17*100*($E17/365))+(Q18/$R18*100*($E18/365))</f>
        <v>0</v>
      </c>
      <c r="M88" s="392"/>
      <c r="N88" s="413">
        <f t="shared" si="39"/>
        <v>100</v>
      </c>
      <c r="O88" s="413"/>
      <c r="R88" s="1">
        <v>1997</v>
      </c>
      <c r="S88" s="5">
        <f>(O17*($E17/365))+(O18*($E18/365))</f>
        <v>60.6</v>
      </c>
      <c r="T88" s="5">
        <f>(P17*($E17/365))+(P18*($E18/365))</f>
        <v>11.7</v>
      </c>
      <c r="U88" s="5">
        <f>(Q17*($E17/365))+(Q18*($E18/365))</f>
        <v>0</v>
      </c>
      <c r="W88" s="5">
        <f t="shared" si="40"/>
        <v>72.3</v>
      </c>
    </row>
    <row r="89" spans="1:28" x14ac:dyDescent="0.15">
      <c r="A89" s="1">
        <v>1998</v>
      </c>
      <c r="B89" s="5">
        <f>(K19*($E19/365))+(K20*($E20/365))</f>
        <v>68.89605157131345</v>
      </c>
      <c r="C89" s="5">
        <f>(L19*($E19/365))+(L20*($E20/365))</f>
        <v>14.314262691377921</v>
      </c>
      <c r="D89" s="5">
        <f>(M19*($E19/365))+(M20*($E20/365))</f>
        <v>0</v>
      </c>
      <c r="E89" s="23">
        <f t="shared" si="38"/>
        <v>83.210314262691369</v>
      </c>
      <c r="G89" s="1">
        <v>1998</v>
      </c>
      <c r="H89" s="392">
        <f>(O19/$R19*100*($E19/365))+(O20/$R20*100*($E20/365))</f>
        <v>83.817427385892131</v>
      </c>
      <c r="I89" s="392"/>
      <c r="J89" s="392">
        <f>(P19/$R19*100*($E19/365))+(P20/$R20*100*($E20/365))</f>
        <v>16.182572614107883</v>
      </c>
      <c r="K89" s="392"/>
      <c r="L89" s="392">
        <f>(Q19/$R19*100*($E19/365))+(Q20/$R20*100*($E20/365))</f>
        <v>0</v>
      </c>
      <c r="M89" s="392"/>
      <c r="N89" s="413">
        <f t="shared" si="39"/>
        <v>100.00000000000001</v>
      </c>
      <c r="O89" s="413"/>
      <c r="R89" s="1">
        <v>1998</v>
      </c>
      <c r="S89" s="5">
        <f>(O19*($E19/365))+(O20*($E20/365))</f>
        <v>60.600000000000009</v>
      </c>
      <c r="T89" s="5">
        <f>(P19*($E19/365))+(P20*($E20/365))</f>
        <v>11.7</v>
      </c>
      <c r="U89" s="5">
        <f>(Q19*($E19/365))+(Q20*($E20/365))</f>
        <v>0</v>
      </c>
      <c r="W89" s="5">
        <f t="shared" si="40"/>
        <v>72.300000000000011</v>
      </c>
    </row>
    <row r="90" spans="1:28" x14ac:dyDescent="0.15">
      <c r="A90" s="1">
        <v>1999</v>
      </c>
      <c r="B90" s="5">
        <f>(K21*($E21/365))+(K22*($E22/365))+(K23*($E23/365))</f>
        <v>59.465101108936722</v>
      </c>
      <c r="C90" s="5">
        <f>(L21*($E21/365))+(L22*($E22/365))+(L23*($E23/365))</f>
        <v>13.928245270711024</v>
      </c>
      <c r="D90" s="5">
        <f>(M21*($E21/365))+(M22*($E22/365))+(M23*($E23/365))</f>
        <v>0</v>
      </c>
      <c r="E90" s="23">
        <f t="shared" si="38"/>
        <v>73.393346379647738</v>
      </c>
      <c r="G90" s="1">
        <v>1999</v>
      </c>
      <c r="H90" s="392">
        <f>(O21/$R21*100*($E21/365))+(O22/$R22*100*($E22/365))+(O23/$R23*100*($E23/365))</f>
        <v>83.817427385892117</v>
      </c>
      <c r="I90" s="392"/>
      <c r="J90" s="392">
        <f>(P21/$R21*100*($E21/365))+(P22/$R22*100*($E22/365))+(P23/$R23*100*($E23/365))</f>
        <v>16.182572614107883</v>
      </c>
      <c r="K90" s="392"/>
      <c r="L90" s="392">
        <f>(Q21/$R21*100*($E21/365))+(Q22/$R22*100*($E22/365))+(Q23/$R23*100*($E23/365))</f>
        <v>0</v>
      </c>
      <c r="M90" s="392"/>
      <c r="N90" s="413">
        <f t="shared" si="39"/>
        <v>100</v>
      </c>
      <c r="O90" s="413"/>
      <c r="R90" s="1">
        <v>1999</v>
      </c>
      <c r="S90" s="5">
        <f>(O21*($E21/365))+(O22*($E22/365))+(O23*($E23/365))</f>
        <v>60.599999999999994</v>
      </c>
      <c r="T90" s="5">
        <f>(P21*($E21/365))+(P22*($E22/365))+(P23*($E23/365))</f>
        <v>11.7</v>
      </c>
      <c r="U90" s="5">
        <f>(Q21*($E21/365))+(Q22*($E22/365))+(Q23*($E23/365))</f>
        <v>0</v>
      </c>
      <c r="W90" s="5">
        <f t="shared" si="40"/>
        <v>72.3</v>
      </c>
    </row>
    <row r="91" spans="1:28" x14ac:dyDescent="0.15">
      <c r="A91" s="1">
        <v>2000</v>
      </c>
      <c r="B91" s="5">
        <f>(K24*($E24/366))+(K25*($E25/366))</f>
        <v>50</v>
      </c>
      <c r="C91" s="5">
        <f>(L24*($E24/366))+(L25*($E25/366))</f>
        <v>19.437939110070257</v>
      </c>
      <c r="D91" s="5">
        <f>(M24*($E24/366))+(M25*($E25/366))</f>
        <v>0</v>
      </c>
      <c r="E91" s="23">
        <f t="shared" si="38"/>
        <v>69.437939110070261</v>
      </c>
      <c r="G91" s="1">
        <v>2000</v>
      </c>
      <c r="H91" s="392">
        <f>(O24/$R24*100*($E24/366))+(O25/$R25*100*($E25/366))</f>
        <v>78.448010559367148</v>
      </c>
      <c r="I91" s="392"/>
      <c r="J91" s="392">
        <f>(P24/$R24*100*($E24/366))+(P25/$R25*100*($E25/366))</f>
        <v>21.551989440632859</v>
      </c>
      <c r="K91" s="392"/>
      <c r="L91" s="392">
        <f>(Q24/$R24*100*($E24/366))+(Q25/$R25*100*($E25/366))</f>
        <v>0</v>
      </c>
      <c r="M91" s="392"/>
      <c r="N91" s="413">
        <f t="shared" si="39"/>
        <v>100</v>
      </c>
      <c r="O91" s="413"/>
      <c r="R91" s="1">
        <v>2000</v>
      </c>
      <c r="S91" s="5">
        <f>(O24*($E24/366))+(O25*($E25/366))</f>
        <v>53.891803278688528</v>
      </c>
      <c r="T91" s="5">
        <f>(P24*($E24/366))+(P25*($E25/366))</f>
        <v>13.178688524590164</v>
      </c>
      <c r="U91" s="5">
        <f>(Q24*($E24/366))+(Q25*($E25/366))</f>
        <v>0</v>
      </c>
      <c r="W91" s="5">
        <f t="shared" si="40"/>
        <v>67.070491803278685</v>
      </c>
    </row>
    <row r="92" spans="1:28" x14ac:dyDescent="0.15">
      <c r="A92" s="1">
        <v>2001</v>
      </c>
      <c r="B92" s="5">
        <f xml:space="preserve"> (K26*($E26/365))+(K27*($E27/365))</f>
        <v>25.342465753424658</v>
      </c>
      <c r="C92" s="5">
        <f xml:space="preserve"> (L26*($E26/365))+(L27*($E27/365))</f>
        <v>42.857142857142854</v>
      </c>
      <c r="D92" s="5">
        <f xml:space="preserve"> (M26*($E26/365))+(M27*($E27/365))</f>
        <v>14.090019569471622</v>
      </c>
      <c r="E92" s="23">
        <f t="shared" si="38"/>
        <v>82.289628180039131</v>
      </c>
      <c r="G92" s="1">
        <v>2001</v>
      </c>
      <c r="H92" s="392">
        <f>(O26/$R26*100*($E26/365))+(O27/$R27*100*($E27/365))</f>
        <v>27.390932962131039</v>
      </c>
      <c r="I92" s="392"/>
      <c r="J92" s="392">
        <f>(P26/$R26*100*($E26/365))+(P27/$R27*100*($E27/365))</f>
        <v>41.501231624749792</v>
      </c>
      <c r="K92" s="392"/>
      <c r="L92" s="392">
        <f>(Q26/$R26*100*($E26/365))+(Q27/$R27*100*($E27/365))</f>
        <v>31.107835413119169</v>
      </c>
      <c r="M92" s="392"/>
      <c r="N92" s="413">
        <f t="shared" si="39"/>
        <v>100</v>
      </c>
      <c r="O92" s="413"/>
      <c r="R92" s="1">
        <v>2001</v>
      </c>
      <c r="S92" s="5">
        <f xml:space="preserve"> (O26*($E26/365))+(O27*($E27/365))</f>
        <v>11.860273972602739</v>
      </c>
      <c r="T92" s="5">
        <f xml:space="preserve"> (P26*($E26/365))+(P27*($E27/365))</f>
        <v>19.899999999999999</v>
      </c>
      <c r="U92" s="5">
        <f xml:space="preserve"> (Q26*($E26/365))+(Q27*($E27/365))</f>
        <v>16.767123287671232</v>
      </c>
      <c r="W92" s="5">
        <f t="shared" si="40"/>
        <v>48.527397260273972</v>
      </c>
    </row>
    <row r="93" spans="1:28" x14ac:dyDescent="0.15">
      <c r="A93" s="1">
        <v>2002</v>
      </c>
      <c r="B93" s="5">
        <f xml:space="preserve"> (K28*($E28/365))+(K29*($E29/365))</f>
        <v>0</v>
      </c>
      <c r="C93" s="5">
        <f xml:space="preserve"> (L28*($E28/365))+(L29*($E29/365))</f>
        <v>42.857142857142854</v>
      </c>
      <c r="D93" s="5">
        <f xml:space="preserve"> (M28*($E28/365))+(M29*($E29/365))</f>
        <v>28.571428571428569</v>
      </c>
      <c r="E93" s="23">
        <f t="shared" si="38"/>
        <v>71.428571428571416</v>
      </c>
      <c r="G93" s="1">
        <v>2002</v>
      </c>
      <c r="H93" s="392">
        <f>(O28/$R28*100*($E28/365))+(O29/$R29*100*($E29/365))</f>
        <v>0</v>
      </c>
      <c r="I93" s="392"/>
      <c r="J93" s="392">
        <f>(P28/$R28*100*($E28/365))+(P29/$R29*100*($E29/365))</f>
        <v>36.920222634508349</v>
      </c>
      <c r="K93" s="392"/>
      <c r="L93" s="392">
        <f>(Q28/$R28*100*($E28/365))+(Q29/$R29*100*($E29/365))</f>
        <v>63.079777365491651</v>
      </c>
      <c r="M93" s="392"/>
      <c r="N93" s="413">
        <f t="shared" si="39"/>
        <v>100</v>
      </c>
      <c r="O93" s="413"/>
      <c r="R93" s="1">
        <v>2002</v>
      </c>
      <c r="S93" s="5">
        <f xml:space="preserve"> (O28*($E28/365))+(O29*($E29/365))</f>
        <v>0</v>
      </c>
      <c r="T93" s="5">
        <f xml:space="preserve"> (P28*($E28/365))+(P29*($E29/365))</f>
        <v>19.899999999999999</v>
      </c>
      <c r="U93" s="5">
        <f xml:space="preserve"> (Q28*($E28/365))+(Q29*($E29/365))</f>
        <v>34</v>
      </c>
      <c r="W93" s="5">
        <f t="shared" si="40"/>
        <v>53.9</v>
      </c>
    </row>
    <row r="94" spans="1:28" x14ac:dyDescent="0.15">
      <c r="A94" s="1">
        <v>2003</v>
      </c>
      <c r="B94" s="5">
        <f xml:space="preserve"> (K30*($E30/365))+(K31*($E31/365))</f>
        <v>0</v>
      </c>
      <c r="C94" s="5">
        <f xml:space="preserve"> (L30*($E30/365))+(L31*($E31/365))</f>
        <v>36.966731898238748</v>
      </c>
      <c r="D94" s="5">
        <f xml:space="preserve"> (M30*($E30/365))+(M31*($E31/365))</f>
        <v>34.461839530332682</v>
      </c>
      <c r="E94" s="23">
        <f t="shared" si="38"/>
        <v>71.428571428571431</v>
      </c>
      <c r="G94" s="1">
        <v>2003</v>
      </c>
      <c r="H94" s="392">
        <f>(O30/$R30*100*($E30/365))+(O31/$R31*100*($E31/365))</f>
        <v>0</v>
      </c>
      <c r="I94" s="392"/>
      <c r="J94" s="392">
        <f>(P30/$R30*100*($E30/365))+(P31/$R31*100*($E31/365))</f>
        <v>36.920222634508349</v>
      </c>
      <c r="K94" s="392"/>
      <c r="L94" s="392">
        <f>(Q30/$R30*100*($E30/365))+(Q31/$R31*100*($E31/365))</f>
        <v>63.079777365491658</v>
      </c>
      <c r="M94" s="392"/>
      <c r="N94" s="413">
        <f t="shared" si="39"/>
        <v>100</v>
      </c>
      <c r="O94" s="413"/>
      <c r="R94" s="1">
        <v>2003</v>
      </c>
      <c r="S94" s="5">
        <f xml:space="preserve"> (O30*($E30/365))+(O31*($E31/365))</f>
        <v>0</v>
      </c>
      <c r="T94" s="5">
        <f xml:space="preserve"> (P30*($E30/365))+(P31*($E31/365))</f>
        <v>19.900000000000002</v>
      </c>
      <c r="U94" s="5">
        <f xml:space="preserve"> (Q30*($E30/365))+(Q31*($E31/365))</f>
        <v>34</v>
      </c>
      <c r="W94" s="5">
        <f t="shared" si="40"/>
        <v>53.900000000000006</v>
      </c>
    </row>
    <row r="95" spans="1:28" x14ac:dyDescent="0.15">
      <c r="A95" s="1">
        <v>2004</v>
      </c>
      <c r="B95" s="5">
        <f xml:space="preserve"> (K32*($E32/366))+(K33*($E33/366))+(K34*($E34/366))</f>
        <v>0</v>
      </c>
      <c r="C95" s="5">
        <f xml:space="preserve"> (L32*($E32/366))+(L33*($E33/366))+(L34*($E34/366))</f>
        <v>34.660421545667447</v>
      </c>
      <c r="D95" s="5">
        <f xml:space="preserve"> (M32*($E32/366))+(M33*($E33/366))+(M34*($E34/366))</f>
        <v>42.544886807181889</v>
      </c>
      <c r="E95" s="23">
        <f t="shared" si="38"/>
        <v>77.205308352849329</v>
      </c>
      <c r="G95" s="1">
        <v>2004</v>
      </c>
      <c r="H95" s="392">
        <f>(O32/$R32*100*($E32/366))+(O33/$R33*100*($E33/366))+(O34/$R34*100*($E34/366))</f>
        <v>0</v>
      </c>
      <c r="I95" s="392"/>
      <c r="J95" s="392">
        <f>(P32/$R32*100*($E32/366))+(P33/$R33*100*($E33/366))+(P34/$R34*100*($E34/366))</f>
        <v>35.779837637706159</v>
      </c>
      <c r="K95" s="392"/>
      <c r="L95" s="392">
        <f>(Q32/$R32*100*($E32/366))+(Q33/$R33*100*($E33/366))+(Q34/$R34*100*($E34/366))</f>
        <v>64.220162362293848</v>
      </c>
      <c r="M95" s="392"/>
      <c r="N95" s="413">
        <f t="shared" si="39"/>
        <v>100</v>
      </c>
      <c r="O95" s="413"/>
      <c r="R95" s="1">
        <v>2004</v>
      </c>
      <c r="S95" s="5">
        <f xml:space="preserve"> (O32*($E32/366))+(O33*($E33/366))+(O34*($E34/366))</f>
        <v>0</v>
      </c>
      <c r="T95" s="5">
        <f xml:space="preserve"> (P32*($E32/366))+(P33*($E33/366))+(P34*($E34/366))</f>
        <v>19.304918032786883</v>
      </c>
      <c r="U95" s="5">
        <f xml:space="preserve"> (Q32*($E32/366))+(Q33*($E33/366))+(Q34*($E34/366))</f>
        <v>34.73770491803279</v>
      </c>
      <c r="W95" s="5">
        <f t="shared" si="40"/>
        <v>54.042622950819677</v>
      </c>
    </row>
    <row r="96" spans="1:28" x14ac:dyDescent="0.15">
      <c r="A96" s="1">
        <v>2005</v>
      </c>
      <c r="B96" s="5">
        <f xml:space="preserve"> (K35*($E35/365))+(K36*($E36/365))</f>
        <v>0</v>
      </c>
      <c r="C96" s="5">
        <f xml:space="preserve"> (L35*($E35/365))+(L36*($E36/365))</f>
        <v>14.285714285714285</v>
      </c>
      <c r="D96" s="5">
        <f xml:space="preserve"> (M35*($E35/365))+(M36*($E36/365))</f>
        <v>85.714285714285708</v>
      </c>
      <c r="E96" s="23">
        <f t="shared" si="38"/>
        <v>100</v>
      </c>
      <c r="G96" s="1">
        <v>2005</v>
      </c>
      <c r="H96" s="392">
        <f>(O35/$R35*100*($E35/365))+(O36/$R36*100*($E36/365))</f>
        <v>0</v>
      </c>
      <c r="I96" s="392"/>
      <c r="J96" s="392">
        <f>(P35/$R35*100*($E35/365))+(P36/$R36*100*($E36/365))</f>
        <v>13.732394366197184</v>
      </c>
      <c r="K96" s="392"/>
      <c r="L96" s="392">
        <f>(Q35/$R35*100*($E35/365))+(Q36/$R36*100*($E36/365))</f>
        <v>86.26760563380283</v>
      </c>
      <c r="M96" s="392"/>
      <c r="N96" s="413">
        <f t="shared" si="39"/>
        <v>100.00000000000001</v>
      </c>
      <c r="O96" s="413"/>
      <c r="R96" s="1">
        <v>2005</v>
      </c>
      <c r="S96" s="5">
        <f xml:space="preserve"> (O35*($E35/365))+(O36*($E36/365))</f>
        <v>0</v>
      </c>
      <c r="T96" s="5">
        <f xml:space="preserve"> (P35*($E35/365))+(P36*($E36/365))</f>
        <v>7.8</v>
      </c>
      <c r="U96" s="5">
        <f xml:space="preserve"> (Q35*($E35/365))+(Q36*($E36/365))</f>
        <v>49</v>
      </c>
      <c r="W96" s="5">
        <f t="shared" si="40"/>
        <v>56.8</v>
      </c>
    </row>
    <row r="97" spans="1:23" x14ac:dyDescent="0.15">
      <c r="A97" s="1">
        <v>2006</v>
      </c>
      <c r="B97" s="5">
        <f xml:space="preserve"> (K37*($E37/365))+(K38*($E38/365))+(K39*($E39/365))</f>
        <v>6.5362035225048922</v>
      </c>
      <c r="C97" s="5">
        <f xml:space="preserve"> (L37*($E37/365))+(L38*($E38/365))+(L39*($E39/365))</f>
        <v>6.2230919765166339</v>
      </c>
      <c r="D97" s="5">
        <f xml:space="preserve"> (M37*($E37/365))+(M38*($E38/365))+(M39*($E39/365))</f>
        <v>87.240704500978467</v>
      </c>
      <c r="E97" s="23">
        <f t="shared" si="38"/>
        <v>100</v>
      </c>
      <c r="G97" s="1">
        <v>2006</v>
      </c>
      <c r="H97" s="392">
        <f>(O37/$R37*100*($E37/365))+(O38/$R38*100*($E38/365))+(O39/$R39*100*($E39/365))</f>
        <v>12.513757171291418</v>
      </c>
      <c r="I97" s="392"/>
      <c r="J97" s="392">
        <f>(P37/$R37*100*($E37/365))+(P38/$R38*100*($E38/365))+(P39/$R39*100*($E39/365))</f>
        <v>7.4493536561836775</v>
      </c>
      <c r="K97" s="392"/>
      <c r="L97" s="392">
        <f>(Q37/$R37*100*($E37/365))+(Q38/$R38*100*($E38/365))+(Q39/$R39*100*($E39/365))</f>
        <v>80.036889172524923</v>
      </c>
      <c r="M97" s="392"/>
      <c r="N97" s="413">
        <f t="shared" si="39"/>
        <v>100.00000000000001</v>
      </c>
      <c r="O97" s="413"/>
      <c r="R97" s="1">
        <v>2006</v>
      </c>
      <c r="S97" s="5">
        <f xml:space="preserve"> (O37*($E37/365))+(O38*($E38/365))+(O39*($E39/365))</f>
        <v>5.856438356164384</v>
      </c>
      <c r="T97" s="5">
        <f xml:space="preserve"> (P37*($E37/365))+(P38*($E38/365))+(P39*($E39/365))</f>
        <v>4.231232876712328</v>
      </c>
      <c r="U97" s="5">
        <f xml:space="preserve"> (Q37*($E37/365))+(Q38*($E38/365))+(Q39*($E39/365))</f>
        <v>42.136986301369866</v>
      </c>
      <c r="W97" s="5">
        <f t="shared" si="40"/>
        <v>52.224657534246575</v>
      </c>
    </row>
    <row r="98" spans="1:23" x14ac:dyDescent="0.15">
      <c r="A98" s="1">
        <v>2007</v>
      </c>
      <c r="B98" s="5">
        <f xml:space="preserve"> (K40*($E40/365))+(K41*($E41/365))</f>
        <v>14.285714285714285</v>
      </c>
      <c r="C98" s="5">
        <f xml:space="preserve"> (L40*($E40/365))+(L41*($E41/365))</f>
        <v>0</v>
      </c>
      <c r="D98" s="5">
        <f xml:space="preserve"> (M40*($E40/365))+(M41*($E41/365))</f>
        <v>85.714285714285708</v>
      </c>
      <c r="E98" s="23">
        <f t="shared" si="38"/>
        <v>100</v>
      </c>
      <c r="G98" s="1">
        <v>2007</v>
      </c>
      <c r="H98" s="392">
        <f>(O40/$R40*100*($E40/365))+(O41/$R41*100*($E41/365))</f>
        <v>27.350427350427353</v>
      </c>
      <c r="I98" s="392"/>
      <c r="J98" s="392">
        <f>(P40/$R40*100*($E40/365))+(P41/$R41*100*($E41/365))</f>
        <v>0</v>
      </c>
      <c r="K98" s="392"/>
      <c r="L98" s="392">
        <f>(Q40/$R40*100*($E40/365))+(Q41/$R41*100*($E41/365))</f>
        <v>72.649572649572661</v>
      </c>
      <c r="M98" s="392"/>
      <c r="N98" s="413">
        <f t="shared" si="39"/>
        <v>100.00000000000001</v>
      </c>
      <c r="O98" s="413"/>
      <c r="R98" s="1">
        <v>2007</v>
      </c>
      <c r="S98" s="5">
        <f xml:space="preserve"> (O40*($E40/365))+(O41*($E41/365))</f>
        <v>12.8</v>
      </c>
      <c r="T98" s="5">
        <f xml:space="preserve"> (P40*($E40/365))+(P41*($E41/365))</f>
        <v>0</v>
      </c>
      <c r="U98" s="5">
        <f xml:space="preserve"> (Q40*($E40/365))+(Q41*($E41/365))</f>
        <v>34</v>
      </c>
      <c r="W98" s="5">
        <f t="shared" si="40"/>
        <v>46.8</v>
      </c>
    </row>
    <row r="99" spans="1:23" x14ac:dyDescent="0.15">
      <c r="A99" s="1">
        <v>2008</v>
      </c>
      <c r="B99" s="5">
        <f xml:space="preserve"> (K42*($E42/366))+(K43*($E43/366))+(K44*($E44/366))+(K45*($E45/366))</f>
        <v>14.519906323185012</v>
      </c>
      <c r="C99" s="5">
        <f xml:space="preserve"> (L42*($E42/366))+(L43*($E43/366))+(L44*($E44/366))+(L45*($E45/366))</f>
        <v>10.792349726775956</v>
      </c>
      <c r="D99" s="5">
        <f xml:space="preserve"> (M42*($E42/366))+(M43*($E43/366))+(M44*($E44/366))+(M45*($E45/366))</f>
        <v>74.687743950039021</v>
      </c>
      <c r="E99" s="23">
        <f t="shared" si="38"/>
        <v>99.999999999999986</v>
      </c>
      <c r="G99" s="1">
        <v>2008</v>
      </c>
      <c r="H99" s="392">
        <f>(O42/$R42*100*($E42/366))+(O43/$R43*100*($E43/366))+(O44/$R44*100*($E44/366))+(O45/$R45*100*($E45/366))</f>
        <v>23.972657579214957</v>
      </c>
      <c r="I99" s="392"/>
      <c r="J99" s="392">
        <f>(P42/$R42*100*($E42/366))+(P43/$R43*100*($E43/366))+(P44/$R44*100*($E44/366))+(P45/$R45*100*($E45/366))</f>
        <v>13.075722092115534</v>
      </c>
      <c r="K99" s="392"/>
      <c r="L99" s="392">
        <f>(Q42/$R42*100*($E42/366))+(Q43/$R43*100*($E43/366))+(Q44/$R44*100*($E44/366))+(Q45/$R45*100*($E45/366))</f>
        <v>62.951620328669506</v>
      </c>
      <c r="M99" s="392"/>
      <c r="N99" s="413">
        <f t="shared" si="39"/>
        <v>100</v>
      </c>
      <c r="O99" s="413"/>
      <c r="R99" s="1">
        <v>2008</v>
      </c>
      <c r="S99" s="5">
        <f xml:space="preserve"> (O42*($E42/366))+(O43*($E43/366))+(O44*($E44/366))+(O45*($E45/366))</f>
        <v>12.920218579234973</v>
      </c>
      <c r="T99" s="5">
        <f xml:space="preserve"> (P42*($E42/366))+(P43*($E43/366))+(P44*($E44/366))+(P45*($E45/366))</f>
        <v>7.139344262295082</v>
      </c>
      <c r="U99" s="5">
        <f xml:space="preserve"> (Q42*($E42/366))+(Q43*($E43/366))+(Q44*($E44/366))+(Q45*($E45/366))</f>
        <v>33.907103825136616</v>
      </c>
      <c r="W99" s="5">
        <f t="shared" si="40"/>
        <v>53.966666666666669</v>
      </c>
    </row>
    <row r="100" spans="1:23" x14ac:dyDescent="0.15">
      <c r="A100" s="1">
        <v>2009</v>
      </c>
      <c r="B100" s="5">
        <f xml:space="preserve"> (K46*($E46/365))+(K47*($E47/365))</f>
        <v>96.748858447488573</v>
      </c>
      <c r="C100" s="5">
        <f xml:space="preserve"> (L46*($E46/365))+(L47*($E47/365))</f>
        <v>0</v>
      </c>
      <c r="D100" s="5">
        <f xml:space="preserve"> (M46*($E46/365))+(M47*($E47/365))</f>
        <v>0</v>
      </c>
      <c r="E100" s="23">
        <f t="shared" si="38"/>
        <v>96.748858447488573</v>
      </c>
      <c r="G100" s="1">
        <v>2009</v>
      </c>
      <c r="H100" s="392">
        <f>(O46/$R46*100*($E46/365))+(O47/$R47*100*($E47/365))</f>
        <v>100</v>
      </c>
      <c r="I100" s="392"/>
      <c r="J100" s="392">
        <f>(P46/$R46*100*($E46/365))+(P47/$R47*100*($E47/365))</f>
        <v>0</v>
      </c>
      <c r="K100" s="392"/>
      <c r="L100" s="392">
        <f>(Q46/$R46*100*($E46/365))+(Q47/$R47*100*($E47/365))</f>
        <v>0</v>
      </c>
      <c r="M100" s="392"/>
      <c r="N100" s="413">
        <f t="shared" si="39"/>
        <v>100</v>
      </c>
      <c r="O100" s="413"/>
      <c r="R100" s="1">
        <v>2009</v>
      </c>
      <c r="S100" s="5">
        <f xml:space="preserve"> (O46*($E46/365))+(O47*($E47/365))</f>
        <v>56.8</v>
      </c>
      <c r="T100" s="5">
        <f xml:space="preserve"> (P46*($E46/365))+(P47*($E47/365))</f>
        <v>0</v>
      </c>
      <c r="U100" s="5">
        <f xml:space="preserve"> (Q46*($E46/365))+(Q47*($E47/365))</f>
        <v>0</v>
      </c>
      <c r="W100" s="5">
        <f t="shared" si="40"/>
        <v>56.8</v>
      </c>
    </row>
    <row r="101" spans="1:23" x14ac:dyDescent="0.15">
      <c r="A101" s="1">
        <v>2010</v>
      </c>
      <c r="B101" s="5">
        <f xml:space="preserve"> (K48*($E48/365))+(K49*($E49/365))</f>
        <v>93.333333333333329</v>
      </c>
      <c r="C101" s="5">
        <f xml:space="preserve"> (L48*($E48/365))+(L49*($E49/365))</f>
        <v>0</v>
      </c>
      <c r="D101" s="5">
        <f xml:space="preserve"> (M48*($E48/365))+(M49*($E49/365))</f>
        <v>0</v>
      </c>
      <c r="E101" s="23">
        <f t="shared" si="38"/>
        <v>93.333333333333329</v>
      </c>
      <c r="G101" s="1">
        <v>2010</v>
      </c>
      <c r="H101" s="392">
        <f>(O48/$R48*100*($E48/365))+(O49/$R49*100*($E49/365))</f>
        <v>100</v>
      </c>
      <c r="I101" s="392"/>
      <c r="J101" s="392">
        <f>(P48/$R48*100*($E48/365))+(P49/$R49*100*($E49/365))</f>
        <v>0</v>
      </c>
      <c r="K101" s="392"/>
      <c r="L101" s="392">
        <f>(Q48/$R48*100*($E48/365))+(Q49/$R49*100*($E49/365))</f>
        <v>0</v>
      </c>
      <c r="M101" s="392"/>
      <c r="N101" s="413">
        <f t="shared" si="39"/>
        <v>100</v>
      </c>
      <c r="O101" s="413"/>
      <c r="R101" s="1">
        <v>2010</v>
      </c>
      <c r="S101" s="5">
        <f xml:space="preserve"> (O48*($E48/365))+(O49*($E49/365))</f>
        <v>56.8</v>
      </c>
      <c r="T101" s="5">
        <f xml:space="preserve"> (P48*($E48/365))+(P49*($E49/365))</f>
        <v>0</v>
      </c>
      <c r="U101" s="5">
        <f xml:space="preserve"> (Q48*($E48/365))+(Q49*($E49/365))</f>
        <v>0</v>
      </c>
      <c r="W101" s="5">
        <f t="shared" si="40"/>
        <v>56.8</v>
      </c>
    </row>
    <row r="102" spans="1:23" x14ac:dyDescent="0.15">
      <c r="A102" s="1">
        <v>2011</v>
      </c>
      <c r="B102" s="5">
        <f xml:space="preserve"> (K50*($E50/365))+(K51*($E51/365))</f>
        <v>93.333333333333329</v>
      </c>
      <c r="C102" s="5">
        <f xml:space="preserve"> (L50*($E50/365))+(L51*($E51/365))</f>
        <v>0</v>
      </c>
      <c r="D102" s="5">
        <f xml:space="preserve"> (M50*($E50/365))+(M51*($E51/365))</f>
        <v>0</v>
      </c>
      <c r="E102" s="23">
        <f t="shared" si="38"/>
        <v>93.333333333333329</v>
      </c>
      <c r="G102" s="1">
        <v>2011</v>
      </c>
      <c r="H102" s="392">
        <f>(O50/$R50*100*($E50/365))+(O51/$R51*100*($E51/365))</f>
        <v>100</v>
      </c>
      <c r="I102" s="392"/>
      <c r="J102" s="392">
        <f>(P50/$R50*100*($E50/365))+(P51/$R51*100*($E51/365))</f>
        <v>0</v>
      </c>
      <c r="K102" s="392"/>
      <c r="L102" s="392">
        <f>(Q50/$R50*100*($E50/365))+(Q51/$R51*100*($E51/365))</f>
        <v>0</v>
      </c>
      <c r="M102" s="392"/>
      <c r="N102" s="413">
        <f t="shared" si="39"/>
        <v>100</v>
      </c>
      <c r="O102" s="413"/>
      <c r="R102" s="1">
        <v>2011</v>
      </c>
      <c r="S102" s="5">
        <f xml:space="preserve"> (O50*($E50/365))+(O51*($E51/365))</f>
        <v>56.8</v>
      </c>
      <c r="T102" s="5">
        <f xml:space="preserve"> (P50*($E50/365))+(P51*($E51/365))</f>
        <v>0</v>
      </c>
      <c r="U102" s="5">
        <f xml:space="preserve"> (Q50*($E50/365))+(Q51*($E51/365))</f>
        <v>0</v>
      </c>
      <c r="W102" s="5">
        <f t="shared" si="40"/>
        <v>56.8</v>
      </c>
    </row>
    <row r="103" spans="1:23" x14ac:dyDescent="0.15">
      <c r="A103" s="1">
        <v>2012</v>
      </c>
      <c r="B103" s="5">
        <f xml:space="preserve"> (K52*($E52/366))+(K53*($E53/366))</f>
        <v>88.961748633879793</v>
      </c>
      <c r="C103" s="5">
        <f xml:space="preserve"> (L52*($E52/366))+(L53*($E53/366))</f>
        <v>0.36429872495446264</v>
      </c>
      <c r="D103" s="5">
        <f xml:space="preserve"> (M52*($E52/366))+(M53*($E53/366))</f>
        <v>4.3715846994535514</v>
      </c>
      <c r="E103" s="23">
        <f t="shared" si="38"/>
        <v>93.697632058287809</v>
      </c>
      <c r="G103" s="1">
        <v>2012</v>
      </c>
      <c r="H103" s="392">
        <f>(O52/$R52*100*($E52/366))+(O53/$R53*100*($E53/366))</f>
        <v>95.242367397982775</v>
      </c>
      <c r="I103" s="392"/>
      <c r="J103" s="392">
        <f>(P52/$R52*100*($E52/366))+(P53/$R53*100*($E53/366))</f>
        <v>0.51654296821901424</v>
      </c>
      <c r="K103" s="392"/>
      <c r="L103" s="392">
        <f>(Q52/$R52*100*($E52/366))+(Q53/$R53*100*($E53/366))</f>
        <v>4.2410896337982216</v>
      </c>
      <c r="M103" s="392"/>
      <c r="N103" s="413">
        <f t="shared" si="39"/>
        <v>100.00000000000001</v>
      </c>
      <c r="O103" s="413"/>
      <c r="R103" s="1">
        <v>2012</v>
      </c>
      <c r="S103" s="5">
        <f xml:space="preserve"> (O52*($E52/366))+(O53*($E53/366))</f>
        <v>54.1224043715847</v>
      </c>
      <c r="T103" s="5">
        <f xml:space="preserve"> (P52*($E52/366))+(P53*($E53/366))</f>
        <v>0.31147540983606559</v>
      </c>
      <c r="U103" s="5">
        <f xml:space="preserve"> (Q52*($E52/366))+(Q53*($E53/366))</f>
        <v>2.5573770491803276</v>
      </c>
      <c r="W103" s="5">
        <f t="shared" si="40"/>
        <v>56.991256830601088</v>
      </c>
    </row>
    <row r="104" spans="1:23" x14ac:dyDescent="0.15">
      <c r="A104" s="1">
        <v>2013</v>
      </c>
      <c r="B104" s="5">
        <f xml:space="preserve"> (K54*($E54/365))+(K55*($E55/365))</f>
        <v>13.333333333333334</v>
      </c>
      <c r="C104" s="5">
        <f xml:space="preserve"> (L54*($E54/365))+(L55*($E55/365))</f>
        <v>6.666666666666667</v>
      </c>
      <c r="D104" s="5">
        <f xml:space="preserve"> (M54*($E54/365))+(M55*($E55/365))</f>
        <v>80</v>
      </c>
      <c r="E104" s="23">
        <f>SUM(B104:D104)</f>
        <v>100</v>
      </c>
      <c r="G104" s="1">
        <v>2013</v>
      </c>
      <c r="H104" s="392">
        <f>(O54/$R54*100*($E54/365))+(O55/$R55*100*($E55/365))</f>
        <v>12.935323383084576</v>
      </c>
      <c r="I104" s="392"/>
      <c r="J104" s="392">
        <f>(P54/$R54*100*($E54/365))+(P55/$R55*100*($E55/365))</f>
        <v>9.4527363184079611</v>
      </c>
      <c r="K104" s="392"/>
      <c r="L104" s="392">
        <f>(Q54/$R54*100*($E54/365))+(Q55/$R55*100*($E55/365))</f>
        <v>77.611940298507463</v>
      </c>
      <c r="M104" s="392"/>
      <c r="N104" s="413">
        <f>H104+J104+L104</f>
        <v>100</v>
      </c>
      <c r="O104" s="413"/>
      <c r="R104" s="1">
        <v>2013</v>
      </c>
      <c r="S104" s="5">
        <f xml:space="preserve"> (O54*($E54/365))+(O55*($E55/365))</f>
        <v>7.8</v>
      </c>
      <c r="T104" s="5">
        <f xml:space="preserve"> (P54*($E54/365))+(P55*($E55/365))</f>
        <v>5.7</v>
      </c>
      <c r="U104" s="5">
        <f xml:space="preserve"> (Q54*($E54/365))+(Q55*($E55/365))</f>
        <v>46.8</v>
      </c>
      <c r="W104" s="5">
        <f>S104+T104+U104</f>
        <v>60.3</v>
      </c>
    </row>
    <row r="105" spans="1:23" x14ac:dyDescent="0.15">
      <c r="A105" s="1">
        <v>2014</v>
      </c>
      <c r="B105" s="5">
        <f xml:space="preserve"> (K56*($E56/365))+(K57*($E57/365))</f>
        <v>13.333333333333334</v>
      </c>
      <c r="C105" s="5">
        <f xml:space="preserve"> (L56*($E56/365))+(L57*($E57/365))</f>
        <v>4.8767123287671232</v>
      </c>
      <c r="D105" s="5">
        <f xml:space="preserve"> (M56*($E56/365))+(M57*($E57/365))</f>
        <v>81.789954337899545</v>
      </c>
      <c r="E105" s="23">
        <f>SUM(B105:D105)</f>
        <v>100</v>
      </c>
      <c r="G105" s="1">
        <v>2014</v>
      </c>
      <c r="H105" s="392">
        <f>(O56/$R56*100*($E56/365))+(O57/$R57*100*($E57/365))</f>
        <v>13.556322149091324</v>
      </c>
      <c r="I105" s="392"/>
      <c r="J105" s="392">
        <f>(P56/$R56*100*($E56/365))+(P57/$R57*100*($E57/365))</f>
        <v>6.9147413616847277</v>
      </c>
      <c r="K105" s="392"/>
      <c r="L105" s="392">
        <f>(Q56/$R56*100*($E56/365))+(Q57/$R57*100*($E57/365))</f>
        <v>79.528936489223952</v>
      </c>
      <c r="M105" s="392"/>
      <c r="N105" s="413">
        <f>H105+J105+L105</f>
        <v>100</v>
      </c>
      <c r="O105" s="413"/>
      <c r="R105" s="1">
        <v>2014</v>
      </c>
      <c r="S105" s="5">
        <f xml:space="preserve"> (O56*($E56/365))+(O57*($E57/365))</f>
        <v>8.0147945205479445</v>
      </c>
      <c r="T105" s="5">
        <f xml:space="preserve"> (P56*($E56/365))+(P57*($E57/365))</f>
        <v>4.1695890410958905</v>
      </c>
      <c r="U105" s="5">
        <f xml:space="preserve"> (Q56*($E56/365))+(Q57*($E57/365))</f>
        <v>47.06849315068493</v>
      </c>
      <c r="W105" s="5">
        <f>S105+T105+U105</f>
        <v>59.252876712328764</v>
      </c>
    </row>
    <row r="106" spans="1:23" x14ac:dyDescent="0.15">
      <c r="A106" s="1">
        <v>2015</v>
      </c>
      <c r="B106" s="5">
        <f xml:space="preserve"> (K58*($E58/365))+(K59*($E59/365))</f>
        <v>13.333333333333334</v>
      </c>
      <c r="C106" s="5">
        <f xml:space="preserve"> (L58*($E58/365))+(L59*($E59/365))</f>
        <v>0</v>
      </c>
      <c r="D106" s="5">
        <f xml:space="preserve"> (M58*($E58/365))+(M59*($E59/365))</f>
        <v>86.666666666666671</v>
      </c>
      <c r="E106" s="23">
        <f>SUM(B106:D106)</f>
        <v>100</v>
      </c>
      <c r="G106" s="1">
        <v>2015</v>
      </c>
      <c r="H106" s="392">
        <f>(O58/$R58*100*($E58/365))+(O59/$R59*100*($E59/365))</f>
        <v>15.24822695035461</v>
      </c>
      <c r="I106" s="392"/>
      <c r="J106" s="392">
        <f>(P58/$R58*100*($E58/365))+(P59/$R59*100*($E59/365))</f>
        <v>0</v>
      </c>
      <c r="K106" s="392"/>
      <c r="L106" s="392">
        <f>(Q58/$R58*100*($E58/365))+(Q59/$R59*100*($E59/365))</f>
        <v>84.751773049645379</v>
      </c>
      <c r="M106" s="392"/>
      <c r="N106" s="413">
        <f>H106+J106+L106</f>
        <v>99.999999999999986</v>
      </c>
      <c r="O106" s="413"/>
      <c r="R106" s="1">
        <v>2015</v>
      </c>
      <c r="S106" s="5">
        <f xml:space="preserve"> (O58*($E58/365))+(O59*($E59/365))</f>
        <v>8.6</v>
      </c>
      <c r="T106" s="5">
        <f xml:space="preserve"> (P58*($E58/365))+(P59*($E59/365))</f>
        <v>0</v>
      </c>
      <c r="U106" s="5">
        <f xml:space="preserve"> (Q58*($E58/365))+(Q59*($E59/365))</f>
        <v>47.8</v>
      </c>
      <c r="W106" s="5">
        <f>S106+T106+U106</f>
        <v>56.4</v>
      </c>
    </row>
    <row r="107" spans="1:23" x14ac:dyDescent="0.15">
      <c r="A107" s="1">
        <v>2016</v>
      </c>
      <c r="B107" s="5">
        <f xml:space="preserve"> (K60*($E60/366))+(K61*($E61/366))</f>
        <v>12.641165755919856</v>
      </c>
      <c r="C107" s="5">
        <f xml:space="preserve"> (L60*($E60/366))+(L61*($E61/366))</f>
        <v>0</v>
      </c>
      <c r="D107" s="5">
        <f xml:space="preserve"> (M60*($E60/366))+(M61*($E61/366))</f>
        <v>87.358834244080157</v>
      </c>
      <c r="E107" s="23">
        <f>SUM(B107:D107)</f>
        <v>100.00000000000001</v>
      </c>
      <c r="G107" s="1">
        <v>2016</v>
      </c>
      <c r="H107" s="392">
        <f>(O60/$R60*100*($E60/366))+(O61/$R61*100*($E61/366))</f>
        <v>14.45665232724877</v>
      </c>
      <c r="I107" s="392"/>
      <c r="J107" s="392">
        <f>(P60/$R60*100*($E60/366))+(P61/$R61*100*($E61/366))</f>
        <v>0</v>
      </c>
      <c r="K107" s="392"/>
      <c r="L107" s="392">
        <f>(Q60/$R60*100*($E60/366))+(Q61/$R61*100*($E61/366))</f>
        <v>85.543347672751224</v>
      </c>
      <c r="M107" s="392"/>
      <c r="N107" s="413">
        <f>H107+J107+L107</f>
        <v>100</v>
      </c>
      <c r="O107" s="413"/>
      <c r="R107" s="1">
        <v>2016</v>
      </c>
      <c r="S107" s="5">
        <f xml:space="preserve"> (O60*($E60/366))+(O61*($E61/366))</f>
        <v>8.1535519125683056</v>
      </c>
      <c r="T107" s="5">
        <f xml:space="preserve"> (P60*($E60/366))+(P61*($E61/366))</f>
        <v>0</v>
      </c>
      <c r="U107" s="5">
        <f xml:space="preserve"> (Q60*($E60/366))+(Q61*($E61/366))</f>
        <v>48.007650273224037</v>
      </c>
      <c r="W107" s="5">
        <f>S107+T107+U107</f>
        <v>56.161202185792341</v>
      </c>
    </row>
    <row r="108" spans="1:23" x14ac:dyDescent="0.15">
      <c r="A108" s="1">
        <v>2017</v>
      </c>
      <c r="B108" s="5">
        <f xml:space="preserve"> (K62*($E62/365))+(K63*($E63/365))</f>
        <v>0</v>
      </c>
      <c r="C108" s="5">
        <f xml:space="preserve"> (L62*($E62/365))+(L63*($E63/365))</f>
        <v>0</v>
      </c>
      <c r="D108" s="5">
        <f xml:space="preserve"> (M62*($E62/365))+(M63*($E63/365))</f>
        <v>100</v>
      </c>
      <c r="E108" s="23">
        <f>SUM(B108:D108)</f>
        <v>100</v>
      </c>
      <c r="G108" s="1">
        <v>2017</v>
      </c>
      <c r="H108" s="392">
        <f>(O62/$R62*100*($E62/365))+(O63/$R63*100*($E63/365))</f>
        <v>0</v>
      </c>
      <c r="I108" s="392"/>
      <c r="J108" s="392">
        <f>(P62/$R62*100*($E62/365))+(P63/$R63*100*($E63/365))</f>
        <v>0</v>
      </c>
      <c r="K108" s="392"/>
      <c r="L108" s="392">
        <f>(Q62/$R62*100*($E62/365))+(Q63/$R63*100*($E63/365))</f>
        <v>100</v>
      </c>
      <c r="M108" s="392"/>
      <c r="N108" s="413">
        <f>H108+J108+L108</f>
        <v>100</v>
      </c>
      <c r="O108" s="413"/>
      <c r="R108" s="1">
        <v>2017</v>
      </c>
      <c r="S108" s="5">
        <f xml:space="preserve"> (O62*($E62/365))+(O63*($E63/365))</f>
        <v>0</v>
      </c>
      <c r="T108" s="5">
        <f xml:space="preserve"> (P62*($E62/365))+(P63*($E63/365))</f>
        <v>0</v>
      </c>
      <c r="U108" s="5">
        <f xml:space="preserve"> (Q62*($E62/365))+(Q63*($E63/365))</f>
        <v>51.021369863013696</v>
      </c>
      <c r="W108" s="5">
        <f>S108+T108+U108</f>
        <v>51.021369863013696</v>
      </c>
    </row>
    <row r="109" spans="1:23" x14ac:dyDescent="0.15">
      <c r="A109" s="1">
        <v>2018</v>
      </c>
      <c r="B109" s="5">
        <f xml:space="preserve"> (K64*($E64/365))+(K65*($E65/365))</f>
        <v>0</v>
      </c>
      <c r="C109" s="5">
        <f xml:space="preserve"> (L64*($E64/365))+(L65*($E65/365))</f>
        <v>0</v>
      </c>
      <c r="D109" s="5">
        <f xml:space="preserve"> (M64*($E64/365))+(M65*($E65/365))</f>
        <v>100</v>
      </c>
      <c r="E109" s="23">
        <f t="shared" ref="E109" si="41">SUM(B109:D109)</f>
        <v>100</v>
      </c>
      <c r="G109" s="1">
        <v>2018</v>
      </c>
      <c r="H109" s="392">
        <f>(O64/$R64*100*($E64/365))+(O65/$R65*100*($E65/365))</f>
        <v>0</v>
      </c>
      <c r="I109" s="392"/>
      <c r="J109" s="392">
        <f>(P64/$R64*100*($E64/365))+(P65/$R65*100*($E65/365))</f>
        <v>0</v>
      </c>
      <c r="K109" s="392"/>
      <c r="L109" s="392">
        <f>(Q64/$R64*100*($E64/365))+(Q65/$R65*100*($E65/365))</f>
        <v>100</v>
      </c>
      <c r="M109" s="392"/>
      <c r="N109" s="413">
        <f t="shared" ref="N109" si="42">H109+J109+L109</f>
        <v>100</v>
      </c>
      <c r="O109" s="413"/>
      <c r="R109" s="1">
        <v>2018</v>
      </c>
      <c r="S109" s="5">
        <f xml:space="preserve"> (O64*($E64/365))+(O65*($E65/365))</f>
        <v>0</v>
      </c>
      <c r="T109" s="5">
        <f xml:space="preserve"> (P64*($E64/365))+(P65*($E65/365))</f>
        <v>0</v>
      </c>
      <c r="U109" s="5">
        <f xml:space="preserve"> (Q64*($E64/365))+(Q65*($E65/365))</f>
        <v>48.9</v>
      </c>
      <c r="W109" s="5">
        <f t="shared" ref="W109" si="43">S109+T109+U109</f>
        <v>48.9</v>
      </c>
    </row>
    <row r="110" spans="1:23" x14ac:dyDescent="0.15">
      <c r="A110" s="1">
        <v>2019</v>
      </c>
      <c r="B110" s="5">
        <f xml:space="preserve"> (K66*($E66/365))+(K67*($E67/365))</f>
        <v>0</v>
      </c>
      <c r="C110" s="5">
        <f xml:space="preserve"> (L66*($E66/365))+(L67*($E67/365))</f>
        <v>5.3698630136986303</v>
      </c>
      <c r="D110" s="5">
        <f xml:space="preserve"> (M66*($E66/365))+(M67*($E67/365))</f>
        <v>94.63013698630138</v>
      </c>
      <c r="E110" s="23">
        <f t="shared" ref="E110:E111" si="44">SUM(B110:D110)</f>
        <v>100.00000000000001</v>
      </c>
      <c r="G110" s="1">
        <v>2019</v>
      </c>
      <c r="H110" s="392">
        <f>(O66/$R66*100*($E66/365))+(O67/$R67*100*($E67/365))</f>
        <v>0</v>
      </c>
      <c r="I110" s="392"/>
      <c r="J110" s="392">
        <f>(P66/$R66*100*($E66/365))+(P67/$R67*100*($E67/365))</f>
        <v>4.204425711275027</v>
      </c>
      <c r="K110" s="392"/>
      <c r="L110" s="392">
        <f>(Q66/$R66*100*($E66/365))+(Q67/$R67*100*($E67/365))</f>
        <v>95.795574288724964</v>
      </c>
      <c r="M110" s="392"/>
      <c r="N110" s="413">
        <f t="shared" ref="N110" si="45">H110+J110+L110</f>
        <v>99.999999999999986</v>
      </c>
      <c r="O110" s="413"/>
      <c r="R110" s="1">
        <v>2019</v>
      </c>
      <c r="S110" s="5">
        <f xml:space="preserve"> (O66*($E66/365))+(O67*($E67/365))</f>
        <v>0</v>
      </c>
      <c r="T110" s="5">
        <f xml:space="preserve"> (P66*($E66/365))+(P67*($E67/365))</f>
        <v>2.2956164383561646</v>
      </c>
      <c r="U110" s="5">
        <f xml:space="preserve"> (Q66*($E66/365))+(Q67*($E67/365))</f>
        <v>48.9</v>
      </c>
      <c r="W110" s="5">
        <f t="shared" ref="W110:W111" si="46">S110+T110+U110</f>
        <v>51.195616438356161</v>
      </c>
    </row>
    <row r="111" spans="1:23" x14ac:dyDescent="0.15">
      <c r="A111" s="1">
        <v>2020</v>
      </c>
      <c r="B111" s="5">
        <f xml:space="preserve"> (K68*($E68/366))+(K69*($E69/366))</f>
        <v>5.7377049180327866</v>
      </c>
      <c r="C111" s="5">
        <f xml:space="preserve"> (L68*($E68/366))+(L69*($E69/366))</f>
        <v>12.568306010928962</v>
      </c>
      <c r="D111" s="5">
        <f xml:space="preserve"> (M68*($E68/366))+(M69*($E69/366))</f>
        <v>81.69398907103826</v>
      </c>
      <c r="E111" s="23">
        <f t="shared" si="44"/>
        <v>100</v>
      </c>
      <c r="G111" s="1">
        <v>2020</v>
      </c>
      <c r="H111" s="392">
        <f>(O68/$R68*100*($E68/366))+(O69/$R69*100*($E69/366))</f>
        <v>5.7377049180327866</v>
      </c>
      <c r="I111" s="392"/>
      <c r="J111" s="392">
        <f>(P68/$R68*100*($E68/366))+(P69/$R69*100*($E69/366))</f>
        <v>9.8405692667987754</v>
      </c>
      <c r="K111" s="392"/>
      <c r="L111" s="392">
        <f>(Q68/$R68*100*($E68/366))+(Q69/$R69*100*($E69/366))</f>
        <v>84.421725815168429</v>
      </c>
      <c r="M111" s="392"/>
      <c r="N111" s="413">
        <f t="shared" ref="N111" si="47">H111+J111+L111</f>
        <v>99.999999999999986</v>
      </c>
      <c r="O111" s="413"/>
      <c r="R111" s="1">
        <v>2020</v>
      </c>
      <c r="S111" s="5">
        <f xml:space="preserve"> (O68*($E68/366))+(O69*($E69/366))</f>
        <v>2.9721311475409835</v>
      </c>
      <c r="T111" s="5">
        <f xml:space="preserve"> (P68*($E68/366))+(P69*($E69/366))</f>
        <v>5.3729508196721314</v>
      </c>
      <c r="U111" s="5">
        <f xml:space="preserve"> (Q68*($E68/366))+(Q69*($E69/366))</f>
        <v>46.094262295081968</v>
      </c>
      <c r="W111" s="5">
        <f t="shared" si="46"/>
        <v>54.43934426229508</v>
      </c>
    </row>
    <row r="112" spans="1:23" x14ac:dyDescent="0.15">
      <c r="A112" s="1">
        <v>2021</v>
      </c>
      <c r="B112" s="5">
        <f xml:space="preserve"> (K70*($E70/365))+(K71*($E71/365))</f>
        <v>100</v>
      </c>
      <c r="C112" s="5">
        <f xml:space="preserve"> (L70*($E70/365))+(L71*($E71/365))</f>
        <v>0</v>
      </c>
      <c r="D112" s="5">
        <f xml:space="preserve"> (M70*($E70/365))+(M71*($E71/365))</f>
        <v>0</v>
      </c>
      <c r="E112" s="23">
        <f t="shared" ref="E112" si="48">SUM(B112:D112)</f>
        <v>100</v>
      </c>
      <c r="G112" s="1">
        <v>2021</v>
      </c>
      <c r="H112" s="392">
        <f>(O70/$R70*100*($E70/365))+(O71/$R71*100*($E71/365))</f>
        <v>100</v>
      </c>
      <c r="I112" s="392"/>
      <c r="J112" s="392">
        <f>(P70/$R70*100*($E70/365))+(P71/$R71*100*($E71/365))</f>
        <v>0</v>
      </c>
      <c r="K112" s="392"/>
      <c r="L112" s="392">
        <f>(Q70/$R70*100*($E70/365))+(Q71/$R71*100*($E71/365))</f>
        <v>0</v>
      </c>
      <c r="M112" s="392"/>
      <c r="N112" s="413">
        <f t="shared" ref="N112" si="49">H112+J112+L112</f>
        <v>100</v>
      </c>
      <c r="O112" s="413"/>
      <c r="R112" s="1">
        <v>2021</v>
      </c>
      <c r="S112" s="5">
        <f xml:space="preserve"> (O70*($E70/365))+(O71*($E71/365))</f>
        <v>51.8</v>
      </c>
      <c r="T112" s="5">
        <f xml:space="preserve"> (P70*($E70/365))+(P71*($E71/365))</f>
        <v>0</v>
      </c>
      <c r="U112" s="5">
        <f xml:space="preserve"> (Q70*($E70/365))+(Q71*($E71/365))</f>
        <v>0</v>
      </c>
      <c r="W112" s="5">
        <f t="shared" ref="W112" si="50">S112+T112+U112</f>
        <v>51.8</v>
      </c>
    </row>
    <row r="113" spans="1:23" x14ac:dyDescent="0.15">
      <c r="A113" s="1">
        <v>2022</v>
      </c>
      <c r="B113" s="5">
        <f xml:space="preserve"> (K73*($E73/365))+(K72*($E72/365))</f>
        <v>100</v>
      </c>
      <c r="C113" s="5">
        <f xml:space="preserve"> (L73*($E73/365))+(L72*($E72/365))</f>
        <v>0</v>
      </c>
      <c r="D113" s="5">
        <f xml:space="preserve"> (M73*($E73/365))+(M72*($E72/365))</f>
        <v>0</v>
      </c>
      <c r="E113" s="23">
        <f t="shared" ref="E113" si="51">SUM(B113:D113)</f>
        <v>100</v>
      </c>
      <c r="G113" s="1">
        <v>2022</v>
      </c>
      <c r="H113" s="392">
        <f>(O73/$R73*100*($E73/365))+(O72/$R72*100*($E72/365))</f>
        <v>100</v>
      </c>
      <c r="I113" s="392"/>
      <c r="J113" s="392">
        <f>(P73/$R73*100*($E73/365))+(P72/$R72*100*($E72/365))</f>
        <v>0</v>
      </c>
      <c r="K113" s="392"/>
      <c r="L113" s="392">
        <f>(Q73/$R73*100*($E73/365))+(Q72/$R72*100*($E72/365))</f>
        <v>0</v>
      </c>
      <c r="M113" s="392"/>
      <c r="N113" s="413">
        <f t="shared" ref="N113" si="52">H113+J113+L113</f>
        <v>100</v>
      </c>
      <c r="O113" s="413"/>
      <c r="R113" s="1">
        <v>2022</v>
      </c>
      <c r="S113" s="5">
        <f xml:space="preserve"> (O73*($E73/365))+(O72*($E72/365))</f>
        <v>51.8</v>
      </c>
      <c r="T113" s="5">
        <f xml:space="preserve"> (P73*($E73/365))+(P72*($E72/365))</f>
        <v>0</v>
      </c>
      <c r="U113" s="5">
        <f xml:space="preserve"> (Q73*($E73/365))+(Q72*($E72/365))</f>
        <v>0</v>
      </c>
      <c r="W113" s="5">
        <f t="shared" ref="W113" si="53">S113+T113+U113</f>
        <v>51.8</v>
      </c>
    </row>
  </sheetData>
  <mergeCells count="218">
    <mergeCell ref="C70:D70"/>
    <mergeCell ref="C71:D71"/>
    <mergeCell ref="H112:I112"/>
    <mergeCell ref="J112:K112"/>
    <mergeCell ref="L112:M112"/>
    <mergeCell ref="N112:O112"/>
    <mergeCell ref="N111:O111"/>
    <mergeCell ref="H109:I109"/>
    <mergeCell ref="J109:K109"/>
    <mergeCell ref="L109:M109"/>
    <mergeCell ref="N109:O109"/>
    <mergeCell ref="H107:I107"/>
    <mergeCell ref="J107:K107"/>
    <mergeCell ref="L107:M107"/>
    <mergeCell ref="N107:O107"/>
    <mergeCell ref="H110:I110"/>
    <mergeCell ref="J110:K110"/>
    <mergeCell ref="L110:M110"/>
    <mergeCell ref="N110:O110"/>
    <mergeCell ref="N108:O108"/>
    <mergeCell ref="H84:I84"/>
    <mergeCell ref="H93:I93"/>
    <mergeCell ref="H85:I85"/>
    <mergeCell ref="H86:I86"/>
    <mergeCell ref="J85:K85"/>
    <mergeCell ref="J86:K86"/>
    <mergeCell ref="J84:K84"/>
    <mergeCell ref="H111:I111"/>
    <mergeCell ref="J111:K111"/>
    <mergeCell ref="L111:M111"/>
    <mergeCell ref="H108:I108"/>
    <mergeCell ref="J108:K108"/>
    <mergeCell ref="L108:M108"/>
    <mergeCell ref="L102:M102"/>
    <mergeCell ref="J94:K94"/>
    <mergeCell ref="L98:M98"/>
    <mergeCell ref="L95:M95"/>
    <mergeCell ref="J96:K96"/>
    <mergeCell ref="L97:M97"/>
    <mergeCell ref="J95:K95"/>
    <mergeCell ref="L94:M94"/>
    <mergeCell ref="H95:I95"/>
    <mergeCell ref="H96:I96"/>
    <mergeCell ref="H97:I97"/>
    <mergeCell ref="L96:M96"/>
    <mergeCell ref="H94:I94"/>
    <mergeCell ref="H98:I98"/>
    <mergeCell ref="J97:K97"/>
    <mergeCell ref="N87:O87"/>
    <mergeCell ref="L87:M87"/>
    <mergeCell ref="J87:K87"/>
    <mergeCell ref="N93:O93"/>
    <mergeCell ref="J91:K91"/>
    <mergeCell ref="J88:K88"/>
    <mergeCell ref="J89:K89"/>
    <mergeCell ref="H87:I87"/>
    <mergeCell ref="N88:O88"/>
    <mergeCell ref="N89:O89"/>
    <mergeCell ref="N90:O90"/>
    <mergeCell ref="L91:M91"/>
    <mergeCell ref="N92:O92"/>
    <mergeCell ref="L93:M93"/>
    <mergeCell ref="H89:I89"/>
    <mergeCell ref="L90:M90"/>
    <mergeCell ref="J92:K92"/>
    <mergeCell ref="J93:K93"/>
    <mergeCell ref="J90:K90"/>
    <mergeCell ref="H90:I90"/>
    <mergeCell ref="H91:I91"/>
    <mergeCell ref="H92:I92"/>
    <mergeCell ref="L92:M92"/>
    <mergeCell ref="L88:M88"/>
    <mergeCell ref="AX4:BA4"/>
    <mergeCell ref="L85:M85"/>
    <mergeCell ref="L86:M86"/>
    <mergeCell ref="AL4:AO4"/>
    <mergeCell ref="AP4:AS4"/>
    <mergeCell ref="N85:O85"/>
    <mergeCell ref="N86:O86"/>
    <mergeCell ref="S4:S5"/>
    <mergeCell ref="T4:T5"/>
    <mergeCell ref="L83:M83"/>
    <mergeCell ref="L84:M84"/>
    <mergeCell ref="AH4:AK4"/>
    <mergeCell ref="Z4:AC4"/>
    <mergeCell ref="AD4:AG4"/>
    <mergeCell ref="R78:W78"/>
    <mergeCell ref="L80:M80"/>
    <mergeCell ref="U4:U5"/>
    <mergeCell ref="V4:Y4"/>
    <mergeCell ref="O4:R4"/>
    <mergeCell ref="N83:O83"/>
    <mergeCell ref="N84:O84"/>
    <mergeCell ref="N80:O80"/>
    <mergeCell ref="AT4:AW4"/>
    <mergeCell ref="A4:A5"/>
    <mergeCell ref="B4:B5"/>
    <mergeCell ref="C4:D5"/>
    <mergeCell ref="E4:E5"/>
    <mergeCell ref="C9:D9"/>
    <mergeCell ref="C10:D10"/>
    <mergeCell ref="K4:N4"/>
    <mergeCell ref="F4:F5"/>
    <mergeCell ref="G4:J4"/>
    <mergeCell ref="C6:D6"/>
    <mergeCell ref="C7:D7"/>
    <mergeCell ref="C8:D8"/>
    <mergeCell ref="G3:M3"/>
    <mergeCell ref="O3:Q3"/>
    <mergeCell ref="H80:I80"/>
    <mergeCell ref="J80:K80"/>
    <mergeCell ref="C20:D20"/>
    <mergeCell ref="C21:D21"/>
    <mergeCell ref="C18:D18"/>
    <mergeCell ref="C19:D19"/>
    <mergeCell ref="C11:D11"/>
    <mergeCell ref="C12:D12"/>
    <mergeCell ref="C13:D13"/>
    <mergeCell ref="C25:D25"/>
    <mergeCell ref="C26:D26"/>
    <mergeCell ref="C27:D27"/>
    <mergeCell ref="C28:D28"/>
    <mergeCell ref="C29:D29"/>
    <mergeCell ref="C30:D30"/>
    <mergeCell ref="C32:D32"/>
    <mergeCell ref="C37:D37"/>
    <mergeCell ref="C14:D14"/>
    <mergeCell ref="C15:D15"/>
    <mergeCell ref="C17:D17"/>
    <mergeCell ref="C16:D16"/>
    <mergeCell ref="C39:D39"/>
    <mergeCell ref="C36:D36"/>
    <mergeCell ref="C42:D42"/>
    <mergeCell ref="C43:D43"/>
    <mergeCell ref="C38:D38"/>
    <mergeCell ref="C22:D22"/>
    <mergeCell ref="C24:D24"/>
    <mergeCell ref="C23:D23"/>
    <mergeCell ref="C57:D57"/>
    <mergeCell ref="L89:M89"/>
    <mergeCell ref="C40:D40"/>
    <mergeCell ref="C41:D41"/>
    <mergeCell ref="C44:D44"/>
    <mergeCell ref="C45:D45"/>
    <mergeCell ref="C31:D31"/>
    <mergeCell ref="C33:D33"/>
    <mergeCell ref="C34:D34"/>
    <mergeCell ref="C35:D35"/>
    <mergeCell ref="C60:D60"/>
    <mergeCell ref="C61:D61"/>
    <mergeCell ref="C63:D63"/>
    <mergeCell ref="C59:D59"/>
    <mergeCell ref="C64:D64"/>
    <mergeCell ref="C65:D65"/>
    <mergeCell ref="C52:D52"/>
    <mergeCell ref="C66:D66"/>
    <mergeCell ref="C67:D67"/>
    <mergeCell ref="N91:O91"/>
    <mergeCell ref="H88:I88"/>
    <mergeCell ref="N97:O97"/>
    <mergeCell ref="N94:O94"/>
    <mergeCell ref="N95:O95"/>
    <mergeCell ref="N96:O96"/>
    <mergeCell ref="C46:D46"/>
    <mergeCell ref="C47:D47"/>
    <mergeCell ref="C48:D48"/>
    <mergeCell ref="C49:D49"/>
    <mergeCell ref="C50:D50"/>
    <mergeCell ref="C51:D51"/>
    <mergeCell ref="C55:D55"/>
    <mergeCell ref="C56:D56"/>
    <mergeCell ref="J83:K83"/>
    <mergeCell ref="C58:D58"/>
    <mergeCell ref="C62:D62"/>
    <mergeCell ref="C54:D54"/>
    <mergeCell ref="H83:I83"/>
    <mergeCell ref="C68:D68"/>
    <mergeCell ref="C69:D69"/>
    <mergeCell ref="C53:D53"/>
    <mergeCell ref="N102:O102"/>
    <mergeCell ref="L101:M101"/>
    <mergeCell ref="H106:I106"/>
    <mergeCell ref="J106:K106"/>
    <mergeCell ref="L106:M106"/>
    <mergeCell ref="N98:O98"/>
    <mergeCell ref="L100:M100"/>
    <mergeCell ref="H99:I99"/>
    <mergeCell ref="N100:O100"/>
    <mergeCell ref="N99:O99"/>
    <mergeCell ref="L99:M99"/>
    <mergeCell ref="J98:K98"/>
    <mergeCell ref="J99:K99"/>
    <mergeCell ref="H100:I100"/>
    <mergeCell ref="J100:K100"/>
    <mergeCell ref="C72:D72"/>
    <mergeCell ref="C73:D73"/>
    <mergeCell ref="H113:I113"/>
    <mergeCell ref="J113:K113"/>
    <mergeCell ref="L113:M113"/>
    <mergeCell ref="N113:O113"/>
    <mergeCell ref="N106:O106"/>
    <mergeCell ref="L105:M105"/>
    <mergeCell ref="N105:O105"/>
    <mergeCell ref="H101:I101"/>
    <mergeCell ref="H102:I102"/>
    <mergeCell ref="H103:I103"/>
    <mergeCell ref="N103:O103"/>
    <mergeCell ref="H104:I104"/>
    <mergeCell ref="J104:K104"/>
    <mergeCell ref="L104:M104"/>
    <mergeCell ref="N104:O104"/>
    <mergeCell ref="H105:I105"/>
    <mergeCell ref="J105:K105"/>
    <mergeCell ref="J102:K102"/>
    <mergeCell ref="L103:M103"/>
    <mergeCell ref="N101:O101"/>
    <mergeCell ref="J103:K103"/>
    <mergeCell ref="J101:K101"/>
  </mergeCells>
  <phoneticPr fontId="23" type="noConversion"/>
  <pageMargins left="0.78740157499999996" right="0.78740157499999996" top="0.984251969" bottom="0.984251969" header="0.4921259845" footer="0.4921259845"/>
  <pageSetup paperSize="9" scale="48" orientation="landscape" r:id="rId1"/>
  <headerFooter alignWithMargins="0"/>
  <drawing r:id="rId2"/>
  <legacyDrawing r:id="rId3"/>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A205"/>
  <sheetViews>
    <sheetView zoomScale="110" zoomScaleNormal="148" workbookViewId="0">
      <pane xSplit="1" ySplit="5" topLeftCell="AN127" activePane="bottomRight" state="frozen"/>
      <selection pane="topRight" activeCell="B1" sqref="B1"/>
      <selection pane="bottomLeft" activeCell="A6" sqref="A6"/>
      <selection pane="bottomRight" activeCell="G5" sqref="A5:XFD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29" width="5.6640625" style="1" customWidth="1"/>
    <col min="30" max="30" width="6.1640625" style="1" customWidth="1"/>
    <col min="31" max="53" width="5.6640625" style="1" customWidth="1"/>
    <col min="54" max="16384" width="10.6640625" style="1"/>
  </cols>
  <sheetData>
    <row r="1" spans="1:53" ht="15" customHeight="1" x14ac:dyDescent="0.15">
      <c r="B1" s="15" t="s">
        <v>14</v>
      </c>
    </row>
    <row r="2" spans="1:53" ht="15" customHeight="1" x14ac:dyDescent="0.15">
      <c r="B2" s="15" t="s">
        <v>61</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139" customFormat="1" x14ac:dyDescent="0.15">
      <c r="A6" s="145">
        <v>1959</v>
      </c>
      <c r="B6" s="294"/>
      <c r="C6" s="398" t="s">
        <v>1230</v>
      </c>
      <c r="D6" s="398"/>
      <c r="E6" s="139">
        <v>55</v>
      </c>
      <c r="G6" s="147"/>
      <c r="H6" s="139">
        <v>4</v>
      </c>
      <c r="I6" s="139">
        <v>4</v>
      </c>
      <c r="J6" s="153">
        <v>8</v>
      </c>
      <c r="K6" s="133">
        <f t="shared" ref="K6:M8" si="0">G6/$J6*100</f>
        <v>0</v>
      </c>
      <c r="L6" s="133">
        <f t="shared" si="0"/>
        <v>50</v>
      </c>
      <c r="M6" s="133">
        <f t="shared" si="0"/>
        <v>50</v>
      </c>
      <c r="N6" s="149">
        <f>K6+L6+M6</f>
        <v>100</v>
      </c>
      <c r="O6" s="132"/>
      <c r="P6" s="133">
        <v>50</v>
      </c>
      <c r="Q6" s="133">
        <v>23.7</v>
      </c>
      <c r="R6" s="134">
        <f>O6+P6+Q6</f>
        <v>73.7</v>
      </c>
      <c r="S6" s="139">
        <v>2</v>
      </c>
      <c r="T6" s="306"/>
      <c r="U6" s="294"/>
      <c r="V6" s="138" t="s">
        <v>492</v>
      </c>
      <c r="W6" s="139" t="s">
        <v>17</v>
      </c>
      <c r="X6" s="139" t="s">
        <v>323</v>
      </c>
      <c r="Y6" s="140">
        <v>50</v>
      </c>
      <c r="Z6" s="139" t="s">
        <v>493</v>
      </c>
      <c r="AA6" s="139" t="s">
        <v>20</v>
      </c>
      <c r="AB6" s="139" t="s">
        <v>12</v>
      </c>
      <c r="AC6" s="139">
        <v>32.700000000000003</v>
      </c>
      <c r="AD6" s="138"/>
      <c r="AG6" s="140"/>
      <c r="AL6" s="138"/>
      <c r="AO6" s="140"/>
      <c r="AP6" s="138"/>
      <c r="AS6" s="140"/>
      <c r="AW6" s="140"/>
      <c r="BA6" s="141"/>
    </row>
    <row r="7" spans="1:53" s="139" customFormat="1" x14ac:dyDescent="0.15">
      <c r="A7" s="145">
        <v>1959</v>
      </c>
      <c r="B7" s="294">
        <v>21606</v>
      </c>
      <c r="C7" s="398" t="s">
        <v>671</v>
      </c>
      <c r="D7" s="398"/>
      <c r="E7" s="139">
        <f xml:space="preserve"> 365-55</f>
        <v>310</v>
      </c>
      <c r="F7" s="139">
        <v>4</v>
      </c>
      <c r="G7" s="147">
        <v>3</v>
      </c>
      <c r="H7" s="139">
        <v>4</v>
      </c>
      <c r="J7" s="153">
        <v>7</v>
      </c>
      <c r="K7" s="133">
        <f t="shared" si="0"/>
        <v>42.857142857142854</v>
      </c>
      <c r="L7" s="133">
        <f t="shared" si="0"/>
        <v>57.142857142857139</v>
      </c>
      <c r="M7" s="133">
        <f t="shared" si="0"/>
        <v>0</v>
      </c>
      <c r="N7" s="149">
        <f>K7+L7+M7</f>
        <v>100</v>
      </c>
      <c r="O7" s="132">
        <v>21.2</v>
      </c>
      <c r="P7" s="133">
        <v>40.4</v>
      </c>
      <c r="Q7" s="133"/>
      <c r="R7" s="134">
        <f>O7+P7+Q7</f>
        <v>61.599999999999994</v>
      </c>
      <c r="S7" s="139">
        <v>2</v>
      </c>
      <c r="T7" s="306"/>
      <c r="U7" s="294">
        <v>21606</v>
      </c>
      <c r="V7" s="138" t="s">
        <v>492</v>
      </c>
      <c r="W7" s="139" t="s">
        <v>17</v>
      </c>
      <c r="X7" s="139" t="s">
        <v>323</v>
      </c>
      <c r="Y7" s="140">
        <v>40.4</v>
      </c>
      <c r="Z7" s="139" t="s">
        <v>130</v>
      </c>
      <c r="AA7" s="139" t="s">
        <v>22</v>
      </c>
      <c r="AB7" s="139" t="s">
        <v>11</v>
      </c>
      <c r="AC7" s="139">
        <v>21.2</v>
      </c>
      <c r="AD7" s="138"/>
      <c r="AG7" s="140"/>
      <c r="AL7" s="138"/>
      <c r="AO7" s="140"/>
      <c r="AP7" s="138"/>
      <c r="AS7" s="140"/>
      <c r="AW7" s="140"/>
      <c r="BA7" s="141"/>
    </row>
    <row r="8" spans="1:53" s="28" customFormat="1" x14ac:dyDescent="0.15">
      <c r="A8" s="51">
        <v>1960</v>
      </c>
      <c r="B8" s="293"/>
      <c r="C8" s="394" t="s">
        <v>671</v>
      </c>
      <c r="D8" s="394"/>
      <c r="E8" s="28">
        <v>0</v>
      </c>
      <c r="G8" s="65">
        <v>3</v>
      </c>
      <c r="H8" s="28">
        <v>4</v>
      </c>
      <c r="J8" s="72">
        <v>7</v>
      </c>
      <c r="K8" s="46">
        <f t="shared" si="0"/>
        <v>42.857142857142854</v>
      </c>
      <c r="L8" s="46">
        <f t="shared" si="0"/>
        <v>57.142857142857139</v>
      </c>
      <c r="M8" s="46">
        <f t="shared" si="0"/>
        <v>0</v>
      </c>
      <c r="N8" s="67">
        <f>K8+L8+M8</f>
        <v>100</v>
      </c>
      <c r="O8" s="45">
        <v>21.2</v>
      </c>
      <c r="P8" s="46">
        <v>40.4</v>
      </c>
      <c r="Q8" s="46"/>
      <c r="R8" s="47">
        <f>O8+P8+Q8</f>
        <v>61.599999999999994</v>
      </c>
      <c r="S8" s="28">
        <v>2</v>
      </c>
      <c r="T8" s="284"/>
      <c r="U8" s="293"/>
      <c r="V8" s="37" t="s">
        <v>492</v>
      </c>
      <c r="W8" s="28" t="s">
        <v>17</v>
      </c>
      <c r="X8" s="28" t="s">
        <v>323</v>
      </c>
      <c r="Y8" s="38">
        <v>40.4</v>
      </c>
      <c r="Z8" s="28" t="s">
        <v>130</v>
      </c>
      <c r="AA8" s="28" t="s">
        <v>22</v>
      </c>
      <c r="AB8" s="28" t="s">
        <v>11</v>
      </c>
      <c r="AC8" s="28">
        <v>21.2</v>
      </c>
      <c r="AD8" s="37"/>
      <c r="AG8" s="38"/>
      <c r="AL8" s="37"/>
      <c r="AO8" s="38"/>
      <c r="AP8" s="37"/>
      <c r="AS8" s="38"/>
      <c r="AW8" s="38"/>
      <c r="BA8" s="39"/>
    </row>
    <row r="9" spans="1:53" s="28" customFormat="1" x14ac:dyDescent="0.15">
      <c r="A9" s="51">
        <v>1960</v>
      </c>
      <c r="B9" s="293"/>
      <c r="C9" s="394" t="s">
        <v>671</v>
      </c>
      <c r="D9" s="394"/>
      <c r="E9" s="28">
        <v>366</v>
      </c>
      <c r="G9" s="65">
        <v>3</v>
      </c>
      <c r="H9" s="28">
        <v>4</v>
      </c>
      <c r="J9" s="72">
        <v>7</v>
      </c>
      <c r="K9" s="46">
        <f t="shared" ref="K9:M72" si="1">G9/$J9*100</f>
        <v>42.857142857142854</v>
      </c>
      <c r="L9" s="46">
        <f t="shared" si="1"/>
        <v>57.142857142857139</v>
      </c>
      <c r="M9" s="46">
        <f t="shared" si="1"/>
        <v>0</v>
      </c>
      <c r="N9" s="67">
        <f t="shared" ref="N9:N72" si="2">K9+L9+M9</f>
        <v>100</v>
      </c>
      <c r="O9" s="45">
        <v>21.2</v>
      </c>
      <c r="P9" s="46">
        <v>40.4</v>
      </c>
      <c r="Q9" s="46"/>
      <c r="R9" s="47">
        <f t="shared" ref="R9:R72" si="3">O9+P9+Q9</f>
        <v>61.599999999999994</v>
      </c>
      <c r="S9" s="28">
        <v>2</v>
      </c>
      <c r="T9" s="284"/>
      <c r="U9" s="293"/>
      <c r="V9" s="37" t="s">
        <v>492</v>
      </c>
      <c r="W9" s="28" t="s">
        <v>17</v>
      </c>
      <c r="X9" s="28" t="s">
        <v>323</v>
      </c>
      <c r="Y9" s="38">
        <v>40.4</v>
      </c>
      <c r="Z9" s="28" t="s">
        <v>130</v>
      </c>
      <c r="AA9" s="28" t="s">
        <v>22</v>
      </c>
      <c r="AB9" s="28" t="s">
        <v>11</v>
      </c>
      <c r="AC9" s="28">
        <v>21.2</v>
      </c>
      <c r="AD9" s="37"/>
      <c r="AG9" s="38"/>
      <c r="AL9" s="37"/>
      <c r="AO9" s="38"/>
      <c r="AP9" s="37"/>
      <c r="AS9" s="38"/>
      <c r="AW9" s="38"/>
      <c r="BA9" s="39"/>
    </row>
    <row r="10" spans="1:53" s="28" customFormat="1" x14ac:dyDescent="0.15">
      <c r="A10" s="51">
        <v>1961</v>
      </c>
      <c r="B10" s="293"/>
      <c r="C10" s="394" t="s">
        <v>671</v>
      </c>
      <c r="D10" s="394"/>
      <c r="E10" s="28">
        <v>0</v>
      </c>
      <c r="G10" s="65">
        <v>3</v>
      </c>
      <c r="H10" s="28">
        <v>4</v>
      </c>
      <c r="J10" s="72">
        <v>7</v>
      </c>
      <c r="K10" s="46">
        <f t="shared" si="1"/>
        <v>42.857142857142854</v>
      </c>
      <c r="L10" s="46">
        <f t="shared" si="1"/>
        <v>57.142857142857139</v>
      </c>
      <c r="M10" s="46">
        <f t="shared" si="1"/>
        <v>0</v>
      </c>
      <c r="N10" s="67">
        <f t="shared" si="2"/>
        <v>100</v>
      </c>
      <c r="O10" s="45">
        <v>21.2</v>
      </c>
      <c r="P10" s="46">
        <v>40.4</v>
      </c>
      <c r="Q10" s="46"/>
      <c r="R10" s="47">
        <f t="shared" si="3"/>
        <v>61.599999999999994</v>
      </c>
      <c r="S10" s="28">
        <v>2</v>
      </c>
      <c r="T10" s="284"/>
      <c r="U10" s="293"/>
      <c r="V10" s="37" t="s">
        <v>492</v>
      </c>
      <c r="W10" s="28" t="s">
        <v>17</v>
      </c>
      <c r="X10" s="28" t="s">
        <v>323</v>
      </c>
      <c r="Y10" s="38">
        <v>40.4</v>
      </c>
      <c r="Z10" s="28" t="s">
        <v>130</v>
      </c>
      <c r="AA10" s="28" t="s">
        <v>22</v>
      </c>
      <c r="AB10" s="28" t="s">
        <v>11</v>
      </c>
      <c r="AC10" s="28">
        <v>21.2</v>
      </c>
      <c r="AD10" s="37"/>
      <c r="AG10" s="38"/>
      <c r="AL10" s="37"/>
      <c r="AO10" s="38"/>
      <c r="AP10" s="37"/>
      <c r="AS10" s="38"/>
      <c r="AW10" s="38"/>
      <c r="BA10" s="39"/>
    </row>
    <row r="11" spans="1:53" s="28" customFormat="1" x14ac:dyDescent="0.15">
      <c r="A11" s="51">
        <v>1961</v>
      </c>
      <c r="B11" s="293"/>
      <c r="C11" s="394" t="s">
        <v>671</v>
      </c>
      <c r="D11" s="394"/>
      <c r="E11" s="28">
        <v>365</v>
      </c>
      <c r="G11" s="65">
        <v>3</v>
      </c>
      <c r="H11" s="28">
        <v>4</v>
      </c>
      <c r="J11" s="72">
        <v>7</v>
      </c>
      <c r="K11" s="46">
        <f t="shared" si="1"/>
        <v>42.857142857142854</v>
      </c>
      <c r="L11" s="46">
        <f t="shared" si="1"/>
        <v>57.142857142857139</v>
      </c>
      <c r="M11" s="46">
        <f t="shared" si="1"/>
        <v>0</v>
      </c>
      <c r="N11" s="67">
        <f t="shared" si="2"/>
        <v>100</v>
      </c>
      <c r="O11" s="45">
        <v>21.2</v>
      </c>
      <c r="P11" s="46">
        <v>40.4</v>
      </c>
      <c r="Q11" s="46"/>
      <c r="R11" s="47">
        <f t="shared" si="3"/>
        <v>61.599999999999994</v>
      </c>
      <c r="S11" s="28">
        <v>2</v>
      </c>
      <c r="T11" s="284"/>
      <c r="U11" s="293"/>
      <c r="V11" s="37" t="s">
        <v>492</v>
      </c>
      <c r="W11" s="28" t="s">
        <v>17</v>
      </c>
      <c r="X11" s="28" t="s">
        <v>323</v>
      </c>
      <c r="Y11" s="38">
        <v>40.4</v>
      </c>
      <c r="Z11" s="28" t="s">
        <v>130</v>
      </c>
      <c r="AA11" s="28" t="s">
        <v>22</v>
      </c>
      <c r="AB11" s="28" t="s">
        <v>11</v>
      </c>
      <c r="AC11" s="28">
        <v>21.2</v>
      </c>
      <c r="AD11" s="37"/>
      <c r="AG11" s="38"/>
      <c r="AL11" s="37"/>
      <c r="AO11" s="38"/>
      <c r="AP11" s="37"/>
      <c r="AS11" s="38"/>
      <c r="AW11" s="38"/>
      <c r="BA11" s="39"/>
    </row>
    <row r="12" spans="1:53" s="28" customFormat="1" x14ac:dyDescent="0.15">
      <c r="A12" s="51">
        <v>1962</v>
      </c>
      <c r="B12" s="293"/>
      <c r="C12" s="394" t="s">
        <v>671</v>
      </c>
      <c r="D12" s="394"/>
      <c r="E12" s="28">
        <v>0</v>
      </c>
      <c r="G12" s="65">
        <v>3</v>
      </c>
      <c r="H12" s="28">
        <v>4</v>
      </c>
      <c r="J12" s="72">
        <v>7</v>
      </c>
      <c r="K12" s="46">
        <f t="shared" si="1"/>
        <v>42.857142857142854</v>
      </c>
      <c r="L12" s="46">
        <f t="shared" si="1"/>
        <v>57.142857142857139</v>
      </c>
      <c r="M12" s="46">
        <f t="shared" si="1"/>
        <v>0</v>
      </c>
      <c r="N12" s="67">
        <f t="shared" si="2"/>
        <v>100</v>
      </c>
      <c r="O12" s="45">
        <v>21.2</v>
      </c>
      <c r="P12" s="46">
        <v>40.4</v>
      </c>
      <c r="Q12" s="46"/>
      <c r="R12" s="47">
        <f t="shared" si="3"/>
        <v>61.599999999999994</v>
      </c>
      <c r="S12" s="28">
        <v>2</v>
      </c>
      <c r="T12" s="284"/>
      <c r="U12" s="293"/>
      <c r="V12" s="37" t="s">
        <v>492</v>
      </c>
      <c r="W12" s="28" t="s">
        <v>17</v>
      </c>
      <c r="X12" s="28" t="s">
        <v>323</v>
      </c>
      <c r="Y12" s="38">
        <v>40.4</v>
      </c>
      <c r="Z12" s="28" t="s">
        <v>130</v>
      </c>
      <c r="AA12" s="28" t="s">
        <v>22</v>
      </c>
      <c r="AB12" s="28" t="s">
        <v>11</v>
      </c>
      <c r="AC12" s="28">
        <v>21.2</v>
      </c>
      <c r="AD12" s="37"/>
      <c r="AG12" s="38"/>
      <c r="AL12" s="37"/>
      <c r="AO12" s="38"/>
      <c r="AP12" s="37"/>
      <c r="AS12" s="38"/>
      <c r="AW12" s="38"/>
      <c r="BA12" s="39"/>
    </row>
    <row r="13" spans="1:53" s="28" customFormat="1" x14ac:dyDescent="0.15">
      <c r="A13" s="51">
        <v>1962</v>
      </c>
      <c r="B13" s="293"/>
      <c r="C13" s="394" t="s">
        <v>671</v>
      </c>
      <c r="D13" s="394"/>
      <c r="E13" s="28">
        <v>365</v>
      </c>
      <c r="G13" s="65">
        <v>3</v>
      </c>
      <c r="H13" s="28">
        <v>4</v>
      </c>
      <c r="J13" s="72">
        <v>7</v>
      </c>
      <c r="K13" s="46">
        <f t="shared" si="1"/>
        <v>42.857142857142854</v>
      </c>
      <c r="L13" s="46">
        <f t="shared" si="1"/>
        <v>57.142857142857139</v>
      </c>
      <c r="M13" s="46">
        <f t="shared" si="1"/>
        <v>0</v>
      </c>
      <c r="N13" s="67">
        <f t="shared" si="2"/>
        <v>100</v>
      </c>
      <c r="O13" s="45">
        <v>21.2</v>
      </c>
      <c r="P13" s="46">
        <v>40.4</v>
      </c>
      <c r="Q13" s="46"/>
      <c r="R13" s="47">
        <f t="shared" si="3"/>
        <v>61.599999999999994</v>
      </c>
      <c r="S13" s="28">
        <v>2</v>
      </c>
      <c r="T13" s="284"/>
      <c r="U13" s="293"/>
      <c r="V13" s="37" t="s">
        <v>492</v>
      </c>
      <c r="W13" s="28" t="s">
        <v>17</v>
      </c>
      <c r="X13" s="28" t="s">
        <v>323</v>
      </c>
      <c r="Y13" s="38">
        <v>40.4</v>
      </c>
      <c r="Z13" s="28" t="s">
        <v>130</v>
      </c>
      <c r="AA13" s="28" t="s">
        <v>22</v>
      </c>
      <c r="AB13" s="28" t="s">
        <v>11</v>
      </c>
      <c r="AC13" s="28">
        <v>21.2</v>
      </c>
      <c r="AD13" s="37"/>
      <c r="AG13" s="38"/>
      <c r="AL13" s="37"/>
      <c r="AO13" s="38"/>
      <c r="AP13" s="37"/>
      <c r="AS13" s="38"/>
      <c r="AW13" s="38"/>
      <c r="BA13" s="39"/>
    </row>
    <row r="14" spans="1:53" s="28" customFormat="1" x14ac:dyDescent="0.15">
      <c r="A14" s="51">
        <v>1963</v>
      </c>
      <c r="B14" s="293"/>
      <c r="C14" s="394" t="s">
        <v>671</v>
      </c>
      <c r="D14" s="394"/>
      <c r="E14" s="28">
        <v>0</v>
      </c>
      <c r="G14" s="65">
        <v>3</v>
      </c>
      <c r="H14" s="28">
        <v>4</v>
      </c>
      <c r="J14" s="72">
        <v>7</v>
      </c>
      <c r="K14" s="46">
        <f t="shared" si="1"/>
        <v>42.857142857142854</v>
      </c>
      <c r="L14" s="46">
        <f t="shared" si="1"/>
        <v>57.142857142857139</v>
      </c>
      <c r="M14" s="46">
        <f t="shared" si="1"/>
        <v>0</v>
      </c>
      <c r="N14" s="67">
        <f t="shared" si="2"/>
        <v>100</v>
      </c>
      <c r="O14" s="45">
        <v>21.2</v>
      </c>
      <c r="P14" s="46">
        <v>40.4</v>
      </c>
      <c r="Q14" s="46"/>
      <c r="R14" s="47">
        <f t="shared" si="3"/>
        <v>61.599999999999994</v>
      </c>
      <c r="S14" s="28">
        <v>2</v>
      </c>
      <c r="T14" s="284"/>
      <c r="U14" s="293"/>
      <c r="V14" s="37" t="s">
        <v>492</v>
      </c>
      <c r="W14" s="28" t="s">
        <v>17</v>
      </c>
      <c r="X14" s="28" t="s">
        <v>323</v>
      </c>
      <c r="Y14" s="38">
        <v>40.4</v>
      </c>
      <c r="Z14" s="28" t="s">
        <v>130</v>
      </c>
      <c r="AA14" s="28" t="s">
        <v>22</v>
      </c>
      <c r="AB14" s="28" t="s">
        <v>11</v>
      </c>
      <c r="AC14" s="28">
        <v>21.2</v>
      </c>
      <c r="AD14" s="37"/>
      <c r="AG14" s="38"/>
      <c r="AL14" s="37"/>
      <c r="AO14" s="38"/>
      <c r="AP14" s="37"/>
      <c r="AS14" s="38"/>
      <c r="AW14" s="38"/>
      <c r="BA14" s="39"/>
    </row>
    <row r="15" spans="1:53" s="28" customFormat="1" x14ac:dyDescent="0.15">
      <c r="A15" s="51">
        <v>1963</v>
      </c>
      <c r="B15" s="293"/>
      <c r="C15" s="394" t="s">
        <v>671</v>
      </c>
      <c r="D15" s="394"/>
      <c r="E15" s="28">
        <v>365</v>
      </c>
      <c r="G15" s="65">
        <v>3</v>
      </c>
      <c r="H15" s="28">
        <v>4</v>
      </c>
      <c r="J15" s="72">
        <v>7</v>
      </c>
      <c r="K15" s="46">
        <f t="shared" si="1"/>
        <v>42.857142857142854</v>
      </c>
      <c r="L15" s="46">
        <f t="shared" si="1"/>
        <v>57.142857142857139</v>
      </c>
      <c r="M15" s="46">
        <f t="shared" si="1"/>
        <v>0</v>
      </c>
      <c r="N15" s="67">
        <f t="shared" si="2"/>
        <v>100</v>
      </c>
      <c r="O15" s="45">
        <v>21.2</v>
      </c>
      <c r="P15" s="46">
        <v>40.4</v>
      </c>
      <c r="Q15" s="46"/>
      <c r="R15" s="47">
        <f t="shared" si="3"/>
        <v>61.599999999999994</v>
      </c>
      <c r="S15" s="28">
        <v>2</v>
      </c>
      <c r="T15" s="284"/>
      <c r="U15" s="293"/>
      <c r="V15" s="37" t="s">
        <v>492</v>
      </c>
      <c r="W15" s="28" t="s">
        <v>17</v>
      </c>
      <c r="X15" s="28" t="s">
        <v>323</v>
      </c>
      <c r="Y15" s="38">
        <v>40.4</v>
      </c>
      <c r="Z15" s="28" t="s">
        <v>130</v>
      </c>
      <c r="AA15" s="28" t="s">
        <v>22</v>
      </c>
      <c r="AB15" s="28" t="s">
        <v>11</v>
      </c>
      <c r="AC15" s="28">
        <v>21.2</v>
      </c>
      <c r="AD15" s="37"/>
      <c r="AG15" s="38"/>
      <c r="AL15" s="37"/>
      <c r="AO15" s="38"/>
      <c r="AP15" s="37"/>
      <c r="AS15" s="38"/>
      <c r="AW15" s="38"/>
      <c r="BA15" s="39"/>
    </row>
    <row r="16" spans="1:53" s="28" customFormat="1" x14ac:dyDescent="0.15">
      <c r="A16" s="51">
        <v>1964</v>
      </c>
      <c r="B16" s="293"/>
      <c r="C16" s="394" t="s">
        <v>671</v>
      </c>
      <c r="D16" s="394"/>
      <c r="E16" s="28">
        <v>199</v>
      </c>
      <c r="G16" s="65">
        <v>3</v>
      </c>
      <c r="H16" s="28">
        <v>4</v>
      </c>
      <c r="J16" s="72">
        <v>7</v>
      </c>
      <c r="K16" s="46">
        <f t="shared" si="1"/>
        <v>42.857142857142854</v>
      </c>
      <c r="L16" s="46">
        <f t="shared" si="1"/>
        <v>57.142857142857139</v>
      </c>
      <c r="M16" s="46">
        <f t="shared" si="1"/>
        <v>0</v>
      </c>
      <c r="N16" s="67">
        <f t="shared" si="2"/>
        <v>100</v>
      </c>
      <c r="O16" s="45">
        <v>21.2</v>
      </c>
      <c r="P16" s="46">
        <v>40.4</v>
      </c>
      <c r="Q16" s="46"/>
      <c r="R16" s="47">
        <f t="shared" si="3"/>
        <v>61.599999999999994</v>
      </c>
      <c r="S16" s="28">
        <v>2</v>
      </c>
      <c r="T16" s="284"/>
      <c r="U16" s="293"/>
      <c r="V16" s="37" t="s">
        <v>492</v>
      </c>
      <c r="W16" s="28" t="s">
        <v>17</v>
      </c>
      <c r="X16" s="28" t="s">
        <v>323</v>
      </c>
      <c r="Y16" s="38">
        <v>40.4</v>
      </c>
      <c r="Z16" s="28" t="s">
        <v>130</v>
      </c>
      <c r="AA16" s="28" t="s">
        <v>22</v>
      </c>
      <c r="AB16" s="28" t="s">
        <v>11</v>
      </c>
      <c r="AC16" s="28">
        <v>21.2</v>
      </c>
      <c r="AD16" s="37"/>
      <c r="AG16" s="38"/>
      <c r="AL16" s="37"/>
      <c r="AO16" s="38"/>
      <c r="AP16" s="37"/>
      <c r="AS16" s="38"/>
      <c r="AW16" s="38"/>
      <c r="BA16" s="39"/>
    </row>
    <row r="17" spans="1:53" s="170" customFormat="1" x14ac:dyDescent="0.15">
      <c r="A17" s="215">
        <v>1964</v>
      </c>
      <c r="B17" s="281">
        <v>23576</v>
      </c>
      <c r="C17" s="395" t="s">
        <v>672</v>
      </c>
      <c r="D17" s="395"/>
      <c r="E17" s="170">
        <f>366-E16</f>
        <v>167</v>
      </c>
      <c r="F17" s="170">
        <v>1</v>
      </c>
      <c r="G17" s="232"/>
      <c r="H17" s="170">
        <v>4</v>
      </c>
      <c r="I17" s="170">
        <v>4</v>
      </c>
      <c r="J17" s="240">
        <v>8</v>
      </c>
      <c r="K17" s="213">
        <f t="shared" si="1"/>
        <v>0</v>
      </c>
      <c r="L17" s="213">
        <f t="shared" si="1"/>
        <v>50</v>
      </c>
      <c r="M17" s="213">
        <f t="shared" si="1"/>
        <v>50</v>
      </c>
      <c r="N17" s="234">
        <f t="shared" si="2"/>
        <v>100</v>
      </c>
      <c r="O17" s="212"/>
      <c r="P17" s="213">
        <v>39.299999999999997</v>
      </c>
      <c r="Q17" s="213">
        <v>37.5</v>
      </c>
      <c r="R17" s="214">
        <f t="shared" si="3"/>
        <v>76.8</v>
      </c>
      <c r="S17" s="170">
        <v>2</v>
      </c>
      <c r="T17" s="283">
        <v>23535</v>
      </c>
      <c r="U17" s="281">
        <v>23576</v>
      </c>
      <c r="V17" s="177" t="s">
        <v>492</v>
      </c>
      <c r="W17" s="170" t="s">
        <v>17</v>
      </c>
      <c r="X17" s="170" t="s">
        <v>323</v>
      </c>
      <c r="Y17" s="178">
        <v>39.299999999999997</v>
      </c>
      <c r="Z17" s="170" t="s">
        <v>493</v>
      </c>
      <c r="AA17" s="170" t="s">
        <v>20</v>
      </c>
      <c r="AB17" s="170" t="s">
        <v>12</v>
      </c>
      <c r="AC17" s="170">
        <v>37.5</v>
      </c>
      <c r="AD17" s="177"/>
      <c r="AG17" s="178"/>
      <c r="AL17" s="177"/>
      <c r="AO17" s="178"/>
      <c r="AP17" s="177"/>
      <c r="AS17" s="178"/>
      <c r="AW17" s="178"/>
      <c r="BA17" s="179"/>
    </row>
    <row r="18" spans="1:53" s="170" customFormat="1" x14ac:dyDescent="0.15">
      <c r="A18" s="215">
        <v>1965</v>
      </c>
      <c r="B18" s="281"/>
      <c r="C18" s="395" t="s">
        <v>672</v>
      </c>
      <c r="D18" s="395"/>
      <c r="E18" s="170">
        <v>0</v>
      </c>
      <c r="G18" s="232"/>
      <c r="H18" s="170">
        <v>4</v>
      </c>
      <c r="I18" s="170">
        <v>4</v>
      </c>
      <c r="J18" s="240">
        <v>8</v>
      </c>
      <c r="K18" s="213">
        <f t="shared" si="1"/>
        <v>0</v>
      </c>
      <c r="L18" s="213">
        <f t="shared" si="1"/>
        <v>50</v>
      </c>
      <c r="M18" s="213">
        <f t="shared" si="1"/>
        <v>50</v>
      </c>
      <c r="N18" s="234">
        <f t="shared" si="2"/>
        <v>100</v>
      </c>
      <c r="O18" s="212"/>
      <c r="P18" s="213">
        <v>39.299999999999997</v>
      </c>
      <c r="Q18" s="213">
        <v>37.5</v>
      </c>
      <c r="R18" s="214">
        <f t="shared" si="3"/>
        <v>76.8</v>
      </c>
      <c r="S18" s="170">
        <v>2</v>
      </c>
      <c r="T18" s="283"/>
      <c r="U18" s="281"/>
      <c r="V18" s="177" t="s">
        <v>492</v>
      </c>
      <c r="W18" s="170" t="s">
        <v>17</v>
      </c>
      <c r="X18" s="170" t="s">
        <v>323</v>
      </c>
      <c r="Y18" s="178">
        <v>39.299999999999997</v>
      </c>
      <c r="Z18" s="170" t="s">
        <v>493</v>
      </c>
      <c r="AA18" s="170" t="s">
        <v>20</v>
      </c>
      <c r="AB18" s="170" t="s">
        <v>12</v>
      </c>
      <c r="AC18" s="170">
        <v>37.5</v>
      </c>
      <c r="AD18" s="177"/>
      <c r="AG18" s="178"/>
      <c r="AL18" s="177"/>
      <c r="AO18" s="178"/>
      <c r="AP18" s="177"/>
      <c r="AS18" s="178"/>
      <c r="AW18" s="178"/>
      <c r="BA18" s="179"/>
    </row>
    <row r="19" spans="1:53" s="170" customFormat="1" x14ac:dyDescent="0.15">
      <c r="A19" s="215">
        <v>1965</v>
      </c>
      <c r="B19" s="281"/>
      <c r="C19" s="395" t="s">
        <v>672</v>
      </c>
      <c r="D19" s="395"/>
      <c r="E19" s="170">
        <v>365</v>
      </c>
      <c r="G19" s="232"/>
      <c r="H19" s="170">
        <v>4</v>
      </c>
      <c r="I19" s="170">
        <v>4</v>
      </c>
      <c r="J19" s="240">
        <v>8</v>
      </c>
      <c r="K19" s="213">
        <f t="shared" si="1"/>
        <v>0</v>
      </c>
      <c r="L19" s="213">
        <f t="shared" si="1"/>
        <v>50</v>
      </c>
      <c r="M19" s="213">
        <f t="shared" si="1"/>
        <v>50</v>
      </c>
      <c r="N19" s="234">
        <f t="shared" si="2"/>
        <v>100</v>
      </c>
      <c r="O19" s="212"/>
      <c r="P19" s="213">
        <v>39.299999999999997</v>
      </c>
      <c r="Q19" s="213">
        <v>37.5</v>
      </c>
      <c r="R19" s="214">
        <f t="shared" si="3"/>
        <v>76.8</v>
      </c>
      <c r="S19" s="170">
        <v>2</v>
      </c>
      <c r="T19" s="283"/>
      <c r="U19" s="281"/>
      <c r="V19" s="177" t="s">
        <v>492</v>
      </c>
      <c r="W19" s="170" t="s">
        <v>17</v>
      </c>
      <c r="X19" s="170" t="s">
        <v>323</v>
      </c>
      <c r="Y19" s="178">
        <v>39.299999999999997</v>
      </c>
      <c r="Z19" s="170" t="s">
        <v>493</v>
      </c>
      <c r="AA19" s="170" t="s">
        <v>20</v>
      </c>
      <c r="AB19" s="170" t="s">
        <v>12</v>
      </c>
      <c r="AC19" s="170">
        <v>37.5</v>
      </c>
      <c r="AD19" s="177"/>
      <c r="AG19" s="178"/>
      <c r="AL19" s="177"/>
      <c r="AO19" s="178"/>
      <c r="AP19" s="177"/>
      <c r="AS19" s="178"/>
      <c r="AW19" s="178"/>
      <c r="BA19" s="179"/>
    </row>
    <row r="20" spans="1:53" s="170" customFormat="1" x14ac:dyDescent="0.15">
      <c r="A20" s="215">
        <v>1966</v>
      </c>
      <c r="B20" s="281"/>
      <c r="C20" s="395" t="s">
        <v>672</v>
      </c>
      <c r="D20" s="395"/>
      <c r="E20" s="170">
        <v>0</v>
      </c>
      <c r="G20" s="232"/>
      <c r="H20" s="170">
        <v>4</v>
      </c>
      <c r="I20" s="170">
        <v>4</v>
      </c>
      <c r="J20" s="240">
        <v>8</v>
      </c>
      <c r="K20" s="213">
        <f t="shared" si="1"/>
        <v>0</v>
      </c>
      <c r="L20" s="213">
        <f t="shared" si="1"/>
        <v>50</v>
      </c>
      <c r="M20" s="213">
        <f t="shared" si="1"/>
        <v>50</v>
      </c>
      <c r="N20" s="234">
        <f t="shared" si="2"/>
        <v>100</v>
      </c>
      <c r="O20" s="212"/>
      <c r="P20" s="213">
        <v>39.299999999999997</v>
      </c>
      <c r="Q20" s="213">
        <v>37.5</v>
      </c>
      <c r="R20" s="214">
        <f t="shared" si="3"/>
        <v>76.8</v>
      </c>
      <c r="S20" s="170">
        <v>2</v>
      </c>
      <c r="T20" s="283"/>
      <c r="U20" s="281"/>
      <c r="V20" s="177" t="s">
        <v>492</v>
      </c>
      <c r="W20" s="170" t="s">
        <v>17</v>
      </c>
      <c r="X20" s="170" t="s">
        <v>323</v>
      </c>
      <c r="Y20" s="178">
        <v>39.299999999999997</v>
      </c>
      <c r="Z20" s="170" t="s">
        <v>493</v>
      </c>
      <c r="AA20" s="170" t="s">
        <v>20</v>
      </c>
      <c r="AB20" s="170" t="s">
        <v>12</v>
      </c>
      <c r="AC20" s="170">
        <v>37.5</v>
      </c>
      <c r="AD20" s="177"/>
      <c r="AG20" s="178"/>
      <c r="AL20" s="177"/>
      <c r="AO20" s="178"/>
      <c r="AP20" s="177"/>
      <c r="AS20" s="178"/>
      <c r="AW20" s="178"/>
      <c r="BA20" s="179"/>
    </row>
    <row r="21" spans="1:53" s="170" customFormat="1" x14ac:dyDescent="0.15">
      <c r="A21" s="215">
        <v>1966</v>
      </c>
      <c r="B21" s="281"/>
      <c r="C21" s="395" t="s">
        <v>672</v>
      </c>
      <c r="D21" s="395"/>
      <c r="E21" s="170">
        <v>365</v>
      </c>
      <c r="G21" s="232"/>
      <c r="H21" s="170">
        <v>4</v>
      </c>
      <c r="I21" s="170">
        <v>4</v>
      </c>
      <c r="J21" s="240">
        <v>8</v>
      </c>
      <c r="K21" s="213">
        <f t="shared" si="1"/>
        <v>0</v>
      </c>
      <c r="L21" s="213">
        <f t="shared" si="1"/>
        <v>50</v>
      </c>
      <c r="M21" s="213">
        <f t="shared" si="1"/>
        <v>50</v>
      </c>
      <c r="N21" s="234">
        <f t="shared" si="2"/>
        <v>100</v>
      </c>
      <c r="O21" s="212"/>
      <c r="P21" s="213">
        <v>39.299999999999997</v>
      </c>
      <c r="Q21" s="213">
        <v>37.5</v>
      </c>
      <c r="R21" s="214">
        <f t="shared" si="3"/>
        <v>76.8</v>
      </c>
      <c r="S21" s="170">
        <v>2</v>
      </c>
      <c r="T21" s="283"/>
      <c r="U21" s="281"/>
      <c r="V21" s="177" t="s">
        <v>492</v>
      </c>
      <c r="W21" s="170" t="s">
        <v>17</v>
      </c>
      <c r="X21" s="170" t="s">
        <v>323</v>
      </c>
      <c r="Y21" s="178">
        <v>39.299999999999997</v>
      </c>
      <c r="Z21" s="170" t="s">
        <v>493</v>
      </c>
      <c r="AA21" s="170" t="s">
        <v>20</v>
      </c>
      <c r="AB21" s="170" t="s">
        <v>12</v>
      </c>
      <c r="AC21" s="170">
        <v>37.5</v>
      </c>
      <c r="AD21" s="177"/>
      <c r="AG21" s="178"/>
      <c r="AL21" s="177"/>
      <c r="AO21" s="178"/>
      <c r="AP21" s="177"/>
      <c r="AS21" s="178"/>
      <c r="AW21" s="178"/>
      <c r="BA21" s="179"/>
    </row>
    <row r="22" spans="1:53" s="170" customFormat="1" x14ac:dyDescent="0.15">
      <c r="A22" s="215">
        <v>1967</v>
      </c>
      <c r="B22" s="281"/>
      <c r="C22" s="395" t="s">
        <v>672</v>
      </c>
      <c r="D22" s="395"/>
      <c r="E22" s="170">
        <v>3</v>
      </c>
      <c r="G22" s="232"/>
      <c r="H22" s="170">
        <v>4</v>
      </c>
      <c r="I22" s="170">
        <v>4</v>
      </c>
      <c r="J22" s="240">
        <v>8</v>
      </c>
      <c r="K22" s="213">
        <f t="shared" si="1"/>
        <v>0</v>
      </c>
      <c r="L22" s="213">
        <f t="shared" si="1"/>
        <v>50</v>
      </c>
      <c r="M22" s="213">
        <f t="shared" si="1"/>
        <v>50</v>
      </c>
      <c r="N22" s="234">
        <f t="shared" si="2"/>
        <v>100</v>
      </c>
      <c r="O22" s="212"/>
      <c r="P22" s="213">
        <v>39.299999999999997</v>
      </c>
      <c r="Q22" s="213">
        <v>37.5</v>
      </c>
      <c r="R22" s="214">
        <f t="shared" si="3"/>
        <v>76.8</v>
      </c>
      <c r="S22" s="170">
        <v>2</v>
      </c>
      <c r="T22" s="283"/>
      <c r="U22" s="281"/>
      <c r="V22" s="177" t="s">
        <v>492</v>
      </c>
      <c r="W22" s="170" t="s">
        <v>17</v>
      </c>
      <c r="X22" s="170" t="s">
        <v>323</v>
      </c>
      <c r="Y22" s="178">
        <v>39.299999999999997</v>
      </c>
      <c r="Z22" s="170" t="s">
        <v>493</v>
      </c>
      <c r="AA22" s="170" t="s">
        <v>20</v>
      </c>
      <c r="AB22" s="170" t="s">
        <v>12</v>
      </c>
      <c r="AC22" s="170">
        <v>37.5</v>
      </c>
      <c r="AD22" s="177"/>
      <c r="AG22" s="178"/>
      <c r="AL22" s="177"/>
      <c r="AO22" s="178"/>
      <c r="AP22" s="177"/>
      <c r="AS22" s="178"/>
      <c r="AW22" s="178"/>
      <c r="BA22" s="179"/>
    </row>
    <row r="23" spans="1:53" s="28" customFormat="1" x14ac:dyDescent="0.15">
      <c r="A23" s="51">
        <v>1967</v>
      </c>
      <c r="B23" s="293">
        <v>24476</v>
      </c>
      <c r="C23" s="394" t="s">
        <v>673</v>
      </c>
      <c r="D23" s="394"/>
      <c r="E23" s="28">
        <f>365-E22</f>
        <v>362</v>
      </c>
      <c r="F23" s="28">
        <v>5</v>
      </c>
      <c r="G23" s="65"/>
      <c r="H23" s="28">
        <v>4</v>
      </c>
      <c r="I23" s="28">
        <v>4</v>
      </c>
      <c r="J23" s="72">
        <v>8</v>
      </c>
      <c r="K23" s="46">
        <f t="shared" si="1"/>
        <v>0</v>
      </c>
      <c r="L23" s="46">
        <f t="shared" si="1"/>
        <v>50</v>
      </c>
      <c r="M23" s="46">
        <f t="shared" si="1"/>
        <v>50</v>
      </c>
      <c r="N23" s="67">
        <f t="shared" si="2"/>
        <v>100</v>
      </c>
      <c r="O23" s="45"/>
      <c r="P23" s="46">
        <v>39.299999999999997</v>
      </c>
      <c r="Q23" s="46">
        <v>37.5</v>
      </c>
      <c r="R23" s="47">
        <f t="shared" si="3"/>
        <v>76.8</v>
      </c>
      <c r="S23" s="28">
        <v>2</v>
      </c>
      <c r="T23" s="284"/>
      <c r="U23" s="293">
        <v>24476</v>
      </c>
      <c r="V23" s="37" t="s">
        <v>492</v>
      </c>
      <c r="W23" s="28" t="s">
        <v>17</v>
      </c>
      <c r="X23" s="28" t="s">
        <v>323</v>
      </c>
      <c r="Y23" s="38">
        <v>39.299999999999997</v>
      </c>
      <c r="Z23" s="28" t="s">
        <v>493</v>
      </c>
      <c r="AA23" s="28" t="s">
        <v>20</v>
      </c>
      <c r="AB23" s="28" t="s">
        <v>12</v>
      </c>
      <c r="AC23" s="28">
        <v>37.5</v>
      </c>
      <c r="AD23" s="37"/>
      <c r="AG23" s="38"/>
      <c r="AL23" s="37"/>
      <c r="AO23" s="38"/>
      <c r="AP23" s="37"/>
      <c r="AS23" s="38"/>
      <c r="AW23" s="38"/>
      <c r="BA23" s="39"/>
    </row>
    <row r="24" spans="1:53" s="28" customFormat="1" x14ac:dyDescent="0.15">
      <c r="A24" s="51">
        <v>1968</v>
      </c>
      <c r="B24" s="293"/>
      <c r="C24" s="394" t="s">
        <v>673</v>
      </c>
      <c r="D24" s="394"/>
      <c r="E24" s="28">
        <v>0</v>
      </c>
      <c r="G24" s="65"/>
      <c r="H24" s="28">
        <v>4</v>
      </c>
      <c r="I24" s="28">
        <v>4</v>
      </c>
      <c r="J24" s="72">
        <v>8</v>
      </c>
      <c r="K24" s="46">
        <f t="shared" si="1"/>
        <v>0</v>
      </c>
      <c r="L24" s="46">
        <f t="shared" si="1"/>
        <v>50</v>
      </c>
      <c r="M24" s="46">
        <f t="shared" si="1"/>
        <v>50</v>
      </c>
      <c r="N24" s="67">
        <f t="shared" si="2"/>
        <v>100</v>
      </c>
      <c r="O24" s="45"/>
      <c r="P24" s="46">
        <v>39.299999999999997</v>
      </c>
      <c r="Q24" s="46">
        <v>37.5</v>
      </c>
      <c r="R24" s="47">
        <f t="shared" si="3"/>
        <v>76.8</v>
      </c>
      <c r="S24" s="28">
        <v>2</v>
      </c>
      <c r="T24" s="284"/>
      <c r="U24" s="293"/>
      <c r="V24" s="37" t="s">
        <v>492</v>
      </c>
      <c r="W24" s="28" t="s">
        <v>17</v>
      </c>
      <c r="X24" s="28" t="s">
        <v>323</v>
      </c>
      <c r="Y24" s="38">
        <v>39.299999999999997</v>
      </c>
      <c r="Z24" s="28" t="s">
        <v>493</v>
      </c>
      <c r="AA24" s="28" t="s">
        <v>20</v>
      </c>
      <c r="AB24" s="28" t="s">
        <v>12</v>
      </c>
      <c r="AC24" s="28">
        <v>37.5</v>
      </c>
      <c r="AD24" s="37"/>
      <c r="AG24" s="38"/>
      <c r="AL24" s="37"/>
      <c r="AO24" s="38"/>
      <c r="AP24" s="37"/>
      <c r="AS24" s="38"/>
      <c r="AW24" s="38"/>
      <c r="BA24" s="39"/>
    </row>
    <row r="25" spans="1:53" s="28" customFormat="1" x14ac:dyDescent="0.15">
      <c r="A25" s="51">
        <v>1968</v>
      </c>
      <c r="B25" s="293"/>
      <c r="C25" s="394" t="s">
        <v>673</v>
      </c>
      <c r="D25" s="394"/>
      <c r="E25" s="28">
        <v>366</v>
      </c>
      <c r="G25" s="65"/>
      <c r="H25" s="28">
        <v>4</v>
      </c>
      <c r="I25" s="28">
        <v>4</v>
      </c>
      <c r="J25" s="72">
        <v>8</v>
      </c>
      <c r="K25" s="46">
        <f t="shared" si="1"/>
        <v>0</v>
      </c>
      <c r="L25" s="46">
        <f t="shared" si="1"/>
        <v>50</v>
      </c>
      <c r="M25" s="46">
        <f t="shared" si="1"/>
        <v>50</v>
      </c>
      <c r="N25" s="67">
        <f t="shared" si="2"/>
        <v>100</v>
      </c>
      <c r="O25" s="45"/>
      <c r="P25" s="46">
        <v>39.299999999999997</v>
      </c>
      <c r="Q25" s="46">
        <v>37.5</v>
      </c>
      <c r="R25" s="47">
        <f t="shared" si="3"/>
        <v>76.8</v>
      </c>
      <c r="S25" s="28">
        <v>2</v>
      </c>
      <c r="T25" s="284">
        <v>25187</v>
      </c>
      <c r="U25" s="293"/>
      <c r="V25" s="37" t="s">
        <v>492</v>
      </c>
      <c r="W25" s="28" t="s">
        <v>17</v>
      </c>
      <c r="X25" s="28" t="s">
        <v>323</v>
      </c>
      <c r="Y25" s="38">
        <v>39.299999999999997</v>
      </c>
      <c r="Z25" s="28" t="s">
        <v>493</v>
      </c>
      <c r="AA25" s="28" t="s">
        <v>20</v>
      </c>
      <c r="AB25" s="28" t="s">
        <v>12</v>
      </c>
      <c r="AC25" s="28">
        <v>37.5</v>
      </c>
      <c r="AD25" s="37"/>
      <c r="AG25" s="38"/>
      <c r="AL25" s="37"/>
      <c r="AO25" s="38"/>
      <c r="AP25" s="37"/>
      <c r="AS25" s="38"/>
      <c r="AW25" s="38"/>
      <c r="BA25" s="39"/>
    </row>
    <row r="26" spans="1:53" s="28" customFormat="1" x14ac:dyDescent="0.15">
      <c r="A26" s="51">
        <v>1969</v>
      </c>
      <c r="B26" s="293"/>
      <c r="C26" s="394" t="s">
        <v>673</v>
      </c>
      <c r="D26" s="394"/>
      <c r="E26" s="28">
        <v>30</v>
      </c>
      <c r="G26" s="65"/>
      <c r="H26" s="28">
        <v>4</v>
      </c>
      <c r="I26" s="28">
        <v>4</v>
      </c>
      <c r="J26" s="72">
        <v>8</v>
      </c>
      <c r="K26" s="46">
        <f t="shared" si="1"/>
        <v>0</v>
      </c>
      <c r="L26" s="46">
        <f t="shared" si="1"/>
        <v>50</v>
      </c>
      <c r="M26" s="46">
        <f t="shared" si="1"/>
        <v>50</v>
      </c>
      <c r="N26" s="67">
        <f t="shared" si="2"/>
        <v>100</v>
      </c>
      <c r="O26" s="45"/>
      <c r="P26" s="46">
        <v>39.299999999999997</v>
      </c>
      <c r="Q26" s="46">
        <v>37.5</v>
      </c>
      <c r="R26" s="47">
        <f t="shared" si="3"/>
        <v>76.8</v>
      </c>
      <c r="S26" s="28">
        <v>2</v>
      </c>
      <c r="T26" s="284"/>
      <c r="U26" s="293"/>
      <c r="V26" s="37" t="s">
        <v>492</v>
      </c>
      <c r="W26" s="28" t="s">
        <v>17</v>
      </c>
      <c r="X26" s="28" t="s">
        <v>323</v>
      </c>
      <c r="Y26" s="38">
        <v>39.299999999999997</v>
      </c>
      <c r="Z26" s="28" t="s">
        <v>493</v>
      </c>
      <c r="AA26" s="28" t="s">
        <v>20</v>
      </c>
      <c r="AB26" s="28" t="s">
        <v>12</v>
      </c>
      <c r="AC26" s="28">
        <v>37.5</v>
      </c>
      <c r="AD26" s="37"/>
      <c r="AG26" s="38"/>
      <c r="AL26" s="37"/>
      <c r="AO26" s="38"/>
      <c r="AP26" s="37"/>
      <c r="AS26" s="38"/>
      <c r="AW26" s="38"/>
      <c r="BA26" s="39"/>
    </row>
    <row r="27" spans="1:53" s="170" customFormat="1" x14ac:dyDescent="0.15">
      <c r="A27" s="215">
        <v>1969</v>
      </c>
      <c r="B27" s="281">
        <v>25234</v>
      </c>
      <c r="C27" s="395" t="s">
        <v>674</v>
      </c>
      <c r="D27" s="395"/>
      <c r="E27" s="170">
        <f>365-E26</f>
        <v>335</v>
      </c>
      <c r="F27" s="170">
        <v>4</v>
      </c>
      <c r="G27" s="232">
        <v>3</v>
      </c>
      <c r="H27" s="170">
        <v>4</v>
      </c>
      <c r="J27" s="240">
        <v>7</v>
      </c>
      <c r="K27" s="213">
        <f t="shared" si="1"/>
        <v>42.857142857142854</v>
      </c>
      <c r="L27" s="213">
        <f t="shared" si="1"/>
        <v>57.142857142857139</v>
      </c>
      <c r="M27" s="213">
        <f t="shared" si="1"/>
        <v>0</v>
      </c>
      <c r="N27" s="234">
        <f t="shared" si="2"/>
        <v>100</v>
      </c>
      <c r="O27" s="212">
        <v>19.600000000000001</v>
      </c>
      <c r="P27" s="213">
        <v>37.5</v>
      </c>
      <c r="Q27" s="213"/>
      <c r="R27" s="214">
        <f t="shared" si="3"/>
        <v>57.1</v>
      </c>
      <c r="S27" s="170">
        <v>2</v>
      </c>
      <c r="T27" s="283"/>
      <c r="U27" s="281">
        <v>25234</v>
      </c>
      <c r="V27" s="177" t="s">
        <v>492</v>
      </c>
      <c r="W27" s="170" t="s">
        <v>17</v>
      </c>
      <c r="X27" s="170" t="s">
        <v>323</v>
      </c>
      <c r="Y27" s="178">
        <v>37.5</v>
      </c>
      <c r="Z27" s="170" t="s">
        <v>130</v>
      </c>
      <c r="AA27" s="170" t="s">
        <v>22</v>
      </c>
      <c r="AB27" s="170" t="s">
        <v>11</v>
      </c>
      <c r="AC27" s="170">
        <v>19.600000000000001</v>
      </c>
      <c r="AD27" s="177"/>
      <c r="AG27" s="178"/>
      <c r="AL27" s="177"/>
      <c r="AO27" s="178"/>
      <c r="AP27" s="177"/>
      <c r="AS27" s="178"/>
      <c r="AW27" s="178"/>
      <c r="BA27" s="179"/>
    </row>
    <row r="28" spans="1:53" s="170" customFormat="1" x14ac:dyDescent="0.15">
      <c r="A28" s="215">
        <v>1970</v>
      </c>
      <c r="B28" s="281"/>
      <c r="C28" s="395" t="s">
        <v>674</v>
      </c>
      <c r="D28" s="395"/>
      <c r="E28" s="170">
        <v>0</v>
      </c>
      <c r="G28" s="232">
        <v>3</v>
      </c>
      <c r="H28" s="170">
        <v>4</v>
      </c>
      <c r="J28" s="240">
        <v>7</v>
      </c>
      <c r="K28" s="213">
        <f t="shared" si="1"/>
        <v>42.857142857142854</v>
      </c>
      <c r="L28" s="213">
        <f t="shared" si="1"/>
        <v>57.142857142857139</v>
      </c>
      <c r="M28" s="213">
        <f t="shared" si="1"/>
        <v>0</v>
      </c>
      <c r="N28" s="234">
        <f t="shared" si="2"/>
        <v>100</v>
      </c>
      <c r="O28" s="212">
        <v>19.600000000000001</v>
      </c>
      <c r="P28" s="213">
        <v>37.5</v>
      </c>
      <c r="Q28" s="213"/>
      <c r="R28" s="214">
        <f t="shared" si="3"/>
        <v>57.1</v>
      </c>
      <c r="S28" s="170">
        <v>2</v>
      </c>
      <c r="T28" s="283"/>
      <c r="U28" s="281"/>
      <c r="V28" s="177" t="s">
        <v>492</v>
      </c>
      <c r="W28" s="170" t="s">
        <v>17</v>
      </c>
      <c r="X28" s="170" t="s">
        <v>323</v>
      </c>
      <c r="Y28" s="178">
        <v>37.5</v>
      </c>
      <c r="Z28" s="170" t="s">
        <v>130</v>
      </c>
      <c r="AA28" s="170" t="s">
        <v>22</v>
      </c>
      <c r="AB28" s="170" t="s">
        <v>11</v>
      </c>
      <c r="AC28" s="170">
        <v>19.600000000000001</v>
      </c>
      <c r="AD28" s="177"/>
      <c r="AG28" s="178"/>
      <c r="AL28" s="177"/>
      <c r="AO28" s="178"/>
      <c r="AP28" s="177"/>
      <c r="AS28" s="178"/>
      <c r="AW28" s="178"/>
      <c r="BA28" s="179"/>
    </row>
    <row r="29" spans="1:53" s="170" customFormat="1" x14ac:dyDescent="0.15">
      <c r="A29" s="215">
        <v>1970</v>
      </c>
      <c r="B29" s="281"/>
      <c r="C29" s="395" t="s">
        <v>674</v>
      </c>
      <c r="D29" s="395"/>
      <c r="E29" s="170">
        <v>365</v>
      </c>
      <c r="G29" s="232">
        <v>3</v>
      </c>
      <c r="H29" s="170">
        <v>4</v>
      </c>
      <c r="J29" s="240">
        <v>7</v>
      </c>
      <c r="K29" s="213">
        <f t="shared" si="1"/>
        <v>42.857142857142854</v>
      </c>
      <c r="L29" s="213">
        <f t="shared" si="1"/>
        <v>57.142857142857139</v>
      </c>
      <c r="M29" s="213">
        <f t="shared" si="1"/>
        <v>0</v>
      </c>
      <c r="N29" s="234">
        <f t="shared" si="2"/>
        <v>100</v>
      </c>
      <c r="O29" s="212">
        <v>19.600000000000001</v>
      </c>
      <c r="P29" s="213">
        <v>37.5</v>
      </c>
      <c r="Q29" s="213"/>
      <c r="R29" s="214">
        <f t="shared" si="3"/>
        <v>57.1</v>
      </c>
      <c r="S29" s="170">
        <v>2</v>
      </c>
      <c r="T29" s="283"/>
      <c r="U29" s="281"/>
      <c r="V29" s="177" t="s">
        <v>492</v>
      </c>
      <c r="W29" s="170" t="s">
        <v>17</v>
      </c>
      <c r="X29" s="170" t="s">
        <v>323</v>
      </c>
      <c r="Y29" s="178">
        <v>37.5</v>
      </c>
      <c r="Z29" s="170" t="s">
        <v>130</v>
      </c>
      <c r="AA29" s="170" t="s">
        <v>22</v>
      </c>
      <c r="AB29" s="170" t="s">
        <v>11</v>
      </c>
      <c r="AC29" s="170">
        <v>19.600000000000001</v>
      </c>
      <c r="AD29" s="177"/>
      <c r="AG29" s="178"/>
      <c r="AL29" s="177"/>
      <c r="AO29" s="178"/>
      <c r="AP29" s="177"/>
      <c r="AS29" s="178"/>
      <c r="AW29" s="178"/>
      <c r="BA29" s="179"/>
    </row>
    <row r="30" spans="1:53" s="170" customFormat="1" x14ac:dyDescent="0.15">
      <c r="A30" s="215">
        <v>1971</v>
      </c>
      <c r="B30" s="281"/>
      <c r="C30" s="395" t="s">
        <v>674</v>
      </c>
      <c r="D30" s="395"/>
      <c r="E30" s="170">
        <v>0</v>
      </c>
      <c r="G30" s="232">
        <v>3</v>
      </c>
      <c r="H30" s="170">
        <v>4</v>
      </c>
      <c r="J30" s="240">
        <v>7</v>
      </c>
      <c r="K30" s="213">
        <f t="shared" si="1"/>
        <v>42.857142857142854</v>
      </c>
      <c r="L30" s="213">
        <f t="shared" si="1"/>
        <v>57.142857142857139</v>
      </c>
      <c r="M30" s="213">
        <f t="shared" si="1"/>
        <v>0</v>
      </c>
      <c r="N30" s="234">
        <f t="shared" si="2"/>
        <v>100</v>
      </c>
      <c r="O30" s="212">
        <v>19.600000000000001</v>
      </c>
      <c r="P30" s="213">
        <v>37.5</v>
      </c>
      <c r="Q30" s="213"/>
      <c r="R30" s="214">
        <f t="shared" si="3"/>
        <v>57.1</v>
      </c>
      <c r="S30" s="170">
        <v>2</v>
      </c>
      <c r="T30" s="283"/>
      <c r="U30" s="281"/>
      <c r="V30" s="177" t="s">
        <v>492</v>
      </c>
      <c r="W30" s="170" t="s">
        <v>17</v>
      </c>
      <c r="X30" s="170" t="s">
        <v>323</v>
      </c>
      <c r="Y30" s="178">
        <v>37.5</v>
      </c>
      <c r="Z30" s="170" t="s">
        <v>130</v>
      </c>
      <c r="AA30" s="170" t="s">
        <v>22</v>
      </c>
      <c r="AB30" s="170" t="s">
        <v>11</v>
      </c>
      <c r="AC30" s="170">
        <v>19.600000000000001</v>
      </c>
      <c r="AD30" s="177"/>
      <c r="AG30" s="178"/>
      <c r="AL30" s="177"/>
      <c r="AO30" s="178"/>
      <c r="AP30" s="177"/>
      <c r="AS30" s="178"/>
      <c r="AW30" s="178"/>
      <c r="BA30" s="179"/>
    </row>
    <row r="31" spans="1:53" s="170" customFormat="1" x14ac:dyDescent="0.15">
      <c r="A31" s="215">
        <v>1971</v>
      </c>
      <c r="B31" s="281"/>
      <c r="C31" s="395" t="s">
        <v>674</v>
      </c>
      <c r="D31" s="395"/>
      <c r="E31" s="170">
        <v>365</v>
      </c>
      <c r="G31" s="232">
        <v>3</v>
      </c>
      <c r="H31" s="170">
        <v>4</v>
      </c>
      <c r="J31" s="240">
        <v>7</v>
      </c>
      <c r="K31" s="213">
        <f t="shared" si="1"/>
        <v>42.857142857142854</v>
      </c>
      <c r="L31" s="213">
        <f t="shared" si="1"/>
        <v>57.142857142857139</v>
      </c>
      <c r="M31" s="213">
        <f t="shared" si="1"/>
        <v>0</v>
      </c>
      <c r="N31" s="234">
        <f t="shared" si="2"/>
        <v>100</v>
      </c>
      <c r="O31" s="212">
        <v>19.600000000000001</v>
      </c>
      <c r="P31" s="213">
        <v>37.5</v>
      </c>
      <c r="Q31" s="213"/>
      <c r="R31" s="214">
        <f t="shared" si="3"/>
        <v>57.1</v>
      </c>
      <c r="S31" s="170">
        <v>2</v>
      </c>
      <c r="T31" s="283"/>
      <c r="U31" s="281"/>
      <c r="V31" s="177" t="s">
        <v>492</v>
      </c>
      <c r="W31" s="170" t="s">
        <v>17</v>
      </c>
      <c r="X31" s="170" t="s">
        <v>323</v>
      </c>
      <c r="Y31" s="178">
        <v>37.5</v>
      </c>
      <c r="Z31" s="170" t="s">
        <v>130</v>
      </c>
      <c r="AA31" s="170" t="s">
        <v>22</v>
      </c>
      <c r="AB31" s="170" t="s">
        <v>11</v>
      </c>
      <c r="AC31" s="170">
        <v>19.600000000000001</v>
      </c>
      <c r="AD31" s="177"/>
      <c r="AG31" s="178"/>
      <c r="AL31" s="177"/>
      <c r="AO31" s="178"/>
      <c r="AP31" s="177"/>
      <c r="AS31" s="178"/>
      <c r="AW31" s="178"/>
      <c r="BA31" s="179"/>
    </row>
    <row r="32" spans="1:53" s="170" customFormat="1" x14ac:dyDescent="0.15">
      <c r="A32" s="215">
        <v>1972</v>
      </c>
      <c r="B32" s="281"/>
      <c r="C32" s="395" t="s">
        <v>674</v>
      </c>
      <c r="D32" s="395"/>
      <c r="E32" s="170">
        <v>0</v>
      </c>
      <c r="G32" s="232">
        <v>3</v>
      </c>
      <c r="H32" s="170">
        <v>4</v>
      </c>
      <c r="J32" s="240">
        <v>7</v>
      </c>
      <c r="K32" s="213">
        <f t="shared" si="1"/>
        <v>42.857142857142854</v>
      </c>
      <c r="L32" s="213">
        <f t="shared" si="1"/>
        <v>57.142857142857139</v>
      </c>
      <c r="M32" s="213">
        <f t="shared" si="1"/>
        <v>0</v>
      </c>
      <c r="N32" s="234">
        <f t="shared" si="2"/>
        <v>100</v>
      </c>
      <c r="O32" s="212">
        <v>19.600000000000001</v>
      </c>
      <c r="P32" s="213">
        <v>37.5</v>
      </c>
      <c r="Q32" s="213"/>
      <c r="R32" s="214">
        <f t="shared" si="3"/>
        <v>57.1</v>
      </c>
      <c r="S32" s="170">
        <v>2</v>
      </c>
      <c r="T32" s="283"/>
      <c r="U32" s="281"/>
      <c r="V32" s="177" t="s">
        <v>492</v>
      </c>
      <c r="W32" s="170" t="s">
        <v>17</v>
      </c>
      <c r="X32" s="170" t="s">
        <v>323</v>
      </c>
      <c r="Y32" s="178">
        <v>37.5</v>
      </c>
      <c r="Z32" s="170" t="s">
        <v>130</v>
      </c>
      <c r="AA32" s="170" t="s">
        <v>22</v>
      </c>
      <c r="AB32" s="170" t="s">
        <v>11</v>
      </c>
      <c r="AC32" s="170">
        <v>19.600000000000001</v>
      </c>
      <c r="AD32" s="177"/>
      <c r="AG32" s="178"/>
      <c r="AL32" s="177"/>
      <c r="AO32" s="178"/>
      <c r="AP32" s="177"/>
      <c r="AS32" s="178"/>
      <c r="AW32" s="178"/>
      <c r="BA32" s="179"/>
    </row>
    <row r="33" spans="1:53" s="170" customFormat="1" x14ac:dyDescent="0.15">
      <c r="A33" s="215">
        <v>1972</v>
      </c>
      <c r="B33" s="281"/>
      <c r="C33" s="395" t="s">
        <v>674</v>
      </c>
      <c r="D33" s="395"/>
      <c r="E33" s="170">
        <v>366</v>
      </c>
      <c r="G33" s="232">
        <v>3</v>
      </c>
      <c r="H33" s="170">
        <v>4</v>
      </c>
      <c r="J33" s="240">
        <v>7</v>
      </c>
      <c r="K33" s="213">
        <f t="shared" si="1"/>
        <v>42.857142857142854</v>
      </c>
      <c r="L33" s="213">
        <f t="shared" si="1"/>
        <v>57.142857142857139</v>
      </c>
      <c r="M33" s="213">
        <f t="shared" si="1"/>
        <v>0</v>
      </c>
      <c r="N33" s="234">
        <f t="shared" si="2"/>
        <v>100</v>
      </c>
      <c r="O33" s="212">
        <v>19.600000000000001</v>
      </c>
      <c r="P33" s="213">
        <v>37.5</v>
      </c>
      <c r="Q33" s="213"/>
      <c r="R33" s="214">
        <f t="shared" si="3"/>
        <v>57.1</v>
      </c>
      <c r="S33" s="170">
        <v>2</v>
      </c>
      <c r="T33" s="283"/>
      <c r="U33" s="281"/>
      <c r="V33" s="177" t="s">
        <v>492</v>
      </c>
      <c r="W33" s="170" t="s">
        <v>17</v>
      </c>
      <c r="X33" s="170" t="s">
        <v>323</v>
      </c>
      <c r="Y33" s="178">
        <v>37.5</v>
      </c>
      <c r="Z33" s="170" t="s">
        <v>130</v>
      </c>
      <c r="AA33" s="170" t="s">
        <v>22</v>
      </c>
      <c r="AB33" s="170" t="s">
        <v>11</v>
      </c>
      <c r="AC33" s="170">
        <v>19.600000000000001</v>
      </c>
      <c r="AD33" s="177"/>
      <c r="AG33" s="178"/>
      <c r="AL33" s="177"/>
      <c r="AO33" s="178"/>
      <c r="AP33" s="177"/>
      <c r="AS33" s="178"/>
      <c r="AW33" s="178"/>
      <c r="BA33" s="179"/>
    </row>
    <row r="34" spans="1:53" s="170" customFormat="1" x14ac:dyDescent="0.15">
      <c r="A34" s="215">
        <v>1973</v>
      </c>
      <c r="B34" s="281"/>
      <c r="C34" s="395" t="s">
        <v>674</v>
      </c>
      <c r="D34" s="395"/>
      <c r="E34" s="170">
        <v>0</v>
      </c>
      <c r="G34" s="232">
        <v>3</v>
      </c>
      <c r="H34" s="170">
        <v>4</v>
      </c>
      <c r="J34" s="240">
        <v>7</v>
      </c>
      <c r="K34" s="213">
        <f t="shared" si="1"/>
        <v>42.857142857142854</v>
      </c>
      <c r="L34" s="213">
        <f t="shared" si="1"/>
        <v>57.142857142857139</v>
      </c>
      <c r="M34" s="213">
        <f t="shared" si="1"/>
        <v>0</v>
      </c>
      <c r="N34" s="234">
        <f t="shared" si="2"/>
        <v>100</v>
      </c>
      <c r="O34" s="212">
        <v>19.600000000000001</v>
      </c>
      <c r="P34" s="213">
        <v>37.5</v>
      </c>
      <c r="Q34" s="213"/>
      <c r="R34" s="214">
        <f t="shared" si="3"/>
        <v>57.1</v>
      </c>
      <c r="S34" s="170">
        <v>2</v>
      </c>
      <c r="T34" s="283"/>
      <c r="U34" s="281"/>
      <c r="V34" s="177" t="s">
        <v>492</v>
      </c>
      <c r="W34" s="170" t="s">
        <v>17</v>
      </c>
      <c r="X34" s="170" t="s">
        <v>323</v>
      </c>
      <c r="Y34" s="178">
        <v>37.5</v>
      </c>
      <c r="Z34" s="170" t="s">
        <v>130</v>
      </c>
      <c r="AA34" s="170" t="s">
        <v>22</v>
      </c>
      <c r="AB34" s="170" t="s">
        <v>11</v>
      </c>
      <c r="AC34" s="170">
        <v>19.600000000000001</v>
      </c>
      <c r="AD34" s="177"/>
      <c r="AG34" s="178"/>
      <c r="AL34" s="177"/>
      <c r="AO34" s="178"/>
      <c r="AP34" s="177"/>
      <c r="AS34" s="178"/>
      <c r="AW34" s="178"/>
      <c r="BA34" s="179"/>
    </row>
    <row r="35" spans="1:53" s="170" customFormat="1" x14ac:dyDescent="0.15">
      <c r="A35" s="215">
        <v>1973</v>
      </c>
      <c r="B35" s="281"/>
      <c r="C35" s="395" t="s">
        <v>674</v>
      </c>
      <c r="D35" s="395"/>
      <c r="E35" s="170">
        <v>365</v>
      </c>
      <c r="G35" s="232">
        <v>3</v>
      </c>
      <c r="H35" s="170">
        <v>4</v>
      </c>
      <c r="J35" s="240">
        <v>7</v>
      </c>
      <c r="K35" s="213">
        <f t="shared" si="1"/>
        <v>42.857142857142854</v>
      </c>
      <c r="L35" s="213">
        <f t="shared" si="1"/>
        <v>57.142857142857139</v>
      </c>
      <c r="M35" s="213">
        <f t="shared" si="1"/>
        <v>0</v>
      </c>
      <c r="N35" s="234">
        <f t="shared" si="2"/>
        <v>100</v>
      </c>
      <c r="O35" s="212">
        <v>19.600000000000001</v>
      </c>
      <c r="P35" s="213">
        <v>37.5</v>
      </c>
      <c r="Q35" s="213"/>
      <c r="R35" s="214">
        <f t="shared" si="3"/>
        <v>57.1</v>
      </c>
      <c r="S35" s="170">
        <v>2</v>
      </c>
      <c r="T35" s="283"/>
      <c r="U35" s="281"/>
      <c r="V35" s="177" t="s">
        <v>492</v>
      </c>
      <c r="W35" s="170" t="s">
        <v>17</v>
      </c>
      <c r="X35" s="170" t="s">
        <v>323</v>
      </c>
      <c r="Y35" s="178">
        <v>37.5</v>
      </c>
      <c r="Z35" s="170" t="s">
        <v>130</v>
      </c>
      <c r="AA35" s="170" t="s">
        <v>22</v>
      </c>
      <c r="AB35" s="170" t="s">
        <v>11</v>
      </c>
      <c r="AC35" s="170">
        <v>19.600000000000001</v>
      </c>
      <c r="AD35" s="177"/>
      <c r="AG35" s="178"/>
      <c r="AL35" s="177"/>
      <c r="AO35" s="178"/>
      <c r="AP35" s="177"/>
      <c r="AS35" s="178"/>
      <c r="AW35" s="178"/>
      <c r="BA35" s="179"/>
    </row>
    <row r="36" spans="1:53" s="170" customFormat="1" x14ac:dyDescent="0.15">
      <c r="A36" s="215">
        <v>1974</v>
      </c>
      <c r="B36" s="281"/>
      <c r="C36" s="395" t="s">
        <v>674</v>
      </c>
      <c r="D36" s="395"/>
      <c r="E36" s="170">
        <v>165</v>
      </c>
      <c r="G36" s="232">
        <v>3</v>
      </c>
      <c r="H36" s="170">
        <v>4</v>
      </c>
      <c r="J36" s="240">
        <v>7</v>
      </c>
      <c r="K36" s="213">
        <f t="shared" si="1"/>
        <v>42.857142857142854</v>
      </c>
      <c r="L36" s="213">
        <f t="shared" si="1"/>
        <v>57.142857142857139</v>
      </c>
      <c r="M36" s="213">
        <f t="shared" si="1"/>
        <v>0</v>
      </c>
      <c r="N36" s="234">
        <f t="shared" si="2"/>
        <v>100</v>
      </c>
      <c r="O36" s="212">
        <v>19.600000000000001</v>
      </c>
      <c r="P36" s="213">
        <v>37.5</v>
      </c>
      <c r="Q36" s="213"/>
      <c r="R36" s="214">
        <f t="shared" si="3"/>
        <v>57.1</v>
      </c>
      <c r="S36" s="170">
        <v>2</v>
      </c>
      <c r="T36" s="283"/>
      <c r="U36" s="281"/>
      <c r="V36" s="177" t="s">
        <v>492</v>
      </c>
      <c r="W36" s="170" t="s">
        <v>17</v>
      </c>
      <c r="X36" s="170" t="s">
        <v>323</v>
      </c>
      <c r="Y36" s="178">
        <v>37.5</v>
      </c>
      <c r="Z36" s="170" t="s">
        <v>130</v>
      </c>
      <c r="AA36" s="170" t="s">
        <v>22</v>
      </c>
      <c r="AB36" s="170" t="s">
        <v>11</v>
      </c>
      <c r="AC36" s="170">
        <v>19.600000000000001</v>
      </c>
      <c r="AD36" s="177"/>
      <c r="AG36" s="178"/>
      <c r="AL36" s="177"/>
      <c r="AO36" s="178"/>
      <c r="AP36" s="177"/>
      <c r="AS36" s="178"/>
      <c r="AW36" s="178"/>
      <c r="BA36" s="179"/>
    </row>
    <row r="37" spans="1:53" s="28" customFormat="1" x14ac:dyDescent="0.15">
      <c r="A37" s="51">
        <v>1974</v>
      </c>
      <c r="B37" s="293">
        <v>27195</v>
      </c>
      <c r="C37" s="394" t="s">
        <v>675</v>
      </c>
      <c r="D37" s="394"/>
      <c r="E37" s="28">
        <f>365-E36</f>
        <v>200</v>
      </c>
      <c r="F37" s="28">
        <v>1</v>
      </c>
      <c r="G37" s="65">
        <v>4</v>
      </c>
      <c r="I37" s="28">
        <v>4</v>
      </c>
      <c r="J37" s="72">
        <v>8</v>
      </c>
      <c r="K37" s="46">
        <f t="shared" si="1"/>
        <v>50</v>
      </c>
      <c r="L37" s="46">
        <f t="shared" si="1"/>
        <v>0</v>
      </c>
      <c r="M37" s="46">
        <f t="shared" si="1"/>
        <v>50</v>
      </c>
      <c r="N37" s="67">
        <f t="shared" si="2"/>
        <v>100</v>
      </c>
      <c r="O37" s="45">
        <v>23.7</v>
      </c>
      <c r="P37" s="46"/>
      <c r="Q37" s="46">
        <v>28.8</v>
      </c>
      <c r="R37" s="47">
        <f t="shared" si="3"/>
        <v>52.5</v>
      </c>
      <c r="S37" s="28">
        <v>2</v>
      </c>
      <c r="T37" s="284">
        <v>27175</v>
      </c>
      <c r="U37" s="293">
        <v>27195</v>
      </c>
      <c r="V37" s="37" t="s">
        <v>130</v>
      </c>
      <c r="W37" s="28" t="s">
        <v>22</v>
      </c>
      <c r="X37" s="28" t="s">
        <v>11</v>
      </c>
      <c r="Y37" s="38">
        <v>23.7</v>
      </c>
      <c r="Z37" s="28" t="s">
        <v>493</v>
      </c>
      <c r="AA37" s="28" t="s">
        <v>20</v>
      </c>
      <c r="AB37" s="28" t="s">
        <v>12</v>
      </c>
      <c r="AC37" s="28">
        <v>28.8</v>
      </c>
      <c r="AD37" s="37"/>
      <c r="AG37" s="38"/>
      <c r="AL37" s="37"/>
      <c r="AO37" s="38"/>
      <c r="AP37" s="37"/>
      <c r="AS37" s="38"/>
      <c r="AW37" s="38"/>
      <c r="BA37" s="39"/>
    </row>
    <row r="38" spans="1:53" s="28" customFormat="1" x14ac:dyDescent="0.15">
      <c r="A38" s="51">
        <v>1975</v>
      </c>
      <c r="B38" s="293"/>
      <c r="C38" s="394" t="s">
        <v>675</v>
      </c>
      <c r="D38" s="394"/>
      <c r="E38" s="28">
        <v>0</v>
      </c>
      <c r="G38" s="65">
        <v>4</v>
      </c>
      <c r="I38" s="28">
        <v>4</v>
      </c>
      <c r="J38" s="72">
        <v>8</v>
      </c>
      <c r="K38" s="46">
        <f t="shared" si="1"/>
        <v>50</v>
      </c>
      <c r="L38" s="46">
        <f t="shared" si="1"/>
        <v>0</v>
      </c>
      <c r="M38" s="46">
        <f t="shared" si="1"/>
        <v>50</v>
      </c>
      <c r="N38" s="67">
        <f t="shared" si="2"/>
        <v>100</v>
      </c>
      <c r="O38" s="45">
        <v>23.7</v>
      </c>
      <c r="P38" s="46"/>
      <c r="Q38" s="46">
        <v>28.8</v>
      </c>
      <c r="R38" s="47">
        <f t="shared" si="3"/>
        <v>52.5</v>
      </c>
      <c r="S38" s="28">
        <v>2</v>
      </c>
      <c r="T38" s="284"/>
      <c r="U38" s="293"/>
      <c r="V38" s="37" t="s">
        <v>130</v>
      </c>
      <c r="W38" s="28" t="s">
        <v>22</v>
      </c>
      <c r="X38" s="28" t="s">
        <v>11</v>
      </c>
      <c r="Y38" s="38">
        <v>23.7</v>
      </c>
      <c r="Z38" s="28" t="s">
        <v>493</v>
      </c>
      <c r="AA38" s="28" t="s">
        <v>20</v>
      </c>
      <c r="AB38" s="28" t="s">
        <v>12</v>
      </c>
      <c r="AC38" s="28">
        <v>28.8</v>
      </c>
      <c r="AD38" s="37"/>
      <c r="AG38" s="38"/>
      <c r="AL38" s="37"/>
      <c r="AO38" s="38"/>
      <c r="AP38" s="37"/>
      <c r="AS38" s="38"/>
      <c r="AW38" s="38"/>
      <c r="BA38" s="39"/>
    </row>
    <row r="39" spans="1:53" s="28" customFormat="1" x14ac:dyDescent="0.15">
      <c r="A39" s="51">
        <v>1975</v>
      </c>
      <c r="B39" s="293"/>
      <c r="C39" s="394" t="s">
        <v>675</v>
      </c>
      <c r="D39" s="394"/>
      <c r="E39" s="28">
        <v>365</v>
      </c>
      <c r="G39" s="65">
        <v>4</v>
      </c>
      <c r="I39" s="28">
        <v>4</v>
      </c>
      <c r="J39" s="72">
        <v>8</v>
      </c>
      <c r="K39" s="46">
        <f t="shared" si="1"/>
        <v>50</v>
      </c>
      <c r="L39" s="46">
        <f t="shared" si="1"/>
        <v>0</v>
      </c>
      <c r="M39" s="46">
        <f t="shared" si="1"/>
        <v>50</v>
      </c>
      <c r="N39" s="67">
        <f t="shared" si="2"/>
        <v>100</v>
      </c>
      <c r="O39" s="45">
        <v>23.7</v>
      </c>
      <c r="P39" s="46"/>
      <c r="Q39" s="46">
        <v>28.8</v>
      </c>
      <c r="R39" s="47">
        <f t="shared" si="3"/>
        <v>52.5</v>
      </c>
      <c r="S39" s="28">
        <v>2</v>
      </c>
      <c r="T39" s="284"/>
      <c r="U39" s="293"/>
      <c r="V39" s="37" t="s">
        <v>130</v>
      </c>
      <c r="W39" s="28" t="s">
        <v>22</v>
      </c>
      <c r="X39" s="28" t="s">
        <v>11</v>
      </c>
      <c r="Y39" s="38">
        <v>23.7</v>
      </c>
      <c r="Z39" s="28" t="s">
        <v>493</v>
      </c>
      <c r="AA39" s="28" t="s">
        <v>20</v>
      </c>
      <c r="AB39" s="28" t="s">
        <v>12</v>
      </c>
      <c r="AC39" s="28">
        <v>28.8</v>
      </c>
      <c r="AD39" s="37"/>
      <c r="AG39" s="38"/>
      <c r="AL39" s="37"/>
      <c r="AO39" s="38"/>
      <c r="AP39" s="37"/>
      <c r="AS39" s="38"/>
      <c r="AW39" s="38"/>
      <c r="BA39" s="39"/>
    </row>
    <row r="40" spans="1:53" s="28" customFormat="1" x14ac:dyDescent="0.15">
      <c r="A40" s="51">
        <v>1976</v>
      </c>
      <c r="B40" s="293"/>
      <c r="C40" s="394" t="s">
        <v>675</v>
      </c>
      <c r="D40" s="394"/>
      <c r="E40" s="28">
        <v>0</v>
      </c>
      <c r="G40" s="65">
        <v>4</v>
      </c>
      <c r="I40" s="28">
        <v>4</v>
      </c>
      <c r="J40" s="72">
        <v>8</v>
      </c>
      <c r="K40" s="46">
        <f t="shared" si="1"/>
        <v>50</v>
      </c>
      <c r="L40" s="46">
        <f t="shared" si="1"/>
        <v>0</v>
      </c>
      <c r="M40" s="46">
        <f t="shared" si="1"/>
        <v>50</v>
      </c>
      <c r="N40" s="67">
        <f t="shared" si="2"/>
        <v>100</v>
      </c>
      <c r="O40" s="45">
        <v>23.7</v>
      </c>
      <c r="P40" s="46"/>
      <c r="Q40" s="46">
        <v>28.8</v>
      </c>
      <c r="R40" s="47">
        <f t="shared" si="3"/>
        <v>52.5</v>
      </c>
      <c r="S40" s="28">
        <v>2</v>
      </c>
      <c r="T40" s="284"/>
      <c r="U40" s="293"/>
      <c r="V40" s="37" t="s">
        <v>130</v>
      </c>
      <c r="W40" s="28" t="s">
        <v>22</v>
      </c>
      <c r="X40" s="28" t="s">
        <v>11</v>
      </c>
      <c r="Y40" s="38">
        <v>23.7</v>
      </c>
      <c r="Z40" s="28" t="s">
        <v>493</v>
      </c>
      <c r="AA40" s="28" t="s">
        <v>20</v>
      </c>
      <c r="AB40" s="28" t="s">
        <v>12</v>
      </c>
      <c r="AC40" s="28">
        <v>28.8</v>
      </c>
      <c r="AD40" s="37"/>
      <c r="AG40" s="38"/>
      <c r="AL40" s="37"/>
      <c r="AO40" s="38"/>
      <c r="AP40" s="37"/>
      <c r="AS40" s="38"/>
      <c r="AW40" s="38"/>
      <c r="BA40" s="39"/>
    </row>
    <row r="41" spans="1:53" s="28" customFormat="1" x14ac:dyDescent="0.15">
      <c r="A41" s="51">
        <v>1976</v>
      </c>
      <c r="B41" s="293"/>
      <c r="C41" s="394" t="s">
        <v>675</v>
      </c>
      <c r="D41" s="394"/>
      <c r="E41" s="28">
        <v>366</v>
      </c>
      <c r="G41" s="65">
        <v>4</v>
      </c>
      <c r="I41" s="28">
        <v>4</v>
      </c>
      <c r="J41" s="72">
        <v>8</v>
      </c>
      <c r="K41" s="46">
        <f t="shared" si="1"/>
        <v>50</v>
      </c>
      <c r="L41" s="46">
        <f t="shared" si="1"/>
        <v>0</v>
      </c>
      <c r="M41" s="46">
        <f t="shared" si="1"/>
        <v>50</v>
      </c>
      <c r="N41" s="67">
        <f t="shared" si="2"/>
        <v>100</v>
      </c>
      <c r="O41" s="45">
        <v>23.7</v>
      </c>
      <c r="P41" s="46"/>
      <c r="Q41" s="46">
        <v>28.8</v>
      </c>
      <c r="R41" s="47">
        <f t="shared" si="3"/>
        <v>52.5</v>
      </c>
      <c r="S41" s="28">
        <v>2</v>
      </c>
      <c r="T41" s="284"/>
      <c r="U41" s="293"/>
      <c r="V41" s="37" t="s">
        <v>130</v>
      </c>
      <c r="W41" s="28" t="s">
        <v>22</v>
      </c>
      <c r="X41" s="28" t="s">
        <v>11</v>
      </c>
      <c r="Y41" s="38">
        <v>23.7</v>
      </c>
      <c r="Z41" s="28" t="s">
        <v>493</v>
      </c>
      <c r="AA41" s="28" t="s">
        <v>20</v>
      </c>
      <c r="AB41" s="28" t="s">
        <v>12</v>
      </c>
      <c r="AC41" s="28">
        <v>28.8</v>
      </c>
      <c r="AD41" s="37"/>
      <c r="AG41" s="38"/>
      <c r="AL41" s="37"/>
      <c r="AO41" s="38"/>
      <c r="AP41" s="37"/>
      <c r="AS41" s="38"/>
      <c r="AW41" s="38"/>
      <c r="BA41" s="39"/>
    </row>
    <row r="42" spans="1:53" s="28" customFormat="1" x14ac:dyDescent="0.15">
      <c r="A42" s="51">
        <v>1977</v>
      </c>
      <c r="B42" s="293"/>
      <c r="C42" s="394" t="s">
        <v>675</v>
      </c>
      <c r="D42" s="394"/>
      <c r="E42" s="28">
        <v>0</v>
      </c>
      <c r="G42" s="65">
        <v>4</v>
      </c>
      <c r="I42" s="28">
        <v>4</v>
      </c>
      <c r="J42" s="72">
        <v>8</v>
      </c>
      <c r="K42" s="46">
        <f t="shared" si="1"/>
        <v>50</v>
      </c>
      <c r="L42" s="46">
        <f t="shared" si="1"/>
        <v>0</v>
      </c>
      <c r="M42" s="46">
        <f t="shared" si="1"/>
        <v>50</v>
      </c>
      <c r="N42" s="67">
        <f t="shared" si="2"/>
        <v>100</v>
      </c>
      <c r="O42" s="45">
        <v>23.7</v>
      </c>
      <c r="P42" s="46"/>
      <c r="Q42" s="46">
        <v>28.8</v>
      </c>
      <c r="R42" s="47">
        <f t="shared" si="3"/>
        <v>52.5</v>
      </c>
      <c r="S42" s="28">
        <v>2</v>
      </c>
      <c r="T42" s="284"/>
      <c r="U42" s="293"/>
      <c r="V42" s="37" t="s">
        <v>130</v>
      </c>
      <c r="W42" s="28" t="s">
        <v>22</v>
      </c>
      <c r="X42" s="28" t="s">
        <v>11</v>
      </c>
      <c r="Y42" s="38">
        <v>23.7</v>
      </c>
      <c r="Z42" s="28" t="s">
        <v>493</v>
      </c>
      <c r="AA42" s="28" t="s">
        <v>20</v>
      </c>
      <c r="AB42" s="28" t="s">
        <v>12</v>
      </c>
      <c r="AC42" s="28">
        <v>28.8</v>
      </c>
      <c r="AD42" s="37"/>
      <c r="AG42" s="38"/>
      <c r="AL42" s="37"/>
      <c r="AO42" s="38"/>
      <c r="AP42" s="37"/>
      <c r="AS42" s="38"/>
      <c r="AW42" s="38"/>
      <c r="BA42" s="39"/>
    </row>
    <row r="43" spans="1:53" s="28" customFormat="1" x14ac:dyDescent="0.15">
      <c r="A43" s="51">
        <v>1977</v>
      </c>
      <c r="B43" s="293"/>
      <c r="C43" s="394" t="s">
        <v>675</v>
      </c>
      <c r="D43" s="394"/>
      <c r="E43" s="28">
        <v>365</v>
      </c>
      <c r="G43" s="65">
        <v>4</v>
      </c>
      <c r="I43" s="28">
        <v>4</v>
      </c>
      <c r="J43" s="72">
        <v>8</v>
      </c>
      <c r="K43" s="46">
        <f t="shared" si="1"/>
        <v>50</v>
      </c>
      <c r="L43" s="46">
        <f t="shared" si="1"/>
        <v>0</v>
      </c>
      <c r="M43" s="46">
        <f t="shared" si="1"/>
        <v>50</v>
      </c>
      <c r="N43" s="67">
        <f t="shared" si="2"/>
        <v>100</v>
      </c>
      <c r="O43" s="45">
        <v>23.7</v>
      </c>
      <c r="P43" s="46"/>
      <c r="Q43" s="46">
        <v>28.8</v>
      </c>
      <c r="R43" s="47">
        <f t="shared" si="3"/>
        <v>52.5</v>
      </c>
      <c r="S43" s="28">
        <v>2</v>
      </c>
      <c r="T43" s="284"/>
      <c r="U43" s="293"/>
      <c r="V43" s="37" t="s">
        <v>130</v>
      </c>
      <c r="W43" s="28" t="s">
        <v>22</v>
      </c>
      <c r="X43" s="28" t="s">
        <v>11</v>
      </c>
      <c r="Y43" s="38">
        <v>23.7</v>
      </c>
      <c r="Z43" s="28" t="s">
        <v>493</v>
      </c>
      <c r="AA43" s="28" t="s">
        <v>20</v>
      </c>
      <c r="AB43" s="28" t="s">
        <v>12</v>
      </c>
      <c r="AC43" s="28">
        <v>28.8</v>
      </c>
      <c r="AD43" s="37"/>
      <c r="AG43" s="38"/>
      <c r="AL43" s="37"/>
      <c r="AO43" s="38"/>
      <c r="AP43" s="37"/>
      <c r="AS43" s="38"/>
      <c r="AW43" s="38"/>
      <c r="BA43" s="39"/>
    </row>
    <row r="44" spans="1:53" s="28" customFormat="1" x14ac:dyDescent="0.15">
      <c r="A44" s="51">
        <v>1978</v>
      </c>
      <c r="B44" s="293"/>
      <c r="C44" s="394" t="s">
        <v>675</v>
      </c>
      <c r="D44" s="394"/>
      <c r="E44" s="28">
        <v>0</v>
      </c>
      <c r="G44" s="65">
        <v>4</v>
      </c>
      <c r="I44" s="28">
        <v>4</v>
      </c>
      <c r="J44" s="72">
        <v>8</v>
      </c>
      <c r="K44" s="46">
        <f t="shared" si="1"/>
        <v>50</v>
      </c>
      <c r="L44" s="46">
        <f t="shared" si="1"/>
        <v>0</v>
      </c>
      <c r="M44" s="46">
        <f t="shared" si="1"/>
        <v>50</v>
      </c>
      <c r="N44" s="67">
        <f t="shared" si="2"/>
        <v>100</v>
      </c>
      <c r="O44" s="45">
        <v>23.7</v>
      </c>
      <c r="P44" s="46"/>
      <c r="Q44" s="46">
        <v>28.8</v>
      </c>
      <c r="R44" s="47">
        <f t="shared" si="3"/>
        <v>52.5</v>
      </c>
      <c r="S44" s="28">
        <v>2</v>
      </c>
      <c r="T44" s="284"/>
      <c r="U44" s="293"/>
      <c r="V44" s="37" t="s">
        <v>130</v>
      </c>
      <c r="W44" s="28" t="s">
        <v>22</v>
      </c>
      <c r="X44" s="28" t="s">
        <v>11</v>
      </c>
      <c r="Y44" s="38">
        <v>23.7</v>
      </c>
      <c r="Z44" s="28" t="s">
        <v>493</v>
      </c>
      <c r="AA44" s="28" t="s">
        <v>20</v>
      </c>
      <c r="AB44" s="28" t="s">
        <v>12</v>
      </c>
      <c r="AC44" s="28">
        <v>28.8</v>
      </c>
      <c r="AD44" s="37"/>
      <c r="AG44" s="38"/>
      <c r="AL44" s="37"/>
      <c r="AO44" s="38"/>
      <c r="AP44" s="37"/>
      <c r="AS44" s="38"/>
      <c r="AW44" s="38"/>
      <c r="BA44" s="39"/>
    </row>
    <row r="45" spans="1:53" s="28" customFormat="1" x14ac:dyDescent="0.15">
      <c r="A45" s="51">
        <v>1978</v>
      </c>
      <c r="B45" s="293"/>
      <c r="C45" s="394" t="s">
        <v>675</v>
      </c>
      <c r="D45" s="394"/>
      <c r="E45" s="28">
        <v>365</v>
      </c>
      <c r="G45" s="65">
        <v>4</v>
      </c>
      <c r="I45" s="28">
        <v>4</v>
      </c>
      <c r="J45" s="72">
        <v>8</v>
      </c>
      <c r="K45" s="46">
        <f t="shared" si="1"/>
        <v>50</v>
      </c>
      <c r="L45" s="46">
        <f t="shared" si="1"/>
        <v>0</v>
      </c>
      <c r="M45" s="46">
        <f t="shared" si="1"/>
        <v>50</v>
      </c>
      <c r="N45" s="67">
        <f t="shared" si="2"/>
        <v>100</v>
      </c>
      <c r="O45" s="45">
        <v>23.7</v>
      </c>
      <c r="P45" s="46"/>
      <c r="Q45" s="46">
        <v>28.8</v>
      </c>
      <c r="R45" s="47">
        <f t="shared" si="3"/>
        <v>52.5</v>
      </c>
      <c r="S45" s="28">
        <v>2</v>
      </c>
      <c r="T45" s="284"/>
      <c r="U45" s="293"/>
      <c r="V45" s="37" t="s">
        <v>130</v>
      </c>
      <c r="W45" s="28" t="s">
        <v>22</v>
      </c>
      <c r="X45" s="28" t="s">
        <v>11</v>
      </c>
      <c r="Y45" s="38">
        <v>23.7</v>
      </c>
      <c r="Z45" s="28" t="s">
        <v>493</v>
      </c>
      <c r="AA45" s="28" t="s">
        <v>20</v>
      </c>
      <c r="AB45" s="28" t="s">
        <v>12</v>
      </c>
      <c r="AC45" s="28">
        <v>28.8</v>
      </c>
      <c r="AD45" s="37"/>
      <c r="AG45" s="38"/>
      <c r="AL45" s="37"/>
      <c r="AO45" s="38"/>
      <c r="AP45" s="37"/>
      <c r="AS45" s="38"/>
      <c r="AW45" s="38"/>
      <c r="BA45" s="39"/>
    </row>
    <row r="46" spans="1:53" s="28" customFormat="1" ht="8.25" customHeight="1" x14ac:dyDescent="0.15">
      <c r="A46" s="51">
        <v>1979</v>
      </c>
      <c r="B46" s="293"/>
      <c r="C46" s="394" t="s">
        <v>675</v>
      </c>
      <c r="D46" s="394"/>
      <c r="E46" s="28">
        <v>195</v>
      </c>
      <c r="G46" s="65">
        <v>4</v>
      </c>
      <c r="I46" s="28">
        <v>4</v>
      </c>
      <c r="J46" s="72">
        <v>8</v>
      </c>
      <c r="K46" s="46">
        <f t="shared" si="1"/>
        <v>50</v>
      </c>
      <c r="L46" s="46">
        <f t="shared" si="1"/>
        <v>0</v>
      </c>
      <c r="M46" s="46">
        <f t="shared" si="1"/>
        <v>50</v>
      </c>
      <c r="N46" s="67">
        <f t="shared" si="2"/>
        <v>100</v>
      </c>
      <c r="O46" s="45">
        <v>23.7</v>
      </c>
      <c r="P46" s="46"/>
      <c r="Q46" s="46">
        <v>28.8</v>
      </c>
      <c r="R46" s="47">
        <f t="shared" si="3"/>
        <v>52.5</v>
      </c>
      <c r="S46" s="28">
        <v>2</v>
      </c>
      <c r="T46" s="284"/>
      <c r="U46" s="293"/>
      <c r="V46" s="37" t="s">
        <v>130</v>
      </c>
      <c r="W46" s="28" t="s">
        <v>22</v>
      </c>
      <c r="X46" s="28" t="s">
        <v>11</v>
      </c>
      <c r="Y46" s="38">
        <v>23.7</v>
      </c>
      <c r="Z46" s="28" t="s">
        <v>493</v>
      </c>
      <c r="AA46" s="28" t="s">
        <v>20</v>
      </c>
      <c r="AB46" s="28" t="s">
        <v>12</v>
      </c>
      <c r="AC46" s="28">
        <v>28.8</v>
      </c>
      <c r="AD46" s="37"/>
      <c r="AG46" s="38"/>
      <c r="AL46" s="37"/>
      <c r="AO46" s="38"/>
      <c r="AP46" s="37"/>
      <c r="AS46" s="38"/>
      <c r="AW46" s="38"/>
      <c r="BA46" s="39"/>
    </row>
    <row r="47" spans="1:53" s="170" customFormat="1" x14ac:dyDescent="0.15">
      <c r="A47" s="215">
        <v>1979</v>
      </c>
      <c r="B47" s="281">
        <v>29051</v>
      </c>
      <c r="C47" s="395" t="s">
        <v>676</v>
      </c>
      <c r="D47" s="395"/>
      <c r="E47" s="170">
        <f>365-E46</f>
        <v>170</v>
      </c>
      <c r="F47" s="170">
        <v>1</v>
      </c>
      <c r="G47" s="232">
        <v>5</v>
      </c>
      <c r="H47" s="170">
        <v>4</v>
      </c>
      <c r="J47" s="240">
        <v>9</v>
      </c>
      <c r="K47" s="213">
        <f t="shared" si="1"/>
        <v>55.555555555555557</v>
      </c>
      <c r="L47" s="213">
        <f t="shared" si="1"/>
        <v>44.444444444444443</v>
      </c>
      <c r="M47" s="213">
        <f t="shared" si="1"/>
        <v>0</v>
      </c>
      <c r="N47" s="234">
        <f t="shared" si="2"/>
        <v>100</v>
      </c>
      <c r="O47" s="212">
        <v>25.4</v>
      </c>
      <c r="P47" s="213">
        <v>40.700000000000003</v>
      </c>
      <c r="Q47" s="213"/>
      <c r="R47" s="214">
        <f t="shared" si="3"/>
        <v>66.099999999999994</v>
      </c>
      <c r="S47" s="170">
        <v>2</v>
      </c>
      <c r="T47" s="283">
        <v>29016</v>
      </c>
      <c r="U47" s="281">
        <v>29051</v>
      </c>
      <c r="V47" s="177" t="s">
        <v>492</v>
      </c>
      <c r="W47" s="170" t="s">
        <v>17</v>
      </c>
      <c r="X47" s="170" t="s">
        <v>323</v>
      </c>
      <c r="Y47" s="178">
        <v>40.700000000000003</v>
      </c>
      <c r="Z47" s="170" t="s">
        <v>130</v>
      </c>
      <c r="AA47" s="170" t="s">
        <v>22</v>
      </c>
      <c r="AB47" s="170" t="s">
        <v>11</v>
      </c>
      <c r="AC47" s="170">
        <v>25.4</v>
      </c>
      <c r="AD47" s="177"/>
      <c r="AG47" s="178"/>
      <c r="AL47" s="177"/>
      <c r="AO47" s="178"/>
      <c r="AP47" s="177"/>
      <c r="AS47" s="178"/>
      <c r="AW47" s="178"/>
      <c r="BA47" s="179"/>
    </row>
    <row r="48" spans="1:53" s="170" customFormat="1" x14ac:dyDescent="0.15">
      <c r="A48" s="215">
        <v>1980</v>
      </c>
      <c r="B48" s="281"/>
      <c r="C48" s="395" t="s">
        <v>676</v>
      </c>
      <c r="D48" s="395"/>
      <c r="E48" s="170">
        <v>0</v>
      </c>
      <c r="G48" s="232">
        <v>5</v>
      </c>
      <c r="H48" s="170">
        <v>4</v>
      </c>
      <c r="J48" s="240">
        <v>9</v>
      </c>
      <c r="K48" s="213">
        <f t="shared" si="1"/>
        <v>55.555555555555557</v>
      </c>
      <c r="L48" s="213">
        <f t="shared" si="1"/>
        <v>44.444444444444443</v>
      </c>
      <c r="M48" s="213">
        <f t="shared" si="1"/>
        <v>0</v>
      </c>
      <c r="N48" s="234">
        <f t="shared" si="2"/>
        <v>100</v>
      </c>
      <c r="O48" s="212">
        <v>25.4</v>
      </c>
      <c r="P48" s="213">
        <v>40.700000000000003</v>
      </c>
      <c r="Q48" s="213"/>
      <c r="R48" s="214">
        <f t="shared" si="3"/>
        <v>66.099999999999994</v>
      </c>
      <c r="S48" s="170">
        <v>2</v>
      </c>
      <c r="T48" s="283"/>
      <c r="U48" s="281"/>
      <c r="V48" s="177" t="s">
        <v>492</v>
      </c>
      <c r="W48" s="170" t="s">
        <v>17</v>
      </c>
      <c r="X48" s="170" t="s">
        <v>323</v>
      </c>
      <c r="Y48" s="178">
        <v>40.700000000000003</v>
      </c>
      <c r="Z48" s="170" t="s">
        <v>130</v>
      </c>
      <c r="AA48" s="170" t="s">
        <v>22</v>
      </c>
      <c r="AB48" s="170" t="s">
        <v>11</v>
      </c>
      <c r="AC48" s="170">
        <v>25.4</v>
      </c>
      <c r="AD48" s="177"/>
      <c r="AG48" s="178"/>
      <c r="AL48" s="177"/>
      <c r="AO48" s="178"/>
      <c r="AP48" s="177"/>
      <c r="AS48" s="178"/>
      <c r="AW48" s="178"/>
      <c r="BA48" s="179"/>
    </row>
    <row r="49" spans="1:53" s="170" customFormat="1" x14ac:dyDescent="0.15">
      <c r="A49" s="215">
        <v>1980</v>
      </c>
      <c r="B49" s="281"/>
      <c r="C49" s="395" t="s">
        <v>676</v>
      </c>
      <c r="D49" s="395"/>
      <c r="E49" s="170">
        <v>366</v>
      </c>
      <c r="G49" s="232">
        <v>5</v>
      </c>
      <c r="H49" s="170">
        <v>4</v>
      </c>
      <c r="J49" s="240">
        <v>9</v>
      </c>
      <c r="K49" s="213">
        <f t="shared" si="1"/>
        <v>55.555555555555557</v>
      </c>
      <c r="L49" s="213">
        <f t="shared" si="1"/>
        <v>44.444444444444443</v>
      </c>
      <c r="M49" s="213">
        <f t="shared" si="1"/>
        <v>0</v>
      </c>
      <c r="N49" s="234">
        <f t="shared" si="2"/>
        <v>100</v>
      </c>
      <c r="O49" s="212">
        <v>25.4</v>
      </c>
      <c r="P49" s="213">
        <v>40.700000000000003</v>
      </c>
      <c r="Q49" s="213"/>
      <c r="R49" s="214">
        <f t="shared" si="3"/>
        <v>66.099999999999994</v>
      </c>
      <c r="S49" s="170">
        <v>2</v>
      </c>
      <c r="T49" s="283"/>
      <c r="U49" s="281"/>
      <c r="V49" s="177" t="s">
        <v>492</v>
      </c>
      <c r="W49" s="170" t="s">
        <v>17</v>
      </c>
      <c r="X49" s="170" t="s">
        <v>323</v>
      </c>
      <c r="Y49" s="178">
        <v>40.700000000000003</v>
      </c>
      <c r="Z49" s="170" t="s">
        <v>130</v>
      </c>
      <c r="AA49" s="170" t="s">
        <v>22</v>
      </c>
      <c r="AB49" s="170" t="s">
        <v>11</v>
      </c>
      <c r="AC49" s="170">
        <v>25.4</v>
      </c>
      <c r="AD49" s="177"/>
      <c r="AG49" s="178"/>
      <c r="AL49" s="177"/>
      <c r="AO49" s="178"/>
      <c r="AP49" s="177"/>
      <c r="AS49" s="178"/>
      <c r="AW49" s="178"/>
      <c r="BA49" s="179"/>
    </row>
    <row r="50" spans="1:53" s="170" customFormat="1" x14ac:dyDescent="0.15">
      <c r="A50" s="215">
        <v>1981</v>
      </c>
      <c r="B50" s="281"/>
      <c r="C50" s="395" t="s">
        <v>676</v>
      </c>
      <c r="D50" s="395"/>
      <c r="E50" s="170">
        <v>0</v>
      </c>
      <c r="G50" s="232">
        <v>5</v>
      </c>
      <c r="H50" s="170">
        <v>4</v>
      </c>
      <c r="J50" s="240">
        <v>9</v>
      </c>
      <c r="K50" s="213">
        <f t="shared" si="1"/>
        <v>55.555555555555557</v>
      </c>
      <c r="L50" s="213">
        <f t="shared" si="1"/>
        <v>44.444444444444443</v>
      </c>
      <c r="M50" s="213">
        <f t="shared" si="1"/>
        <v>0</v>
      </c>
      <c r="N50" s="234">
        <f t="shared" si="2"/>
        <v>100</v>
      </c>
      <c r="O50" s="212">
        <v>25.4</v>
      </c>
      <c r="P50" s="213">
        <v>40.700000000000003</v>
      </c>
      <c r="Q50" s="213"/>
      <c r="R50" s="214">
        <f t="shared" si="3"/>
        <v>66.099999999999994</v>
      </c>
      <c r="S50" s="170">
        <v>2</v>
      </c>
      <c r="T50" s="283"/>
      <c r="U50" s="281"/>
      <c r="V50" s="177" t="s">
        <v>492</v>
      </c>
      <c r="W50" s="170" t="s">
        <v>17</v>
      </c>
      <c r="X50" s="170" t="s">
        <v>323</v>
      </c>
      <c r="Y50" s="178">
        <v>40.700000000000003</v>
      </c>
      <c r="Z50" s="170" t="s">
        <v>130</v>
      </c>
      <c r="AA50" s="170" t="s">
        <v>22</v>
      </c>
      <c r="AB50" s="170" t="s">
        <v>11</v>
      </c>
      <c r="AC50" s="170">
        <v>25.4</v>
      </c>
      <c r="AD50" s="177"/>
      <c r="AG50" s="178"/>
      <c r="AL50" s="177"/>
      <c r="AO50" s="178"/>
      <c r="AP50" s="177"/>
      <c r="AS50" s="178"/>
      <c r="AW50" s="178"/>
      <c r="BA50" s="179"/>
    </row>
    <row r="51" spans="1:53" s="170" customFormat="1" x14ac:dyDescent="0.15">
      <c r="A51" s="215">
        <v>1981</v>
      </c>
      <c r="B51" s="281"/>
      <c r="C51" s="395" t="s">
        <v>676</v>
      </c>
      <c r="D51" s="395"/>
      <c r="E51" s="170">
        <v>365</v>
      </c>
      <c r="G51" s="232">
        <v>5</v>
      </c>
      <c r="H51" s="170">
        <v>4</v>
      </c>
      <c r="J51" s="240">
        <v>9</v>
      </c>
      <c r="K51" s="213">
        <f t="shared" si="1"/>
        <v>55.555555555555557</v>
      </c>
      <c r="L51" s="213">
        <f t="shared" si="1"/>
        <v>44.444444444444443</v>
      </c>
      <c r="M51" s="213">
        <f t="shared" si="1"/>
        <v>0</v>
      </c>
      <c r="N51" s="234">
        <f t="shared" si="2"/>
        <v>100</v>
      </c>
      <c r="O51" s="212">
        <v>25.4</v>
      </c>
      <c r="P51" s="213">
        <v>40.700000000000003</v>
      </c>
      <c r="Q51" s="213"/>
      <c r="R51" s="214">
        <f t="shared" si="3"/>
        <v>66.099999999999994</v>
      </c>
      <c r="S51" s="170">
        <v>2</v>
      </c>
      <c r="T51" s="283"/>
      <c r="U51" s="281"/>
      <c r="V51" s="177" t="s">
        <v>492</v>
      </c>
      <c r="W51" s="170" t="s">
        <v>17</v>
      </c>
      <c r="X51" s="170" t="s">
        <v>323</v>
      </c>
      <c r="Y51" s="178">
        <v>40.700000000000003</v>
      </c>
      <c r="Z51" s="170" t="s">
        <v>130</v>
      </c>
      <c r="AA51" s="170" t="s">
        <v>22</v>
      </c>
      <c r="AB51" s="170" t="s">
        <v>11</v>
      </c>
      <c r="AC51" s="170">
        <v>25.4</v>
      </c>
      <c r="AD51" s="177"/>
      <c r="AG51" s="178"/>
      <c r="AL51" s="177"/>
      <c r="AO51" s="178"/>
      <c r="AP51" s="177"/>
      <c r="AS51" s="178"/>
      <c r="AW51" s="178"/>
      <c r="BA51" s="179"/>
    </row>
    <row r="52" spans="1:53" s="170" customFormat="1" x14ac:dyDescent="0.15">
      <c r="A52" s="215">
        <v>1982</v>
      </c>
      <c r="B52" s="281"/>
      <c r="C52" s="395" t="s">
        <v>676</v>
      </c>
      <c r="D52" s="395"/>
      <c r="E52" s="170">
        <v>0</v>
      </c>
      <c r="G52" s="232">
        <v>5</v>
      </c>
      <c r="H52" s="170">
        <v>4</v>
      </c>
      <c r="J52" s="240">
        <v>9</v>
      </c>
      <c r="K52" s="213">
        <f t="shared" si="1"/>
        <v>55.555555555555557</v>
      </c>
      <c r="L52" s="213">
        <f t="shared" si="1"/>
        <v>44.444444444444443</v>
      </c>
      <c r="M52" s="213">
        <f t="shared" si="1"/>
        <v>0</v>
      </c>
      <c r="N52" s="234">
        <f t="shared" si="2"/>
        <v>100</v>
      </c>
      <c r="O52" s="212">
        <v>25.4</v>
      </c>
      <c r="P52" s="213">
        <v>40.700000000000003</v>
      </c>
      <c r="Q52" s="213"/>
      <c r="R52" s="214">
        <f t="shared" si="3"/>
        <v>66.099999999999994</v>
      </c>
      <c r="S52" s="170">
        <v>2</v>
      </c>
      <c r="T52" s="283"/>
      <c r="U52" s="281"/>
      <c r="V52" s="177" t="s">
        <v>492</v>
      </c>
      <c r="W52" s="170" t="s">
        <v>17</v>
      </c>
      <c r="X52" s="170" t="s">
        <v>323</v>
      </c>
      <c r="Y52" s="178">
        <v>40.700000000000003</v>
      </c>
      <c r="Z52" s="170" t="s">
        <v>130</v>
      </c>
      <c r="AA52" s="170" t="s">
        <v>22</v>
      </c>
      <c r="AB52" s="170" t="s">
        <v>11</v>
      </c>
      <c r="AC52" s="170">
        <v>25.4</v>
      </c>
      <c r="AD52" s="177"/>
      <c r="AG52" s="178"/>
      <c r="AL52" s="177"/>
      <c r="AO52" s="178"/>
      <c r="AP52" s="177"/>
      <c r="AS52" s="178"/>
      <c r="AW52" s="178"/>
      <c r="BA52" s="179"/>
    </row>
    <row r="53" spans="1:53" s="170" customFormat="1" x14ac:dyDescent="0.15">
      <c r="A53" s="215">
        <v>1982</v>
      </c>
      <c r="B53" s="281"/>
      <c r="C53" s="395" t="s">
        <v>676</v>
      </c>
      <c r="D53" s="395"/>
      <c r="E53" s="170">
        <v>365</v>
      </c>
      <c r="G53" s="232">
        <v>5</v>
      </c>
      <c r="H53" s="170">
        <v>4</v>
      </c>
      <c r="J53" s="240">
        <v>9</v>
      </c>
      <c r="K53" s="213">
        <f t="shared" si="1"/>
        <v>55.555555555555557</v>
      </c>
      <c r="L53" s="213">
        <f t="shared" si="1"/>
        <v>44.444444444444443</v>
      </c>
      <c r="M53" s="213">
        <f t="shared" si="1"/>
        <v>0</v>
      </c>
      <c r="N53" s="234">
        <f t="shared" si="2"/>
        <v>100</v>
      </c>
      <c r="O53" s="212">
        <v>25.4</v>
      </c>
      <c r="P53" s="213">
        <v>40.700000000000003</v>
      </c>
      <c r="Q53" s="213"/>
      <c r="R53" s="214">
        <f t="shared" si="3"/>
        <v>66.099999999999994</v>
      </c>
      <c r="S53" s="170">
        <v>2</v>
      </c>
      <c r="T53" s="283"/>
      <c r="U53" s="281"/>
      <c r="V53" s="177" t="s">
        <v>492</v>
      </c>
      <c r="W53" s="170" t="s">
        <v>17</v>
      </c>
      <c r="X53" s="170" t="s">
        <v>323</v>
      </c>
      <c r="Y53" s="178">
        <v>40.700000000000003</v>
      </c>
      <c r="Z53" s="170" t="s">
        <v>130</v>
      </c>
      <c r="AA53" s="170" t="s">
        <v>22</v>
      </c>
      <c r="AB53" s="170" t="s">
        <v>11</v>
      </c>
      <c r="AC53" s="170">
        <v>25.4</v>
      </c>
      <c r="AD53" s="177"/>
      <c r="AG53" s="178"/>
      <c r="AL53" s="177"/>
      <c r="AO53" s="178"/>
      <c r="AP53" s="177"/>
      <c r="AS53" s="178"/>
      <c r="AW53" s="178"/>
      <c r="BA53" s="179"/>
    </row>
    <row r="54" spans="1:53" s="170" customFormat="1" x14ac:dyDescent="0.15">
      <c r="A54" s="215">
        <v>1983</v>
      </c>
      <c r="B54" s="281"/>
      <c r="C54" s="395" t="s">
        <v>676</v>
      </c>
      <c r="D54" s="395"/>
      <c r="E54" s="170">
        <v>0</v>
      </c>
      <c r="G54" s="232">
        <v>5</v>
      </c>
      <c r="H54" s="170">
        <v>4</v>
      </c>
      <c r="J54" s="240">
        <v>9</v>
      </c>
      <c r="K54" s="213">
        <f t="shared" si="1"/>
        <v>55.555555555555557</v>
      </c>
      <c r="L54" s="213">
        <f t="shared" si="1"/>
        <v>44.444444444444443</v>
      </c>
      <c r="M54" s="213">
        <f t="shared" si="1"/>
        <v>0</v>
      </c>
      <c r="N54" s="234">
        <f t="shared" si="2"/>
        <v>100</v>
      </c>
      <c r="O54" s="212">
        <v>25.4</v>
      </c>
      <c r="P54" s="213">
        <v>40.700000000000003</v>
      </c>
      <c r="Q54" s="213"/>
      <c r="R54" s="214">
        <f t="shared" si="3"/>
        <v>66.099999999999994</v>
      </c>
      <c r="S54" s="170">
        <v>2</v>
      </c>
      <c r="T54" s="283"/>
      <c r="U54" s="281"/>
      <c r="V54" s="177" t="s">
        <v>492</v>
      </c>
      <c r="W54" s="170" t="s">
        <v>17</v>
      </c>
      <c r="X54" s="170" t="s">
        <v>323</v>
      </c>
      <c r="Y54" s="178">
        <v>40.700000000000003</v>
      </c>
      <c r="Z54" s="170" t="s">
        <v>130</v>
      </c>
      <c r="AA54" s="170" t="s">
        <v>22</v>
      </c>
      <c r="AB54" s="170" t="s">
        <v>11</v>
      </c>
      <c r="AC54" s="170">
        <v>25.4</v>
      </c>
      <c r="AD54" s="177"/>
      <c r="AG54" s="178"/>
      <c r="AL54" s="177"/>
      <c r="AO54" s="178"/>
      <c r="AP54" s="177"/>
      <c r="AS54" s="178"/>
      <c r="AW54" s="178"/>
      <c r="BA54" s="179"/>
    </row>
    <row r="55" spans="1:53" s="170" customFormat="1" x14ac:dyDescent="0.15">
      <c r="A55" s="215">
        <v>1983</v>
      </c>
      <c r="B55" s="281"/>
      <c r="C55" s="395" t="s">
        <v>676</v>
      </c>
      <c r="D55" s="395"/>
      <c r="E55" s="170">
        <v>365</v>
      </c>
      <c r="G55" s="232">
        <v>5</v>
      </c>
      <c r="H55" s="170">
        <v>4</v>
      </c>
      <c r="J55" s="240">
        <v>9</v>
      </c>
      <c r="K55" s="213">
        <f t="shared" si="1"/>
        <v>55.555555555555557</v>
      </c>
      <c r="L55" s="213">
        <f t="shared" si="1"/>
        <v>44.444444444444443</v>
      </c>
      <c r="M55" s="213">
        <f t="shared" si="1"/>
        <v>0</v>
      </c>
      <c r="N55" s="234">
        <f t="shared" si="2"/>
        <v>100</v>
      </c>
      <c r="O55" s="212">
        <v>25.4</v>
      </c>
      <c r="P55" s="213">
        <v>40.700000000000003</v>
      </c>
      <c r="Q55" s="213"/>
      <c r="R55" s="214">
        <f t="shared" si="3"/>
        <v>66.099999999999994</v>
      </c>
      <c r="S55" s="170">
        <v>2</v>
      </c>
      <c r="T55" s="283"/>
      <c r="U55" s="281"/>
      <c r="V55" s="177" t="s">
        <v>492</v>
      </c>
      <c r="W55" s="170" t="s">
        <v>17</v>
      </c>
      <c r="X55" s="170" t="s">
        <v>323</v>
      </c>
      <c r="Y55" s="178">
        <v>40.700000000000003</v>
      </c>
      <c r="Z55" s="170" t="s">
        <v>130</v>
      </c>
      <c r="AA55" s="170" t="s">
        <v>22</v>
      </c>
      <c r="AB55" s="170" t="s">
        <v>11</v>
      </c>
      <c r="AC55" s="170">
        <v>25.4</v>
      </c>
      <c r="AD55" s="177"/>
      <c r="AG55" s="178"/>
      <c r="AL55" s="177"/>
      <c r="AO55" s="178"/>
      <c r="AP55" s="177"/>
      <c r="AS55" s="178"/>
      <c r="AW55" s="178"/>
      <c r="BA55" s="179"/>
    </row>
    <row r="56" spans="1:53" s="170" customFormat="1" x14ac:dyDescent="0.15">
      <c r="A56" s="215">
        <v>1984</v>
      </c>
      <c r="B56" s="281"/>
      <c r="C56" s="395" t="s">
        <v>676</v>
      </c>
      <c r="D56" s="395"/>
      <c r="E56" s="170">
        <v>201</v>
      </c>
      <c r="G56" s="232">
        <v>5</v>
      </c>
      <c r="H56" s="170">
        <v>4</v>
      </c>
      <c r="J56" s="240">
        <v>9</v>
      </c>
      <c r="K56" s="213">
        <f t="shared" si="1"/>
        <v>55.555555555555557</v>
      </c>
      <c r="L56" s="213">
        <f t="shared" si="1"/>
        <v>44.444444444444443</v>
      </c>
      <c r="M56" s="213">
        <f t="shared" si="1"/>
        <v>0</v>
      </c>
      <c r="N56" s="234">
        <f t="shared" si="2"/>
        <v>100</v>
      </c>
      <c r="O56" s="212">
        <v>25.4</v>
      </c>
      <c r="P56" s="213">
        <v>40.700000000000003</v>
      </c>
      <c r="Q56" s="213"/>
      <c r="R56" s="214">
        <f t="shared" si="3"/>
        <v>66.099999999999994</v>
      </c>
      <c r="S56" s="170">
        <v>2</v>
      </c>
      <c r="T56" s="283"/>
      <c r="U56" s="281"/>
      <c r="V56" s="177" t="s">
        <v>492</v>
      </c>
      <c r="W56" s="170" t="s">
        <v>17</v>
      </c>
      <c r="X56" s="170" t="s">
        <v>323</v>
      </c>
      <c r="Y56" s="178">
        <v>40.700000000000003</v>
      </c>
      <c r="Z56" s="170" t="s">
        <v>130</v>
      </c>
      <c r="AA56" s="170" t="s">
        <v>22</v>
      </c>
      <c r="AB56" s="170" t="s">
        <v>11</v>
      </c>
      <c r="AC56" s="170">
        <v>25.4</v>
      </c>
      <c r="AD56" s="177"/>
      <c r="AG56" s="178"/>
      <c r="AL56" s="177"/>
      <c r="AO56" s="178"/>
      <c r="AP56" s="177"/>
      <c r="AS56" s="178"/>
      <c r="AW56" s="178"/>
      <c r="BA56" s="179"/>
    </row>
    <row r="57" spans="1:53" s="28" customFormat="1" x14ac:dyDescent="0.15">
      <c r="A57" s="51">
        <v>1984</v>
      </c>
      <c r="B57" s="293">
        <v>30883</v>
      </c>
      <c r="C57" s="394" t="s">
        <v>677</v>
      </c>
      <c r="D57" s="394"/>
      <c r="E57" s="28">
        <f>366-E56</f>
        <v>165</v>
      </c>
      <c r="F57" s="28">
        <v>1</v>
      </c>
      <c r="G57" s="65"/>
      <c r="H57" s="28">
        <v>5</v>
      </c>
      <c r="I57" s="28">
        <v>4</v>
      </c>
      <c r="J57" s="72">
        <v>9</v>
      </c>
      <c r="K57" s="46">
        <f t="shared" si="1"/>
        <v>0</v>
      </c>
      <c r="L57" s="46">
        <f t="shared" si="1"/>
        <v>55.555555555555557</v>
      </c>
      <c r="M57" s="46">
        <f t="shared" si="1"/>
        <v>44.444444444444443</v>
      </c>
      <c r="N57" s="67">
        <f t="shared" si="2"/>
        <v>100</v>
      </c>
      <c r="O57" s="45"/>
      <c r="P57" s="46">
        <v>39.1</v>
      </c>
      <c r="Q57" s="46">
        <v>32.799999999999997</v>
      </c>
      <c r="R57" s="47">
        <f t="shared" si="3"/>
        <v>71.900000000000006</v>
      </c>
      <c r="S57" s="28">
        <v>2</v>
      </c>
      <c r="T57" s="284">
        <v>30850</v>
      </c>
      <c r="U57" s="293">
        <v>30883</v>
      </c>
      <c r="V57" s="37" t="s">
        <v>492</v>
      </c>
      <c r="W57" s="28" t="s">
        <v>17</v>
      </c>
      <c r="X57" s="28" t="s">
        <v>323</v>
      </c>
      <c r="Y57" s="38">
        <v>39.1</v>
      </c>
      <c r="Z57" s="28" t="s">
        <v>493</v>
      </c>
      <c r="AA57" s="28" t="s">
        <v>20</v>
      </c>
      <c r="AB57" s="28" t="s">
        <v>12</v>
      </c>
      <c r="AC57" s="28">
        <v>32.799999999999997</v>
      </c>
      <c r="AD57" s="37"/>
      <c r="AG57" s="38"/>
      <c r="AL57" s="37"/>
      <c r="AO57" s="38"/>
      <c r="AP57" s="37"/>
      <c r="AS57" s="38"/>
      <c r="AW57" s="38"/>
      <c r="BA57" s="39"/>
    </row>
    <row r="58" spans="1:53" s="28" customFormat="1" x14ac:dyDescent="0.15">
      <c r="A58" s="51">
        <v>1985</v>
      </c>
      <c r="B58" s="293"/>
      <c r="C58" s="394" t="s">
        <v>677</v>
      </c>
      <c r="D58" s="394"/>
      <c r="E58" s="28">
        <v>0</v>
      </c>
      <c r="G58" s="65"/>
      <c r="H58" s="28">
        <v>5</v>
      </c>
      <c r="I58" s="28">
        <v>4</v>
      </c>
      <c r="J58" s="72">
        <v>9</v>
      </c>
      <c r="K58" s="46">
        <f t="shared" si="1"/>
        <v>0</v>
      </c>
      <c r="L58" s="46">
        <f t="shared" si="1"/>
        <v>55.555555555555557</v>
      </c>
      <c r="M58" s="46">
        <f t="shared" si="1"/>
        <v>44.444444444444443</v>
      </c>
      <c r="N58" s="67">
        <f t="shared" si="2"/>
        <v>100</v>
      </c>
      <c r="O58" s="45"/>
      <c r="P58" s="46">
        <v>39.1</v>
      </c>
      <c r="Q58" s="46">
        <v>32.799999999999997</v>
      </c>
      <c r="R58" s="47">
        <f t="shared" si="3"/>
        <v>71.900000000000006</v>
      </c>
      <c r="S58" s="28">
        <v>2</v>
      </c>
      <c r="T58" s="284"/>
      <c r="U58" s="293"/>
      <c r="V58" s="37" t="s">
        <v>492</v>
      </c>
      <c r="W58" s="28" t="s">
        <v>17</v>
      </c>
      <c r="X58" s="28" t="s">
        <v>323</v>
      </c>
      <c r="Y58" s="38">
        <v>39.1</v>
      </c>
      <c r="Z58" s="28" t="s">
        <v>493</v>
      </c>
      <c r="AA58" s="28" t="s">
        <v>20</v>
      </c>
      <c r="AB58" s="28" t="s">
        <v>12</v>
      </c>
      <c r="AC58" s="28">
        <v>32.799999999999997</v>
      </c>
      <c r="AD58" s="37"/>
      <c r="AG58" s="38"/>
      <c r="AL58" s="37"/>
      <c r="AO58" s="38"/>
      <c r="AP58" s="37"/>
      <c r="AS58" s="38"/>
      <c r="AW58" s="38"/>
      <c r="BA58" s="39"/>
    </row>
    <row r="59" spans="1:53" s="28" customFormat="1" x14ac:dyDescent="0.15">
      <c r="A59" s="51">
        <v>1985</v>
      </c>
      <c r="B59" s="293"/>
      <c r="C59" s="394" t="s">
        <v>677</v>
      </c>
      <c r="D59" s="394"/>
      <c r="E59" s="28">
        <v>365</v>
      </c>
      <c r="G59" s="65"/>
      <c r="H59" s="28">
        <v>5</v>
      </c>
      <c r="I59" s="28">
        <v>4</v>
      </c>
      <c r="J59" s="72">
        <v>9</v>
      </c>
      <c r="K59" s="46">
        <f t="shared" si="1"/>
        <v>0</v>
      </c>
      <c r="L59" s="46">
        <f t="shared" si="1"/>
        <v>55.555555555555557</v>
      </c>
      <c r="M59" s="46">
        <f t="shared" si="1"/>
        <v>44.444444444444443</v>
      </c>
      <c r="N59" s="67">
        <f t="shared" si="2"/>
        <v>100</v>
      </c>
      <c r="O59" s="45"/>
      <c r="P59" s="46">
        <v>39.1</v>
      </c>
      <c r="Q59" s="46">
        <v>32.799999999999997</v>
      </c>
      <c r="R59" s="47">
        <f t="shared" si="3"/>
        <v>71.900000000000006</v>
      </c>
      <c r="S59" s="28">
        <v>2</v>
      </c>
      <c r="T59" s="284"/>
      <c r="U59" s="293"/>
      <c r="V59" s="37" t="s">
        <v>492</v>
      </c>
      <c r="W59" s="28" t="s">
        <v>17</v>
      </c>
      <c r="X59" s="28" t="s">
        <v>323</v>
      </c>
      <c r="Y59" s="38">
        <v>39.1</v>
      </c>
      <c r="Z59" s="28" t="s">
        <v>493</v>
      </c>
      <c r="AA59" s="28" t="s">
        <v>20</v>
      </c>
      <c r="AB59" s="28" t="s">
        <v>12</v>
      </c>
      <c r="AC59" s="28">
        <v>32.799999999999997</v>
      </c>
      <c r="AD59" s="37"/>
      <c r="AG59" s="38"/>
      <c r="AL59" s="37"/>
      <c r="AO59" s="38"/>
      <c r="AP59" s="37"/>
      <c r="AS59" s="38"/>
      <c r="AW59" s="38"/>
      <c r="BA59" s="39"/>
    </row>
    <row r="60" spans="1:53" s="28" customFormat="1" x14ac:dyDescent="0.15">
      <c r="A60" s="51">
        <v>1986</v>
      </c>
      <c r="B60" s="293"/>
      <c r="C60" s="394" t="s">
        <v>677</v>
      </c>
      <c r="D60" s="394"/>
      <c r="E60" s="28">
        <v>0</v>
      </c>
      <c r="G60" s="65"/>
      <c r="H60" s="28">
        <v>5</v>
      </c>
      <c r="I60" s="28">
        <v>4</v>
      </c>
      <c r="J60" s="72">
        <v>9</v>
      </c>
      <c r="K60" s="46">
        <f t="shared" si="1"/>
        <v>0</v>
      </c>
      <c r="L60" s="46">
        <f t="shared" si="1"/>
        <v>55.555555555555557</v>
      </c>
      <c r="M60" s="46">
        <f t="shared" si="1"/>
        <v>44.444444444444443</v>
      </c>
      <c r="N60" s="67">
        <f t="shared" si="2"/>
        <v>100</v>
      </c>
      <c r="O60" s="45"/>
      <c r="P60" s="46">
        <v>39.1</v>
      </c>
      <c r="Q60" s="46">
        <v>32.799999999999997</v>
      </c>
      <c r="R60" s="47">
        <f t="shared" si="3"/>
        <v>71.900000000000006</v>
      </c>
      <c r="S60" s="28">
        <v>2</v>
      </c>
      <c r="T60" s="284"/>
      <c r="U60" s="293"/>
      <c r="V60" s="37" t="s">
        <v>492</v>
      </c>
      <c r="W60" s="28" t="s">
        <v>17</v>
      </c>
      <c r="X60" s="28" t="s">
        <v>323</v>
      </c>
      <c r="Y60" s="38">
        <v>39.1</v>
      </c>
      <c r="Z60" s="28" t="s">
        <v>493</v>
      </c>
      <c r="AA60" s="28" t="s">
        <v>20</v>
      </c>
      <c r="AB60" s="28" t="s">
        <v>12</v>
      </c>
      <c r="AC60" s="28">
        <v>32.799999999999997</v>
      </c>
      <c r="AD60" s="37"/>
      <c r="AG60" s="38"/>
      <c r="AL60" s="37"/>
      <c r="AO60" s="38"/>
      <c r="AP60" s="37"/>
      <c r="AS60" s="38"/>
      <c r="AW60" s="38"/>
      <c r="BA60" s="39"/>
    </row>
    <row r="61" spans="1:53" s="28" customFormat="1" x14ac:dyDescent="0.15">
      <c r="A61" s="51">
        <v>1986</v>
      </c>
      <c r="B61" s="293"/>
      <c r="C61" s="394" t="s">
        <v>677</v>
      </c>
      <c r="D61" s="394"/>
      <c r="E61" s="28">
        <v>365</v>
      </c>
      <c r="G61" s="65"/>
      <c r="H61" s="28">
        <v>5</v>
      </c>
      <c r="I61" s="28">
        <v>4</v>
      </c>
      <c r="J61" s="72">
        <v>9</v>
      </c>
      <c r="K61" s="46">
        <f t="shared" si="1"/>
        <v>0</v>
      </c>
      <c r="L61" s="46">
        <f t="shared" si="1"/>
        <v>55.555555555555557</v>
      </c>
      <c r="M61" s="46">
        <f t="shared" si="1"/>
        <v>44.444444444444443</v>
      </c>
      <c r="N61" s="67">
        <f t="shared" si="2"/>
        <v>100</v>
      </c>
      <c r="O61" s="45"/>
      <c r="P61" s="46">
        <v>39.1</v>
      </c>
      <c r="Q61" s="46">
        <v>32.799999999999997</v>
      </c>
      <c r="R61" s="47">
        <f t="shared" si="3"/>
        <v>71.900000000000006</v>
      </c>
      <c r="S61" s="28">
        <v>2</v>
      </c>
      <c r="T61" s="284"/>
      <c r="U61" s="293"/>
      <c r="V61" s="37" t="s">
        <v>492</v>
      </c>
      <c r="W61" s="28" t="s">
        <v>17</v>
      </c>
      <c r="X61" s="28" t="s">
        <v>323</v>
      </c>
      <c r="Y61" s="38">
        <v>39.1</v>
      </c>
      <c r="Z61" s="28" t="s">
        <v>493</v>
      </c>
      <c r="AA61" s="28" t="s">
        <v>20</v>
      </c>
      <c r="AB61" s="28" t="s">
        <v>12</v>
      </c>
      <c r="AC61" s="28">
        <v>32.799999999999997</v>
      </c>
      <c r="AD61" s="37"/>
      <c r="AG61" s="38"/>
      <c r="AL61" s="37"/>
      <c r="AO61" s="38"/>
      <c r="AP61" s="37"/>
      <c r="AS61" s="38"/>
      <c r="AW61" s="38"/>
      <c r="BA61" s="39"/>
    </row>
    <row r="62" spans="1:53" s="28" customFormat="1" x14ac:dyDescent="0.15">
      <c r="A62" s="51">
        <v>1987</v>
      </c>
      <c r="B62" s="293"/>
      <c r="C62" s="394" t="s">
        <v>677</v>
      </c>
      <c r="D62" s="394"/>
      <c r="E62" s="28">
        <v>0</v>
      </c>
      <c r="G62" s="65"/>
      <c r="H62" s="28">
        <v>5</v>
      </c>
      <c r="I62" s="28">
        <v>4</v>
      </c>
      <c r="J62" s="72">
        <v>9</v>
      </c>
      <c r="K62" s="46">
        <f t="shared" si="1"/>
        <v>0</v>
      </c>
      <c r="L62" s="46">
        <f t="shared" si="1"/>
        <v>55.555555555555557</v>
      </c>
      <c r="M62" s="46">
        <f t="shared" si="1"/>
        <v>44.444444444444443</v>
      </c>
      <c r="N62" s="67">
        <f t="shared" si="2"/>
        <v>100</v>
      </c>
      <c r="O62" s="45"/>
      <c r="P62" s="46">
        <v>39.1</v>
      </c>
      <c r="Q62" s="46">
        <v>32.799999999999997</v>
      </c>
      <c r="R62" s="47">
        <f t="shared" si="3"/>
        <v>71.900000000000006</v>
      </c>
      <c r="S62" s="28">
        <v>2</v>
      </c>
      <c r="T62" s="284"/>
      <c r="U62" s="293"/>
      <c r="V62" s="37" t="s">
        <v>492</v>
      </c>
      <c r="W62" s="28" t="s">
        <v>17</v>
      </c>
      <c r="X62" s="28" t="s">
        <v>323</v>
      </c>
      <c r="Y62" s="38">
        <v>39.1</v>
      </c>
      <c r="Z62" s="28" t="s">
        <v>493</v>
      </c>
      <c r="AA62" s="28" t="s">
        <v>20</v>
      </c>
      <c r="AB62" s="28" t="s">
        <v>12</v>
      </c>
      <c r="AC62" s="28">
        <v>32.799999999999997</v>
      </c>
      <c r="AD62" s="37"/>
      <c r="AG62" s="38"/>
      <c r="AL62" s="37"/>
      <c r="AO62" s="38"/>
      <c r="AP62" s="37"/>
      <c r="AS62" s="38"/>
      <c r="AW62" s="38"/>
      <c r="BA62" s="39"/>
    </row>
    <row r="63" spans="1:53" s="28" customFormat="1" x14ac:dyDescent="0.15">
      <c r="A63" s="51">
        <v>1987</v>
      </c>
      <c r="B63" s="293"/>
      <c r="C63" s="394" t="s">
        <v>677</v>
      </c>
      <c r="D63" s="394"/>
      <c r="E63" s="28">
        <v>365</v>
      </c>
      <c r="G63" s="65"/>
      <c r="H63" s="28">
        <v>5</v>
      </c>
      <c r="I63" s="28">
        <v>4</v>
      </c>
      <c r="J63" s="72">
        <v>9</v>
      </c>
      <c r="K63" s="46">
        <f t="shared" si="1"/>
        <v>0</v>
      </c>
      <c r="L63" s="46">
        <f t="shared" si="1"/>
        <v>55.555555555555557</v>
      </c>
      <c r="M63" s="46">
        <f t="shared" si="1"/>
        <v>44.444444444444443</v>
      </c>
      <c r="N63" s="67">
        <f t="shared" si="2"/>
        <v>100</v>
      </c>
      <c r="O63" s="45"/>
      <c r="P63" s="46">
        <v>39.1</v>
      </c>
      <c r="Q63" s="46">
        <v>32.799999999999997</v>
      </c>
      <c r="R63" s="47">
        <f t="shared" si="3"/>
        <v>71.900000000000006</v>
      </c>
      <c r="S63" s="28">
        <v>2</v>
      </c>
      <c r="T63" s="284"/>
      <c r="U63" s="293"/>
      <c r="V63" s="37" t="s">
        <v>492</v>
      </c>
      <c r="W63" s="28" t="s">
        <v>17</v>
      </c>
      <c r="X63" s="28" t="s">
        <v>323</v>
      </c>
      <c r="Y63" s="38">
        <v>39.1</v>
      </c>
      <c r="Z63" s="28" t="s">
        <v>493</v>
      </c>
      <c r="AA63" s="28" t="s">
        <v>20</v>
      </c>
      <c r="AB63" s="28" t="s">
        <v>12</v>
      </c>
      <c r="AC63" s="28">
        <v>32.799999999999997</v>
      </c>
      <c r="AD63" s="37"/>
      <c r="AG63" s="38"/>
      <c r="AL63" s="37"/>
      <c r="AO63" s="38"/>
      <c r="AP63" s="37"/>
      <c r="AS63" s="38"/>
      <c r="AW63" s="38"/>
      <c r="BA63" s="39"/>
    </row>
    <row r="64" spans="1:53" s="28" customFormat="1" x14ac:dyDescent="0.15">
      <c r="A64" s="51">
        <v>1988</v>
      </c>
      <c r="B64" s="293"/>
      <c r="C64" s="394" t="s">
        <v>677</v>
      </c>
      <c r="D64" s="394"/>
      <c r="E64" s="28">
        <v>0</v>
      </c>
      <c r="G64" s="65"/>
      <c r="H64" s="28">
        <v>5</v>
      </c>
      <c r="I64" s="28">
        <v>4</v>
      </c>
      <c r="J64" s="72">
        <v>9</v>
      </c>
      <c r="K64" s="46">
        <f t="shared" si="1"/>
        <v>0</v>
      </c>
      <c r="L64" s="46">
        <f t="shared" si="1"/>
        <v>55.555555555555557</v>
      </c>
      <c r="M64" s="46">
        <f t="shared" si="1"/>
        <v>44.444444444444443</v>
      </c>
      <c r="N64" s="67">
        <f t="shared" si="2"/>
        <v>100</v>
      </c>
      <c r="O64" s="45"/>
      <c r="P64" s="46">
        <v>39.1</v>
      </c>
      <c r="Q64" s="46">
        <v>32.799999999999997</v>
      </c>
      <c r="R64" s="47">
        <f t="shared" si="3"/>
        <v>71.900000000000006</v>
      </c>
      <c r="S64" s="28">
        <v>2</v>
      </c>
      <c r="T64" s="284"/>
      <c r="U64" s="293"/>
      <c r="V64" s="37" t="s">
        <v>492</v>
      </c>
      <c r="W64" s="28" t="s">
        <v>17</v>
      </c>
      <c r="X64" s="28" t="s">
        <v>323</v>
      </c>
      <c r="Y64" s="38">
        <v>39.1</v>
      </c>
      <c r="Z64" s="28" t="s">
        <v>493</v>
      </c>
      <c r="AA64" s="28" t="s">
        <v>20</v>
      </c>
      <c r="AB64" s="28" t="s">
        <v>12</v>
      </c>
      <c r="AC64" s="28">
        <v>32.799999999999997</v>
      </c>
      <c r="AD64" s="37"/>
      <c r="AG64" s="38"/>
      <c r="AL64" s="37"/>
      <c r="AO64" s="38"/>
      <c r="AP64" s="37"/>
      <c r="AS64" s="38"/>
      <c r="AW64" s="38"/>
      <c r="BA64" s="39"/>
    </row>
    <row r="65" spans="1:53" s="28" customFormat="1" x14ac:dyDescent="0.15">
      <c r="A65" s="51">
        <v>1988</v>
      </c>
      <c r="B65" s="293"/>
      <c r="C65" s="394" t="s">
        <v>677</v>
      </c>
      <c r="D65" s="394"/>
      <c r="E65" s="28">
        <v>366</v>
      </c>
      <c r="G65" s="65"/>
      <c r="H65" s="28">
        <v>5</v>
      </c>
      <c r="I65" s="28">
        <v>4</v>
      </c>
      <c r="J65" s="72">
        <v>9</v>
      </c>
      <c r="K65" s="46">
        <f t="shared" si="1"/>
        <v>0</v>
      </c>
      <c r="L65" s="46">
        <f t="shared" si="1"/>
        <v>55.555555555555557</v>
      </c>
      <c r="M65" s="46">
        <f t="shared" si="1"/>
        <v>44.444444444444443</v>
      </c>
      <c r="N65" s="67">
        <f t="shared" si="2"/>
        <v>100</v>
      </c>
      <c r="O65" s="45"/>
      <c r="P65" s="46">
        <v>39.1</v>
      </c>
      <c r="Q65" s="46">
        <v>32.799999999999997</v>
      </c>
      <c r="R65" s="47">
        <f t="shared" si="3"/>
        <v>71.900000000000006</v>
      </c>
      <c r="S65" s="28">
        <v>2</v>
      </c>
      <c r="T65" s="284"/>
      <c r="U65" s="293"/>
      <c r="V65" s="37" t="s">
        <v>492</v>
      </c>
      <c r="W65" s="28" t="s">
        <v>17</v>
      </c>
      <c r="X65" s="28" t="s">
        <v>323</v>
      </c>
      <c r="Y65" s="38">
        <v>39.1</v>
      </c>
      <c r="Z65" s="28" t="s">
        <v>493</v>
      </c>
      <c r="AA65" s="28" t="s">
        <v>20</v>
      </c>
      <c r="AB65" s="28" t="s">
        <v>12</v>
      </c>
      <c r="AC65" s="28">
        <v>32.799999999999997</v>
      </c>
      <c r="AD65" s="37"/>
      <c r="AG65" s="38"/>
      <c r="AL65" s="37"/>
      <c r="AO65" s="38"/>
      <c r="AP65" s="37"/>
      <c r="AS65" s="38"/>
      <c r="AW65" s="38"/>
      <c r="BA65" s="39"/>
    </row>
    <row r="66" spans="1:53" s="28" customFormat="1" x14ac:dyDescent="0.15">
      <c r="A66" s="51">
        <v>1989</v>
      </c>
      <c r="B66" s="293"/>
      <c r="C66" s="394" t="s">
        <v>677</v>
      </c>
      <c r="D66" s="394"/>
      <c r="E66" s="28">
        <v>194</v>
      </c>
      <c r="G66" s="65"/>
      <c r="H66" s="28">
        <v>5</v>
      </c>
      <c r="I66" s="28">
        <v>4</v>
      </c>
      <c r="J66" s="72">
        <v>9</v>
      </c>
      <c r="K66" s="46">
        <f t="shared" si="1"/>
        <v>0</v>
      </c>
      <c r="L66" s="46">
        <f t="shared" si="1"/>
        <v>55.555555555555557</v>
      </c>
      <c r="M66" s="46">
        <f t="shared" si="1"/>
        <v>44.444444444444443</v>
      </c>
      <c r="N66" s="67">
        <f t="shared" si="2"/>
        <v>100</v>
      </c>
      <c r="O66" s="45"/>
      <c r="P66" s="46">
        <v>39.1</v>
      </c>
      <c r="Q66" s="46">
        <v>32.799999999999997</v>
      </c>
      <c r="R66" s="47">
        <f t="shared" si="3"/>
        <v>71.900000000000006</v>
      </c>
      <c r="S66" s="28">
        <v>2</v>
      </c>
      <c r="T66" s="284"/>
      <c r="U66" s="293"/>
      <c r="V66" s="37" t="s">
        <v>492</v>
      </c>
      <c r="W66" s="28" t="s">
        <v>17</v>
      </c>
      <c r="X66" s="28" t="s">
        <v>323</v>
      </c>
      <c r="Y66" s="38">
        <v>39.1</v>
      </c>
      <c r="Z66" s="28" t="s">
        <v>493</v>
      </c>
      <c r="AA66" s="28" t="s">
        <v>20</v>
      </c>
      <c r="AB66" s="28" t="s">
        <v>12</v>
      </c>
      <c r="AC66" s="28">
        <v>32.799999999999997</v>
      </c>
      <c r="AD66" s="37"/>
      <c r="AG66" s="38"/>
      <c r="AL66" s="37"/>
      <c r="AO66" s="38"/>
      <c r="AP66" s="37"/>
      <c r="AS66" s="38"/>
      <c r="AW66" s="38"/>
      <c r="BA66" s="39"/>
    </row>
    <row r="67" spans="1:53" s="53" customFormat="1" x14ac:dyDescent="0.15">
      <c r="A67" s="117">
        <v>1989</v>
      </c>
      <c r="B67" s="291">
        <v>32703</v>
      </c>
      <c r="C67" s="399" t="s">
        <v>678</v>
      </c>
      <c r="D67" s="399"/>
      <c r="E67" s="53">
        <f>365-E66</f>
        <v>171</v>
      </c>
      <c r="F67" s="53">
        <v>1</v>
      </c>
      <c r="G67" s="248"/>
      <c r="H67" s="53">
        <v>6</v>
      </c>
      <c r="I67" s="53">
        <v>4</v>
      </c>
      <c r="J67" s="249">
        <v>10</v>
      </c>
      <c r="K67" s="224">
        <f t="shared" si="1"/>
        <v>0</v>
      </c>
      <c r="L67" s="225">
        <f t="shared" si="1"/>
        <v>60</v>
      </c>
      <c r="M67" s="225">
        <f t="shared" si="1"/>
        <v>40</v>
      </c>
      <c r="N67" s="237">
        <f t="shared" si="2"/>
        <v>100</v>
      </c>
      <c r="O67" s="224"/>
      <c r="P67" s="225">
        <v>36.700000000000003</v>
      </c>
      <c r="Q67" s="225">
        <v>30</v>
      </c>
      <c r="R67" s="226">
        <f t="shared" si="3"/>
        <v>66.7</v>
      </c>
      <c r="S67" s="170">
        <v>2</v>
      </c>
      <c r="T67" s="285">
        <v>32677</v>
      </c>
      <c r="U67" s="291">
        <v>32703</v>
      </c>
      <c r="V67" s="54" t="s">
        <v>492</v>
      </c>
      <c r="W67" s="53" t="s">
        <v>17</v>
      </c>
      <c r="X67" s="53" t="s">
        <v>323</v>
      </c>
      <c r="Y67" s="55">
        <v>36.700000000000003</v>
      </c>
      <c r="Z67" s="53" t="s">
        <v>493</v>
      </c>
      <c r="AA67" s="53" t="s">
        <v>20</v>
      </c>
      <c r="AB67" s="53" t="s">
        <v>12</v>
      </c>
      <c r="AC67" s="55">
        <v>30</v>
      </c>
      <c r="AD67" s="54"/>
      <c r="AG67" s="55"/>
      <c r="AL67" s="54"/>
      <c r="AO67" s="55"/>
      <c r="AP67" s="54"/>
      <c r="AS67" s="55"/>
      <c r="AW67" s="55"/>
      <c r="BA67" s="56"/>
    </row>
    <row r="68" spans="1:53" s="170" customFormat="1" x14ac:dyDescent="0.15">
      <c r="A68" s="170">
        <v>1990</v>
      </c>
      <c r="B68" s="281"/>
      <c r="C68" s="395" t="s">
        <v>678</v>
      </c>
      <c r="D68" s="395"/>
      <c r="E68" s="170">
        <v>0</v>
      </c>
      <c r="G68" s="232"/>
      <c r="H68" s="170">
        <v>6</v>
      </c>
      <c r="I68" s="170">
        <v>4</v>
      </c>
      <c r="J68" s="240">
        <v>10</v>
      </c>
      <c r="K68" s="213">
        <f t="shared" si="1"/>
        <v>0</v>
      </c>
      <c r="L68" s="213">
        <f t="shared" si="1"/>
        <v>60</v>
      </c>
      <c r="M68" s="213">
        <f t="shared" si="1"/>
        <v>40</v>
      </c>
      <c r="N68" s="234">
        <f t="shared" si="2"/>
        <v>100</v>
      </c>
      <c r="O68" s="212"/>
      <c r="P68" s="213">
        <v>36.700000000000003</v>
      </c>
      <c r="Q68" s="213">
        <v>30</v>
      </c>
      <c r="R68" s="214">
        <f t="shared" si="3"/>
        <v>66.7</v>
      </c>
      <c r="S68" s="256">
        <v>2</v>
      </c>
      <c r="T68" s="283"/>
      <c r="U68" s="281"/>
      <c r="V68" s="177" t="s">
        <v>492</v>
      </c>
      <c r="W68" s="170" t="s">
        <v>17</v>
      </c>
      <c r="X68" s="170" t="s">
        <v>323</v>
      </c>
      <c r="Y68" s="178">
        <v>36.700000000000003</v>
      </c>
      <c r="Z68" s="170" t="s">
        <v>493</v>
      </c>
      <c r="AA68" s="170" t="s">
        <v>20</v>
      </c>
      <c r="AB68" s="170" t="s">
        <v>12</v>
      </c>
      <c r="AC68" s="170">
        <v>30</v>
      </c>
      <c r="AD68" s="177"/>
      <c r="AG68" s="178"/>
      <c r="AL68" s="177"/>
      <c r="AO68" s="178"/>
      <c r="AP68" s="177"/>
      <c r="AS68" s="178"/>
      <c r="AW68" s="178"/>
      <c r="BA68" s="179"/>
    </row>
    <row r="69" spans="1:53" s="170" customFormat="1" x14ac:dyDescent="0.15">
      <c r="A69" s="170">
        <v>1990</v>
      </c>
      <c r="B69" s="281"/>
      <c r="C69" s="395" t="s">
        <v>678</v>
      </c>
      <c r="D69" s="395"/>
      <c r="E69" s="170">
        <f>365-E68</f>
        <v>365</v>
      </c>
      <c r="G69" s="232"/>
      <c r="H69" s="170">
        <v>6</v>
      </c>
      <c r="I69" s="170">
        <v>4</v>
      </c>
      <c r="J69" s="240">
        <v>10</v>
      </c>
      <c r="K69" s="213">
        <f t="shared" si="1"/>
        <v>0</v>
      </c>
      <c r="L69" s="213">
        <f t="shared" si="1"/>
        <v>60</v>
      </c>
      <c r="M69" s="213">
        <f t="shared" si="1"/>
        <v>40</v>
      </c>
      <c r="N69" s="234">
        <f t="shared" si="2"/>
        <v>100</v>
      </c>
      <c r="O69" s="212"/>
      <c r="P69" s="213">
        <v>36.700000000000003</v>
      </c>
      <c r="Q69" s="213">
        <v>30</v>
      </c>
      <c r="R69" s="214">
        <f t="shared" si="3"/>
        <v>66.7</v>
      </c>
      <c r="S69" s="170">
        <v>2</v>
      </c>
      <c r="T69" s="283"/>
      <c r="U69" s="281"/>
      <c r="V69" s="177" t="s">
        <v>492</v>
      </c>
      <c r="W69" s="170" t="s">
        <v>17</v>
      </c>
      <c r="X69" s="170" t="s">
        <v>323</v>
      </c>
      <c r="Y69" s="178">
        <v>36.700000000000003</v>
      </c>
      <c r="Z69" s="170" t="s">
        <v>493</v>
      </c>
      <c r="AA69" s="170" t="s">
        <v>20</v>
      </c>
      <c r="AB69" s="170" t="s">
        <v>12</v>
      </c>
      <c r="AC69" s="170">
        <v>30</v>
      </c>
      <c r="AD69" s="177"/>
      <c r="AG69" s="178"/>
      <c r="AL69" s="177"/>
      <c r="AO69" s="178"/>
      <c r="AP69" s="177"/>
      <c r="AS69" s="178"/>
      <c r="AW69" s="178"/>
      <c r="BA69" s="179"/>
    </row>
    <row r="70" spans="1:53" s="170" customFormat="1" x14ac:dyDescent="0.15">
      <c r="A70" s="170">
        <v>1991</v>
      </c>
      <c r="B70" s="281"/>
      <c r="C70" s="395" t="s">
        <v>678</v>
      </c>
      <c r="D70" s="395"/>
      <c r="E70" s="170">
        <v>0</v>
      </c>
      <c r="G70" s="232"/>
      <c r="H70" s="170">
        <v>6</v>
      </c>
      <c r="I70" s="170">
        <v>4</v>
      </c>
      <c r="J70" s="240">
        <v>10</v>
      </c>
      <c r="K70" s="213">
        <f t="shared" si="1"/>
        <v>0</v>
      </c>
      <c r="L70" s="213">
        <f t="shared" si="1"/>
        <v>60</v>
      </c>
      <c r="M70" s="213">
        <f t="shared" si="1"/>
        <v>40</v>
      </c>
      <c r="N70" s="234">
        <f t="shared" si="2"/>
        <v>100</v>
      </c>
      <c r="O70" s="212"/>
      <c r="P70" s="213">
        <v>36.700000000000003</v>
      </c>
      <c r="Q70" s="213">
        <v>30</v>
      </c>
      <c r="R70" s="214">
        <f t="shared" si="3"/>
        <v>66.7</v>
      </c>
      <c r="S70" s="170">
        <v>2</v>
      </c>
      <c r="T70" s="283"/>
      <c r="U70" s="281"/>
      <c r="V70" s="177" t="s">
        <v>492</v>
      </c>
      <c r="W70" s="170" t="s">
        <v>17</v>
      </c>
      <c r="X70" s="170" t="s">
        <v>323</v>
      </c>
      <c r="Y70" s="178">
        <v>36.700000000000003</v>
      </c>
      <c r="Z70" s="170" t="s">
        <v>493</v>
      </c>
      <c r="AA70" s="170" t="s">
        <v>20</v>
      </c>
      <c r="AB70" s="170" t="s">
        <v>12</v>
      </c>
      <c r="AC70" s="170">
        <v>30</v>
      </c>
      <c r="AD70" s="177"/>
      <c r="AG70" s="178"/>
      <c r="AL70" s="177"/>
      <c r="AO70" s="178"/>
      <c r="AP70" s="177"/>
      <c r="AS70" s="178"/>
      <c r="AW70" s="178"/>
      <c r="BA70" s="179"/>
    </row>
    <row r="71" spans="1:53" s="170" customFormat="1" x14ac:dyDescent="0.15">
      <c r="A71" s="170">
        <v>1991</v>
      </c>
      <c r="B71" s="281"/>
      <c r="C71" s="395" t="s">
        <v>678</v>
      </c>
      <c r="D71" s="395"/>
      <c r="E71" s="170">
        <f>365-E70</f>
        <v>365</v>
      </c>
      <c r="G71" s="232"/>
      <c r="H71" s="170">
        <v>6</v>
      </c>
      <c r="I71" s="170">
        <v>4</v>
      </c>
      <c r="J71" s="240">
        <v>10</v>
      </c>
      <c r="K71" s="213">
        <f t="shared" si="1"/>
        <v>0</v>
      </c>
      <c r="L71" s="213">
        <f t="shared" si="1"/>
        <v>60</v>
      </c>
      <c r="M71" s="213">
        <f t="shared" si="1"/>
        <v>40</v>
      </c>
      <c r="N71" s="234">
        <f t="shared" si="2"/>
        <v>100</v>
      </c>
      <c r="O71" s="212"/>
      <c r="P71" s="213">
        <v>36.700000000000003</v>
      </c>
      <c r="Q71" s="213">
        <v>30</v>
      </c>
      <c r="R71" s="214">
        <f t="shared" si="3"/>
        <v>66.7</v>
      </c>
      <c r="S71" s="170">
        <v>2</v>
      </c>
      <c r="T71" s="283"/>
      <c r="U71" s="281"/>
      <c r="V71" s="177" t="s">
        <v>492</v>
      </c>
      <c r="W71" s="170" t="s">
        <v>17</v>
      </c>
      <c r="X71" s="170" t="s">
        <v>323</v>
      </c>
      <c r="Y71" s="178">
        <v>36.700000000000003</v>
      </c>
      <c r="Z71" s="170" t="s">
        <v>493</v>
      </c>
      <c r="AA71" s="170" t="s">
        <v>20</v>
      </c>
      <c r="AB71" s="170" t="s">
        <v>12</v>
      </c>
      <c r="AC71" s="170">
        <v>30</v>
      </c>
      <c r="AD71" s="177"/>
      <c r="AG71" s="178"/>
      <c r="AL71" s="177"/>
      <c r="AO71" s="178"/>
      <c r="AP71" s="177"/>
      <c r="AS71" s="178"/>
      <c r="AW71" s="178"/>
      <c r="BA71" s="179"/>
    </row>
    <row r="72" spans="1:53" s="170" customFormat="1" x14ac:dyDescent="0.15">
      <c r="A72" s="170">
        <v>1992</v>
      </c>
      <c r="B72" s="281"/>
      <c r="C72" s="395" t="s">
        <v>678</v>
      </c>
      <c r="D72" s="395"/>
      <c r="E72" s="170">
        <v>0</v>
      </c>
      <c r="G72" s="232"/>
      <c r="H72" s="170">
        <v>6</v>
      </c>
      <c r="I72" s="170">
        <v>4</v>
      </c>
      <c r="J72" s="240">
        <v>10</v>
      </c>
      <c r="K72" s="213">
        <f t="shared" si="1"/>
        <v>0</v>
      </c>
      <c r="L72" s="213">
        <f t="shared" si="1"/>
        <v>60</v>
      </c>
      <c r="M72" s="213">
        <f t="shared" si="1"/>
        <v>40</v>
      </c>
      <c r="N72" s="234">
        <f t="shared" si="2"/>
        <v>100</v>
      </c>
      <c r="O72" s="212"/>
      <c r="P72" s="213">
        <v>36.700000000000003</v>
      </c>
      <c r="Q72" s="213">
        <v>30</v>
      </c>
      <c r="R72" s="214">
        <f t="shared" si="3"/>
        <v>66.7</v>
      </c>
      <c r="S72" s="170">
        <v>2</v>
      </c>
      <c r="T72" s="283"/>
      <c r="U72" s="281"/>
      <c r="V72" s="177" t="s">
        <v>492</v>
      </c>
      <c r="W72" s="170" t="s">
        <v>17</v>
      </c>
      <c r="X72" s="170" t="s">
        <v>323</v>
      </c>
      <c r="Y72" s="178">
        <v>36.700000000000003</v>
      </c>
      <c r="Z72" s="170" t="s">
        <v>493</v>
      </c>
      <c r="AA72" s="170" t="s">
        <v>20</v>
      </c>
      <c r="AB72" s="170" t="s">
        <v>12</v>
      </c>
      <c r="AC72" s="170">
        <v>30</v>
      </c>
      <c r="AD72" s="177"/>
      <c r="AG72" s="178"/>
      <c r="AL72" s="177"/>
      <c r="AO72" s="178"/>
      <c r="AP72" s="177"/>
      <c r="AS72" s="178"/>
      <c r="AW72" s="178"/>
      <c r="BA72" s="179"/>
    </row>
    <row r="73" spans="1:53" s="170" customFormat="1" x14ac:dyDescent="0.15">
      <c r="A73" s="170">
        <v>1992</v>
      </c>
      <c r="B73" s="281"/>
      <c r="C73" s="395" t="s">
        <v>678</v>
      </c>
      <c r="D73" s="395"/>
      <c r="E73" s="170">
        <v>366</v>
      </c>
      <c r="G73" s="232"/>
      <c r="H73" s="170">
        <v>6</v>
      </c>
      <c r="I73" s="170">
        <v>4</v>
      </c>
      <c r="J73" s="240">
        <v>10</v>
      </c>
      <c r="K73" s="213">
        <f t="shared" ref="K73:M115" si="4">G73/$J73*100</f>
        <v>0</v>
      </c>
      <c r="L73" s="213">
        <f t="shared" si="4"/>
        <v>60</v>
      </c>
      <c r="M73" s="213">
        <f t="shared" si="4"/>
        <v>40</v>
      </c>
      <c r="N73" s="234">
        <f t="shared" ref="N73:N115" si="5">K73+L73+M73</f>
        <v>100</v>
      </c>
      <c r="O73" s="212"/>
      <c r="P73" s="213">
        <v>36.700000000000003</v>
      </c>
      <c r="Q73" s="213">
        <v>30</v>
      </c>
      <c r="R73" s="214">
        <f t="shared" ref="R73:R113" si="6">O73+P73+Q73</f>
        <v>66.7</v>
      </c>
      <c r="S73" s="170">
        <v>2</v>
      </c>
      <c r="T73" s="283"/>
      <c r="U73" s="281"/>
      <c r="V73" s="177" t="s">
        <v>492</v>
      </c>
      <c r="W73" s="170" t="s">
        <v>17</v>
      </c>
      <c r="X73" s="170" t="s">
        <v>323</v>
      </c>
      <c r="Y73" s="178">
        <v>36.700000000000003</v>
      </c>
      <c r="Z73" s="170" t="s">
        <v>493</v>
      </c>
      <c r="AA73" s="170" t="s">
        <v>20</v>
      </c>
      <c r="AB73" s="170" t="s">
        <v>12</v>
      </c>
      <c r="AC73" s="170">
        <v>30</v>
      </c>
      <c r="AD73" s="177"/>
      <c r="AG73" s="178"/>
      <c r="AL73" s="177"/>
      <c r="AO73" s="178"/>
      <c r="AP73" s="177"/>
      <c r="AS73" s="178"/>
      <c r="AW73" s="178"/>
      <c r="BA73" s="179"/>
    </row>
    <row r="74" spans="1:53" s="170" customFormat="1" x14ac:dyDescent="0.15">
      <c r="A74" s="170">
        <v>1993</v>
      </c>
      <c r="B74" s="281"/>
      <c r="C74" s="395" t="s">
        <v>678</v>
      </c>
      <c r="D74" s="395"/>
      <c r="E74" s="170">
        <v>0</v>
      </c>
      <c r="G74" s="232"/>
      <c r="H74" s="170">
        <v>6</v>
      </c>
      <c r="I74" s="170">
        <v>4</v>
      </c>
      <c r="J74" s="240">
        <v>10</v>
      </c>
      <c r="K74" s="213">
        <f t="shared" si="4"/>
        <v>0</v>
      </c>
      <c r="L74" s="213">
        <f t="shared" si="4"/>
        <v>60</v>
      </c>
      <c r="M74" s="213">
        <f t="shared" si="4"/>
        <v>40</v>
      </c>
      <c r="N74" s="234">
        <f t="shared" si="5"/>
        <v>100</v>
      </c>
      <c r="O74" s="212"/>
      <c r="P74" s="213">
        <v>36.700000000000003</v>
      </c>
      <c r="Q74" s="213">
        <v>30</v>
      </c>
      <c r="R74" s="214">
        <f t="shared" si="6"/>
        <v>66.7</v>
      </c>
      <c r="S74" s="170">
        <v>2</v>
      </c>
      <c r="T74" s="283"/>
      <c r="U74" s="281"/>
      <c r="V74" s="177" t="s">
        <v>492</v>
      </c>
      <c r="W74" s="170" t="s">
        <v>17</v>
      </c>
      <c r="X74" s="170" t="s">
        <v>323</v>
      </c>
      <c r="Y74" s="178">
        <v>36.700000000000003</v>
      </c>
      <c r="Z74" s="170" t="s">
        <v>493</v>
      </c>
      <c r="AA74" s="170" t="s">
        <v>20</v>
      </c>
      <c r="AB74" s="170" t="s">
        <v>12</v>
      </c>
      <c r="AC74" s="170">
        <v>30</v>
      </c>
      <c r="AD74" s="177"/>
      <c r="AG74" s="178"/>
      <c r="AL74" s="177"/>
      <c r="AO74" s="178"/>
      <c r="AP74" s="177"/>
      <c r="AS74" s="178"/>
      <c r="AW74" s="178"/>
      <c r="BA74" s="179"/>
    </row>
    <row r="75" spans="1:53" s="170" customFormat="1" x14ac:dyDescent="0.15">
      <c r="A75" s="170">
        <v>1993</v>
      </c>
      <c r="B75" s="281"/>
      <c r="C75" s="395" t="s">
        <v>678</v>
      </c>
      <c r="D75" s="395"/>
      <c r="E75" s="170">
        <f>365-E74</f>
        <v>365</v>
      </c>
      <c r="G75" s="232"/>
      <c r="H75" s="170">
        <v>6</v>
      </c>
      <c r="I75" s="170">
        <v>4</v>
      </c>
      <c r="J75" s="240">
        <v>10</v>
      </c>
      <c r="K75" s="213">
        <f t="shared" si="4"/>
        <v>0</v>
      </c>
      <c r="L75" s="213">
        <f t="shared" si="4"/>
        <v>60</v>
      </c>
      <c r="M75" s="213">
        <f t="shared" si="4"/>
        <v>40</v>
      </c>
      <c r="N75" s="234">
        <f t="shared" si="5"/>
        <v>100</v>
      </c>
      <c r="O75" s="212"/>
      <c r="P75" s="213">
        <v>36.700000000000003</v>
      </c>
      <c r="Q75" s="213">
        <v>30</v>
      </c>
      <c r="R75" s="214">
        <f t="shared" si="6"/>
        <v>66.7</v>
      </c>
      <c r="S75" s="170">
        <v>2</v>
      </c>
      <c r="T75" s="283"/>
      <c r="U75" s="281"/>
      <c r="V75" s="177" t="s">
        <v>492</v>
      </c>
      <c r="W75" s="170" t="s">
        <v>17</v>
      </c>
      <c r="X75" s="170" t="s">
        <v>323</v>
      </c>
      <c r="Y75" s="178">
        <v>36.700000000000003</v>
      </c>
      <c r="Z75" s="170" t="s">
        <v>493</v>
      </c>
      <c r="AA75" s="170" t="s">
        <v>20</v>
      </c>
      <c r="AB75" s="170" t="s">
        <v>12</v>
      </c>
      <c r="AC75" s="170">
        <v>30</v>
      </c>
      <c r="AD75" s="177"/>
      <c r="AG75" s="178"/>
      <c r="AL75" s="177"/>
      <c r="AO75" s="178"/>
      <c r="AP75" s="177"/>
      <c r="AS75" s="178"/>
      <c r="AW75" s="178"/>
      <c r="BA75" s="179"/>
    </row>
    <row r="76" spans="1:53" s="170" customFormat="1" x14ac:dyDescent="0.15">
      <c r="A76" s="170">
        <v>1994</v>
      </c>
      <c r="B76" s="281"/>
      <c r="C76" s="395" t="s">
        <v>678</v>
      </c>
      <c r="D76" s="395"/>
      <c r="E76" s="170">
        <v>193</v>
      </c>
      <c r="G76" s="232"/>
      <c r="H76" s="170">
        <v>6</v>
      </c>
      <c r="I76" s="170">
        <v>4</v>
      </c>
      <c r="J76" s="240">
        <v>10</v>
      </c>
      <c r="K76" s="213">
        <f t="shared" si="4"/>
        <v>0</v>
      </c>
      <c r="L76" s="213">
        <f t="shared" si="4"/>
        <v>60</v>
      </c>
      <c r="M76" s="213">
        <f t="shared" si="4"/>
        <v>40</v>
      </c>
      <c r="N76" s="234">
        <f t="shared" si="5"/>
        <v>100</v>
      </c>
      <c r="O76" s="212"/>
      <c r="P76" s="213">
        <v>36.700000000000003</v>
      </c>
      <c r="Q76" s="213">
        <v>30</v>
      </c>
      <c r="R76" s="214">
        <f t="shared" si="6"/>
        <v>66.7</v>
      </c>
      <c r="S76" s="170">
        <v>2</v>
      </c>
      <c r="T76" s="283"/>
      <c r="U76" s="281"/>
      <c r="V76" s="177" t="s">
        <v>492</v>
      </c>
      <c r="W76" s="170" t="s">
        <v>17</v>
      </c>
      <c r="X76" s="170" t="s">
        <v>323</v>
      </c>
      <c r="Y76" s="178">
        <v>36.700000000000003</v>
      </c>
      <c r="Z76" s="170" t="s">
        <v>493</v>
      </c>
      <c r="AA76" s="170" t="s">
        <v>20</v>
      </c>
      <c r="AB76" s="170" t="s">
        <v>12</v>
      </c>
      <c r="AC76" s="170">
        <v>30</v>
      </c>
      <c r="AD76" s="177"/>
      <c r="AG76" s="178"/>
      <c r="AL76" s="177"/>
      <c r="AO76" s="178"/>
      <c r="AP76" s="177"/>
      <c r="AS76" s="178"/>
      <c r="AW76" s="178"/>
      <c r="BA76" s="179"/>
    </row>
    <row r="77" spans="1:53" s="28" customFormat="1" x14ac:dyDescent="0.15">
      <c r="A77" s="28">
        <v>1994</v>
      </c>
      <c r="B77" s="293">
        <v>34528</v>
      </c>
      <c r="C77" s="394" t="s">
        <v>679</v>
      </c>
      <c r="D77" s="394"/>
      <c r="E77" s="28">
        <f>365-E76</f>
        <v>172</v>
      </c>
      <c r="F77" s="28">
        <v>1</v>
      </c>
      <c r="G77" s="65"/>
      <c r="H77" s="28">
        <v>6</v>
      </c>
      <c r="I77" s="28">
        <v>6</v>
      </c>
      <c r="J77" s="72">
        <v>12</v>
      </c>
      <c r="K77" s="46">
        <f t="shared" si="4"/>
        <v>0</v>
      </c>
      <c r="L77" s="46">
        <f t="shared" si="4"/>
        <v>50</v>
      </c>
      <c r="M77" s="46">
        <f t="shared" si="4"/>
        <v>50</v>
      </c>
      <c r="N77" s="67">
        <f t="shared" si="5"/>
        <v>100</v>
      </c>
      <c r="O77" s="45"/>
      <c r="P77" s="46">
        <v>35</v>
      </c>
      <c r="Q77" s="46">
        <v>28.3</v>
      </c>
      <c r="R77" s="47">
        <f t="shared" si="6"/>
        <v>63.3</v>
      </c>
      <c r="S77" s="28">
        <v>2</v>
      </c>
      <c r="T77" s="284">
        <v>34497</v>
      </c>
      <c r="U77" s="293">
        <v>34528</v>
      </c>
      <c r="V77" s="37" t="s">
        <v>492</v>
      </c>
      <c r="W77" s="28" t="s">
        <v>17</v>
      </c>
      <c r="X77" s="28" t="s">
        <v>323</v>
      </c>
      <c r="Y77" s="38">
        <v>35</v>
      </c>
      <c r="Z77" s="28" t="s">
        <v>493</v>
      </c>
      <c r="AA77" s="28" t="s">
        <v>20</v>
      </c>
      <c r="AB77" s="28" t="s">
        <v>12</v>
      </c>
      <c r="AC77" s="28">
        <v>28.3</v>
      </c>
      <c r="AD77" s="37"/>
      <c r="AG77" s="38"/>
      <c r="AL77" s="37"/>
      <c r="AO77" s="38"/>
      <c r="AP77" s="37"/>
      <c r="AS77" s="38"/>
      <c r="AW77" s="38"/>
      <c r="BA77" s="39"/>
    </row>
    <row r="78" spans="1:53" s="28" customFormat="1" x14ac:dyDescent="0.15">
      <c r="A78" s="28">
        <v>1995</v>
      </c>
      <c r="B78" s="293"/>
      <c r="C78" s="394" t="s">
        <v>679</v>
      </c>
      <c r="D78" s="394"/>
      <c r="E78" s="28">
        <v>25</v>
      </c>
      <c r="G78" s="65"/>
      <c r="H78" s="28">
        <v>6</v>
      </c>
      <c r="I78" s="28">
        <v>6</v>
      </c>
      <c r="J78" s="72">
        <v>12</v>
      </c>
      <c r="K78" s="46">
        <f t="shared" si="4"/>
        <v>0</v>
      </c>
      <c r="L78" s="46">
        <f t="shared" si="4"/>
        <v>50</v>
      </c>
      <c r="M78" s="46">
        <f t="shared" si="4"/>
        <v>50</v>
      </c>
      <c r="N78" s="67">
        <f t="shared" si="5"/>
        <v>100</v>
      </c>
      <c r="O78" s="45"/>
      <c r="P78" s="46">
        <v>35</v>
      </c>
      <c r="Q78" s="46">
        <v>28.3</v>
      </c>
      <c r="R78" s="47">
        <f t="shared" si="6"/>
        <v>63.3</v>
      </c>
      <c r="S78" s="28">
        <v>2</v>
      </c>
      <c r="T78" s="284"/>
      <c r="U78" s="293"/>
      <c r="V78" s="37" t="s">
        <v>492</v>
      </c>
      <c r="W78" s="28" t="s">
        <v>17</v>
      </c>
      <c r="X78" s="28" t="s">
        <v>323</v>
      </c>
      <c r="Y78" s="38">
        <v>35</v>
      </c>
      <c r="Z78" s="28" t="s">
        <v>493</v>
      </c>
      <c r="AA78" s="28" t="s">
        <v>20</v>
      </c>
      <c r="AB78" s="28" t="s">
        <v>12</v>
      </c>
      <c r="AC78" s="28">
        <v>28.3</v>
      </c>
      <c r="AD78" s="37"/>
      <c r="AG78" s="38"/>
      <c r="AL78" s="37"/>
      <c r="AO78" s="38"/>
      <c r="AP78" s="37"/>
      <c r="AS78" s="38"/>
      <c r="AW78" s="38"/>
      <c r="BA78" s="39"/>
    </row>
    <row r="79" spans="1:53" s="170" customFormat="1" x14ac:dyDescent="0.15">
      <c r="A79" s="170">
        <v>1995</v>
      </c>
      <c r="B79" s="281">
        <v>34725</v>
      </c>
      <c r="C79" s="395" t="s">
        <v>680</v>
      </c>
      <c r="D79" s="395"/>
      <c r="E79" s="170">
        <f>365-E78</f>
        <v>340</v>
      </c>
      <c r="F79" s="170">
        <v>2</v>
      </c>
      <c r="G79" s="232"/>
      <c r="H79" s="170">
        <v>6</v>
      </c>
      <c r="I79" s="170">
        <v>6</v>
      </c>
      <c r="J79" s="240">
        <v>12</v>
      </c>
      <c r="K79" s="213">
        <f t="shared" si="4"/>
        <v>0</v>
      </c>
      <c r="L79" s="213">
        <f t="shared" si="4"/>
        <v>50</v>
      </c>
      <c r="M79" s="213">
        <f t="shared" si="4"/>
        <v>50</v>
      </c>
      <c r="N79" s="234">
        <f t="shared" si="5"/>
        <v>100</v>
      </c>
      <c r="O79" s="212"/>
      <c r="P79" s="213">
        <v>35</v>
      </c>
      <c r="Q79" s="213">
        <v>28.3</v>
      </c>
      <c r="R79" s="214">
        <f t="shared" si="6"/>
        <v>63.3</v>
      </c>
      <c r="S79" s="170">
        <v>2</v>
      </c>
      <c r="T79" s="283"/>
      <c r="U79" s="281">
        <v>34725</v>
      </c>
      <c r="V79" s="177" t="s">
        <v>492</v>
      </c>
      <c r="W79" s="170" t="s">
        <v>17</v>
      </c>
      <c r="X79" s="170" t="s">
        <v>323</v>
      </c>
      <c r="Y79" s="178">
        <v>35</v>
      </c>
      <c r="Z79" s="170" t="s">
        <v>493</v>
      </c>
      <c r="AA79" s="170" t="s">
        <v>20</v>
      </c>
      <c r="AB79" s="170" t="s">
        <v>12</v>
      </c>
      <c r="AC79" s="170">
        <v>28.3</v>
      </c>
      <c r="AD79" s="177"/>
      <c r="AG79" s="178"/>
      <c r="AL79" s="177"/>
      <c r="AO79" s="178"/>
      <c r="AP79" s="177"/>
      <c r="AS79" s="178"/>
      <c r="AW79" s="178"/>
      <c r="BA79" s="179"/>
    </row>
    <row r="80" spans="1:53" s="170" customFormat="1" x14ac:dyDescent="0.15">
      <c r="A80" s="170">
        <v>1996</v>
      </c>
      <c r="B80" s="281"/>
      <c r="C80" s="395" t="s">
        <v>680</v>
      </c>
      <c r="D80" s="395"/>
      <c r="E80" s="170">
        <v>0</v>
      </c>
      <c r="G80" s="232"/>
      <c r="H80" s="170">
        <v>6</v>
      </c>
      <c r="I80" s="170">
        <v>6</v>
      </c>
      <c r="J80" s="240">
        <v>12</v>
      </c>
      <c r="K80" s="213">
        <f t="shared" si="4"/>
        <v>0</v>
      </c>
      <c r="L80" s="213">
        <f t="shared" si="4"/>
        <v>50</v>
      </c>
      <c r="M80" s="213">
        <f t="shared" si="4"/>
        <v>50</v>
      </c>
      <c r="N80" s="234">
        <f t="shared" si="5"/>
        <v>100</v>
      </c>
      <c r="O80" s="212"/>
      <c r="P80" s="213">
        <v>35</v>
      </c>
      <c r="Q80" s="213">
        <v>28.3</v>
      </c>
      <c r="R80" s="214">
        <f t="shared" si="6"/>
        <v>63.3</v>
      </c>
      <c r="S80" s="170">
        <v>2</v>
      </c>
      <c r="T80" s="283"/>
      <c r="U80" s="281"/>
      <c r="V80" s="177" t="s">
        <v>492</v>
      </c>
      <c r="W80" s="170" t="s">
        <v>17</v>
      </c>
      <c r="X80" s="170" t="s">
        <v>323</v>
      </c>
      <c r="Y80" s="178">
        <v>35</v>
      </c>
      <c r="Z80" s="170" t="s">
        <v>493</v>
      </c>
      <c r="AA80" s="170" t="s">
        <v>20</v>
      </c>
      <c r="AB80" s="170" t="s">
        <v>12</v>
      </c>
      <c r="AC80" s="170">
        <v>28.3</v>
      </c>
      <c r="AD80" s="177"/>
      <c r="AG80" s="178"/>
      <c r="AL80" s="177"/>
      <c r="AO80" s="178"/>
      <c r="AP80" s="177"/>
      <c r="AS80" s="178"/>
      <c r="AW80" s="178"/>
      <c r="BA80" s="179"/>
    </row>
    <row r="81" spans="1:53" s="170" customFormat="1" x14ac:dyDescent="0.15">
      <c r="A81" s="170">
        <v>1996</v>
      </c>
      <c r="B81" s="281"/>
      <c r="C81" s="395" t="s">
        <v>680</v>
      </c>
      <c r="D81" s="395"/>
      <c r="E81" s="170">
        <v>366</v>
      </c>
      <c r="G81" s="232"/>
      <c r="H81" s="170">
        <v>6</v>
      </c>
      <c r="I81" s="170">
        <v>6</v>
      </c>
      <c r="J81" s="240">
        <v>12</v>
      </c>
      <c r="K81" s="213">
        <f t="shared" si="4"/>
        <v>0</v>
      </c>
      <c r="L81" s="213">
        <f t="shared" si="4"/>
        <v>50</v>
      </c>
      <c r="M81" s="213">
        <f t="shared" si="4"/>
        <v>50</v>
      </c>
      <c r="N81" s="234">
        <f t="shared" si="5"/>
        <v>100</v>
      </c>
      <c r="O81" s="212"/>
      <c r="P81" s="213">
        <v>35</v>
      </c>
      <c r="Q81" s="213">
        <v>28.3</v>
      </c>
      <c r="R81" s="214">
        <f t="shared" si="6"/>
        <v>63.3</v>
      </c>
      <c r="S81" s="170">
        <v>2</v>
      </c>
      <c r="T81" s="283"/>
      <c r="U81" s="281"/>
      <c r="V81" s="177" t="s">
        <v>492</v>
      </c>
      <c r="W81" s="170" t="s">
        <v>17</v>
      </c>
      <c r="X81" s="170" t="s">
        <v>323</v>
      </c>
      <c r="Y81" s="178">
        <v>35</v>
      </c>
      <c r="Z81" s="170" t="s">
        <v>493</v>
      </c>
      <c r="AA81" s="170" t="s">
        <v>20</v>
      </c>
      <c r="AB81" s="170" t="s">
        <v>12</v>
      </c>
      <c r="AC81" s="170">
        <v>28.3</v>
      </c>
      <c r="AD81" s="177"/>
      <c r="AG81" s="178"/>
      <c r="AL81" s="177"/>
      <c r="AO81" s="178"/>
      <c r="AP81" s="177"/>
      <c r="AS81" s="178"/>
      <c r="AW81" s="178"/>
      <c r="BA81" s="179"/>
    </row>
    <row r="82" spans="1:53" s="170" customFormat="1" x14ac:dyDescent="0.15">
      <c r="A82" s="170">
        <v>1997</v>
      </c>
      <c r="B82" s="281"/>
      <c r="C82" s="395" t="s">
        <v>680</v>
      </c>
      <c r="D82" s="395"/>
      <c r="E82" s="170">
        <v>0</v>
      </c>
      <c r="G82" s="232"/>
      <c r="H82" s="170">
        <v>6</v>
      </c>
      <c r="I82" s="170">
        <v>6</v>
      </c>
      <c r="J82" s="240">
        <v>12</v>
      </c>
      <c r="K82" s="213">
        <f t="shared" si="4"/>
        <v>0</v>
      </c>
      <c r="L82" s="213">
        <f t="shared" si="4"/>
        <v>50</v>
      </c>
      <c r="M82" s="213">
        <f t="shared" si="4"/>
        <v>50</v>
      </c>
      <c r="N82" s="234">
        <f t="shared" si="5"/>
        <v>100</v>
      </c>
      <c r="O82" s="212"/>
      <c r="P82" s="213">
        <v>35</v>
      </c>
      <c r="Q82" s="213">
        <v>28.3</v>
      </c>
      <c r="R82" s="214">
        <f t="shared" si="6"/>
        <v>63.3</v>
      </c>
      <c r="S82" s="170">
        <v>2</v>
      </c>
      <c r="T82" s="283"/>
      <c r="U82" s="281"/>
      <c r="V82" s="177" t="s">
        <v>492</v>
      </c>
      <c r="W82" s="170" t="s">
        <v>17</v>
      </c>
      <c r="X82" s="170" t="s">
        <v>323</v>
      </c>
      <c r="Y82" s="178">
        <v>35</v>
      </c>
      <c r="Z82" s="170" t="s">
        <v>493</v>
      </c>
      <c r="AA82" s="170" t="s">
        <v>20</v>
      </c>
      <c r="AB82" s="170" t="s">
        <v>12</v>
      </c>
      <c r="AC82" s="170">
        <v>28.3</v>
      </c>
      <c r="AD82" s="177"/>
      <c r="AG82" s="178"/>
      <c r="AL82" s="177"/>
      <c r="AO82" s="178"/>
      <c r="AP82" s="177"/>
      <c r="AS82" s="178"/>
      <c r="AW82" s="178"/>
      <c r="BA82" s="179"/>
    </row>
    <row r="83" spans="1:53" s="170" customFormat="1" x14ac:dyDescent="0.15">
      <c r="A83" s="170">
        <v>1997</v>
      </c>
      <c r="B83" s="281"/>
      <c r="C83" s="395" t="s">
        <v>680</v>
      </c>
      <c r="D83" s="395"/>
      <c r="E83" s="170">
        <f>365-E82</f>
        <v>365</v>
      </c>
      <c r="G83" s="232"/>
      <c r="H83" s="170">
        <v>6</v>
      </c>
      <c r="I83" s="170">
        <v>6</v>
      </c>
      <c r="J83" s="240">
        <v>12</v>
      </c>
      <c r="K83" s="213">
        <f t="shared" si="4"/>
        <v>0</v>
      </c>
      <c r="L83" s="213">
        <f t="shared" si="4"/>
        <v>50</v>
      </c>
      <c r="M83" s="213">
        <f t="shared" si="4"/>
        <v>50</v>
      </c>
      <c r="N83" s="234">
        <f t="shared" si="5"/>
        <v>100</v>
      </c>
      <c r="O83" s="212"/>
      <c r="P83" s="213">
        <v>35</v>
      </c>
      <c r="Q83" s="213">
        <v>28.3</v>
      </c>
      <c r="R83" s="214">
        <f t="shared" si="6"/>
        <v>63.3</v>
      </c>
      <c r="S83" s="170">
        <v>2</v>
      </c>
      <c r="T83" s="283"/>
      <c r="U83" s="281"/>
      <c r="V83" s="177" t="s">
        <v>492</v>
      </c>
      <c r="W83" s="170" t="s">
        <v>17</v>
      </c>
      <c r="X83" s="170" t="s">
        <v>323</v>
      </c>
      <c r="Y83" s="178">
        <v>35</v>
      </c>
      <c r="Z83" s="170" t="s">
        <v>493</v>
      </c>
      <c r="AA83" s="170" t="s">
        <v>20</v>
      </c>
      <c r="AB83" s="170" t="s">
        <v>12</v>
      </c>
      <c r="AC83" s="170">
        <v>28.3</v>
      </c>
      <c r="AD83" s="177"/>
      <c r="AG83" s="178"/>
      <c r="AL83" s="177"/>
      <c r="AO83" s="178"/>
      <c r="AP83" s="177"/>
      <c r="AS83" s="178"/>
      <c r="AW83" s="178"/>
      <c r="BA83" s="179"/>
    </row>
    <row r="84" spans="1:53" s="170" customFormat="1" x14ac:dyDescent="0.15">
      <c r="A84" s="170">
        <v>1998</v>
      </c>
      <c r="B84" s="281"/>
      <c r="C84" s="395" t="s">
        <v>680</v>
      </c>
      <c r="D84" s="395"/>
      <c r="E84" s="170">
        <v>0</v>
      </c>
      <c r="G84" s="232"/>
      <c r="H84" s="170">
        <v>6</v>
      </c>
      <c r="I84" s="170">
        <v>6</v>
      </c>
      <c r="J84" s="240">
        <v>12</v>
      </c>
      <c r="K84" s="213">
        <f t="shared" si="4"/>
        <v>0</v>
      </c>
      <c r="L84" s="213">
        <f t="shared" si="4"/>
        <v>50</v>
      </c>
      <c r="M84" s="213">
        <f t="shared" si="4"/>
        <v>50</v>
      </c>
      <c r="N84" s="234">
        <f t="shared" si="5"/>
        <v>100</v>
      </c>
      <c r="O84" s="212"/>
      <c r="P84" s="213">
        <v>35</v>
      </c>
      <c r="Q84" s="213">
        <v>28.3</v>
      </c>
      <c r="R84" s="214">
        <f t="shared" si="6"/>
        <v>63.3</v>
      </c>
      <c r="S84" s="170">
        <v>2</v>
      </c>
      <c r="T84" s="283"/>
      <c r="U84" s="281"/>
      <c r="V84" s="177" t="s">
        <v>492</v>
      </c>
      <c r="W84" s="170" t="s">
        <v>17</v>
      </c>
      <c r="X84" s="170" t="s">
        <v>323</v>
      </c>
      <c r="Y84" s="178">
        <v>35</v>
      </c>
      <c r="Z84" s="170" t="s">
        <v>493</v>
      </c>
      <c r="AA84" s="170" t="s">
        <v>20</v>
      </c>
      <c r="AB84" s="170" t="s">
        <v>12</v>
      </c>
      <c r="AC84" s="170">
        <v>28.3</v>
      </c>
      <c r="AD84" s="177"/>
      <c r="AG84" s="178"/>
      <c r="AL84" s="177"/>
      <c r="AO84" s="178"/>
      <c r="AP84" s="177"/>
      <c r="AS84" s="178"/>
      <c r="AW84" s="178"/>
      <c r="BA84" s="179"/>
    </row>
    <row r="85" spans="1:53" s="170" customFormat="1" x14ac:dyDescent="0.15">
      <c r="A85" s="170">
        <v>1998</v>
      </c>
      <c r="B85" s="281"/>
      <c r="C85" s="395" t="s">
        <v>680</v>
      </c>
      <c r="D85" s="395"/>
      <c r="E85" s="170">
        <f>365-E84</f>
        <v>365</v>
      </c>
      <c r="G85" s="232"/>
      <c r="H85" s="170">
        <v>6</v>
      </c>
      <c r="I85" s="170">
        <v>6</v>
      </c>
      <c r="J85" s="240">
        <v>12</v>
      </c>
      <c r="K85" s="213">
        <f t="shared" si="4"/>
        <v>0</v>
      </c>
      <c r="L85" s="213">
        <f t="shared" si="4"/>
        <v>50</v>
      </c>
      <c r="M85" s="213">
        <f t="shared" si="4"/>
        <v>50</v>
      </c>
      <c r="N85" s="234">
        <f t="shared" si="5"/>
        <v>100</v>
      </c>
      <c r="O85" s="212"/>
      <c r="P85" s="213">
        <v>35</v>
      </c>
      <c r="Q85" s="213">
        <v>28.3</v>
      </c>
      <c r="R85" s="214">
        <f t="shared" si="6"/>
        <v>63.3</v>
      </c>
      <c r="S85" s="170">
        <v>2</v>
      </c>
      <c r="T85" s="283"/>
      <c r="U85" s="281"/>
      <c r="V85" s="177" t="s">
        <v>492</v>
      </c>
      <c r="W85" s="170" t="s">
        <v>17</v>
      </c>
      <c r="X85" s="170" t="s">
        <v>323</v>
      </c>
      <c r="Y85" s="178">
        <v>35</v>
      </c>
      <c r="Z85" s="170" t="s">
        <v>493</v>
      </c>
      <c r="AA85" s="170" t="s">
        <v>20</v>
      </c>
      <c r="AB85" s="170" t="s">
        <v>12</v>
      </c>
      <c r="AC85" s="170">
        <v>28.3</v>
      </c>
      <c r="AD85" s="177"/>
      <c r="AG85" s="178"/>
      <c r="AL85" s="177"/>
      <c r="AO85" s="178"/>
      <c r="AP85" s="177"/>
      <c r="AS85" s="178"/>
      <c r="AW85" s="178"/>
      <c r="BA85" s="179"/>
    </row>
    <row r="86" spans="1:53" s="170" customFormat="1" x14ac:dyDescent="0.15">
      <c r="A86" s="170">
        <v>1999</v>
      </c>
      <c r="B86" s="281"/>
      <c r="C86" s="395" t="s">
        <v>680</v>
      </c>
      <c r="D86" s="395"/>
      <c r="E86" s="170">
        <v>249</v>
      </c>
      <c r="G86" s="232"/>
      <c r="H86" s="170">
        <v>6</v>
      </c>
      <c r="I86" s="170">
        <v>6</v>
      </c>
      <c r="J86" s="240">
        <v>12</v>
      </c>
      <c r="K86" s="213">
        <f t="shared" si="4"/>
        <v>0</v>
      </c>
      <c r="L86" s="213">
        <f t="shared" si="4"/>
        <v>50</v>
      </c>
      <c r="M86" s="213">
        <f t="shared" si="4"/>
        <v>50</v>
      </c>
      <c r="N86" s="234">
        <f t="shared" si="5"/>
        <v>100</v>
      </c>
      <c r="O86" s="212"/>
      <c r="P86" s="213">
        <v>35</v>
      </c>
      <c r="Q86" s="213">
        <v>28.3</v>
      </c>
      <c r="R86" s="214">
        <f t="shared" si="6"/>
        <v>63.3</v>
      </c>
      <c r="S86" s="170">
        <v>2</v>
      </c>
      <c r="T86" s="283"/>
      <c r="U86" s="281"/>
      <c r="V86" s="177" t="s">
        <v>492</v>
      </c>
      <c r="W86" s="170" t="s">
        <v>17</v>
      </c>
      <c r="X86" s="170" t="s">
        <v>323</v>
      </c>
      <c r="Y86" s="178">
        <v>35</v>
      </c>
      <c r="Z86" s="170" t="s">
        <v>493</v>
      </c>
      <c r="AA86" s="170" t="s">
        <v>20</v>
      </c>
      <c r="AB86" s="170" t="s">
        <v>12</v>
      </c>
      <c r="AC86" s="170">
        <v>28.3</v>
      </c>
      <c r="AD86" s="177"/>
      <c r="AG86" s="178"/>
      <c r="AL86" s="177"/>
      <c r="AO86" s="178"/>
      <c r="AP86" s="177"/>
      <c r="AS86" s="178"/>
      <c r="AW86" s="178"/>
      <c r="BA86" s="179"/>
    </row>
    <row r="87" spans="1:53" s="28" customFormat="1" x14ac:dyDescent="0.15">
      <c r="A87" s="28">
        <v>1999</v>
      </c>
      <c r="B87" s="293">
        <v>36410</v>
      </c>
      <c r="C87" s="394" t="s">
        <v>681</v>
      </c>
      <c r="D87" s="394"/>
      <c r="E87" s="28">
        <f>365-E86</f>
        <v>116</v>
      </c>
      <c r="F87" s="28">
        <v>1</v>
      </c>
      <c r="G87" s="65">
        <v>7</v>
      </c>
      <c r="H87" s="28">
        <v>7</v>
      </c>
      <c r="J87" s="72">
        <v>14</v>
      </c>
      <c r="K87" s="46">
        <f t="shared" si="4"/>
        <v>50</v>
      </c>
      <c r="L87" s="46">
        <f t="shared" si="4"/>
        <v>50</v>
      </c>
      <c r="M87" s="46">
        <f t="shared" si="4"/>
        <v>0</v>
      </c>
      <c r="N87" s="67">
        <f t="shared" si="5"/>
        <v>100</v>
      </c>
      <c r="O87" s="45">
        <v>25</v>
      </c>
      <c r="P87" s="46">
        <v>31.7</v>
      </c>
      <c r="Q87" s="46"/>
      <c r="R87" s="47">
        <f t="shared" si="6"/>
        <v>56.7</v>
      </c>
      <c r="S87" s="28">
        <v>2</v>
      </c>
      <c r="T87" s="284">
        <v>36324</v>
      </c>
      <c r="U87" s="293">
        <v>36410</v>
      </c>
      <c r="V87" s="37" t="s">
        <v>492</v>
      </c>
      <c r="W87" s="28" t="s">
        <v>17</v>
      </c>
      <c r="X87" s="28" t="s">
        <v>323</v>
      </c>
      <c r="Y87" s="38">
        <v>31.7</v>
      </c>
      <c r="Z87" s="28" t="s">
        <v>130</v>
      </c>
      <c r="AA87" s="28" t="s">
        <v>22</v>
      </c>
      <c r="AB87" s="28" t="s">
        <v>11</v>
      </c>
      <c r="AC87" s="28">
        <v>25</v>
      </c>
      <c r="AD87" s="37"/>
      <c r="AG87" s="38"/>
      <c r="AL87" s="37"/>
      <c r="AO87" s="38"/>
      <c r="AP87" s="37"/>
      <c r="AS87" s="38"/>
      <c r="AW87" s="38"/>
      <c r="BA87" s="39"/>
    </row>
    <row r="88" spans="1:53" s="28" customFormat="1" x14ac:dyDescent="0.15">
      <c r="A88" s="28">
        <v>2000</v>
      </c>
      <c r="B88" s="293"/>
      <c r="C88" s="394" t="s">
        <v>681</v>
      </c>
      <c r="D88" s="394"/>
      <c r="E88" s="28">
        <v>0</v>
      </c>
      <c r="G88" s="65">
        <v>7</v>
      </c>
      <c r="H88" s="28">
        <v>7</v>
      </c>
      <c r="J88" s="72">
        <v>14</v>
      </c>
      <c r="K88" s="46">
        <f t="shared" si="4"/>
        <v>50</v>
      </c>
      <c r="L88" s="46">
        <f t="shared" si="4"/>
        <v>50</v>
      </c>
      <c r="M88" s="46">
        <f t="shared" si="4"/>
        <v>0</v>
      </c>
      <c r="N88" s="67">
        <f t="shared" si="5"/>
        <v>100</v>
      </c>
      <c r="O88" s="45">
        <v>25</v>
      </c>
      <c r="P88" s="46">
        <v>31.7</v>
      </c>
      <c r="Q88" s="46"/>
      <c r="R88" s="47">
        <f t="shared" si="6"/>
        <v>56.7</v>
      </c>
      <c r="S88" s="28">
        <v>2</v>
      </c>
      <c r="T88" s="284"/>
      <c r="U88" s="293"/>
      <c r="V88" s="37" t="s">
        <v>492</v>
      </c>
      <c r="W88" s="28" t="s">
        <v>17</v>
      </c>
      <c r="X88" s="28" t="s">
        <v>323</v>
      </c>
      <c r="Y88" s="38">
        <v>31.7</v>
      </c>
      <c r="Z88" s="28" t="s">
        <v>130</v>
      </c>
      <c r="AA88" s="28" t="s">
        <v>22</v>
      </c>
      <c r="AB88" s="28" t="s">
        <v>11</v>
      </c>
      <c r="AC88" s="28">
        <v>25</v>
      </c>
      <c r="AD88" s="37"/>
      <c r="AG88" s="38"/>
      <c r="AL88" s="37"/>
      <c r="AO88" s="38"/>
      <c r="AP88" s="37"/>
      <c r="AS88" s="38"/>
      <c r="AW88" s="38"/>
      <c r="BA88" s="39"/>
    </row>
    <row r="89" spans="1:53" s="28" customFormat="1" x14ac:dyDescent="0.15">
      <c r="A89" s="28">
        <v>2000</v>
      </c>
      <c r="B89" s="293"/>
      <c r="C89" s="394" t="s">
        <v>681</v>
      </c>
      <c r="D89" s="394"/>
      <c r="E89" s="28">
        <v>366</v>
      </c>
      <c r="G89" s="65">
        <v>7</v>
      </c>
      <c r="H89" s="28">
        <v>7</v>
      </c>
      <c r="J89" s="72">
        <v>14</v>
      </c>
      <c r="K89" s="46">
        <f t="shared" si="4"/>
        <v>50</v>
      </c>
      <c r="L89" s="46">
        <f t="shared" si="4"/>
        <v>50</v>
      </c>
      <c r="M89" s="46">
        <f t="shared" si="4"/>
        <v>0</v>
      </c>
      <c r="N89" s="67">
        <f t="shared" si="5"/>
        <v>100</v>
      </c>
      <c r="O89" s="45">
        <v>25</v>
      </c>
      <c r="P89" s="46">
        <v>31.7</v>
      </c>
      <c r="Q89" s="46"/>
      <c r="R89" s="47">
        <f t="shared" si="6"/>
        <v>56.7</v>
      </c>
      <c r="S89" s="28">
        <v>2</v>
      </c>
      <c r="T89" s="284"/>
      <c r="U89" s="293"/>
      <c r="V89" s="37" t="s">
        <v>492</v>
      </c>
      <c r="W89" s="28" t="s">
        <v>17</v>
      </c>
      <c r="X89" s="28" t="s">
        <v>323</v>
      </c>
      <c r="Y89" s="38">
        <v>31.7</v>
      </c>
      <c r="Z89" s="28" t="s">
        <v>130</v>
      </c>
      <c r="AA89" s="28" t="s">
        <v>22</v>
      </c>
      <c r="AB89" s="28" t="s">
        <v>11</v>
      </c>
      <c r="AC89" s="28">
        <v>25</v>
      </c>
      <c r="AD89" s="37"/>
      <c r="AG89" s="38"/>
      <c r="AL89" s="37"/>
      <c r="AO89" s="38"/>
      <c r="AP89" s="37"/>
      <c r="AS89" s="38"/>
      <c r="AW89" s="38"/>
      <c r="BA89" s="39"/>
    </row>
    <row r="90" spans="1:53" s="28" customFormat="1" x14ac:dyDescent="0.15">
      <c r="A90" s="28">
        <v>2001</v>
      </c>
      <c r="B90" s="293"/>
      <c r="C90" s="394" t="s">
        <v>681</v>
      </c>
      <c r="D90" s="394"/>
      <c r="E90" s="28">
        <v>0</v>
      </c>
      <c r="G90" s="65">
        <v>7</v>
      </c>
      <c r="H90" s="28">
        <v>7</v>
      </c>
      <c r="J90" s="72">
        <v>14</v>
      </c>
      <c r="K90" s="46">
        <f t="shared" si="4"/>
        <v>50</v>
      </c>
      <c r="L90" s="46">
        <f t="shared" si="4"/>
        <v>50</v>
      </c>
      <c r="M90" s="46">
        <f t="shared" si="4"/>
        <v>0</v>
      </c>
      <c r="N90" s="67">
        <f t="shared" si="5"/>
        <v>100</v>
      </c>
      <c r="O90" s="45">
        <v>25</v>
      </c>
      <c r="P90" s="46">
        <v>31.7</v>
      </c>
      <c r="Q90" s="46"/>
      <c r="R90" s="47">
        <f t="shared" si="6"/>
        <v>56.7</v>
      </c>
      <c r="S90" s="28">
        <v>2</v>
      </c>
      <c r="T90" s="284"/>
      <c r="U90" s="293"/>
      <c r="V90" s="37" t="s">
        <v>492</v>
      </c>
      <c r="W90" s="28" t="s">
        <v>17</v>
      </c>
      <c r="X90" s="28" t="s">
        <v>323</v>
      </c>
      <c r="Y90" s="38">
        <v>31.7</v>
      </c>
      <c r="Z90" s="28" t="s">
        <v>130</v>
      </c>
      <c r="AA90" s="28" t="s">
        <v>22</v>
      </c>
      <c r="AB90" s="28" t="s">
        <v>11</v>
      </c>
      <c r="AC90" s="28">
        <v>25</v>
      </c>
      <c r="AD90" s="37"/>
      <c r="AG90" s="38"/>
      <c r="AL90" s="37"/>
      <c r="AO90" s="38"/>
      <c r="AP90" s="37"/>
      <c r="AS90" s="38"/>
      <c r="AW90" s="38"/>
      <c r="BA90" s="39"/>
    </row>
    <row r="91" spans="1:53" s="28" customFormat="1" x14ac:dyDescent="0.15">
      <c r="A91" s="28">
        <v>2001</v>
      </c>
      <c r="B91" s="293"/>
      <c r="C91" s="394" t="s">
        <v>681</v>
      </c>
      <c r="D91" s="394"/>
      <c r="E91" s="28">
        <f>365-E90</f>
        <v>365</v>
      </c>
      <c r="G91" s="65">
        <v>7</v>
      </c>
      <c r="H91" s="28">
        <v>7</v>
      </c>
      <c r="J91" s="72">
        <v>14</v>
      </c>
      <c r="K91" s="46">
        <f t="shared" si="4"/>
        <v>50</v>
      </c>
      <c r="L91" s="46">
        <f t="shared" si="4"/>
        <v>50</v>
      </c>
      <c r="M91" s="46">
        <f t="shared" si="4"/>
        <v>0</v>
      </c>
      <c r="N91" s="67">
        <f t="shared" si="5"/>
        <v>100</v>
      </c>
      <c r="O91" s="45">
        <v>25</v>
      </c>
      <c r="P91" s="46">
        <v>31.7</v>
      </c>
      <c r="Q91" s="46"/>
      <c r="R91" s="47">
        <f t="shared" si="6"/>
        <v>56.7</v>
      </c>
      <c r="S91" s="28">
        <v>2</v>
      </c>
      <c r="T91" s="284"/>
      <c r="U91" s="293"/>
      <c r="V91" s="37" t="s">
        <v>492</v>
      </c>
      <c r="W91" s="28" t="s">
        <v>17</v>
      </c>
      <c r="X91" s="28" t="s">
        <v>323</v>
      </c>
      <c r="Y91" s="38">
        <v>31.7</v>
      </c>
      <c r="Z91" s="28" t="s">
        <v>130</v>
      </c>
      <c r="AA91" s="28" t="s">
        <v>22</v>
      </c>
      <c r="AB91" s="28" t="s">
        <v>11</v>
      </c>
      <c r="AC91" s="28">
        <v>25</v>
      </c>
      <c r="AD91" s="37"/>
      <c r="AG91" s="38"/>
      <c r="AL91" s="37"/>
      <c r="AO91" s="38"/>
      <c r="AP91" s="37"/>
      <c r="AS91" s="38"/>
      <c r="AW91" s="38"/>
      <c r="BA91" s="39"/>
    </row>
    <row r="92" spans="1:53" s="28" customFormat="1" x14ac:dyDescent="0.15">
      <c r="A92" s="28">
        <v>2002</v>
      </c>
      <c r="B92" s="293"/>
      <c r="C92" s="394" t="s">
        <v>681</v>
      </c>
      <c r="D92" s="394"/>
      <c r="E92" s="28">
        <v>0</v>
      </c>
      <c r="G92" s="65">
        <v>7</v>
      </c>
      <c r="H92" s="28">
        <v>7</v>
      </c>
      <c r="J92" s="72">
        <v>14</v>
      </c>
      <c r="K92" s="46">
        <f t="shared" si="4"/>
        <v>50</v>
      </c>
      <c r="L92" s="46">
        <f t="shared" si="4"/>
        <v>50</v>
      </c>
      <c r="M92" s="46">
        <f t="shared" si="4"/>
        <v>0</v>
      </c>
      <c r="N92" s="67">
        <f t="shared" si="5"/>
        <v>100</v>
      </c>
      <c r="O92" s="45">
        <v>25</v>
      </c>
      <c r="P92" s="46">
        <v>31.7</v>
      </c>
      <c r="Q92" s="46"/>
      <c r="R92" s="47">
        <f t="shared" si="6"/>
        <v>56.7</v>
      </c>
      <c r="S92" s="28">
        <v>2</v>
      </c>
      <c r="T92" s="284"/>
      <c r="U92" s="293"/>
      <c r="V92" s="37" t="s">
        <v>492</v>
      </c>
      <c r="W92" s="28" t="s">
        <v>17</v>
      </c>
      <c r="X92" s="28" t="s">
        <v>323</v>
      </c>
      <c r="Y92" s="38">
        <v>31.7</v>
      </c>
      <c r="Z92" s="28" t="s">
        <v>130</v>
      </c>
      <c r="AA92" s="28" t="s">
        <v>22</v>
      </c>
      <c r="AB92" s="28" t="s">
        <v>11</v>
      </c>
      <c r="AC92" s="28">
        <v>25</v>
      </c>
      <c r="AD92" s="37"/>
      <c r="AG92" s="38"/>
      <c r="AL92" s="37"/>
      <c r="AO92" s="38"/>
      <c r="AP92" s="37"/>
      <c r="AS92" s="38"/>
      <c r="AW92" s="38"/>
      <c r="BA92" s="39"/>
    </row>
    <row r="93" spans="1:53" s="28" customFormat="1" x14ac:dyDescent="0.15">
      <c r="A93" s="28">
        <v>2002</v>
      </c>
      <c r="B93" s="293"/>
      <c r="C93" s="394" t="s">
        <v>681</v>
      </c>
      <c r="D93" s="394"/>
      <c r="E93" s="28">
        <f>365-E92</f>
        <v>365</v>
      </c>
      <c r="G93" s="65">
        <v>7</v>
      </c>
      <c r="H93" s="28">
        <v>7</v>
      </c>
      <c r="J93" s="72">
        <v>14</v>
      </c>
      <c r="K93" s="46">
        <f t="shared" si="4"/>
        <v>50</v>
      </c>
      <c r="L93" s="46">
        <f t="shared" si="4"/>
        <v>50</v>
      </c>
      <c r="M93" s="46">
        <f t="shared" si="4"/>
        <v>0</v>
      </c>
      <c r="N93" s="67">
        <f t="shared" si="5"/>
        <v>100</v>
      </c>
      <c r="O93" s="45">
        <v>25</v>
      </c>
      <c r="P93" s="46">
        <v>31.7</v>
      </c>
      <c r="Q93" s="46"/>
      <c r="R93" s="47">
        <f t="shared" si="6"/>
        <v>56.7</v>
      </c>
      <c r="S93" s="28">
        <v>2</v>
      </c>
      <c r="T93" s="284"/>
      <c r="U93" s="293"/>
      <c r="V93" s="37" t="s">
        <v>492</v>
      </c>
      <c r="W93" s="28" t="s">
        <v>17</v>
      </c>
      <c r="X93" s="28" t="s">
        <v>323</v>
      </c>
      <c r="Y93" s="38">
        <v>31.7</v>
      </c>
      <c r="Z93" s="28" t="s">
        <v>130</v>
      </c>
      <c r="AA93" s="28" t="s">
        <v>22</v>
      </c>
      <c r="AB93" s="28" t="s">
        <v>11</v>
      </c>
      <c r="AC93" s="28">
        <v>25</v>
      </c>
      <c r="AD93" s="37"/>
      <c r="AG93" s="38"/>
      <c r="AL93" s="37"/>
      <c r="AO93" s="38"/>
      <c r="AP93" s="37"/>
      <c r="AS93" s="38"/>
      <c r="AW93" s="38"/>
      <c r="BA93" s="39"/>
    </row>
    <row r="94" spans="1:53" s="28" customFormat="1" x14ac:dyDescent="0.15">
      <c r="A94" s="28">
        <v>2003</v>
      </c>
      <c r="B94" s="293"/>
      <c r="C94" s="394" t="s">
        <v>681</v>
      </c>
      <c r="D94" s="394"/>
      <c r="E94" s="28">
        <v>0</v>
      </c>
      <c r="G94" s="65">
        <v>7</v>
      </c>
      <c r="H94" s="28">
        <v>7</v>
      </c>
      <c r="J94" s="72">
        <v>14</v>
      </c>
      <c r="K94" s="46">
        <f t="shared" si="4"/>
        <v>50</v>
      </c>
      <c r="L94" s="46">
        <f t="shared" si="4"/>
        <v>50</v>
      </c>
      <c r="M94" s="46">
        <f t="shared" si="4"/>
        <v>0</v>
      </c>
      <c r="N94" s="67">
        <f t="shared" si="5"/>
        <v>100</v>
      </c>
      <c r="O94" s="45">
        <v>25</v>
      </c>
      <c r="P94" s="46">
        <v>31.7</v>
      </c>
      <c r="Q94" s="46"/>
      <c r="R94" s="47">
        <f t="shared" si="6"/>
        <v>56.7</v>
      </c>
      <c r="S94" s="28">
        <v>2</v>
      </c>
      <c r="T94" s="284"/>
      <c r="U94" s="293"/>
      <c r="V94" s="37" t="s">
        <v>492</v>
      </c>
      <c r="W94" s="28" t="s">
        <v>17</v>
      </c>
      <c r="X94" s="28" t="s">
        <v>323</v>
      </c>
      <c r="Y94" s="38">
        <v>31.7</v>
      </c>
      <c r="Z94" s="28" t="s">
        <v>130</v>
      </c>
      <c r="AA94" s="28" t="s">
        <v>22</v>
      </c>
      <c r="AB94" s="28" t="s">
        <v>11</v>
      </c>
      <c r="AC94" s="28">
        <v>25</v>
      </c>
      <c r="AD94" s="37"/>
      <c r="AG94" s="38"/>
      <c r="AL94" s="37"/>
      <c r="AO94" s="38"/>
      <c r="AP94" s="37"/>
      <c r="AS94" s="38"/>
      <c r="AW94" s="38"/>
      <c r="BA94" s="39"/>
    </row>
    <row r="95" spans="1:53" s="28" customFormat="1" x14ac:dyDescent="0.15">
      <c r="A95" s="28">
        <v>2003</v>
      </c>
      <c r="B95" s="293"/>
      <c r="C95" s="394" t="s">
        <v>681</v>
      </c>
      <c r="D95" s="394"/>
      <c r="E95" s="28">
        <f>365-E94</f>
        <v>365</v>
      </c>
      <c r="G95" s="65">
        <v>7</v>
      </c>
      <c r="H95" s="28">
        <v>7</v>
      </c>
      <c r="J95" s="72">
        <v>14</v>
      </c>
      <c r="K95" s="46">
        <f t="shared" si="4"/>
        <v>50</v>
      </c>
      <c r="L95" s="46">
        <f t="shared" si="4"/>
        <v>50</v>
      </c>
      <c r="M95" s="46">
        <f t="shared" si="4"/>
        <v>0</v>
      </c>
      <c r="N95" s="67">
        <f t="shared" si="5"/>
        <v>100</v>
      </c>
      <c r="O95" s="45">
        <v>25</v>
      </c>
      <c r="P95" s="46">
        <v>31.7</v>
      </c>
      <c r="Q95" s="46"/>
      <c r="R95" s="47">
        <f t="shared" si="6"/>
        <v>56.7</v>
      </c>
      <c r="S95" s="28">
        <v>2</v>
      </c>
      <c r="T95" s="284"/>
      <c r="U95" s="293"/>
      <c r="V95" s="37" t="s">
        <v>492</v>
      </c>
      <c r="W95" s="28" t="s">
        <v>17</v>
      </c>
      <c r="X95" s="28" t="s">
        <v>323</v>
      </c>
      <c r="Y95" s="38">
        <v>31.7</v>
      </c>
      <c r="Z95" s="28" t="s">
        <v>130</v>
      </c>
      <c r="AA95" s="28" t="s">
        <v>22</v>
      </c>
      <c r="AB95" s="28" t="s">
        <v>11</v>
      </c>
      <c r="AC95" s="28">
        <v>25</v>
      </c>
      <c r="AD95" s="37"/>
      <c r="AG95" s="38"/>
      <c r="AL95" s="37"/>
      <c r="AO95" s="38"/>
      <c r="AP95" s="37"/>
      <c r="AS95" s="38"/>
      <c r="AW95" s="38"/>
      <c r="BA95" s="39"/>
    </row>
    <row r="96" spans="1:53" s="28" customFormat="1" x14ac:dyDescent="0.15">
      <c r="A96" s="28">
        <v>2004</v>
      </c>
      <c r="B96" s="293"/>
      <c r="C96" s="394" t="s">
        <v>681</v>
      </c>
      <c r="D96" s="394"/>
      <c r="E96" s="28">
        <v>212</v>
      </c>
      <c r="G96" s="65">
        <v>7</v>
      </c>
      <c r="H96" s="28">
        <v>7</v>
      </c>
      <c r="J96" s="72">
        <v>14</v>
      </c>
      <c r="K96" s="46">
        <f t="shared" si="4"/>
        <v>50</v>
      </c>
      <c r="L96" s="46">
        <f t="shared" si="4"/>
        <v>50</v>
      </c>
      <c r="M96" s="46">
        <f t="shared" si="4"/>
        <v>0</v>
      </c>
      <c r="N96" s="67">
        <f t="shared" si="5"/>
        <v>100</v>
      </c>
      <c r="O96" s="45">
        <v>25</v>
      </c>
      <c r="P96" s="46">
        <v>31.7</v>
      </c>
      <c r="Q96" s="46"/>
      <c r="R96" s="47">
        <f t="shared" si="6"/>
        <v>56.7</v>
      </c>
      <c r="S96" s="28">
        <v>2</v>
      </c>
      <c r="T96" s="284"/>
      <c r="U96" s="293"/>
      <c r="V96" s="37" t="s">
        <v>492</v>
      </c>
      <c r="W96" s="28" t="s">
        <v>17</v>
      </c>
      <c r="X96" s="28" t="s">
        <v>323</v>
      </c>
      <c r="Y96" s="38">
        <v>31.7</v>
      </c>
      <c r="Z96" s="28" t="s">
        <v>130</v>
      </c>
      <c r="AA96" s="28" t="s">
        <v>22</v>
      </c>
      <c r="AB96" s="28" t="s">
        <v>11</v>
      </c>
      <c r="AC96" s="28">
        <v>25</v>
      </c>
      <c r="AD96" s="37"/>
      <c r="AG96" s="38"/>
      <c r="AL96" s="37"/>
      <c r="AO96" s="38"/>
      <c r="AP96" s="37"/>
      <c r="AS96" s="38"/>
      <c r="AW96" s="38"/>
      <c r="BA96" s="39"/>
    </row>
    <row r="97" spans="1:53" s="170" customFormat="1" x14ac:dyDescent="0.15">
      <c r="A97" s="170">
        <v>2004</v>
      </c>
      <c r="B97" s="281">
        <v>38199</v>
      </c>
      <c r="C97" s="395" t="s">
        <v>682</v>
      </c>
      <c r="D97" s="395"/>
      <c r="E97" s="170">
        <f>366-E96</f>
        <v>154</v>
      </c>
      <c r="F97" s="170">
        <v>1</v>
      </c>
      <c r="G97" s="232"/>
      <c r="H97" s="170">
        <v>9</v>
      </c>
      <c r="I97" s="170">
        <v>6</v>
      </c>
      <c r="J97" s="240">
        <v>15</v>
      </c>
      <c r="K97" s="213">
        <f t="shared" si="4"/>
        <v>0</v>
      </c>
      <c r="L97" s="213">
        <f t="shared" si="4"/>
        <v>60</v>
      </c>
      <c r="M97" s="213">
        <f t="shared" si="4"/>
        <v>40</v>
      </c>
      <c r="N97" s="234">
        <f t="shared" si="5"/>
        <v>100</v>
      </c>
      <c r="O97" s="212"/>
      <c r="P97" s="213">
        <v>40</v>
      </c>
      <c r="Q97" s="213">
        <v>23.3</v>
      </c>
      <c r="R97" s="214">
        <f t="shared" si="6"/>
        <v>63.3</v>
      </c>
      <c r="S97" s="170">
        <v>2</v>
      </c>
      <c r="T97" s="283">
        <v>38151</v>
      </c>
      <c r="U97" s="281">
        <v>38199</v>
      </c>
      <c r="V97" s="177" t="s">
        <v>492</v>
      </c>
      <c r="W97" s="170" t="s">
        <v>17</v>
      </c>
      <c r="X97" s="170" t="s">
        <v>323</v>
      </c>
      <c r="Y97" s="178">
        <v>40</v>
      </c>
      <c r="Z97" s="170" t="s">
        <v>493</v>
      </c>
      <c r="AA97" s="170" t="s">
        <v>20</v>
      </c>
      <c r="AB97" s="170" t="s">
        <v>12</v>
      </c>
      <c r="AC97" s="170">
        <v>23.3</v>
      </c>
      <c r="AD97" s="177"/>
      <c r="AG97" s="178"/>
      <c r="AL97" s="177"/>
      <c r="AO97" s="178"/>
      <c r="AP97" s="177"/>
      <c r="AS97" s="178"/>
      <c r="AW97" s="178"/>
      <c r="BA97" s="179"/>
    </row>
    <row r="98" spans="1:53" s="170" customFormat="1" x14ac:dyDescent="0.15">
      <c r="A98" s="170">
        <v>2005</v>
      </c>
      <c r="B98" s="281"/>
      <c r="C98" s="395" t="s">
        <v>682</v>
      </c>
      <c r="D98" s="395"/>
      <c r="E98" s="170">
        <v>0</v>
      </c>
      <c r="G98" s="232"/>
      <c r="H98" s="170">
        <v>9</v>
      </c>
      <c r="I98" s="170">
        <v>6</v>
      </c>
      <c r="J98" s="240">
        <v>15</v>
      </c>
      <c r="K98" s="213">
        <f t="shared" si="4"/>
        <v>0</v>
      </c>
      <c r="L98" s="213">
        <f t="shared" si="4"/>
        <v>60</v>
      </c>
      <c r="M98" s="213">
        <f t="shared" si="4"/>
        <v>40</v>
      </c>
      <c r="N98" s="234">
        <f t="shared" si="5"/>
        <v>100</v>
      </c>
      <c r="O98" s="212"/>
      <c r="P98" s="213">
        <v>40</v>
      </c>
      <c r="Q98" s="213">
        <v>23.3</v>
      </c>
      <c r="R98" s="214">
        <f t="shared" si="6"/>
        <v>63.3</v>
      </c>
      <c r="S98" s="170">
        <v>2</v>
      </c>
      <c r="T98" s="283"/>
      <c r="U98" s="281"/>
      <c r="V98" s="177" t="s">
        <v>492</v>
      </c>
      <c r="W98" s="170" t="s">
        <v>17</v>
      </c>
      <c r="X98" s="170" t="s">
        <v>323</v>
      </c>
      <c r="Y98" s="178">
        <v>40</v>
      </c>
      <c r="Z98" s="170" t="s">
        <v>493</v>
      </c>
      <c r="AA98" s="170" t="s">
        <v>20</v>
      </c>
      <c r="AB98" s="170" t="s">
        <v>12</v>
      </c>
      <c r="AC98" s="170">
        <v>23.3</v>
      </c>
      <c r="AD98" s="177"/>
      <c r="AG98" s="178"/>
      <c r="AL98" s="177"/>
      <c r="AO98" s="178"/>
      <c r="AP98" s="177"/>
      <c r="AS98" s="178"/>
      <c r="AW98" s="178"/>
      <c r="BA98" s="179"/>
    </row>
    <row r="99" spans="1:53" s="170" customFormat="1" x14ac:dyDescent="0.15">
      <c r="A99" s="170">
        <v>2005</v>
      </c>
      <c r="B99" s="281"/>
      <c r="C99" s="395" t="s">
        <v>682</v>
      </c>
      <c r="D99" s="395"/>
      <c r="E99" s="170">
        <f>365-E98</f>
        <v>365</v>
      </c>
      <c r="G99" s="232"/>
      <c r="H99" s="170">
        <v>9</v>
      </c>
      <c r="I99" s="170">
        <v>6</v>
      </c>
      <c r="J99" s="240">
        <v>15</v>
      </c>
      <c r="K99" s="213">
        <f t="shared" si="4"/>
        <v>0</v>
      </c>
      <c r="L99" s="213">
        <f t="shared" si="4"/>
        <v>60</v>
      </c>
      <c r="M99" s="213">
        <f t="shared" si="4"/>
        <v>40</v>
      </c>
      <c r="N99" s="234">
        <f t="shared" si="5"/>
        <v>100</v>
      </c>
      <c r="O99" s="212"/>
      <c r="P99" s="213">
        <v>40</v>
      </c>
      <c r="Q99" s="213">
        <v>23.3</v>
      </c>
      <c r="R99" s="214">
        <f t="shared" si="6"/>
        <v>63.3</v>
      </c>
      <c r="S99" s="170">
        <v>2</v>
      </c>
      <c r="T99" s="283"/>
      <c r="U99" s="281"/>
      <c r="V99" s="177" t="s">
        <v>492</v>
      </c>
      <c r="W99" s="170" t="s">
        <v>17</v>
      </c>
      <c r="X99" s="170" t="s">
        <v>323</v>
      </c>
      <c r="Y99" s="178">
        <v>40</v>
      </c>
      <c r="Z99" s="170" t="s">
        <v>493</v>
      </c>
      <c r="AA99" s="170" t="s">
        <v>20</v>
      </c>
      <c r="AB99" s="170" t="s">
        <v>12</v>
      </c>
      <c r="AC99" s="170">
        <v>23.3</v>
      </c>
      <c r="AD99" s="177"/>
      <c r="AG99" s="178"/>
      <c r="AL99" s="177"/>
      <c r="AO99" s="178"/>
      <c r="AP99" s="177"/>
      <c r="AS99" s="178"/>
      <c r="AW99" s="178"/>
      <c r="BA99" s="179"/>
    </row>
    <row r="100" spans="1:53" s="170" customFormat="1" x14ac:dyDescent="0.15">
      <c r="A100" s="170">
        <v>2006</v>
      </c>
      <c r="B100" s="281"/>
      <c r="C100" s="395" t="s">
        <v>682</v>
      </c>
      <c r="D100" s="395"/>
      <c r="E100" s="170">
        <v>0</v>
      </c>
      <c r="G100" s="232"/>
      <c r="H100" s="170">
        <v>9</v>
      </c>
      <c r="I100" s="170">
        <v>6</v>
      </c>
      <c r="J100" s="240">
        <v>15</v>
      </c>
      <c r="K100" s="213">
        <f t="shared" si="4"/>
        <v>0</v>
      </c>
      <c r="L100" s="213">
        <f t="shared" si="4"/>
        <v>60</v>
      </c>
      <c r="M100" s="213">
        <f t="shared" si="4"/>
        <v>40</v>
      </c>
      <c r="N100" s="234">
        <f t="shared" si="5"/>
        <v>100</v>
      </c>
      <c r="O100" s="212"/>
      <c r="P100" s="213">
        <v>40</v>
      </c>
      <c r="Q100" s="213">
        <v>23.3</v>
      </c>
      <c r="R100" s="214">
        <f t="shared" si="6"/>
        <v>63.3</v>
      </c>
      <c r="S100" s="170">
        <v>2</v>
      </c>
      <c r="T100" s="283"/>
      <c r="U100" s="281"/>
      <c r="V100" s="177" t="s">
        <v>492</v>
      </c>
      <c r="W100" s="170" t="s">
        <v>17</v>
      </c>
      <c r="X100" s="170" t="s">
        <v>323</v>
      </c>
      <c r="Y100" s="178">
        <v>40</v>
      </c>
      <c r="Z100" s="170" t="s">
        <v>493</v>
      </c>
      <c r="AA100" s="170" t="s">
        <v>20</v>
      </c>
      <c r="AB100" s="170" t="s">
        <v>12</v>
      </c>
      <c r="AC100" s="170">
        <v>23.3</v>
      </c>
      <c r="AD100" s="177"/>
      <c r="AG100" s="178"/>
      <c r="AL100" s="177"/>
      <c r="AO100" s="178"/>
      <c r="AP100" s="177"/>
      <c r="AS100" s="178"/>
      <c r="AW100" s="178"/>
      <c r="BA100" s="179"/>
    </row>
    <row r="101" spans="1:53" s="170" customFormat="1" x14ac:dyDescent="0.15">
      <c r="A101" s="170">
        <v>2006</v>
      </c>
      <c r="B101" s="281"/>
      <c r="C101" s="395" t="s">
        <v>682</v>
      </c>
      <c r="D101" s="395"/>
      <c r="E101" s="170">
        <f>365-E100</f>
        <v>365</v>
      </c>
      <c r="G101" s="232"/>
      <c r="H101" s="170">
        <v>9</v>
      </c>
      <c r="I101" s="170">
        <v>6</v>
      </c>
      <c r="J101" s="240">
        <v>15</v>
      </c>
      <c r="K101" s="213">
        <f t="shared" si="4"/>
        <v>0</v>
      </c>
      <c r="L101" s="213">
        <f t="shared" si="4"/>
        <v>60</v>
      </c>
      <c r="M101" s="213">
        <f t="shared" si="4"/>
        <v>40</v>
      </c>
      <c r="N101" s="234">
        <f t="shared" si="5"/>
        <v>100</v>
      </c>
      <c r="O101" s="212"/>
      <c r="P101" s="213">
        <v>40</v>
      </c>
      <c r="Q101" s="213">
        <v>23.3</v>
      </c>
      <c r="R101" s="214">
        <f t="shared" si="6"/>
        <v>63.3</v>
      </c>
      <c r="S101" s="170">
        <v>2</v>
      </c>
      <c r="T101" s="283"/>
      <c r="U101" s="281"/>
      <c r="V101" s="177" t="s">
        <v>492</v>
      </c>
      <c r="W101" s="170" t="s">
        <v>17</v>
      </c>
      <c r="X101" s="170" t="s">
        <v>323</v>
      </c>
      <c r="Y101" s="178">
        <v>40</v>
      </c>
      <c r="Z101" s="170" t="s">
        <v>493</v>
      </c>
      <c r="AA101" s="170" t="s">
        <v>20</v>
      </c>
      <c r="AB101" s="170" t="s">
        <v>12</v>
      </c>
      <c r="AC101" s="170">
        <v>23.3</v>
      </c>
      <c r="AD101" s="177"/>
      <c r="AG101" s="178"/>
      <c r="AL101" s="177"/>
      <c r="AO101" s="178"/>
      <c r="AP101" s="177"/>
      <c r="AS101" s="178"/>
      <c r="AW101" s="178"/>
      <c r="BA101" s="179"/>
    </row>
    <row r="102" spans="1:53" s="170" customFormat="1" x14ac:dyDescent="0.15">
      <c r="A102" s="170">
        <v>2007</v>
      </c>
      <c r="B102" s="281"/>
      <c r="C102" s="395" t="s">
        <v>682</v>
      </c>
      <c r="D102" s="395"/>
      <c r="E102" s="170">
        <v>0</v>
      </c>
      <c r="G102" s="232"/>
      <c r="H102" s="170">
        <v>9</v>
      </c>
      <c r="I102" s="170">
        <v>6</v>
      </c>
      <c r="J102" s="240">
        <v>15</v>
      </c>
      <c r="K102" s="213">
        <f t="shared" si="4"/>
        <v>0</v>
      </c>
      <c r="L102" s="213">
        <f t="shared" si="4"/>
        <v>60</v>
      </c>
      <c r="M102" s="213">
        <f t="shared" si="4"/>
        <v>40</v>
      </c>
      <c r="N102" s="234">
        <f t="shared" si="5"/>
        <v>100</v>
      </c>
      <c r="O102" s="212"/>
      <c r="P102" s="213">
        <v>40</v>
      </c>
      <c r="Q102" s="213">
        <v>23.3</v>
      </c>
      <c r="R102" s="214">
        <f t="shared" si="6"/>
        <v>63.3</v>
      </c>
      <c r="S102" s="170">
        <v>2</v>
      </c>
      <c r="T102" s="283"/>
      <c r="U102" s="281"/>
      <c r="V102" s="177" t="s">
        <v>492</v>
      </c>
      <c r="W102" s="170" t="s">
        <v>17</v>
      </c>
      <c r="X102" s="170" t="s">
        <v>323</v>
      </c>
      <c r="Y102" s="178">
        <v>40</v>
      </c>
      <c r="Z102" s="170" t="s">
        <v>493</v>
      </c>
      <c r="AA102" s="170" t="s">
        <v>20</v>
      </c>
      <c r="AB102" s="170" t="s">
        <v>12</v>
      </c>
      <c r="AC102" s="170">
        <v>23.3</v>
      </c>
      <c r="AD102" s="177"/>
      <c r="AG102" s="178"/>
      <c r="AL102" s="177"/>
      <c r="AO102" s="178"/>
      <c r="AP102" s="177"/>
      <c r="AS102" s="178"/>
      <c r="AW102" s="178"/>
      <c r="BA102" s="179"/>
    </row>
    <row r="103" spans="1:53" s="170" customFormat="1" x14ac:dyDescent="0.15">
      <c r="A103" s="170">
        <v>2007</v>
      </c>
      <c r="B103" s="281"/>
      <c r="C103" s="395" t="s">
        <v>682</v>
      </c>
      <c r="D103" s="395"/>
      <c r="E103" s="170">
        <v>365</v>
      </c>
      <c r="G103" s="232"/>
      <c r="H103" s="170">
        <v>9</v>
      </c>
      <c r="I103" s="170">
        <v>6</v>
      </c>
      <c r="J103" s="240">
        <v>15</v>
      </c>
      <c r="K103" s="213">
        <f t="shared" si="4"/>
        <v>0</v>
      </c>
      <c r="L103" s="213">
        <f t="shared" si="4"/>
        <v>60</v>
      </c>
      <c r="M103" s="213">
        <f t="shared" si="4"/>
        <v>40</v>
      </c>
      <c r="N103" s="234">
        <f t="shared" si="5"/>
        <v>100</v>
      </c>
      <c r="O103" s="212"/>
      <c r="P103" s="213">
        <v>40</v>
      </c>
      <c r="Q103" s="213">
        <v>23.3</v>
      </c>
      <c r="R103" s="214">
        <f t="shared" si="6"/>
        <v>63.3</v>
      </c>
      <c r="S103" s="170">
        <v>2</v>
      </c>
      <c r="T103" s="283"/>
      <c r="U103" s="281"/>
      <c r="V103" s="177" t="s">
        <v>492</v>
      </c>
      <c r="W103" s="170" t="s">
        <v>17</v>
      </c>
      <c r="X103" s="170" t="s">
        <v>323</v>
      </c>
      <c r="Y103" s="178">
        <v>40</v>
      </c>
      <c r="Z103" s="170" t="s">
        <v>493</v>
      </c>
      <c r="AA103" s="170" t="s">
        <v>20</v>
      </c>
      <c r="AB103" s="170" t="s">
        <v>12</v>
      </c>
      <c r="AC103" s="170">
        <v>23.3</v>
      </c>
      <c r="AD103" s="177"/>
      <c r="AG103" s="178"/>
      <c r="AL103" s="177"/>
      <c r="AO103" s="178"/>
      <c r="AP103" s="177"/>
      <c r="AS103" s="178"/>
      <c r="AW103" s="178"/>
      <c r="BA103" s="179"/>
    </row>
    <row r="104" spans="1:53" s="170" customFormat="1" x14ac:dyDescent="0.15">
      <c r="A104" s="170">
        <v>2008</v>
      </c>
      <c r="B104" s="281"/>
      <c r="C104" s="395" t="s">
        <v>682</v>
      </c>
      <c r="D104" s="395"/>
      <c r="E104" s="170">
        <v>0</v>
      </c>
      <c r="G104" s="232"/>
      <c r="H104" s="170">
        <v>9</v>
      </c>
      <c r="I104" s="170">
        <v>6</v>
      </c>
      <c r="J104" s="240">
        <v>15</v>
      </c>
      <c r="K104" s="213">
        <f t="shared" si="4"/>
        <v>0</v>
      </c>
      <c r="L104" s="213">
        <f t="shared" si="4"/>
        <v>60</v>
      </c>
      <c r="M104" s="213">
        <f t="shared" si="4"/>
        <v>40</v>
      </c>
      <c r="N104" s="234">
        <f t="shared" si="5"/>
        <v>100</v>
      </c>
      <c r="O104" s="212"/>
      <c r="P104" s="213">
        <v>40</v>
      </c>
      <c r="Q104" s="213">
        <v>23.3</v>
      </c>
      <c r="R104" s="214">
        <f t="shared" si="6"/>
        <v>63.3</v>
      </c>
      <c r="S104" s="170">
        <v>2</v>
      </c>
      <c r="T104" s="283"/>
      <c r="U104" s="281"/>
      <c r="V104" s="177" t="s">
        <v>492</v>
      </c>
      <c r="W104" s="170" t="s">
        <v>17</v>
      </c>
      <c r="X104" s="170" t="s">
        <v>323</v>
      </c>
      <c r="Y104" s="178">
        <v>40</v>
      </c>
      <c r="Z104" s="170" t="s">
        <v>493</v>
      </c>
      <c r="AA104" s="170" t="s">
        <v>20</v>
      </c>
      <c r="AB104" s="170" t="s">
        <v>12</v>
      </c>
      <c r="AC104" s="170">
        <v>23.3</v>
      </c>
      <c r="AD104" s="177"/>
      <c r="AG104" s="178"/>
      <c r="AL104" s="177"/>
      <c r="AO104" s="178"/>
      <c r="AP104" s="177"/>
      <c r="AS104" s="178"/>
      <c r="AW104" s="178"/>
      <c r="BA104" s="179"/>
    </row>
    <row r="105" spans="1:53" s="170" customFormat="1" x14ac:dyDescent="0.15">
      <c r="A105" s="170">
        <v>2008</v>
      </c>
      <c r="B105" s="281"/>
      <c r="C105" s="395" t="s">
        <v>682</v>
      </c>
      <c r="D105" s="395"/>
      <c r="E105" s="170">
        <v>366</v>
      </c>
      <c r="G105" s="232"/>
      <c r="H105" s="170">
        <v>9</v>
      </c>
      <c r="I105" s="170">
        <v>6</v>
      </c>
      <c r="J105" s="240">
        <v>15</v>
      </c>
      <c r="K105" s="213">
        <f t="shared" si="4"/>
        <v>0</v>
      </c>
      <c r="L105" s="213">
        <f t="shared" si="4"/>
        <v>60</v>
      </c>
      <c r="M105" s="213">
        <f t="shared" si="4"/>
        <v>40</v>
      </c>
      <c r="N105" s="234">
        <f t="shared" si="5"/>
        <v>100</v>
      </c>
      <c r="O105" s="212"/>
      <c r="P105" s="213">
        <v>40</v>
      </c>
      <c r="Q105" s="213">
        <v>23.3</v>
      </c>
      <c r="R105" s="214">
        <f t="shared" si="6"/>
        <v>63.3</v>
      </c>
      <c r="S105" s="170">
        <v>2</v>
      </c>
      <c r="T105" s="283"/>
      <c r="U105" s="281"/>
      <c r="V105" s="177" t="s">
        <v>492</v>
      </c>
      <c r="W105" s="170" t="s">
        <v>17</v>
      </c>
      <c r="X105" s="170" t="s">
        <v>323</v>
      </c>
      <c r="Y105" s="178">
        <v>40</v>
      </c>
      <c r="Z105" s="170" t="s">
        <v>493</v>
      </c>
      <c r="AA105" s="170" t="s">
        <v>20</v>
      </c>
      <c r="AB105" s="170" t="s">
        <v>12</v>
      </c>
      <c r="AC105" s="170">
        <v>23.3</v>
      </c>
      <c r="AD105" s="177"/>
      <c r="AG105" s="178"/>
      <c r="AL105" s="177"/>
      <c r="AO105" s="178"/>
      <c r="AP105" s="177"/>
      <c r="AS105" s="178"/>
      <c r="AW105" s="178"/>
      <c r="BA105" s="179"/>
    </row>
    <row r="106" spans="1:53" s="170" customFormat="1" x14ac:dyDescent="0.15">
      <c r="A106" s="170">
        <v>2009</v>
      </c>
      <c r="B106" s="281"/>
      <c r="C106" s="395" t="s">
        <v>682</v>
      </c>
      <c r="D106" s="395"/>
      <c r="E106" s="170">
        <v>203</v>
      </c>
      <c r="G106" s="232"/>
      <c r="H106" s="170">
        <v>9</v>
      </c>
      <c r="I106" s="170">
        <v>6</v>
      </c>
      <c r="J106" s="240">
        <v>15</v>
      </c>
      <c r="K106" s="213">
        <f t="shared" si="4"/>
        <v>0</v>
      </c>
      <c r="L106" s="213">
        <f t="shared" si="4"/>
        <v>60</v>
      </c>
      <c r="M106" s="213">
        <f t="shared" si="4"/>
        <v>40</v>
      </c>
      <c r="N106" s="234">
        <f t="shared" si="5"/>
        <v>100</v>
      </c>
      <c r="O106" s="212"/>
      <c r="P106" s="213">
        <v>40</v>
      </c>
      <c r="Q106" s="213">
        <v>23.3</v>
      </c>
      <c r="R106" s="214">
        <f t="shared" si="6"/>
        <v>63.3</v>
      </c>
      <c r="S106" s="170">
        <v>2</v>
      </c>
      <c r="T106" s="283"/>
      <c r="U106" s="281"/>
      <c r="V106" s="177" t="s">
        <v>492</v>
      </c>
      <c r="W106" s="170" t="s">
        <v>17</v>
      </c>
      <c r="X106" s="170" t="s">
        <v>323</v>
      </c>
      <c r="Y106" s="178">
        <v>40</v>
      </c>
      <c r="Z106" s="170" t="s">
        <v>493</v>
      </c>
      <c r="AA106" s="170" t="s">
        <v>20</v>
      </c>
      <c r="AB106" s="170" t="s">
        <v>12</v>
      </c>
      <c r="AC106" s="170">
        <v>23.3</v>
      </c>
      <c r="AD106" s="177"/>
      <c r="AG106" s="178"/>
      <c r="AL106" s="177"/>
      <c r="AO106" s="178"/>
      <c r="AP106" s="177"/>
      <c r="AS106" s="178"/>
      <c r="AW106" s="178"/>
      <c r="BA106" s="179"/>
    </row>
    <row r="107" spans="1:53" s="28" customFormat="1" x14ac:dyDescent="0.15">
      <c r="A107" s="28">
        <v>2009</v>
      </c>
      <c r="B107" s="293">
        <v>40017</v>
      </c>
      <c r="C107" s="394" t="s">
        <v>683</v>
      </c>
      <c r="D107" s="394"/>
      <c r="E107" s="28">
        <f>365-E106</f>
        <v>162</v>
      </c>
      <c r="F107" s="28">
        <v>1</v>
      </c>
      <c r="G107" s="65"/>
      <c r="H107" s="28">
        <v>9</v>
      </c>
      <c r="I107" s="28">
        <v>6</v>
      </c>
      <c r="J107" s="72">
        <v>15</v>
      </c>
      <c r="K107" s="46">
        <f t="shared" si="4"/>
        <v>0</v>
      </c>
      <c r="L107" s="46">
        <f t="shared" si="4"/>
        <v>60</v>
      </c>
      <c r="M107" s="46">
        <f t="shared" si="4"/>
        <v>40</v>
      </c>
      <c r="N107" s="67">
        <f t="shared" si="5"/>
        <v>100</v>
      </c>
      <c r="O107" s="45"/>
      <c r="P107" s="46">
        <v>43.3</v>
      </c>
      <c r="Q107" s="46">
        <v>21.7</v>
      </c>
      <c r="R107" s="47">
        <f t="shared" si="6"/>
        <v>65</v>
      </c>
      <c r="S107" s="28">
        <v>2</v>
      </c>
      <c r="T107" s="284">
        <v>39971</v>
      </c>
      <c r="U107" s="293">
        <v>40017</v>
      </c>
      <c r="V107" s="37" t="s">
        <v>492</v>
      </c>
      <c r="W107" s="28" t="s">
        <v>17</v>
      </c>
      <c r="X107" s="28" t="s">
        <v>323</v>
      </c>
      <c r="Y107" s="38">
        <v>43.3</v>
      </c>
      <c r="Z107" s="28" t="s">
        <v>493</v>
      </c>
      <c r="AA107" s="28" t="s">
        <v>20</v>
      </c>
      <c r="AB107" s="28" t="s">
        <v>12</v>
      </c>
      <c r="AC107" s="28">
        <v>21.7</v>
      </c>
      <c r="AD107" s="37"/>
      <c r="AG107" s="38"/>
      <c r="AL107" s="37"/>
      <c r="AO107" s="38"/>
      <c r="AP107" s="37"/>
      <c r="AS107" s="38"/>
      <c r="AW107" s="38"/>
      <c r="BA107" s="39"/>
    </row>
    <row r="108" spans="1:53" s="28" customFormat="1" x14ac:dyDescent="0.15">
      <c r="A108" s="28">
        <v>2010</v>
      </c>
      <c r="B108" s="293"/>
      <c r="C108" s="394" t="s">
        <v>683</v>
      </c>
      <c r="D108" s="394"/>
      <c r="E108" s="28">
        <v>0</v>
      </c>
      <c r="G108" s="65"/>
      <c r="H108" s="28">
        <v>9</v>
      </c>
      <c r="I108" s="28">
        <v>6</v>
      </c>
      <c r="J108" s="72">
        <v>15</v>
      </c>
      <c r="K108" s="46">
        <f t="shared" si="4"/>
        <v>0</v>
      </c>
      <c r="L108" s="46">
        <f t="shared" si="4"/>
        <v>60</v>
      </c>
      <c r="M108" s="46">
        <f t="shared" si="4"/>
        <v>40</v>
      </c>
      <c r="N108" s="67">
        <f t="shared" si="5"/>
        <v>100</v>
      </c>
      <c r="O108" s="45"/>
      <c r="P108" s="46">
        <v>43.3</v>
      </c>
      <c r="Q108" s="46">
        <v>21.7</v>
      </c>
      <c r="R108" s="47">
        <f t="shared" si="6"/>
        <v>65</v>
      </c>
      <c r="S108" s="28">
        <v>2</v>
      </c>
      <c r="T108" s="284"/>
      <c r="U108" s="293"/>
      <c r="V108" s="37" t="s">
        <v>492</v>
      </c>
      <c r="W108" s="28" t="s">
        <v>17</v>
      </c>
      <c r="X108" s="28" t="s">
        <v>323</v>
      </c>
      <c r="Y108" s="38">
        <v>43.3</v>
      </c>
      <c r="Z108" s="28" t="s">
        <v>493</v>
      </c>
      <c r="AA108" s="28" t="s">
        <v>20</v>
      </c>
      <c r="AB108" s="28" t="s">
        <v>12</v>
      </c>
      <c r="AC108" s="28">
        <v>21.7</v>
      </c>
      <c r="AD108" s="37"/>
      <c r="AG108" s="38"/>
      <c r="AL108" s="37"/>
      <c r="AO108" s="38"/>
      <c r="AP108" s="37"/>
      <c r="AS108" s="38"/>
      <c r="AW108" s="38"/>
      <c r="BA108" s="39"/>
    </row>
    <row r="109" spans="1:53" s="28" customFormat="1" x14ac:dyDescent="0.15">
      <c r="A109" s="28">
        <v>2010</v>
      </c>
      <c r="B109" s="293"/>
      <c r="C109" s="394" t="s">
        <v>683</v>
      </c>
      <c r="D109" s="394"/>
      <c r="E109" s="28">
        <v>365</v>
      </c>
      <c r="G109" s="65"/>
      <c r="H109" s="28">
        <v>9</v>
      </c>
      <c r="I109" s="28">
        <v>6</v>
      </c>
      <c r="J109" s="72">
        <v>15</v>
      </c>
      <c r="K109" s="46">
        <f t="shared" si="4"/>
        <v>0</v>
      </c>
      <c r="L109" s="46">
        <f t="shared" si="4"/>
        <v>60</v>
      </c>
      <c r="M109" s="46">
        <f t="shared" si="4"/>
        <v>40</v>
      </c>
      <c r="N109" s="67">
        <f t="shared" si="5"/>
        <v>100</v>
      </c>
      <c r="O109" s="45"/>
      <c r="P109" s="46">
        <v>43.3</v>
      </c>
      <c r="Q109" s="46">
        <v>21.7</v>
      </c>
      <c r="R109" s="47">
        <f t="shared" si="6"/>
        <v>65</v>
      </c>
      <c r="S109" s="28">
        <v>2</v>
      </c>
      <c r="T109" s="284"/>
      <c r="U109" s="293"/>
      <c r="V109" s="37" t="s">
        <v>492</v>
      </c>
      <c r="W109" s="28" t="s">
        <v>17</v>
      </c>
      <c r="X109" s="28" t="s">
        <v>323</v>
      </c>
      <c r="Y109" s="38">
        <v>43.3</v>
      </c>
      <c r="Z109" s="28" t="s">
        <v>493</v>
      </c>
      <c r="AA109" s="28" t="s">
        <v>20</v>
      </c>
      <c r="AB109" s="28" t="s">
        <v>12</v>
      </c>
      <c r="AC109" s="28">
        <v>21.7</v>
      </c>
      <c r="AD109" s="37"/>
      <c r="AG109" s="38"/>
      <c r="AL109" s="37"/>
      <c r="AO109" s="38"/>
      <c r="AP109" s="37"/>
      <c r="AS109" s="38"/>
      <c r="AW109" s="38"/>
      <c r="BA109" s="39"/>
    </row>
    <row r="110" spans="1:53" s="28" customFormat="1" x14ac:dyDescent="0.15">
      <c r="A110" s="28">
        <v>2011</v>
      </c>
      <c r="B110" s="293"/>
      <c r="C110" s="394" t="s">
        <v>683</v>
      </c>
      <c r="D110" s="394"/>
      <c r="E110" s="28">
        <v>0</v>
      </c>
      <c r="G110" s="65"/>
      <c r="H110" s="28">
        <v>9</v>
      </c>
      <c r="I110" s="28">
        <v>6</v>
      </c>
      <c r="J110" s="72">
        <v>15</v>
      </c>
      <c r="K110" s="46">
        <f t="shared" si="4"/>
        <v>0</v>
      </c>
      <c r="L110" s="46">
        <f t="shared" si="4"/>
        <v>60</v>
      </c>
      <c r="M110" s="46">
        <f t="shared" si="4"/>
        <v>40</v>
      </c>
      <c r="N110" s="67">
        <f t="shared" si="5"/>
        <v>100</v>
      </c>
      <c r="O110" s="45"/>
      <c r="P110" s="46">
        <v>43.3</v>
      </c>
      <c r="Q110" s="46">
        <v>21.7</v>
      </c>
      <c r="R110" s="47">
        <f t="shared" si="6"/>
        <v>65</v>
      </c>
      <c r="S110" s="28">
        <v>2</v>
      </c>
      <c r="T110" s="284"/>
      <c r="U110" s="293"/>
      <c r="V110" s="37" t="s">
        <v>492</v>
      </c>
      <c r="W110" s="28" t="s">
        <v>17</v>
      </c>
      <c r="X110" s="28" t="s">
        <v>323</v>
      </c>
      <c r="Y110" s="38">
        <v>43.3</v>
      </c>
      <c r="Z110" s="28" t="s">
        <v>493</v>
      </c>
      <c r="AA110" s="28" t="s">
        <v>20</v>
      </c>
      <c r="AB110" s="28" t="s">
        <v>12</v>
      </c>
      <c r="AC110" s="28">
        <v>21.7</v>
      </c>
      <c r="AD110" s="37"/>
      <c r="AG110" s="38"/>
      <c r="AL110" s="37"/>
      <c r="AO110" s="38"/>
      <c r="AP110" s="37"/>
      <c r="AS110" s="38"/>
      <c r="AW110" s="38"/>
      <c r="BA110" s="39"/>
    </row>
    <row r="111" spans="1:53" s="28" customFormat="1" x14ac:dyDescent="0.15">
      <c r="A111" s="28">
        <v>2011</v>
      </c>
      <c r="B111" s="293"/>
      <c r="C111" s="394" t="s">
        <v>683</v>
      </c>
      <c r="D111" s="394"/>
      <c r="E111" s="28">
        <v>365</v>
      </c>
      <c r="G111" s="65"/>
      <c r="H111" s="28">
        <v>9</v>
      </c>
      <c r="I111" s="28">
        <v>6</v>
      </c>
      <c r="J111" s="72">
        <v>15</v>
      </c>
      <c r="K111" s="46">
        <f t="shared" si="4"/>
        <v>0</v>
      </c>
      <c r="L111" s="46">
        <f t="shared" si="4"/>
        <v>60</v>
      </c>
      <c r="M111" s="46">
        <f t="shared" si="4"/>
        <v>40</v>
      </c>
      <c r="N111" s="67">
        <f t="shared" si="5"/>
        <v>100</v>
      </c>
      <c r="O111" s="45"/>
      <c r="P111" s="46">
        <v>43.3</v>
      </c>
      <c r="Q111" s="46">
        <v>21.7</v>
      </c>
      <c r="R111" s="47">
        <f t="shared" si="6"/>
        <v>65</v>
      </c>
      <c r="S111" s="28">
        <v>2</v>
      </c>
      <c r="T111" s="284"/>
      <c r="U111" s="293"/>
      <c r="V111" s="37" t="s">
        <v>492</v>
      </c>
      <c r="W111" s="28" t="s">
        <v>17</v>
      </c>
      <c r="X111" s="28" t="s">
        <v>323</v>
      </c>
      <c r="Y111" s="38">
        <v>43.3</v>
      </c>
      <c r="Z111" s="28" t="s">
        <v>493</v>
      </c>
      <c r="AA111" s="28" t="s">
        <v>20</v>
      </c>
      <c r="AB111" s="28" t="s">
        <v>12</v>
      </c>
      <c r="AC111" s="28">
        <v>21.7</v>
      </c>
      <c r="AD111" s="37"/>
      <c r="AG111" s="38"/>
      <c r="AL111" s="37"/>
      <c r="AO111" s="38"/>
      <c r="AP111" s="37"/>
      <c r="AS111" s="38"/>
      <c r="AW111" s="38"/>
      <c r="BA111" s="39"/>
    </row>
    <row r="112" spans="1:53" s="28" customFormat="1" x14ac:dyDescent="0.15">
      <c r="A112" s="28">
        <v>2012</v>
      </c>
      <c r="B112" s="293"/>
      <c r="C112" s="394" t="s">
        <v>683</v>
      </c>
      <c r="D112" s="394"/>
      <c r="E112" s="28">
        <v>0</v>
      </c>
      <c r="G112" s="65"/>
      <c r="H112" s="28">
        <v>9</v>
      </c>
      <c r="I112" s="28">
        <v>6</v>
      </c>
      <c r="J112" s="72">
        <v>15</v>
      </c>
      <c r="K112" s="46">
        <f t="shared" si="4"/>
        <v>0</v>
      </c>
      <c r="L112" s="46">
        <f t="shared" si="4"/>
        <v>60</v>
      </c>
      <c r="M112" s="46">
        <f t="shared" si="4"/>
        <v>40</v>
      </c>
      <c r="N112" s="67">
        <f t="shared" si="5"/>
        <v>100</v>
      </c>
      <c r="O112" s="45"/>
      <c r="P112" s="46">
        <v>43.3</v>
      </c>
      <c r="Q112" s="46">
        <v>21.7</v>
      </c>
      <c r="R112" s="47">
        <f t="shared" si="6"/>
        <v>65</v>
      </c>
      <c r="S112" s="28">
        <v>2</v>
      </c>
      <c r="T112" s="284"/>
      <c r="U112" s="293"/>
      <c r="V112" s="37" t="s">
        <v>492</v>
      </c>
      <c r="W112" s="28" t="s">
        <v>17</v>
      </c>
      <c r="X112" s="28" t="s">
        <v>323</v>
      </c>
      <c r="Y112" s="38">
        <v>43.3</v>
      </c>
      <c r="Z112" s="28" t="s">
        <v>493</v>
      </c>
      <c r="AA112" s="28" t="s">
        <v>20</v>
      </c>
      <c r="AB112" s="28" t="s">
        <v>12</v>
      </c>
      <c r="AC112" s="28">
        <v>21.7</v>
      </c>
      <c r="AD112" s="37"/>
      <c r="AG112" s="38"/>
      <c r="AL112" s="37"/>
      <c r="AO112" s="38"/>
      <c r="AP112" s="37"/>
      <c r="AS112" s="38"/>
      <c r="AW112" s="38"/>
      <c r="BA112" s="39"/>
    </row>
    <row r="113" spans="1:53" s="28" customFormat="1" x14ac:dyDescent="0.15">
      <c r="A113" s="28">
        <v>2012</v>
      </c>
      <c r="B113" s="293"/>
      <c r="C113" s="394" t="s">
        <v>683</v>
      </c>
      <c r="D113" s="394"/>
      <c r="E113" s="28">
        <v>366</v>
      </c>
      <c r="G113" s="65"/>
      <c r="H113" s="28">
        <v>9</v>
      </c>
      <c r="I113" s="28">
        <v>6</v>
      </c>
      <c r="J113" s="72">
        <v>15</v>
      </c>
      <c r="K113" s="46">
        <f t="shared" si="4"/>
        <v>0</v>
      </c>
      <c r="L113" s="46">
        <f t="shared" si="4"/>
        <v>60</v>
      </c>
      <c r="M113" s="46">
        <f t="shared" si="4"/>
        <v>40</v>
      </c>
      <c r="N113" s="67">
        <f t="shared" si="5"/>
        <v>100</v>
      </c>
      <c r="O113" s="45"/>
      <c r="P113" s="46">
        <v>43.3</v>
      </c>
      <c r="Q113" s="46">
        <v>21.7</v>
      </c>
      <c r="R113" s="47">
        <f t="shared" si="6"/>
        <v>65</v>
      </c>
      <c r="S113" s="28">
        <v>2</v>
      </c>
      <c r="T113" s="284"/>
      <c r="U113" s="293"/>
      <c r="V113" s="37" t="s">
        <v>492</v>
      </c>
      <c r="W113" s="28" t="s">
        <v>17</v>
      </c>
      <c r="X113" s="28" t="s">
        <v>323</v>
      </c>
      <c r="Y113" s="38">
        <v>43.3</v>
      </c>
      <c r="Z113" s="28" t="s">
        <v>493</v>
      </c>
      <c r="AA113" s="28" t="s">
        <v>20</v>
      </c>
      <c r="AB113" s="28" t="s">
        <v>12</v>
      </c>
      <c r="AC113" s="28">
        <v>21.7</v>
      </c>
      <c r="AD113" s="37"/>
      <c r="AG113" s="38"/>
      <c r="AL113" s="37"/>
      <c r="AO113" s="38"/>
      <c r="AP113" s="37"/>
      <c r="AS113" s="38"/>
      <c r="AW113" s="38"/>
      <c r="BA113" s="39"/>
    </row>
    <row r="114" spans="1:53" s="28" customFormat="1" x14ac:dyDescent="0.15">
      <c r="A114" s="28">
        <v>2013</v>
      </c>
      <c r="B114" s="293"/>
      <c r="C114" s="394" t="s">
        <v>683</v>
      </c>
      <c r="D114" s="394"/>
      <c r="E114" s="28">
        <v>337</v>
      </c>
      <c r="G114" s="65"/>
      <c r="H114" s="28">
        <v>9</v>
      </c>
      <c r="I114" s="28">
        <v>6</v>
      </c>
      <c r="J114" s="72">
        <v>15</v>
      </c>
      <c r="K114" s="46">
        <f t="shared" si="4"/>
        <v>0</v>
      </c>
      <c r="L114" s="46">
        <f t="shared" si="4"/>
        <v>60</v>
      </c>
      <c r="M114" s="46">
        <f t="shared" si="4"/>
        <v>40</v>
      </c>
      <c r="N114" s="67">
        <f t="shared" si="5"/>
        <v>100</v>
      </c>
      <c r="O114" s="45"/>
      <c r="P114" s="46">
        <v>43.3</v>
      </c>
      <c r="Q114" s="46">
        <v>21.7</v>
      </c>
      <c r="R114" s="47">
        <f>O114+P114+Q114</f>
        <v>65</v>
      </c>
      <c r="S114" s="28">
        <v>2</v>
      </c>
      <c r="T114" s="284"/>
      <c r="U114" s="293"/>
      <c r="V114" s="37" t="s">
        <v>492</v>
      </c>
      <c r="W114" s="28" t="s">
        <v>17</v>
      </c>
      <c r="X114" s="28" t="s">
        <v>323</v>
      </c>
      <c r="Y114" s="38">
        <v>43.3</v>
      </c>
      <c r="Z114" s="28" t="s">
        <v>493</v>
      </c>
      <c r="AA114" s="28" t="s">
        <v>20</v>
      </c>
      <c r="AB114" s="28" t="s">
        <v>12</v>
      </c>
      <c r="AC114" s="28">
        <v>21.7</v>
      </c>
      <c r="AD114" s="37"/>
      <c r="AG114" s="38"/>
      <c r="AL114" s="37"/>
      <c r="AO114" s="38"/>
      <c r="AP114" s="37"/>
      <c r="AS114" s="38"/>
      <c r="AW114" s="38"/>
      <c r="BA114" s="39"/>
    </row>
    <row r="115" spans="1:53" s="170" customFormat="1" x14ac:dyDescent="0.15">
      <c r="A115" s="170">
        <v>2013</v>
      </c>
      <c r="B115" s="281">
        <v>41612</v>
      </c>
      <c r="C115" s="395" t="s">
        <v>1241</v>
      </c>
      <c r="D115" s="395"/>
      <c r="E115" s="170">
        <f>365-E114</f>
        <v>28</v>
      </c>
      <c r="F115" s="170">
        <v>1</v>
      </c>
      <c r="G115" s="232">
        <v>7</v>
      </c>
      <c r="I115" s="170">
        <v>11</v>
      </c>
      <c r="J115" s="240">
        <v>18</v>
      </c>
      <c r="K115" s="213">
        <f>G115/$J115*100</f>
        <v>38.888888888888893</v>
      </c>
      <c r="L115" s="213">
        <f t="shared" si="4"/>
        <v>0</v>
      </c>
      <c r="M115" s="213">
        <f t="shared" si="4"/>
        <v>61.111111111111114</v>
      </c>
      <c r="N115" s="234">
        <f t="shared" si="5"/>
        <v>100</v>
      </c>
      <c r="O115" s="212">
        <v>21.7</v>
      </c>
      <c r="P115" s="213"/>
      <c r="Q115" s="213">
        <v>31.7</v>
      </c>
      <c r="R115" s="214">
        <f>O115+P115+Q115</f>
        <v>53.4</v>
      </c>
      <c r="S115" s="170">
        <v>2</v>
      </c>
      <c r="T115" s="283">
        <v>41567</v>
      </c>
      <c r="U115" s="281">
        <v>41612</v>
      </c>
      <c r="V115" s="177" t="s">
        <v>130</v>
      </c>
      <c r="W115" s="170" t="s">
        <v>22</v>
      </c>
      <c r="X115" s="170" t="s">
        <v>11</v>
      </c>
      <c r="Y115" s="178">
        <v>21.7</v>
      </c>
      <c r="Z115" s="170" t="s">
        <v>493</v>
      </c>
      <c r="AA115" s="170" t="s">
        <v>20</v>
      </c>
      <c r="AB115" s="170" t="s">
        <v>12</v>
      </c>
      <c r="AC115" s="170">
        <v>21.7</v>
      </c>
      <c r="AD115" s="177" t="s">
        <v>1256</v>
      </c>
      <c r="AE115" s="170" t="s">
        <v>1242</v>
      </c>
      <c r="AF115" s="170" t="s">
        <v>12</v>
      </c>
      <c r="AG115" s="178">
        <v>10</v>
      </c>
      <c r="AL115" s="177"/>
      <c r="AO115" s="178"/>
      <c r="AP115" s="177"/>
      <c r="AS115" s="178"/>
      <c r="AW115" s="178"/>
      <c r="BA115" s="179"/>
    </row>
    <row r="116" spans="1:53" s="170" customFormat="1" x14ac:dyDescent="0.15">
      <c r="A116" s="170">
        <v>2014</v>
      </c>
      <c r="B116" s="281"/>
      <c r="C116" s="395" t="s">
        <v>1241</v>
      </c>
      <c r="D116" s="395"/>
      <c r="E116" s="170">
        <v>0</v>
      </c>
      <c r="G116" s="232">
        <v>7</v>
      </c>
      <c r="I116" s="170">
        <v>11</v>
      </c>
      <c r="J116" s="240">
        <v>18</v>
      </c>
      <c r="K116" s="213">
        <f>G116/$J116*100</f>
        <v>38.888888888888893</v>
      </c>
      <c r="L116" s="213">
        <f>H116/$J116*100</f>
        <v>0</v>
      </c>
      <c r="M116" s="213">
        <f>I116/$J116*100</f>
        <v>61.111111111111114</v>
      </c>
      <c r="N116" s="234">
        <f>K116+L116+M116</f>
        <v>100</v>
      </c>
      <c r="O116" s="212">
        <v>21.7</v>
      </c>
      <c r="P116" s="213"/>
      <c r="Q116" s="213">
        <v>31.7</v>
      </c>
      <c r="R116" s="214">
        <f>O116+P116+Q116</f>
        <v>53.4</v>
      </c>
      <c r="S116" s="170">
        <v>2</v>
      </c>
      <c r="T116" s="283"/>
      <c r="U116" s="281"/>
      <c r="V116" s="177" t="s">
        <v>130</v>
      </c>
      <c r="W116" s="170" t="s">
        <v>22</v>
      </c>
      <c r="X116" s="170" t="s">
        <v>11</v>
      </c>
      <c r="Y116" s="178">
        <v>21.7</v>
      </c>
      <c r="Z116" s="170" t="s">
        <v>493</v>
      </c>
      <c r="AA116" s="170" t="s">
        <v>20</v>
      </c>
      <c r="AB116" s="170" t="s">
        <v>12</v>
      </c>
      <c r="AC116" s="170">
        <v>21.7</v>
      </c>
      <c r="AD116" s="177" t="s">
        <v>1256</v>
      </c>
      <c r="AE116" s="170" t="s">
        <v>1242</v>
      </c>
      <c r="AF116" s="170" t="s">
        <v>12</v>
      </c>
      <c r="AG116" s="178">
        <v>10</v>
      </c>
      <c r="AL116" s="177"/>
      <c r="AO116" s="178"/>
      <c r="AP116" s="177"/>
      <c r="AS116" s="178"/>
      <c r="AW116" s="178"/>
      <c r="BA116" s="179"/>
    </row>
    <row r="117" spans="1:53" s="170" customFormat="1" x14ac:dyDescent="0.15">
      <c r="A117" s="170">
        <v>2014</v>
      </c>
      <c r="B117" s="281"/>
      <c r="C117" s="395" t="s">
        <v>1241</v>
      </c>
      <c r="D117" s="395"/>
      <c r="E117" s="170">
        <v>365</v>
      </c>
      <c r="G117" s="232">
        <v>7</v>
      </c>
      <c r="I117" s="170">
        <v>11</v>
      </c>
      <c r="J117" s="240">
        <v>18</v>
      </c>
      <c r="K117" s="213">
        <f>G117/$J117*100</f>
        <v>38.888888888888893</v>
      </c>
      <c r="L117" s="213">
        <f>H117/$J117*100</f>
        <v>0</v>
      </c>
      <c r="M117" s="213">
        <f>I117/$J117*100</f>
        <v>61.111111111111114</v>
      </c>
      <c r="N117" s="234">
        <f>K117+L117+M117</f>
        <v>100</v>
      </c>
      <c r="O117" s="212">
        <v>21.7</v>
      </c>
      <c r="P117" s="213"/>
      <c r="Q117" s="213">
        <v>31.7</v>
      </c>
      <c r="R117" s="214">
        <f>O117+P117+Q117</f>
        <v>53.4</v>
      </c>
      <c r="S117" s="170">
        <v>2</v>
      </c>
      <c r="T117" s="283"/>
      <c r="U117" s="281"/>
      <c r="V117" s="177" t="s">
        <v>130</v>
      </c>
      <c r="W117" s="170" t="s">
        <v>22</v>
      </c>
      <c r="X117" s="170" t="s">
        <v>11</v>
      </c>
      <c r="Y117" s="178">
        <v>21.7</v>
      </c>
      <c r="Z117" s="170" t="s">
        <v>493</v>
      </c>
      <c r="AA117" s="170" t="s">
        <v>20</v>
      </c>
      <c r="AB117" s="170" t="s">
        <v>12</v>
      </c>
      <c r="AC117" s="170">
        <v>21.7</v>
      </c>
      <c r="AD117" s="177" t="s">
        <v>1256</v>
      </c>
      <c r="AE117" s="170" t="s">
        <v>1242</v>
      </c>
      <c r="AF117" s="170" t="s">
        <v>12</v>
      </c>
      <c r="AG117" s="178">
        <v>10</v>
      </c>
      <c r="AL117" s="177"/>
      <c r="AO117" s="178"/>
      <c r="AP117" s="177"/>
      <c r="AS117" s="178"/>
      <c r="AW117" s="178"/>
      <c r="BA117" s="179"/>
    </row>
    <row r="118" spans="1:53" s="170" customFormat="1" x14ac:dyDescent="0.15">
      <c r="A118" s="170">
        <v>2015</v>
      </c>
      <c r="B118" s="281"/>
      <c r="C118" s="395" t="s">
        <v>1241</v>
      </c>
      <c r="D118" s="395"/>
      <c r="E118" s="170">
        <v>0</v>
      </c>
      <c r="G118" s="232">
        <v>7</v>
      </c>
      <c r="I118" s="170">
        <v>11</v>
      </c>
      <c r="J118" s="240">
        <v>18</v>
      </c>
      <c r="K118" s="213">
        <f t="shared" ref="K118:K119" si="7">G118/$J118*100</f>
        <v>38.888888888888893</v>
      </c>
      <c r="L118" s="213">
        <f t="shared" ref="L118:L119" si="8">H118/$J118*100</f>
        <v>0</v>
      </c>
      <c r="M118" s="213">
        <f t="shared" ref="M118:M119" si="9">I118/$J118*100</f>
        <v>61.111111111111114</v>
      </c>
      <c r="N118" s="234">
        <f t="shared" ref="N118:N119" si="10">K118+L118+M118</f>
        <v>100</v>
      </c>
      <c r="O118" s="212">
        <v>21.7</v>
      </c>
      <c r="P118" s="213"/>
      <c r="Q118" s="213">
        <v>31.7</v>
      </c>
      <c r="R118" s="214">
        <f>O118+P118+Q118</f>
        <v>53.4</v>
      </c>
      <c r="S118" s="170">
        <v>2</v>
      </c>
      <c r="T118" s="283"/>
      <c r="U118" s="281"/>
      <c r="V118" s="177" t="s">
        <v>130</v>
      </c>
      <c r="W118" s="170" t="s">
        <v>22</v>
      </c>
      <c r="X118" s="170" t="s">
        <v>11</v>
      </c>
      <c r="Y118" s="178">
        <v>21.7</v>
      </c>
      <c r="Z118" s="170" t="s">
        <v>493</v>
      </c>
      <c r="AA118" s="170" t="s">
        <v>20</v>
      </c>
      <c r="AB118" s="170" t="s">
        <v>12</v>
      </c>
      <c r="AC118" s="170">
        <v>21.7</v>
      </c>
      <c r="AD118" s="177" t="s">
        <v>1256</v>
      </c>
      <c r="AE118" s="170" t="s">
        <v>1242</v>
      </c>
      <c r="AF118" s="170" t="s">
        <v>12</v>
      </c>
      <c r="AG118" s="178">
        <v>10</v>
      </c>
      <c r="AL118" s="177"/>
      <c r="AO118" s="178"/>
      <c r="AP118" s="177"/>
      <c r="AS118" s="178"/>
      <c r="AW118" s="178"/>
      <c r="BA118" s="179"/>
    </row>
    <row r="119" spans="1:53" s="170" customFormat="1" x14ac:dyDescent="0.15">
      <c r="A119" s="170">
        <v>2015</v>
      </c>
      <c r="B119" s="281"/>
      <c r="C119" s="395" t="s">
        <v>1241</v>
      </c>
      <c r="D119" s="395"/>
      <c r="E119" s="170">
        <v>365</v>
      </c>
      <c r="G119" s="232">
        <v>7</v>
      </c>
      <c r="I119" s="170">
        <v>11</v>
      </c>
      <c r="J119" s="240">
        <v>18</v>
      </c>
      <c r="K119" s="213">
        <f t="shared" si="7"/>
        <v>38.888888888888893</v>
      </c>
      <c r="L119" s="213">
        <f t="shared" si="8"/>
        <v>0</v>
      </c>
      <c r="M119" s="213">
        <f t="shared" si="9"/>
        <v>61.111111111111114</v>
      </c>
      <c r="N119" s="234">
        <f t="shared" si="10"/>
        <v>100</v>
      </c>
      <c r="O119" s="212">
        <v>21.7</v>
      </c>
      <c r="P119" s="213"/>
      <c r="Q119" s="213">
        <v>31.7</v>
      </c>
      <c r="R119" s="214">
        <f t="shared" ref="R119" si="11">O119+P119+Q119</f>
        <v>53.4</v>
      </c>
      <c r="S119" s="170">
        <v>2</v>
      </c>
      <c r="T119" s="283"/>
      <c r="U119" s="281"/>
      <c r="V119" s="177" t="s">
        <v>130</v>
      </c>
      <c r="W119" s="170" t="s">
        <v>22</v>
      </c>
      <c r="X119" s="170" t="s">
        <v>11</v>
      </c>
      <c r="Y119" s="178">
        <v>21.7</v>
      </c>
      <c r="Z119" s="170" t="s">
        <v>493</v>
      </c>
      <c r="AA119" s="170" t="s">
        <v>20</v>
      </c>
      <c r="AB119" s="170" t="s">
        <v>12</v>
      </c>
      <c r="AC119" s="170">
        <v>21.7</v>
      </c>
      <c r="AD119" s="177" t="s">
        <v>1256</v>
      </c>
      <c r="AE119" s="170" t="s">
        <v>1242</v>
      </c>
      <c r="AF119" s="170" t="s">
        <v>12</v>
      </c>
      <c r="AG119" s="178">
        <v>10</v>
      </c>
      <c r="AL119" s="177"/>
      <c r="AO119" s="178"/>
      <c r="AP119" s="177"/>
      <c r="AS119" s="178"/>
      <c r="AW119" s="178"/>
      <c r="BA119" s="179"/>
    </row>
    <row r="120" spans="1:53" s="170" customFormat="1" x14ac:dyDescent="0.15">
      <c r="A120" s="170">
        <v>2016</v>
      </c>
      <c r="B120" s="281"/>
      <c r="C120" s="395" t="s">
        <v>1241</v>
      </c>
      <c r="D120" s="395"/>
      <c r="E120" s="170">
        <v>0</v>
      </c>
      <c r="G120" s="232">
        <v>7</v>
      </c>
      <c r="I120" s="170">
        <v>11</v>
      </c>
      <c r="J120" s="240">
        <v>18</v>
      </c>
      <c r="K120" s="213">
        <f t="shared" ref="K120:K122" si="12">G120/$J120*100</f>
        <v>38.888888888888893</v>
      </c>
      <c r="L120" s="213">
        <f t="shared" ref="L120:L122" si="13">H120/$J120*100</f>
        <v>0</v>
      </c>
      <c r="M120" s="213">
        <f t="shared" ref="M120:M122" si="14">I120/$J120*100</f>
        <v>61.111111111111114</v>
      </c>
      <c r="N120" s="234">
        <f t="shared" ref="N120:N122" si="15">K120+L120+M120</f>
        <v>100</v>
      </c>
      <c r="O120" s="212">
        <v>21.7</v>
      </c>
      <c r="P120" s="213"/>
      <c r="Q120" s="213">
        <v>31.7</v>
      </c>
      <c r="R120" s="214">
        <f t="shared" ref="R120:R121" si="16">O120+P120+Q120</f>
        <v>53.4</v>
      </c>
      <c r="S120" s="170">
        <v>2</v>
      </c>
      <c r="T120" s="283"/>
      <c r="U120" s="281"/>
      <c r="V120" s="177" t="s">
        <v>130</v>
      </c>
      <c r="W120" s="170" t="s">
        <v>22</v>
      </c>
      <c r="X120" s="170" t="s">
        <v>11</v>
      </c>
      <c r="Y120" s="178">
        <v>21.7</v>
      </c>
      <c r="Z120" s="170" t="s">
        <v>493</v>
      </c>
      <c r="AA120" s="170" t="s">
        <v>20</v>
      </c>
      <c r="AB120" s="170" t="s">
        <v>12</v>
      </c>
      <c r="AC120" s="170">
        <v>21.7</v>
      </c>
      <c r="AD120" s="177" t="s">
        <v>1256</v>
      </c>
      <c r="AE120" s="170" t="s">
        <v>1242</v>
      </c>
      <c r="AF120" s="170" t="s">
        <v>12</v>
      </c>
      <c r="AG120" s="178">
        <v>10</v>
      </c>
      <c r="AL120" s="177"/>
      <c r="AO120" s="178"/>
      <c r="AP120" s="177"/>
      <c r="AS120" s="178"/>
      <c r="AW120" s="178"/>
      <c r="BA120" s="179"/>
    </row>
    <row r="121" spans="1:53" s="170" customFormat="1" x14ac:dyDescent="0.15">
      <c r="A121" s="170">
        <v>2016</v>
      </c>
      <c r="B121" s="281"/>
      <c r="C121" s="395" t="s">
        <v>1241</v>
      </c>
      <c r="D121" s="395"/>
      <c r="E121" s="170">
        <v>366</v>
      </c>
      <c r="G121" s="232">
        <v>7</v>
      </c>
      <c r="I121" s="170">
        <v>11</v>
      </c>
      <c r="J121" s="240">
        <v>18</v>
      </c>
      <c r="K121" s="213">
        <f t="shared" si="12"/>
        <v>38.888888888888893</v>
      </c>
      <c r="L121" s="213">
        <f t="shared" si="13"/>
        <v>0</v>
      </c>
      <c r="M121" s="213">
        <f t="shared" si="14"/>
        <v>61.111111111111114</v>
      </c>
      <c r="N121" s="234">
        <f t="shared" si="15"/>
        <v>100</v>
      </c>
      <c r="O121" s="212">
        <v>21.7</v>
      </c>
      <c r="P121" s="213"/>
      <c r="Q121" s="213">
        <v>31.7</v>
      </c>
      <c r="R121" s="214">
        <f t="shared" si="16"/>
        <v>53.4</v>
      </c>
      <c r="S121" s="170">
        <v>2</v>
      </c>
      <c r="T121" s="283"/>
      <c r="U121" s="281"/>
      <c r="V121" s="177" t="s">
        <v>130</v>
      </c>
      <c r="W121" s="170" t="s">
        <v>22</v>
      </c>
      <c r="X121" s="170" t="s">
        <v>11</v>
      </c>
      <c r="Y121" s="178">
        <v>21.7</v>
      </c>
      <c r="Z121" s="170" t="s">
        <v>493</v>
      </c>
      <c r="AA121" s="170" t="s">
        <v>20</v>
      </c>
      <c r="AB121" s="170" t="s">
        <v>12</v>
      </c>
      <c r="AC121" s="170">
        <v>21.7</v>
      </c>
      <c r="AD121" s="177" t="s">
        <v>1256</v>
      </c>
      <c r="AE121" s="170" t="s">
        <v>1242</v>
      </c>
      <c r="AF121" s="170" t="s">
        <v>12</v>
      </c>
      <c r="AG121" s="178">
        <v>10</v>
      </c>
      <c r="AL121" s="177"/>
      <c r="AO121" s="178"/>
      <c r="AP121" s="177"/>
      <c r="AS121" s="178"/>
      <c r="AW121" s="178"/>
      <c r="BA121" s="179"/>
    </row>
    <row r="122" spans="1:53" s="170" customFormat="1" x14ac:dyDescent="0.15">
      <c r="A122" s="170">
        <v>2017</v>
      </c>
      <c r="B122" s="281"/>
      <c r="C122" s="395" t="s">
        <v>1241</v>
      </c>
      <c r="D122" s="395"/>
      <c r="E122" s="170">
        <v>0</v>
      </c>
      <c r="G122" s="232">
        <v>7</v>
      </c>
      <c r="I122" s="170">
        <v>11</v>
      </c>
      <c r="J122" s="240">
        <v>18</v>
      </c>
      <c r="K122" s="213">
        <f t="shared" si="12"/>
        <v>38.888888888888893</v>
      </c>
      <c r="L122" s="213">
        <f t="shared" si="13"/>
        <v>0</v>
      </c>
      <c r="M122" s="213">
        <f t="shared" si="14"/>
        <v>61.111111111111114</v>
      </c>
      <c r="N122" s="234">
        <f t="shared" si="15"/>
        <v>100</v>
      </c>
      <c r="O122" s="212">
        <v>21.7</v>
      </c>
      <c r="P122" s="213"/>
      <c r="Q122" s="213">
        <v>31.7</v>
      </c>
      <c r="R122" s="214">
        <f t="shared" ref="R122:R123" si="17">O122+P122+Q122</f>
        <v>53.4</v>
      </c>
      <c r="S122" s="170">
        <v>2</v>
      </c>
      <c r="T122" s="283"/>
      <c r="U122" s="281"/>
      <c r="V122" s="177" t="s">
        <v>130</v>
      </c>
      <c r="W122" s="170" t="s">
        <v>22</v>
      </c>
      <c r="X122" s="170" t="s">
        <v>11</v>
      </c>
      <c r="Y122" s="178">
        <v>21.7</v>
      </c>
      <c r="Z122" s="170" t="s">
        <v>493</v>
      </c>
      <c r="AA122" s="170" t="s">
        <v>20</v>
      </c>
      <c r="AB122" s="170" t="s">
        <v>12</v>
      </c>
      <c r="AC122" s="170">
        <v>21.7</v>
      </c>
      <c r="AD122" s="177" t="s">
        <v>1256</v>
      </c>
      <c r="AE122" s="170" t="s">
        <v>1242</v>
      </c>
      <c r="AF122" s="170" t="s">
        <v>12</v>
      </c>
      <c r="AG122" s="178">
        <v>10</v>
      </c>
      <c r="AL122" s="177"/>
      <c r="AO122" s="178"/>
      <c r="AP122" s="177"/>
      <c r="AS122" s="178"/>
      <c r="AW122" s="178"/>
      <c r="BA122" s="179"/>
    </row>
    <row r="123" spans="1:53" s="170" customFormat="1" x14ac:dyDescent="0.15">
      <c r="A123" s="170">
        <v>2017</v>
      </c>
      <c r="B123" s="281"/>
      <c r="C123" s="395" t="s">
        <v>1241</v>
      </c>
      <c r="D123" s="395"/>
      <c r="E123" s="170">
        <v>365</v>
      </c>
      <c r="G123" s="232">
        <v>7</v>
      </c>
      <c r="I123" s="170">
        <v>11</v>
      </c>
      <c r="J123" s="240">
        <v>18</v>
      </c>
      <c r="K123" s="213">
        <f t="shared" ref="K123" si="18">G123/$J123*100</f>
        <v>38.888888888888893</v>
      </c>
      <c r="L123" s="213">
        <f t="shared" ref="L123" si="19">H123/$J123*100</f>
        <v>0</v>
      </c>
      <c r="M123" s="213">
        <f t="shared" ref="M123" si="20">I123/$J123*100</f>
        <v>61.111111111111114</v>
      </c>
      <c r="N123" s="234">
        <f t="shared" ref="N123" si="21">K123+L123+M123</f>
        <v>100</v>
      </c>
      <c r="O123" s="212">
        <v>21.7</v>
      </c>
      <c r="P123" s="213"/>
      <c r="Q123" s="213">
        <v>31.7</v>
      </c>
      <c r="R123" s="214">
        <f t="shared" si="17"/>
        <v>53.4</v>
      </c>
      <c r="S123" s="170">
        <v>2</v>
      </c>
      <c r="T123" s="283"/>
      <c r="U123" s="281"/>
      <c r="V123" s="177" t="s">
        <v>130</v>
      </c>
      <c r="W123" s="170" t="s">
        <v>22</v>
      </c>
      <c r="X123" s="170" t="s">
        <v>11</v>
      </c>
      <c r="Y123" s="178">
        <v>21.7</v>
      </c>
      <c r="Z123" s="170" t="s">
        <v>493</v>
      </c>
      <c r="AA123" s="170" t="s">
        <v>20</v>
      </c>
      <c r="AB123" s="170" t="s">
        <v>12</v>
      </c>
      <c r="AC123" s="170">
        <v>21.7</v>
      </c>
      <c r="AD123" s="177" t="s">
        <v>1256</v>
      </c>
      <c r="AE123" s="170" t="s">
        <v>1242</v>
      </c>
      <c r="AF123" s="170" t="s">
        <v>12</v>
      </c>
      <c r="AG123" s="178">
        <v>10</v>
      </c>
      <c r="AL123" s="177"/>
      <c r="AO123" s="178"/>
      <c r="AP123" s="177"/>
      <c r="AS123" s="178"/>
      <c r="AW123" s="178"/>
      <c r="BA123" s="179"/>
    </row>
    <row r="124" spans="1:53" s="170" customFormat="1" x14ac:dyDescent="0.15">
      <c r="A124" s="170">
        <v>2018</v>
      </c>
      <c r="B124" s="281"/>
      <c r="C124" s="395" t="s">
        <v>1241</v>
      </c>
      <c r="D124" s="395"/>
      <c r="E124" s="170">
        <v>338</v>
      </c>
      <c r="G124" s="232">
        <v>7</v>
      </c>
      <c r="I124" s="170">
        <v>11</v>
      </c>
      <c r="J124" s="240">
        <v>18</v>
      </c>
      <c r="K124" s="213">
        <f t="shared" ref="K124:K125" si="22">G124/$J124*100</f>
        <v>38.888888888888893</v>
      </c>
      <c r="L124" s="213">
        <f t="shared" ref="L124:L125" si="23">H124/$J124*100</f>
        <v>0</v>
      </c>
      <c r="M124" s="213">
        <f t="shared" ref="M124:M125" si="24">I124/$J124*100</f>
        <v>61.111111111111114</v>
      </c>
      <c r="N124" s="234">
        <f t="shared" ref="N124:N125" si="25">K124+L124+M124</f>
        <v>100</v>
      </c>
      <c r="O124" s="212">
        <v>21.7</v>
      </c>
      <c r="P124" s="213"/>
      <c r="Q124" s="213">
        <v>31.7</v>
      </c>
      <c r="R124" s="214">
        <f t="shared" ref="R124:R125" si="26">O124+P124+Q124</f>
        <v>53.4</v>
      </c>
      <c r="S124" s="170">
        <v>2</v>
      </c>
      <c r="T124" s="283"/>
      <c r="U124" s="281"/>
      <c r="V124" s="177" t="s">
        <v>130</v>
      </c>
      <c r="W124" s="170" t="s">
        <v>22</v>
      </c>
      <c r="X124" s="170" t="s">
        <v>11</v>
      </c>
      <c r="Y124" s="178">
        <v>21.7</v>
      </c>
      <c r="Z124" s="170" t="s">
        <v>493</v>
      </c>
      <c r="AA124" s="170" t="s">
        <v>20</v>
      </c>
      <c r="AB124" s="170" t="s">
        <v>12</v>
      </c>
      <c r="AC124" s="170">
        <v>21.7</v>
      </c>
      <c r="AD124" s="177" t="s">
        <v>1256</v>
      </c>
      <c r="AE124" s="170" t="s">
        <v>1242</v>
      </c>
      <c r="AF124" s="170" t="s">
        <v>12</v>
      </c>
      <c r="AG124" s="178">
        <v>10</v>
      </c>
      <c r="AL124" s="177"/>
      <c r="AO124" s="178"/>
      <c r="AP124" s="177"/>
      <c r="AS124" s="178"/>
      <c r="AW124" s="178"/>
      <c r="BA124" s="179"/>
    </row>
    <row r="125" spans="1:53" s="28" customFormat="1" x14ac:dyDescent="0.15">
      <c r="A125" s="28">
        <v>2018</v>
      </c>
      <c r="B125" s="315">
        <v>43439</v>
      </c>
      <c r="C125" s="394" t="s">
        <v>1397</v>
      </c>
      <c r="D125" s="394"/>
      <c r="E125" s="28">
        <v>27</v>
      </c>
      <c r="F125" s="28">
        <v>1</v>
      </c>
      <c r="G125" s="65">
        <v>6</v>
      </c>
      <c r="I125" s="28">
        <v>11</v>
      </c>
      <c r="J125" s="72">
        <v>17</v>
      </c>
      <c r="K125" s="46">
        <f t="shared" si="22"/>
        <v>35.294117647058826</v>
      </c>
      <c r="L125" s="46">
        <f t="shared" si="23"/>
        <v>0</v>
      </c>
      <c r="M125" s="46">
        <f t="shared" si="24"/>
        <v>64.705882352941174</v>
      </c>
      <c r="N125" s="67">
        <f t="shared" si="25"/>
        <v>100</v>
      </c>
      <c r="O125" s="45">
        <v>20</v>
      </c>
      <c r="P125" s="46"/>
      <c r="Q125" s="46">
        <v>31.6</v>
      </c>
      <c r="R125" s="67">
        <f t="shared" si="26"/>
        <v>51.6</v>
      </c>
      <c r="S125" s="36">
        <v>2</v>
      </c>
      <c r="T125" s="284">
        <v>43387</v>
      </c>
      <c r="U125" s="293">
        <v>43439</v>
      </c>
      <c r="V125" s="37" t="s">
        <v>130</v>
      </c>
      <c r="W125" s="28" t="s">
        <v>22</v>
      </c>
      <c r="X125" s="28" t="s">
        <v>11</v>
      </c>
      <c r="Y125" s="38">
        <v>20</v>
      </c>
      <c r="Z125" s="28" t="s">
        <v>493</v>
      </c>
      <c r="AA125" s="28" t="s">
        <v>20</v>
      </c>
      <c r="AB125" s="28" t="s">
        <v>12</v>
      </c>
      <c r="AC125" s="28">
        <v>16.600000000000001</v>
      </c>
      <c r="AD125" s="37" t="s">
        <v>1256</v>
      </c>
      <c r="AE125" s="28" t="s">
        <v>1242</v>
      </c>
      <c r="AF125" s="28" t="s">
        <v>12</v>
      </c>
      <c r="AG125" s="38">
        <v>15</v>
      </c>
      <c r="AL125" s="37"/>
      <c r="AO125" s="38"/>
      <c r="AP125" s="37"/>
      <c r="AS125" s="38"/>
      <c r="AW125" s="38"/>
      <c r="BA125" s="39"/>
    </row>
    <row r="126" spans="1:53" s="28" customFormat="1" x14ac:dyDescent="0.15">
      <c r="A126" s="28">
        <v>2019</v>
      </c>
      <c r="B126" s="315"/>
      <c r="C126" s="394" t="s">
        <v>1397</v>
      </c>
      <c r="D126" s="394"/>
      <c r="E126" s="28">
        <v>0</v>
      </c>
      <c r="G126" s="65">
        <v>6</v>
      </c>
      <c r="I126" s="28">
        <v>11</v>
      </c>
      <c r="J126" s="72">
        <v>17</v>
      </c>
      <c r="K126" s="46">
        <f t="shared" ref="K126:K133" si="27">G126/$J126*100</f>
        <v>35.294117647058826</v>
      </c>
      <c r="L126" s="46">
        <f t="shared" ref="L126:L133" si="28">H126/$J126*100</f>
        <v>0</v>
      </c>
      <c r="M126" s="46">
        <f t="shared" ref="M126:M133" si="29">I126/$J126*100</f>
        <v>64.705882352941174</v>
      </c>
      <c r="N126" s="67">
        <f t="shared" ref="N126:N133" si="30">K126+L126+M126</f>
        <v>100</v>
      </c>
      <c r="O126" s="45">
        <v>20</v>
      </c>
      <c r="P126" s="46"/>
      <c r="Q126" s="46">
        <v>31.6</v>
      </c>
      <c r="R126" s="67">
        <f t="shared" ref="R126:R133" si="31">O126+P126+Q126</f>
        <v>51.6</v>
      </c>
      <c r="S126" s="36">
        <v>2</v>
      </c>
      <c r="T126" s="284"/>
      <c r="U126" s="293"/>
      <c r="V126" s="37" t="s">
        <v>130</v>
      </c>
      <c r="W126" s="28" t="s">
        <v>22</v>
      </c>
      <c r="X126" s="28" t="s">
        <v>11</v>
      </c>
      <c r="Y126" s="38">
        <v>20</v>
      </c>
      <c r="Z126" s="28" t="s">
        <v>493</v>
      </c>
      <c r="AA126" s="28" t="s">
        <v>20</v>
      </c>
      <c r="AB126" s="28" t="s">
        <v>12</v>
      </c>
      <c r="AC126" s="28">
        <v>16.600000000000001</v>
      </c>
      <c r="AD126" s="37" t="s">
        <v>1256</v>
      </c>
      <c r="AE126" s="28" t="s">
        <v>1242</v>
      </c>
      <c r="AF126" s="28" t="s">
        <v>12</v>
      </c>
      <c r="AG126" s="38">
        <v>15</v>
      </c>
      <c r="AK126" s="38"/>
      <c r="AO126" s="38"/>
      <c r="AS126" s="38"/>
      <c r="AW126" s="38"/>
      <c r="BA126" s="39"/>
    </row>
    <row r="127" spans="1:53" s="28" customFormat="1" x14ac:dyDescent="0.15">
      <c r="A127" s="28">
        <v>2019</v>
      </c>
      <c r="B127" s="315"/>
      <c r="C127" s="394" t="s">
        <v>1397</v>
      </c>
      <c r="D127" s="394"/>
      <c r="E127" s="28">
        <v>365</v>
      </c>
      <c r="G127" s="65">
        <v>6</v>
      </c>
      <c r="I127" s="28">
        <v>11</v>
      </c>
      <c r="J127" s="72">
        <v>17</v>
      </c>
      <c r="K127" s="46">
        <f t="shared" si="27"/>
        <v>35.294117647058826</v>
      </c>
      <c r="L127" s="46">
        <f t="shared" si="28"/>
        <v>0</v>
      </c>
      <c r="M127" s="46">
        <f t="shared" si="29"/>
        <v>64.705882352941174</v>
      </c>
      <c r="N127" s="47">
        <f t="shared" si="30"/>
        <v>100</v>
      </c>
      <c r="O127" s="46">
        <v>20</v>
      </c>
      <c r="P127" s="46"/>
      <c r="Q127" s="46">
        <v>31.6</v>
      </c>
      <c r="R127" s="47">
        <f t="shared" si="31"/>
        <v>51.6</v>
      </c>
      <c r="S127" s="36">
        <v>2</v>
      </c>
      <c r="T127" s="284"/>
      <c r="U127" s="290"/>
      <c r="V127" s="28" t="s">
        <v>130</v>
      </c>
      <c r="W127" s="28" t="s">
        <v>22</v>
      </c>
      <c r="X127" s="28" t="s">
        <v>11</v>
      </c>
      <c r="Y127" s="38">
        <v>20</v>
      </c>
      <c r="Z127" s="28" t="s">
        <v>493</v>
      </c>
      <c r="AA127" s="28" t="s">
        <v>20</v>
      </c>
      <c r="AB127" s="28" t="s">
        <v>12</v>
      </c>
      <c r="AC127" s="38">
        <v>16.600000000000001</v>
      </c>
      <c r="AD127" s="28" t="s">
        <v>1256</v>
      </c>
      <c r="AE127" s="28" t="s">
        <v>1242</v>
      </c>
      <c r="AF127" s="28" t="s">
        <v>12</v>
      </c>
      <c r="AG127" s="38">
        <v>15</v>
      </c>
      <c r="AK127" s="38"/>
      <c r="AO127" s="38"/>
      <c r="AS127" s="38"/>
      <c r="AW127" s="38"/>
      <c r="BA127" s="39"/>
    </row>
    <row r="128" spans="1:53" s="28" customFormat="1" x14ac:dyDescent="0.15">
      <c r="A128" s="28">
        <v>2020</v>
      </c>
      <c r="B128" s="315"/>
      <c r="C128" s="394" t="s">
        <v>1397</v>
      </c>
      <c r="D128" s="394"/>
      <c r="E128" s="28">
        <v>0</v>
      </c>
      <c r="F128" s="39"/>
      <c r="G128" s="28">
        <v>6</v>
      </c>
      <c r="I128" s="28">
        <v>11</v>
      </c>
      <c r="J128" s="72">
        <v>17</v>
      </c>
      <c r="K128" s="46">
        <f t="shared" si="27"/>
        <v>35.294117647058826</v>
      </c>
      <c r="L128" s="46">
        <f t="shared" si="28"/>
        <v>0</v>
      </c>
      <c r="M128" s="46">
        <f t="shared" si="29"/>
        <v>64.705882352941174</v>
      </c>
      <c r="N128" s="47">
        <f t="shared" si="30"/>
        <v>100</v>
      </c>
      <c r="O128" s="46">
        <v>20</v>
      </c>
      <c r="P128" s="46"/>
      <c r="Q128" s="46">
        <v>31.6</v>
      </c>
      <c r="R128" s="47">
        <f t="shared" si="31"/>
        <v>51.6</v>
      </c>
      <c r="S128" s="36">
        <v>2</v>
      </c>
      <c r="T128" s="284"/>
      <c r="U128" s="290"/>
      <c r="V128" s="28" t="s">
        <v>130</v>
      </c>
      <c r="W128" s="28" t="s">
        <v>22</v>
      </c>
      <c r="X128" s="28" t="s">
        <v>11</v>
      </c>
      <c r="Y128" s="38">
        <v>20</v>
      </c>
      <c r="Z128" s="28" t="s">
        <v>493</v>
      </c>
      <c r="AA128" s="28" t="s">
        <v>20</v>
      </c>
      <c r="AB128" s="28" t="s">
        <v>12</v>
      </c>
      <c r="AC128" s="38">
        <v>16.600000000000001</v>
      </c>
      <c r="AD128" s="28" t="s">
        <v>1256</v>
      </c>
      <c r="AE128" s="28" t="s">
        <v>1242</v>
      </c>
      <c r="AF128" s="28" t="s">
        <v>12</v>
      </c>
      <c r="AG128" s="38">
        <v>15</v>
      </c>
      <c r="AK128" s="38"/>
      <c r="AO128" s="38"/>
      <c r="AS128" s="38"/>
      <c r="AW128" s="38"/>
      <c r="BA128" s="39"/>
    </row>
    <row r="129" spans="1:53" s="28" customFormat="1" x14ac:dyDescent="0.15">
      <c r="A129" s="28">
        <v>2020</v>
      </c>
      <c r="B129" s="315"/>
      <c r="C129" s="394" t="s">
        <v>1397</v>
      </c>
      <c r="D129" s="394"/>
      <c r="E129" s="28">
        <v>366</v>
      </c>
      <c r="F129" s="39"/>
      <c r="G129" s="28">
        <v>6</v>
      </c>
      <c r="I129" s="28">
        <v>11</v>
      </c>
      <c r="J129" s="72">
        <v>17</v>
      </c>
      <c r="K129" s="46">
        <f t="shared" si="27"/>
        <v>35.294117647058826</v>
      </c>
      <c r="L129" s="46">
        <f t="shared" si="28"/>
        <v>0</v>
      </c>
      <c r="M129" s="46">
        <f t="shared" si="29"/>
        <v>64.705882352941174</v>
      </c>
      <c r="N129" s="47">
        <f t="shared" si="30"/>
        <v>100</v>
      </c>
      <c r="O129" s="46">
        <v>20</v>
      </c>
      <c r="P129" s="46"/>
      <c r="Q129" s="46">
        <v>31.6</v>
      </c>
      <c r="R129" s="47">
        <f t="shared" si="31"/>
        <v>51.6</v>
      </c>
      <c r="S129" s="36">
        <v>2</v>
      </c>
      <c r="T129" s="284"/>
      <c r="U129" s="290"/>
      <c r="V129" s="28" t="s">
        <v>130</v>
      </c>
      <c r="W129" s="28" t="s">
        <v>22</v>
      </c>
      <c r="X129" s="28" t="s">
        <v>11</v>
      </c>
      <c r="Y129" s="38">
        <v>20</v>
      </c>
      <c r="Z129" s="28" t="s">
        <v>493</v>
      </c>
      <c r="AA129" s="28" t="s">
        <v>20</v>
      </c>
      <c r="AB129" s="28" t="s">
        <v>12</v>
      </c>
      <c r="AC129" s="38">
        <v>16.600000000000001</v>
      </c>
      <c r="AD129" s="28" t="s">
        <v>1256</v>
      </c>
      <c r="AE129" s="28" t="s">
        <v>1242</v>
      </c>
      <c r="AF129" s="28" t="s">
        <v>12</v>
      </c>
      <c r="AG129" s="38">
        <v>15</v>
      </c>
      <c r="AK129" s="38"/>
      <c r="AO129" s="38"/>
      <c r="AS129" s="38"/>
      <c r="AW129" s="38"/>
      <c r="BA129" s="39"/>
    </row>
    <row r="130" spans="1:53" s="28" customFormat="1" x14ac:dyDescent="0.15">
      <c r="A130" s="28">
        <v>2021</v>
      </c>
      <c r="B130" s="315"/>
      <c r="C130" s="394" t="s">
        <v>1397</v>
      </c>
      <c r="D130" s="394"/>
      <c r="E130" s="28">
        <v>0</v>
      </c>
      <c r="F130" s="39"/>
      <c r="G130" s="28">
        <v>6</v>
      </c>
      <c r="I130" s="28">
        <v>11</v>
      </c>
      <c r="J130" s="72">
        <v>17</v>
      </c>
      <c r="K130" s="46">
        <f t="shared" si="27"/>
        <v>35.294117647058826</v>
      </c>
      <c r="L130" s="46">
        <f t="shared" si="28"/>
        <v>0</v>
      </c>
      <c r="M130" s="46">
        <f t="shared" si="29"/>
        <v>64.705882352941174</v>
      </c>
      <c r="N130" s="47">
        <f t="shared" si="30"/>
        <v>100</v>
      </c>
      <c r="O130" s="46">
        <v>20</v>
      </c>
      <c r="P130" s="46"/>
      <c r="Q130" s="46">
        <v>31.6</v>
      </c>
      <c r="R130" s="47">
        <f t="shared" si="31"/>
        <v>51.6</v>
      </c>
      <c r="S130" s="36">
        <v>2</v>
      </c>
      <c r="T130" s="284"/>
      <c r="U130" s="290"/>
      <c r="V130" s="28" t="s">
        <v>130</v>
      </c>
      <c r="W130" s="28" t="s">
        <v>22</v>
      </c>
      <c r="X130" s="28" t="s">
        <v>11</v>
      </c>
      <c r="Y130" s="38">
        <v>20</v>
      </c>
      <c r="Z130" s="28" t="s">
        <v>493</v>
      </c>
      <c r="AA130" s="28" t="s">
        <v>20</v>
      </c>
      <c r="AB130" s="28" t="s">
        <v>12</v>
      </c>
      <c r="AC130" s="38">
        <v>16.600000000000001</v>
      </c>
      <c r="AD130" s="28" t="s">
        <v>1256</v>
      </c>
      <c r="AE130" s="28" t="s">
        <v>1242</v>
      </c>
      <c r="AF130" s="28" t="s">
        <v>12</v>
      </c>
      <c r="AG130" s="38">
        <v>15</v>
      </c>
      <c r="AK130" s="38"/>
      <c r="AO130" s="38"/>
      <c r="AS130" s="38"/>
      <c r="AW130" s="38"/>
      <c r="BA130" s="39"/>
    </row>
    <row r="131" spans="1:53" s="28" customFormat="1" x14ac:dyDescent="0.15">
      <c r="A131" s="28">
        <v>2021</v>
      </c>
      <c r="B131" s="315"/>
      <c r="C131" s="394" t="s">
        <v>1397</v>
      </c>
      <c r="D131" s="394"/>
      <c r="E131" s="28">
        <v>365</v>
      </c>
      <c r="F131" s="39"/>
      <c r="G131" s="28">
        <v>6</v>
      </c>
      <c r="I131" s="28">
        <v>11</v>
      </c>
      <c r="J131" s="72">
        <v>17</v>
      </c>
      <c r="K131" s="46">
        <f t="shared" si="27"/>
        <v>35.294117647058826</v>
      </c>
      <c r="L131" s="46">
        <f t="shared" si="28"/>
        <v>0</v>
      </c>
      <c r="M131" s="46">
        <f t="shared" si="29"/>
        <v>64.705882352941174</v>
      </c>
      <c r="N131" s="47">
        <f t="shared" si="30"/>
        <v>100</v>
      </c>
      <c r="O131" s="46">
        <v>20</v>
      </c>
      <c r="P131" s="46"/>
      <c r="Q131" s="46">
        <v>31.6</v>
      </c>
      <c r="R131" s="47">
        <f t="shared" si="31"/>
        <v>51.6</v>
      </c>
      <c r="S131" s="36">
        <v>2</v>
      </c>
      <c r="T131" s="284"/>
      <c r="U131" s="290"/>
      <c r="V131" s="28" t="s">
        <v>130</v>
      </c>
      <c r="W131" s="28" t="s">
        <v>22</v>
      </c>
      <c r="X131" s="28" t="s">
        <v>11</v>
      </c>
      <c r="Y131" s="38">
        <v>20</v>
      </c>
      <c r="Z131" s="28" t="s">
        <v>493</v>
      </c>
      <c r="AA131" s="28" t="s">
        <v>20</v>
      </c>
      <c r="AB131" s="28" t="s">
        <v>12</v>
      </c>
      <c r="AC131" s="38">
        <v>16.600000000000001</v>
      </c>
      <c r="AD131" s="28" t="s">
        <v>1256</v>
      </c>
      <c r="AE131" s="28" t="s">
        <v>1242</v>
      </c>
      <c r="AF131" s="28" t="s">
        <v>12</v>
      </c>
      <c r="AG131" s="38">
        <v>15</v>
      </c>
      <c r="AK131" s="38"/>
      <c r="AO131" s="38"/>
      <c r="AS131" s="38"/>
      <c r="AW131" s="38"/>
      <c r="BA131" s="39"/>
    </row>
    <row r="132" spans="1:53" s="28" customFormat="1" x14ac:dyDescent="0.15">
      <c r="A132" s="28">
        <v>2022</v>
      </c>
      <c r="B132" s="315"/>
      <c r="C132" s="394" t="s">
        <v>1397</v>
      </c>
      <c r="D132" s="394"/>
      <c r="E132" s="28">
        <v>0</v>
      </c>
      <c r="F132" s="39"/>
      <c r="G132" s="28">
        <v>6</v>
      </c>
      <c r="I132" s="28">
        <v>11</v>
      </c>
      <c r="J132" s="72">
        <v>17</v>
      </c>
      <c r="K132" s="46">
        <f t="shared" si="27"/>
        <v>35.294117647058826</v>
      </c>
      <c r="L132" s="46">
        <f t="shared" si="28"/>
        <v>0</v>
      </c>
      <c r="M132" s="46">
        <f t="shared" si="29"/>
        <v>64.705882352941174</v>
      </c>
      <c r="N132" s="47">
        <f t="shared" si="30"/>
        <v>100</v>
      </c>
      <c r="O132" s="46">
        <v>20</v>
      </c>
      <c r="P132" s="46"/>
      <c r="Q132" s="46">
        <v>31.6</v>
      </c>
      <c r="R132" s="47">
        <f t="shared" si="31"/>
        <v>51.6</v>
      </c>
      <c r="S132" s="36">
        <v>2</v>
      </c>
      <c r="T132" s="284"/>
      <c r="U132" s="290"/>
      <c r="V132" s="28" t="s">
        <v>130</v>
      </c>
      <c r="W132" s="28" t="s">
        <v>22</v>
      </c>
      <c r="X132" s="28" t="s">
        <v>11</v>
      </c>
      <c r="Y132" s="38">
        <v>20</v>
      </c>
      <c r="Z132" s="28" t="s">
        <v>493</v>
      </c>
      <c r="AA132" s="28" t="s">
        <v>20</v>
      </c>
      <c r="AB132" s="28" t="s">
        <v>12</v>
      </c>
      <c r="AC132" s="38">
        <v>16.600000000000001</v>
      </c>
      <c r="AD132" s="28" t="s">
        <v>1256</v>
      </c>
      <c r="AE132" s="28" t="s">
        <v>1242</v>
      </c>
      <c r="AF132" s="28" t="s">
        <v>12</v>
      </c>
      <c r="AG132" s="38">
        <v>15</v>
      </c>
      <c r="AK132" s="38"/>
      <c r="AO132" s="38"/>
      <c r="AS132" s="38"/>
      <c r="AW132" s="38"/>
      <c r="BA132" s="39"/>
    </row>
    <row r="133" spans="1:53" s="28" customFormat="1" x14ac:dyDescent="0.15">
      <c r="A133" s="28">
        <v>2022</v>
      </c>
      <c r="B133" s="315"/>
      <c r="C133" s="394" t="s">
        <v>1397</v>
      </c>
      <c r="D133" s="394"/>
      <c r="E133" s="28">
        <v>365</v>
      </c>
      <c r="F133" s="39"/>
      <c r="G133" s="28">
        <v>6</v>
      </c>
      <c r="I133" s="28">
        <v>11</v>
      </c>
      <c r="J133" s="72">
        <v>17</v>
      </c>
      <c r="K133" s="46">
        <f t="shared" si="27"/>
        <v>35.294117647058826</v>
      </c>
      <c r="L133" s="46">
        <f t="shared" si="28"/>
        <v>0</v>
      </c>
      <c r="M133" s="46">
        <f t="shared" si="29"/>
        <v>64.705882352941174</v>
      </c>
      <c r="N133" s="47">
        <f t="shared" si="30"/>
        <v>100</v>
      </c>
      <c r="O133" s="46">
        <v>20</v>
      </c>
      <c r="P133" s="46"/>
      <c r="Q133" s="46">
        <v>31.6</v>
      </c>
      <c r="R133" s="47">
        <f t="shared" si="31"/>
        <v>51.6</v>
      </c>
      <c r="S133" s="36">
        <v>2</v>
      </c>
      <c r="T133" s="284"/>
      <c r="U133" s="290"/>
      <c r="V133" s="28" t="s">
        <v>130</v>
      </c>
      <c r="W133" s="28" t="s">
        <v>22</v>
      </c>
      <c r="X133" s="28" t="s">
        <v>11</v>
      </c>
      <c r="Y133" s="38">
        <v>20</v>
      </c>
      <c r="Z133" s="28" t="s">
        <v>493</v>
      </c>
      <c r="AA133" s="28" t="s">
        <v>20</v>
      </c>
      <c r="AB133" s="28" t="s">
        <v>12</v>
      </c>
      <c r="AC133" s="38">
        <v>16.600000000000001</v>
      </c>
      <c r="AD133" s="28" t="s">
        <v>1256</v>
      </c>
      <c r="AE133" s="28" t="s">
        <v>1242</v>
      </c>
      <c r="AF133" s="28" t="s">
        <v>12</v>
      </c>
      <c r="AG133" s="38">
        <v>15</v>
      </c>
      <c r="AK133" s="38"/>
      <c r="AO133" s="38"/>
      <c r="AS133" s="38"/>
      <c r="AW133" s="38"/>
      <c r="BA133" s="39"/>
    </row>
    <row r="134" spans="1:53" s="28" customFormat="1" x14ac:dyDescent="0.15">
      <c r="B134" s="315"/>
      <c r="J134" s="71"/>
      <c r="K134" s="46"/>
      <c r="L134" s="46"/>
      <c r="M134" s="46"/>
      <c r="N134" s="67"/>
      <c r="O134" s="46"/>
      <c r="P134" s="46"/>
      <c r="Q134" s="46"/>
      <c r="R134" s="67"/>
      <c r="T134" s="293"/>
      <c r="U134" s="293"/>
    </row>
    <row r="135" spans="1:53" x14ac:dyDescent="0.15">
      <c r="B135" s="358"/>
      <c r="J135" s="25"/>
      <c r="K135" s="11"/>
      <c r="L135" s="11"/>
      <c r="M135" s="11"/>
      <c r="N135" s="19"/>
      <c r="O135" s="11"/>
      <c r="P135" s="11"/>
      <c r="Q135" s="11"/>
      <c r="R135" s="19"/>
      <c r="T135" s="337"/>
      <c r="U135" s="337"/>
    </row>
    <row r="137" spans="1:53" ht="18" customHeight="1" x14ac:dyDescent="0.15">
      <c r="B137" s="15" t="s">
        <v>1262</v>
      </c>
      <c r="H137" s="4"/>
    </row>
    <row r="138" spans="1:53" ht="9" customHeight="1" x14ac:dyDescent="0.15">
      <c r="H138" s="4"/>
    </row>
    <row r="139" spans="1:53" s="194" customFormat="1" ht="9" customHeight="1" x14ac:dyDescent="0.15">
      <c r="A139" s="192"/>
      <c r="B139" s="193" t="s">
        <v>1213</v>
      </c>
      <c r="C139" s="193"/>
      <c r="D139" s="193"/>
      <c r="E139" s="193"/>
      <c r="F139" s="193"/>
      <c r="G139" s="193" t="s">
        <v>1214</v>
      </c>
      <c r="H139" s="193"/>
      <c r="I139" s="193"/>
      <c r="J139" s="193"/>
      <c r="K139" s="193"/>
      <c r="L139" s="193"/>
      <c r="M139" s="193"/>
      <c r="N139" s="193"/>
      <c r="R139" s="386" t="s">
        <v>1215</v>
      </c>
      <c r="S139" s="386"/>
      <c r="T139" s="386"/>
      <c r="U139" s="386"/>
      <c r="V139" s="386"/>
      <c r="W139" s="386"/>
      <c r="X139" s="195"/>
      <c r="Y139" s="195"/>
      <c r="AA139" s="195"/>
      <c r="AB139" s="195"/>
      <c r="AC139" s="195"/>
      <c r="AD139" s="195"/>
    </row>
    <row r="140" spans="1:53" s="199" customFormat="1" ht="9" customHeight="1" x14ac:dyDescent="0.15">
      <c r="A140" s="196"/>
      <c r="B140" s="197" t="s">
        <v>1217</v>
      </c>
      <c r="C140" s="198"/>
      <c r="D140" s="198"/>
      <c r="E140" s="198"/>
      <c r="F140" s="198"/>
      <c r="G140" s="197" t="s">
        <v>1216</v>
      </c>
      <c r="H140" s="198"/>
      <c r="I140" s="198"/>
      <c r="J140" s="198"/>
      <c r="K140" s="198"/>
      <c r="L140" s="198"/>
      <c r="M140" s="198"/>
      <c r="N140" s="198"/>
      <c r="R140" s="200" t="s">
        <v>1218</v>
      </c>
      <c r="S140" s="201"/>
      <c r="T140" s="202"/>
      <c r="U140" s="202"/>
      <c r="V140" s="202"/>
      <c r="W140" s="200" t="s">
        <v>1219</v>
      </c>
      <c r="X140" s="202"/>
      <c r="Y140" s="202"/>
      <c r="AA140" s="202"/>
      <c r="AB140" s="202"/>
      <c r="AC140" s="202"/>
      <c r="AD140" s="202"/>
    </row>
    <row r="141" spans="1:53" s="185" customFormat="1" ht="12" customHeight="1" x14ac:dyDescent="0.15">
      <c r="A141" s="203" t="s">
        <v>3</v>
      </c>
      <c r="B141" s="204" t="s">
        <v>8</v>
      </c>
      <c r="C141" s="204" t="s">
        <v>9</v>
      </c>
      <c r="D141" s="204" t="s">
        <v>10</v>
      </c>
      <c r="E141" s="205" t="s">
        <v>1193</v>
      </c>
      <c r="F141" s="204"/>
      <c r="G141" s="185" t="s">
        <v>3</v>
      </c>
      <c r="H141" s="387" t="s">
        <v>0</v>
      </c>
      <c r="I141" s="387"/>
      <c r="J141" s="387" t="s">
        <v>1</v>
      </c>
      <c r="K141" s="387"/>
      <c r="L141" s="387" t="s">
        <v>2</v>
      </c>
      <c r="M141" s="387"/>
      <c r="N141" s="388" t="s">
        <v>1193</v>
      </c>
      <c r="O141" s="388"/>
      <c r="P141" s="206"/>
      <c r="Q141" s="206"/>
      <c r="R141" s="207" t="s">
        <v>3</v>
      </c>
      <c r="S141" s="208" t="s">
        <v>135</v>
      </c>
      <c r="T141" s="206" t="s">
        <v>133</v>
      </c>
      <c r="U141" s="204" t="s">
        <v>134</v>
      </c>
      <c r="V141" s="206"/>
      <c r="W141" s="209" t="s">
        <v>26</v>
      </c>
    </row>
    <row r="142" spans="1:53" s="139" customFormat="1" x14ac:dyDescent="0.15">
      <c r="A142" s="139">
        <v>1959</v>
      </c>
      <c r="B142" s="142">
        <f>(K6*($E6/365)) + (K7*($E7/365))</f>
        <v>36.399217221135025</v>
      </c>
      <c r="C142" s="142">
        <f>(L6*($E6/365)) + (L7*($E7/365))</f>
        <v>56.066536203522496</v>
      </c>
      <c r="D142" s="142">
        <f>(M6*($E6/365)) + (M7*($E7/365))</f>
        <v>7.5342465753424657</v>
      </c>
      <c r="E142" s="143">
        <f>B142+C142+D142</f>
        <v>99.999999999999986</v>
      </c>
      <c r="G142" s="139">
        <v>1959</v>
      </c>
      <c r="H142" s="396">
        <f>(O6/$R6*100*($E6/365))+(O7/$R7*100*($E7/365))</f>
        <v>29.229674435153889</v>
      </c>
      <c r="I142" s="396"/>
      <c r="J142" s="396">
        <f>(P6/$R6*100*($E6/365))+(P7/$R7*100*($E7/365))</f>
        <v>65.924690725344988</v>
      </c>
      <c r="K142" s="396"/>
      <c r="L142" s="396">
        <f>(Q6/$R6*100*($E6/365))+(Q7/$R7*100*($E7/365))</f>
        <v>4.8456348395011242</v>
      </c>
      <c r="M142" s="396"/>
      <c r="N142" s="400">
        <f>H142+J142+L142</f>
        <v>100.00000000000001</v>
      </c>
      <c r="O142" s="400"/>
      <c r="R142" s="139">
        <v>1959</v>
      </c>
      <c r="S142" s="142">
        <f>(O6*($E6/365)) + (O7*($E7/365))</f>
        <v>18.005479452054793</v>
      </c>
      <c r="T142" s="142">
        <f>(P6*($E6/365)) + (P7*($E7/365))</f>
        <v>41.846575342465748</v>
      </c>
      <c r="U142" s="142">
        <f>(Q6*($E6/365)) + (Q7*($E7/365))</f>
        <v>3.5712328767123283</v>
      </c>
      <c r="V142" s="142"/>
      <c r="W142" s="142">
        <f>S142+T142+U142</f>
        <v>63.42328767123287</v>
      </c>
    </row>
    <row r="143" spans="1:53" x14ac:dyDescent="0.15">
      <c r="A143" s="1">
        <v>1960</v>
      </c>
      <c r="B143" s="5">
        <f>(K8*($E8/366))+(K9*($E9/366))</f>
        <v>42.857142857142854</v>
      </c>
      <c r="C143" s="5">
        <f>(L8*($E8/366))+(L9*($E9/366))</f>
        <v>57.142857142857139</v>
      </c>
      <c r="D143" s="5">
        <f>(M8*($E8/366))+(M9*($E9/366))</f>
        <v>0</v>
      </c>
      <c r="E143" s="17">
        <f>B143+C143+D143</f>
        <v>100</v>
      </c>
      <c r="G143" s="1">
        <v>1960</v>
      </c>
      <c r="H143" s="392">
        <f>(O8/$R8*100*($E8/366))+(O9/$R9*100*($E9/366))</f>
        <v>34.415584415584419</v>
      </c>
      <c r="I143" s="392"/>
      <c r="J143" s="392">
        <f>(P8/$R8*100*($E8/366))+(P9/$R9*100*($E9/366))</f>
        <v>65.584415584415595</v>
      </c>
      <c r="K143" s="392"/>
      <c r="L143" s="392">
        <f>(Q8/$R8*100*($E8/366))+(Q9/$R9*100*($E9/366))</f>
        <v>0</v>
      </c>
      <c r="M143" s="392"/>
      <c r="N143" s="363">
        <f>H143+J143+L143</f>
        <v>100.00000000000001</v>
      </c>
      <c r="O143" s="363"/>
      <c r="R143" s="1">
        <v>1960</v>
      </c>
      <c r="S143" s="5">
        <f>(O8*($E8/366))+(O9*($E9/366))</f>
        <v>21.2</v>
      </c>
      <c r="T143" s="5">
        <f>(P8*($E8/366))+(P9*($E9/366))</f>
        <v>40.4</v>
      </c>
      <c r="U143" s="5">
        <f>(Q8*($E8/366))+(Q9*($E9/366))</f>
        <v>0</v>
      </c>
      <c r="V143" s="5"/>
      <c r="W143" s="5">
        <f>S143+T143+U143</f>
        <v>61.599999999999994</v>
      </c>
    </row>
    <row r="144" spans="1:53" x14ac:dyDescent="0.15">
      <c r="A144" s="1">
        <v>1961</v>
      </c>
      <c r="B144" s="5">
        <f>(K10*($E10/365))+(K11*($E11/365))</f>
        <v>42.857142857142854</v>
      </c>
      <c r="C144" s="5">
        <f>(L10*($E10/365))+(L11*($E11/365))</f>
        <v>57.142857142857139</v>
      </c>
      <c r="D144" s="5">
        <f>(M10*($E10/365))+(M11*($E11/365))</f>
        <v>0</v>
      </c>
      <c r="E144" s="17">
        <f t="shared" ref="E144:E196" si="32">B144+C144+D144</f>
        <v>100</v>
      </c>
      <c r="G144" s="1">
        <v>1961</v>
      </c>
      <c r="H144" s="392">
        <f>(O10/$R10*100*($E10/365))+(O11/$R11*100*($E11/365))</f>
        <v>34.415584415584419</v>
      </c>
      <c r="I144" s="392"/>
      <c r="J144" s="392">
        <f>(P10/$R10*100*($E10/365))+(P11/$R11*100*($E11/365))</f>
        <v>65.584415584415595</v>
      </c>
      <c r="K144" s="392"/>
      <c r="L144" s="392">
        <f>(Q10/$R10*100*($E10/365))+(Q11/$R11*100*($E11/365))</f>
        <v>0</v>
      </c>
      <c r="M144" s="392"/>
      <c r="N144" s="363">
        <f t="shared" ref="N144:N195" si="33">H144+J144+L144</f>
        <v>100.00000000000001</v>
      </c>
      <c r="O144" s="363"/>
      <c r="R144" s="1">
        <v>1961</v>
      </c>
      <c r="S144" s="5">
        <f>(O10*($E10/365))+(O11*($E11/365))</f>
        <v>21.2</v>
      </c>
      <c r="T144" s="5">
        <f>(P10*($E10/365))+(P11*($E11/365))</f>
        <v>40.4</v>
      </c>
      <c r="U144" s="5">
        <f>(Q10*($E10/365))+(Q11*($E11/365))</f>
        <v>0</v>
      </c>
      <c r="V144" s="5"/>
      <c r="W144" s="5">
        <f t="shared" ref="W144:W196" si="34">S144+T144+U144</f>
        <v>61.599999999999994</v>
      </c>
    </row>
    <row r="145" spans="1:23" x14ac:dyDescent="0.15">
      <c r="A145" s="1">
        <v>1962</v>
      </c>
      <c r="B145" s="5">
        <f>(K12*($E12/365))+(K13*($E13/365))</f>
        <v>42.857142857142854</v>
      </c>
      <c r="C145" s="5">
        <f>(L12*($E12/365))+(L13*($E13/365))</f>
        <v>57.142857142857139</v>
      </c>
      <c r="D145" s="5">
        <f>(M12*($E12/365))+(M13*($E13/365))</f>
        <v>0</v>
      </c>
      <c r="E145" s="17">
        <f t="shared" si="32"/>
        <v>100</v>
      </c>
      <c r="G145" s="1">
        <v>1962</v>
      </c>
      <c r="H145" s="392">
        <f>(O12/$R12*100*($E12/365))+(O13/$R13*100*($E13/365))</f>
        <v>34.415584415584419</v>
      </c>
      <c r="I145" s="392"/>
      <c r="J145" s="392">
        <f>(P12/$R12*100*($E12/365))+(P13/$R13*100*($E13/365))</f>
        <v>65.584415584415595</v>
      </c>
      <c r="K145" s="392"/>
      <c r="L145" s="392">
        <f>(Q12/$R12*100*($E12/365))+(Q13/$R13*100*($E13/365))</f>
        <v>0</v>
      </c>
      <c r="M145" s="392"/>
      <c r="N145" s="363">
        <f t="shared" si="33"/>
        <v>100.00000000000001</v>
      </c>
      <c r="O145" s="363"/>
      <c r="R145" s="1">
        <v>1962</v>
      </c>
      <c r="S145" s="5">
        <f>(O12*($E12/365))+(O13*($E13/365))</f>
        <v>21.2</v>
      </c>
      <c r="T145" s="5">
        <f>(P12*($E12/365))+(P13*($E13/365))</f>
        <v>40.4</v>
      </c>
      <c r="U145" s="5">
        <f>(Q12*($E12/365))+(Q13*($E13/365))</f>
        <v>0</v>
      </c>
      <c r="V145" s="5"/>
      <c r="W145" s="5">
        <f t="shared" si="34"/>
        <v>61.599999999999994</v>
      </c>
    </row>
    <row r="146" spans="1:23" x14ac:dyDescent="0.15">
      <c r="A146" s="1">
        <v>1963</v>
      </c>
      <c r="B146" s="5">
        <f>(K14*($E14/365))+(K15*($E15/365))</f>
        <v>42.857142857142854</v>
      </c>
      <c r="C146" s="5">
        <f>(L14*($E14/365))+(L15*($E15/365))</f>
        <v>57.142857142857139</v>
      </c>
      <c r="D146" s="5">
        <f>(M14*($E14/365))+(M15*($E15/365))</f>
        <v>0</v>
      </c>
      <c r="E146" s="17">
        <f t="shared" si="32"/>
        <v>100</v>
      </c>
      <c r="G146" s="1">
        <v>1963</v>
      </c>
      <c r="H146" s="392">
        <f>(O14/$R14*100*($E14/365))+(O15/$R15*100*($E15/365))</f>
        <v>34.415584415584419</v>
      </c>
      <c r="I146" s="392"/>
      <c r="J146" s="392">
        <f>(P14/$R14*100*($E14/365))+(P15/$R15*100*($E15/365))</f>
        <v>65.584415584415595</v>
      </c>
      <c r="K146" s="392"/>
      <c r="L146" s="392">
        <f>(Q14/$R14*100*($E14/365))+(Q15/$R15*100*($E15/365))</f>
        <v>0</v>
      </c>
      <c r="M146" s="392"/>
      <c r="N146" s="363">
        <f t="shared" si="33"/>
        <v>100.00000000000001</v>
      </c>
      <c r="O146" s="363"/>
      <c r="R146" s="1">
        <v>1963</v>
      </c>
      <c r="S146" s="5">
        <f>(O14*($E14/365))+(O15*($E15/365))</f>
        <v>21.2</v>
      </c>
      <c r="T146" s="5">
        <f>(P14*($E14/365))+(P15*($E15/365))</f>
        <v>40.4</v>
      </c>
      <c r="U146" s="5">
        <f>(Q14*($E14/365))+(Q15*($E15/365))</f>
        <v>0</v>
      </c>
      <c r="V146" s="5"/>
      <c r="W146" s="5">
        <f t="shared" si="34"/>
        <v>61.599999999999994</v>
      </c>
    </row>
    <row r="147" spans="1:23" x14ac:dyDescent="0.15">
      <c r="A147" s="1">
        <v>1964</v>
      </c>
      <c r="B147" s="5">
        <f>(K16*($E16/366))+(K17*($E17/366))</f>
        <v>23.302107728337237</v>
      </c>
      <c r="C147" s="5">
        <f>(L16*($E16/366))+(L17*($E17/366))</f>
        <v>53.883684621389541</v>
      </c>
      <c r="D147" s="5">
        <f>(M16*($E16/366))+(M17*($E17/366))</f>
        <v>22.814207650273225</v>
      </c>
      <c r="E147" s="17">
        <f t="shared" si="32"/>
        <v>100</v>
      </c>
      <c r="G147" s="1">
        <v>1964</v>
      </c>
      <c r="H147" s="392">
        <f>(O16/$R16*100*($E16/366))+(O17/$R17*100*($E17/366))</f>
        <v>18.712298630331421</v>
      </c>
      <c r="I147" s="392"/>
      <c r="J147" s="392">
        <f>(P16/$R16*100*($E16/366))+(P17/$R17*100*($E17/366))</f>
        <v>59.008201711198652</v>
      </c>
      <c r="K147" s="392"/>
      <c r="L147" s="392">
        <f>(Q16/$R16*100*($E16/366))+(Q17/$R17*100*($E17/366))</f>
        <v>22.279499658469945</v>
      </c>
      <c r="M147" s="392"/>
      <c r="N147" s="363">
        <f t="shared" si="33"/>
        <v>100.00000000000001</v>
      </c>
      <c r="O147" s="363"/>
      <c r="R147" s="1">
        <v>1964</v>
      </c>
      <c r="S147" s="5">
        <f>(O16*($E16/366))+(O17*($E17/366))</f>
        <v>11.526775956284153</v>
      </c>
      <c r="T147" s="5">
        <f>(P16*($E16/366))+(P17*($E17/366))</f>
        <v>39.898087431693988</v>
      </c>
      <c r="U147" s="5">
        <f>(Q16*($E16/366))+(Q17*($E17/366))</f>
        <v>17.110655737704917</v>
      </c>
      <c r="V147" s="5"/>
      <c r="W147" s="5">
        <f t="shared" si="34"/>
        <v>68.535519125683066</v>
      </c>
    </row>
    <row r="148" spans="1:23" x14ac:dyDescent="0.15">
      <c r="A148" s="1">
        <v>1965</v>
      </c>
      <c r="B148" s="5">
        <f>(K18*($E18/365))+(K19*($E19/365))</f>
        <v>0</v>
      </c>
      <c r="C148" s="5">
        <f>(L18*($E18/365))+(L19*($E19/365))</f>
        <v>50</v>
      </c>
      <c r="D148" s="5">
        <f>(M18*($E18/365))+(M19*($E19/365))</f>
        <v>50</v>
      </c>
      <c r="E148" s="17">
        <f t="shared" si="32"/>
        <v>100</v>
      </c>
      <c r="G148" s="1">
        <v>1965</v>
      </c>
      <c r="H148" s="392">
        <f>(O18/$R18*100*($E18/365))+(O19/$R19*100*($E19/365))</f>
        <v>0</v>
      </c>
      <c r="I148" s="392"/>
      <c r="J148" s="392">
        <f>(P18/$R18*100*($E18/365))+(P19/$R19*100*($E19/365))</f>
        <v>51.171875</v>
      </c>
      <c r="K148" s="392"/>
      <c r="L148" s="392">
        <f>(Q18/$R18*100*($E18/365))+(Q19/$R19*100*($E19/365))</f>
        <v>48.828125</v>
      </c>
      <c r="M148" s="392"/>
      <c r="N148" s="363">
        <f t="shared" si="33"/>
        <v>100</v>
      </c>
      <c r="O148" s="363"/>
      <c r="R148" s="1">
        <v>1965</v>
      </c>
      <c r="S148" s="5">
        <f>(O18*($E18/365))+(O19*($E19/365))</f>
        <v>0</v>
      </c>
      <c r="T148" s="5">
        <f>(P18*($E18/365))+(P19*($E19/365))</f>
        <v>39.299999999999997</v>
      </c>
      <c r="U148" s="5">
        <f>(Q18*($E18/365))+(Q19*($E19/365))</f>
        <v>37.5</v>
      </c>
      <c r="V148" s="5"/>
      <c r="W148" s="5">
        <f t="shared" si="34"/>
        <v>76.8</v>
      </c>
    </row>
    <row r="149" spans="1:23" x14ac:dyDescent="0.15">
      <c r="A149" s="1">
        <v>1966</v>
      </c>
      <c r="B149" s="5">
        <f>(K20*($E20/365))+(K21*($E21/365))</f>
        <v>0</v>
      </c>
      <c r="C149" s="5">
        <f>(L20*($E20/365))+(L21*($E21/365))</f>
        <v>50</v>
      </c>
      <c r="D149" s="5">
        <f>(M20*($E20/365))+(M21*($E21/365))</f>
        <v>50</v>
      </c>
      <c r="E149" s="17">
        <f t="shared" si="32"/>
        <v>100</v>
      </c>
      <c r="G149" s="1">
        <v>1966</v>
      </c>
      <c r="H149" s="392">
        <f>(O20/$R20*100*($E20/365))+(O21/$R21*100*($E21/365))</f>
        <v>0</v>
      </c>
      <c r="I149" s="392"/>
      <c r="J149" s="392">
        <f>(P20/$R20*100*($E20/365))+(P21/$R21*100*($E21/365))</f>
        <v>51.171875</v>
      </c>
      <c r="K149" s="392"/>
      <c r="L149" s="392">
        <f>(Q20/$R20*100*($E20/365))+(Q21/$R21*100*($E21/365))</f>
        <v>48.828125</v>
      </c>
      <c r="M149" s="392"/>
      <c r="N149" s="363">
        <f t="shared" si="33"/>
        <v>100</v>
      </c>
      <c r="O149" s="363"/>
      <c r="R149" s="1">
        <v>1966</v>
      </c>
      <c r="S149" s="5">
        <f>(O20*($E20/365))+(O21*($E21/365))</f>
        <v>0</v>
      </c>
      <c r="T149" s="5">
        <f>(P20*($E20/365))+(P21*($E21/365))</f>
        <v>39.299999999999997</v>
      </c>
      <c r="U149" s="5">
        <f>(Q20*($E20/365))+(Q21*($E21/365))</f>
        <v>37.5</v>
      </c>
      <c r="V149" s="5"/>
      <c r="W149" s="5">
        <f t="shared" si="34"/>
        <v>76.8</v>
      </c>
    </row>
    <row r="150" spans="1:23" x14ac:dyDescent="0.15">
      <c r="A150" s="1">
        <v>1967</v>
      </c>
      <c r="B150" s="5">
        <f>(K22*($E22/365))+(K23*($E23/365))</f>
        <v>0</v>
      </c>
      <c r="C150" s="5">
        <f>(L22*($E22/365))+(L23*($E23/365))</f>
        <v>50.000000000000007</v>
      </c>
      <c r="D150" s="5">
        <f>(M22*($E22/365))+(M23*($E23/365))</f>
        <v>50.000000000000007</v>
      </c>
      <c r="E150" s="17">
        <f t="shared" si="32"/>
        <v>100.00000000000001</v>
      </c>
      <c r="G150" s="1">
        <v>1967</v>
      </c>
      <c r="H150" s="392">
        <f>(O22/$R22*100*($E22/365))+(O23/$R23*100*($E23/365))</f>
        <v>0</v>
      </c>
      <c r="I150" s="392"/>
      <c r="J150" s="392">
        <f>(P22/$R22*100*($E22/365))+(P23/$R23*100*($E23/365))</f>
        <v>51.171875</v>
      </c>
      <c r="K150" s="392"/>
      <c r="L150" s="392">
        <f>(Q22/$R22*100*($E22/365))+(Q23/$R23*100*($E23/365))</f>
        <v>48.828125</v>
      </c>
      <c r="M150" s="392"/>
      <c r="N150" s="363">
        <f t="shared" si="33"/>
        <v>100</v>
      </c>
      <c r="O150" s="363"/>
      <c r="R150" s="1">
        <v>1967</v>
      </c>
      <c r="S150" s="5">
        <f>(O22*($E22/365))+(O23*($E23/365))</f>
        <v>0</v>
      </c>
      <c r="T150" s="5">
        <f>(P22*($E22/365))+(P23*($E23/365))</f>
        <v>39.299999999999997</v>
      </c>
      <c r="U150" s="5">
        <f>(Q22*($E22/365))+(Q23*($E23/365))</f>
        <v>37.5</v>
      </c>
      <c r="V150" s="5"/>
      <c r="W150" s="5">
        <f t="shared" si="34"/>
        <v>76.8</v>
      </c>
    </row>
    <row r="151" spans="1:23" x14ac:dyDescent="0.15">
      <c r="A151" s="1">
        <v>1968</v>
      </c>
      <c r="B151" s="5">
        <f>(K24*($E24/366))+(K25*($E25/366))</f>
        <v>0</v>
      </c>
      <c r="C151" s="5">
        <f>(L24*($E24/366))+(L25*($E25/366))</f>
        <v>50</v>
      </c>
      <c r="D151" s="5">
        <f>(M24*($E24/366))+(M25*($E25/366))</f>
        <v>50</v>
      </c>
      <c r="E151" s="17">
        <f t="shared" si="32"/>
        <v>100</v>
      </c>
      <c r="G151" s="1">
        <v>1968</v>
      </c>
      <c r="H151" s="392">
        <f>(O24/$R24*100*($E24/366))+(O25/$R25*100*($E25/366))</f>
        <v>0</v>
      </c>
      <c r="I151" s="392"/>
      <c r="J151" s="392">
        <f>(P24/$R24*100*($E24/366))+(P25/$R25*100*($E25/366))</f>
        <v>51.171875</v>
      </c>
      <c r="K151" s="392"/>
      <c r="L151" s="392">
        <f>(Q24/$R24*100*($E24/366))+(Q25/$R25*100*($E25/366))</f>
        <v>48.828125</v>
      </c>
      <c r="M151" s="392"/>
      <c r="N151" s="363">
        <f t="shared" si="33"/>
        <v>100</v>
      </c>
      <c r="O151" s="363"/>
      <c r="R151" s="1">
        <v>1968</v>
      </c>
      <c r="S151" s="5">
        <f>(O24*($E24/366))+(O25*($E25/366))</f>
        <v>0</v>
      </c>
      <c r="T151" s="5">
        <f>(P24*($E24/366))+(P25*($E25/366))</f>
        <v>39.299999999999997</v>
      </c>
      <c r="U151" s="5">
        <f>(Q24*($E24/366))+(Q25*($E25/366))</f>
        <v>37.5</v>
      </c>
      <c r="V151" s="5"/>
      <c r="W151" s="5">
        <f t="shared" si="34"/>
        <v>76.8</v>
      </c>
    </row>
    <row r="152" spans="1:23" x14ac:dyDescent="0.15">
      <c r="A152" s="1">
        <v>1969</v>
      </c>
      <c r="B152" s="5">
        <f>(K26*($E26/365))+(K27*($E27/365))</f>
        <v>39.334637964774949</v>
      </c>
      <c r="C152" s="5">
        <f>(L26*($E26/365))+(L27*($E27/365))</f>
        <v>56.55577299412915</v>
      </c>
      <c r="D152" s="5">
        <f>(M26*($E26/365))+(M27*($E27/365))</f>
        <v>4.10958904109589</v>
      </c>
      <c r="E152" s="17">
        <f t="shared" si="32"/>
        <v>99.999999999999986</v>
      </c>
      <c r="G152" s="1">
        <v>1969</v>
      </c>
      <c r="H152" s="392">
        <f>(O26/$R26*100*($E26/365))+(O27/$R27*100*($E27/365))</f>
        <v>31.504450255499851</v>
      </c>
      <c r="I152" s="392"/>
      <c r="J152" s="392">
        <f>(P26/$R26*100*($E26/365))+(P27/$R27*100*($E27/365))</f>
        <v>64.482279196554941</v>
      </c>
      <c r="K152" s="392"/>
      <c r="L152" s="392">
        <f>(Q26/$R26*100*($E26/365))+(Q27/$R27*100*($E27/365))</f>
        <v>4.0132705479452051</v>
      </c>
      <c r="M152" s="392"/>
      <c r="N152" s="363">
        <f t="shared" si="33"/>
        <v>100</v>
      </c>
      <c r="O152" s="363"/>
      <c r="R152" s="1">
        <v>1969</v>
      </c>
      <c r="S152" s="5">
        <f>(O26*($E26/365))+(O27*($E27/365))</f>
        <v>17.989041095890414</v>
      </c>
      <c r="T152" s="5">
        <f>(P26*($E26/365))+(P27*($E27/365))</f>
        <v>37.647945205479452</v>
      </c>
      <c r="U152" s="5">
        <f>(Q26*($E26/365))+(Q27*($E27/365))</f>
        <v>3.0821917808219177</v>
      </c>
      <c r="V152" s="5"/>
      <c r="W152" s="5">
        <f t="shared" si="34"/>
        <v>58.719178082191782</v>
      </c>
    </row>
    <row r="153" spans="1:23" x14ac:dyDescent="0.15">
      <c r="A153" s="1">
        <v>1970</v>
      </c>
      <c r="B153" s="5">
        <f>(K28*($E28/365))+(K29*($E29/365))</f>
        <v>42.857142857142854</v>
      </c>
      <c r="C153" s="5">
        <f>(L28*($E28/365))+(L29*($E29/365))</f>
        <v>57.142857142857139</v>
      </c>
      <c r="D153" s="5">
        <f>(M28*($E28/365))+(M29*($E29/365))</f>
        <v>0</v>
      </c>
      <c r="E153" s="17">
        <f t="shared" si="32"/>
        <v>100</v>
      </c>
      <c r="G153" s="1">
        <v>1970</v>
      </c>
      <c r="H153" s="392">
        <f>(O28/$R28*100*($E28/365))+(O29/$R29*100*($E29/365))</f>
        <v>34.32574430823118</v>
      </c>
      <c r="I153" s="392"/>
      <c r="J153" s="392">
        <f>(P28/$R28*100*($E28/365))+(P29/$R29*100*($E29/365))</f>
        <v>65.67425569176882</v>
      </c>
      <c r="K153" s="392"/>
      <c r="L153" s="392">
        <f>(Q28/$R28*100*($E28/365))+(Q29/$R29*100*($E29/365))</f>
        <v>0</v>
      </c>
      <c r="M153" s="392"/>
      <c r="N153" s="363">
        <f t="shared" si="33"/>
        <v>100</v>
      </c>
      <c r="O153" s="363"/>
      <c r="R153" s="1">
        <v>1970</v>
      </c>
      <c r="S153" s="5">
        <f>(O28*($E28/365))+(O29*($E29/365))</f>
        <v>19.600000000000001</v>
      </c>
      <c r="T153" s="5">
        <f>(P28*($E28/365))+(P29*($E29/365))</f>
        <v>37.5</v>
      </c>
      <c r="U153" s="5">
        <f>(Q28*($E28/365))+(Q29*($E29/365))</f>
        <v>0</v>
      </c>
      <c r="V153" s="5"/>
      <c r="W153" s="5">
        <f t="shared" si="34"/>
        <v>57.1</v>
      </c>
    </row>
    <row r="154" spans="1:23" x14ac:dyDescent="0.15">
      <c r="A154" s="1">
        <v>1971</v>
      </c>
      <c r="B154" s="5">
        <f>(K30*($E30/365))+(K31*($E31/365))</f>
        <v>42.857142857142854</v>
      </c>
      <c r="C154" s="5">
        <f>(L30*($E30/365))+(L31*($E31/365))</f>
        <v>57.142857142857139</v>
      </c>
      <c r="D154" s="5">
        <f>(M30*($E30/365))+(M31*($E31/365))</f>
        <v>0</v>
      </c>
      <c r="E154" s="17">
        <f t="shared" si="32"/>
        <v>100</v>
      </c>
      <c r="G154" s="1">
        <v>1971</v>
      </c>
      <c r="H154" s="392">
        <f>(O30/$R30*100*($E30/365))+(O31/$R31*100*($E31/365))</f>
        <v>34.32574430823118</v>
      </c>
      <c r="I154" s="392"/>
      <c r="J154" s="392">
        <f>(P30/$R30*100*($E30/365))+(P31/$R31*100*($E31/365))</f>
        <v>65.67425569176882</v>
      </c>
      <c r="K154" s="392"/>
      <c r="L154" s="392">
        <f>(Q30/$R30*100*($E30/365))+(Q31/$R31*100*($E31/365))</f>
        <v>0</v>
      </c>
      <c r="M154" s="392"/>
      <c r="N154" s="363">
        <f t="shared" si="33"/>
        <v>100</v>
      </c>
      <c r="O154" s="363"/>
      <c r="R154" s="1">
        <v>1971</v>
      </c>
      <c r="S154" s="5">
        <f>(O30*($E30/365))+(O31*($E31/365))</f>
        <v>19.600000000000001</v>
      </c>
      <c r="T154" s="5">
        <f>(P30*($E30/365))+(P31*($E31/365))</f>
        <v>37.5</v>
      </c>
      <c r="U154" s="5">
        <f>(Q30*($E30/365))+(Q31*($E31/365))</f>
        <v>0</v>
      </c>
      <c r="V154" s="5"/>
      <c r="W154" s="5">
        <f t="shared" si="34"/>
        <v>57.1</v>
      </c>
    </row>
    <row r="155" spans="1:23" x14ac:dyDescent="0.15">
      <c r="A155" s="1">
        <v>1972</v>
      </c>
      <c r="B155" s="5">
        <f>(K32*($E32/366))+(K33*($E33/366))</f>
        <v>42.857142857142854</v>
      </c>
      <c r="C155" s="5">
        <f>(L32*($E32/366))+(L33*($E33/366))</f>
        <v>57.142857142857139</v>
      </c>
      <c r="D155" s="5">
        <f>(M32*($E32/366))+(M33*($E33/366))</f>
        <v>0</v>
      </c>
      <c r="E155" s="17">
        <f t="shared" si="32"/>
        <v>100</v>
      </c>
      <c r="G155" s="1">
        <v>1972</v>
      </c>
      <c r="H155" s="392">
        <f>(O32/$R32*100*($E32/366))+(O33/$R33*100*($E33/366))</f>
        <v>34.32574430823118</v>
      </c>
      <c r="I155" s="392"/>
      <c r="J155" s="392">
        <f>(P32/$R32*100*($E32/366))+(P33/$R33*100*($E33/366))</f>
        <v>65.67425569176882</v>
      </c>
      <c r="K155" s="392"/>
      <c r="L155" s="392">
        <f>(Q32/$R32*100*($E32/366))+(Q33/$R33*100*($E33/366))</f>
        <v>0</v>
      </c>
      <c r="M155" s="392"/>
      <c r="N155" s="363">
        <f t="shared" si="33"/>
        <v>100</v>
      </c>
      <c r="O155" s="363"/>
      <c r="R155" s="1">
        <v>1972</v>
      </c>
      <c r="S155" s="5">
        <f>(O32*($E32/366))+(O33*($E33/366))</f>
        <v>19.600000000000001</v>
      </c>
      <c r="T155" s="5">
        <f>(P32*($E32/366))+(P33*($E33/366))</f>
        <v>37.5</v>
      </c>
      <c r="U155" s="5">
        <f>(Q32*($E32/366))+(Q33*($E33/366))</f>
        <v>0</v>
      </c>
      <c r="V155" s="5"/>
      <c r="W155" s="5">
        <f t="shared" si="34"/>
        <v>57.1</v>
      </c>
    </row>
    <row r="156" spans="1:23" x14ac:dyDescent="0.15">
      <c r="A156" s="1">
        <v>1973</v>
      </c>
      <c r="B156" s="5">
        <f>(K34*($E34/365))+(K35*($E35/365))</f>
        <v>42.857142857142854</v>
      </c>
      <c r="C156" s="5">
        <f>(L34*($E34/365))+(L35*($E35/365))</f>
        <v>57.142857142857139</v>
      </c>
      <c r="D156" s="5">
        <f>(M34*($E34/365))+(M35*($E35/365))</f>
        <v>0</v>
      </c>
      <c r="E156" s="17">
        <f t="shared" si="32"/>
        <v>100</v>
      </c>
      <c r="G156" s="1">
        <v>1973</v>
      </c>
      <c r="H156" s="392">
        <f>(O34/$R34*100*($E34/365))+(O35/$R35*100*($E35/365))</f>
        <v>34.32574430823118</v>
      </c>
      <c r="I156" s="392"/>
      <c r="J156" s="392">
        <f>(P34/$R34*100*($E34/365))+(P35/$R35*100*($E35/365))</f>
        <v>65.67425569176882</v>
      </c>
      <c r="K156" s="392"/>
      <c r="L156" s="392">
        <f>(Q34/$R34*100*($E34/365))+(Q35/$R35*100*($E35/365))</f>
        <v>0</v>
      </c>
      <c r="M156" s="392"/>
      <c r="N156" s="363">
        <f t="shared" si="33"/>
        <v>100</v>
      </c>
      <c r="O156" s="363"/>
      <c r="R156" s="1">
        <v>1973</v>
      </c>
      <c r="S156" s="5">
        <f>(O34*($E34/365))+(O35*($E35/365))</f>
        <v>19.600000000000001</v>
      </c>
      <c r="T156" s="5">
        <f>(P34*($E34/365))+(P35*($E35/365))</f>
        <v>37.5</v>
      </c>
      <c r="U156" s="5">
        <f>(Q34*($E34/365))+(Q35*($E35/365))</f>
        <v>0</v>
      </c>
      <c r="V156" s="5"/>
      <c r="W156" s="5">
        <f t="shared" si="34"/>
        <v>57.1</v>
      </c>
    </row>
    <row r="157" spans="1:23" x14ac:dyDescent="0.15">
      <c r="A157" s="1">
        <v>1974</v>
      </c>
      <c r="B157" s="5">
        <f>(K36*($E36/365))+(K37*($E37/365))</f>
        <v>46.771037181996078</v>
      </c>
      <c r="C157" s="5">
        <f>(L36*($E36/365))+(L37*($E37/365))</f>
        <v>25.831702544031309</v>
      </c>
      <c r="D157" s="5">
        <f>(M36*($E36/365))+(M37*($E37/365))</f>
        <v>27.397260273972602</v>
      </c>
      <c r="E157" s="17">
        <f t="shared" si="32"/>
        <v>99.999999999999986</v>
      </c>
      <c r="G157" s="1">
        <v>1974</v>
      </c>
      <c r="H157" s="392">
        <f>(O36/$R36*100*($E36/365))+(O37/$R37*100*($E37/365))</f>
        <v>40.252929423094713</v>
      </c>
      <c r="I157" s="392"/>
      <c r="J157" s="392">
        <f>(P36/$R36*100*($E36/365))+(P37/$R37*100*($E37/365))</f>
        <v>29.68836216203248</v>
      </c>
      <c r="K157" s="392"/>
      <c r="L157" s="392">
        <f>(Q36/$R36*100*($E36/365))+(Q37/$R37*100*($E37/365))</f>
        <v>30.0587084148728</v>
      </c>
      <c r="M157" s="392"/>
      <c r="N157" s="363">
        <f t="shared" si="33"/>
        <v>99.999999999999986</v>
      </c>
      <c r="O157" s="363"/>
      <c r="R157" s="1">
        <v>1974</v>
      </c>
      <c r="S157" s="5">
        <f>(O36*($E36/365))+(O37*($E37/365))</f>
        <v>21.846575342465751</v>
      </c>
      <c r="T157" s="5">
        <f>(P36*($E36/365))+(P37*($E37/365))</f>
        <v>16.952054794520546</v>
      </c>
      <c r="U157" s="5">
        <f>(Q36*($E36/365))+(Q37*($E37/365))</f>
        <v>15.780821917808218</v>
      </c>
      <c r="V157" s="5"/>
      <c r="W157" s="5">
        <f t="shared" si="34"/>
        <v>54.579452054794515</v>
      </c>
    </row>
    <row r="158" spans="1:23" x14ac:dyDescent="0.15">
      <c r="A158" s="1">
        <v>1975</v>
      </c>
      <c r="B158" s="5">
        <f>(K38*($E38/365))+(K39*($E39/365))</f>
        <v>50</v>
      </c>
      <c r="C158" s="5">
        <f>(L38*($E38/365))+(L39*($E39/365))</f>
        <v>0</v>
      </c>
      <c r="D158" s="5">
        <f>(M38*($E38/365))+(M39*($E39/365))</f>
        <v>50</v>
      </c>
      <c r="E158" s="17">
        <f t="shared" si="32"/>
        <v>100</v>
      </c>
      <c r="G158" s="1">
        <v>1975</v>
      </c>
      <c r="H158" s="392">
        <f>(O38/$R38*100*($E38/365))+(O39/$R39*100*($E39/365))</f>
        <v>45.142857142857139</v>
      </c>
      <c r="I158" s="392"/>
      <c r="J158" s="392">
        <f>(P38/$R38*100*($E38/365))+(P39/$R39*100*($E39/365))</f>
        <v>0</v>
      </c>
      <c r="K158" s="392"/>
      <c r="L158" s="392">
        <f>(Q38/$R38*100*($E38/365))+(Q39/$R39*100*($E39/365))</f>
        <v>54.857142857142861</v>
      </c>
      <c r="M158" s="392"/>
      <c r="N158" s="363">
        <f t="shared" si="33"/>
        <v>100</v>
      </c>
      <c r="O158" s="363"/>
      <c r="R158" s="1">
        <v>1975</v>
      </c>
      <c r="S158" s="5">
        <f>(O38*($E38/365))+(O39*($E39/365))</f>
        <v>23.7</v>
      </c>
      <c r="T158" s="5">
        <f>(P38*($E38/365))+(P39*($E39/365))</f>
        <v>0</v>
      </c>
      <c r="U158" s="5">
        <f>(Q38*($E38/365))+(Q39*($E39/365))</f>
        <v>28.8</v>
      </c>
      <c r="V158" s="5"/>
      <c r="W158" s="5">
        <f t="shared" si="34"/>
        <v>52.5</v>
      </c>
    </row>
    <row r="159" spans="1:23" x14ac:dyDescent="0.15">
      <c r="A159" s="1">
        <v>1976</v>
      </c>
      <c r="B159" s="5">
        <f>(K40*($E40/366))+(K41*($E41/366))</f>
        <v>50</v>
      </c>
      <c r="C159" s="5">
        <f>(L40*($E40/366))+(L41*($E41/366))</f>
        <v>0</v>
      </c>
      <c r="D159" s="5">
        <f>(M40*($E40/366))+(M41*($E41/366))</f>
        <v>50</v>
      </c>
      <c r="E159" s="17">
        <f t="shared" si="32"/>
        <v>100</v>
      </c>
      <c r="G159" s="1">
        <v>1976</v>
      </c>
      <c r="H159" s="392">
        <f>(O40/$R40*100*($E40/366))+(O41/$R41*100*($E41/366))</f>
        <v>45.142857142857139</v>
      </c>
      <c r="I159" s="392"/>
      <c r="J159" s="392">
        <f>(P40/$R40*100*($E40/366))+(P41/$R41*100*($E41/366))</f>
        <v>0</v>
      </c>
      <c r="K159" s="392"/>
      <c r="L159" s="392">
        <f>(Q40/$R40*100*($E40/366))+(Q41/$R41*100*($E41/366))</f>
        <v>54.857142857142861</v>
      </c>
      <c r="M159" s="392"/>
      <c r="N159" s="363">
        <f t="shared" si="33"/>
        <v>100</v>
      </c>
      <c r="O159" s="363"/>
      <c r="R159" s="1">
        <v>1976</v>
      </c>
      <c r="S159" s="5">
        <f>(O40*($E40/366))+(O41*($E41/366))</f>
        <v>23.7</v>
      </c>
      <c r="T159" s="5">
        <f>(P40*($E40/366))+(P41*($E41/366))</f>
        <v>0</v>
      </c>
      <c r="U159" s="5">
        <f>(Q40*($E40/366))+(Q41*($E41/366))</f>
        <v>28.8</v>
      </c>
      <c r="V159" s="5"/>
      <c r="W159" s="5">
        <f t="shared" si="34"/>
        <v>52.5</v>
      </c>
    </row>
    <row r="160" spans="1:23" x14ac:dyDescent="0.15">
      <c r="A160" s="1">
        <v>1977</v>
      </c>
      <c r="B160" s="5">
        <f>(K42*($E42/365))+(K43*($E43/365))</f>
        <v>50</v>
      </c>
      <c r="C160" s="5">
        <f>(L42*($E42/365))+(L43*($E43/365))</f>
        <v>0</v>
      </c>
      <c r="D160" s="5">
        <f>(M42*($E42/365))+(M43*($E43/365))</f>
        <v>50</v>
      </c>
      <c r="E160" s="17">
        <f t="shared" si="32"/>
        <v>100</v>
      </c>
      <c r="G160" s="1">
        <v>1977</v>
      </c>
      <c r="H160" s="392">
        <f>(O42/$R42*100*($E42/365))+(O43/$R43*100*($E43/365))</f>
        <v>45.142857142857139</v>
      </c>
      <c r="I160" s="392"/>
      <c r="J160" s="392">
        <f>(P42/$R42*100*($E42/365))+(P43/$R43*100*($E43/365))</f>
        <v>0</v>
      </c>
      <c r="K160" s="392"/>
      <c r="L160" s="392">
        <f>(Q42/$R42*100*($E42/365))+(Q43/$R43*100*($E43/365))</f>
        <v>54.857142857142861</v>
      </c>
      <c r="M160" s="392"/>
      <c r="N160" s="363">
        <f t="shared" si="33"/>
        <v>100</v>
      </c>
      <c r="O160" s="363"/>
      <c r="R160" s="1">
        <v>1977</v>
      </c>
      <c r="S160" s="5">
        <f>(O42*($E42/365))+(O43*($E43/365))</f>
        <v>23.7</v>
      </c>
      <c r="T160" s="5">
        <f>(P42*($E42/365))+(P43*($E43/365))</f>
        <v>0</v>
      </c>
      <c r="U160" s="5">
        <f>(Q42*($E42/365))+(Q43*($E43/365))</f>
        <v>28.8</v>
      </c>
      <c r="V160" s="5"/>
      <c r="W160" s="5">
        <f t="shared" si="34"/>
        <v>52.5</v>
      </c>
    </row>
    <row r="161" spans="1:23" x14ac:dyDescent="0.15">
      <c r="A161" s="1">
        <v>1978</v>
      </c>
      <c r="B161" s="5">
        <f>(K44*($E44/365))+(K45*($E45/365))</f>
        <v>50</v>
      </c>
      <c r="C161" s="5">
        <f>(L44*($E44/365))+(L45*($E45/365))</f>
        <v>0</v>
      </c>
      <c r="D161" s="5">
        <f>(M44*($E44/365))+(M45*($E45/365))</f>
        <v>50</v>
      </c>
      <c r="E161" s="17">
        <f t="shared" si="32"/>
        <v>100</v>
      </c>
      <c r="G161" s="1">
        <v>1978</v>
      </c>
      <c r="H161" s="392">
        <f>(O44/$R44*100*($E44/365))+(O45/$R45*100*($E45/365))</f>
        <v>45.142857142857139</v>
      </c>
      <c r="I161" s="392"/>
      <c r="J161" s="392">
        <f>(P44/$R44*100*($E44/365))+(P45/$R45*100*($E45/365))</f>
        <v>0</v>
      </c>
      <c r="K161" s="392"/>
      <c r="L161" s="392">
        <f>(Q44/$R44*100*($E44/365))+(Q45/$R45*100*($E45/365))</f>
        <v>54.857142857142861</v>
      </c>
      <c r="M161" s="392"/>
      <c r="N161" s="363">
        <f t="shared" si="33"/>
        <v>100</v>
      </c>
      <c r="O161" s="363"/>
      <c r="R161" s="1">
        <v>1978</v>
      </c>
      <c r="S161" s="5">
        <f>(O44*($E44/365))+(O45*($E45/365))</f>
        <v>23.7</v>
      </c>
      <c r="T161" s="5">
        <f>(P44*($E44/365))+(P45*($E45/365))</f>
        <v>0</v>
      </c>
      <c r="U161" s="5">
        <f>(Q44*($E44/365))+(Q45*($E45/365))</f>
        <v>28.8</v>
      </c>
      <c r="V161" s="5"/>
      <c r="W161" s="5">
        <f t="shared" si="34"/>
        <v>52.5</v>
      </c>
    </row>
    <row r="162" spans="1:23" x14ac:dyDescent="0.15">
      <c r="A162" s="1">
        <v>1979</v>
      </c>
      <c r="B162" s="5">
        <f>(K46*($E46/365))+(K47*($E47/365))</f>
        <v>52.587519025875196</v>
      </c>
      <c r="C162" s="5">
        <f>(L46*($E46/365))+(L47*($E47/365))</f>
        <v>20.700152207001519</v>
      </c>
      <c r="D162" s="5">
        <f>(M46*($E46/365))+(M47*($E47/365))</f>
        <v>26.712328767123289</v>
      </c>
      <c r="E162" s="17">
        <f t="shared" si="32"/>
        <v>100</v>
      </c>
      <c r="G162" s="1">
        <v>1979</v>
      </c>
      <c r="H162" s="392">
        <f>(O46/$R46*100*($E46/365))+(O47/$R47*100*($E47/365))</f>
        <v>42.014749638068395</v>
      </c>
      <c r="I162" s="392"/>
      <c r="J162" s="392">
        <f>(P46/$R46*100*($E46/365))+(P47/$R47*100*($E47/365))</f>
        <v>28.678009657430632</v>
      </c>
      <c r="K162" s="392"/>
      <c r="L162" s="392">
        <f>(Q46/$R46*100*($E46/365))+(Q47/$R47*100*($E47/365))</f>
        <v>29.30724070450098</v>
      </c>
      <c r="M162" s="392"/>
      <c r="N162" s="363">
        <f t="shared" si="33"/>
        <v>100.00000000000001</v>
      </c>
      <c r="O162" s="363"/>
      <c r="R162" s="1">
        <v>1979</v>
      </c>
      <c r="S162" s="5">
        <f>(O46*($E46/365))+(O47*($E47/365))</f>
        <v>24.491780821917807</v>
      </c>
      <c r="T162" s="5">
        <f>(P46*($E46/365))+(P47*($E47/365))</f>
        <v>18.956164383561646</v>
      </c>
      <c r="U162" s="5">
        <f>(Q46*($E46/365))+(Q47*($E47/365))</f>
        <v>15.386301369863014</v>
      </c>
      <c r="V162" s="5"/>
      <c r="W162" s="5">
        <f t="shared" si="34"/>
        <v>58.834246575342469</v>
      </c>
    </row>
    <row r="163" spans="1:23" x14ac:dyDescent="0.15">
      <c r="A163" s="1">
        <v>1980</v>
      </c>
      <c r="B163" s="5">
        <f>(K48*($E48/366))+(K49*($E49/366))</f>
        <v>55.555555555555557</v>
      </c>
      <c r="C163" s="5">
        <f>(L48*($E48/366))+(L49*($E49/366))</f>
        <v>44.444444444444443</v>
      </c>
      <c r="D163" s="5">
        <f>(M48*($E48/366))+(M49*($E49/366))</f>
        <v>0</v>
      </c>
      <c r="E163" s="17">
        <f t="shared" si="32"/>
        <v>100</v>
      </c>
      <c r="G163" s="1">
        <v>1980</v>
      </c>
      <c r="H163" s="392">
        <f>(O48/$R48*100*($E48/366))+(O49/$R49*100*($E49/366))</f>
        <v>38.426626323751897</v>
      </c>
      <c r="I163" s="392"/>
      <c r="J163" s="392">
        <f>(P48/$R48*100*($E48/366))+(P49/$R49*100*($E49/366))</f>
        <v>61.573373676248124</v>
      </c>
      <c r="K163" s="392"/>
      <c r="L163" s="392">
        <f>(Q48/$R48*100*($E48/366))+(Q49/$R49*100*($E49/366))</f>
        <v>0</v>
      </c>
      <c r="M163" s="392"/>
      <c r="N163" s="363">
        <f t="shared" si="33"/>
        <v>100.00000000000003</v>
      </c>
      <c r="O163" s="363"/>
      <c r="R163" s="1">
        <v>1980</v>
      </c>
      <c r="S163" s="5">
        <f>(O48*($E48/366))+(O49*($E49/366))</f>
        <v>25.4</v>
      </c>
      <c r="T163" s="5">
        <f>(P48*($E48/366))+(P49*($E49/366))</f>
        <v>40.700000000000003</v>
      </c>
      <c r="U163" s="5">
        <f>(Q48*($E48/366))+(Q49*($E49/366))</f>
        <v>0</v>
      </c>
      <c r="V163" s="5"/>
      <c r="W163" s="5">
        <f t="shared" si="34"/>
        <v>66.099999999999994</v>
      </c>
    </row>
    <row r="164" spans="1:23" x14ac:dyDescent="0.15">
      <c r="A164" s="1">
        <v>1981</v>
      </c>
      <c r="B164" s="5">
        <f>(K50*($E50/365))+(K51*($E51/365))</f>
        <v>55.555555555555557</v>
      </c>
      <c r="C164" s="5">
        <f>(L50*($E50/365))+(L51*($E51/365))</f>
        <v>44.444444444444443</v>
      </c>
      <c r="D164" s="5">
        <f>(M50*($E50/365))+(M51*($E51/365))</f>
        <v>0</v>
      </c>
      <c r="E164" s="17">
        <f t="shared" si="32"/>
        <v>100</v>
      </c>
      <c r="G164" s="1">
        <v>1981</v>
      </c>
      <c r="H164" s="392">
        <f>(O50/$R50*100*($E50/365))+(O51/$R51*100*($E51/365))</f>
        <v>38.426626323751897</v>
      </c>
      <c r="I164" s="392"/>
      <c r="J164" s="392">
        <f>(P50/$R50*100*($E50/365))+(P51/$R51*100*($E51/365))</f>
        <v>61.573373676248124</v>
      </c>
      <c r="K164" s="392"/>
      <c r="L164" s="392">
        <f>(Q50/$R50*100*($E50/365))+(Q51/$R51*100*($E51/365))</f>
        <v>0</v>
      </c>
      <c r="M164" s="392"/>
      <c r="N164" s="363">
        <f t="shared" si="33"/>
        <v>100.00000000000003</v>
      </c>
      <c r="O164" s="363"/>
      <c r="R164" s="1">
        <v>1981</v>
      </c>
      <c r="S164" s="5">
        <f>(O50*($E50/365))+(O51*($E51/365))</f>
        <v>25.4</v>
      </c>
      <c r="T164" s="5">
        <f>(P50*($E50/365))+(P51*($E51/365))</f>
        <v>40.700000000000003</v>
      </c>
      <c r="U164" s="5">
        <f>(Q50*($E50/365))+(Q51*($E51/365))</f>
        <v>0</v>
      </c>
      <c r="V164" s="5"/>
      <c r="W164" s="5">
        <f t="shared" si="34"/>
        <v>66.099999999999994</v>
      </c>
    </row>
    <row r="165" spans="1:23" x14ac:dyDescent="0.15">
      <c r="A165" s="1">
        <v>1982</v>
      </c>
      <c r="B165" s="5">
        <f>(K52*($E52/365))+(K53*($E53/365))</f>
        <v>55.555555555555557</v>
      </c>
      <c r="C165" s="5">
        <f>(L52*($E52/365))+(L53*($E53/365))</f>
        <v>44.444444444444443</v>
      </c>
      <c r="D165" s="5">
        <f>(M52*($E52/365))+(M53*($E53/365))</f>
        <v>0</v>
      </c>
      <c r="E165" s="17">
        <f t="shared" si="32"/>
        <v>100</v>
      </c>
      <c r="G165" s="1">
        <v>1982</v>
      </c>
      <c r="H165" s="392">
        <f>(O52/$R52*100*($E52/365))+(O53/$R53*100*($E53/365))</f>
        <v>38.426626323751897</v>
      </c>
      <c r="I165" s="392"/>
      <c r="J165" s="392">
        <f>(P52/$R52*100*($E52/365))+(P53/$R53*100*($E53/365))</f>
        <v>61.573373676248124</v>
      </c>
      <c r="K165" s="392"/>
      <c r="L165" s="392">
        <f>(Q52/$R52*100*($E52/365))+(Q53/$R53*100*($E53/365))</f>
        <v>0</v>
      </c>
      <c r="M165" s="392"/>
      <c r="N165" s="363">
        <f t="shared" si="33"/>
        <v>100.00000000000003</v>
      </c>
      <c r="O165" s="363"/>
      <c r="R165" s="1">
        <v>1982</v>
      </c>
      <c r="S165" s="5">
        <f>(O52*($E52/365))+(O53*($E53/365))</f>
        <v>25.4</v>
      </c>
      <c r="T165" s="5">
        <f>(P52*($E52/365))+(P53*($E53/365))</f>
        <v>40.700000000000003</v>
      </c>
      <c r="U165" s="5">
        <f>(Q52*($E52/365))+(Q53*($E53/365))</f>
        <v>0</v>
      </c>
      <c r="V165" s="5"/>
      <c r="W165" s="5">
        <f t="shared" si="34"/>
        <v>66.099999999999994</v>
      </c>
    </row>
    <row r="166" spans="1:23" x14ac:dyDescent="0.15">
      <c r="A166" s="1">
        <v>1983</v>
      </c>
      <c r="B166" s="5">
        <f>(K54*($E54/365))+(K55*($E55/365))</f>
        <v>55.555555555555557</v>
      </c>
      <c r="C166" s="5">
        <f>(L54*($E54/365))+(L55*($E55/365))</f>
        <v>44.444444444444443</v>
      </c>
      <c r="D166" s="5">
        <f>(M54*($E54/365))+(M55*($E55/365))</f>
        <v>0</v>
      </c>
      <c r="E166" s="17">
        <f t="shared" si="32"/>
        <v>100</v>
      </c>
      <c r="G166" s="1">
        <v>1983</v>
      </c>
      <c r="H166" s="392">
        <f>(O54/$R54*100*($E54/365))+(O55/$R55*100*($E55/365))</f>
        <v>38.426626323751897</v>
      </c>
      <c r="I166" s="392"/>
      <c r="J166" s="392">
        <f>(P54/$R54*100*($E54/365))+(P55/$R55*100*($E55/365))</f>
        <v>61.573373676248124</v>
      </c>
      <c r="K166" s="392"/>
      <c r="L166" s="392">
        <f>(Q54/$R54*100*($E54/365))+(Q55/$R55*100*($E55/365))</f>
        <v>0</v>
      </c>
      <c r="M166" s="392"/>
      <c r="N166" s="363">
        <f t="shared" si="33"/>
        <v>100.00000000000003</v>
      </c>
      <c r="O166" s="363"/>
      <c r="R166" s="1">
        <v>1983</v>
      </c>
      <c r="S166" s="5">
        <f>(O54*($E54/365))+(O55*($E55/365))</f>
        <v>25.4</v>
      </c>
      <c r="T166" s="5">
        <f>(P54*($E54/365))+(P55*($E55/365))</f>
        <v>40.700000000000003</v>
      </c>
      <c r="U166" s="5">
        <f>(Q54*($E54/365))+(Q55*($E55/365))</f>
        <v>0</v>
      </c>
      <c r="V166" s="5"/>
      <c r="W166" s="5">
        <f t="shared" si="34"/>
        <v>66.099999999999994</v>
      </c>
    </row>
    <row r="167" spans="1:23" x14ac:dyDescent="0.15">
      <c r="A167" s="1">
        <v>1984</v>
      </c>
      <c r="B167" s="5">
        <f>(K56*($E56/366))+(K57*($E57/366))</f>
        <v>30.510018214936252</v>
      </c>
      <c r="C167" s="5">
        <f>(L56*($E56/366))+(L57*($E57/366))</f>
        <v>49.453551912568308</v>
      </c>
      <c r="D167" s="5">
        <f>(M56*($E56/366))+(M57*($E57/366))</f>
        <v>20.036429872495447</v>
      </c>
      <c r="E167" s="17">
        <f t="shared" si="32"/>
        <v>100.00000000000001</v>
      </c>
      <c r="G167" s="1">
        <v>1984</v>
      </c>
      <c r="H167" s="392">
        <f>(O56/$R56*100*($E56/366))+(O57/$R57*100*($E57/366))</f>
        <v>21.103147243371946</v>
      </c>
      <c r="I167" s="392"/>
      <c r="J167" s="392">
        <f>(P56/$R56*100*($E56/366))+(P57/$R57*100*($E57/366))</f>
        <v>58.330948381243317</v>
      </c>
      <c r="K167" s="392"/>
      <c r="L167" s="392">
        <f>(Q56/$R56*100*($E56/366))+(Q57/$R57*100*($E57/366))</f>
        <v>20.565904375384754</v>
      </c>
      <c r="M167" s="392"/>
      <c r="N167" s="363">
        <f t="shared" si="33"/>
        <v>100.00000000000003</v>
      </c>
      <c r="O167" s="363"/>
      <c r="R167" s="1">
        <v>1984</v>
      </c>
      <c r="S167" s="5">
        <f>(O56*($E56/366))+(O57*($E57/366))</f>
        <v>13.949180327868852</v>
      </c>
      <c r="T167" s="5">
        <f>(P56*($E56/366))+(P57*($E57/366))</f>
        <v>39.978688524590169</v>
      </c>
      <c r="U167" s="5">
        <f>(Q56*($E56/366))+(Q57*($E57/366))</f>
        <v>14.786885245901638</v>
      </c>
      <c r="V167" s="5"/>
      <c r="W167" s="5">
        <f t="shared" si="34"/>
        <v>68.714754098360658</v>
      </c>
    </row>
    <row r="168" spans="1:23" x14ac:dyDescent="0.15">
      <c r="A168" s="1">
        <v>1985</v>
      </c>
      <c r="B168" s="5">
        <f>(K58*($E58/365))+(K59*($E59/365))</f>
        <v>0</v>
      </c>
      <c r="C168" s="5">
        <f>(L58*($E58/365))+(L59*($E59/365))</f>
        <v>55.555555555555557</v>
      </c>
      <c r="D168" s="5">
        <f>(M58*($E58/365))+(M59*($E59/365))</f>
        <v>44.444444444444443</v>
      </c>
      <c r="E168" s="17">
        <f t="shared" si="32"/>
        <v>100</v>
      </c>
      <c r="G168" s="1">
        <v>1985</v>
      </c>
      <c r="H168" s="392">
        <f>(O58/$R58*100*($E58/365))+(O59/$R59*100*($E59/365))</f>
        <v>0</v>
      </c>
      <c r="I168" s="392"/>
      <c r="J168" s="392">
        <f>(P58/$R58*100*($E58/365))+(P59/$R59*100*($E59/365))</f>
        <v>54.381084840055628</v>
      </c>
      <c r="K168" s="392"/>
      <c r="L168" s="392">
        <f>(Q58/$R58*100*($E58/365))+(Q59/$R59*100*($E59/365))</f>
        <v>45.618915159944365</v>
      </c>
      <c r="M168" s="392"/>
      <c r="N168" s="363">
        <f t="shared" si="33"/>
        <v>100</v>
      </c>
      <c r="O168" s="363"/>
      <c r="R168" s="1">
        <v>1985</v>
      </c>
      <c r="S168" s="5">
        <f>(O58*($E58/365))+(O59*($E59/365))</f>
        <v>0</v>
      </c>
      <c r="T168" s="5">
        <f>(P58*($E58/365))+(P59*($E59/365))</f>
        <v>39.1</v>
      </c>
      <c r="U168" s="5">
        <f>(Q58*($E58/365))+(Q59*($E59/365))</f>
        <v>32.799999999999997</v>
      </c>
      <c r="V168" s="5"/>
      <c r="W168" s="5">
        <f t="shared" si="34"/>
        <v>71.900000000000006</v>
      </c>
    </row>
    <row r="169" spans="1:23" x14ac:dyDescent="0.15">
      <c r="A169" s="1">
        <v>1986</v>
      </c>
      <c r="B169" s="5">
        <f>(K60*($E60/365))+(K61*($E61/365))</f>
        <v>0</v>
      </c>
      <c r="C169" s="5">
        <f>(L60*($E60/365))+(L61*($E61/365))</f>
        <v>55.555555555555557</v>
      </c>
      <c r="D169" s="5">
        <f>(M60*($E60/365))+(M61*($E61/365))</f>
        <v>44.444444444444443</v>
      </c>
      <c r="E169" s="17">
        <f t="shared" si="32"/>
        <v>100</v>
      </c>
      <c r="G169" s="1">
        <v>1986</v>
      </c>
      <c r="H169" s="392">
        <f>(O60/$R60*100*($E60/365))+(O61/$R61*100*($E61/365))</f>
        <v>0</v>
      </c>
      <c r="I169" s="392"/>
      <c r="J169" s="392">
        <f>(P60/$R60*100*($E60/365))+(P61/$R61*100*($E61/365))</f>
        <v>54.381084840055628</v>
      </c>
      <c r="K169" s="392"/>
      <c r="L169" s="392">
        <f>(Q60/$R60*100*($E60/365))+(Q61/$R61*100*($E61/365))</f>
        <v>45.618915159944365</v>
      </c>
      <c r="M169" s="392"/>
      <c r="N169" s="363">
        <f t="shared" si="33"/>
        <v>100</v>
      </c>
      <c r="O169" s="363"/>
      <c r="R169" s="1">
        <v>1986</v>
      </c>
      <c r="S169" s="5">
        <f>(O60*($E60/365))+(O61*($E61/365))</f>
        <v>0</v>
      </c>
      <c r="T169" s="5">
        <f>(P60*($E60/365))+(P61*($E61/365))</f>
        <v>39.1</v>
      </c>
      <c r="U169" s="5">
        <f>(Q60*($E60/365))+(Q61*($E61/365))</f>
        <v>32.799999999999997</v>
      </c>
      <c r="V169" s="5"/>
      <c r="W169" s="5">
        <f t="shared" si="34"/>
        <v>71.900000000000006</v>
      </c>
    </row>
    <row r="170" spans="1:23" x14ac:dyDescent="0.15">
      <c r="A170" s="1">
        <v>1987</v>
      </c>
      <c r="B170" s="5">
        <f>(K62*($E62/365))+(K63*($E63/365))</f>
        <v>0</v>
      </c>
      <c r="C170" s="5">
        <f>(L62*($E62/365))+(L63*($E63/365))</f>
        <v>55.555555555555557</v>
      </c>
      <c r="D170" s="5">
        <f>(M62*($E62/365))+(M63*($E63/365))</f>
        <v>44.444444444444443</v>
      </c>
      <c r="E170" s="17">
        <f t="shared" si="32"/>
        <v>100</v>
      </c>
      <c r="G170" s="1">
        <v>1987</v>
      </c>
      <c r="H170" s="392">
        <f>(O62/$R62*100*($E62/365))+(O63/$R63*100*($E63/365))</f>
        <v>0</v>
      </c>
      <c r="I170" s="392"/>
      <c r="J170" s="392">
        <f>(P62/$R62*100*($E62/365))+(P63/$R63*100*($E63/365))</f>
        <v>54.381084840055628</v>
      </c>
      <c r="K170" s="392"/>
      <c r="L170" s="392">
        <f>(Q62/$R62*100*($E62/365))+(Q63/$R63*100*($E63/365))</f>
        <v>45.618915159944365</v>
      </c>
      <c r="M170" s="392"/>
      <c r="N170" s="363">
        <f t="shared" si="33"/>
        <v>100</v>
      </c>
      <c r="O170" s="363"/>
      <c r="R170" s="1">
        <v>1987</v>
      </c>
      <c r="S170" s="5">
        <f>(O62*($E62/365))+(O63*($E63/365))</f>
        <v>0</v>
      </c>
      <c r="T170" s="5">
        <f>(P62*($E62/365))+(P63*($E63/365))</f>
        <v>39.1</v>
      </c>
      <c r="U170" s="5">
        <f>(Q62*($E62/365))+(Q63*($E63/365))</f>
        <v>32.799999999999997</v>
      </c>
      <c r="V170" s="5"/>
      <c r="W170" s="5">
        <f t="shared" si="34"/>
        <v>71.900000000000006</v>
      </c>
    </row>
    <row r="171" spans="1:23" x14ac:dyDescent="0.15">
      <c r="A171" s="1">
        <v>1988</v>
      </c>
      <c r="B171" s="5">
        <f>(K64*($E64/366))+(K65*($E65/366))</f>
        <v>0</v>
      </c>
      <c r="C171" s="5">
        <f>(L64*($E64/366))+(L65*($E65/366))</f>
        <v>55.555555555555557</v>
      </c>
      <c r="D171" s="5">
        <f>(M64*($E64/366))+(M65*($E65/366))</f>
        <v>44.444444444444443</v>
      </c>
      <c r="E171" s="17">
        <f t="shared" si="32"/>
        <v>100</v>
      </c>
      <c r="G171" s="1">
        <v>1988</v>
      </c>
      <c r="H171" s="392">
        <f>(O64/$R64*100*($E64/366))+(O65/$R65*100*($E65/366))</f>
        <v>0</v>
      </c>
      <c r="I171" s="392"/>
      <c r="J171" s="392">
        <f>(P64/$R64*100*($E64/366))+(P65/$R65*100*($E65/366))</f>
        <v>54.381084840055628</v>
      </c>
      <c r="K171" s="392"/>
      <c r="L171" s="392">
        <f>(Q64/$R64*100*($E64/366))+(Q65/$R65*100*($E65/366))</f>
        <v>45.618915159944365</v>
      </c>
      <c r="M171" s="392"/>
      <c r="N171" s="363">
        <f t="shared" si="33"/>
        <v>100</v>
      </c>
      <c r="O171" s="363"/>
      <c r="R171" s="1">
        <v>1988</v>
      </c>
      <c r="S171" s="5">
        <f>(O64*($E64/366))+(O65*($E65/366))</f>
        <v>0</v>
      </c>
      <c r="T171" s="5">
        <f>(P64*($E64/366))+(P65*($E65/366))</f>
        <v>39.1</v>
      </c>
      <c r="U171" s="5">
        <f>(Q64*($E64/366))+(Q65*($E65/366))</f>
        <v>32.799999999999997</v>
      </c>
      <c r="V171" s="5"/>
      <c r="W171" s="5">
        <f t="shared" si="34"/>
        <v>71.900000000000006</v>
      </c>
    </row>
    <row r="172" spans="1:23" x14ac:dyDescent="0.15">
      <c r="A172" s="1">
        <v>1989</v>
      </c>
      <c r="B172" s="5">
        <f>(K66*($E66/365))+(K67*($E67/365))</f>
        <v>0</v>
      </c>
      <c r="C172" s="5">
        <f>(L66*($E66/365))+(L67*($E67/365))</f>
        <v>57.637747336377473</v>
      </c>
      <c r="D172" s="5">
        <f>(M66*($E66/365))+(M67*($E67/365))</f>
        <v>42.362252663622527</v>
      </c>
      <c r="E172" s="17">
        <f t="shared" si="32"/>
        <v>100</v>
      </c>
      <c r="G172" s="1">
        <v>1989</v>
      </c>
      <c r="H172" s="392">
        <f>(O66/$R66*100*($E66/365))+(O67/$R67*100*($E67/365))</f>
        <v>0</v>
      </c>
      <c r="I172" s="392"/>
      <c r="J172" s="392">
        <f>(P66/$R66*100*($E66/365))+(P67/$R67*100*($E67/365))</f>
        <v>54.681578181321058</v>
      </c>
      <c r="K172" s="392"/>
      <c r="L172" s="392">
        <f>(Q66/$R66*100*($E66/365))+(Q67/$R67*100*($E67/365))</f>
        <v>45.318421818678942</v>
      </c>
      <c r="M172" s="392"/>
      <c r="N172" s="363">
        <f t="shared" si="33"/>
        <v>100</v>
      </c>
      <c r="O172" s="363"/>
      <c r="R172" s="1">
        <v>1989</v>
      </c>
      <c r="S172" s="5">
        <f>(O66*($E66/365))+(O67*($E67/365))</f>
        <v>0</v>
      </c>
      <c r="T172" s="5">
        <f>(P66*($E66/365))+(P67*($E67/365))</f>
        <v>37.97561643835617</v>
      </c>
      <c r="U172" s="5">
        <f>(Q66*($E66/365))+(Q67*($E67/365))</f>
        <v>31.48821917808219</v>
      </c>
      <c r="V172" s="5"/>
      <c r="W172" s="5">
        <f t="shared" si="34"/>
        <v>69.463835616438359</v>
      </c>
    </row>
    <row r="173" spans="1:23" x14ac:dyDescent="0.15">
      <c r="A173" s="1">
        <v>1990</v>
      </c>
      <c r="B173" s="5">
        <f>(K68*($E68/365))+(K69*($E69/365))</f>
        <v>0</v>
      </c>
      <c r="C173" s="5">
        <f>(L68*($E68/365))+(L69*($E69/365))</f>
        <v>60</v>
      </c>
      <c r="D173" s="5">
        <f>(M68*($E68/365))+(M69*($E69/365))</f>
        <v>40</v>
      </c>
      <c r="E173" s="17">
        <f t="shared" si="32"/>
        <v>100</v>
      </c>
      <c r="G173" s="1">
        <v>1990</v>
      </c>
      <c r="H173" s="392">
        <f>(O68/$R68*100*($E68/365))+(O69/$R69*100*($E69/365))</f>
        <v>0</v>
      </c>
      <c r="I173" s="392"/>
      <c r="J173" s="392">
        <f>(P68/$R68*100*($E68/365))+(P69/$R69*100*($E69/365))</f>
        <v>55.022488755622192</v>
      </c>
      <c r="K173" s="392"/>
      <c r="L173" s="392">
        <f>(Q68/$R68*100*($E68/365))+(Q69/$R69*100*($E69/365))</f>
        <v>44.977511244377808</v>
      </c>
      <c r="M173" s="392"/>
      <c r="N173" s="363">
        <f t="shared" si="33"/>
        <v>100</v>
      </c>
      <c r="O173" s="363"/>
      <c r="R173" s="1">
        <v>1990</v>
      </c>
      <c r="S173" s="5">
        <f>(O68*($E68/365))+(O69*($E69/365))</f>
        <v>0</v>
      </c>
      <c r="T173" s="5">
        <f>(P68*($E68/365))+(P69*($E69/365))</f>
        <v>36.700000000000003</v>
      </c>
      <c r="U173" s="5">
        <f>(Q68*($E68/365))+(Q69*($E69/365))</f>
        <v>30</v>
      </c>
      <c r="V173" s="5"/>
      <c r="W173" s="5">
        <f t="shared" si="34"/>
        <v>66.7</v>
      </c>
    </row>
    <row r="174" spans="1:23" x14ac:dyDescent="0.15">
      <c r="A174" s="1">
        <v>1991</v>
      </c>
      <c r="B174" s="5">
        <f>(K70*($E70/365))+(K71*($E71/365))</f>
        <v>0</v>
      </c>
      <c r="C174" s="5">
        <f>(L70*($E70/365))+(L71*($E71/365))</f>
        <v>60</v>
      </c>
      <c r="D174" s="5">
        <f>(M70*($E70/365))+(M71*($E71/365))</f>
        <v>40</v>
      </c>
      <c r="E174" s="17">
        <f t="shared" si="32"/>
        <v>100</v>
      </c>
      <c r="G174" s="1">
        <v>1991</v>
      </c>
      <c r="H174" s="392">
        <f>(O70/$R70*100*($E70/365))+(O71/$R71*100*($E71/365))</f>
        <v>0</v>
      </c>
      <c r="I174" s="392"/>
      <c r="J174" s="392">
        <f>(P70/$R70*100*($E70/365))+(P71/$R71*100*($E71/365))</f>
        <v>55.022488755622192</v>
      </c>
      <c r="K174" s="392"/>
      <c r="L174" s="392">
        <f>(Q70/$R70*100*($E70/365))+(Q71/$R71*100*($E71/365))</f>
        <v>44.977511244377808</v>
      </c>
      <c r="M174" s="392"/>
      <c r="N174" s="363">
        <f t="shared" si="33"/>
        <v>100</v>
      </c>
      <c r="O174" s="363"/>
      <c r="R174" s="1">
        <v>1991</v>
      </c>
      <c r="S174" s="5">
        <f>(O70*($E70/365))+(O71*($E71/365))</f>
        <v>0</v>
      </c>
      <c r="T174" s="5">
        <f>(P70*($E70/365))+(P71*($E71/365))</f>
        <v>36.700000000000003</v>
      </c>
      <c r="U174" s="5">
        <f>(Q70*($E70/365))+(Q71*($E71/365))</f>
        <v>30</v>
      </c>
      <c r="V174" s="5"/>
      <c r="W174" s="5">
        <f t="shared" si="34"/>
        <v>66.7</v>
      </c>
    </row>
    <row r="175" spans="1:23" x14ac:dyDescent="0.15">
      <c r="A175" s="1">
        <v>1992</v>
      </c>
      <c r="B175" s="5">
        <f>(K72*($E72/366))+(K73*($E73/366))</f>
        <v>0</v>
      </c>
      <c r="C175" s="5">
        <f>(L72*($E72/366))+(L73*($E73/366))</f>
        <v>60</v>
      </c>
      <c r="D175" s="5">
        <f>(M72*($E72/366))+(M73*($E73/366))</f>
        <v>40</v>
      </c>
      <c r="E175" s="17">
        <f t="shared" si="32"/>
        <v>100</v>
      </c>
      <c r="G175" s="1">
        <v>1992</v>
      </c>
      <c r="H175" s="392">
        <f>(O72/$R72*100*($E72/366))+(O73/$R73*100*($E73/366))</f>
        <v>0</v>
      </c>
      <c r="I175" s="392"/>
      <c r="J175" s="392">
        <f>(P72/$R72*100*($E72/366))+(P73/$R73*100*($E73/366))</f>
        <v>55.022488755622192</v>
      </c>
      <c r="K175" s="392"/>
      <c r="L175" s="392">
        <f>(Q72/$R72*100*($E72/366))+(Q73/$R73*100*($E73/366))</f>
        <v>44.977511244377808</v>
      </c>
      <c r="M175" s="392"/>
      <c r="N175" s="363">
        <f t="shared" si="33"/>
        <v>100</v>
      </c>
      <c r="O175" s="363"/>
      <c r="R175" s="1">
        <v>1992</v>
      </c>
      <c r="S175" s="5">
        <f>(O72*($E72/366))+(O73*($E73/366))</f>
        <v>0</v>
      </c>
      <c r="T175" s="5">
        <f>(P72*($E72/366))+(P73*($E73/366))</f>
        <v>36.700000000000003</v>
      </c>
      <c r="U175" s="5">
        <f>(Q72*($E72/366))+(Q73*($E73/366))</f>
        <v>30</v>
      </c>
      <c r="V175" s="5"/>
      <c r="W175" s="5">
        <f t="shared" si="34"/>
        <v>66.7</v>
      </c>
    </row>
    <row r="176" spans="1:23" x14ac:dyDescent="0.15">
      <c r="A176" s="1">
        <v>1993</v>
      </c>
      <c r="B176" s="5">
        <f>(K74*($E74/365))+(K75*($E75/365))</f>
        <v>0</v>
      </c>
      <c r="C176" s="5">
        <f>(L74*($E74/365))+(L75*($E75/365))</f>
        <v>60</v>
      </c>
      <c r="D176" s="5">
        <f>(M74*($E74/365))+(M75*($E75/365))</f>
        <v>40</v>
      </c>
      <c r="E176" s="17">
        <f t="shared" si="32"/>
        <v>100</v>
      </c>
      <c r="G176" s="1">
        <v>1993</v>
      </c>
      <c r="H176" s="392">
        <f>(O74/$R74*100*($E74/365))+(O75/$R75*100*($E75/365))</f>
        <v>0</v>
      </c>
      <c r="I176" s="392"/>
      <c r="J176" s="392">
        <f>(P74/$R74*100*($E74/365))+(P75/$R75*100*($E75/365))</f>
        <v>55.022488755622192</v>
      </c>
      <c r="K176" s="392"/>
      <c r="L176" s="392">
        <f>(Q74/$R74*100*($E74/365))+(Q75/$R75*100*($E75/365))</f>
        <v>44.977511244377808</v>
      </c>
      <c r="M176" s="392"/>
      <c r="N176" s="363">
        <f t="shared" si="33"/>
        <v>100</v>
      </c>
      <c r="O176" s="363"/>
      <c r="R176" s="1">
        <v>1993</v>
      </c>
      <c r="S176" s="5">
        <f>(O74*($E74/365))+(O75*($E75/365))</f>
        <v>0</v>
      </c>
      <c r="T176" s="5">
        <f>(P74*($E74/365))+(P75*($E75/365))</f>
        <v>36.700000000000003</v>
      </c>
      <c r="U176" s="5">
        <f>(Q74*($E74/365))+(Q75*($E75/365))</f>
        <v>30</v>
      </c>
      <c r="V176" s="5"/>
      <c r="W176" s="5">
        <f t="shared" si="34"/>
        <v>66.7</v>
      </c>
    </row>
    <row r="177" spans="1:23" x14ac:dyDescent="0.15">
      <c r="A177" s="1">
        <v>1994</v>
      </c>
      <c r="B177" s="5">
        <f>(K76*($E76/365))+(K77*($E77/365))</f>
        <v>0</v>
      </c>
      <c r="C177" s="5">
        <f>(L76*($E76/365))+(L77*($E77/365))</f>
        <v>55.287671232876718</v>
      </c>
      <c r="D177" s="5">
        <f>(M76*($E76/365))+(M77*($E77/365))</f>
        <v>44.712328767123296</v>
      </c>
      <c r="E177" s="17">
        <f t="shared" si="32"/>
        <v>100.00000000000001</v>
      </c>
      <c r="G177" s="1">
        <v>1994</v>
      </c>
      <c r="H177" s="392">
        <f>(O76/$R76*100*($E76/365))+(O77/$R77*100*($E77/365))</f>
        <v>0</v>
      </c>
      <c r="I177" s="392"/>
      <c r="J177" s="392">
        <f>(P76/$R76*100*($E76/365))+(P77/$R77*100*($E77/365))</f>
        <v>55.149613403387256</v>
      </c>
      <c r="K177" s="392"/>
      <c r="L177" s="392">
        <f>(Q76/$R76*100*($E76/365))+(Q77/$R77*100*($E77/365))</f>
        <v>44.850386596612751</v>
      </c>
      <c r="M177" s="392"/>
      <c r="N177" s="363">
        <f t="shared" si="33"/>
        <v>100</v>
      </c>
      <c r="O177" s="363"/>
      <c r="R177" s="1">
        <v>1994</v>
      </c>
      <c r="S177" s="5">
        <f>(O76*($E76/365))+(O77*($E77/365))</f>
        <v>0</v>
      </c>
      <c r="T177" s="5">
        <f>(P76*($E76/365))+(P77*($E77/365))</f>
        <v>35.89890410958904</v>
      </c>
      <c r="U177" s="5">
        <f>(Q76*($E76/365))+(Q77*($E77/365))</f>
        <v>29.198904109589044</v>
      </c>
      <c r="V177" s="5"/>
      <c r="W177" s="5">
        <f t="shared" si="34"/>
        <v>65.097808219178091</v>
      </c>
    </row>
    <row r="178" spans="1:23" x14ac:dyDescent="0.15">
      <c r="A178" s="1">
        <v>1995</v>
      </c>
      <c r="B178" s="5">
        <f>(K78*($E78/365))+(K79*($E79/365))</f>
        <v>0</v>
      </c>
      <c r="C178" s="5">
        <f>(L78*($E78/365))+(L79*($E79/365))</f>
        <v>50</v>
      </c>
      <c r="D178" s="5">
        <f>(M78*($E78/365))+(M79*($E79/365))</f>
        <v>50</v>
      </c>
      <c r="E178" s="17">
        <f t="shared" si="32"/>
        <v>100</v>
      </c>
      <c r="G178" s="1">
        <v>1995</v>
      </c>
      <c r="H178" s="392">
        <f>(O78/$R78*100*($E78/365))+(O79/$R79*100*($E79/365))</f>
        <v>0</v>
      </c>
      <c r="I178" s="392"/>
      <c r="J178" s="392">
        <f>(P78/$R78*100*($E78/365))+(P79/$R79*100*($E79/365))</f>
        <v>55.292259083728275</v>
      </c>
      <c r="K178" s="392"/>
      <c r="L178" s="392">
        <f>(Q78/$R78*100*($E78/365))+(Q79/$R79*100*($E79/365))</f>
        <v>44.707740916271717</v>
      </c>
      <c r="M178" s="392"/>
      <c r="N178" s="363">
        <f t="shared" si="33"/>
        <v>100</v>
      </c>
      <c r="O178" s="363"/>
      <c r="R178" s="1">
        <v>1995</v>
      </c>
      <c r="S178" s="5">
        <f>(O78*($E78/365))+(O79*($E79/365))</f>
        <v>0</v>
      </c>
      <c r="T178" s="5">
        <f>(P78*($E78/365))+(P79*($E79/365))</f>
        <v>35</v>
      </c>
      <c r="U178" s="5">
        <f>(Q78*($E78/365))+(Q79*($E79/365))</f>
        <v>28.299999999999997</v>
      </c>
      <c r="V178" s="5"/>
      <c r="W178" s="5">
        <f t="shared" si="34"/>
        <v>63.3</v>
      </c>
    </row>
    <row r="179" spans="1:23" x14ac:dyDescent="0.15">
      <c r="A179" s="1">
        <v>1996</v>
      </c>
      <c r="B179" s="5">
        <f>(K80*($E80/366))+(K81*($E81/366))</f>
        <v>0</v>
      </c>
      <c r="C179" s="5">
        <f>(L80*($E80/366))+(L81*($E81/366))</f>
        <v>50</v>
      </c>
      <c r="D179" s="5">
        <f>(M80*($E80/366))+(M81*($E81/366))</f>
        <v>50</v>
      </c>
      <c r="E179" s="17">
        <f t="shared" si="32"/>
        <v>100</v>
      </c>
      <c r="G179" s="1">
        <v>1996</v>
      </c>
      <c r="H179" s="392">
        <f>(O80/$R80*100*($E80/366))+(O81/$R81*100*($E81/366))</f>
        <v>0</v>
      </c>
      <c r="I179" s="392"/>
      <c r="J179" s="392">
        <f>(P80/$R80*100*($E80/366))+(P81/$R81*100*($E81/366))</f>
        <v>55.292259083728283</v>
      </c>
      <c r="K179" s="392"/>
      <c r="L179" s="392">
        <f>(Q80/$R80*100*($E80/366))+(Q81/$R81*100*($E81/366))</f>
        <v>44.707740916271725</v>
      </c>
      <c r="M179" s="392"/>
      <c r="N179" s="363">
        <f t="shared" si="33"/>
        <v>100</v>
      </c>
      <c r="O179" s="363"/>
      <c r="R179" s="1">
        <v>1996</v>
      </c>
      <c r="S179" s="5">
        <f>(O80*($E80/366))+(O81*($E81/366))</f>
        <v>0</v>
      </c>
      <c r="T179" s="5">
        <f>(P80*($E80/366))+(P81*($E81/366))</f>
        <v>35</v>
      </c>
      <c r="U179" s="5">
        <f>(Q80*($E80/366))+(Q81*($E81/366))</f>
        <v>28.3</v>
      </c>
      <c r="V179" s="5"/>
      <c r="W179" s="5">
        <f t="shared" si="34"/>
        <v>63.3</v>
      </c>
    </row>
    <row r="180" spans="1:23" x14ac:dyDescent="0.15">
      <c r="A180" s="1">
        <v>1997</v>
      </c>
      <c r="B180" s="5">
        <f>(K82*($E82/365))+(K83*($E83/365))</f>
        <v>0</v>
      </c>
      <c r="C180" s="5">
        <f>(L82*($E82/365))+(L83*($E83/365))</f>
        <v>50</v>
      </c>
      <c r="D180" s="5">
        <f>(M82*($E82/365))+(M83*($E83/365))</f>
        <v>50</v>
      </c>
      <c r="E180" s="17">
        <f t="shared" si="32"/>
        <v>100</v>
      </c>
      <c r="G180" s="1">
        <v>1997</v>
      </c>
      <c r="H180" s="392">
        <f>(O82/$R82*100*($E82/365))+(O83/$R83*100*($E83/365))</f>
        <v>0</v>
      </c>
      <c r="I180" s="392"/>
      <c r="J180" s="392">
        <f>(P82/$R82*100*($E82/365))+(P83/$R83*100*($E83/365))</f>
        <v>55.292259083728283</v>
      </c>
      <c r="K180" s="392"/>
      <c r="L180" s="392">
        <f>(Q82/$R82*100*($E82/365))+(Q83/$R83*100*($E83/365))</f>
        <v>44.707740916271725</v>
      </c>
      <c r="M180" s="392"/>
      <c r="N180" s="363">
        <f t="shared" si="33"/>
        <v>100</v>
      </c>
      <c r="O180" s="363"/>
      <c r="R180" s="1">
        <v>1997</v>
      </c>
      <c r="S180" s="5">
        <f>(O82*($E82/365))+(O83*($E83/365))</f>
        <v>0</v>
      </c>
      <c r="T180" s="5">
        <f>(P82*($E82/365))+(P83*($E83/365))</f>
        <v>35</v>
      </c>
      <c r="U180" s="5">
        <f>(Q82*($E82/365))+(Q83*($E83/365))</f>
        <v>28.3</v>
      </c>
      <c r="V180" s="5"/>
      <c r="W180" s="5">
        <f t="shared" si="34"/>
        <v>63.3</v>
      </c>
    </row>
    <row r="181" spans="1:23" x14ac:dyDescent="0.15">
      <c r="A181" s="1">
        <v>1998</v>
      </c>
      <c r="B181" s="5">
        <f>(K84*($E84/365))+(K85*($E85/365))</f>
        <v>0</v>
      </c>
      <c r="C181" s="5">
        <f>(L84*($E84/365))+(L85*($E85/365))</f>
        <v>50</v>
      </c>
      <c r="D181" s="5">
        <f>(M84*($E84/365))+(M85*($E85/365))</f>
        <v>50</v>
      </c>
      <c r="E181" s="17">
        <f t="shared" si="32"/>
        <v>100</v>
      </c>
      <c r="G181" s="1">
        <v>1998</v>
      </c>
      <c r="H181" s="392">
        <f>(O84/$R84*100*($E84/365))+(O85/$R85*100*($E85/365))</f>
        <v>0</v>
      </c>
      <c r="I181" s="392"/>
      <c r="J181" s="392">
        <f>(P84/$R84*100*($E84/365))+(P85/$R85*100*($E85/365))</f>
        <v>55.292259083728283</v>
      </c>
      <c r="K181" s="392"/>
      <c r="L181" s="392">
        <f>(Q84/$R84*100*($E84/365))+(Q85/$R85*100*($E85/365))</f>
        <v>44.707740916271725</v>
      </c>
      <c r="M181" s="392"/>
      <c r="N181" s="363">
        <f t="shared" si="33"/>
        <v>100</v>
      </c>
      <c r="O181" s="363"/>
      <c r="R181" s="1">
        <v>1998</v>
      </c>
      <c r="S181" s="5">
        <f>(O84*($E84/365))+(O85*($E85/365))</f>
        <v>0</v>
      </c>
      <c r="T181" s="5">
        <f>(P84*($E84/365))+(P85*($E85/365))</f>
        <v>35</v>
      </c>
      <c r="U181" s="5">
        <f>(Q84*($E84/365))+(Q85*($E85/365))</f>
        <v>28.3</v>
      </c>
      <c r="V181" s="5"/>
      <c r="W181" s="5">
        <f t="shared" si="34"/>
        <v>63.3</v>
      </c>
    </row>
    <row r="182" spans="1:23" x14ac:dyDescent="0.15">
      <c r="A182" s="1">
        <v>1999</v>
      </c>
      <c r="B182" s="5">
        <f>(K86*($E86/365))+(K87*($E87/365))</f>
        <v>15.890410958904111</v>
      </c>
      <c r="C182" s="5">
        <f>(L86*($E86/365))+(L87*($E87/365))</f>
        <v>50</v>
      </c>
      <c r="D182" s="5">
        <f>(M86*($E86/365))+(M87*($E87/365))</f>
        <v>34.109589041095887</v>
      </c>
      <c r="E182" s="17">
        <f t="shared" si="32"/>
        <v>100</v>
      </c>
      <c r="G182" s="1">
        <v>1999</v>
      </c>
      <c r="H182" s="392">
        <f>(O86/$R86*100*($E86/365))+(O87/$R87*100*($E87/365))</f>
        <v>14.012708076635018</v>
      </c>
      <c r="I182" s="392"/>
      <c r="J182" s="392">
        <f>(P86/$R86*100*($E86/365))+(P87/$R87*100*($E87/365))</f>
        <v>55.488038531168655</v>
      </c>
      <c r="K182" s="392"/>
      <c r="L182" s="392">
        <f>(Q86/$R86*100*($E86/365))+(Q87/$R87*100*($E87/365))</f>
        <v>30.499253392196326</v>
      </c>
      <c r="M182" s="392"/>
      <c r="N182" s="363">
        <f t="shared" si="33"/>
        <v>100</v>
      </c>
      <c r="O182" s="363"/>
      <c r="R182" s="1">
        <v>1999</v>
      </c>
      <c r="S182" s="5">
        <f>(O86*($E86/365))+(O87*($E87/365))</f>
        <v>7.9452054794520555</v>
      </c>
      <c r="T182" s="5">
        <f>(P86*($E86/365))+(P87*($E87/365))</f>
        <v>33.951232876712325</v>
      </c>
      <c r="U182" s="5">
        <f>(Q86*($E86/365))+(Q87*($E87/365))</f>
        <v>19.306027397260273</v>
      </c>
      <c r="V182" s="5"/>
      <c r="W182" s="5">
        <f t="shared" si="34"/>
        <v>61.202465753424654</v>
      </c>
    </row>
    <row r="183" spans="1:23" x14ac:dyDescent="0.15">
      <c r="A183" s="1">
        <v>2000</v>
      </c>
      <c r="B183" s="5">
        <f>(K88*($E88/366))+(K89*($E89/366))</f>
        <v>50</v>
      </c>
      <c r="C183" s="5">
        <f>(L88*($E88/366))+(L89*($E89/366))</f>
        <v>50</v>
      </c>
      <c r="D183" s="5">
        <f>(M88*($E88/366))+(M89*($E89/366))</f>
        <v>0</v>
      </c>
      <c r="E183" s="17">
        <f t="shared" si="32"/>
        <v>100</v>
      </c>
      <c r="G183" s="1">
        <v>2000</v>
      </c>
      <c r="H183" s="392">
        <f>(O88/$R88*100*($E88/366))+(O89/$R89*100*($E89/366))</f>
        <v>44.091710758377424</v>
      </c>
      <c r="I183" s="392"/>
      <c r="J183" s="392">
        <f>(P88/$R88*100*($E88/366))+(P89/$R89*100*($E89/366))</f>
        <v>55.908289241622569</v>
      </c>
      <c r="K183" s="392"/>
      <c r="L183" s="392">
        <f>(Q88/$R88*100*($E88/366))+(Q89/$R89*100*($E89/366))</f>
        <v>0</v>
      </c>
      <c r="M183" s="392"/>
      <c r="N183" s="363">
        <f t="shared" si="33"/>
        <v>100</v>
      </c>
      <c r="O183" s="363"/>
      <c r="R183" s="1">
        <v>2000</v>
      </c>
      <c r="S183" s="5">
        <f>(O88*($E88/366))+(O89*($E89/366))</f>
        <v>25</v>
      </c>
      <c r="T183" s="5">
        <f>(P88*($E88/366))+(P89*($E89/366))</f>
        <v>31.7</v>
      </c>
      <c r="U183" s="5">
        <f>(Q88*($E88/366))+(Q89*($E89/366))</f>
        <v>0</v>
      </c>
      <c r="V183" s="5"/>
      <c r="W183" s="5">
        <f t="shared" si="34"/>
        <v>56.7</v>
      </c>
    </row>
    <row r="184" spans="1:23" x14ac:dyDescent="0.15">
      <c r="A184" s="1">
        <v>2001</v>
      </c>
      <c r="B184" s="5">
        <f>(K90*($E90/365))+(K91*($E91/365))</f>
        <v>50</v>
      </c>
      <c r="C184" s="5">
        <f>(L90*($E90/365))+(L91*($E91/365))</f>
        <v>50</v>
      </c>
      <c r="D184" s="5">
        <f>(M90*($E90/365))+(M91*($E91/365))</f>
        <v>0</v>
      </c>
      <c r="E184" s="17">
        <f t="shared" si="32"/>
        <v>100</v>
      </c>
      <c r="G184" s="1">
        <v>2001</v>
      </c>
      <c r="H184" s="392">
        <f>(O90/$R90*100*($E90/365))+(O91/$R91*100*($E91/365))</f>
        <v>44.091710758377424</v>
      </c>
      <c r="I184" s="392"/>
      <c r="J184" s="392">
        <f>(P90/$R90*100*($E90/365))+(P91/$R91*100*($E91/365))</f>
        <v>55.908289241622569</v>
      </c>
      <c r="K184" s="392"/>
      <c r="L184" s="392">
        <f>(Q90/$R90*100*($E90/365))+(Q91/$R91*100*($E91/365))</f>
        <v>0</v>
      </c>
      <c r="M184" s="392"/>
      <c r="N184" s="363">
        <f t="shared" si="33"/>
        <v>100</v>
      </c>
      <c r="O184" s="363"/>
      <c r="R184" s="1">
        <v>2001</v>
      </c>
      <c r="S184" s="5">
        <f>(O90*($E90/365))+(O91*($E91/365))</f>
        <v>25</v>
      </c>
      <c r="T184" s="5">
        <f>(P90*($E90/365))+(P91*($E91/365))</f>
        <v>31.7</v>
      </c>
      <c r="U184" s="5">
        <f>(Q90*($E90/365))+(Q91*($E91/365))</f>
        <v>0</v>
      </c>
      <c r="V184" s="5"/>
      <c r="W184" s="5">
        <f t="shared" si="34"/>
        <v>56.7</v>
      </c>
    </row>
    <row r="185" spans="1:23" x14ac:dyDescent="0.15">
      <c r="A185" s="1">
        <v>2002</v>
      </c>
      <c r="B185" s="5">
        <f>(K92*($E92/365))+(K93*($E93/365))</f>
        <v>50</v>
      </c>
      <c r="C185" s="5">
        <f>(L92*($E92/365))+(L93*($E93/365))</f>
        <v>50</v>
      </c>
      <c r="D185" s="5">
        <f>(M92*($E92/365))+(M93*($E93/365))</f>
        <v>0</v>
      </c>
      <c r="E185" s="17">
        <f t="shared" si="32"/>
        <v>100</v>
      </c>
      <c r="G185" s="1">
        <v>2002</v>
      </c>
      <c r="H185" s="392">
        <f>(O92/$R92*100*($E92/365))+(O93/$R93*100*($E93/365))</f>
        <v>44.091710758377424</v>
      </c>
      <c r="I185" s="392"/>
      <c r="J185" s="392">
        <f>(P92/$R92*100*($E92/365))+(P93/$R93*100*($E93/365))</f>
        <v>55.908289241622569</v>
      </c>
      <c r="K185" s="392"/>
      <c r="L185" s="392">
        <f>(Q92/$R92*100*($E92/365))+(Q93/$R93*100*($E93/365))</f>
        <v>0</v>
      </c>
      <c r="M185" s="392"/>
      <c r="N185" s="363">
        <f t="shared" si="33"/>
        <v>100</v>
      </c>
      <c r="O185" s="363"/>
      <c r="R185" s="1">
        <v>2002</v>
      </c>
      <c r="S185" s="5">
        <f>(O92*($E92/365))+(O93*($E93/365))</f>
        <v>25</v>
      </c>
      <c r="T185" s="5">
        <f>(P92*($E92/365))+(P93*($E93/365))</f>
        <v>31.7</v>
      </c>
      <c r="U185" s="5">
        <f>(Q92*($E92/365))+(Q93*($E93/365))</f>
        <v>0</v>
      </c>
      <c r="V185" s="5"/>
      <c r="W185" s="5">
        <f t="shared" si="34"/>
        <v>56.7</v>
      </c>
    </row>
    <row r="186" spans="1:23" x14ac:dyDescent="0.15">
      <c r="A186" s="1">
        <v>2003</v>
      </c>
      <c r="B186" s="5">
        <f>(K94*($E94/365))+(K95*($E95/365))</f>
        <v>50</v>
      </c>
      <c r="C186" s="5">
        <f>(L94*($E94/365))+(L95*($E95/365))</f>
        <v>50</v>
      </c>
      <c r="D186" s="5">
        <f>(M94*($E94/365))+(M95*($E95/365))</f>
        <v>0</v>
      </c>
      <c r="E186" s="17">
        <f t="shared" si="32"/>
        <v>100</v>
      </c>
      <c r="G186" s="1">
        <v>2003</v>
      </c>
      <c r="H186" s="392">
        <f>(O94/$R94*100*($E94/365))+(O95/$R95*100*($E95/365))</f>
        <v>44.091710758377424</v>
      </c>
      <c r="I186" s="392"/>
      <c r="J186" s="392">
        <f>(P94/$R94*100*($E94/365))+(P95/$R95*100*($E95/365))</f>
        <v>55.908289241622569</v>
      </c>
      <c r="K186" s="392"/>
      <c r="L186" s="392">
        <f>(Q94/$R94*100*($E94/365))+(Q95/$R95*100*($E95/365))</f>
        <v>0</v>
      </c>
      <c r="M186" s="392"/>
      <c r="N186" s="363">
        <f t="shared" si="33"/>
        <v>100</v>
      </c>
      <c r="O186" s="363"/>
      <c r="R186" s="1">
        <v>2003</v>
      </c>
      <c r="S186" s="5">
        <f>(O94*($E94/365))+(O95*($E95/365))</f>
        <v>25</v>
      </c>
      <c r="T186" s="5">
        <f>(P94*($E94/365))+(P95*($E95/365))</f>
        <v>31.7</v>
      </c>
      <c r="U186" s="5">
        <f>(Q94*($E94/365))+(Q95*($E95/365))</f>
        <v>0</v>
      </c>
      <c r="V186" s="5"/>
      <c r="W186" s="5">
        <f t="shared" si="34"/>
        <v>56.7</v>
      </c>
    </row>
    <row r="187" spans="1:23" x14ac:dyDescent="0.15">
      <c r="A187" s="1">
        <v>2004</v>
      </c>
      <c r="B187" s="5">
        <f>(K96*($E96/366))+(K97*($E97/366))</f>
        <v>28.961748633879779</v>
      </c>
      <c r="C187" s="5">
        <f>(L96*($E96/366))+(L97*($E97/366))</f>
        <v>54.207650273224047</v>
      </c>
      <c r="D187" s="5">
        <f>(M96*($E96/366))+(M97*($E97/366))</f>
        <v>16.830601092896174</v>
      </c>
      <c r="E187" s="17">
        <f t="shared" si="32"/>
        <v>100</v>
      </c>
      <c r="G187" s="1">
        <v>2004</v>
      </c>
      <c r="H187" s="392">
        <f>(O96/$R96*100*($E96/366))+(O97/$R97*100*($E97/366))</f>
        <v>25.539460876437197</v>
      </c>
      <c r="I187" s="392"/>
      <c r="J187" s="392">
        <f>(P96/$R96*100*($E96/366))+(P97/$R97*100*($E97/366))</f>
        <v>58.972663710273665</v>
      </c>
      <c r="K187" s="392"/>
      <c r="L187" s="392">
        <f>(Q96/$R96*100*($E96/366))+(Q97/$R97*100*($E97/366))</f>
        <v>15.487875413289137</v>
      </c>
      <c r="M187" s="392"/>
      <c r="N187" s="363">
        <f t="shared" si="33"/>
        <v>99.999999999999986</v>
      </c>
      <c r="O187" s="363"/>
      <c r="R187" s="1">
        <v>2004</v>
      </c>
      <c r="S187" s="5">
        <f>(O96*($E96/366))+(O97*($E97/366))</f>
        <v>14.480874316939889</v>
      </c>
      <c r="T187" s="5">
        <f>(P96*($E96/366))+(P97*($E97/366))</f>
        <v>35.192349726775959</v>
      </c>
      <c r="U187" s="5">
        <f>(Q96*($E96/366))+(Q97*($E97/366))</f>
        <v>9.8038251366120228</v>
      </c>
      <c r="V187" s="5"/>
      <c r="W187" s="5">
        <f t="shared" si="34"/>
        <v>59.477049180327867</v>
      </c>
    </row>
    <row r="188" spans="1:23" x14ac:dyDescent="0.15">
      <c r="A188" s="1">
        <v>2005</v>
      </c>
      <c r="B188" s="5">
        <f>(K98*($E98/365))+(K99*($E99/365))</f>
        <v>0</v>
      </c>
      <c r="C188" s="5">
        <f>(L98*($E98/365))+(L99*($E99/365))</f>
        <v>60</v>
      </c>
      <c r="D188" s="5">
        <f>(M98*($E98/365))+(M99*($E99/365))</f>
        <v>40</v>
      </c>
      <c r="E188" s="17">
        <f t="shared" si="32"/>
        <v>100</v>
      </c>
      <c r="G188" s="1">
        <v>2005</v>
      </c>
      <c r="H188" s="392">
        <f>(O98/$R98*100*($E98/365))+(O99/$R99*100*($E99/365))</f>
        <v>0</v>
      </c>
      <c r="I188" s="392"/>
      <c r="J188" s="392">
        <f>(P98/$R98*100*($E98/365))+(P99/$R99*100*($E99/365))</f>
        <v>63.191153238546605</v>
      </c>
      <c r="K188" s="392"/>
      <c r="L188" s="392">
        <f>(Q98/$R98*100*($E98/365))+(Q99/$R99*100*($E99/365))</f>
        <v>36.808846761453403</v>
      </c>
      <c r="M188" s="392"/>
      <c r="N188" s="363">
        <f t="shared" si="33"/>
        <v>100</v>
      </c>
      <c r="O188" s="363"/>
      <c r="R188" s="1">
        <v>2005</v>
      </c>
      <c r="S188" s="5">
        <f>(O98*($E98/365))+(O99*($E99/365))</f>
        <v>0</v>
      </c>
      <c r="T188" s="5">
        <f>(P98*($E98/365))+(P99*($E99/365))</f>
        <v>40</v>
      </c>
      <c r="U188" s="5">
        <f>(Q98*($E98/365))+(Q99*($E99/365))</f>
        <v>23.3</v>
      </c>
      <c r="V188" s="5"/>
      <c r="W188" s="5">
        <f t="shared" si="34"/>
        <v>63.3</v>
      </c>
    </row>
    <row r="189" spans="1:23" x14ac:dyDescent="0.15">
      <c r="A189" s="1">
        <v>2006</v>
      </c>
      <c r="B189" s="5">
        <f>(K100*($E100/365))+(K101*($E101/365))</f>
        <v>0</v>
      </c>
      <c r="C189" s="5">
        <f>(L100*($E100/365))+(L101*($E101/365))</f>
        <v>60</v>
      </c>
      <c r="D189" s="5">
        <f>(M100*($E100/365))+(M101*($E101/365))</f>
        <v>40</v>
      </c>
      <c r="E189" s="17">
        <f t="shared" si="32"/>
        <v>100</v>
      </c>
      <c r="G189" s="1">
        <v>2006</v>
      </c>
      <c r="H189" s="392">
        <f>(O100/$R100*100*($E100/365))+(O101/$R101*100*($E101/365))</f>
        <v>0</v>
      </c>
      <c r="I189" s="392"/>
      <c r="J189" s="392">
        <f>(P100/$R100*100*($E100/365))+(P101/$R101*100*($E101/365))</f>
        <v>63.191153238546605</v>
      </c>
      <c r="K189" s="392"/>
      <c r="L189" s="392">
        <f>(Q100/$R100*100*($E100/365))+(Q101/$R101*100*($E101/365))</f>
        <v>36.808846761453403</v>
      </c>
      <c r="M189" s="392"/>
      <c r="N189" s="363">
        <f t="shared" si="33"/>
        <v>100</v>
      </c>
      <c r="O189" s="363"/>
      <c r="R189" s="1">
        <v>2006</v>
      </c>
      <c r="S189" s="5">
        <f>(O100*($E100/365))+(O101*($E101/365))</f>
        <v>0</v>
      </c>
      <c r="T189" s="5">
        <f>(P100*($E100/365))+(P101*($E101/365))</f>
        <v>40</v>
      </c>
      <c r="U189" s="5">
        <f>(Q100*($E100/365))+(Q101*($E101/365))</f>
        <v>23.3</v>
      </c>
      <c r="V189" s="5"/>
      <c r="W189" s="5">
        <f t="shared" si="34"/>
        <v>63.3</v>
      </c>
    </row>
    <row r="190" spans="1:23" x14ac:dyDescent="0.15">
      <c r="A190" s="1">
        <v>2007</v>
      </c>
      <c r="B190" s="5">
        <f>(K102*($E102/365))+(K103*($E103/365))</f>
        <v>0</v>
      </c>
      <c r="C190" s="5">
        <f>(L102*($E102/365))+(L103*($E103/365))</f>
        <v>60</v>
      </c>
      <c r="D190" s="5">
        <f>(M102*($E102/365))+(M103*($E103/365))</f>
        <v>40</v>
      </c>
      <c r="E190" s="17">
        <f t="shared" si="32"/>
        <v>100</v>
      </c>
      <c r="G190" s="1">
        <v>2007</v>
      </c>
      <c r="H190" s="392">
        <f>(O102/$R102*100*($E102/365))+(O103/$R103*100*($E103/365))</f>
        <v>0</v>
      </c>
      <c r="I190" s="392"/>
      <c r="J190" s="392">
        <f>(P102/$R102*100*($E102/365))+(P103/$R103*100*($E103/365))</f>
        <v>63.191153238546605</v>
      </c>
      <c r="K190" s="392"/>
      <c r="L190" s="392">
        <f>(Q102/$R102*100*($E102/365))+(Q103/$R103*100*($E103/365))</f>
        <v>36.808846761453403</v>
      </c>
      <c r="M190" s="392"/>
      <c r="N190" s="363">
        <f t="shared" si="33"/>
        <v>100</v>
      </c>
      <c r="O190" s="363"/>
      <c r="R190" s="1">
        <v>2007</v>
      </c>
      <c r="S190" s="5">
        <f>(O102*($E102/365))+(O103*($E103/365))</f>
        <v>0</v>
      </c>
      <c r="T190" s="5">
        <f>(P102*($E102/365))+(P103*($E103/365))</f>
        <v>40</v>
      </c>
      <c r="U190" s="5">
        <f>(Q102*($E102/365))+(Q103*($E103/365))</f>
        <v>23.3</v>
      </c>
      <c r="V190" s="5"/>
      <c r="W190" s="5">
        <f t="shared" si="34"/>
        <v>63.3</v>
      </c>
    </row>
    <row r="191" spans="1:23" x14ac:dyDescent="0.15">
      <c r="A191" s="1">
        <v>2008</v>
      </c>
      <c r="B191" s="5">
        <f>(K104*($E104/366))+(K105*($E105/366))</f>
        <v>0</v>
      </c>
      <c r="C191" s="5">
        <f>(L104*($E104/366))+(L105*($E105/366))</f>
        <v>60</v>
      </c>
      <c r="D191" s="5">
        <f>(M104*($E104/366))+(M105*($E105/366))</f>
        <v>40</v>
      </c>
      <c r="E191" s="17">
        <f t="shared" si="32"/>
        <v>100</v>
      </c>
      <c r="G191" s="1">
        <v>2008</v>
      </c>
      <c r="H191" s="392">
        <f>(O104/$R104*100*($E104/366))+(O105/$R105*100*($E105/366))</f>
        <v>0</v>
      </c>
      <c r="I191" s="392"/>
      <c r="J191" s="392">
        <f>(P104/$R104*100*($E104/366))+(P105/$R105*100*($E105/366))</f>
        <v>63.191153238546605</v>
      </c>
      <c r="K191" s="392"/>
      <c r="L191" s="392">
        <f>(Q104/$R104*100*($E104/366))+(Q105/$R105*100*($E105/366))</f>
        <v>36.808846761453403</v>
      </c>
      <c r="M191" s="392"/>
      <c r="N191" s="363">
        <f t="shared" si="33"/>
        <v>100</v>
      </c>
      <c r="O191" s="363"/>
      <c r="R191" s="1">
        <v>2008</v>
      </c>
      <c r="S191" s="5">
        <f>(O104*($E104/366))+(O105*($E105/366))</f>
        <v>0</v>
      </c>
      <c r="T191" s="5">
        <f>(P104*($E104/366))+(P105*($E105/366))</f>
        <v>40</v>
      </c>
      <c r="U191" s="5">
        <f>(Q104*($E104/366))+(Q105*($E105/366))</f>
        <v>23.3</v>
      </c>
      <c r="V191" s="5"/>
      <c r="W191" s="5">
        <f t="shared" si="34"/>
        <v>63.3</v>
      </c>
    </row>
    <row r="192" spans="1:23" x14ac:dyDescent="0.15">
      <c r="A192" s="1">
        <v>2009</v>
      </c>
      <c r="B192" s="5">
        <f>(K106*($E106/365))+(K107*($E107/365))</f>
        <v>0</v>
      </c>
      <c r="C192" s="5">
        <f>(L106*($E106/365))+(L107*($E107/365))</f>
        <v>60</v>
      </c>
      <c r="D192" s="5">
        <f>(M106*($E106/365))+(M107*($E107/365))</f>
        <v>40</v>
      </c>
      <c r="E192" s="17">
        <f t="shared" si="32"/>
        <v>100</v>
      </c>
      <c r="G192" s="1">
        <v>2009</v>
      </c>
      <c r="H192" s="392">
        <f>(O106/$R106*100*($E106/365))+(O107/$R107*100*($E107/365))</f>
        <v>0</v>
      </c>
      <c r="I192" s="392"/>
      <c r="J192" s="392">
        <f>(P106/$R106*100*($E106/365))+(P107/$R107*100*($E107/365))</f>
        <v>64.710949082513068</v>
      </c>
      <c r="K192" s="392"/>
      <c r="L192" s="392">
        <f>(Q106/$R106*100*($E106/365))+(Q107/$R107*100*($E107/365))</f>
        <v>35.289050917486946</v>
      </c>
      <c r="M192" s="392"/>
      <c r="N192" s="363">
        <f t="shared" si="33"/>
        <v>100.00000000000001</v>
      </c>
      <c r="O192" s="363"/>
      <c r="R192" s="1">
        <v>2009</v>
      </c>
      <c r="S192" s="5">
        <f>(O106*($E106/365))+(O107*($E107/365))</f>
        <v>0</v>
      </c>
      <c r="T192" s="5">
        <f>(P106*($E106/365))+(P107*($E107/365))</f>
        <v>41.46465753424657</v>
      </c>
      <c r="U192" s="5">
        <f>(Q106*($E106/365))+(Q107*($E107/365))</f>
        <v>22.589863013698633</v>
      </c>
      <c r="V192" s="5"/>
      <c r="W192" s="5">
        <f t="shared" si="34"/>
        <v>64.054520547945202</v>
      </c>
    </row>
    <row r="193" spans="1:23" x14ac:dyDescent="0.15">
      <c r="A193" s="1">
        <v>2010</v>
      </c>
      <c r="B193" s="5">
        <f>(K108*($E108/365))+(K109*($E109/365))</f>
        <v>0</v>
      </c>
      <c r="C193" s="5">
        <f>(L108*($E108/365))+(L109*($E109/365))</f>
        <v>60</v>
      </c>
      <c r="D193" s="5">
        <f>(M108*($E108/365))+(M109*($E109/365))</f>
        <v>40</v>
      </c>
      <c r="E193" s="17">
        <f t="shared" si="32"/>
        <v>100</v>
      </c>
      <c r="G193" s="1">
        <v>2010</v>
      </c>
      <c r="H193" s="392">
        <f>(O108/$R108*100*($E108/365))+(O109/$R109*100*($E109/365))</f>
        <v>0</v>
      </c>
      <c r="I193" s="392"/>
      <c r="J193" s="392">
        <f>(P108/$R108*100*($E108/365))+(P109/$R109*100*($E109/365))</f>
        <v>66.615384615384613</v>
      </c>
      <c r="K193" s="392"/>
      <c r="L193" s="392">
        <f>(Q108/$R108*100*($E108/365))+(Q109/$R109*100*($E109/365))</f>
        <v>33.384615384615387</v>
      </c>
      <c r="M193" s="392"/>
      <c r="N193" s="363">
        <f t="shared" si="33"/>
        <v>100</v>
      </c>
      <c r="O193" s="363"/>
      <c r="R193" s="1">
        <v>2010</v>
      </c>
      <c r="S193" s="5">
        <f>(O108*($E108/365))+(O109*($E109/365))</f>
        <v>0</v>
      </c>
      <c r="T193" s="5">
        <f>(P108*($E108/365))+(P109*($E109/365))</f>
        <v>43.3</v>
      </c>
      <c r="U193" s="5">
        <f>(Q108*($E108/365))+(Q109*($E109/365))</f>
        <v>21.7</v>
      </c>
      <c r="V193" s="5"/>
      <c r="W193" s="5">
        <f t="shared" si="34"/>
        <v>65</v>
      </c>
    </row>
    <row r="194" spans="1:23" x14ac:dyDescent="0.15">
      <c r="A194" s="1">
        <v>2011</v>
      </c>
      <c r="B194" s="5">
        <f>(K110*($E110/365))+(K111*($E111/365))</f>
        <v>0</v>
      </c>
      <c r="C194" s="5">
        <f>(L110*($E110/365))+(L111*($E111/365))</f>
        <v>60</v>
      </c>
      <c r="D194" s="5">
        <f>(M110*($E110/365))+(M111*($E111/365))</f>
        <v>40</v>
      </c>
      <c r="E194" s="17">
        <f t="shared" si="32"/>
        <v>100</v>
      </c>
      <c r="G194" s="1">
        <v>2011</v>
      </c>
      <c r="H194" s="392">
        <f>(O110/$R110*100*($E110/365))+(O111/$R111*100*($E111/365))</f>
        <v>0</v>
      </c>
      <c r="I194" s="392"/>
      <c r="J194" s="392">
        <f>(P110/$R110*100*($E110/365))+(P111/$R111*100*($E111/365))</f>
        <v>66.615384615384613</v>
      </c>
      <c r="K194" s="392"/>
      <c r="L194" s="392">
        <f>(Q110/$R110*100*($E110/365))+(Q111/$R111*100*($E111/365))</f>
        <v>33.384615384615387</v>
      </c>
      <c r="M194" s="392"/>
      <c r="N194" s="363">
        <f t="shared" si="33"/>
        <v>100</v>
      </c>
      <c r="O194" s="363"/>
      <c r="R194" s="1">
        <v>2011</v>
      </c>
      <c r="S194" s="5">
        <f>(O110*($E110/365))+(O111*($E111/365))</f>
        <v>0</v>
      </c>
      <c r="T194" s="5">
        <f>(P110*($E110/365))+(P111*($E111/365))</f>
        <v>43.3</v>
      </c>
      <c r="U194" s="5">
        <f>(Q110*($E110/365))+(Q111*($E111/365))</f>
        <v>21.7</v>
      </c>
      <c r="V194" s="5"/>
      <c r="W194" s="5">
        <f t="shared" si="34"/>
        <v>65</v>
      </c>
    </row>
    <row r="195" spans="1:23" x14ac:dyDescent="0.15">
      <c r="A195" s="1">
        <v>2012</v>
      </c>
      <c r="B195" s="5">
        <f>(K112*($E112/366))+(K113*($E113/366))</f>
        <v>0</v>
      </c>
      <c r="C195" s="5">
        <f>(L112*($E112/366))+(L113*($E113/366))</f>
        <v>60</v>
      </c>
      <c r="D195" s="5">
        <f>(M112*($E112/366))+(M113*($E113/366))</f>
        <v>40</v>
      </c>
      <c r="E195" s="17">
        <f t="shared" si="32"/>
        <v>100</v>
      </c>
      <c r="G195" s="1">
        <v>2012</v>
      </c>
      <c r="H195" s="392">
        <f>(O112/$R112*100*($E112/366))+(O113/$R113*100*($E113/366))</f>
        <v>0</v>
      </c>
      <c r="I195" s="392"/>
      <c r="J195" s="392">
        <f>(P112/$R112*100*($E112/366))+(P113/$R113*100*($E113/366))</f>
        <v>66.615384615384613</v>
      </c>
      <c r="K195" s="392"/>
      <c r="L195" s="392">
        <f>(Q112/$R112*100*($E112/366))+(Q113/$R113*100*($E113/366))</f>
        <v>33.384615384615387</v>
      </c>
      <c r="M195" s="392"/>
      <c r="N195" s="363">
        <f t="shared" si="33"/>
        <v>100</v>
      </c>
      <c r="O195" s="363"/>
      <c r="R195" s="1">
        <v>2012</v>
      </c>
      <c r="S195" s="5">
        <f>(O112*($E112/366))+(O113*($E113/366))</f>
        <v>0</v>
      </c>
      <c r="T195" s="5">
        <f>(P112*($E112/366))+(P113*($E113/366))</f>
        <v>43.3</v>
      </c>
      <c r="U195" s="5">
        <f>(Q112*($E112/366))+(Q113*($E113/366))</f>
        <v>21.7</v>
      </c>
      <c r="V195" s="5"/>
      <c r="W195" s="5">
        <f t="shared" si="34"/>
        <v>65</v>
      </c>
    </row>
    <row r="196" spans="1:23" x14ac:dyDescent="0.15">
      <c r="A196" s="1">
        <v>2013</v>
      </c>
      <c r="B196" s="5">
        <f>(K114*($E114/365))+(K115*($E115/365))</f>
        <v>2.9832572298325726</v>
      </c>
      <c r="C196" s="5">
        <f>(L114*($E114/365))+(L115*($E115/365))</f>
        <v>55.397260273972599</v>
      </c>
      <c r="D196" s="5">
        <f>(M114*($E114/365))+(M115*($E115/365))</f>
        <v>41.619482496194827</v>
      </c>
      <c r="E196" s="17">
        <f t="shared" si="32"/>
        <v>100</v>
      </c>
      <c r="G196" s="1">
        <v>2013</v>
      </c>
      <c r="H196" s="392">
        <f>(O114/$R114*100*($E114/365))+(O115/$R115*100*($E115/365))</f>
        <v>3.1173362064542611</v>
      </c>
      <c r="I196" s="392"/>
      <c r="J196" s="392">
        <f>(P114/$R114*100*($E114/365))+(P115/$R115*100*($E115/365))</f>
        <v>61.50516332982086</v>
      </c>
      <c r="K196" s="392"/>
      <c r="L196" s="392">
        <f>(Q114/$R114*100*($E114/365))+(Q115/$R115*100*($E115/365))</f>
        <v>35.377500463724878</v>
      </c>
      <c r="M196" s="392"/>
      <c r="N196" s="363">
        <f>H196+J196+L196</f>
        <v>100</v>
      </c>
      <c r="O196" s="363"/>
      <c r="R196" s="1">
        <v>2013</v>
      </c>
      <c r="S196" s="5">
        <f>(O114*($E114/365))+(O115*($E115/365))</f>
        <v>1.6646575342465755</v>
      </c>
      <c r="T196" s="5">
        <f>(P114*($E114/365))+(P115*($E115/365))</f>
        <v>39.978356164383555</v>
      </c>
      <c r="U196" s="5">
        <f>(Q114*($E114/365))+(Q115*($E115/365))</f>
        <v>22.467123287671232</v>
      </c>
      <c r="W196" s="5">
        <f t="shared" si="34"/>
        <v>64.110136986301356</v>
      </c>
    </row>
    <row r="197" spans="1:23" x14ac:dyDescent="0.15">
      <c r="A197" s="1">
        <v>2014</v>
      </c>
      <c r="B197" s="5">
        <f>(K116*($E116/365))+(K117*($E117/365))</f>
        <v>38.888888888888893</v>
      </c>
      <c r="C197" s="5">
        <f>(L116*($E116/365))+(L117*($E117/365))</f>
        <v>0</v>
      </c>
      <c r="D197" s="5">
        <f>(M116*($E116/365))+(M117*($E117/365))</f>
        <v>61.111111111111114</v>
      </c>
      <c r="E197" s="17">
        <f>B197+C197+D197</f>
        <v>100</v>
      </c>
      <c r="G197" s="1">
        <v>2014</v>
      </c>
      <c r="H197" s="392">
        <f>(O116/$R116*100*($E116/365))+(O117/$R117*100*($E117/365))</f>
        <v>40.636704119850187</v>
      </c>
      <c r="I197" s="392"/>
      <c r="J197" s="392">
        <f>(P116/$R116*100*($E116/365))+(P117/$R117*100*($E117/365))</f>
        <v>0</v>
      </c>
      <c r="K197" s="392"/>
      <c r="L197" s="392">
        <f>(Q116/$R116*100*($E116/365))+(Q117/$R117*100*($E117/365))</f>
        <v>59.363295880149813</v>
      </c>
      <c r="M197" s="392"/>
      <c r="N197" s="363">
        <f>H197+J197+L197</f>
        <v>100</v>
      </c>
      <c r="O197" s="363"/>
      <c r="R197" s="1">
        <v>2014</v>
      </c>
      <c r="S197" s="5">
        <f>(O116*($E116/365))+(O117*($E117/365))</f>
        <v>21.7</v>
      </c>
      <c r="T197" s="5">
        <f>(P116*($E116/365))+(P117*($E117/365))</f>
        <v>0</v>
      </c>
      <c r="U197" s="5">
        <f>(Q116*($E116/365))+(Q117*($E117/365))</f>
        <v>31.7</v>
      </c>
      <c r="W197" s="5">
        <f>S197+T197+U197</f>
        <v>53.4</v>
      </c>
    </row>
    <row r="198" spans="1:23" x14ac:dyDescent="0.15">
      <c r="A198" s="1">
        <v>2015</v>
      </c>
      <c r="B198" s="5">
        <f>(K118*($E118/365))+(K119*($E119/365))</f>
        <v>38.888888888888893</v>
      </c>
      <c r="C198" s="5">
        <f>(L118*($E118/365))+(L119*($E119/365))</f>
        <v>0</v>
      </c>
      <c r="D198" s="5">
        <f>(M118*($E118/365))+(M119*($E119/365))</f>
        <v>61.111111111111114</v>
      </c>
      <c r="E198" s="17">
        <f>B198+C198+D198</f>
        <v>100</v>
      </c>
      <c r="G198" s="1">
        <v>2015</v>
      </c>
      <c r="H198" s="392">
        <f>(O118/$R118*100*($E118/365))+(O119/$R119*100*($E119/365))</f>
        <v>40.636704119850187</v>
      </c>
      <c r="I198" s="392"/>
      <c r="J198" s="392">
        <f>(P118/$R118*100*($E118/365))+(P119/$R119*100*($E119/365))</f>
        <v>0</v>
      </c>
      <c r="K198" s="392"/>
      <c r="L198" s="392">
        <f>(Q118/$R118*100*($E118/365))+(Q119/$R119*100*($E119/365))</f>
        <v>59.363295880149813</v>
      </c>
      <c r="M198" s="392"/>
      <c r="N198" s="363">
        <f>H198+J198+L198</f>
        <v>100</v>
      </c>
      <c r="O198" s="363"/>
      <c r="R198" s="1">
        <v>2015</v>
      </c>
      <c r="S198" s="5">
        <f>(O118*($E118/365))+(O119*($E119/365))</f>
        <v>21.7</v>
      </c>
      <c r="T198" s="5">
        <f>(P118*($E118/365))+(P119*($E119/365))</f>
        <v>0</v>
      </c>
      <c r="U198" s="5">
        <f>(Q118*($E118/365))+(Q119*($E119/365))</f>
        <v>31.7</v>
      </c>
      <c r="W198" s="5">
        <f>S198+T198+U198</f>
        <v>53.4</v>
      </c>
    </row>
    <row r="199" spans="1:23" x14ac:dyDescent="0.15">
      <c r="A199" s="1">
        <v>2016</v>
      </c>
      <c r="B199" s="5">
        <f>(K120*($E120/366))+(K121*($E121/366))</f>
        <v>38.888888888888893</v>
      </c>
      <c r="C199" s="5">
        <f>(L120*($E120/366))+(L121*($E121/366))</f>
        <v>0</v>
      </c>
      <c r="D199" s="5">
        <f>(M120*($E120/366))+(M121*($E121/366))</f>
        <v>61.111111111111114</v>
      </c>
      <c r="E199" s="17">
        <f>B199+C199+D199</f>
        <v>100</v>
      </c>
      <c r="G199" s="1">
        <v>2016</v>
      </c>
      <c r="H199" s="392">
        <f>(O120/$R120*100*($E120/366))+(O121/$R121*100*($E121/366))</f>
        <v>40.636704119850187</v>
      </c>
      <c r="I199" s="392"/>
      <c r="J199" s="392">
        <f>(P120/$R120*100*($E120/366))+(P121/$R121*100*($E121/366))</f>
        <v>0</v>
      </c>
      <c r="K199" s="392"/>
      <c r="L199" s="392">
        <f>(Q120/$R120*100*($E120/366))+(Q121/$R121*100*($E121/366))</f>
        <v>59.363295880149813</v>
      </c>
      <c r="M199" s="392"/>
      <c r="N199" s="363">
        <f>H199+J199+L199</f>
        <v>100</v>
      </c>
      <c r="O199" s="363"/>
      <c r="R199" s="1">
        <v>2016</v>
      </c>
      <c r="S199" s="5">
        <f>(O120*($E120/366))+(O121*($E121/366))</f>
        <v>21.7</v>
      </c>
      <c r="T199" s="5">
        <f>(P120*($E120/366))+(P121*($E121/366))</f>
        <v>0</v>
      </c>
      <c r="U199" s="5">
        <f>(Q120*($E120/366))+(Q121*($E121/366))</f>
        <v>31.7</v>
      </c>
      <c r="W199" s="5">
        <f>S199+T199+U199</f>
        <v>53.4</v>
      </c>
    </row>
    <row r="200" spans="1:23" x14ac:dyDescent="0.15">
      <c r="A200" s="1">
        <v>2017</v>
      </c>
      <c r="B200" s="5">
        <f>(K122*($E122/365))+(K123*($E123/365))</f>
        <v>38.888888888888893</v>
      </c>
      <c r="C200" s="5">
        <f t="shared" ref="C200:D200" si="35">(L122*($E122/365))+(L123*($E123/365))</f>
        <v>0</v>
      </c>
      <c r="D200" s="5">
        <f t="shared" si="35"/>
        <v>61.111111111111114</v>
      </c>
      <c r="E200" s="17">
        <f>B200+C200+D200</f>
        <v>100</v>
      </c>
      <c r="G200" s="1">
        <v>2017</v>
      </c>
      <c r="H200" s="392">
        <f>(O122/$R122*100*($E122/365))+(O123/$R123*100*($E123/365))</f>
        <v>40.636704119850187</v>
      </c>
      <c r="I200" s="392"/>
      <c r="J200" s="392">
        <f>(P122/$R122*100*($E122/365))+(P123/$R123*100*($E123/365))</f>
        <v>0</v>
      </c>
      <c r="K200" s="392"/>
      <c r="L200" s="392">
        <f>(Q122/$R122*100*($E122/365))+(Q123/$R123*100*($E123/365))</f>
        <v>59.363295880149813</v>
      </c>
      <c r="M200" s="392"/>
      <c r="N200" s="363">
        <f>H200+J200+L200</f>
        <v>100</v>
      </c>
      <c r="O200" s="363"/>
      <c r="R200" s="1">
        <v>2017</v>
      </c>
      <c r="S200" s="5">
        <f>(O122*($E122/365))+(O123*($E123/365))</f>
        <v>21.7</v>
      </c>
      <c r="T200" s="5">
        <f t="shared" ref="T200:U200" si="36">(P122*($E122/365))+(P123*($E123/365))</f>
        <v>0</v>
      </c>
      <c r="U200" s="5">
        <f t="shared" si="36"/>
        <v>31.7</v>
      </c>
      <c r="V200" s="5"/>
      <c r="W200" s="5">
        <f>S200+T200+U200</f>
        <v>53.4</v>
      </c>
    </row>
    <row r="201" spans="1:23" x14ac:dyDescent="0.15">
      <c r="A201" s="1">
        <v>2018</v>
      </c>
      <c r="B201" s="5">
        <f>(K124*($E124/365))+(K125*($E125/365))</f>
        <v>38.622974303876802</v>
      </c>
      <c r="C201" s="5">
        <f>(L124*($E124/365))+(L125*($E125/365))</f>
        <v>0</v>
      </c>
      <c r="D201" s="5">
        <f>(M124*($E124/365))+(M125*($E125/365))</f>
        <v>61.377025696123198</v>
      </c>
      <c r="E201" s="17">
        <f t="shared" ref="E201" si="37">B201+C201+D201</f>
        <v>100</v>
      </c>
      <c r="G201" s="1">
        <v>2018</v>
      </c>
      <c r="H201" s="392">
        <f>(O124/$R124*100*($E124/365))+(O125/$R125*100*($E125/365))</f>
        <v>40.497856494291341</v>
      </c>
      <c r="I201" s="392"/>
      <c r="J201" s="392">
        <f>(P124/$R124*100*($E124/365))+(P125/$R125*100*($E125/365))</f>
        <v>0</v>
      </c>
      <c r="K201" s="392"/>
      <c r="L201" s="392">
        <f>(Q124/$R124*100*($E124/365))+(Q125/$R125*100*($E125/365))</f>
        <v>59.502143505708659</v>
      </c>
      <c r="M201" s="392"/>
      <c r="N201" s="363">
        <f t="shared" ref="N201" si="38">H201+J201+L201</f>
        <v>100</v>
      </c>
      <c r="O201" s="363"/>
      <c r="R201" s="1">
        <v>2018</v>
      </c>
      <c r="S201" s="5">
        <f>(O124*($E124/365))+(O125*($E125/365))</f>
        <v>21.574246575342464</v>
      </c>
      <c r="T201" s="5">
        <f>(P124*($E124/365))+(P125*($E125/365))</f>
        <v>0</v>
      </c>
      <c r="U201" s="5">
        <f>(Q124*($E124/365))+(Q125*($E125/365))</f>
        <v>31.692602739726023</v>
      </c>
      <c r="V201" s="5"/>
      <c r="W201" s="5">
        <f t="shared" ref="W201" si="39">S201+T201+U201</f>
        <v>53.266849315068484</v>
      </c>
    </row>
    <row r="202" spans="1:23" x14ac:dyDescent="0.15">
      <c r="A202" s="1">
        <v>2019</v>
      </c>
      <c r="B202" s="5">
        <f>(K126*($E126/365))+(K127*($E127/365))</f>
        <v>35.294117647058826</v>
      </c>
      <c r="C202" s="5">
        <f>(L126*($E126/365))+(L127*($E127/365))</f>
        <v>0</v>
      </c>
      <c r="D202" s="5">
        <f>(M126*($E126/365))+(M127*($E127/365))</f>
        <v>64.705882352941174</v>
      </c>
      <c r="E202" s="17">
        <f t="shared" ref="E202:E203" si="40">B202+C202+D202</f>
        <v>100</v>
      </c>
      <c r="G202" s="1">
        <v>2019</v>
      </c>
      <c r="H202" s="392">
        <f>(O126/$R126*100*($E126/365))+(O127/$R127*100*($E127/365))</f>
        <v>38.759689922480618</v>
      </c>
      <c r="I202" s="392"/>
      <c r="J202" s="392">
        <f>(P126/$R126*100*($E126/365))+(P127/$R127*100*($E127/365))</f>
        <v>0</v>
      </c>
      <c r="K202" s="392"/>
      <c r="L202" s="392">
        <f>(Q126/$R126*100*($E126/365))+(Q127/$R127*100*($E127/365))</f>
        <v>61.240310077519375</v>
      </c>
      <c r="M202" s="392"/>
      <c r="N202" s="363">
        <f t="shared" ref="N202" si="41">H202+J202+L202</f>
        <v>100</v>
      </c>
      <c r="O202" s="363"/>
      <c r="R202" s="1">
        <v>2019</v>
      </c>
      <c r="S202" s="5">
        <f>(O126*($E126/365))+(O127*($E127/365))</f>
        <v>20</v>
      </c>
      <c r="T202" s="5">
        <f>(P126*($E126/365))+(P127*($E127/365))</f>
        <v>0</v>
      </c>
      <c r="U202" s="5">
        <f>(Q126*($E126/365))+(Q127*($E127/365))</f>
        <v>31.6</v>
      </c>
      <c r="V202" s="5"/>
      <c r="W202" s="5">
        <f t="shared" ref="W202:W203" si="42">S202+T202+U202</f>
        <v>51.6</v>
      </c>
    </row>
    <row r="203" spans="1:23" x14ac:dyDescent="0.15">
      <c r="A203" s="1">
        <v>2020</v>
      </c>
      <c r="B203" s="5">
        <f>(K128*($E128/366))+(K129*($E129/366))</f>
        <v>35.294117647058826</v>
      </c>
      <c r="C203" s="5">
        <f>(L128*($E128/366))+(L129*($E129/366))</f>
        <v>0</v>
      </c>
      <c r="D203" s="5">
        <f>(M128*($E128/366))+(M129*($E129/366))</f>
        <v>64.705882352941174</v>
      </c>
      <c r="E203" s="17">
        <f t="shared" si="40"/>
        <v>100</v>
      </c>
      <c r="G203" s="1">
        <v>2020</v>
      </c>
      <c r="H203" s="392">
        <f>(O128/$R128*100*($E128/366))+(O129/$R129*100*($E129/366))</f>
        <v>38.759689922480618</v>
      </c>
      <c r="I203" s="392"/>
      <c r="J203" s="392">
        <f>(P128/$R128*100*($E128/366))+(P129/$R129*100*($E129/366))</f>
        <v>0</v>
      </c>
      <c r="K203" s="392"/>
      <c r="L203" s="392">
        <f>(Q128/$R128*100*($E128/366))+(Q129/$R129*100*($E129/366))</f>
        <v>61.240310077519375</v>
      </c>
      <c r="M203" s="392"/>
      <c r="N203" s="363">
        <f t="shared" ref="N203" si="43">H203+J203+L203</f>
        <v>100</v>
      </c>
      <c r="O203" s="363"/>
      <c r="R203" s="1">
        <v>2020</v>
      </c>
      <c r="S203" s="5">
        <f>(O128*($E128/366))+(O129*($E129/366))</f>
        <v>20</v>
      </c>
      <c r="T203" s="5">
        <f>(P128*($E128/366))+(P129*($E129/366))</f>
        <v>0</v>
      </c>
      <c r="U203" s="5">
        <f>(Q128*($E128/366))+(Q129*($E129/366))</f>
        <v>31.6</v>
      </c>
      <c r="W203" s="5">
        <f t="shared" si="42"/>
        <v>51.6</v>
      </c>
    </row>
    <row r="204" spans="1:23" x14ac:dyDescent="0.15">
      <c r="A204" s="1">
        <v>2021</v>
      </c>
      <c r="B204" s="5">
        <f>(K130*($E130/365))+(K131*($E131/365))</f>
        <v>35.294117647058826</v>
      </c>
      <c r="C204" s="5">
        <f>(L130*($E130/365))+(L131*($E131/365))</f>
        <v>0</v>
      </c>
      <c r="D204" s="5">
        <f>(M130*($E130/365))+(M131*($E131/365))</f>
        <v>64.705882352941174</v>
      </c>
      <c r="E204" s="17">
        <f t="shared" ref="E204" si="44">B204+C204+D204</f>
        <v>100</v>
      </c>
      <c r="G204" s="1">
        <v>2021</v>
      </c>
      <c r="H204" s="392">
        <f>(O130/$R130*100*($E130/365))+(O131/$R131*100*($E131/365))</f>
        <v>38.759689922480618</v>
      </c>
      <c r="I204" s="392"/>
      <c r="J204" s="392">
        <f>(P130/$R130*100*($E130/365))+(P131/$R131*100*($E131/365))</f>
        <v>0</v>
      </c>
      <c r="K204" s="392"/>
      <c r="L204" s="392">
        <f>(Q130/$R130*100*($E130/365))+(Q131/$R131*100*($E131/365))</f>
        <v>61.240310077519375</v>
      </c>
      <c r="M204" s="392"/>
      <c r="N204" s="363">
        <f t="shared" ref="N204" si="45">H204+J204+L204</f>
        <v>100</v>
      </c>
      <c r="O204" s="363"/>
      <c r="R204" s="1">
        <v>2021</v>
      </c>
      <c r="S204" s="5">
        <f>(O130*($E130/365))+(O131*($E131/365))</f>
        <v>20</v>
      </c>
      <c r="T204" s="5">
        <f>(P130*($E130/365))+(P131*($E131/365))</f>
        <v>0</v>
      </c>
      <c r="U204" s="5">
        <f>(Q130*($E130/365))+(Q131*($E131/365))</f>
        <v>31.6</v>
      </c>
      <c r="W204" s="5">
        <f t="shared" ref="W204" si="46">S204+T204+U204</f>
        <v>51.6</v>
      </c>
    </row>
    <row r="205" spans="1:23" x14ac:dyDescent="0.15">
      <c r="A205" s="1">
        <v>2022</v>
      </c>
      <c r="B205" s="5">
        <f>(K133*($E133/365))+(K132*($E132/365))</f>
        <v>35.294117647058826</v>
      </c>
      <c r="C205" s="5">
        <f>(L133*($E133/365))+(L132*($E132/365))</f>
        <v>0</v>
      </c>
      <c r="D205" s="5">
        <f>(M133*($E133/365))+(M132*($E132/365))</f>
        <v>64.705882352941174</v>
      </c>
      <c r="E205" s="17">
        <f t="shared" ref="E205" si="47">B205+C205+D205</f>
        <v>100</v>
      </c>
      <c r="G205" s="1">
        <v>2022</v>
      </c>
      <c r="H205" s="392">
        <f>(O133/$R133*100*($E133/365))+(O132/$R132*100*($E132/365))</f>
        <v>38.759689922480618</v>
      </c>
      <c r="I205" s="392"/>
      <c r="J205" s="392">
        <f>(P133/$R133*100*($E133/365))+(P132/$R132*100*($E132/365))</f>
        <v>0</v>
      </c>
      <c r="K205" s="392"/>
      <c r="L205" s="392">
        <f>(Q133/$R133*100*($E133/365))+(Q132/$R132*100*($E132/365))</f>
        <v>61.240310077519375</v>
      </c>
      <c r="M205" s="392"/>
      <c r="N205" s="363">
        <f t="shared" ref="N205" si="48">H205+J205+L205</f>
        <v>100</v>
      </c>
      <c r="O205" s="363"/>
      <c r="R205" s="1">
        <v>2022</v>
      </c>
      <c r="S205" s="5">
        <f>(O133*($E133/365))+(O132*($E132/365))</f>
        <v>20</v>
      </c>
      <c r="T205" s="5">
        <f>(P133*($E133/365))+(P132*($E132/365))</f>
        <v>0</v>
      </c>
      <c r="U205" s="5">
        <f>(Q133*($E133/365))+(Q132*($E132/365))</f>
        <v>31.6</v>
      </c>
      <c r="W205" s="5">
        <f t="shared" ref="W205" si="49">S205+T205+U205</f>
        <v>51.6</v>
      </c>
    </row>
  </sheetData>
  <mergeCells count="410">
    <mergeCell ref="H204:I204"/>
    <mergeCell ref="J204:K204"/>
    <mergeCell ref="L204:M204"/>
    <mergeCell ref="N204:O204"/>
    <mergeCell ref="C128:D128"/>
    <mergeCell ref="C129:D129"/>
    <mergeCell ref="H203:I203"/>
    <mergeCell ref="J203:K203"/>
    <mergeCell ref="L203:M203"/>
    <mergeCell ref="N203:O203"/>
    <mergeCell ref="J180:K180"/>
    <mergeCell ref="J181:K181"/>
    <mergeCell ref="J182:K182"/>
    <mergeCell ref="J171:K171"/>
    <mergeCell ref="J172:K172"/>
    <mergeCell ref="J173:K173"/>
    <mergeCell ref="J174:K174"/>
    <mergeCell ref="J175:K175"/>
    <mergeCell ref="J176:K176"/>
    <mergeCell ref="H189:I189"/>
    <mergeCell ref="H190:I190"/>
    <mergeCell ref="H191:I191"/>
    <mergeCell ref="H201:I201"/>
    <mergeCell ref="J201:K201"/>
    <mergeCell ref="AX4:BA4"/>
    <mergeCell ref="H195:I195"/>
    <mergeCell ref="N195:O195"/>
    <mergeCell ref="N189:O189"/>
    <mergeCell ref="N190:O190"/>
    <mergeCell ref="N191:O191"/>
    <mergeCell ref="N192:O192"/>
    <mergeCell ref="N193:O193"/>
    <mergeCell ref="N194:O194"/>
    <mergeCell ref="L192:M192"/>
    <mergeCell ref="L193:M193"/>
    <mergeCell ref="N183:O183"/>
    <mergeCell ref="N184:O184"/>
    <mergeCell ref="N185:O185"/>
    <mergeCell ref="N186:O186"/>
    <mergeCell ref="N187:O187"/>
    <mergeCell ref="N188:O188"/>
    <mergeCell ref="N182:O182"/>
    <mergeCell ref="L194:M194"/>
    <mergeCell ref="L188:M188"/>
    <mergeCell ref="L189:M189"/>
    <mergeCell ref="N177:O177"/>
    <mergeCell ref="N178:O178"/>
    <mergeCell ref="N179:O179"/>
    <mergeCell ref="L201:M201"/>
    <mergeCell ref="N201:O201"/>
    <mergeCell ref="J195:K195"/>
    <mergeCell ref="L175:M175"/>
    <mergeCell ref="L176:M176"/>
    <mergeCell ref="L177:M177"/>
    <mergeCell ref="L178:M178"/>
    <mergeCell ref="L179:M179"/>
    <mergeCell ref="J189:K189"/>
    <mergeCell ref="J190:K190"/>
    <mergeCell ref="J191:K191"/>
    <mergeCell ref="J192:K192"/>
    <mergeCell ref="J193:K193"/>
    <mergeCell ref="J194:K194"/>
    <mergeCell ref="J186:K186"/>
    <mergeCell ref="J187:K187"/>
    <mergeCell ref="J188:K188"/>
    <mergeCell ref="J177:K177"/>
    <mergeCell ref="J178:K178"/>
    <mergeCell ref="J179:K179"/>
    <mergeCell ref="J183:K183"/>
    <mergeCell ref="J184:K184"/>
    <mergeCell ref="J185:K185"/>
    <mergeCell ref="N196:O196"/>
    <mergeCell ref="AT4:AW4"/>
    <mergeCell ref="L195:M195"/>
    <mergeCell ref="N171:O171"/>
    <mergeCell ref="N172:O172"/>
    <mergeCell ref="N173:O173"/>
    <mergeCell ref="N174:O174"/>
    <mergeCell ref="N175:O175"/>
    <mergeCell ref="N176:O176"/>
    <mergeCell ref="L186:M186"/>
    <mergeCell ref="L187:M187"/>
    <mergeCell ref="L190:M190"/>
    <mergeCell ref="L191:M191"/>
    <mergeCell ref="L180:M180"/>
    <mergeCell ref="L181:M181"/>
    <mergeCell ref="L182:M182"/>
    <mergeCell ref="L183:M183"/>
    <mergeCell ref="L184:M184"/>
    <mergeCell ref="L185:M185"/>
    <mergeCell ref="N180:O180"/>
    <mergeCell ref="N181:O181"/>
    <mergeCell ref="L171:M171"/>
    <mergeCell ref="L172:M172"/>
    <mergeCell ref="L173:M173"/>
    <mergeCell ref="L174:M174"/>
    <mergeCell ref="H177:I177"/>
    <mergeCell ref="H178:I178"/>
    <mergeCell ref="H179:I179"/>
    <mergeCell ref="H180:I180"/>
    <mergeCell ref="H181:I181"/>
    <mergeCell ref="H182:I182"/>
    <mergeCell ref="H171:I171"/>
    <mergeCell ref="H172:I172"/>
    <mergeCell ref="H173:I173"/>
    <mergeCell ref="H174:I174"/>
    <mergeCell ref="H175:I175"/>
    <mergeCell ref="H176:I176"/>
    <mergeCell ref="H192:I192"/>
    <mergeCell ref="H193:I193"/>
    <mergeCell ref="H194:I194"/>
    <mergeCell ref="H183:I183"/>
    <mergeCell ref="H184:I184"/>
    <mergeCell ref="H185:I185"/>
    <mergeCell ref="H186:I186"/>
    <mergeCell ref="H187:I187"/>
    <mergeCell ref="H188:I188"/>
    <mergeCell ref="J169:K169"/>
    <mergeCell ref="L169:M169"/>
    <mergeCell ref="N169:O169"/>
    <mergeCell ref="H170:I170"/>
    <mergeCell ref="J170:K170"/>
    <mergeCell ref="L170:M170"/>
    <mergeCell ref="N170:O170"/>
    <mergeCell ref="H167:I167"/>
    <mergeCell ref="J167:K167"/>
    <mergeCell ref="L167:M167"/>
    <mergeCell ref="N167:O167"/>
    <mergeCell ref="H168:I168"/>
    <mergeCell ref="J168:K168"/>
    <mergeCell ref="L168:M168"/>
    <mergeCell ref="N168:O168"/>
    <mergeCell ref="N165:O165"/>
    <mergeCell ref="H166:I166"/>
    <mergeCell ref="J166:K166"/>
    <mergeCell ref="L166:M166"/>
    <mergeCell ref="N166:O166"/>
    <mergeCell ref="H163:I163"/>
    <mergeCell ref="J163:K163"/>
    <mergeCell ref="L163:M163"/>
    <mergeCell ref="N163:O163"/>
    <mergeCell ref="H164:I164"/>
    <mergeCell ref="J164:K164"/>
    <mergeCell ref="L164:M164"/>
    <mergeCell ref="N164:O164"/>
    <mergeCell ref="N161:O161"/>
    <mergeCell ref="H162:I162"/>
    <mergeCell ref="J162:K162"/>
    <mergeCell ref="L162:M162"/>
    <mergeCell ref="N162:O162"/>
    <mergeCell ref="H159:I159"/>
    <mergeCell ref="J159:K159"/>
    <mergeCell ref="L159:M159"/>
    <mergeCell ref="N159:O159"/>
    <mergeCell ref="H160:I160"/>
    <mergeCell ref="J160:K160"/>
    <mergeCell ref="L160:M160"/>
    <mergeCell ref="N160:O160"/>
    <mergeCell ref="R139:W139"/>
    <mergeCell ref="H141:I141"/>
    <mergeCell ref="J141:K141"/>
    <mergeCell ref="L141:M141"/>
    <mergeCell ref="N141:O141"/>
    <mergeCell ref="H143:I143"/>
    <mergeCell ref="J143:K143"/>
    <mergeCell ref="L143:M143"/>
    <mergeCell ref="N143:O143"/>
    <mergeCell ref="H142:I142"/>
    <mergeCell ref="N142:O142"/>
    <mergeCell ref="G3:M3"/>
    <mergeCell ref="O3:Q3"/>
    <mergeCell ref="C9:D9"/>
    <mergeCell ref="C10:D10"/>
    <mergeCell ref="A4:A5"/>
    <mergeCell ref="B4:B5"/>
    <mergeCell ref="C4:D5"/>
    <mergeCell ref="E4:E5"/>
    <mergeCell ref="F4:F5"/>
    <mergeCell ref="G4:J4"/>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105:D105"/>
    <mergeCell ref="C106:D106"/>
    <mergeCell ref="C107:D107"/>
    <mergeCell ref="C108:D108"/>
    <mergeCell ref="C85:D85"/>
    <mergeCell ref="C86:D86"/>
    <mergeCell ref="C87:D87"/>
    <mergeCell ref="C88:D88"/>
    <mergeCell ref="C89:D89"/>
    <mergeCell ref="C90:D90"/>
    <mergeCell ref="C91:D91"/>
    <mergeCell ref="C92:D92"/>
    <mergeCell ref="C93:D93"/>
    <mergeCell ref="C116:D116"/>
    <mergeCell ref="C117:D117"/>
    <mergeCell ref="C120:D120"/>
    <mergeCell ref="C121:D121"/>
    <mergeCell ref="C124:D124"/>
    <mergeCell ref="C125:D125"/>
    <mergeCell ref="C130:D130"/>
    <mergeCell ref="C131:D131"/>
    <mergeCell ref="C94:D94"/>
    <mergeCell ref="C95:D95"/>
    <mergeCell ref="C96:D96"/>
    <mergeCell ref="C109:D109"/>
    <mergeCell ref="C97:D97"/>
    <mergeCell ref="C98:D98"/>
    <mergeCell ref="C99:D99"/>
    <mergeCell ref="C100:D100"/>
    <mergeCell ref="C101:D101"/>
    <mergeCell ref="C102:D102"/>
    <mergeCell ref="C110:D110"/>
    <mergeCell ref="C103:D103"/>
    <mergeCell ref="C104:D104"/>
    <mergeCell ref="C111:D111"/>
    <mergeCell ref="C112:D112"/>
    <mergeCell ref="C113:D113"/>
    <mergeCell ref="N144:O144"/>
    <mergeCell ref="H145:I145"/>
    <mergeCell ref="N145:O145"/>
    <mergeCell ref="N146:O146"/>
    <mergeCell ref="C114:D114"/>
    <mergeCell ref="C115:D115"/>
    <mergeCell ref="H196:I196"/>
    <mergeCell ref="J196:K196"/>
    <mergeCell ref="L196:M196"/>
    <mergeCell ref="J142:K142"/>
    <mergeCell ref="L142:M142"/>
    <mergeCell ref="H144:I144"/>
    <mergeCell ref="J144:K144"/>
    <mergeCell ref="L144:M144"/>
    <mergeCell ref="J145:K145"/>
    <mergeCell ref="L145:M145"/>
    <mergeCell ref="H146:I146"/>
    <mergeCell ref="J146:K146"/>
    <mergeCell ref="L146:M146"/>
    <mergeCell ref="H149:I149"/>
    <mergeCell ref="J149:K149"/>
    <mergeCell ref="L149:M149"/>
    <mergeCell ref="J154:K154"/>
    <mergeCell ref="L154:M154"/>
    <mergeCell ref="N154:O154"/>
    <mergeCell ref="H151:I151"/>
    <mergeCell ref="N158:O158"/>
    <mergeCell ref="H155:I155"/>
    <mergeCell ref="C118:D118"/>
    <mergeCell ref="C119:D119"/>
    <mergeCell ref="H198:I198"/>
    <mergeCell ref="J198:K198"/>
    <mergeCell ref="L198:M198"/>
    <mergeCell ref="N198:O198"/>
    <mergeCell ref="H197:I197"/>
    <mergeCell ref="J197:K197"/>
    <mergeCell ref="L197:M197"/>
    <mergeCell ref="N197:O197"/>
    <mergeCell ref="J151:K151"/>
    <mergeCell ref="L151:M151"/>
    <mergeCell ref="N151:O151"/>
    <mergeCell ref="H152:I152"/>
    <mergeCell ref="J152:K152"/>
    <mergeCell ref="L152:M152"/>
    <mergeCell ref="N152:O152"/>
    <mergeCell ref="H157:I157"/>
    <mergeCell ref="L157:M157"/>
    <mergeCell ref="N157:O157"/>
    <mergeCell ref="H154:I154"/>
    <mergeCell ref="H158:I158"/>
    <mergeCell ref="J158:K158"/>
    <mergeCell ref="L158:M158"/>
    <mergeCell ref="H161:I161"/>
    <mergeCell ref="C122:D122"/>
    <mergeCell ref="C123:D123"/>
    <mergeCell ref="H199:I199"/>
    <mergeCell ref="J199:K199"/>
    <mergeCell ref="L199:M199"/>
    <mergeCell ref="C132:D132"/>
    <mergeCell ref="C133:D133"/>
    <mergeCell ref="H150:I150"/>
    <mergeCell ref="J150:K150"/>
    <mergeCell ref="L150:M150"/>
    <mergeCell ref="H147:I147"/>
    <mergeCell ref="J147:K147"/>
    <mergeCell ref="L147:M147"/>
    <mergeCell ref="J161:K161"/>
    <mergeCell ref="L161:M161"/>
    <mergeCell ref="H165:I165"/>
    <mergeCell ref="J165:K165"/>
    <mergeCell ref="L165:M165"/>
    <mergeCell ref="H169:I169"/>
    <mergeCell ref="N150:O150"/>
    <mergeCell ref="N147:O147"/>
    <mergeCell ref="H148:I148"/>
    <mergeCell ref="J148:K148"/>
    <mergeCell ref="L148:M148"/>
    <mergeCell ref="N148:O148"/>
    <mergeCell ref="H153:I153"/>
    <mergeCell ref="J153:K153"/>
    <mergeCell ref="L153:M153"/>
    <mergeCell ref="N153:O153"/>
    <mergeCell ref="H205:I205"/>
    <mergeCell ref="J205:K205"/>
    <mergeCell ref="L205:M205"/>
    <mergeCell ref="N205:O205"/>
    <mergeCell ref="C126:D126"/>
    <mergeCell ref="C127:D127"/>
    <mergeCell ref="H202:I202"/>
    <mergeCell ref="J202:K202"/>
    <mergeCell ref="L202:M202"/>
    <mergeCell ref="N202:O202"/>
    <mergeCell ref="H200:I200"/>
    <mergeCell ref="J200:K200"/>
    <mergeCell ref="L200:M200"/>
    <mergeCell ref="N200:O200"/>
    <mergeCell ref="J155:K155"/>
    <mergeCell ref="L155:M155"/>
    <mergeCell ref="N155:O155"/>
    <mergeCell ref="H156:I156"/>
    <mergeCell ref="J156:K156"/>
    <mergeCell ref="L156:M156"/>
    <mergeCell ref="N156:O156"/>
    <mergeCell ref="J157:K157"/>
    <mergeCell ref="N199:O199"/>
    <mergeCell ref="N149:O149"/>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BA183"/>
  <sheetViews>
    <sheetView zoomScale="115" zoomScaleNormal="120" workbookViewId="0">
      <pane xSplit="1" ySplit="5" topLeftCell="AP109"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62</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x14ac:dyDescent="0.15">
      <c r="A6" s="170">
        <v>1966</v>
      </c>
      <c r="B6" s="281"/>
      <c r="C6" s="395"/>
      <c r="D6" s="395"/>
      <c r="E6" s="170">
        <v>90</v>
      </c>
      <c r="F6" s="170"/>
      <c r="G6" s="232"/>
      <c r="H6" s="170"/>
      <c r="I6" s="170"/>
      <c r="J6" s="240"/>
      <c r="K6" s="213"/>
      <c r="L6" s="213"/>
      <c r="M6" s="213"/>
      <c r="N6" s="234"/>
      <c r="O6" s="212"/>
      <c r="P6" s="213"/>
      <c r="Q6" s="213"/>
      <c r="R6" s="214"/>
      <c r="S6" s="170"/>
      <c r="T6" s="283"/>
      <c r="U6" s="281"/>
      <c r="V6" s="177"/>
      <c r="W6" s="170"/>
      <c r="X6" s="170"/>
      <c r="Y6" s="247"/>
      <c r="Z6" s="170"/>
      <c r="AA6" s="170"/>
      <c r="AB6" s="170"/>
      <c r="AC6" s="170"/>
      <c r="AD6" s="177"/>
      <c r="AE6" s="170"/>
      <c r="AF6" s="170"/>
      <c r="AG6" s="178"/>
      <c r="AH6" s="170"/>
      <c r="AI6" s="170"/>
      <c r="AJ6" s="170"/>
      <c r="AK6" s="170"/>
      <c r="AL6" s="177"/>
      <c r="AM6" s="170"/>
      <c r="AN6" s="170"/>
      <c r="AO6" s="178"/>
      <c r="AP6" s="177"/>
      <c r="AQ6" s="170"/>
      <c r="AR6" s="170"/>
      <c r="AS6" s="178"/>
      <c r="AT6" s="170"/>
      <c r="AU6" s="170"/>
      <c r="AV6" s="170"/>
      <c r="AW6" s="178"/>
      <c r="AX6" s="170"/>
      <c r="AY6" s="170"/>
      <c r="AZ6" s="170"/>
      <c r="BA6" s="179"/>
    </row>
    <row r="7" spans="1:53" x14ac:dyDescent="0.15">
      <c r="A7" s="28">
        <v>1966</v>
      </c>
      <c r="B7" s="293">
        <v>24198</v>
      </c>
      <c r="C7" s="394" t="s">
        <v>1269</v>
      </c>
      <c r="D7" s="394"/>
      <c r="E7" s="28">
        <f>365-E6</f>
        <v>275</v>
      </c>
      <c r="F7" s="28">
        <v>1</v>
      </c>
      <c r="G7" s="65"/>
      <c r="H7" s="28">
        <v>8</v>
      </c>
      <c r="I7" s="28"/>
      <c r="J7" s="72">
        <v>8</v>
      </c>
      <c r="K7" s="46">
        <f t="shared" ref="K7:K38" si="0">G7/J7*100</f>
        <v>0</v>
      </c>
      <c r="L7" s="46">
        <f t="shared" ref="L7:L38" si="1">H7/J7*100</f>
        <v>100</v>
      </c>
      <c r="M7" s="46">
        <f t="shared" ref="M7:M38" si="2">I7/J7*100</f>
        <v>0</v>
      </c>
      <c r="N7" s="67">
        <f t="shared" ref="N7:N38" si="3">K7+L7+M7</f>
        <v>100</v>
      </c>
      <c r="O7" s="45"/>
      <c r="P7" s="46">
        <v>56</v>
      </c>
      <c r="Q7" s="46"/>
      <c r="R7" s="47">
        <f t="shared" ref="R7:R38" si="4">O7+P7+Q7</f>
        <v>56</v>
      </c>
      <c r="S7" s="28">
        <v>1</v>
      </c>
      <c r="T7" s="284">
        <v>24194</v>
      </c>
      <c r="U7" s="293"/>
      <c r="V7" s="37" t="s">
        <v>981</v>
      </c>
      <c r="W7" s="28" t="s">
        <v>17</v>
      </c>
      <c r="X7" s="28" t="s">
        <v>18</v>
      </c>
      <c r="Y7" s="87">
        <v>56</v>
      </c>
      <c r="Z7" s="28"/>
      <c r="AA7" s="28"/>
      <c r="AB7" s="28"/>
      <c r="AC7" s="28"/>
      <c r="AD7" s="37"/>
      <c r="AE7" s="28"/>
      <c r="AF7" s="28"/>
      <c r="AG7" s="38"/>
      <c r="AH7" s="28"/>
      <c r="AI7" s="28"/>
      <c r="AJ7" s="28"/>
      <c r="AK7" s="28"/>
      <c r="AL7" s="37"/>
      <c r="AM7" s="28"/>
      <c r="AN7" s="28"/>
      <c r="AO7" s="38"/>
      <c r="AP7" s="37"/>
      <c r="AQ7" s="28"/>
      <c r="AR7" s="28"/>
      <c r="AS7" s="38"/>
      <c r="AT7" s="28"/>
      <c r="AU7" s="28"/>
      <c r="AV7" s="28"/>
      <c r="AW7" s="38"/>
      <c r="AX7" s="28"/>
      <c r="AY7" s="28"/>
      <c r="AZ7" s="28"/>
      <c r="BA7" s="39"/>
    </row>
    <row r="8" spans="1:53" x14ac:dyDescent="0.15">
      <c r="A8" s="28">
        <v>1967</v>
      </c>
      <c r="B8" s="293"/>
      <c r="C8" s="394" t="s">
        <v>1269</v>
      </c>
      <c r="D8" s="394"/>
      <c r="E8" s="28">
        <v>0</v>
      </c>
      <c r="F8" s="28"/>
      <c r="G8" s="65"/>
      <c r="H8" s="28">
        <v>8</v>
      </c>
      <c r="I8" s="28"/>
      <c r="J8" s="72">
        <v>8</v>
      </c>
      <c r="K8" s="46">
        <f t="shared" si="0"/>
        <v>0</v>
      </c>
      <c r="L8" s="46">
        <f t="shared" si="1"/>
        <v>100</v>
      </c>
      <c r="M8" s="46">
        <f t="shared" si="2"/>
        <v>0</v>
      </c>
      <c r="N8" s="67">
        <f t="shared" si="3"/>
        <v>100</v>
      </c>
      <c r="O8" s="45"/>
      <c r="P8" s="46">
        <v>56</v>
      </c>
      <c r="Q8" s="46"/>
      <c r="R8" s="47">
        <f t="shared" si="4"/>
        <v>56</v>
      </c>
      <c r="S8" s="28">
        <v>1</v>
      </c>
      <c r="T8" s="284"/>
      <c r="U8" s="293"/>
      <c r="V8" s="37" t="s">
        <v>981</v>
      </c>
      <c r="W8" s="28" t="s">
        <v>17</v>
      </c>
      <c r="X8" s="28" t="s">
        <v>18</v>
      </c>
      <c r="Y8" s="87">
        <v>56</v>
      </c>
      <c r="Z8" s="28"/>
      <c r="AA8" s="28"/>
      <c r="AB8" s="28"/>
      <c r="AC8" s="28"/>
      <c r="AD8" s="37"/>
      <c r="AE8" s="28"/>
      <c r="AF8" s="28"/>
      <c r="AG8" s="38"/>
      <c r="AH8" s="28"/>
      <c r="AI8" s="28"/>
      <c r="AJ8" s="28"/>
      <c r="AK8" s="28"/>
      <c r="AL8" s="37"/>
      <c r="AM8" s="28"/>
      <c r="AN8" s="28"/>
      <c r="AO8" s="38"/>
      <c r="AP8" s="37"/>
      <c r="AQ8" s="28"/>
      <c r="AR8" s="28"/>
      <c r="AS8" s="38"/>
      <c r="AT8" s="28"/>
      <c r="AU8" s="28"/>
      <c r="AV8" s="28"/>
      <c r="AW8" s="38"/>
      <c r="AX8" s="28"/>
      <c r="AY8" s="28"/>
      <c r="AZ8" s="28"/>
      <c r="BA8" s="39"/>
    </row>
    <row r="9" spans="1:53" x14ac:dyDescent="0.15">
      <c r="A9" s="28">
        <v>1967</v>
      </c>
      <c r="B9" s="293"/>
      <c r="C9" s="394" t="s">
        <v>1269</v>
      </c>
      <c r="D9" s="394"/>
      <c r="E9" s="28">
        <v>365</v>
      </c>
      <c r="F9" s="28"/>
      <c r="G9" s="65"/>
      <c r="H9" s="28">
        <v>8</v>
      </c>
      <c r="I9" s="28"/>
      <c r="J9" s="72">
        <v>8</v>
      </c>
      <c r="K9" s="46">
        <f t="shared" si="0"/>
        <v>0</v>
      </c>
      <c r="L9" s="46">
        <f t="shared" si="1"/>
        <v>100</v>
      </c>
      <c r="M9" s="46">
        <f t="shared" si="2"/>
        <v>0</v>
      </c>
      <c r="N9" s="67">
        <f t="shared" si="3"/>
        <v>100</v>
      </c>
      <c r="O9" s="45"/>
      <c r="P9" s="46">
        <v>56</v>
      </c>
      <c r="Q9" s="46"/>
      <c r="R9" s="47">
        <f t="shared" si="4"/>
        <v>56</v>
      </c>
      <c r="S9" s="28">
        <v>1</v>
      </c>
      <c r="T9" s="284"/>
      <c r="U9" s="293"/>
      <c r="V9" s="37" t="s">
        <v>981</v>
      </c>
      <c r="W9" s="28" t="s">
        <v>17</v>
      </c>
      <c r="X9" s="28" t="s">
        <v>18</v>
      </c>
      <c r="Y9" s="87">
        <v>56</v>
      </c>
      <c r="Z9" s="28"/>
      <c r="AA9" s="28"/>
      <c r="AB9" s="28"/>
      <c r="AC9" s="28"/>
      <c r="AD9" s="37"/>
      <c r="AE9" s="28"/>
      <c r="AF9" s="28"/>
      <c r="AG9" s="38"/>
      <c r="AH9" s="28"/>
      <c r="AI9" s="28"/>
      <c r="AJ9" s="28"/>
      <c r="AK9" s="28"/>
      <c r="AL9" s="37"/>
      <c r="AM9" s="28"/>
      <c r="AN9" s="28"/>
      <c r="AO9" s="38"/>
      <c r="AP9" s="37"/>
      <c r="AQ9" s="28"/>
      <c r="AR9" s="28"/>
      <c r="AS9" s="38"/>
      <c r="AT9" s="28"/>
      <c r="AU9" s="28"/>
      <c r="AV9" s="28"/>
      <c r="AW9" s="38"/>
      <c r="AX9" s="28"/>
      <c r="AY9" s="28"/>
      <c r="AZ9" s="28"/>
      <c r="BA9" s="39"/>
    </row>
    <row r="10" spans="1:53" x14ac:dyDescent="0.15">
      <c r="A10" s="28">
        <v>1968</v>
      </c>
      <c r="B10" s="293"/>
      <c r="C10" s="394" t="s">
        <v>1269</v>
      </c>
      <c r="D10" s="394"/>
      <c r="E10" s="28">
        <v>0</v>
      </c>
      <c r="F10" s="28"/>
      <c r="G10" s="65"/>
      <c r="H10" s="28">
        <v>8</v>
      </c>
      <c r="I10" s="28"/>
      <c r="J10" s="72">
        <v>8</v>
      </c>
      <c r="K10" s="46">
        <f t="shared" si="0"/>
        <v>0</v>
      </c>
      <c r="L10" s="46">
        <f t="shared" si="1"/>
        <v>100</v>
      </c>
      <c r="M10" s="46">
        <f t="shared" si="2"/>
        <v>0</v>
      </c>
      <c r="N10" s="67">
        <f t="shared" si="3"/>
        <v>100</v>
      </c>
      <c r="O10" s="45"/>
      <c r="P10" s="46">
        <v>56</v>
      </c>
      <c r="Q10" s="46"/>
      <c r="R10" s="47">
        <f t="shared" si="4"/>
        <v>56</v>
      </c>
      <c r="S10" s="28">
        <v>1</v>
      </c>
      <c r="T10" s="284"/>
      <c r="U10" s="293"/>
      <c r="V10" s="37" t="s">
        <v>981</v>
      </c>
      <c r="W10" s="28" t="s">
        <v>17</v>
      </c>
      <c r="X10" s="28" t="s">
        <v>18</v>
      </c>
      <c r="Y10" s="87">
        <v>56</v>
      </c>
      <c r="Z10" s="28"/>
      <c r="AA10" s="28"/>
      <c r="AB10" s="28"/>
      <c r="AC10" s="28"/>
      <c r="AD10" s="37"/>
      <c r="AE10" s="28"/>
      <c r="AF10" s="28"/>
      <c r="AG10" s="38"/>
      <c r="AH10" s="28"/>
      <c r="AI10" s="28"/>
      <c r="AJ10" s="28"/>
      <c r="AK10" s="28"/>
      <c r="AL10" s="37"/>
      <c r="AM10" s="28"/>
      <c r="AN10" s="28"/>
      <c r="AO10" s="38"/>
      <c r="AP10" s="37"/>
      <c r="AQ10" s="28"/>
      <c r="AR10" s="28"/>
      <c r="AS10" s="38"/>
      <c r="AT10" s="28"/>
      <c r="AU10" s="28"/>
      <c r="AV10" s="28"/>
      <c r="AW10" s="38"/>
      <c r="AX10" s="28"/>
      <c r="AY10" s="28"/>
      <c r="AZ10" s="28"/>
      <c r="BA10" s="39"/>
    </row>
    <row r="11" spans="1:53" x14ac:dyDescent="0.15">
      <c r="A11" s="28">
        <v>1968</v>
      </c>
      <c r="B11" s="293"/>
      <c r="C11" s="394" t="s">
        <v>1269</v>
      </c>
      <c r="D11" s="394"/>
      <c r="E11" s="28">
        <v>366</v>
      </c>
      <c r="F11" s="28"/>
      <c r="G11" s="65"/>
      <c r="H11" s="28">
        <v>8</v>
      </c>
      <c r="I11" s="28"/>
      <c r="J11" s="72">
        <v>8</v>
      </c>
      <c r="K11" s="46">
        <f t="shared" si="0"/>
        <v>0</v>
      </c>
      <c r="L11" s="46">
        <f t="shared" si="1"/>
        <v>100</v>
      </c>
      <c r="M11" s="46">
        <f t="shared" si="2"/>
        <v>0</v>
      </c>
      <c r="N11" s="67">
        <f t="shared" si="3"/>
        <v>100</v>
      </c>
      <c r="O11" s="45"/>
      <c r="P11" s="46">
        <v>56</v>
      </c>
      <c r="Q11" s="46"/>
      <c r="R11" s="47">
        <f t="shared" si="4"/>
        <v>56</v>
      </c>
      <c r="S11" s="28">
        <v>1</v>
      </c>
      <c r="T11" s="284"/>
      <c r="U11" s="293"/>
      <c r="V11" s="37" t="s">
        <v>981</v>
      </c>
      <c r="W11" s="28" t="s">
        <v>17</v>
      </c>
      <c r="X11" s="28" t="s">
        <v>18</v>
      </c>
      <c r="Y11" s="87">
        <v>56</v>
      </c>
      <c r="Z11" s="28"/>
      <c r="AA11" s="28"/>
      <c r="AB11" s="28"/>
      <c r="AC11" s="28"/>
      <c r="AD11" s="37"/>
      <c r="AE11" s="28"/>
      <c r="AF11" s="28"/>
      <c r="AG11" s="38"/>
      <c r="AH11" s="28"/>
      <c r="AI11" s="28"/>
      <c r="AJ11" s="28"/>
      <c r="AK11" s="28"/>
      <c r="AL11" s="37"/>
      <c r="AM11" s="28"/>
      <c r="AN11" s="28"/>
      <c r="AO11" s="38"/>
      <c r="AP11" s="37"/>
      <c r="AQ11" s="28"/>
      <c r="AR11" s="28"/>
      <c r="AS11" s="38"/>
      <c r="AT11" s="28"/>
      <c r="AU11" s="28"/>
      <c r="AV11" s="28"/>
      <c r="AW11" s="38"/>
      <c r="AX11" s="28"/>
      <c r="AY11" s="28"/>
      <c r="AZ11" s="28"/>
      <c r="BA11" s="39"/>
    </row>
    <row r="12" spans="1:53" x14ac:dyDescent="0.15">
      <c r="A12" s="28">
        <v>1969</v>
      </c>
      <c r="B12" s="293"/>
      <c r="C12" s="394" t="s">
        <v>1269</v>
      </c>
      <c r="D12" s="394"/>
      <c r="E12" s="28">
        <v>0</v>
      </c>
      <c r="F12" s="28"/>
      <c r="G12" s="65"/>
      <c r="H12" s="28">
        <v>8</v>
      </c>
      <c r="I12" s="28"/>
      <c r="J12" s="72">
        <v>8</v>
      </c>
      <c r="K12" s="46">
        <f t="shared" si="0"/>
        <v>0</v>
      </c>
      <c r="L12" s="46">
        <f t="shared" si="1"/>
        <v>100</v>
      </c>
      <c r="M12" s="46">
        <f t="shared" si="2"/>
        <v>0</v>
      </c>
      <c r="N12" s="67">
        <f t="shared" si="3"/>
        <v>100</v>
      </c>
      <c r="O12" s="45"/>
      <c r="P12" s="46">
        <v>56</v>
      </c>
      <c r="Q12" s="46"/>
      <c r="R12" s="47">
        <f t="shared" si="4"/>
        <v>56</v>
      </c>
      <c r="S12" s="28">
        <v>1</v>
      </c>
      <c r="T12" s="284"/>
      <c r="U12" s="293"/>
      <c r="V12" s="37" t="s">
        <v>981</v>
      </c>
      <c r="W12" s="28" t="s">
        <v>17</v>
      </c>
      <c r="X12" s="28" t="s">
        <v>18</v>
      </c>
      <c r="Y12" s="87">
        <v>56</v>
      </c>
      <c r="Z12" s="28"/>
      <c r="AA12" s="28"/>
      <c r="AB12" s="28"/>
      <c r="AC12" s="28"/>
      <c r="AD12" s="37"/>
      <c r="AE12" s="28"/>
      <c r="AF12" s="28"/>
      <c r="AG12" s="38"/>
      <c r="AH12" s="28"/>
      <c r="AI12" s="28"/>
      <c r="AJ12" s="28"/>
      <c r="AK12" s="28"/>
      <c r="AL12" s="37"/>
      <c r="AM12" s="28"/>
      <c r="AN12" s="28"/>
      <c r="AO12" s="38"/>
      <c r="AP12" s="37"/>
      <c r="AQ12" s="28"/>
      <c r="AR12" s="28"/>
      <c r="AS12" s="38"/>
      <c r="AT12" s="28"/>
      <c r="AU12" s="28"/>
      <c r="AV12" s="28"/>
      <c r="AW12" s="38"/>
      <c r="AX12" s="28"/>
      <c r="AY12" s="28"/>
      <c r="AZ12" s="28"/>
      <c r="BA12" s="39"/>
    </row>
    <row r="13" spans="1:53" x14ac:dyDescent="0.15">
      <c r="A13" s="28">
        <v>1969</v>
      </c>
      <c r="B13" s="293"/>
      <c r="C13" s="394" t="s">
        <v>1269</v>
      </c>
      <c r="D13" s="394"/>
      <c r="E13" s="28">
        <v>365</v>
      </c>
      <c r="F13" s="28"/>
      <c r="G13" s="65"/>
      <c r="H13" s="28">
        <v>8</v>
      </c>
      <c r="I13" s="28"/>
      <c r="J13" s="72">
        <v>8</v>
      </c>
      <c r="K13" s="46">
        <f t="shared" si="0"/>
        <v>0</v>
      </c>
      <c r="L13" s="46">
        <f t="shared" si="1"/>
        <v>100</v>
      </c>
      <c r="M13" s="46">
        <f t="shared" si="2"/>
        <v>0</v>
      </c>
      <c r="N13" s="67">
        <f t="shared" si="3"/>
        <v>100</v>
      </c>
      <c r="O13" s="45"/>
      <c r="P13" s="46">
        <v>56</v>
      </c>
      <c r="Q13" s="46"/>
      <c r="R13" s="47">
        <f t="shared" si="4"/>
        <v>56</v>
      </c>
      <c r="S13" s="28">
        <v>1</v>
      </c>
      <c r="T13" s="284"/>
      <c r="U13" s="293"/>
      <c r="V13" s="37" t="s">
        <v>981</v>
      </c>
      <c r="W13" s="28" t="s">
        <v>17</v>
      </c>
      <c r="X13" s="28" t="s">
        <v>18</v>
      </c>
      <c r="Y13" s="87">
        <v>56</v>
      </c>
      <c r="Z13" s="28"/>
      <c r="AA13" s="28"/>
      <c r="AB13" s="28"/>
      <c r="AC13" s="28"/>
      <c r="AD13" s="37"/>
      <c r="AE13" s="28"/>
      <c r="AF13" s="28"/>
      <c r="AG13" s="38"/>
      <c r="AH13" s="28"/>
      <c r="AI13" s="28"/>
      <c r="AJ13" s="28"/>
      <c r="AK13" s="28"/>
      <c r="AL13" s="37"/>
      <c r="AM13" s="28"/>
      <c r="AN13" s="28"/>
      <c r="AO13" s="38"/>
      <c r="AP13" s="37"/>
      <c r="AQ13" s="28"/>
      <c r="AR13" s="28"/>
      <c r="AS13" s="38"/>
      <c r="AT13" s="28"/>
      <c r="AU13" s="28"/>
      <c r="AV13" s="28"/>
      <c r="AW13" s="38"/>
      <c r="AX13" s="28"/>
      <c r="AY13" s="28"/>
      <c r="AZ13" s="28"/>
      <c r="BA13" s="39"/>
    </row>
    <row r="14" spans="1:53" x14ac:dyDescent="0.15">
      <c r="A14" s="28">
        <v>1970</v>
      </c>
      <c r="B14" s="293"/>
      <c r="C14" s="394" t="s">
        <v>1269</v>
      </c>
      <c r="D14" s="394"/>
      <c r="E14" s="28">
        <v>0</v>
      </c>
      <c r="F14" s="28"/>
      <c r="G14" s="65"/>
      <c r="H14" s="28">
        <v>8</v>
      </c>
      <c r="I14" s="28"/>
      <c r="J14" s="72">
        <v>8</v>
      </c>
      <c r="K14" s="46">
        <f t="shared" si="0"/>
        <v>0</v>
      </c>
      <c r="L14" s="46">
        <f t="shared" si="1"/>
        <v>100</v>
      </c>
      <c r="M14" s="46">
        <f t="shared" si="2"/>
        <v>0</v>
      </c>
      <c r="N14" s="67">
        <f t="shared" si="3"/>
        <v>100</v>
      </c>
      <c r="O14" s="45"/>
      <c r="P14" s="46">
        <v>56</v>
      </c>
      <c r="Q14" s="46"/>
      <c r="R14" s="47">
        <f t="shared" si="4"/>
        <v>56</v>
      </c>
      <c r="S14" s="28">
        <v>1</v>
      </c>
      <c r="T14" s="284"/>
      <c r="U14" s="293"/>
      <c r="V14" s="37" t="s">
        <v>981</v>
      </c>
      <c r="W14" s="28" t="s">
        <v>17</v>
      </c>
      <c r="X14" s="28" t="s">
        <v>18</v>
      </c>
      <c r="Y14" s="87">
        <v>56</v>
      </c>
      <c r="Z14" s="28"/>
      <c r="AA14" s="28"/>
      <c r="AB14" s="28"/>
      <c r="AC14" s="28"/>
      <c r="AD14" s="37"/>
      <c r="AE14" s="28"/>
      <c r="AF14" s="28"/>
      <c r="AG14" s="38"/>
      <c r="AH14" s="28"/>
      <c r="AI14" s="28"/>
      <c r="AJ14" s="28"/>
      <c r="AK14" s="28"/>
      <c r="AL14" s="37"/>
      <c r="AM14" s="28"/>
      <c r="AN14" s="28"/>
      <c r="AO14" s="38"/>
      <c r="AP14" s="37"/>
      <c r="AQ14" s="28"/>
      <c r="AR14" s="28"/>
      <c r="AS14" s="38"/>
      <c r="AT14" s="28"/>
      <c r="AU14" s="28"/>
      <c r="AV14" s="28"/>
      <c r="AW14" s="38"/>
      <c r="AX14" s="28"/>
      <c r="AY14" s="28"/>
      <c r="AZ14" s="28"/>
      <c r="BA14" s="39"/>
    </row>
    <row r="15" spans="1:53" x14ac:dyDescent="0.15">
      <c r="A15" s="28">
        <v>1970</v>
      </c>
      <c r="B15" s="293"/>
      <c r="C15" s="394" t="s">
        <v>1269</v>
      </c>
      <c r="D15" s="394"/>
      <c r="E15" s="28">
        <v>365</v>
      </c>
      <c r="F15" s="28"/>
      <c r="G15" s="65"/>
      <c r="H15" s="28">
        <v>8</v>
      </c>
      <c r="I15" s="28"/>
      <c r="J15" s="72">
        <v>8</v>
      </c>
      <c r="K15" s="46">
        <f t="shared" si="0"/>
        <v>0</v>
      </c>
      <c r="L15" s="46">
        <f t="shared" si="1"/>
        <v>100</v>
      </c>
      <c r="M15" s="46">
        <f t="shared" si="2"/>
        <v>0</v>
      </c>
      <c r="N15" s="67">
        <f t="shared" si="3"/>
        <v>100</v>
      </c>
      <c r="O15" s="45"/>
      <c r="P15" s="46">
        <v>56</v>
      </c>
      <c r="Q15" s="46"/>
      <c r="R15" s="47">
        <f t="shared" si="4"/>
        <v>56</v>
      </c>
      <c r="S15" s="28">
        <v>1</v>
      </c>
      <c r="T15" s="284"/>
      <c r="U15" s="293"/>
      <c r="V15" s="37" t="s">
        <v>981</v>
      </c>
      <c r="W15" s="28" t="s">
        <v>17</v>
      </c>
      <c r="X15" s="28" t="s">
        <v>18</v>
      </c>
      <c r="Y15" s="87">
        <v>56</v>
      </c>
      <c r="Z15" s="28"/>
      <c r="AA15" s="28"/>
      <c r="AB15" s="28"/>
      <c r="AC15" s="28"/>
      <c r="AD15" s="37"/>
      <c r="AE15" s="28"/>
      <c r="AF15" s="28"/>
      <c r="AG15" s="38"/>
      <c r="AH15" s="28"/>
      <c r="AI15" s="28"/>
      <c r="AJ15" s="28"/>
      <c r="AK15" s="28"/>
      <c r="AL15" s="37"/>
      <c r="AM15" s="28"/>
      <c r="AN15" s="28"/>
      <c r="AO15" s="38"/>
      <c r="AP15" s="37"/>
      <c r="AQ15" s="28"/>
      <c r="AR15" s="28"/>
      <c r="AS15" s="38"/>
      <c r="AT15" s="28"/>
      <c r="AU15" s="28"/>
      <c r="AV15" s="28"/>
      <c r="AW15" s="38"/>
      <c r="AX15" s="28"/>
      <c r="AY15" s="28"/>
      <c r="AZ15" s="28"/>
      <c r="BA15" s="39"/>
    </row>
    <row r="16" spans="1:53" x14ac:dyDescent="0.15">
      <c r="A16" s="28">
        <v>1971</v>
      </c>
      <c r="B16" s="293"/>
      <c r="C16" s="394" t="s">
        <v>1269</v>
      </c>
      <c r="D16" s="394"/>
      <c r="E16" s="28">
        <v>171</v>
      </c>
      <c r="F16" s="28"/>
      <c r="G16" s="65"/>
      <c r="H16" s="28">
        <v>8</v>
      </c>
      <c r="I16" s="28"/>
      <c r="J16" s="72">
        <v>8</v>
      </c>
      <c r="K16" s="46">
        <f t="shared" si="0"/>
        <v>0</v>
      </c>
      <c r="L16" s="46">
        <f t="shared" si="1"/>
        <v>100</v>
      </c>
      <c r="M16" s="46">
        <f t="shared" si="2"/>
        <v>0</v>
      </c>
      <c r="N16" s="67">
        <f t="shared" si="3"/>
        <v>100</v>
      </c>
      <c r="O16" s="45"/>
      <c r="P16" s="46">
        <v>56</v>
      </c>
      <c r="Q16" s="46"/>
      <c r="R16" s="47">
        <f t="shared" si="4"/>
        <v>56</v>
      </c>
      <c r="S16" s="28">
        <v>1</v>
      </c>
      <c r="T16" s="284"/>
      <c r="U16" s="293"/>
      <c r="V16" s="37" t="s">
        <v>981</v>
      </c>
      <c r="W16" s="28" t="s">
        <v>17</v>
      </c>
      <c r="X16" s="28" t="s">
        <v>18</v>
      </c>
      <c r="Y16" s="87">
        <v>56</v>
      </c>
      <c r="Z16" s="28"/>
      <c r="AA16" s="28"/>
      <c r="AB16" s="28"/>
      <c r="AC16" s="28"/>
      <c r="AD16" s="37"/>
      <c r="AE16" s="28"/>
      <c r="AF16" s="28"/>
      <c r="AG16" s="38"/>
      <c r="AH16" s="28"/>
      <c r="AI16" s="28"/>
      <c r="AJ16" s="28"/>
      <c r="AK16" s="28"/>
      <c r="AL16" s="37"/>
      <c r="AM16" s="28"/>
      <c r="AN16" s="28"/>
      <c r="AO16" s="38"/>
      <c r="AP16" s="37"/>
      <c r="AQ16" s="28"/>
      <c r="AR16" s="28"/>
      <c r="AS16" s="38"/>
      <c r="AT16" s="28"/>
      <c r="AU16" s="28"/>
      <c r="AV16" s="28"/>
      <c r="AW16" s="38"/>
      <c r="AX16" s="28"/>
      <c r="AY16" s="28"/>
      <c r="AZ16" s="28"/>
      <c r="BA16" s="39"/>
    </row>
    <row r="17" spans="1:53" x14ac:dyDescent="0.15">
      <c r="A17" s="170">
        <v>1971</v>
      </c>
      <c r="B17" s="281">
        <v>26105</v>
      </c>
      <c r="C17" s="395" t="s">
        <v>1270</v>
      </c>
      <c r="D17" s="395"/>
      <c r="E17" s="170">
        <f>365-E16</f>
        <v>194</v>
      </c>
      <c r="F17" s="170">
        <v>1</v>
      </c>
      <c r="G17" s="232"/>
      <c r="H17" s="170"/>
      <c r="I17" s="170">
        <v>9</v>
      </c>
      <c r="J17" s="240">
        <v>9</v>
      </c>
      <c r="K17" s="213">
        <f t="shared" si="0"/>
        <v>0</v>
      </c>
      <c r="L17" s="213">
        <f t="shared" si="1"/>
        <v>0</v>
      </c>
      <c r="M17" s="213">
        <f t="shared" si="2"/>
        <v>100</v>
      </c>
      <c r="N17" s="234">
        <f t="shared" si="3"/>
        <v>100</v>
      </c>
      <c r="O17" s="212"/>
      <c r="P17" s="213"/>
      <c r="Q17" s="213">
        <v>50.9</v>
      </c>
      <c r="R17" s="214">
        <f t="shared" si="4"/>
        <v>50.9</v>
      </c>
      <c r="S17" s="189">
        <v>1</v>
      </c>
      <c r="T17" s="283">
        <v>26098</v>
      </c>
      <c r="U17" s="281">
        <v>26105</v>
      </c>
      <c r="V17" s="177" t="s">
        <v>984</v>
      </c>
      <c r="W17" s="170" t="s">
        <v>20</v>
      </c>
      <c r="X17" s="170" t="s">
        <v>12</v>
      </c>
      <c r="Y17" s="178">
        <v>50.9</v>
      </c>
      <c r="Z17" s="170"/>
      <c r="AA17" s="170"/>
      <c r="AB17" s="170"/>
      <c r="AC17" s="170"/>
      <c r="AD17" s="177"/>
      <c r="AE17" s="170"/>
      <c r="AF17" s="170"/>
      <c r="AG17" s="178"/>
      <c r="AH17" s="170"/>
      <c r="AI17" s="170"/>
      <c r="AJ17" s="170"/>
      <c r="AK17" s="170"/>
      <c r="AL17" s="177"/>
      <c r="AM17" s="170"/>
      <c r="AN17" s="170"/>
      <c r="AO17" s="178"/>
      <c r="AP17" s="177"/>
      <c r="AQ17" s="170"/>
      <c r="AR17" s="170"/>
      <c r="AS17" s="178"/>
      <c r="AT17" s="170"/>
      <c r="AU17" s="170"/>
      <c r="AV17" s="170"/>
      <c r="AW17" s="178"/>
      <c r="AX17" s="170"/>
      <c r="AY17" s="170"/>
      <c r="AZ17" s="170"/>
      <c r="BA17" s="179"/>
    </row>
    <row r="18" spans="1:53" x14ac:dyDescent="0.15">
      <c r="A18" s="170">
        <v>1972</v>
      </c>
      <c r="B18" s="281"/>
      <c r="C18" s="395" t="s">
        <v>1270</v>
      </c>
      <c r="D18" s="395"/>
      <c r="E18" s="170">
        <v>0</v>
      </c>
      <c r="F18" s="170"/>
      <c r="G18" s="232"/>
      <c r="H18" s="170"/>
      <c r="I18" s="170">
        <v>9</v>
      </c>
      <c r="J18" s="240">
        <v>9</v>
      </c>
      <c r="K18" s="213">
        <f t="shared" si="0"/>
        <v>0</v>
      </c>
      <c r="L18" s="213">
        <f t="shared" si="1"/>
        <v>0</v>
      </c>
      <c r="M18" s="213">
        <f t="shared" si="2"/>
        <v>100</v>
      </c>
      <c r="N18" s="234">
        <f t="shared" si="3"/>
        <v>100</v>
      </c>
      <c r="O18" s="212"/>
      <c r="P18" s="213"/>
      <c r="Q18" s="213">
        <v>50.9</v>
      </c>
      <c r="R18" s="214">
        <f t="shared" si="4"/>
        <v>50.9</v>
      </c>
      <c r="S18" s="189">
        <v>1</v>
      </c>
      <c r="T18" s="283"/>
      <c r="U18" s="281"/>
      <c r="V18" s="177" t="s">
        <v>984</v>
      </c>
      <c r="W18" s="170" t="s">
        <v>20</v>
      </c>
      <c r="X18" s="170" t="s">
        <v>12</v>
      </c>
      <c r="Y18" s="178">
        <v>50.9</v>
      </c>
      <c r="Z18" s="170"/>
      <c r="AA18" s="170"/>
      <c r="AB18" s="170"/>
      <c r="AC18" s="170"/>
      <c r="AD18" s="177"/>
      <c r="AE18" s="170"/>
      <c r="AF18" s="170"/>
      <c r="AG18" s="178"/>
      <c r="AH18" s="170"/>
      <c r="AI18" s="170"/>
      <c r="AJ18" s="170"/>
      <c r="AK18" s="170"/>
      <c r="AL18" s="177"/>
      <c r="AM18" s="170"/>
      <c r="AN18" s="170"/>
      <c r="AO18" s="178"/>
      <c r="AP18" s="177"/>
      <c r="AQ18" s="170"/>
      <c r="AR18" s="170"/>
      <c r="AS18" s="178"/>
      <c r="AT18" s="170"/>
      <c r="AU18" s="170"/>
      <c r="AV18" s="170"/>
      <c r="AW18" s="178"/>
      <c r="AX18" s="170"/>
      <c r="AY18" s="170"/>
      <c r="AZ18" s="170"/>
      <c r="BA18" s="179"/>
    </row>
    <row r="19" spans="1:53" x14ac:dyDescent="0.15">
      <c r="A19" s="170">
        <v>1972</v>
      </c>
      <c r="B19" s="281"/>
      <c r="C19" s="395" t="s">
        <v>1270</v>
      </c>
      <c r="D19" s="395"/>
      <c r="E19" s="170">
        <v>366</v>
      </c>
      <c r="F19" s="170"/>
      <c r="G19" s="232"/>
      <c r="H19" s="170"/>
      <c r="I19" s="170">
        <v>9</v>
      </c>
      <c r="J19" s="240">
        <v>9</v>
      </c>
      <c r="K19" s="213">
        <f t="shared" si="0"/>
        <v>0</v>
      </c>
      <c r="L19" s="213">
        <f t="shared" si="1"/>
        <v>0</v>
      </c>
      <c r="M19" s="213">
        <f t="shared" si="2"/>
        <v>100</v>
      </c>
      <c r="N19" s="234">
        <f t="shared" si="3"/>
        <v>100</v>
      </c>
      <c r="O19" s="212"/>
      <c r="P19" s="213"/>
      <c r="Q19" s="213">
        <v>50.9</v>
      </c>
      <c r="R19" s="214">
        <f t="shared" si="4"/>
        <v>50.9</v>
      </c>
      <c r="S19" s="189">
        <v>1</v>
      </c>
      <c r="T19" s="283"/>
      <c r="U19" s="281"/>
      <c r="V19" s="177" t="s">
        <v>984</v>
      </c>
      <c r="W19" s="170" t="s">
        <v>20</v>
      </c>
      <c r="X19" s="170" t="s">
        <v>12</v>
      </c>
      <c r="Y19" s="178">
        <v>50.9</v>
      </c>
      <c r="Z19" s="170"/>
      <c r="AA19" s="170"/>
      <c r="AB19" s="170"/>
      <c r="AC19" s="170"/>
      <c r="AD19" s="177"/>
      <c r="AE19" s="170"/>
      <c r="AF19" s="170"/>
      <c r="AG19" s="178"/>
      <c r="AH19" s="170"/>
      <c r="AI19" s="170"/>
      <c r="AJ19" s="170"/>
      <c r="AK19" s="170"/>
      <c r="AL19" s="177"/>
      <c r="AM19" s="170"/>
      <c r="AN19" s="170"/>
      <c r="AO19" s="178"/>
      <c r="AP19" s="177"/>
      <c r="AQ19" s="170"/>
      <c r="AR19" s="170"/>
      <c r="AS19" s="178"/>
      <c r="AT19" s="170"/>
      <c r="AU19" s="170"/>
      <c r="AV19" s="170"/>
      <c r="AW19" s="178"/>
      <c r="AX19" s="170"/>
      <c r="AY19" s="170"/>
      <c r="AZ19" s="170"/>
      <c r="BA19" s="179"/>
    </row>
    <row r="20" spans="1:53" x14ac:dyDescent="0.15">
      <c r="A20" s="170">
        <v>1973</v>
      </c>
      <c r="B20" s="281"/>
      <c r="C20" s="395" t="s">
        <v>1270</v>
      </c>
      <c r="D20" s="395"/>
      <c r="E20" s="170">
        <v>0</v>
      </c>
      <c r="F20" s="170"/>
      <c r="G20" s="232"/>
      <c r="H20" s="170"/>
      <c r="I20" s="170">
        <v>9</v>
      </c>
      <c r="J20" s="240">
        <v>9</v>
      </c>
      <c r="K20" s="213">
        <f t="shared" si="0"/>
        <v>0</v>
      </c>
      <c r="L20" s="213">
        <f t="shared" si="1"/>
        <v>0</v>
      </c>
      <c r="M20" s="213">
        <f t="shared" si="2"/>
        <v>100</v>
      </c>
      <c r="N20" s="234">
        <f t="shared" si="3"/>
        <v>100</v>
      </c>
      <c r="O20" s="212"/>
      <c r="P20" s="213"/>
      <c r="Q20" s="213">
        <v>50.9</v>
      </c>
      <c r="R20" s="214">
        <f t="shared" si="4"/>
        <v>50.9</v>
      </c>
      <c r="S20" s="189">
        <v>1</v>
      </c>
      <c r="T20" s="283"/>
      <c r="U20" s="281"/>
      <c r="V20" s="177" t="s">
        <v>984</v>
      </c>
      <c r="W20" s="170" t="s">
        <v>20</v>
      </c>
      <c r="X20" s="170" t="s">
        <v>12</v>
      </c>
      <c r="Y20" s="178">
        <v>50.9</v>
      </c>
      <c r="Z20" s="170"/>
      <c r="AA20" s="170"/>
      <c r="AB20" s="170"/>
      <c r="AC20" s="170"/>
      <c r="AD20" s="177"/>
      <c r="AE20" s="170"/>
      <c r="AF20" s="170"/>
      <c r="AG20" s="178"/>
      <c r="AH20" s="170"/>
      <c r="AI20" s="170"/>
      <c r="AJ20" s="170"/>
      <c r="AK20" s="170"/>
      <c r="AL20" s="177"/>
      <c r="AM20" s="170"/>
      <c r="AN20" s="170"/>
      <c r="AO20" s="178"/>
      <c r="AP20" s="177"/>
      <c r="AQ20" s="170"/>
      <c r="AR20" s="170"/>
      <c r="AS20" s="178"/>
      <c r="AT20" s="170"/>
      <c r="AU20" s="170"/>
      <c r="AV20" s="170"/>
      <c r="AW20" s="178"/>
      <c r="AX20" s="170"/>
      <c r="AY20" s="170"/>
      <c r="AZ20" s="170"/>
      <c r="BA20" s="179"/>
    </row>
    <row r="21" spans="1:53" x14ac:dyDescent="0.15">
      <c r="A21" s="170">
        <v>1973</v>
      </c>
      <c r="B21" s="281"/>
      <c r="C21" s="395" t="s">
        <v>1270</v>
      </c>
      <c r="D21" s="395"/>
      <c r="E21" s="170">
        <v>365</v>
      </c>
      <c r="F21" s="170"/>
      <c r="G21" s="232"/>
      <c r="H21" s="170"/>
      <c r="I21" s="170">
        <v>9</v>
      </c>
      <c r="J21" s="240">
        <v>9</v>
      </c>
      <c r="K21" s="213">
        <f t="shared" si="0"/>
        <v>0</v>
      </c>
      <c r="L21" s="213">
        <f t="shared" si="1"/>
        <v>0</v>
      </c>
      <c r="M21" s="213">
        <f t="shared" si="2"/>
        <v>100</v>
      </c>
      <c r="N21" s="234">
        <f t="shared" si="3"/>
        <v>100</v>
      </c>
      <c r="O21" s="212"/>
      <c r="P21" s="213"/>
      <c r="Q21" s="213">
        <v>50.9</v>
      </c>
      <c r="R21" s="214">
        <f t="shared" si="4"/>
        <v>50.9</v>
      </c>
      <c r="S21" s="189">
        <v>1</v>
      </c>
      <c r="T21" s="283"/>
      <c r="U21" s="281"/>
      <c r="V21" s="177" t="s">
        <v>984</v>
      </c>
      <c r="W21" s="170" t="s">
        <v>20</v>
      </c>
      <c r="X21" s="170" t="s">
        <v>12</v>
      </c>
      <c r="Y21" s="178">
        <v>50.9</v>
      </c>
      <c r="Z21" s="170"/>
      <c r="AA21" s="170"/>
      <c r="AB21" s="170"/>
      <c r="AC21" s="170"/>
      <c r="AD21" s="177"/>
      <c r="AE21" s="170"/>
      <c r="AF21" s="170"/>
      <c r="AG21" s="178"/>
      <c r="AH21" s="170"/>
      <c r="AI21" s="170"/>
      <c r="AJ21" s="170"/>
      <c r="AK21" s="170"/>
      <c r="AL21" s="177"/>
      <c r="AM21" s="170"/>
      <c r="AN21" s="170"/>
      <c r="AO21" s="178"/>
      <c r="AP21" s="177"/>
      <c r="AQ21" s="170"/>
      <c r="AR21" s="170"/>
      <c r="AS21" s="178"/>
      <c r="AT21" s="170"/>
      <c r="AU21" s="170"/>
      <c r="AV21" s="170"/>
      <c r="AW21" s="178"/>
      <c r="AX21" s="170"/>
      <c r="AY21" s="170"/>
      <c r="AZ21" s="170"/>
      <c r="BA21" s="179"/>
    </row>
    <row r="22" spans="1:53" x14ac:dyDescent="0.15">
      <c r="A22" s="170">
        <v>1974</v>
      </c>
      <c r="B22" s="281"/>
      <c r="C22" s="395" t="s">
        <v>1270</v>
      </c>
      <c r="D22" s="395"/>
      <c r="E22" s="170">
        <v>0</v>
      </c>
      <c r="F22" s="170"/>
      <c r="G22" s="232"/>
      <c r="H22" s="170"/>
      <c r="I22" s="170">
        <v>9</v>
      </c>
      <c r="J22" s="240">
        <v>9</v>
      </c>
      <c r="K22" s="213">
        <f t="shared" si="0"/>
        <v>0</v>
      </c>
      <c r="L22" s="213">
        <f t="shared" si="1"/>
        <v>0</v>
      </c>
      <c r="M22" s="213">
        <f t="shared" si="2"/>
        <v>100</v>
      </c>
      <c r="N22" s="234">
        <f t="shared" si="3"/>
        <v>100</v>
      </c>
      <c r="O22" s="212"/>
      <c r="P22" s="213"/>
      <c r="Q22" s="213">
        <v>50.9</v>
      </c>
      <c r="R22" s="214">
        <f t="shared" si="4"/>
        <v>50.9</v>
      </c>
      <c r="S22" s="189">
        <v>1</v>
      </c>
      <c r="T22" s="283"/>
      <c r="U22" s="281"/>
      <c r="V22" s="177" t="s">
        <v>984</v>
      </c>
      <c r="W22" s="170" t="s">
        <v>20</v>
      </c>
      <c r="X22" s="170" t="s">
        <v>12</v>
      </c>
      <c r="Y22" s="178">
        <v>50.9</v>
      </c>
      <c r="Z22" s="170"/>
      <c r="AA22" s="170"/>
      <c r="AB22" s="170"/>
      <c r="AC22" s="170"/>
      <c r="AD22" s="177"/>
      <c r="AE22" s="170"/>
      <c r="AF22" s="170"/>
      <c r="AG22" s="178"/>
      <c r="AH22" s="170"/>
      <c r="AI22" s="170"/>
      <c r="AJ22" s="170"/>
      <c r="AK22" s="170"/>
      <c r="AL22" s="177"/>
      <c r="AM22" s="170"/>
      <c r="AN22" s="170"/>
      <c r="AO22" s="178"/>
      <c r="AP22" s="177"/>
      <c r="AQ22" s="170"/>
      <c r="AR22" s="170"/>
      <c r="AS22" s="178"/>
      <c r="AT22" s="170"/>
      <c r="AU22" s="170"/>
      <c r="AV22" s="170"/>
      <c r="AW22" s="178"/>
      <c r="AX22" s="170"/>
      <c r="AY22" s="170"/>
      <c r="AZ22" s="170"/>
      <c r="BA22" s="179"/>
    </row>
    <row r="23" spans="1:53" x14ac:dyDescent="0.15">
      <c r="A23" s="170">
        <v>1974</v>
      </c>
      <c r="B23" s="281"/>
      <c r="C23" s="395" t="s">
        <v>1270</v>
      </c>
      <c r="D23" s="395"/>
      <c r="E23" s="170">
        <v>365</v>
      </c>
      <c r="F23" s="170"/>
      <c r="G23" s="232"/>
      <c r="H23" s="170"/>
      <c r="I23" s="170">
        <v>9</v>
      </c>
      <c r="J23" s="240">
        <v>9</v>
      </c>
      <c r="K23" s="213">
        <f t="shared" si="0"/>
        <v>0</v>
      </c>
      <c r="L23" s="213">
        <f t="shared" si="1"/>
        <v>0</v>
      </c>
      <c r="M23" s="213">
        <f t="shared" si="2"/>
        <v>100</v>
      </c>
      <c r="N23" s="234">
        <f t="shared" si="3"/>
        <v>100</v>
      </c>
      <c r="O23" s="212"/>
      <c r="P23" s="213"/>
      <c r="Q23" s="213">
        <v>50.9</v>
      </c>
      <c r="R23" s="214">
        <f t="shared" si="4"/>
        <v>50.9</v>
      </c>
      <c r="S23" s="189">
        <v>1</v>
      </c>
      <c r="T23" s="283"/>
      <c r="U23" s="281"/>
      <c r="V23" s="177" t="s">
        <v>984</v>
      </c>
      <c r="W23" s="170" t="s">
        <v>20</v>
      </c>
      <c r="X23" s="170" t="s">
        <v>12</v>
      </c>
      <c r="Y23" s="178">
        <v>50.9</v>
      </c>
      <c r="Z23" s="170"/>
      <c r="AA23" s="170"/>
      <c r="AB23" s="170"/>
      <c r="AC23" s="170"/>
      <c r="AD23" s="177"/>
      <c r="AE23" s="170"/>
      <c r="AF23" s="170"/>
      <c r="AG23" s="178"/>
      <c r="AH23" s="170"/>
      <c r="AI23" s="170"/>
      <c r="AJ23" s="170"/>
      <c r="AK23" s="170"/>
      <c r="AL23" s="177"/>
      <c r="AM23" s="170"/>
      <c r="AN23" s="170"/>
      <c r="AO23" s="178"/>
      <c r="AP23" s="177"/>
      <c r="AQ23" s="170"/>
      <c r="AR23" s="170"/>
      <c r="AS23" s="178"/>
      <c r="AT23" s="170"/>
      <c r="AU23" s="170"/>
      <c r="AV23" s="170"/>
      <c r="AW23" s="178"/>
      <c r="AX23" s="170"/>
      <c r="AY23" s="170"/>
      <c r="AZ23" s="170"/>
      <c r="BA23" s="179"/>
    </row>
    <row r="24" spans="1:53" x14ac:dyDescent="0.15">
      <c r="A24" s="170">
        <v>1975</v>
      </c>
      <c r="B24" s="281"/>
      <c r="C24" s="395" t="s">
        <v>1270</v>
      </c>
      <c r="D24" s="395"/>
      <c r="E24" s="170">
        <v>0</v>
      </c>
      <c r="F24" s="170"/>
      <c r="G24" s="232"/>
      <c r="H24" s="170"/>
      <c r="I24" s="170">
        <v>9</v>
      </c>
      <c r="J24" s="240">
        <v>9</v>
      </c>
      <c r="K24" s="213">
        <f t="shared" si="0"/>
        <v>0</v>
      </c>
      <c r="L24" s="213">
        <f t="shared" si="1"/>
        <v>0</v>
      </c>
      <c r="M24" s="213">
        <f t="shared" si="2"/>
        <v>100</v>
      </c>
      <c r="N24" s="234">
        <f t="shared" si="3"/>
        <v>100</v>
      </c>
      <c r="O24" s="212"/>
      <c r="P24" s="213"/>
      <c r="Q24" s="213">
        <v>50.9</v>
      </c>
      <c r="R24" s="214">
        <f t="shared" si="4"/>
        <v>50.9</v>
      </c>
      <c r="S24" s="189">
        <v>1</v>
      </c>
      <c r="T24" s="283"/>
      <c r="U24" s="281"/>
      <c r="V24" s="177" t="s">
        <v>984</v>
      </c>
      <c r="W24" s="170" t="s">
        <v>20</v>
      </c>
      <c r="X24" s="170" t="s">
        <v>12</v>
      </c>
      <c r="Y24" s="178">
        <v>50.9</v>
      </c>
      <c r="Z24" s="170"/>
      <c r="AA24" s="170"/>
      <c r="AB24" s="170"/>
      <c r="AC24" s="170"/>
      <c r="AD24" s="177"/>
      <c r="AE24" s="170"/>
      <c r="AF24" s="170"/>
      <c r="AG24" s="178"/>
      <c r="AH24" s="170"/>
      <c r="AI24" s="170"/>
      <c r="AJ24" s="170"/>
      <c r="AK24" s="170"/>
      <c r="AL24" s="177"/>
      <c r="AM24" s="170"/>
      <c r="AN24" s="170"/>
      <c r="AO24" s="178"/>
      <c r="AP24" s="177"/>
      <c r="AQ24" s="170"/>
      <c r="AR24" s="170"/>
      <c r="AS24" s="178"/>
      <c r="AT24" s="170"/>
      <c r="AU24" s="170"/>
      <c r="AV24" s="170"/>
      <c r="AW24" s="178"/>
      <c r="AX24" s="170"/>
      <c r="AY24" s="170"/>
      <c r="AZ24" s="170"/>
      <c r="BA24" s="179"/>
    </row>
    <row r="25" spans="1:53" x14ac:dyDescent="0.15">
      <c r="A25" s="170">
        <v>1975</v>
      </c>
      <c r="B25" s="281"/>
      <c r="C25" s="395" t="s">
        <v>1270</v>
      </c>
      <c r="D25" s="395"/>
      <c r="E25" s="170">
        <v>365</v>
      </c>
      <c r="F25" s="170"/>
      <c r="G25" s="232"/>
      <c r="H25" s="170"/>
      <c r="I25" s="170">
        <v>9</v>
      </c>
      <c r="J25" s="240">
        <v>9</v>
      </c>
      <c r="K25" s="213">
        <f t="shared" si="0"/>
        <v>0</v>
      </c>
      <c r="L25" s="213">
        <f t="shared" si="1"/>
        <v>0</v>
      </c>
      <c r="M25" s="213">
        <f t="shared" si="2"/>
        <v>100</v>
      </c>
      <c r="N25" s="234">
        <f t="shared" si="3"/>
        <v>100</v>
      </c>
      <c r="O25" s="212"/>
      <c r="P25" s="213"/>
      <c r="Q25" s="213">
        <v>50.9</v>
      </c>
      <c r="R25" s="214">
        <f t="shared" si="4"/>
        <v>50.9</v>
      </c>
      <c r="S25" s="189">
        <v>1</v>
      </c>
      <c r="T25" s="283"/>
      <c r="U25" s="281"/>
      <c r="V25" s="177" t="s">
        <v>984</v>
      </c>
      <c r="W25" s="170" t="s">
        <v>20</v>
      </c>
      <c r="X25" s="170" t="s">
        <v>12</v>
      </c>
      <c r="Y25" s="178">
        <v>50.9</v>
      </c>
      <c r="Z25" s="170"/>
      <c r="AA25" s="170"/>
      <c r="AB25" s="170"/>
      <c r="AC25" s="170"/>
      <c r="AD25" s="177"/>
      <c r="AE25" s="170"/>
      <c r="AF25" s="170"/>
      <c r="AG25" s="178"/>
      <c r="AH25" s="170"/>
      <c r="AI25" s="170"/>
      <c r="AJ25" s="170"/>
      <c r="AK25" s="170"/>
      <c r="AL25" s="177"/>
      <c r="AM25" s="170"/>
      <c r="AN25" s="170"/>
      <c r="AO25" s="178"/>
      <c r="AP25" s="177"/>
      <c r="AQ25" s="170"/>
      <c r="AR25" s="170"/>
      <c r="AS25" s="178"/>
      <c r="AT25" s="170"/>
      <c r="AU25" s="170"/>
      <c r="AV25" s="170"/>
      <c r="AW25" s="178"/>
      <c r="AX25" s="170"/>
      <c r="AY25" s="170"/>
      <c r="AZ25" s="170"/>
      <c r="BA25" s="179"/>
    </row>
    <row r="26" spans="1:53" x14ac:dyDescent="0.15">
      <c r="A26" s="170">
        <v>1976</v>
      </c>
      <c r="B26" s="281"/>
      <c r="C26" s="395" t="s">
        <v>1270</v>
      </c>
      <c r="D26" s="395"/>
      <c r="E26" s="170">
        <v>265</v>
      </c>
      <c r="F26" s="170"/>
      <c r="G26" s="232"/>
      <c r="H26" s="170"/>
      <c r="I26" s="170">
        <v>9</v>
      </c>
      <c r="J26" s="240">
        <v>9</v>
      </c>
      <c r="K26" s="213">
        <f t="shared" si="0"/>
        <v>0</v>
      </c>
      <c r="L26" s="213">
        <f t="shared" si="1"/>
        <v>0</v>
      </c>
      <c r="M26" s="213">
        <f t="shared" si="2"/>
        <v>100</v>
      </c>
      <c r="N26" s="234">
        <f t="shared" si="3"/>
        <v>100</v>
      </c>
      <c r="O26" s="212"/>
      <c r="P26" s="213"/>
      <c r="Q26" s="213">
        <v>50.9</v>
      </c>
      <c r="R26" s="214">
        <f t="shared" si="4"/>
        <v>50.9</v>
      </c>
      <c r="S26" s="189">
        <v>1</v>
      </c>
      <c r="T26" s="283"/>
      <c r="U26" s="281"/>
      <c r="V26" s="177" t="s">
        <v>984</v>
      </c>
      <c r="W26" s="170" t="s">
        <v>20</v>
      </c>
      <c r="X26" s="170" t="s">
        <v>12</v>
      </c>
      <c r="Y26" s="178">
        <v>50.9</v>
      </c>
      <c r="Z26" s="170"/>
      <c r="AA26" s="170"/>
      <c r="AB26" s="170"/>
      <c r="AC26" s="170"/>
      <c r="AD26" s="177"/>
      <c r="AE26" s="170"/>
      <c r="AF26" s="170"/>
      <c r="AG26" s="178"/>
      <c r="AH26" s="170"/>
      <c r="AI26" s="170"/>
      <c r="AJ26" s="170"/>
      <c r="AK26" s="170"/>
      <c r="AL26" s="177"/>
      <c r="AM26" s="170"/>
      <c r="AN26" s="170"/>
      <c r="AO26" s="178"/>
      <c r="AP26" s="177"/>
      <c r="AQ26" s="170"/>
      <c r="AR26" s="170"/>
      <c r="AS26" s="178"/>
      <c r="AT26" s="170"/>
      <c r="AU26" s="170"/>
      <c r="AV26" s="170"/>
      <c r="AW26" s="178"/>
      <c r="AX26" s="170"/>
      <c r="AY26" s="170"/>
      <c r="AZ26" s="170"/>
      <c r="BA26" s="179"/>
    </row>
    <row r="27" spans="1:53" x14ac:dyDescent="0.15">
      <c r="A27" s="28">
        <v>1976</v>
      </c>
      <c r="B27" s="293">
        <v>28025</v>
      </c>
      <c r="C27" s="394" t="s">
        <v>1271</v>
      </c>
      <c r="D27" s="394"/>
      <c r="E27" s="28">
        <f>366-E26</f>
        <v>101</v>
      </c>
      <c r="F27" s="28">
        <v>1</v>
      </c>
      <c r="G27" s="65"/>
      <c r="H27" s="28"/>
      <c r="I27" s="28">
        <v>12</v>
      </c>
      <c r="J27" s="72">
        <v>12</v>
      </c>
      <c r="K27" s="46">
        <f t="shared" si="0"/>
        <v>0</v>
      </c>
      <c r="L27" s="46">
        <f t="shared" si="1"/>
        <v>0</v>
      </c>
      <c r="M27" s="46">
        <f t="shared" si="2"/>
        <v>100</v>
      </c>
      <c r="N27" s="67">
        <f t="shared" si="3"/>
        <v>100</v>
      </c>
      <c r="O27" s="45"/>
      <c r="P27" s="46"/>
      <c r="Q27" s="46">
        <v>52.3</v>
      </c>
      <c r="R27" s="47">
        <f t="shared" si="4"/>
        <v>52.3</v>
      </c>
      <c r="S27" s="28">
        <v>1</v>
      </c>
      <c r="T27" s="284">
        <v>28021</v>
      </c>
      <c r="U27" s="293">
        <v>28025</v>
      </c>
      <c r="V27" s="37" t="s">
        <v>984</v>
      </c>
      <c r="W27" s="28" t="s">
        <v>20</v>
      </c>
      <c r="X27" s="28" t="s">
        <v>12</v>
      </c>
      <c r="Y27" s="38">
        <v>52.3</v>
      </c>
      <c r="Z27" s="28"/>
      <c r="AA27" s="28"/>
      <c r="AB27" s="28"/>
      <c r="AC27" s="28"/>
      <c r="AD27" s="37"/>
      <c r="AE27" s="28"/>
      <c r="AF27" s="28"/>
      <c r="AG27" s="38"/>
      <c r="AH27" s="28"/>
      <c r="AI27" s="28"/>
      <c r="AJ27" s="28"/>
      <c r="AK27" s="28"/>
      <c r="AL27" s="37"/>
      <c r="AM27" s="28"/>
      <c r="AN27" s="28"/>
      <c r="AO27" s="38"/>
      <c r="AP27" s="37"/>
      <c r="AQ27" s="28"/>
      <c r="AR27" s="28"/>
      <c r="AS27" s="38"/>
      <c r="AT27" s="28"/>
      <c r="AU27" s="28"/>
      <c r="AV27" s="28"/>
      <c r="AW27" s="38"/>
      <c r="AX27" s="28"/>
      <c r="AY27" s="28"/>
      <c r="AZ27" s="28"/>
      <c r="BA27" s="39"/>
    </row>
    <row r="28" spans="1:53" x14ac:dyDescent="0.15">
      <c r="A28" s="28">
        <v>1977</v>
      </c>
      <c r="B28" s="293"/>
      <c r="C28" s="394" t="s">
        <v>1271</v>
      </c>
      <c r="D28" s="394"/>
      <c r="E28" s="28">
        <v>0</v>
      </c>
      <c r="F28" s="28"/>
      <c r="G28" s="65"/>
      <c r="H28" s="28"/>
      <c r="I28" s="28">
        <v>12</v>
      </c>
      <c r="J28" s="72">
        <v>12</v>
      </c>
      <c r="K28" s="46">
        <f t="shared" si="0"/>
        <v>0</v>
      </c>
      <c r="L28" s="46">
        <f t="shared" si="1"/>
        <v>0</v>
      </c>
      <c r="M28" s="46">
        <f t="shared" si="2"/>
        <v>100</v>
      </c>
      <c r="N28" s="67">
        <f t="shared" si="3"/>
        <v>100</v>
      </c>
      <c r="O28" s="45"/>
      <c r="P28" s="46"/>
      <c r="Q28" s="46">
        <v>52.3</v>
      </c>
      <c r="R28" s="47">
        <f t="shared" si="4"/>
        <v>52.3</v>
      </c>
      <c r="S28" s="28">
        <v>1</v>
      </c>
      <c r="T28" s="284"/>
      <c r="U28" s="293"/>
      <c r="V28" s="37" t="s">
        <v>984</v>
      </c>
      <c r="W28" s="28" t="s">
        <v>20</v>
      </c>
      <c r="X28" s="28" t="s">
        <v>12</v>
      </c>
      <c r="Y28" s="38">
        <v>52.3</v>
      </c>
      <c r="Z28" s="28"/>
      <c r="AA28" s="28"/>
      <c r="AB28" s="28"/>
      <c r="AC28" s="28"/>
      <c r="AD28" s="37"/>
      <c r="AE28" s="28"/>
      <c r="AF28" s="28"/>
      <c r="AG28" s="38"/>
      <c r="AH28" s="28"/>
      <c r="AI28" s="28"/>
      <c r="AJ28" s="28"/>
      <c r="AK28" s="28"/>
      <c r="AL28" s="37"/>
      <c r="AM28" s="28"/>
      <c r="AN28" s="28"/>
      <c r="AO28" s="38"/>
      <c r="AP28" s="37"/>
      <c r="AQ28" s="28"/>
      <c r="AR28" s="28"/>
      <c r="AS28" s="38"/>
      <c r="AT28" s="28"/>
      <c r="AU28" s="28"/>
      <c r="AV28" s="28"/>
      <c r="AW28" s="38"/>
      <c r="AX28" s="28"/>
      <c r="AY28" s="28"/>
      <c r="AZ28" s="28"/>
      <c r="BA28" s="39"/>
    </row>
    <row r="29" spans="1:53" x14ac:dyDescent="0.15">
      <c r="A29" s="28">
        <v>1977</v>
      </c>
      <c r="B29" s="293"/>
      <c r="C29" s="394" t="s">
        <v>1271</v>
      </c>
      <c r="D29" s="394"/>
      <c r="E29" s="28">
        <v>365</v>
      </c>
      <c r="F29" s="28"/>
      <c r="G29" s="65"/>
      <c r="H29" s="28"/>
      <c r="I29" s="28">
        <v>12</v>
      </c>
      <c r="J29" s="72">
        <v>12</v>
      </c>
      <c r="K29" s="46">
        <f t="shared" si="0"/>
        <v>0</v>
      </c>
      <c r="L29" s="46">
        <f t="shared" si="1"/>
        <v>0</v>
      </c>
      <c r="M29" s="46">
        <f t="shared" si="2"/>
        <v>100</v>
      </c>
      <c r="N29" s="67">
        <f t="shared" si="3"/>
        <v>100</v>
      </c>
      <c r="O29" s="45"/>
      <c r="P29" s="46"/>
      <c r="Q29" s="46">
        <v>52.3</v>
      </c>
      <c r="R29" s="47">
        <f t="shared" si="4"/>
        <v>52.3</v>
      </c>
      <c r="S29" s="28">
        <v>1</v>
      </c>
      <c r="T29" s="284"/>
      <c r="U29" s="293"/>
      <c r="V29" s="37" t="s">
        <v>984</v>
      </c>
      <c r="W29" s="28" t="s">
        <v>20</v>
      </c>
      <c r="X29" s="28" t="s">
        <v>12</v>
      </c>
      <c r="Y29" s="38">
        <v>52.3</v>
      </c>
      <c r="Z29" s="28"/>
      <c r="AA29" s="28"/>
      <c r="AB29" s="28"/>
      <c r="AC29" s="28"/>
      <c r="AD29" s="37"/>
      <c r="AE29" s="28"/>
      <c r="AF29" s="28"/>
      <c r="AG29" s="38"/>
      <c r="AH29" s="28"/>
      <c r="AI29" s="28"/>
      <c r="AJ29" s="28"/>
      <c r="AK29" s="28"/>
      <c r="AL29" s="37"/>
      <c r="AM29" s="28"/>
      <c r="AN29" s="28"/>
      <c r="AO29" s="38"/>
      <c r="AP29" s="37"/>
      <c r="AQ29" s="28"/>
      <c r="AR29" s="28"/>
      <c r="AS29" s="38"/>
      <c r="AT29" s="28"/>
      <c r="AU29" s="28"/>
      <c r="AV29" s="28"/>
      <c r="AW29" s="38"/>
      <c r="AX29" s="28"/>
      <c r="AY29" s="28"/>
      <c r="AZ29" s="28"/>
      <c r="BA29" s="39"/>
    </row>
    <row r="30" spans="1:53" x14ac:dyDescent="0.15">
      <c r="A30" s="28">
        <v>1978</v>
      </c>
      <c r="B30" s="293"/>
      <c r="C30" s="394" t="s">
        <v>1271</v>
      </c>
      <c r="D30" s="394"/>
      <c r="E30" s="28">
        <v>0</v>
      </c>
      <c r="F30" s="28"/>
      <c r="G30" s="65"/>
      <c r="H30" s="28"/>
      <c r="I30" s="28">
        <v>12</v>
      </c>
      <c r="J30" s="72">
        <v>12</v>
      </c>
      <c r="K30" s="46">
        <f t="shared" si="0"/>
        <v>0</v>
      </c>
      <c r="L30" s="46">
        <f t="shared" si="1"/>
        <v>0</v>
      </c>
      <c r="M30" s="46">
        <f t="shared" si="2"/>
        <v>100</v>
      </c>
      <c r="N30" s="67">
        <f t="shared" si="3"/>
        <v>100</v>
      </c>
      <c r="O30" s="45"/>
      <c r="P30" s="46"/>
      <c r="Q30" s="46">
        <v>52.3</v>
      </c>
      <c r="R30" s="47">
        <f t="shared" si="4"/>
        <v>52.3</v>
      </c>
      <c r="S30" s="28">
        <v>1</v>
      </c>
      <c r="T30" s="284"/>
      <c r="U30" s="293"/>
      <c r="V30" s="37" t="s">
        <v>984</v>
      </c>
      <c r="W30" s="28" t="s">
        <v>20</v>
      </c>
      <c r="X30" s="28" t="s">
        <v>12</v>
      </c>
      <c r="Y30" s="38">
        <v>52.3</v>
      </c>
      <c r="Z30" s="28"/>
      <c r="AA30" s="28"/>
      <c r="AB30" s="28"/>
      <c r="AC30" s="28"/>
      <c r="AD30" s="37"/>
      <c r="AE30" s="28"/>
      <c r="AF30" s="28"/>
      <c r="AG30" s="38"/>
      <c r="AH30" s="28"/>
      <c r="AI30" s="28"/>
      <c r="AJ30" s="28"/>
      <c r="AK30" s="28"/>
      <c r="AL30" s="37"/>
      <c r="AM30" s="28"/>
      <c r="AN30" s="28"/>
      <c r="AO30" s="38"/>
      <c r="AP30" s="37"/>
      <c r="AQ30" s="28"/>
      <c r="AR30" s="28"/>
      <c r="AS30" s="38"/>
      <c r="AT30" s="28"/>
      <c r="AU30" s="28"/>
      <c r="AV30" s="28"/>
      <c r="AW30" s="38"/>
      <c r="AX30" s="28"/>
      <c r="AY30" s="28"/>
      <c r="AZ30" s="28"/>
      <c r="BA30" s="39"/>
    </row>
    <row r="31" spans="1:53" x14ac:dyDescent="0.15">
      <c r="A31" s="28">
        <v>1978</v>
      </c>
      <c r="B31" s="293"/>
      <c r="C31" s="394" t="s">
        <v>1271</v>
      </c>
      <c r="D31" s="394"/>
      <c r="E31" s="28">
        <v>365</v>
      </c>
      <c r="F31" s="28"/>
      <c r="G31" s="65"/>
      <c r="H31" s="28"/>
      <c r="I31" s="28">
        <v>12</v>
      </c>
      <c r="J31" s="72">
        <v>12</v>
      </c>
      <c r="K31" s="46">
        <f t="shared" si="0"/>
        <v>0</v>
      </c>
      <c r="L31" s="46">
        <f t="shared" si="1"/>
        <v>0</v>
      </c>
      <c r="M31" s="46">
        <f t="shared" si="2"/>
        <v>100</v>
      </c>
      <c r="N31" s="67">
        <f t="shared" si="3"/>
        <v>100</v>
      </c>
      <c r="O31" s="45"/>
      <c r="P31" s="46"/>
      <c r="Q31" s="46">
        <v>52.3</v>
      </c>
      <c r="R31" s="47">
        <f t="shared" si="4"/>
        <v>52.3</v>
      </c>
      <c r="S31" s="28">
        <v>1</v>
      </c>
      <c r="T31" s="284"/>
      <c r="U31" s="293"/>
      <c r="V31" s="37" t="s">
        <v>984</v>
      </c>
      <c r="W31" s="28" t="s">
        <v>20</v>
      </c>
      <c r="X31" s="28" t="s">
        <v>12</v>
      </c>
      <c r="Y31" s="38">
        <v>52.3</v>
      </c>
      <c r="Z31" s="28"/>
      <c r="AA31" s="28"/>
      <c r="AB31" s="28"/>
      <c r="AC31" s="28"/>
      <c r="AD31" s="37"/>
      <c r="AE31" s="28"/>
      <c r="AF31" s="28"/>
      <c r="AG31" s="38"/>
      <c r="AH31" s="28"/>
      <c r="AI31" s="28"/>
      <c r="AJ31" s="28"/>
      <c r="AK31" s="28"/>
      <c r="AL31" s="37"/>
      <c r="AM31" s="28"/>
      <c r="AN31" s="28"/>
      <c r="AO31" s="38"/>
      <c r="AP31" s="37"/>
      <c r="AQ31" s="28"/>
      <c r="AR31" s="28"/>
      <c r="AS31" s="38"/>
      <c r="AT31" s="28"/>
      <c r="AU31" s="28"/>
      <c r="AV31" s="28"/>
      <c r="AW31" s="38"/>
      <c r="AX31" s="28"/>
      <c r="AY31" s="28"/>
      <c r="AZ31" s="28"/>
      <c r="BA31" s="39"/>
    </row>
    <row r="32" spans="1:53" x14ac:dyDescent="0.15">
      <c r="A32" s="28">
        <v>1979</v>
      </c>
      <c r="B32" s="293"/>
      <c r="C32" s="394" t="s">
        <v>1271</v>
      </c>
      <c r="D32" s="394"/>
      <c r="E32" s="28">
        <v>0</v>
      </c>
      <c r="F32" s="28"/>
      <c r="G32" s="65"/>
      <c r="H32" s="28"/>
      <c r="I32" s="28">
        <v>12</v>
      </c>
      <c r="J32" s="72">
        <v>12</v>
      </c>
      <c r="K32" s="46">
        <f t="shared" si="0"/>
        <v>0</v>
      </c>
      <c r="L32" s="46">
        <f t="shared" si="1"/>
        <v>0</v>
      </c>
      <c r="M32" s="46">
        <f t="shared" si="2"/>
        <v>100</v>
      </c>
      <c r="N32" s="67">
        <f t="shared" si="3"/>
        <v>100</v>
      </c>
      <c r="O32" s="45"/>
      <c r="P32" s="46"/>
      <c r="Q32" s="46">
        <v>52.3</v>
      </c>
      <c r="R32" s="47">
        <f t="shared" si="4"/>
        <v>52.3</v>
      </c>
      <c r="S32" s="28">
        <v>1</v>
      </c>
      <c r="T32" s="284"/>
      <c r="U32" s="293"/>
      <c r="V32" s="37" t="s">
        <v>984</v>
      </c>
      <c r="W32" s="28" t="s">
        <v>20</v>
      </c>
      <c r="X32" s="28" t="s">
        <v>12</v>
      </c>
      <c r="Y32" s="38">
        <v>52.3</v>
      </c>
      <c r="Z32" s="28"/>
      <c r="AA32" s="28"/>
      <c r="AB32" s="28"/>
      <c r="AC32" s="28"/>
      <c r="AD32" s="37"/>
      <c r="AE32" s="28"/>
      <c r="AF32" s="28"/>
      <c r="AG32" s="38"/>
      <c r="AH32" s="28"/>
      <c r="AI32" s="28"/>
      <c r="AJ32" s="28"/>
      <c r="AK32" s="28"/>
      <c r="AL32" s="37"/>
      <c r="AM32" s="28"/>
      <c r="AN32" s="28"/>
      <c r="AO32" s="38"/>
      <c r="AP32" s="37"/>
      <c r="AQ32" s="28"/>
      <c r="AR32" s="28"/>
      <c r="AS32" s="38"/>
      <c r="AT32" s="28"/>
      <c r="AU32" s="28"/>
      <c r="AV32" s="28"/>
      <c r="AW32" s="38"/>
      <c r="AX32" s="28"/>
      <c r="AY32" s="28"/>
      <c r="AZ32" s="28"/>
      <c r="BA32" s="39"/>
    </row>
    <row r="33" spans="1:53" x14ac:dyDescent="0.15">
      <c r="A33" s="28">
        <v>1979</v>
      </c>
      <c r="B33" s="293"/>
      <c r="C33" s="394" t="s">
        <v>1271</v>
      </c>
      <c r="D33" s="394"/>
      <c r="E33" s="28">
        <v>365</v>
      </c>
      <c r="F33" s="28"/>
      <c r="G33" s="65"/>
      <c r="H33" s="28"/>
      <c r="I33" s="28">
        <v>12</v>
      </c>
      <c r="J33" s="72">
        <v>12</v>
      </c>
      <c r="K33" s="46">
        <f t="shared" si="0"/>
        <v>0</v>
      </c>
      <c r="L33" s="46">
        <f t="shared" si="1"/>
        <v>0</v>
      </c>
      <c r="M33" s="46">
        <f t="shared" si="2"/>
        <v>100</v>
      </c>
      <c r="N33" s="67">
        <f t="shared" si="3"/>
        <v>100</v>
      </c>
      <c r="O33" s="45"/>
      <c r="P33" s="46"/>
      <c r="Q33" s="46">
        <v>52.3</v>
      </c>
      <c r="R33" s="47">
        <f t="shared" si="4"/>
        <v>52.3</v>
      </c>
      <c r="S33" s="28">
        <v>1</v>
      </c>
      <c r="T33" s="284"/>
      <c r="U33" s="293"/>
      <c r="V33" s="37" t="s">
        <v>984</v>
      </c>
      <c r="W33" s="28" t="s">
        <v>20</v>
      </c>
      <c r="X33" s="28" t="s">
        <v>12</v>
      </c>
      <c r="Y33" s="38">
        <v>52.3</v>
      </c>
      <c r="Z33" s="28"/>
      <c r="AA33" s="28"/>
      <c r="AB33" s="28"/>
      <c r="AC33" s="28"/>
      <c r="AD33" s="37"/>
      <c r="AE33" s="28"/>
      <c r="AF33" s="28"/>
      <c r="AG33" s="38"/>
      <c r="AH33" s="28"/>
      <c r="AI33" s="28"/>
      <c r="AJ33" s="28"/>
      <c r="AK33" s="28"/>
      <c r="AL33" s="37"/>
      <c r="AM33" s="28"/>
      <c r="AN33" s="28"/>
      <c r="AO33" s="38"/>
      <c r="AP33" s="37"/>
      <c r="AQ33" s="28"/>
      <c r="AR33" s="28"/>
      <c r="AS33" s="38"/>
      <c r="AT33" s="28"/>
      <c r="AU33" s="28"/>
      <c r="AV33" s="28"/>
      <c r="AW33" s="38"/>
      <c r="AX33" s="28"/>
      <c r="AY33" s="28"/>
      <c r="AZ33" s="28"/>
      <c r="BA33" s="39"/>
    </row>
    <row r="34" spans="1:53" x14ac:dyDescent="0.15">
      <c r="A34" s="28">
        <v>1980</v>
      </c>
      <c r="B34" s="293"/>
      <c r="C34" s="394" t="s">
        <v>1271</v>
      </c>
      <c r="D34" s="394"/>
      <c r="E34" s="28">
        <v>0</v>
      </c>
      <c r="F34" s="28"/>
      <c r="G34" s="65"/>
      <c r="H34" s="28"/>
      <c r="I34" s="28">
        <v>12</v>
      </c>
      <c r="J34" s="72">
        <v>12</v>
      </c>
      <c r="K34" s="46">
        <f t="shared" si="0"/>
        <v>0</v>
      </c>
      <c r="L34" s="46">
        <f t="shared" si="1"/>
        <v>0</v>
      </c>
      <c r="M34" s="46">
        <f t="shared" si="2"/>
        <v>100</v>
      </c>
      <c r="N34" s="67">
        <f t="shared" si="3"/>
        <v>100</v>
      </c>
      <c r="O34" s="45"/>
      <c r="P34" s="46"/>
      <c r="Q34" s="46">
        <v>52.3</v>
      </c>
      <c r="R34" s="47">
        <f t="shared" si="4"/>
        <v>52.3</v>
      </c>
      <c r="S34" s="28">
        <v>1</v>
      </c>
      <c r="T34" s="284"/>
      <c r="U34" s="293"/>
      <c r="V34" s="37" t="s">
        <v>984</v>
      </c>
      <c r="W34" s="28" t="s">
        <v>20</v>
      </c>
      <c r="X34" s="28" t="s">
        <v>12</v>
      </c>
      <c r="Y34" s="38">
        <v>52.3</v>
      </c>
      <c r="Z34" s="28"/>
      <c r="AA34" s="28"/>
      <c r="AB34" s="28"/>
      <c r="AC34" s="28"/>
      <c r="AD34" s="37"/>
      <c r="AE34" s="28"/>
      <c r="AF34" s="28"/>
      <c r="AG34" s="38"/>
      <c r="AH34" s="28"/>
      <c r="AI34" s="28"/>
      <c r="AJ34" s="28"/>
      <c r="AK34" s="28"/>
      <c r="AL34" s="37"/>
      <c r="AM34" s="28"/>
      <c r="AN34" s="28"/>
      <c r="AO34" s="38"/>
      <c r="AP34" s="37"/>
      <c r="AQ34" s="28"/>
      <c r="AR34" s="28"/>
      <c r="AS34" s="38"/>
      <c r="AT34" s="28"/>
      <c r="AU34" s="28"/>
      <c r="AV34" s="28"/>
      <c r="AW34" s="38"/>
      <c r="AX34" s="28"/>
      <c r="AY34" s="28"/>
      <c r="AZ34" s="28"/>
      <c r="BA34" s="39"/>
    </row>
    <row r="35" spans="1:53" x14ac:dyDescent="0.15">
      <c r="A35" s="28">
        <v>1980</v>
      </c>
      <c r="B35" s="293"/>
      <c r="C35" s="394" t="s">
        <v>1271</v>
      </c>
      <c r="D35" s="394"/>
      <c r="E35" s="28">
        <v>366</v>
      </c>
      <c r="F35" s="28"/>
      <c r="G35" s="65"/>
      <c r="H35" s="28"/>
      <c r="I35" s="28">
        <v>12</v>
      </c>
      <c r="J35" s="72">
        <v>12</v>
      </c>
      <c r="K35" s="46">
        <f t="shared" si="0"/>
        <v>0</v>
      </c>
      <c r="L35" s="46">
        <f t="shared" si="1"/>
        <v>0</v>
      </c>
      <c r="M35" s="46">
        <f t="shared" si="2"/>
        <v>100</v>
      </c>
      <c r="N35" s="67">
        <f t="shared" si="3"/>
        <v>100</v>
      </c>
      <c r="O35" s="45"/>
      <c r="P35" s="46"/>
      <c r="Q35" s="46">
        <v>52.3</v>
      </c>
      <c r="R35" s="47">
        <f t="shared" si="4"/>
        <v>52.3</v>
      </c>
      <c r="S35" s="28">
        <v>1</v>
      </c>
      <c r="T35" s="284"/>
      <c r="U35" s="293"/>
      <c r="V35" s="37" t="s">
        <v>984</v>
      </c>
      <c r="W35" s="28" t="s">
        <v>20</v>
      </c>
      <c r="X35" s="28" t="s">
        <v>12</v>
      </c>
      <c r="Y35" s="38">
        <v>52.3</v>
      </c>
      <c r="Z35" s="28"/>
      <c r="AA35" s="28"/>
      <c r="AB35" s="28"/>
      <c r="AC35" s="28"/>
      <c r="AD35" s="37"/>
      <c r="AE35" s="28"/>
      <c r="AF35" s="28"/>
      <c r="AG35" s="38"/>
      <c r="AH35" s="28"/>
      <c r="AI35" s="28"/>
      <c r="AJ35" s="28"/>
      <c r="AK35" s="28"/>
      <c r="AL35" s="37"/>
      <c r="AM35" s="28"/>
      <c r="AN35" s="28"/>
      <c r="AO35" s="38"/>
      <c r="AP35" s="37"/>
      <c r="AQ35" s="28"/>
      <c r="AR35" s="28"/>
      <c r="AS35" s="38"/>
      <c r="AT35" s="28"/>
      <c r="AU35" s="28"/>
      <c r="AV35" s="28"/>
      <c r="AW35" s="38"/>
      <c r="AX35" s="28"/>
      <c r="AY35" s="28"/>
      <c r="AZ35" s="28"/>
      <c r="BA35" s="39"/>
    </row>
    <row r="36" spans="1:53" x14ac:dyDescent="0.15">
      <c r="A36" s="28">
        <v>1981</v>
      </c>
      <c r="B36" s="293"/>
      <c r="C36" s="394" t="s">
        <v>1271</v>
      </c>
      <c r="D36" s="394"/>
      <c r="E36" s="28">
        <v>351</v>
      </c>
      <c r="F36" s="28"/>
      <c r="G36" s="65"/>
      <c r="H36" s="28"/>
      <c r="I36" s="28">
        <v>12</v>
      </c>
      <c r="J36" s="72">
        <v>12</v>
      </c>
      <c r="K36" s="46">
        <f t="shared" si="0"/>
        <v>0</v>
      </c>
      <c r="L36" s="46">
        <f t="shared" si="1"/>
        <v>0</v>
      </c>
      <c r="M36" s="46">
        <f t="shared" si="2"/>
        <v>100</v>
      </c>
      <c r="N36" s="67">
        <f t="shared" si="3"/>
        <v>100</v>
      </c>
      <c r="O36" s="45"/>
      <c r="P36" s="46"/>
      <c r="Q36" s="46">
        <v>52.3</v>
      </c>
      <c r="R36" s="47">
        <f t="shared" si="4"/>
        <v>52.3</v>
      </c>
      <c r="S36" s="28">
        <v>1</v>
      </c>
      <c r="T36" s="284"/>
      <c r="U36" s="293"/>
      <c r="V36" s="37" t="s">
        <v>984</v>
      </c>
      <c r="W36" s="28" t="s">
        <v>20</v>
      </c>
      <c r="X36" s="28" t="s">
        <v>12</v>
      </c>
      <c r="Y36" s="38">
        <v>52.3</v>
      </c>
      <c r="Z36" s="28"/>
      <c r="AA36" s="28"/>
      <c r="AB36" s="28"/>
      <c r="AC36" s="28"/>
      <c r="AD36" s="37"/>
      <c r="AE36" s="28"/>
      <c r="AF36" s="28"/>
      <c r="AG36" s="38"/>
      <c r="AH36" s="28"/>
      <c r="AI36" s="28"/>
      <c r="AJ36" s="28"/>
      <c r="AK36" s="28"/>
      <c r="AL36" s="37"/>
      <c r="AM36" s="28"/>
      <c r="AN36" s="28"/>
      <c r="AO36" s="38"/>
      <c r="AP36" s="37"/>
      <c r="AQ36" s="28"/>
      <c r="AR36" s="28"/>
      <c r="AS36" s="38"/>
      <c r="AT36" s="28"/>
      <c r="AU36" s="28"/>
      <c r="AV36" s="28"/>
      <c r="AW36" s="38"/>
      <c r="AX36" s="28"/>
      <c r="AY36" s="28"/>
      <c r="AZ36" s="28"/>
      <c r="BA36" s="39"/>
    </row>
    <row r="37" spans="1:53" x14ac:dyDescent="0.15">
      <c r="A37" s="170">
        <v>1981</v>
      </c>
      <c r="B37" s="281">
        <v>29938</v>
      </c>
      <c r="C37" s="395" t="s">
        <v>1272</v>
      </c>
      <c r="D37" s="395"/>
      <c r="E37" s="170">
        <f>365-E36</f>
        <v>14</v>
      </c>
      <c r="F37" s="170">
        <v>1</v>
      </c>
      <c r="G37" s="232"/>
      <c r="H37" s="170"/>
      <c r="I37" s="170">
        <v>14</v>
      </c>
      <c r="J37" s="240">
        <v>14</v>
      </c>
      <c r="K37" s="213">
        <f t="shared" si="0"/>
        <v>0</v>
      </c>
      <c r="L37" s="213">
        <f t="shared" si="1"/>
        <v>0</v>
      </c>
      <c r="M37" s="213">
        <f t="shared" si="2"/>
        <v>100</v>
      </c>
      <c r="N37" s="234">
        <f t="shared" si="3"/>
        <v>100</v>
      </c>
      <c r="O37" s="212"/>
      <c r="P37" s="213"/>
      <c r="Q37" s="213">
        <v>52.3</v>
      </c>
      <c r="R37" s="214">
        <f t="shared" si="4"/>
        <v>52.3</v>
      </c>
      <c r="S37" s="189">
        <v>1</v>
      </c>
      <c r="T37" s="283">
        <v>29932</v>
      </c>
      <c r="U37" s="281">
        <v>29938</v>
      </c>
      <c r="V37" s="177" t="s">
        <v>984</v>
      </c>
      <c r="W37" s="170" t="s">
        <v>20</v>
      </c>
      <c r="X37" s="170" t="s">
        <v>12</v>
      </c>
      <c r="Y37" s="178">
        <v>47.7</v>
      </c>
      <c r="Z37" s="170"/>
      <c r="AA37" s="170"/>
      <c r="AB37" s="170"/>
      <c r="AC37" s="170"/>
      <c r="AD37" s="177"/>
      <c r="AE37" s="170"/>
      <c r="AF37" s="170"/>
      <c r="AG37" s="178"/>
      <c r="AH37" s="170"/>
      <c r="AI37" s="170"/>
      <c r="AJ37" s="170"/>
      <c r="AK37" s="170"/>
      <c r="AL37" s="177"/>
      <c r="AM37" s="170"/>
      <c r="AN37" s="170"/>
      <c r="AO37" s="178"/>
      <c r="AP37" s="177"/>
      <c r="AQ37" s="170"/>
      <c r="AR37" s="170"/>
      <c r="AS37" s="178"/>
      <c r="AT37" s="170"/>
      <c r="AU37" s="170"/>
      <c r="AV37" s="170"/>
      <c r="AW37" s="178"/>
      <c r="AX37" s="170"/>
      <c r="AY37" s="170"/>
      <c r="AZ37" s="170"/>
      <c r="BA37" s="179"/>
    </row>
    <row r="38" spans="1:53" x14ac:dyDescent="0.15">
      <c r="A38" s="170">
        <v>1982</v>
      </c>
      <c r="B38" s="281"/>
      <c r="C38" s="395" t="s">
        <v>1272</v>
      </c>
      <c r="D38" s="395"/>
      <c r="E38" s="170">
        <v>0</v>
      </c>
      <c r="F38" s="170"/>
      <c r="G38" s="232"/>
      <c r="H38" s="170"/>
      <c r="I38" s="170">
        <v>14</v>
      </c>
      <c r="J38" s="240">
        <v>14</v>
      </c>
      <c r="K38" s="213">
        <f t="shared" si="0"/>
        <v>0</v>
      </c>
      <c r="L38" s="213">
        <f t="shared" si="1"/>
        <v>0</v>
      </c>
      <c r="M38" s="213">
        <f t="shared" si="2"/>
        <v>100</v>
      </c>
      <c r="N38" s="234">
        <f t="shared" si="3"/>
        <v>100</v>
      </c>
      <c r="O38" s="212"/>
      <c r="P38" s="213"/>
      <c r="Q38" s="213">
        <v>52.3</v>
      </c>
      <c r="R38" s="214">
        <f t="shared" si="4"/>
        <v>52.3</v>
      </c>
      <c r="S38" s="189">
        <v>1</v>
      </c>
      <c r="T38" s="283"/>
      <c r="U38" s="281"/>
      <c r="V38" s="177" t="s">
        <v>984</v>
      </c>
      <c r="W38" s="170" t="s">
        <v>20</v>
      </c>
      <c r="X38" s="170" t="s">
        <v>12</v>
      </c>
      <c r="Y38" s="178">
        <v>47.7</v>
      </c>
      <c r="Z38" s="170"/>
      <c r="AA38" s="170"/>
      <c r="AB38" s="170"/>
      <c r="AC38" s="170"/>
      <c r="AD38" s="177"/>
      <c r="AE38" s="170"/>
      <c r="AF38" s="170"/>
      <c r="AG38" s="178"/>
      <c r="AH38" s="170"/>
      <c r="AI38" s="170"/>
      <c r="AJ38" s="170"/>
      <c r="AK38" s="170"/>
      <c r="AL38" s="177"/>
      <c r="AM38" s="170"/>
      <c r="AN38" s="170"/>
      <c r="AO38" s="178"/>
      <c r="AP38" s="177"/>
      <c r="AQ38" s="170"/>
      <c r="AR38" s="170"/>
      <c r="AS38" s="178"/>
      <c r="AT38" s="170"/>
      <c r="AU38" s="170"/>
      <c r="AV38" s="170"/>
      <c r="AW38" s="178"/>
      <c r="AX38" s="170"/>
      <c r="AY38" s="170"/>
      <c r="AZ38" s="170"/>
      <c r="BA38" s="179"/>
    </row>
    <row r="39" spans="1:53" x14ac:dyDescent="0.15">
      <c r="A39" s="170">
        <v>1982</v>
      </c>
      <c r="B39" s="281"/>
      <c r="C39" s="395" t="s">
        <v>1272</v>
      </c>
      <c r="D39" s="395"/>
      <c r="E39" s="170">
        <v>365</v>
      </c>
      <c r="F39" s="170"/>
      <c r="G39" s="232"/>
      <c r="H39" s="170"/>
      <c r="I39" s="170">
        <v>14</v>
      </c>
      <c r="J39" s="240">
        <v>14</v>
      </c>
      <c r="K39" s="213">
        <f t="shared" ref="K39:K70" si="5">G39/J39*100</f>
        <v>0</v>
      </c>
      <c r="L39" s="213">
        <f t="shared" ref="L39:L70" si="6">H39/J39*100</f>
        <v>0</v>
      </c>
      <c r="M39" s="213">
        <f t="shared" ref="M39:M70" si="7">I39/J39*100</f>
        <v>100</v>
      </c>
      <c r="N39" s="234">
        <f t="shared" ref="N39:N70" si="8">K39+L39+M39</f>
        <v>100</v>
      </c>
      <c r="O39" s="212"/>
      <c r="P39" s="213"/>
      <c r="Q39" s="213">
        <v>52.3</v>
      </c>
      <c r="R39" s="214">
        <f t="shared" ref="R39:R70" si="9">O39+P39+Q39</f>
        <v>52.3</v>
      </c>
      <c r="S39" s="189">
        <v>1</v>
      </c>
      <c r="T39" s="283"/>
      <c r="U39" s="281"/>
      <c r="V39" s="177" t="s">
        <v>984</v>
      </c>
      <c r="W39" s="170" t="s">
        <v>20</v>
      </c>
      <c r="X39" s="170" t="s">
        <v>12</v>
      </c>
      <c r="Y39" s="178">
        <v>47.7</v>
      </c>
      <c r="Z39" s="170"/>
      <c r="AA39" s="170"/>
      <c r="AB39" s="170"/>
      <c r="AC39" s="170"/>
      <c r="AD39" s="177"/>
      <c r="AE39" s="170"/>
      <c r="AF39" s="170"/>
      <c r="AG39" s="178"/>
      <c r="AH39" s="170"/>
      <c r="AI39" s="170"/>
      <c r="AJ39" s="170"/>
      <c r="AK39" s="170"/>
      <c r="AL39" s="177"/>
      <c r="AM39" s="170"/>
      <c r="AN39" s="170"/>
      <c r="AO39" s="178"/>
      <c r="AP39" s="177"/>
      <c r="AQ39" s="170"/>
      <c r="AR39" s="170"/>
      <c r="AS39" s="178"/>
      <c r="AT39" s="170"/>
      <c r="AU39" s="170"/>
      <c r="AV39" s="170"/>
      <c r="AW39" s="178"/>
      <c r="AX39" s="170"/>
      <c r="AY39" s="170"/>
      <c r="AZ39" s="170"/>
      <c r="BA39" s="179"/>
    </row>
    <row r="40" spans="1:53" x14ac:dyDescent="0.15">
      <c r="A40" s="170">
        <v>1983</v>
      </c>
      <c r="B40" s="281"/>
      <c r="C40" s="395" t="s">
        <v>1272</v>
      </c>
      <c r="D40" s="395"/>
      <c r="E40" s="170">
        <v>0</v>
      </c>
      <c r="F40" s="170"/>
      <c r="G40" s="232"/>
      <c r="H40" s="170"/>
      <c r="I40" s="170">
        <v>14</v>
      </c>
      <c r="J40" s="240">
        <v>14</v>
      </c>
      <c r="K40" s="213">
        <f t="shared" si="5"/>
        <v>0</v>
      </c>
      <c r="L40" s="213">
        <f t="shared" si="6"/>
        <v>0</v>
      </c>
      <c r="M40" s="213">
        <f t="shared" si="7"/>
        <v>100</v>
      </c>
      <c r="N40" s="234">
        <f t="shared" si="8"/>
        <v>100</v>
      </c>
      <c r="O40" s="212"/>
      <c r="P40" s="213"/>
      <c r="Q40" s="213">
        <v>52.3</v>
      </c>
      <c r="R40" s="214">
        <f t="shared" si="9"/>
        <v>52.3</v>
      </c>
      <c r="S40" s="189">
        <v>1</v>
      </c>
      <c r="T40" s="283"/>
      <c r="U40" s="281"/>
      <c r="V40" s="177" t="s">
        <v>984</v>
      </c>
      <c r="W40" s="170" t="s">
        <v>20</v>
      </c>
      <c r="X40" s="170" t="s">
        <v>12</v>
      </c>
      <c r="Y40" s="178">
        <v>47.7</v>
      </c>
      <c r="Z40" s="170"/>
      <c r="AA40" s="170"/>
      <c r="AB40" s="170"/>
      <c r="AC40" s="170"/>
      <c r="AD40" s="177"/>
      <c r="AE40" s="170"/>
      <c r="AF40" s="170"/>
      <c r="AG40" s="178"/>
      <c r="AH40" s="170"/>
      <c r="AI40" s="170"/>
      <c r="AJ40" s="170"/>
      <c r="AK40" s="170"/>
      <c r="AL40" s="177"/>
      <c r="AM40" s="170"/>
      <c r="AN40" s="170"/>
      <c r="AO40" s="178"/>
      <c r="AP40" s="177"/>
      <c r="AQ40" s="170"/>
      <c r="AR40" s="170"/>
      <c r="AS40" s="178"/>
      <c r="AT40" s="170"/>
      <c r="AU40" s="170"/>
      <c r="AV40" s="170"/>
      <c r="AW40" s="178"/>
      <c r="AX40" s="170"/>
      <c r="AY40" s="170"/>
      <c r="AZ40" s="170"/>
      <c r="BA40" s="179"/>
    </row>
    <row r="41" spans="1:53" x14ac:dyDescent="0.15">
      <c r="A41" s="170">
        <v>1983</v>
      </c>
      <c r="B41" s="281"/>
      <c r="C41" s="395" t="s">
        <v>1272</v>
      </c>
      <c r="D41" s="395"/>
      <c r="E41" s="170">
        <v>365</v>
      </c>
      <c r="F41" s="170"/>
      <c r="G41" s="232"/>
      <c r="H41" s="170"/>
      <c r="I41" s="170">
        <v>14</v>
      </c>
      <c r="J41" s="240">
        <v>14</v>
      </c>
      <c r="K41" s="213">
        <f t="shared" si="5"/>
        <v>0</v>
      </c>
      <c r="L41" s="213">
        <f t="shared" si="6"/>
        <v>0</v>
      </c>
      <c r="M41" s="213">
        <f t="shared" si="7"/>
        <v>100</v>
      </c>
      <c r="N41" s="234">
        <f t="shared" si="8"/>
        <v>100</v>
      </c>
      <c r="O41" s="212"/>
      <c r="P41" s="213"/>
      <c r="Q41" s="213">
        <v>52.3</v>
      </c>
      <c r="R41" s="214">
        <f t="shared" si="9"/>
        <v>52.3</v>
      </c>
      <c r="S41" s="189">
        <v>1</v>
      </c>
      <c r="T41" s="283"/>
      <c r="U41" s="281"/>
      <c r="V41" s="177" t="s">
        <v>984</v>
      </c>
      <c r="W41" s="170" t="s">
        <v>20</v>
      </c>
      <c r="X41" s="170" t="s">
        <v>12</v>
      </c>
      <c r="Y41" s="178">
        <v>47.7</v>
      </c>
      <c r="Z41" s="170"/>
      <c r="AA41" s="170"/>
      <c r="AB41" s="170"/>
      <c r="AC41" s="170"/>
      <c r="AD41" s="177"/>
      <c r="AE41" s="170"/>
      <c r="AF41" s="170"/>
      <c r="AG41" s="178"/>
      <c r="AH41" s="170"/>
      <c r="AI41" s="170"/>
      <c r="AJ41" s="170"/>
      <c r="AK41" s="170"/>
      <c r="AL41" s="177"/>
      <c r="AM41" s="170"/>
      <c r="AN41" s="170"/>
      <c r="AO41" s="178"/>
      <c r="AP41" s="177"/>
      <c r="AQ41" s="170"/>
      <c r="AR41" s="170"/>
      <c r="AS41" s="178"/>
      <c r="AT41" s="170"/>
      <c r="AU41" s="170"/>
      <c r="AV41" s="170"/>
      <c r="AW41" s="178"/>
      <c r="AX41" s="170"/>
      <c r="AY41" s="170"/>
      <c r="AZ41" s="170"/>
      <c r="BA41" s="179"/>
    </row>
    <row r="42" spans="1:53" x14ac:dyDescent="0.15">
      <c r="A42" s="170">
        <v>1984</v>
      </c>
      <c r="B42" s="281"/>
      <c r="C42" s="395" t="s">
        <v>1272</v>
      </c>
      <c r="D42" s="395"/>
      <c r="E42" s="170">
        <v>357</v>
      </c>
      <c r="F42" s="170"/>
      <c r="G42" s="232"/>
      <c r="H42" s="170"/>
      <c r="I42" s="170">
        <v>14</v>
      </c>
      <c r="J42" s="240">
        <v>14</v>
      </c>
      <c r="K42" s="213">
        <f t="shared" si="5"/>
        <v>0</v>
      </c>
      <c r="L42" s="213">
        <f t="shared" si="6"/>
        <v>0</v>
      </c>
      <c r="M42" s="213">
        <f t="shared" si="7"/>
        <v>100</v>
      </c>
      <c r="N42" s="234">
        <f t="shared" si="8"/>
        <v>100</v>
      </c>
      <c r="O42" s="212"/>
      <c r="P42" s="213"/>
      <c r="Q42" s="213">
        <v>52.3</v>
      </c>
      <c r="R42" s="214">
        <f t="shared" si="9"/>
        <v>52.3</v>
      </c>
      <c r="S42" s="189">
        <v>1</v>
      </c>
      <c r="T42" s="283"/>
      <c r="U42" s="281"/>
      <c r="V42" s="177" t="s">
        <v>984</v>
      </c>
      <c r="W42" s="170" t="s">
        <v>20</v>
      </c>
      <c r="X42" s="170" t="s">
        <v>12</v>
      </c>
      <c r="Y42" s="178">
        <v>47.7</v>
      </c>
      <c r="Z42" s="170"/>
      <c r="AA42" s="170"/>
      <c r="AB42" s="170"/>
      <c r="AC42" s="170"/>
      <c r="AD42" s="177"/>
      <c r="AE42" s="170"/>
      <c r="AF42" s="170"/>
      <c r="AG42" s="178"/>
      <c r="AH42" s="170"/>
      <c r="AI42" s="170"/>
      <c r="AJ42" s="170"/>
      <c r="AK42" s="170"/>
      <c r="AL42" s="177"/>
      <c r="AM42" s="170"/>
      <c r="AN42" s="170"/>
      <c r="AO42" s="178"/>
      <c r="AP42" s="177"/>
      <c r="AQ42" s="170"/>
      <c r="AR42" s="170"/>
      <c r="AS42" s="178"/>
      <c r="AT42" s="170"/>
      <c r="AU42" s="170"/>
      <c r="AV42" s="170"/>
      <c r="AW42" s="178"/>
      <c r="AX42" s="170"/>
      <c r="AY42" s="170"/>
      <c r="AZ42" s="170"/>
      <c r="BA42" s="179"/>
    </row>
    <row r="43" spans="1:53" x14ac:dyDescent="0.15">
      <c r="A43" s="28">
        <v>1984</v>
      </c>
      <c r="B43" s="293">
        <v>31039</v>
      </c>
      <c r="C43" s="394" t="s">
        <v>1273</v>
      </c>
      <c r="D43" s="394"/>
      <c r="E43" s="28">
        <f>366-E42</f>
        <v>9</v>
      </c>
      <c r="F43" s="28">
        <v>2</v>
      </c>
      <c r="G43" s="65"/>
      <c r="H43" s="28"/>
      <c r="I43" s="28">
        <v>12</v>
      </c>
      <c r="J43" s="72">
        <v>12</v>
      </c>
      <c r="K43" s="46">
        <f t="shared" si="5"/>
        <v>0</v>
      </c>
      <c r="L43" s="46">
        <f t="shared" si="6"/>
        <v>0</v>
      </c>
      <c r="M43" s="46">
        <f t="shared" si="7"/>
        <v>100</v>
      </c>
      <c r="N43" s="67">
        <f t="shared" si="8"/>
        <v>100</v>
      </c>
      <c r="O43" s="45"/>
      <c r="P43" s="46"/>
      <c r="Q43" s="46">
        <v>52.3</v>
      </c>
      <c r="R43" s="47">
        <f t="shared" si="9"/>
        <v>52.3</v>
      </c>
      <c r="S43" s="28">
        <v>1</v>
      </c>
      <c r="T43" s="284"/>
      <c r="U43" s="293">
        <v>31039</v>
      </c>
      <c r="V43" s="37" t="s">
        <v>984</v>
      </c>
      <c r="W43" s="28" t="s">
        <v>20</v>
      </c>
      <c r="X43" s="28" t="s">
        <v>12</v>
      </c>
      <c r="Y43" s="38">
        <v>47.7</v>
      </c>
      <c r="Z43" s="28"/>
      <c r="AA43" s="28"/>
      <c r="AB43" s="28"/>
      <c r="AC43" s="28"/>
      <c r="AD43" s="37"/>
      <c r="AE43" s="28"/>
      <c r="AF43" s="28"/>
      <c r="AG43" s="38"/>
      <c r="AH43" s="28"/>
      <c r="AI43" s="28"/>
      <c r="AJ43" s="28"/>
      <c r="AK43" s="28"/>
      <c r="AL43" s="37"/>
      <c r="AM43" s="28"/>
      <c r="AN43" s="28"/>
      <c r="AO43" s="38"/>
      <c r="AP43" s="37"/>
      <c r="AQ43" s="28"/>
      <c r="AR43" s="28"/>
      <c r="AS43" s="38"/>
      <c r="AT43" s="28"/>
      <c r="AU43" s="28"/>
      <c r="AV43" s="28"/>
      <c r="AW43" s="38"/>
      <c r="AX43" s="28"/>
      <c r="AY43" s="28"/>
      <c r="AZ43" s="28"/>
      <c r="BA43" s="39"/>
    </row>
    <row r="44" spans="1:53" x14ac:dyDescent="0.15">
      <c r="A44" s="28">
        <v>1985</v>
      </c>
      <c r="B44" s="293"/>
      <c r="C44" s="394" t="s">
        <v>1273</v>
      </c>
      <c r="D44" s="394"/>
      <c r="E44" s="28">
        <v>0</v>
      </c>
      <c r="F44" s="28"/>
      <c r="G44" s="65"/>
      <c r="H44" s="28"/>
      <c r="I44" s="28">
        <v>12</v>
      </c>
      <c r="J44" s="72">
        <v>12</v>
      </c>
      <c r="K44" s="46">
        <f t="shared" si="5"/>
        <v>0</v>
      </c>
      <c r="L44" s="46">
        <f t="shared" si="6"/>
        <v>0</v>
      </c>
      <c r="M44" s="46">
        <f t="shared" si="7"/>
        <v>100</v>
      </c>
      <c r="N44" s="67">
        <f t="shared" si="8"/>
        <v>100</v>
      </c>
      <c r="O44" s="45"/>
      <c r="P44" s="46"/>
      <c r="Q44" s="46">
        <v>52.3</v>
      </c>
      <c r="R44" s="47">
        <f t="shared" si="9"/>
        <v>52.3</v>
      </c>
      <c r="S44" s="28">
        <v>1</v>
      </c>
      <c r="T44" s="284"/>
      <c r="U44" s="293"/>
      <c r="V44" s="37" t="s">
        <v>984</v>
      </c>
      <c r="W44" s="28" t="s">
        <v>20</v>
      </c>
      <c r="X44" s="28" t="s">
        <v>12</v>
      </c>
      <c r="Y44" s="38">
        <v>47.7</v>
      </c>
      <c r="Z44" s="28"/>
      <c r="AA44" s="28"/>
      <c r="AB44" s="28"/>
      <c r="AC44" s="28"/>
      <c r="AD44" s="37"/>
      <c r="AE44" s="28"/>
      <c r="AF44" s="28"/>
      <c r="AG44" s="38"/>
      <c r="AH44" s="28"/>
      <c r="AI44" s="28"/>
      <c r="AJ44" s="28"/>
      <c r="AK44" s="28"/>
      <c r="AL44" s="37"/>
      <c r="AM44" s="28"/>
      <c r="AN44" s="28"/>
      <c r="AO44" s="38"/>
      <c r="AP44" s="37"/>
      <c r="AQ44" s="28"/>
      <c r="AR44" s="28"/>
      <c r="AS44" s="38"/>
      <c r="AT44" s="28"/>
      <c r="AU44" s="28"/>
      <c r="AV44" s="28"/>
      <c r="AW44" s="38"/>
      <c r="AX44" s="28"/>
      <c r="AY44" s="28"/>
      <c r="AZ44" s="28"/>
      <c r="BA44" s="39"/>
    </row>
    <row r="45" spans="1:53" x14ac:dyDescent="0.15">
      <c r="A45" s="28">
        <v>1985</v>
      </c>
      <c r="B45" s="293"/>
      <c r="C45" s="394" t="s">
        <v>1273</v>
      </c>
      <c r="D45" s="394"/>
      <c r="E45" s="28">
        <v>365</v>
      </c>
      <c r="F45" s="28"/>
      <c r="G45" s="65"/>
      <c r="H45" s="28"/>
      <c r="I45" s="28">
        <v>12</v>
      </c>
      <c r="J45" s="72">
        <v>12</v>
      </c>
      <c r="K45" s="46">
        <f t="shared" si="5"/>
        <v>0</v>
      </c>
      <c r="L45" s="46">
        <f t="shared" si="6"/>
        <v>0</v>
      </c>
      <c r="M45" s="46">
        <f t="shared" si="7"/>
        <v>100</v>
      </c>
      <c r="N45" s="67">
        <f t="shared" si="8"/>
        <v>100</v>
      </c>
      <c r="O45" s="45"/>
      <c r="P45" s="46"/>
      <c r="Q45" s="46">
        <v>52.3</v>
      </c>
      <c r="R45" s="47">
        <f t="shared" si="9"/>
        <v>52.3</v>
      </c>
      <c r="S45" s="28">
        <v>1</v>
      </c>
      <c r="T45" s="284"/>
      <c r="U45" s="293"/>
      <c r="V45" s="37" t="s">
        <v>984</v>
      </c>
      <c r="W45" s="28" t="s">
        <v>20</v>
      </c>
      <c r="X45" s="28" t="s">
        <v>12</v>
      </c>
      <c r="Y45" s="38">
        <v>47.7</v>
      </c>
      <c r="Z45" s="28"/>
      <c r="AA45" s="28"/>
      <c r="AB45" s="28"/>
      <c r="AC45" s="28"/>
      <c r="AD45" s="37"/>
      <c r="AE45" s="28"/>
      <c r="AF45" s="28"/>
      <c r="AG45" s="38"/>
      <c r="AH45" s="28"/>
      <c r="AI45" s="28"/>
      <c r="AJ45" s="28"/>
      <c r="AK45" s="28"/>
      <c r="AL45" s="37"/>
      <c r="AM45" s="28"/>
      <c r="AN45" s="28"/>
      <c r="AO45" s="38"/>
      <c r="AP45" s="37"/>
      <c r="AQ45" s="28"/>
      <c r="AR45" s="28"/>
      <c r="AS45" s="38"/>
      <c r="AT45" s="28"/>
      <c r="AU45" s="28"/>
      <c r="AV45" s="28"/>
      <c r="AW45" s="38"/>
      <c r="AX45" s="28"/>
      <c r="AY45" s="28"/>
      <c r="AZ45" s="28"/>
      <c r="BA45" s="39"/>
    </row>
    <row r="46" spans="1:53" x14ac:dyDescent="0.15">
      <c r="A46" s="28">
        <v>1986</v>
      </c>
      <c r="B46" s="293"/>
      <c r="C46" s="394" t="s">
        <v>1273</v>
      </c>
      <c r="D46" s="394"/>
      <c r="E46" s="28">
        <v>0</v>
      </c>
      <c r="F46" s="28"/>
      <c r="G46" s="65"/>
      <c r="H46" s="28"/>
      <c r="I46" s="28">
        <v>12</v>
      </c>
      <c r="J46" s="72">
        <v>12</v>
      </c>
      <c r="K46" s="46">
        <f t="shared" si="5"/>
        <v>0</v>
      </c>
      <c r="L46" s="46">
        <f t="shared" si="6"/>
        <v>0</v>
      </c>
      <c r="M46" s="46">
        <f t="shared" si="7"/>
        <v>100</v>
      </c>
      <c r="N46" s="67">
        <f t="shared" si="8"/>
        <v>100</v>
      </c>
      <c r="O46" s="45"/>
      <c r="P46" s="46"/>
      <c r="Q46" s="46">
        <v>52.3</v>
      </c>
      <c r="R46" s="47">
        <f t="shared" si="9"/>
        <v>52.3</v>
      </c>
      <c r="S46" s="28">
        <v>1</v>
      </c>
      <c r="T46" s="284"/>
      <c r="U46" s="293"/>
      <c r="V46" s="37" t="s">
        <v>984</v>
      </c>
      <c r="W46" s="28" t="s">
        <v>20</v>
      </c>
      <c r="X46" s="28" t="s">
        <v>12</v>
      </c>
      <c r="Y46" s="38">
        <v>47.7</v>
      </c>
      <c r="Z46" s="28"/>
      <c r="AA46" s="28"/>
      <c r="AB46" s="28"/>
      <c r="AC46" s="28"/>
      <c r="AD46" s="37"/>
      <c r="AE46" s="28"/>
      <c r="AF46" s="28"/>
      <c r="AG46" s="38"/>
      <c r="AH46" s="28"/>
      <c r="AI46" s="28"/>
      <c r="AJ46" s="28"/>
      <c r="AK46" s="28"/>
      <c r="AL46" s="37"/>
      <c r="AM46" s="28"/>
      <c r="AN46" s="28"/>
      <c r="AO46" s="38"/>
      <c r="AP46" s="37"/>
      <c r="AQ46" s="28"/>
      <c r="AR46" s="28"/>
      <c r="AS46" s="38"/>
      <c r="AT46" s="28"/>
      <c r="AU46" s="28"/>
      <c r="AV46" s="28"/>
      <c r="AW46" s="38"/>
      <c r="AX46" s="28"/>
      <c r="AY46" s="28"/>
      <c r="AZ46" s="28"/>
      <c r="BA46" s="39"/>
    </row>
    <row r="47" spans="1:53" x14ac:dyDescent="0.15">
      <c r="A47" s="28">
        <v>1986</v>
      </c>
      <c r="B47" s="293"/>
      <c r="C47" s="394" t="s">
        <v>1273</v>
      </c>
      <c r="D47" s="394"/>
      <c r="E47" s="28">
        <v>365</v>
      </c>
      <c r="F47" s="28"/>
      <c r="G47" s="65"/>
      <c r="H47" s="28"/>
      <c r="I47" s="28">
        <v>12</v>
      </c>
      <c r="J47" s="72">
        <v>12</v>
      </c>
      <c r="K47" s="46">
        <f t="shared" si="5"/>
        <v>0</v>
      </c>
      <c r="L47" s="46">
        <f t="shared" si="6"/>
        <v>0</v>
      </c>
      <c r="M47" s="46">
        <f t="shared" si="7"/>
        <v>100</v>
      </c>
      <c r="N47" s="67">
        <f t="shared" si="8"/>
        <v>100</v>
      </c>
      <c r="O47" s="45"/>
      <c r="P47" s="46"/>
      <c r="Q47" s="46">
        <v>52.3</v>
      </c>
      <c r="R47" s="47">
        <f t="shared" si="9"/>
        <v>52.3</v>
      </c>
      <c r="S47" s="28">
        <v>1</v>
      </c>
      <c r="T47" s="284"/>
      <c r="U47" s="293"/>
      <c r="V47" s="37" t="s">
        <v>984</v>
      </c>
      <c r="W47" s="28" t="s">
        <v>20</v>
      </c>
      <c r="X47" s="28" t="s">
        <v>12</v>
      </c>
      <c r="Y47" s="38">
        <v>47.7</v>
      </c>
      <c r="Z47" s="28"/>
      <c r="AA47" s="28"/>
      <c r="AB47" s="28"/>
      <c r="AC47" s="28"/>
      <c r="AD47" s="37"/>
      <c r="AE47" s="28"/>
      <c r="AF47" s="28"/>
      <c r="AG47" s="38"/>
      <c r="AH47" s="28"/>
      <c r="AI47" s="28"/>
      <c r="AJ47" s="28"/>
      <c r="AK47" s="28"/>
      <c r="AL47" s="37"/>
      <c r="AM47" s="28"/>
      <c r="AN47" s="28"/>
      <c r="AO47" s="38"/>
      <c r="AP47" s="37"/>
      <c r="AQ47" s="28"/>
      <c r="AR47" s="28"/>
      <c r="AS47" s="38"/>
      <c r="AT47" s="28"/>
      <c r="AU47" s="28"/>
      <c r="AV47" s="28"/>
      <c r="AW47" s="38"/>
      <c r="AX47" s="28"/>
      <c r="AY47" s="28"/>
      <c r="AZ47" s="28"/>
      <c r="BA47" s="39"/>
    </row>
    <row r="48" spans="1:53" x14ac:dyDescent="0.15">
      <c r="A48" s="28">
        <v>1987</v>
      </c>
      <c r="B48" s="293"/>
      <c r="C48" s="394" t="s">
        <v>1273</v>
      </c>
      <c r="D48" s="394"/>
      <c r="E48" s="28">
        <v>133</v>
      </c>
      <c r="F48" s="28"/>
      <c r="G48" s="65"/>
      <c r="H48" s="28"/>
      <c r="I48" s="28">
        <v>12</v>
      </c>
      <c r="J48" s="72">
        <v>12</v>
      </c>
      <c r="K48" s="46">
        <f t="shared" si="5"/>
        <v>0</v>
      </c>
      <c r="L48" s="46">
        <f t="shared" si="6"/>
        <v>0</v>
      </c>
      <c r="M48" s="46">
        <f t="shared" si="7"/>
        <v>100</v>
      </c>
      <c r="N48" s="67">
        <f t="shared" si="8"/>
        <v>100</v>
      </c>
      <c r="O48" s="45"/>
      <c r="P48" s="46"/>
      <c r="Q48" s="46">
        <v>52.3</v>
      </c>
      <c r="R48" s="47">
        <f t="shared" si="9"/>
        <v>52.3</v>
      </c>
      <c r="S48" s="28">
        <v>1</v>
      </c>
      <c r="T48" s="284"/>
      <c r="U48" s="293"/>
      <c r="V48" s="37" t="s">
        <v>984</v>
      </c>
      <c r="W48" s="28" t="s">
        <v>20</v>
      </c>
      <c r="X48" s="28" t="s">
        <v>12</v>
      </c>
      <c r="Y48" s="38">
        <v>47.7</v>
      </c>
      <c r="Z48" s="28"/>
      <c r="AA48" s="28"/>
      <c r="AB48" s="28"/>
      <c r="AC48" s="28"/>
      <c r="AD48" s="37"/>
      <c r="AE48" s="28"/>
      <c r="AF48" s="28"/>
      <c r="AG48" s="38"/>
      <c r="AH48" s="28"/>
      <c r="AI48" s="28"/>
      <c r="AJ48" s="28"/>
      <c r="AK48" s="28"/>
      <c r="AL48" s="37"/>
      <c r="AM48" s="28"/>
      <c r="AN48" s="28"/>
      <c r="AO48" s="38"/>
      <c r="AP48" s="37"/>
      <c r="AQ48" s="28"/>
      <c r="AR48" s="28"/>
      <c r="AS48" s="38"/>
      <c r="AT48" s="28"/>
      <c r="AU48" s="28"/>
      <c r="AV48" s="28"/>
      <c r="AW48" s="38"/>
      <c r="AX48" s="28"/>
      <c r="AY48" s="28"/>
      <c r="AZ48" s="28"/>
      <c r="BA48" s="39"/>
    </row>
    <row r="49" spans="1:53" x14ac:dyDescent="0.15">
      <c r="A49" s="170">
        <v>1987</v>
      </c>
      <c r="B49" s="281">
        <v>31911</v>
      </c>
      <c r="C49" s="395" t="s">
        <v>980</v>
      </c>
      <c r="D49" s="395"/>
      <c r="E49" s="170">
        <f>365-E48</f>
        <v>232</v>
      </c>
      <c r="F49" s="170">
        <v>1</v>
      </c>
      <c r="G49" s="232"/>
      <c r="H49" s="170">
        <v>10</v>
      </c>
      <c r="I49" s="170"/>
      <c r="J49" s="240">
        <v>10</v>
      </c>
      <c r="K49" s="213">
        <f t="shared" si="5"/>
        <v>0</v>
      </c>
      <c r="L49" s="213">
        <f t="shared" si="6"/>
        <v>100</v>
      </c>
      <c r="M49" s="213">
        <f t="shared" si="7"/>
        <v>0</v>
      </c>
      <c r="N49" s="234">
        <f t="shared" si="8"/>
        <v>100</v>
      </c>
      <c r="O49" s="212"/>
      <c r="P49" s="213">
        <v>50.7</v>
      </c>
      <c r="Q49" s="213"/>
      <c r="R49" s="214">
        <f t="shared" si="9"/>
        <v>50.7</v>
      </c>
      <c r="S49" s="189">
        <v>1</v>
      </c>
      <c r="T49" s="283">
        <v>31906</v>
      </c>
      <c r="U49" s="281">
        <v>31911</v>
      </c>
      <c r="V49" s="177" t="s">
        <v>981</v>
      </c>
      <c r="W49" s="170" t="s">
        <v>17</v>
      </c>
      <c r="X49" s="170" t="s">
        <v>18</v>
      </c>
      <c r="Y49" s="178">
        <v>50.7</v>
      </c>
      <c r="Z49" s="170"/>
      <c r="AA49" s="170"/>
      <c r="AB49" s="170"/>
      <c r="AC49" s="170"/>
      <c r="AD49" s="177"/>
      <c r="AE49" s="170"/>
      <c r="AF49" s="170"/>
      <c r="AG49" s="178"/>
      <c r="AH49" s="170"/>
      <c r="AI49" s="170"/>
      <c r="AJ49" s="170"/>
      <c r="AK49" s="170"/>
      <c r="AL49" s="177"/>
      <c r="AM49" s="170"/>
      <c r="AN49" s="170"/>
      <c r="AO49" s="178"/>
      <c r="AP49" s="177"/>
      <c r="AQ49" s="170"/>
      <c r="AR49" s="170"/>
      <c r="AS49" s="178"/>
      <c r="AT49" s="170"/>
      <c r="AU49" s="170"/>
      <c r="AV49" s="170"/>
      <c r="AW49" s="178"/>
      <c r="AX49" s="170"/>
      <c r="AY49" s="170"/>
      <c r="AZ49" s="170"/>
      <c r="BA49" s="179"/>
    </row>
    <row r="50" spans="1:53" x14ac:dyDescent="0.15">
      <c r="A50" s="170">
        <v>1988</v>
      </c>
      <c r="B50" s="281"/>
      <c r="C50" s="395" t="s">
        <v>980</v>
      </c>
      <c r="D50" s="395"/>
      <c r="E50" s="170">
        <v>0</v>
      </c>
      <c r="F50" s="170"/>
      <c r="G50" s="232"/>
      <c r="H50" s="170">
        <v>10</v>
      </c>
      <c r="I50" s="170"/>
      <c r="J50" s="240">
        <v>10</v>
      </c>
      <c r="K50" s="213">
        <f t="shared" si="5"/>
        <v>0</v>
      </c>
      <c r="L50" s="213">
        <f t="shared" si="6"/>
        <v>100</v>
      </c>
      <c r="M50" s="213">
        <f t="shared" si="7"/>
        <v>0</v>
      </c>
      <c r="N50" s="234">
        <f t="shared" si="8"/>
        <v>100</v>
      </c>
      <c r="O50" s="212"/>
      <c r="P50" s="213">
        <v>50.7</v>
      </c>
      <c r="Q50" s="213"/>
      <c r="R50" s="214">
        <f t="shared" si="9"/>
        <v>50.7</v>
      </c>
      <c r="S50" s="189">
        <v>1</v>
      </c>
      <c r="T50" s="283"/>
      <c r="U50" s="281"/>
      <c r="V50" s="177" t="s">
        <v>981</v>
      </c>
      <c r="W50" s="170" t="s">
        <v>17</v>
      </c>
      <c r="X50" s="170" t="s">
        <v>18</v>
      </c>
      <c r="Y50" s="178">
        <v>50.7</v>
      </c>
      <c r="Z50" s="170"/>
      <c r="AA50" s="170"/>
      <c r="AB50" s="170"/>
      <c r="AC50" s="170"/>
      <c r="AD50" s="177"/>
      <c r="AE50" s="170"/>
      <c r="AF50" s="170"/>
      <c r="AG50" s="178"/>
      <c r="AH50" s="170"/>
      <c r="AI50" s="170"/>
      <c r="AJ50" s="170"/>
      <c r="AK50" s="170"/>
      <c r="AL50" s="177"/>
      <c r="AM50" s="170"/>
      <c r="AN50" s="170"/>
      <c r="AO50" s="178"/>
      <c r="AP50" s="177"/>
      <c r="AQ50" s="170"/>
      <c r="AR50" s="170"/>
      <c r="AS50" s="178"/>
      <c r="AT50" s="170"/>
      <c r="AU50" s="170"/>
      <c r="AV50" s="170"/>
      <c r="AW50" s="178"/>
      <c r="AX50" s="170"/>
      <c r="AY50" s="170"/>
      <c r="AZ50" s="170"/>
      <c r="BA50" s="179"/>
    </row>
    <row r="51" spans="1:53" x14ac:dyDescent="0.15">
      <c r="A51" s="170">
        <v>1988</v>
      </c>
      <c r="B51" s="281"/>
      <c r="C51" s="395" t="s">
        <v>980</v>
      </c>
      <c r="D51" s="395"/>
      <c r="E51" s="170">
        <v>366</v>
      </c>
      <c r="F51" s="170"/>
      <c r="G51" s="232"/>
      <c r="H51" s="170">
        <v>10</v>
      </c>
      <c r="I51" s="170"/>
      <c r="J51" s="240">
        <v>10</v>
      </c>
      <c r="K51" s="213">
        <f t="shared" si="5"/>
        <v>0</v>
      </c>
      <c r="L51" s="213">
        <f t="shared" si="6"/>
        <v>100</v>
      </c>
      <c r="M51" s="213">
        <f t="shared" si="7"/>
        <v>0</v>
      </c>
      <c r="N51" s="234">
        <f t="shared" si="8"/>
        <v>100</v>
      </c>
      <c r="O51" s="212"/>
      <c r="P51" s="213">
        <v>50.7</v>
      </c>
      <c r="Q51" s="213"/>
      <c r="R51" s="214">
        <f t="shared" si="9"/>
        <v>50.7</v>
      </c>
      <c r="S51" s="189">
        <v>1</v>
      </c>
      <c r="T51" s="283"/>
      <c r="U51" s="281"/>
      <c r="V51" s="177" t="s">
        <v>981</v>
      </c>
      <c r="W51" s="170" t="s">
        <v>17</v>
      </c>
      <c r="X51" s="170" t="s">
        <v>18</v>
      </c>
      <c r="Y51" s="178">
        <v>50.7</v>
      </c>
      <c r="Z51" s="170"/>
      <c r="AA51" s="170"/>
      <c r="AB51" s="170"/>
      <c r="AC51" s="170"/>
      <c r="AD51" s="177"/>
      <c r="AE51" s="170"/>
      <c r="AF51" s="170"/>
      <c r="AG51" s="178"/>
      <c r="AH51" s="170"/>
      <c r="AI51" s="170"/>
      <c r="AJ51" s="170"/>
      <c r="AK51" s="170"/>
      <c r="AL51" s="177"/>
      <c r="AM51" s="170"/>
      <c r="AN51" s="170"/>
      <c r="AO51" s="178"/>
      <c r="AP51" s="177"/>
      <c r="AQ51" s="170"/>
      <c r="AR51" s="170"/>
      <c r="AS51" s="178"/>
      <c r="AT51" s="170"/>
      <c r="AU51" s="170"/>
      <c r="AV51" s="170"/>
      <c r="AW51" s="178"/>
      <c r="AX51" s="170"/>
      <c r="AY51" s="170"/>
      <c r="AZ51" s="170"/>
      <c r="BA51" s="179"/>
    </row>
    <row r="52" spans="1:53" x14ac:dyDescent="0.15">
      <c r="A52" s="170">
        <v>1989</v>
      </c>
      <c r="B52" s="281"/>
      <c r="C52" s="395" t="s">
        <v>980</v>
      </c>
      <c r="D52" s="395"/>
      <c r="E52" s="170">
        <v>0</v>
      </c>
      <c r="F52" s="170"/>
      <c r="G52" s="232"/>
      <c r="H52" s="170">
        <v>10</v>
      </c>
      <c r="I52" s="170"/>
      <c r="J52" s="240">
        <v>10</v>
      </c>
      <c r="K52" s="213">
        <f t="shared" si="5"/>
        <v>0</v>
      </c>
      <c r="L52" s="213">
        <f t="shared" si="6"/>
        <v>100</v>
      </c>
      <c r="M52" s="213">
        <f t="shared" si="7"/>
        <v>0</v>
      </c>
      <c r="N52" s="234">
        <f t="shared" si="8"/>
        <v>100</v>
      </c>
      <c r="O52" s="212"/>
      <c r="P52" s="213">
        <v>50.7</v>
      </c>
      <c r="Q52" s="213"/>
      <c r="R52" s="214">
        <f t="shared" si="9"/>
        <v>50.7</v>
      </c>
      <c r="S52" s="189">
        <v>1</v>
      </c>
      <c r="T52" s="283"/>
      <c r="U52" s="281"/>
      <c r="V52" s="177" t="s">
        <v>981</v>
      </c>
      <c r="W52" s="170" t="s">
        <v>17</v>
      </c>
      <c r="X52" s="170" t="s">
        <v>18</v>
      </c>
      <c r="Y52" s="178">
        <v>50.7</v>
      </c>
      <c r="Z52" s="170"/>
      <c r="AA52" s="170"/>
      <c r="AB52" s="170"/>
      <c r="AC52" s="170"/>
      <c r="AD52" s="177"/>
      <c r="AE52" s="170"/>
      <c r="AF52" s="170"/>
      <c r="AG52" s="178"/>
      <c r="AH52" s="170"/>
      <c r="AI52" s="170"/>
      <c r="AJ52" s="170"/>
      <c r="AK52" s="170"/>
      <c r="AL52" s="177"/>
      <c r="AM52" s="170"/>
      <c r="AN52" s="170"/>
      <c r="AO52" s="178"/>
      <c r="AP52" s="177"/>
      <c r="AQ52" s="170"/>
      <c r="AR52" s="170"/>
      <c r="AS52" s="178"/>
      <c r="AT52" s="170"/>
      <c r="AU52" s="170"/>
      <c r="AV52" s="170"/>
      <c r="AW52" s="178"/>
      <c r="AX52" s="170"/>
      <c r="AY52" s="170"/>
      <c r="AZ52" s="170"/>
      <c r="BA52" s="179"/>
    </row>
    <row r="53" spans="1:53" x14ac:dyDescent="0.15">
      <c r="A53" s="170">
        <v>1989</v>
      </c>
      <c r="B53" s="281"/>
      <c r="C53" s="395" t="s">
        <v>980</v>
      </c>
      <c r="D53" s="395"/>
      <c r="E53" s="170">
        <v>365</v>
      </c>
      <c r="F53" s="170"/>
      <c r="G53" s="232"/>
      <c r="H53" s="170">
        <v>10</v>
      </c>
      <c r="I53" s="170"/>
      <c r="J53" s="240">
        <v>10</v>
      </c>
      <c r="K53" s="213">
        <f t="shared" si="5"/>
        <v>0</v>
      </c>
      <c r="L53" s="213">
        <f t="shared" si="6"/>
        <v>100</v>
      </c>
      <c r="M53" s="213">
        <f t="shared" si="7"/>
        <v>0</v>
      </c>
      <c r="N53" s="234">
        <f t="shared" si="8"/>
        <v>100</v>
      </c>
      <c r="O53" s="212"/>
      <c r="P53" s="213">
        <v>50.7</v>
      </c>
      <c r="Q53" s="213"/>
      <c r="R53" s="214">
        <f t="shared" si="9"/>
        <v>50.7</v>
      </c>
      <c r="S53" s="189">
        <v>1</v>
      </c>
      <c r="T53" s="283"/>
      <c r="U53" s="281"/>
      <c r="V53" s="177" t="s">
        <v>981</v>
      </c>
      <c r="W53" s="170" t="s">
        <v>17</v>
      </c>
      <c r="X53" s="170" t="s">
        <v>18</v>
      </c>
      <c r="Y53" s="178">
        <v>50.7</v>
      </c>
      <c r="Z53" s="170"/>
      <c r="AA53" s="170"/>
      <c r="AB53" s="170"/>
      <c r="AC53" s="170"/>
      <c r="AD53" s="177"/>
      <c r="AE53" s="170"/>
      <c r="AF53" s="170"/>
      <c r="AG53" s="178"/>
      <c r="AH53" s="170"/>
      <c r="AI53" s="170"/>
      <c r="AJ53" s="170"/>
      <c r="AK53" s="170"/>
      <c r="AL53" s="177"/>
      <c r="AM53" s="170"/>
      <c r="AN53" s="170"/>
      <c r="AO53" s="178"/>
      <c r="AP53" s="177"/>
      <c r="AQ53" s="170"/>
      <c r="AR53" s="170"/>
      <c r="AS53" s="178"/>
      <c r="AT53" s="170"/>
      <c r="AU53" s="170"/>
      <c r="AV53" s="170"/>
      <c r="AW53" s="178"/>
      <c r="AX53" s="170"/>
      <c r="AY53" s="170"/>
      <c r="AZ53" s="170"/>
      <c r="BA53" s="179"/>
    </row>
    <row r="54" spans="1:53" x14ac:dyDescent="0.15">
      <c r="A54" s="170">
        <v>1990</v>
      </c>
      <c r="B54" s="281"/>
      <c r="C54" s="395" t="s">
        <v>980</v>
      </c>
      <c r="D54" s="395"/>
      <c r="E54" s="170">
        <v>0</v>
      </c>
      <c r="F54" s="170"/>
      <c r="G54" s="232"/>
      <c r="H54" s="170">
        <v>10</v>
      </c>
      <c r="I54" s="170"/>
      <c r="J54" s="240">
        <v>10</v>
      </c>
      <c r="K54" s="213">
        <f t="shared" si="5"/>
        <v>0</v>
      </c>
      <c r="L54" s="213">
        <f t="shared" si="6"/>
        <v>100</v>
      </c>
      <c r="M54" s="213">
        <f t="shared" si="7"/>
        <v>0</v>
      </c>
      <c r="N54" s="234">
        <f t="shared" si="8"/>
        <v>100</v>
      </c>
      <c r="O54" s="212"/>
      <c r="P54" s="213">
        <v>50.7</v>
      </c>
      <c r="Q54" s="213"/>
      <c r="R54" s="214">
        <f t="shared" si="9"/>
        <v>50.7</v>
      </c>
      <c r="S54" s="189">
        <v>1</v>
      </c>
      <c r="T54" s="283"/>
      <c r="U54" s="281"/>
      <c r="V54" s="177" t="s">
        <v>981</v>
      </c>
      <c r="W54" s="170" t="s">
        <v>17</v>
      </c>
      <c r="X54" s="170" t="s">
        <v>18</v>
      </c>
      <c r="Y54" s="178">
        <v>50.7</v>
      </c>
      <c r="Z54" s="170"/>
      <c r="AA54" s="170"/>
      <c r="AB54" s="170"/>
      <c r="AC54" s="170"/>
      <c r="AD54" s="177"/>
      <c r="AE54" s="170"/>
      <c r="AF54" s="170"/>
      <c r="AG54" s="178"/>
      <c r="AH54" s="170"/>
      <c r="AI54" s="170"/>
      <c r="AJ54" s="170"/>
      <c r="AK54" s="170"/>
      <c r="AL54" s="177"/>
      <c r="AM54" s="170"/>
      <c r="AN54" s="170"/>
      <c r="AO54" s="178"/>
      <c r="AP54" s="177"/>
      <c r="AQ54" s="170"/>
      <c r="AR54" s="170"/>
      <c r="AS54" s="178"/>
      <c r="AT54" s="170"/>
      <c r="AU54" s="170"/>
      <c r="AV54" s="170"/>
      <c r="AW54" s="178"/>
      <c r="AX54" s="170"/>
      <c r="AY54" s="170"/>
      <c r="AZ54" s="170"/>
      <c r="BA54" s="179"/>
    </row>
    <row r="55" spans="1:53" x14ac:dyDescent="0.15">
      <c r="A55" s="170">
        <v>1990</v>
      </c>
      <c r="B55" s="281"/>
      <c r="C55" s="395" t="s">
        <v>980</v>
      </c>
      <c r="D55" s="395"/>
      <c r="E55" s="170">
        <f>365-E54</f>
        <v>365</v>
      </c>
      <c r="F55" s="170"/>
      <c r="G55" s="232"/>
      <c r="H55" s="170">
        <v>10</v>
      </c>
      <c r="I55" s="170"/>
      <c r="J55" s="240">
        <v>10</v>
      </c>
      <c r="K55" s="213">
        <f t="shared" si="5"/>
        <v>0</v>
      </c>
      <c r="L55" s="213">
        <f t="shared" si="6"/>
        <v>100</v>
      </c>
      <c r="M55" s="213">
        <f t="shared" si="7"/>
        <v>0</v>
      </c>
      <c r="N55" s="234">
        <f t="shared" si="8"/>
        <v>100</v>
      </c>
      <c r="O55" s="212"/>
      <c r="P55" s="213">
        <v>50.7</v>
      </c>
      <c r="Q55" s="213"/>
      <c r="R55" s="214">
        <f t="shared" si="9"/>
        <v>50.7</v>
      </c>
      <c r="S55" s="170">
        <v>1</v>
      </c>
      <c r="T55" s="283"/>
      <c r="U55" s="281"/>
      <c r="V55" s="177" t="s">
        <v>981</v>
      </c>
      <c r="W55" s="170" t="s">
        <v>17</v>
      </c>
      <c r="X55" s="170" t="s">
        <v>18</v>
      </c>
      <c r="Y55" s="178">
        <v>50.7</v>
      </c>
      <c r="Z55" s="170"/>
      <c r="AA55" s="170"/>
      <c r="AB55" s="170"/>
      <c r="AC55" s="170"/>
      <c r="AD55" s="177"/>
      <c r="AE55" s="170"/>
      <c r="AF55" s="170"/>
      <c r="AG55" s="178"/>
      <c r="AH55" s="170"/>
      <c r="AI55" s="170"/>
      <c r="AJ55" s="170"/>
      <c r="AK55" s="170"/>
      <c r="AL55" s="177"/>
      <c r="AM55" s="170"/>
      <c r="AN55" s="170"/>
      <c r="AO55" s="178"/>
      <c r="AP55" s="177"/>
      <c r="AQ55" s="170"/>
      <c r="AR55" s="170"/>
      <c r="AS55" s="178"/>
      <c r="AT55" s="170"/>
      <c r="AU55" s="170"/>
      <c r="AV55" s="170"/>
      <c r="AW55" s="178"/>
      <c r="AX55" s="170"/>
      <c r="AY55" s="170"/>
      <c r="AZ55" s="170"/>
      <c r="BA55" s="179"/>
    </row>
    <row r="56" spans="1:53" x14ac:dyDescent="0.15">
      <c r="A56" s="170">
        <v>1991</v>
      </c>
      <c r="B56" s="281"/>
      <c r="C56" s="395" t="s">
        <v>980</v>
      </c>
      <c r="D56" s="395"/>
      <c r="E56" s="170">
        <v>0</v>
      </c>
      <c r="F56" s="170"/>
      <c r="G56" s="232"/>
      <c r="H56" s="170">
        <v>10</v>
      </c>
      <c r="I56" s="170"/>
      <c r="J56" s="240">
        <v>10</v>
      </c>
      <c r="K56" s="213">
        <f t="shared" si="5"/>
        <v>0</v>
      </c>
      <c r="L56" s="213">
        <f t="shared" si="6"/>
        <v>100</v>
      </c>
      <c r="M56" s="213">
        <f t="shared" si="7"/>
        <v>0</v>
      </c>
      <c r="N56" s="234">
        <f t="shared" si="8"/>
        <v>100</v>
      </c>
      <c r="O56" s="212"/>
      <c r="P56" s="213">
        <v>50.7</v>
      </c>
      <c r="Q56" s="213"/>
      <c r="R56" s="214">
        <f t="shared" si="9"/>
        <v>50.7</v>
      </c>
      <c r="S56" s="170">
        <v>1</v>
      </c>
      <c r="T56" s="283"/>
      <c r="U56" s="281"/>
      <c r="V56" s="177" t="s">
        <v>981</v>
      </c>
      <c r="W56" s="170" t="s">
        <v>17</v>
      </c>
      <c r="X56" s="170" t="s">
        <v>18</v>
      </c>
      <c r="Y56" s="178">
        <v>50.7</v>
      </c>
      <c r="Z56" s="170"/>
      <c r="AA56" s="170"/>
      <c r="AB56" s="170"/>
      <c r="AC56" s="170"/>
      <c r="AD56" s="177"/>
      <c r="AE56" s="170"/>
      <c r="AF56" s="170"/>
      <c r="AG56" s="178"/>
      <c r="AH56" s="170"/>
      <c r="AI56" s="170"/>
      <c r="AJ56" s="170"/>
      <c r="AK56" s="170"/>
      <c r="AL56" s="177"/>
      <c r="AM56" s="170"/>
      <c r="AN56" s="170"/>
      <c r="AO56" s="178"/>
      <c r="AP56" s="177"/>
      <c r="AQ56" s="170"/>
      <c r="AR56" s="170"/>
      <c r="AS56" s="178"/>
      <c r="AT56" s="170"/>
      <c r="AU56" s="170"/>
      <c r="AV56" s="170"/>
      <c r="AW56" s="178"/>
      <c r="AX56" s="170"/>
      <c r="AY56" s="170"/>
      <c r="AZ56" s="170"/>
      <c r="BA56" s="179"/>
    </row>
    <row r="57" spans="1:53" x14ac:dyDescent="0.15">
      <c r="A57" s="170">
        <v>1991</v>
      </c>
      <c r="B57" s="281"/>
      <c r="C57" s="395" t="s">
        <v>980</v>
      </c>
      <c r="D57" s="395"/>
      <c r="E57" s="170">
        <f>365-E56</f>
        <v>365</v>
      </c>
      <c r="F57" s="170"/>
      <c r="G57" s="232"/>
      <c r="H57" s="170">
        <v>10</v>
      </c>
      <c r="I57" s="170"/>
      <c r="J57" s="240">
        <v>10</v>
      </c>
      <c r="K57" s="213">
        <f t="shared" si="5"/>
        <v>0</v>
      </c>
      <c r="L57" s="213">
        <f t="shared" si="6"/>
        <v>100</v>
      </c>
      <c r="M57" s="213">
        <f t="shared" si="7"/>
        <v>0</v>
      </c>
      <c r="N57" s="234">
        <f t="shared" si="8"/>
        <v>100</v>
      </c>
      <c r="O57" s="212"/>
      <c r="P57" s="213">
        <v>50.7</v>
      </c>
      <c r="Q57" s="213"/>
      <c r="R57" s="214">
        <f t="shared" si="9"/>
        <v>50.7</v>
      </c>
      <c r="S57" s="170">
        <v>1</v>
      </c>
      <c r="T57" s="283"/>
      <c r="U57" s="281"/>
      <c r="V57" s="177" t="s">
        <v>981</v>
      </c>
      <c r="W57" s="170" t="s">
        <v>17</v>
      </c>
      <c r="X57" s="170" t="s">
        <v>18</v>
      </c>
      <c r="Y57" s="178">
        <v>50.7</v>
      </c>
      <c r="Z57" s="170"/>
      <c r="AA57" s="170"/>
      <c r="AB57" s="170"/>
      <c r="AC57" s="170"/>
      <c r="AD57" s="177"/>
      <c r="AE57" s="170"/>
      <c r="AF57" s="170"/>
      <c r="AG57" s="178"/>
      <c r="AH57" s="170"/>
      <c r="AI57" s="170"/>
      <c r="AJ57" s="170"/>
      <c r="AK57" s="170"/>
      <c r="AL57" s="177"/>
      <c r="AM57" s="170"/>
      <c r="AN57" s="170"/>
      <c r="AO57" s="178"/>
      <c r="AP57" s="177"/>
      <c r="AQ57" s="170"/>
      <c r="AR57" s="170"/>
      <c r="AS57" s="178"/>
      <c r="AT57" s="170"/>
      <c r="AU57" s="170"/>
      <c r="AV57" s="170"/>
      <c r="AW57" s="178"/>
      <c r="AX57" s="170"/>
      <c r="AY57" s="170"/>
      <c r="AZ57" s="170"/>
      <c r="BA57" s="179"/>
    </row>
    <row r="58" spans="1:53" x14ac:dyDescent="0.15">
      <c r="A58" s="170">
        <v>1992</v>
      </c>
      <c r="B58" s="281"/>
      <c r="C58" s="395" t="s">
        <v>980</v>
      </c>
      <c r="D58" s="395"/>
      <c r="E58" s="170">
        <v>57</v>
      </c>
      <c r="F58" s="170"/>
      <c r="G58" s="232"/>
      <c r="H58" s="170">
        <v>10</v>
      </c>
      <c r="I58" s="170"/>
      <c r="J58" s="240">
        <v>10</v>
      </c>
      <c r="K58" s="213">
        <f t="shared" si="5"/>
        <v>0</v>
      </c>
      <c r="L58" s="213">
        <f t="shared" si="6"/>
        <v>100</v>
      </c>
      <c r="M58" s="213">
        <f t="shared" si="7"/>
        <v>0</v>
      </c>
      <c r="N58" s="234">
        <f t="shared" si="8"/>
        <v>100</v>
      </c>
      <c r="O58" s="212"/>
      <c r="P58" s="213">
        <v>50.7</v>
      </c>
      <c r="Q58" s="213"/>
      <c r="R58" s="214">
        <f t="shared" si="9"/>
        <v>50.7</v>
      </c>
      <c r="S58" s="170">
        <v>1</v>
      </c>
      <c r="T58" s="283"/>
      <c r="U58" s="281"/>
      <c r="V58" s="177" t="s">
        <v>981</v>
      </c>
      <c r="W58" s="170" t="s">
        <v>17</v>
      </c>
      <c r="X58" s="170" t="s">
        <v>18</v>
      </c>
      <c r="Y58" s="178">
        <v>50.7</v>
      </c>
      <c r="Z58" s="170"/>
      <c r="AA58" s="170"/>
      <c r="AB58" s="170"/>
      <c r="AC58" s="170"/>
      <c r="AD58" s="177"/>
      <c r="AE58" s="170"/>
      <c r="AF58" s="170"/>
      <c r="AG58" s="178"/>
      <c r="AH58" s="170"/>
      <c r="AI58" s="170"/>
      <c r="AJ58" s="170"/>
      <c r="AK58" s="170"/>
      <c r="AL58" s="177"/>
      <c r="AM58" s="170"/>
      <c r="AN58" s="170"/>
      <c r="AO58" s="178"/>
      <c r="AP58" s="177"/>
      <c r="AQ58" s="170"/>
      <c r="AR58" s="170"/>
      <c r="AS58" s="178"/>
      <c r="AT58" s="170"/>
      <c r="AU58" s="170"/>
      <c r="AV58" s="170"/>
      <c r="AW58" s="178"/>
      <c r="AX58" s="170"/>
      <c r="AY58" s="170"/>
      <c r="AZ58" s="170"/>
      <c r="BA58" s="179"/>
    </row>
    <row r="59" spans="1:53" x14ac:dyDescent="0.15">
      <c r="A59" s="28">
        <v>1992</v>
      </c>
      <c r="B59" s="293">
        <v>33661</v>
      </c>
      <c r="C59" s="394" t="s">
        <v>982</v>
      </c>
      <c r="D59" s="394"/>
      <c r="E59" s="28">
        <f>366-E58</f>
        <v>309</v>
      </c>
      <c r="F59" s="28">
        <v>1</v>
      </c>
      <c r="G59" s="65"/>
      <c r="H59" s="28">
        <v>13</v>
      </c>
      <c r="I59" s="28"/>
      <c r="J59" s="72">
        <v>13</v>
      </c>
      <c r="K59" s="46">
        <f t="shared" si="5"/>
        <v>0</v>
      </c>
      <c r="L59" s="46">
        <f t="shared" si="6"/>
        <v>100</v>
      </c>
      <c r="M59" s="46">
        <f t="shared" si="7"/>
        <v>0</v>
      </c>
      <c r="N59" s="67">
        <f t="shared" si="8"/>
        <v>100</v>
      </c>
      <c r="O59" s="45"/>
      <c r="P59" s="46">
        <v>52.3</v>
      </c>
      <c r="Q59" s="46"/>
      <c r="R59" s="47">
        <f t="shared" si="9"/>
        <v>52.3</v>
      </c>
      <c r="S59" s="28">
        <v>1</v>
      </c>
      <c r="T59" s="284">
        <v>33656</v>
      </c>
      <c r="U59" s="293">
        <v>33661</v>
      </c>
      <c r="V59" s="37" t="s">
        <v>981</v>
      </c>
      <c r="W59" s="28" t="s">
        <v>17</v>
      </c>
      <c r="X59" s="28" t="s">
        <v>18</v>
      </c>
      <c r="Y59" s="38">
        <v>52.3</v>
      </c>
      <c r="Z59" s="28"/>
      <c r="AA59" s="28"/>
      <c r="AB59" s="28"/>
      <c r="AC59" s="28"/>
      <c r="AD59" s="37"/>
      <c r="AE59" s="28"/>
      <c r="AF59" s="28"/>
      <c r="AG59" s="38"/>
      <c r="AH59" s="28"/>
      <c r="AI59" s="28"/>
      <c r="AJ59" s="28"/>
      <c r="AK59" s="28"/>
      <c r="AL59" s="37"/>
      <c r="AM59" s="28"/>
      <c r="AN59" s="28"/>
      <c r="AO59" s="38"/>
      <c r="AP59" s="37"/>
      <c r="AQ59" s="28"/>
      <c r="AR59" s="28"/>
      <c r="AS59" s="38"/>
      <c r="AT59" s="28"/>
      <c r="AU59" s="28"/>
      <c r="AV59" s="28"/>
      <c r="AW59" s="38"/>
      <c r="AX59" s="28"/>
      <c r="AY59" s="28"/>
      <c r="AZ59" s="28"/>
      <c r="BA59" s="39"/>
    </row>
    <row r="60" spans="1:53" x14ac:dyDescent="0.15">
      <c r="A60" s="28">
        <v>1993</v>
      </c>
      <c r="B60" s="293"/>
      <c r="C60" s="394" t="s">
        <v>982</v>
      </c>
      <c r="D60" s="394"/>
      <c r="E60" s="28">
        <v>0</v>
      </c>
      <c r="F60" s="28"/>
      <c r="G60" s="65"/>
      <c r="H60" s="28">
        <v>13</v>
      </c>
      <c r="I60" s="28"/>
      <c r="J60" s="72">
        <v>13</v>
      </c>
      <c r="K60" s="46">
        <f t="shared" si="5"/>
        <v>0</v>
      </c>
      <c r="L60" s="46">
        <f t="shared" si="6"/>
        <v>100</v>
      </c>
      <c r="M60" s="46">
        <f t="shared" si="7"/>
        <v>0</v>
      </c>
      <c r="N60" s="67">
        <f t="shared" si="8"/>
        <v>100</v>
      </c>
      <c r="O60" s="45"/>
      <c r="P60" s="46">
        <v>52.3</v>
      </c>
      <c r="Q60" s="46"/>
      <c r="R60" s="47">
        <f t="shared" si="9"/>
        <v>52.3</v>
      </c>
      <c r="S60" s="28">
        <v>1</v>
      </c>
      <c r="T60" s="284"/>
      <c r="U60" s="293"/>
      <c r="V60" s="37" t="s">
        <v>981</v>
      </c>
      <c r="W60" s="28" t="s">
        <v>17</v>
      </c>
      <c r="X60" s="28" t="s">
        <v>18</v>
      </c>
      <c r="Y60" s="38">
        <v>52.3</v>
      </c>
      <c r="Z60" s="28"/>
      <c r="AA60" s="28"/>
      <c r="AB60" s="28"/>
      <c r="AC60" s="28"/>
      <c r="AD60" s="37"/>
      <c r="AE60" s="28"/>
      <c r="AF60" s="28"/>
      <c r="AG60" s="38"/>
      <c r="AH60" s="28"/>
      <c r="AI60" s="28"/>
      <c r="AJ60" s="28"/>
      <c r="AK60" s="28"/>
      <c r="AL60" s="37"/>
      <c r="AM60" s="28"/>
      <c r="AN60" s="28"/>
      <c r="AO60" s="38"/>
      <c r="AP60" s="37"/>
      <c r="AQ60" s="28"/>
      <c r="AR60" s="28"/>
      <c r="AS60" s="38"/>
      <c r="AT60" s="28"/>
      <c r="AU60" s="28"/>
      <c r="AV60" s="28"/>
      <c r="AW60" s="38"/>
      <c r="AX60" s="28"/>
      <c r="AY60" s="28"/>
      <c r="AZ60" s="28"/>
      <c r="BA60" s="39"/>
    </row>
    <row r="61" spans="1:53" x14ac:dyDescent="0.15">
      <c r="A61" s="28">
        <v>1993</v>
      </c>
      <c r="B61" s="293"/>
      <c r="C61" s="394" t="s">
        <v>982</v>
      </c>
      <c r="D61" s="394"/>
      <c r="E61" s="28">
        <f>365-E60</f>
        <v>365</v>
      </c>
      <c r="F61" s="28"/>
      <c r="G61" s="65"/>
      <c r="H61" s="28">
        <v>13</v>
      </c>
      <c r="I61" s="28"/>
      <c r="J61" s="72">
        <v>13</v>
      </c>
      <c r="K61" s="46">
        <f t="shared" si="5"/>
        <v>0</v>
      </c>
      <c r="L61" s="46">
        <f t="shared" si="6"/>
        <v>100</v>
      </c>
      <c r="M61" s="46">
        <f t="shared" si="7"/>
        <v>0</v>
      </c>
      <c r="N61" s="67">
        <f t="shared" si="8"/>
        <v>100</v>
      </c>
      <c r="O61" s="45"/>
      <c r="P61" s="46">
        <v>52.3</v>
      </c>
      <c r="Q61" s="46"/>
      <c r="R61" s="47">
        <f t="shared" si="9"/>
        <v>52.3</v>
      </c>
      <c r="S61" s="28">
        <v>1</v>
      </c>
      <c r="T61" s="284"/>
      <c r="U61" s="293"/>
      <c r="V61" s="37" t="s">
        <v>981</v>
      </c>
      <c r="W61" s="28" t="s">
        <v>17</v>
      </c>
      <c r="X61" s="28" t="s">
        <v>18</v>
      </c>
      <c r="Y61" s="38">
        <v>52.3</v>
      </c>
      <c r="Z61" s="28"/>
      <c r="AA61" s="28"/>
      <c r="AB61" s="28"/>
      <c r="AC61" s="28"/>
      <c r="AD61" s="37"/>
      <c r="AE61" s="28"/>
      <c r="AF61" s="28"/>
      <c r="AG61" s="38"/>
      <c r="AH61" s="28"/>
      <c r="AI61" s="28"/>
      <c r="AJ61" s="28"/>
      <c r="AK61" s="28"/>
      <c r="AL61" s="37"/>
      <c r="AM61" s="28"/>
      <c r="AN61" s="28"/>
      <c r="AO61" s="38"/>
      <c r="AP61" s="37"/>
      <c r="AQ61" s="28"/>
      <c r="AR61" s="28"/>
      <c r="AS61" s="38"/>
      <c r="AT61" s="28"/>
      <c r="AU61" s="28"/>
      <c r="AV61" s="28"/>
      <c r="AW61" s="38"/>
      <c r="AX61" s="28"/>
      <c r="AY61" s="28"/>
      <c r="AZ61" s="28"/>
      <c r="BA61" s="39"/>
    </row>
    <row r="62" spans="1:53" x14ac:dyDescent="0.15">
      <c r="A62" s="28">
        <v>1994</v>
      </c>
      <c r="B62" s="293"/>
      <c r="C62" s="394" t="s">
        <v>982</v>
      </c>
      <c r="D62" s="394"/>
      <c r="E62" s="28">
        <v>0</v>
      </c>
      <c r="F62" s="28"/>
      <c r="G62" s="65"/>
      <c r="H62" s="28">
        <v>13</v>
      </c>
      <c r="I62" s="28"/>
      <c r="J62" s="72">
        <v>13</v>
      </c>
      <c r="K62" s="46">
        <f t="shared" si="5"/>
        <v>0</v>
      </c>
      <c r="L62" s="46">
        <f t="shared" si="6"/>
        <v>100</v>
      </c>
      <c r="M62" s="46">
        <f t="shared" si="7"/>
        <v>0</v>
      </c>
      <c r="N62" s="67">
        <f t="shared" si="8"/>
        <v>100</v>
      </c>
      <c r="O62" s="45"/>
      <c r="P62" s="46">
        <v>52.3</v>
      </c>
      <c r="Q62" s="46"/>
      <c r="R62" s="47">
        <f t="shared" si="9"/>
        <v>52.3</v>
      </c>
      <c r="S62" s="28">
        <v>1</v>
      </c>
      <c r="T62" s="284"/>
      <c r="U62" s="293"/>
      <c r="V62" s="37" t="s">
        <v>981</v>
      </c>
      <c r="W62" s="28" t="s">
        <v>17</v>
      </c>
      <c r="X62" s="28" t="s">
        <v>18</v>
      </c>
      <c r="Y62" s="38">
        <v>52.3</v>
      </c>
      <c r="Z62" s="28"/>
      <c r="AA62" s="28"/>
      <c r="AB62" s="28"/>
      <c r="AC62" s="28"/>
      <c r="AD62" s="37"/>
      <c r="AE62" s="28"/>
      <c r="AF62" s="28"/>
      <c r="AG62" s="38"/>
      <c r="AH62" s="28"/>
      <c r="AI62" s="28"/>
      <c r="AJ62" s="28"/>
      <c r="AK62" s="28"/>
      <c r="AL62" s="37"/>
      <c r="AM62" s="28"/>
      <c r="AN62" s="28"/>
      <c r="AO62" s="38"/>
      <c r="AP62" s="37"/>
      <c r="AQ62" s="28"/>
      <c r="AR62" s="28"/>
      <c r="AS62" s="38"/>
      <c r="AT62" s="28"/>
      <c r="AU62" s="28"/>
      <c r="AV62" s="28"/>
      <c r="AW62" s="38"/>
      <c r="AX62" s="28"/>
      <c r="AY62" s="28"/>
      <c r="AZ62" s="28"/>
      <c r="BA62" s="39"/>
    </row>
    <row r="63" spans="1:53" x14ac:dyDescent="0.15">
      <c r="A63" s="28">
        <v>1994</v>
      </c>
      <c r="B63" s="293"/>
      <c r="C63" s="394" t="s">
        <v>982</v>
      </c>
      <c r="D63" s="394"/>
      <c r="E63" s="28">
        <f>365-E62</f>
        <v>365</v>
      </c>
      <c r="F63" s="28"/>
      <c r="G63" s="65"/>
      <c r="H63" s="28">
        <v>13</v>
      </c>
      <c r="I63" s="28"/>
      <c r="J63" s="72">
        <v>13</v>
      </c>
      <c r="K63" s="46">
        <f t="shared" si="5"/>
        <v>0</v>
      </c>
      <c r="L63" s="46">
        <f t="shared" si="6"/>
        <v>100</v>
      </c>
      <c r="M63" s="46">
        <f t="shared" si="7"/>
        <v>0</v>
      </c>
      <c r="N63" s="67">
        <f t="shared" si="8"/>
        <v>100</v>
      </c>
      <c r="O63" s="45"/>
      <c r="P63" s="46">
        <v>52.3</v>
      </c>
      <c r="Q63" s="46"/>
      <c r="R63" s="47">
        <f t="shared" si="9"/>
        <v>52.3</v>
      </c>
      <c r="S63" s="28">
        <v>1</v>
      </c>
      <c r="T63" s="284"/>
      <c r="U63" s="293"/>
      <c r="V63" s="37" t="s">
        <v>981</v>
      </c>
      <c r="W63" s="28" t="s">
        <v>17</v>
      </c>
      <c r="X63" s="28" t="s">
        <v>18</v>
      </c>
      <c r="Y63" s="38">
        <v>52.3</v>
      </c>
      <c r="Z63" s="28"/>
      <c r="AA63" s="28"/>
      <c r="AB63" s="28"/>
      <c r="AC63" s="28"/>
      <c r="AD63" s="37"/>
      <c r="AE63" s="28"/>
      <c r="AF63" s="28"/>
      <c r="AG63" s="38"/>
      <c r="AH63" s="28"/>
      <c r="AI63" s="28"/>
      <c r="AJ63" s="28"/>
      <c r="AK63" s="28"/>
      <c r="AL63" s="37"/>
      <c r="AM63" s="28"/>
      <c r="AN63" s="28"/>
      <c r="AO63" s="38"/>
      <c r="AP63" s="37"/>
      <c r="AQ63" s="28"/>
      <c r="AR63" s="28"/>
      <c r="AS63" s="38"/>
      <c r="AT63" s="28"/>
      <c r="AU63" s="28"/>
      <c r="AV63" s="28"/>
      <c r="AW63" s="38"/>
      <c r="AX63" s="28"/>
      <c r="AY63" s="28"/>
      <c r="AZ63" s="28"/>
      <c r="BA63" s="39"/>
    </row>
    <row r="64" spans="1:53" x14ac:dyDescent="0.15">
      <c r="A64" s="28">
        <v>1995</v>
      </c>
      <c r="B64" s="293"/>
      <c r="C64" s="394" t="s">
        <v>982</v>
      </c>
      <c r="D64" s="394"/>
      <c r="E64" s="28">
        <v>0</v>
      </c>
      <c r="F64" s="28"/>
      <c r="G64" s="65"/>
      <c r="H64" s="28">
        <v>13</v>
      </c>
      <c r="I64" s="28"/>
      <c r="J64" s="72">
        <v>13</v>
      </c>
      <c r="K64" s="46">
        <f t="shared" si="5"/>
        <v>0</v>
      </c>
      <c r="L64" s="46">
        <f t="shared" si="6"/>
        <v>100</v>
      </c>
      <c r="M64" s="46">
        <f t="shared" si="7"/>
        <v>0</v>
      </c>
      <c r="N64" s="67">
        <f t="shared" si="8"/>
        <v>100</v>
      </c>
      <c r="O64" s="45"/>
      <c r="P64" s="46">
        <v>52.3</v>
      </c>
      <c r="Q64" s="46"/>
      <c r="R64" s="47">
        <f t="shared" si="9"/>
        <v>52.3</v>
      </c>
      <c r="S64" s="28">
        <v>1</v>
      </c>
      <c r="T64" s="284"/>
      <c r="U64" s="293"/>
      <c r="V64" s="37" t="s">
        <v>981</v>
      </c>
      <c r="W64" s="28" t="s">
        <v>17</v>
      </c>
      <c r="X64" s="28" t="s">
        <v>18</v>
      </c>
      <c r="Y64" s="38">
        <v>52.3</v>
      </c>
      <c r="Z64" s="28"/>
      <c r="AA64" s="28"/>
      <c r="AB64" s="28"/>
      <c r="AC64" s="28"/>
      <c r="AD64" s="37"/>
      <c r="AE64" s="28"/>
      <c r="AF64" s="28"/>
      <c r="AG64" s="38"/>
      <c r="AH64" s="28"/>
      <c r="AI64" s="28"/>
      <c r="AJ64" s="28"/>
      <c r="AK64" s="28"/>
      <c r="AL64" s="37"/>
      <c r="AM64" s="28"/>
      <c r="AN64" s="28"/>
      <c r="AO64" s="38"/>
      <c r="AP64" s="37"/>
      <c r="AQ64" s="28"/>
      <c r="AR64" s="28"/>
      <c r="AS64" s="38"/>
      <c r="AT64" s="28"/>
      <c r="AU64" s="28"/>
      <c r="AV64" s="28"/>
      <c r="AW64" s="38"/>
      <c r="AX64" s="28"/>
      <c r="AY64" s="28"/>
      <c r="AZ64" s="28"/>
      <c r="BA64" s="39"/>
    </row>
    <row r="65" spans="1:53" x14ac:dyDescent="0.15">
      <c r="A65" s="28">
        <v>1995</v>
      </c>
      <c r="B65" s="293"/>
      <c r="C65" s="394" t="s">
        <v>982</v>
      </c>
      <c r="D65" s="394"/>
      <c r="E65" s="28">
        <f>365-E64</f>
        <v>365</v>
      </c>
      <c r="F65" s="28"/>
      <c r="G65" s="65"/>
      <c r="H65" s="28">
        <v>13</v>
      </c>
      <c r="I65" s="28"/>
      <c r="J65" s="72">
        <v>13</v>
      </c>
      <c r="K65" s="46">
        <f t="shared" si="5"/>
        <v>0</v>
      </c>
      <c r="L65" s="46">
        <f t="shared" si="6"/>
        <v>100</v>
      </c>
      <c r="M65" s="46">
        <f t="shared" si="7"/>
        <v>0</v>
      </c>
      <c r="N65" s="67">
        <f t="shared" si="8"/>
        <v>100</v>
      </c>
      <c r="O65" s="45"/>
      <c r="P65" s="46">
        <v>52.3</v>
      </c>
      <c r="Q65" s="46"/>
      <c r="R65" s="47">
        <f t="shared" si="9"/>
        <v>52.3</v>
      </c>
      <c r="S65" s="28">
        <v>1</v>
      </c>
      <c r="T65" s="284"/>
      <c r="U65" s="293"/>
      <c r="V65" s="37" t="s">
        <v>981</v>
      </c>
      <c r="W65" s="28" t="s">
        <v>17</v>
      </c>
      <c r="X65" s="28" t="s">
        <v>18</v>
      </c>
      <c r="Y65" s="38">
        <v>52.3</v>
      </c>
      <c r="Z65" s="28"/>
      <c r="AA65" s="28"/>
      <c r="AB65" s="28"/>
      <c r="AC65" s="28"/>
      <c r="AD65" s="37"/>
      <c r="AE65" s="28"/>
      <c r="AF65" s="28"/>
      <c r="AG65" s="38"/>
      <c r="AH65" s="28"/>
      <c r="AI65" s="28"/>
      <c r="AJ65" s="28"/>
      <c r="AK65" s="28"/>
      <c r="AL65" s="37"/>
      <c r="AM65" s="28"/>
      <c r="AN65" s="28"/>
      <c r="AO65" s="38"/>
      <c r="AP65" s="37"/>
      <c r="AQ65" s="28"/>
      <c r="AR65" s="28"/>
      <c r="AS65" s="38"/>
      <c r="AT65" s="28"/>
      <c r="AU65" s="28"/>
      <c r="AV65" s="28"/>
      <c r="AW65" s="38"/>
      <c r="AX65" s="28"/>
      <c r="AY65" s="28"/>
      <c r="AZ65" s="28"/>
      <c r="BA65" s="39"/>
    </row>
    <row r="66" spans="1:53" x14ac:dyDescent="0.15">
      <c r="A66" s="28">
        <v>1996</v>
      </c>
      <c r="B66" s="293"/>
      <c r="C66" s="394" t="s">
        <v>982</v>
      </c>
      <c r="D66" s="394"/>
      <c r="E66" s="28">
        <v>302</v>
      </c>
      <c r="F66" s="28"/>
      <c r="G66" s="65"/>
      <c r="H66" s="28">
        <v>13</v>
      </c>
      <c r="I66" s="28"/>
      <c r="J66" s="72">
        <v>13</v>
      </c>
      <c r="K66" s="46">
        <f t="shared" si="5"/>
        <v>0</v>
      </c>
      <c r="L66" s="46">
        <f t="shared" si="6"/>
        <v>100</v>
      </c>
      <c r="M66" s="46">
        <f t="shared" si="7"/>
        <v>0</v>
      </c>
      <c r="N66" s="67">
        <f t="shared" si="8"/>
        <v>100</v>
      </c>
      <c r="O66" s="45"/>
      <c r="P66" s="46">
        <v>52.3</v>
      </c>
      <c r="Q66" s="46"/>
      <c r="R66" s="47">
        <f t="shared" si="9"/>
        <v>52.3</v>
      </c>
      <c r="S66" s="28">
        <v>1</v>
      </c>
      <c r="T66" s="284"/>
      <c r="U66" s="293"/>
      <c r="V66" s="37" t="s">
        <v>981</v>
      </c>
      <c r="W66" s="28" t="s">
        <v>17</v>
      </c>
      <c r="X66" s="28" t="s">
        <v>18</v>
      </c>
      <c r="Y66" s="38">
        <v>52.3</v>
      </c>
      <c r="Z66" s="28"/>
      <c r="AA66" s="28"/>
      <c r="AB66" s="28"/>
      <c r="AC66" s="28"/>
      <c r="AD66" s="37"/>
      <c r="AE66" s="28"/>
      <c r="AF66" s="28"/>
      <c r="AG66" s="38"/>
      <c r="AH66" s="28"/>
      <c r="AI66" s="28"/>
      <c r="AJ66" s="28"/>
      <c r="AK66" s="28"/>
      <c r="AL66" s="37"/>
      <c r="AM66" s="28"/>
      <c r="AN66" s="28"/>
      <c r="AO66" s="38"/>
      <c r="AP66" s="37"/>
      <c r="AQ66" s="28"/>
      <c r="AR66" s="28"/>
      <c r="AS66" s="38"/>
      <c r="AT66" s="28"/>
      <c r="AU66" s="28"/>
      <c r="AV66" s="28"/>
      <c r="AW66" s="38"/>
      <c r="AX66" s="28"/>
      <c r="AY66" s="28"/>
      <c r="AZ66" s="28"/>
      <c r="BA66" s="39"/>
    </row>
    <row r="67" spans="1:53" x14ac:dyDescent="0.15">
      <c r="A67" s="170">
        <v>1996</v>
      </c>
      <c r="B67" s="281">
        <v>35367</v>
      </c>
      <c r="C67" s="395" t="s">
        <v>983</v>
      </c>
      <c r="D67" s="395"/>
      <c r="E67" s="170">
        <f>366-E66</f>
        <v>64</v>
      </c>
      <c r="F67" s="170">
        <v>1</v>
      </c>
      <c r="G67" s="232"/>
      <c r="H67" s="170"/>
      <c r="I67" s="170">
        <v>15</v>
      </c>
      <c r="J67" s="240">
        <v>15</v>
      </c>
      <c r="K67" s="213">
        <f t="shared" si="5"/>
        <v>0</v>
      </c>
      <c r="L67" s="213">
        <f t="shared" si="6"/>
        <v>0</v>
      </c>
      <c r="M67" s="213">
        <f t="shared" si="7"/>
        <v>100</v>
      </c>
      <c r="N67" s="234">
        <f t="shared" si="8"/>
        <v>100</v>
      </c>
      <c r="O67" s="212"/>
      <c r="P67" s="213"/>
      <c r="Q67" s="213">
        <v>50.7</v>
      </c>
      <c r="R67" s="214">
        <f t="shared" si="9"/>
        <v>50.7</v>
      </c>
      <c r="S67" s="170">
        <v>1</v>
      </c>
      <c r="T67" s="283">
        <v>35364</v>
      </c>
      <c r="U67" s="281">
        <v>35367</v>
      </c>
      <c r="V67" s="177" t="s">
        <v>984</v>
      </c>
      <c r="W67" s="170" t="s">
        <v>20</v>
      </c>
      <c r="X67" s="170" t="s">
        <v>12</v>
      </c>
      <c r="Y67" s="178">
        <v>50.7</v>
      </c>
      <c r="Z67" s="170"/>
      <c r="AA67" s="170"/>
      <c r="AB67" s="170"/>
      <c r="AC67" s="170"/>
      <c r="AD67" s="177"/>
      <c r="AE67" s="170"/>
      <c r="AF67" s="170"/>
      <c r="AG67" s="178"/>
      <c r="AH67" s="170"/>
      <c r="AI67" s="170"/>
      <c r="AJ67" s="170"/>
      <c r="AK67" s="170"/>
      <c r="AL67" s="177"/>
      <c r="AM67" s="170"/>
      <c r="AN67" s="170"/>
      <c r="AO67" s="178"/>
      <c r="AP67" s="177"/>
      <c r="AQ67" s="170"/>
      <c r="AR67" s="170"/>
      <c r="AS67" s="178"/>
      <c r="AT67" s="170"/>
      <c r="AU67" s="170"/>
      <c r="AV67" s="170"/>
      <c r="AW67" s="178"/>
      <c r="AX67" s="170"/>
      <c r="AY67" s="170"/>
      <c r="AZ67" s="170"/>
      <c r="BA67" s="179"/>
    </row>
    <row r="68" spans="1:53" x14ac:dyDescent="0.15">
      <c r="A68" s="170">
        <v>1997</v>
      </c>
      <c r="B68" s="281"/>
      <c r="C68" s="395" t="s">
        <v>983</v>
      </c>
      <c r="D68" s="395"/>
      <c r="E68" s="170">
        <v>84</v>
      </c>
      <c r="F68" s="170"/>
      <c r="G68" s="232"/>
      <c r="H68" s="170"/>
      <c r="I68" s="170">
        <v>15</v>
      </c>
      <c r="J68" s="240">
        <v>15</v>
      </c>
      <c r="K68" s="213">
        <f t="shared" si="5"/>
        <v>0</v>
      </c>
      <c r="L68" s="213">
        <f t="shared" si="6"/>
        <v>0</v>
      </c>
      <c r="M68" s="213">
        <f t="shared" si="7"/>
        <v>100</v>
      </c>
      <c r="N68" s="234">
        <f t="shared" si="8"/>
        <v>100</v>
      </c>
      <c r="O68" s="212"/>
      <c r="P68" s="213"/>
      <c r="Q68" s="213">
        <v>50.7</v>
      </c>
      <c r="R68" s="214">
        <f t="shared" si="9"/>
        <v>50.7</v>
      </c>
      <c r="S68" s="170">
        <v>1</v>
      </c>
      <c r="T68" s="283"/>
      <c r="U68" s="281"/>
      <c r="V68" s="177" t="s">
        <v>984</v>
      </c>
      <c r="W68" s="170" t="s">
        <v>20</v>
      </c>
      <c r="X68" s="170" t="s">
        <v>12</v>
      </c>
      <c r="Y68" s="178">
        <v>50.7</v>
      </c>
      <c r="Z68" s="170"/>
      <c r="AA68" s="170"/>
      <c r="AB68" s="170"/>
      <c r="AC68" s="170"/>
      <c r="AD68" s="177"/>
      <c r="AE68" s="170"/>
      <c r="AF68" s="170"/>
      <c r="AG68" s="178"/>
      <c r="AH68" s="170"/>
      <c r="AI68" s="170"/>
      <c r="AJ68" s="170"/>
      <c r="AK68" s="170"/>
      <c r="AL68" s="177"/>
      <c r="AM68" s="170"/>
      <c r="AN68" s="170"/>
      <c r="AO68" s="178"/>
      <c r="AP68" s="177"/>
      <c r="AQ68" s="170"/>
      <c r="AR68" s="170"/>
      <c r="AS68" s="178"/>
      <c r="AT68" s="170"/>
      <c r="AU68" s="170"/>
      <c r="AV68" s="170"/>
      <c r="AW68" s="178"/>
      <c r="AX68" s="170"/>
      <c r="AY68" s="170"/>
      <c r="AZ68" s="170"/>
      <c r="BA68" s="179"/>
    </row>
    <row r="69" spans="1:53" x14ac:dyDescent="0.15">
      <c r="A69" s="170">
        <v>1997</v>
      </c>
      <c r="B69" s="303">
        <v>35515</v>
      </c>
      <c r="C69" s="395" t="s">
        <v>983</v>
      </c>
      <c r="D69" s="395"/>
      <c r="E69" s="170">
        <f>365-E68</f>
        <v>281</v>
      </c>
      <c r="F69" s="243">
        <v>0</v>
      </c>
      <c r="G69" s="232"/>
      <c r="H69" s="170"/>
      <c r="I69" s="170">
        <v>14</v>
      </c>
      <c r="J69" s="240">
        <v>14</v>
      </c>
      <c r="K69" s="213">
        <f t="shared" si="5"/>
        <v>0</v>
      </c>
      <c r="L69" s="213">
        <f t="shared" si="6"/>
        <v>0</v>
      </c>
      <c r="M69" s="213">
        <f t="shared" si="7"/>
        <v>100</v>
      </c>
      <c r="N69" s="234">
        <f t="shared" si="8"/>
        <v>100</v>
      </c>
      <c r="O69" s="212"/>
      <c r="P69" s="213"/>
      <c r="Q69" s="213">
        <v>50.7</v>
      </c>
      <c r="R69" s="214">
        <f t="shared" si="9"/>
        <v>50.7</v>
      </c>
      <c r="S69" s="170">
        <v>1</v>
      </c>
      <c r="T69" s="283"/>
      <c r="U69" s="281"/>
      <c r="V69" s="177" t="s">
        <v>984</v>
      </c>
      <c r="W69" s="170" t="s">
        <v>20</v>
      </c>
      <c r="X69" s="170" t="s">
        <v>12</v>
      </c>
      <c r="Y69" s="178">
        <v>50.7</v>
      </c>
      <c r="Z69" s="170"/>
      <c r="AA69" s="170"/>
      <c r="AB69" s="170"/>
      <c r="AC69" s="170"/>
      <c r="AD69" s="177"/>
      <c r="AE69" s="170"/>
      <c r="AF69" s="170"/>
      <c r="AG69" s="178"/>
      <c r="AH69" s="170"/>
      <c r="AI69" s="170"/>
      <c r="AJ69" s="170"/>
      <c r="AK69" s="170"/>
      <c r="AL69" s="177"/>
      <c r="AM69" s="170"/>
      <c r="AN69" s="170"/>
      <c r="AO69" s="178"/>
      <c r="AP69" s="177"/>
      <c r="AQ69" s="170"/>
      <c r="AR69" s="170"/>
      <c r="AS69" s="178"/>
      <c r="AT69" s="170"/>
      <c r="AU69" s="170"/>
      <c r="AV69" s="170"/>
      <c r="AW69" s="178"/>
      <c r="AX69" s="170"/>
      <c r="AY69" s="170"/>
      <c r="AZ69" s="170"/>
      <c r="BA69" s="179"/>
    </row>
    <row r="70" spans="1:53" x14ac:dyDescent="0.15">
      <c r="A70" s="170">
        <v>1998</v>
      </c>
      <c r="B70" s="281"/>
      <c r="C70" s="395" t="s">
        <v>983</v>
      </c>
      <c r="D70" s="395"/>
      <c r="E70" s="170">
        <v>250</v>
      </c>
      <c r="F70" s="170"/>
      <c r="G70" s="232"/>
      <c r="H70" s="170"/>
      <c r="I70" s="170">
        <v>14</v>
      </c>
      <c r="J70" s="240">
        <v>14</v>
      </c>
      <c r="K70" s="213">
        <f t="shared" si="5"/>
        <v>0</v>
      </c>
      <c r="L70" s="213">
        <f t="shared" si="6"/>
        <v>0</v>
      </c>
      <c r="M70" s="213">
        <f t="shared" si="7"/>
        <v>100</v>
      </c>
      <c r="N70" s="234">
        <f t="shared" si="8"/>
        <v>100</v>
      </c>
      <c r="O70" s="212"/>
      <c r="P70" s="213"/>
      <c r="Q70" s="213">
        <v>50.7</v>
      </c>
      <c r="R70" s="214">
        <f t="shared" si="9"/>
        <v>50.7</v>
      </c>
      <c r="S70" s="170">
        <v>1</v>
      </c>
      <c r="T70" s="283"/>
      <c r="U70" s="281"/>
      <c r="V70" s="177" t="s">
        <v>984</v>
      </c>
      <c r="W70" s="170" t="s">
        <v>20</v>
      </c>
      <c r="X70" s="170" t="s">
        <v>12</v>
      </c>
      <c r="Y70" s="178">
        <v>50.7</v>
      </c>
      <c r="Z70" s="170"/>
      <c r="AA70" s="170"/>
      <c r="AB70" s="170"/>
      <c r="AC70" s="170"/>
      <c r="AD70" s="177"/>
      <c r="AE70" s="170"/>
      <c r="AF70" s="170"/>
      <c r="AG70" s="178"/>
      <c r="AH70" s="170"/>
      <c r="AI70" s="170"/>
      <c r="AJ70" s="170"/>
      <c r="AK70" s="170"/>
      <c r="AL70" s="177"/>
      <c r="AM70" s="170"/>
      <c r="AN70" s="170"/>
      <c r="AO70" s="178"/>
      <c r="AP70" s="177"/>
      <c r="AQ70" s="170"/>
      <c r="AR70" s="170"/>
      <c r="AS70" s="178"/>
      <c r="AT70" s="170"/>
      <c r="AU70" s="170"/>
      <c r="AV70" s="170"/>
      <c r="AW70" s="178"/>
      <c r="AX70" s="170"/>
      <c r="AY70" s="170"/>
      <c r="AZ70" s="170"/>
      <c r="BA70" s="179"/>
    </row>
    <row r="71" spans="1:53" x14ac:dyDescent="0.15">
      <c r="A71" s="28">
        <v>1998</v>
      </c>
      <c r="B71" s="293">
        <v>36046</v>
      </c>
      <c r="C71" s="394" t="s">
        <v>985</v>
      </c>
      <c r="D71" s="394"/>
      <c r="E71" s="28">
        <f>365-E70</f>
        <v>115</v>
      </c>
      <c r="F71" s="28">
        <v>1</v>
      </c>
      <c r="G71" s="65"/>
      <c r="H71" s="28">
        <v>13</v>
      </c>
      <c r="I71" s="28"/>
      <c r="J71" s="72">
        <v>13</v>
      </c>
      <c r="K71" s="46">
        <f t="shared" ref="K71:K101" si="10">G71/J71*100</f>
        <v>0</v>
      </c>
      <c r="L71" s="46">
        <f t="shared" ref="L71:L101" si="11">H71/J71*100</f>
        <v>100</v>
      </c>
      <c r="M71" s="46">
        <f t="shared" ref="M71:M101" si="12">I71/J71*100</f>
        <v>0</v>
      </c>
      <c r="N71" s="67">
        <f t="shared" ref="N71:N101" si="13">K71+L71+M71</f>
        <v>100</v>
      </c>
      <c r="O71" s="45"/>
      <c r="P71" s="46">
        <v>53.8</v>
      </c>
      <c r="Q71" s="46"/>
      <c r="R71" s="47">
        <f t="shared" ref="R71:R103" si="14">O71+P71+Q71</f>
        <v>53.8</v>
      </c>
      <c r="S71" s="28">
        <v>1</v>
      </c>
      <c r="T71" s="284">
        <v>36043</v>
      </c>
      <c r="U71" s="293">
        <v>36046</v>
      </c>
      <c r="V71" s="37" t="s">
        <v>981</v>
      </c>
      <c r="W71" s="28" t="s">
        <v>17</v>
      </c>
      <c r="X71" s="28" t="s">
        <v>18</v>
      </c>
      <c r="Y71" s="38">
        <v>53.8</v>
      </c>
      <c r="Z71" s="28"/>
      <c r="AA71" s="28"/>
      <c r="AB71" s="28"/>
      <c r="AC71" s="28"/>
      <c r="AD71" s="37"/>
      <c r="AE71" s="28"/>
      <c r="AF71" s="28"/>
      <c r="AG71" s="38"/>
      <c r="AH71" s="28"/>
      <c r="AI71" s="28"/>
      <c r="AJ71" s="28"/>
      <c r="AK71" s="28"/>
      <c r="AL71" s="37"/>
      <c r="AM71" s="28"/>
      <c r="AN71" s="28"/>
      <c r="AO71" s="38"/>
      <c r="AP71" s="37"/>
      <c r="AQ71" s="28"/>
      <c r="AR71" s="28"/>
      <c r="AS71" s="38"/>
      <c r="AT71" s="28"/>
      <c r="AU71" s="28"/>
      <c r="AV71" s="28"/>
      <c r="AW71" s="38"/>
      <c r="AX71" s="28"/>
      <c r="AY71" s="28"/>
      <c r="AZ71" s="28"/>
      <c r="BA71" s="39"/>
    </row>
    <row r="72" spans="1:53" x14ac:dyDescent="0.15">
      <c r="A72" s="28">
        <v>1999</v>
      </c>
      <c r="B72" s="293"/>
      <c r="C72" s="394" t="s">
        <v>985</v>
      </c>
      <c r="D72" s="394"/>
      <c r="E72" s="28">
        <v>82</v>
      </c>
      <c r="F72" s="28"/>
      <c r="G72" s="65"/>
      <c r="H72" s="28">
        <v>13</v>
      </c>
      <c r="I72" s="28"/>
      <c r="J72" s="72">
        <v>13</v>
      </c>
      <c r="K72" s="46">
        <f t="shared" si="10"/>
        <v>0</v>
      </c>
      <c r="L72" s="46">
        <f t="shared" si="11"/>
        <v>100</v>
      </c>
      <c r="M72" s="46">
        <f t="shared" si="12"/>
        <v>0</v>
      </c>
      <c r="N72" s="67">
        <f t="shared" si="13"/>
        <v>100</v>
      </c>
      <c r="O72" s="45"/>
      <c r="P72" s="46">
        <v>53.8</v>
      </c>
      <c r="Q72" s="46"/>
      <c r="R72" s="47">
        <f t="shared" si="14"/>
        <v>53.8</v>
      </c>
      <c r="S72" s="28">
        <v>1</v>
      </c>
      <c r="T72" s="284"/>
      <c r="U72" s="293"/>
      <c r="V72" s="37" t="s">
        <v>981</v>
      </c>
      <c r="W72" s="28" t="s">
        <v>17</v>
      </c>
      <c r="X72" s="28" t="s">
        <v>18</v>
      </c>
      <c r="Y72" s="38">
        <v>53.8</v>
      </c>
      <c r="Z72" s="28"/>
      <c r="AA72" s="28"/>
      <c r="AB72" s="28"/>
      <c r="AC72" s="28"/>
      <c r="AD72" s="37"/>
      <c r="AE72" s="28"/>
      <c r="AF72" s="28"/>
      <c r="AG72" s="38"/>
      <c r="AH72" s="28"/>
      <c r="AI72" s="28"/>
      <c r="AJ72" s="28"/>
      <c r="AK72" s="28"/>
      <c r="AL72" s="37"/>
      <c r="AM72" s="28"/>
      <c r="AN72" s="28"/>
      <c r="AO72" s="38"/>
      <c r="AP72" s="37"/>
      <c r="AQ72" s="28"/>
      <c r="AR72" s="28"/>
      <c r="AS72" s="38"/>
      <c r="AT72" s="28"/>
      <c r="AU72" s="28"/>
      <c r="AV72" s="28"/>
      <c r="AW72" s="38"/>
      <c r="AX72" s="28"/>
      <c r="AY72" s="28"/>
      <c r="AZ72" s="28"/>
      <c r="BA72" s="39"/>
    </row>
    <row r="73" spans="1:53" x14ac:dyDescent="0.15">
      <c r="A73" s="28">
        <v>1999</v>
      </c>
      <c r="B73" s="301">
        <v>36243</v>
      </c>
      <c r="C73" s="394" t="s">
        <v>985</v>
      </c>
      <c r="D73" s="394"/>
      <c r="E73" s="28">
        <f>365-E72</f>
        <v>283</v>
      </c>
      <c r="F73" s="83">
        <v>0</v>
      </c>
      <c r="G73" s="65"/>
      <c r="H73" s="28">
        <v>14</v>
      </c>
      <c r="I73" s="28"/>
      <c r="J73" s="72">
        <v>14</v>
      </c>
      <c r="K73" s="46">
        <f t="shared" si="10"/>
        <v>0</v>
      </c>
      <c r="L73" s="46">
        <f t="shared" si="11"/>
        <v>100</v>
      </c>
      <c r="M73" s="46">
        <f t="shared" si="12"/>
        <v>0</v>
      </c>
      <c r="N73" s="67">
        <f t="shared" si="13"/>
        <v>100</v>
      </c>
      <c r="O73" s="45"/>
      <c r="P73" s="46">
        <v>53.8</v>
      </c>
      <c r="Q73" s="46"/>
      <c r="R73" s="47">
        <f t="shared" si="14"/>
        <v>53.8</v>
      </c>
      <c r="S73" s="28">
        <v>1</v>
      </c>
      <c r="T73" s="284"/>
      <c r="U73" s="293"/>
      <c r="V73" s="37" t="s">
        <v>981</v>
      </c>
      <c r="W73" s="28" t="s">
        <v>17</v>
      </c>
      <c r="X73" s="28" t="s">
        <v>18</v>
      </c>
      <c r="Y73" s="38">
        <v>53.8</v>
      </c>
      <c r="Z73" s="28"/>
      <c r="AA73" s="28"/>
      <c r="AB73" s="28"/>
      <c r="AC73" s="28"/>
      <c r="AD73" s="37"/>
      <c r="AE73" s="28"/>
      <c r="AF73" s="28"/>
      <c r="AG73" s="38"/>
      <c r="AH73" s="28"/>
      <c r="AI73" s="28"/>
      <c r="AJ73" s="28"/>
      <c r="AK73" s="28"/>
      <c r="AL73" s="37"/>
      <c r="AM73" s="28"/>
      <c r="AN73" s="28"/>
      <c r="AO73" s="38"/>
      <c r="AP73" s="37"/>
      <c r="AQ73" s="28"/>
      <c r="AR73" s="28"/>
      <c r="AS73" s="38"/>
      <c r="AT73" s="28"/>
      <c r="AU73" s="28"/>
      <c r="AV73" s="28"/>
      <c r="AW73" s="38"/>
      <c r="AX73" s="28"/>
      <c r="AY73" s="28"/>
      <c r="AZ73" s="28"/>
      <c r="BA73" s="39"/>
    </row>
    <row r="74" spans="1:53" x14ac:dyDescent="0.15">
      <c r="A74" s="28">
        <v>2000</v>
      </c>
      <c r="B74" s="293"/>
      <c r="C74" s="394" t="s">
        <v>985</v>
      </c>
      <c r="D74" s="394"/>
      <c r="E74" s="28">
        <v>0</v>
      </c>
      <c r="F74" s="28"/>
      <c r="G74" s="65"/>
      <c r="H74" s="28">
        <v>14</v>
      </c>
      <c r="I74" s="28"/>
      <c r="J74" s="72">
        <v>14</v>
      </c>
      <c r="K74" s="46">
        <f t="shared" si="10"/>
        <v>0</v>
      </c>
      <c r="L74" s="46">
        <f t="shared" si="11"/>
        <v>100</v>
      </c>
      <c r="M74" s="46">
        <f t="shared" si="12"/>
        <v>0</v>
      </c>
      <c r="N74" s="67">
        <f t="shared" si="13"/>
        <v>100</v>
      </c>
      <c r="O74" s="45"/>
      <c r="P74" s="46">
        <v>53.8</v>
      </c>
      <c r="Q74" s="46"/>
      <c r="R74" s="47">
        <f t="shared" si="14"/>
        <v>53.8</v>
      </c>
      <c r="S74" s="28">
        <v>1</v>
      </c>
      <c r="T74" s="284"/>
      <c r="U74" s="293"/>
      <c r="V74" s="37" t="s">
        <v>981</v>
      </c>
      <c r="W74" s="28" t="s">
        <v>17</v>
      </c>
      <c r="X74" s="28" t="s">
        <v>18</v>
      </c>
      <c r="Y74" s="38">
        <v>53.8</v>
      </c>
      <c r="Z74" s="28"/>
      <c r="AA74" s="28"/>
      <c r="AB74" s="28"/>
      <c r="AC74" s="28"/>
      <c r="AD74" s="37"/>
      <c r="AE74" s="28"/>
      <c r="AF74" s="28"/>
      <c r="AG74" s="38"/>
      <c r="AH74" s="28"/>
      <c r="AI74" s="28"/>
      <c r="AJ74" s="28"/>
      <c r="AK74" s="28"/>
      <c r="AL74" s="37"/>
      <c r="AM74" s="28"/>
      <c r="AN74" s="28"/>
      <c r="AO74" s="38"/>
      <c r="AP74" s="37"/>
      <c r="AQ74" s="28"/>
      <c r="AR74" s="28"/>
      <c r="AS74" s="38"/>
      <c r="AT74" s="28"/>
      <c r="AU74" s="28"/>
      <c r="AV74" s="28"/>
      <c r="AW74" s="38"/>
      <c r="AX74" s="28"/>
      <c r="AY74" s="28"/>
      <c r="AZ74" s="28"/>
      <c r="BA74" s="39"/>
    </row>
    <row r="75" spans="1:53" x14ac:dyDescent="0.15">
      <c r="A75" s="28">
        <v>2000</v>
      </c>
      <c r="B75" s="293"/>
      <c r="C75" s="394" t="s">
        <v>985</v>
      </c>
      <c r="D75" s="394"/>
      <c r="E75" s="28">
        <v>366</v>
      </c>
      <c r="F75" s="28"/>
      <c r="G75" s="65"/>
      <c r="H75" s="28">
        <v>14</v>
      </c>
      <c r="I75" s="28"/>
      <c r="J75" s="72">
        <v>14</v>
      </c>
      <c r="K75" s="46">
        <f t="shared" si="10"/>
        <v>0</v>
      </c>
      <c r="L75" s="46">
        <f t="shared" si="11"/>
        <v>100</v>
      </c>
      <c r="M75" s="46">
        <f t="shared" si="12"/>
        <v>0</v>
      </c>
      <c r="N75" s="67">
        <f t="shared" si="13"/>
        <v>100</v>
      </c>
      <c r="O75" s="45"/>
      <c r="P75" s="46">
        <v>53.8</v>
      </c>
      <c r="Q75" s="46"/>
      <c r="R75" s="47">
        <f t="shared" si="14"/>
        <v>53.8</v>
      </c>
      <c r="S75" s="28">
        <v>1</v>
      </c>
      <c r="T75" s="284"/>
      <c r="U75" s="293"/>
      <c r="V75" s="37" t="s">
        <v>981</v>
      </c>
      <c r="W75" s="28" t="s">
        <v>17</v>
      </c>
      <c r="X75" s="28" t="s">
        <v>18</v>
      </c>
      <c r="Y75" s="38">
        <v>53.8</v>
      </c>
      <c r="Z75" s="28"/>
      <c r="AA75" s="28"/>
      <c r="AB75" s="28"/>
      <c r="AC75" s="28"/>
      <c r="AD75" s="37"/>
      <c r="AE75" s="28"/>
      <c r="AF75" s="28"/>
      <c r="AG75" s="38"/>
      <c r="AH75" s="28"/>
      <c r="AI75" s="28"/>
      <c r="AJ75" s="28"/>
      <c r="AK75" s="28"/>
      <c r="AL75" s="37"/>
      <c r="AM75" s="28"/>
      <c r="AN75" s="28"/>
      <c r="AO75" s="38"/>
      <c r="AP75" s="37"/>
      <c r="AQ75" s="28"/>
      <c r="AR75" s="28"/>
      <c r="AS75" s="38"/>
      <c r="AT75" s="28"/>
      <c r="AU75" s="28"/>
      <c r="AV75" s="28"/>
      <c r="AW75" s="38"/>
      <c r="AX75" s="28"/>
      <c r="AY75" s="28"/>
      <c r="AZ75" s="28"/>
      <c r="BA75" s="39"/>
    </row>
    <row r="76" spans="1:53" x14ac:dyDescent="0.15">
      <c r="A76" s="28">
        <v>2001</v>
      </c>
      <c r="B76" s="293"/>
      <c r="C76" s="394" t="s">
        <v>985</v>
      </c>
      <c r="D76" s="394"/>
      <c r="E76" s="28">
        <v>0</v>
      </c>
      <c r="F76" s="28"/>
      <c r="G76" s="65"/>
      <c r="H76" s="28">
        <v>14</v>
      </c>
      <c r="I76" s="28"/>
      <c r="J76" s="72">
        <v>14</v>
      </c>
      <c r="K76" s="46">
        <f t="shared" si="10"/>
        <v>0</v>
      </c>
      <c r="L76" s="46">
        <f t="shared" si="11"/>
        <v>100</v>
      </c>
      <c r="M76" s="46">
        <f t="shared" si="12"/>
        <v>0</v>
      </c>
      <c r="N76" s="67">
        <f t="shared" si="13"/>
        <v>100</v>
      </c>
      <c r="O76" s="45"/>
      <c r="P76" s="46">
        <v>53.8</v>
      </c>
      <c r="Q76" s="46"/>
      <c r="R76" s="47">
        <f t="shared" si="14"/>
        <v>53.8</v>
      </c>
      <c r="S76" s="28">
        <v>1</v>
      </c>
      <c r="T76" s="284"/>
      <c r="U76" s="293"/>
      <c r="V76" s="37" t="s">
        <v>981</v>
      </c>
      <c r="W76" s="28" t="s">
        <v>17</v>
      </c>
      <c r="X76" s="28" t="s">
        <v>18</v>
      </c>
      <c r="Y76" s="38">
        <v>53.8</v>
      </c>
      <c r="Z76" s="28"/>
      <c r="AA76" s="28"/>
      <c r="AB76" s="28"/>
      <c r="AC76" s="28"/>
      <c r="AD76" s="37"/>
      <c r="AE76" s="28"/>
      <c r="AF76" s="28"/>
      <c r="AG76" s="38"/>
      <c r="AH76" s="28"/>
      <c r="AI76" s="28"/>
      <c r="AJ76" s="28"/>
      <c r="AK76" s="28"/>
      <c r="AL76" s="37"/>
      <c r="AM76" s="28"/>
      <c r="AN76" s="28"/>
      <c r="AO76" s="38"/>
      <c r="AP76" s="37"/>
      <c r="AQ76" s="28"/>
      <c r="AR76" s="28"/>
      <c r="AS76" s="38"/>
      <c r="AT76" s="28"/>
      <c r="AU76" s="28"/>
      <c r="AV76" s="28"/>
      <c r="AW76" s="38"/>
      <c r="AX76" s="28"/>
      <c r="AY76" s="28"/>
      <c r="AZ76" s="28"/>
      <c r="BA76" s="39"/>
    </row>
    <row r="77" spans="1:53" x14ac:dyDescent="0.15">
      <c r="A77" s="28">
        <v>2001</v>
      </c>
      <c r="B77" s="293"/>
      <c r="C77" s="394" t="s">
        <v>985</v>
      </c>
      <c r="D77" s="394"/>
      <c r="E77" s="28">
        <f>365-E76</f>
        <v>365</v>
      </c>
      <c r="F77" s="28"/>
      <c r="G77" s="65"/>
      <c r="H77" s="28">
        <v>14</v>
      </c>
      <c r="I77" s="28"/>
      <c r="J77" s="72">
        <v>14</v>
      </c>
      <c r="K77" s="46">
        <f t="shared" si="10"/>
        <v>0</v>
      </c>
      <c r="L77" s="46">
        <f t="shared" si="11"/>
        <v>100</v>
      </c>
      <c r="M77" s="46">
        <f t="shared" si="12"/>
        <v>0</v>
      </c>
      <c r="N77" s="67">
        <f t="shared" si="13"/>
        <v>100</v>
      </c>
      <c r="O77" s="45"/>
      <c r="P77" s="46">
        <v>53.8</v>
      </c>
      <c r="Q77" s="46"/>
      <c r="R77" s="47">
        <f t="shared" si="14"/>
        <v>53.8</v>
      </c>
      <c r="S77" s="28">
        <v>1</v>
      </c>
      <c r="T77" s="284"/>
      <c r="U77" s="293"/>
      <c r="V77" s="37" t="s">
        <v>981</v>
      </c>
      <c r="W77" s="28" t="s">
        <v>17</v>
      </c>
      <c r="X77" s="28" t="s">
        <v>18</v>
      </c>
      <c r="Y77" s="38">
        <v>53.8</v>
      </c>
      <c r="Z77" s="28"/>
      <c r="AA77" s="28"/>
      <c r="AB77" s="28"/>
      <c r="AC77" s="28"/>
      <c r="AD77" s="37"/>
      <c r="AE77" s="28"/>
      <c r="AF77" s="28"/>
      <c r="AG77" s="38"/>
      <c r="AH77" s="28"/>
      <c r="AI77" s="28"/>
      <c r="AJ77" s="28"/>
      <c r="AK77" s="28"/>
      <c r="AL77" s="37"/>
      <c r="AM77" s="28"/>
      <c r="AN77" s="28"/>
      <c r="AO77" s="38"/>
      <c r="AP77" s="37"/>
      <c r="AQ77" s="28"/>
      <c r="AR77" s="28"/>
      <c r="AS77" s="38"/>
      <c r="AT77" s="28"/>
      <c r="AU77" s="28"/>
      <c r="AV77" s="28"/>
      <c r="AW77" s="38"/>
      <c r="AX77" s="28"/>
      <c r="AY77" s="28"/>
      <c r="AZ77" s="28"/>
      <c r="BA77" s="39"/>
    </row>
    <row r="78" spans="1:53" x14ac:dyDescent="0.15">
      <c r="A78" s="28">
        <v>2002</v>
      </c>
      <c r="B78" s="293"/>
      <c r="C78" s="394" t="s">
        <v>985</v>
      </c>
      <c r="D78" s="394"/>
      <c r="E78" s="28">
        <v>0</v>
      </c>
      <c r="F78" s="28"/>
      <c r="G78" s="65"/>
      <c r="H78" s="28">
        <v>14</v>
      </c>
      <c r="I78" s="28"/>
      <c r="J78" s="72">
        <v>14</v>
      </c>
      <c r="K78" s="46">
        <f t="shared" si="10"/>
        <v>0</v>
      </c>
      <c r="L78" s="46">
        <f t="shared" si="11"/>
        <v>100</v>
      </c>
      <c r="M78" s="46">
        <f t="shared" si="12"/>
        <v>0</v>
      </c>
      <c r="N78" s="67">
        <f t="shared" si="13"/>
        <v>100</v>
      </c>
      <c r="O78" s="45"/>
      <c r="P78" s="46">
        <v>53.8</v>
      </c>
      <c r="Q78" s="46"/>
      <c r="R78" s="47">
        <f t="shared" si="14"/>
        <v>53.8</v>
      </c>
      <c r="S78" s="28">
        <v>1</v>
      </c>
      <c r="T78" s="284"/>
      <c r="U78" s="293"/>
      <c r="V78" s="37" t="s">
        <v>981</v>
      </c>
      <c r="W78" s="28" t="s">
        <v>17</v>
      </c>
      <c r="X78" s="28" t="s">
        <v>18</v>
      </c>
      <c r="Y78" s="38">
        <v>53.8</v>
      </c>
      <c r="Z78" s="28"/>
      <c r="AA78" s="28"/>
      <c r="AB78" s="28"/>
      <c r="AC78" s="28"/>
      <c r="AD78" s="37"/>
      <c r="AE78" s="28"/>
      <c r="AF78" s="28"/>
      <c r="AG78" s="38"/>
      <c r="AH78" s="28"/>
      <c r="AI78" s="28"/>
      <c r="AJ78" s="28"/>
      <c r="AK78" s="28"/>
      <c r="AL78" s="37"/>
      <c r="AM78" s="28"/>
      <c r="AN78" s="28"/>
      <c r="AO78" s="38"/>
      <c r="AP78" s="37"/>
      <c r="AQ78" s="28"/>
      <c r="AR78" s="28"/>
      <c r="AS78" s="38"/>
      <c r="AT78" s="28"/>
      <c r="AU78" s="28"/>
      <c r="AV78" s="28"/>
      <c r="AW78" s="38"/>
      <c r="AX78" s="28"/>
      <c r="AY78" s="28"/>
      <c r="AZ78" s="28"/>
      <c r="BA78" s="39"/>
    </row>
    <row r="79" spans="1:53" x14ac:dyDescent="0.15">
      <c r="A79" s="28">
        <v>2002</v>
      </c>
      <c r="B79" s="293"/>
      <c r="C79" s="394" t="s">
        <v>985</v>
      </c>
      <c r="D79" s="394"/>
      <c r="E79" s="28">
        <f>365-E78</f>
        <v>365</v>
      </c>
      <c r="F79" s="28"/>
      <c r="G79" s="65"/>
      <c r="H79" s="28">
        <v>14</v>
      </c>
      <c r="I79" s="28"/>
      <c r="J79" s="72">
        <v>14</v>
      </c>
      <c r="K79" s="46">
        <f t="shared" si="10"/>
        <v>0</v>
      </c>
      <c r="L79" s="46">
        <f t="shared" si="11"/>
        <v>100</v>
      </c>
      <c r="M79" s="46">
        <f t="shared" si="12"/>
        <v>0</v>
      </c>
      <c r="N79" s="67">
        <f t="shared" si="13"/>
        <v>100</v>
      </c>
      <c r="O79" s="45"/>
      <c r="P79" s="46">
        <v>53.8</v>
      </c>
      <c r="Q79" s="46"/>
      <c r="R79" s="47">
        <f t="shared" si="14"/>
        <v>53.8</v>
      </c>
      <c r="S79" s="28">
        <v>1</v>
      </c>
      <c r="T79" s="284"/>
      <c r="U79" s="293"/>
      <c r="V79" s="37" t="s">
        <v>981</v>
      </c>
      <c r="W79" s="28" t="s">
        <v>17</v>
      </c>
      <c r="X79" s="28" t="s">
        <v>18</v>
      </c>
      <c r="Y79" s="38">
        <v>53.8</v>
      </c>
      <c r="Z79" s="28"/>
      <c r="AA79" s="28"/>
      <c r="AB79" s="28"/>
      <c r="AC79" s="28"/>
      <c r="AD79" s="37"/>
      <c r="AE79" s="28"/>
      <c r="AF79" s="28"/>
      <c r="AG79" s="38"/>
      <c r="AH79" s="28"/>
      <c r="AI79" s="28"/>
      <c r="AJ79" s="28"/>
      <c r="AK79" s="28"/>
      <c r="AL79" s="37"/>
      <c r="AM79" s="28"/>
      <c r="AN79" s="28"/>
      <c r="AO79" s="38"/>
      <c r="AP79" s="37"/>
      <c r="AQ79" s="28"/>
      <c r="AR79" s="28"/>
      <c r="AS79" s="38"/>
      <c r="AT79" s="28"/>
      <c r="AU79" s="28"/>
      <c r="AV79" s="28"/>
      <c r="AW79" s="38"/>
      <c r="AX79" s="28"/>
      <c r="AY79" s="28"/>
      <c r="AZ79" s="28"/>
      <c r="BA79" s="39"/>
    </row>
    <row r="80" spans="1:53" x14ac:dyDescent="0.15">
      <c r="A80" s="28">
        <v>2003</v>
      </c>
      <c r="B80" s="293"/>
      <c r="C80" s="394" t="s">
        <v>985</v>
      </c>
      <c r="D80" s="394"/>
      <c r="E80" s="28">
        <v>104</v>
      </c>
      <c r="F80" s="28"/>
      <c r="G80" s="65"/>
      <c r="H80" s="28">
        <v>14</v>
      </c>
      <c r="I80" s="28"/>
      <c r="J80" s="72">
        <v>14</v>
      </c>
      <c r="K80" s="46">
        <f t="shared" si="10"/>
        <v>0</v>
      </c>
      <c r="L80" s="46">
        <f t="shared" si="11"/>
        <v>100</v>
      </c>
      <c r="M80" s="46">
        <f t="shared" si="12"/>
        <v>0</v>
      </c>
      <c r="N80" s="67">
        <f t="shared" si="13"/>
        <v>100</v>
      </c>
      <c r="O80" s="45"/>
      <c r="P80" s="46">
        <v>53.8</v>
      </c>
      <c r="Q80" s="46"/>
      <c r="R80" s="47">
        <f t="shared" si="14"/>
        <v>53.8</v>
      </c>
      <c r="S80" s="28">
        <v>1</v>
      </c>
      <c r="T80" s="284"/>
      <c r="U80" s="293"/>
      <c r="V80" s="37" t="s">
        <v>981</v>
      </c>
      <c r="W80" s="28" t="s">
        <v>17</v>
      </c>
      <c r="X80" s="28" t="s">
        <v>18</v>
      </c>
      <c r="Y80" s="38">
        <v>53.8</v>
      </c>
      <c r="Z80" s="28"/>
      <c r="AA80" s="28"/>
      <c r="AB80" s="28"/>
      <c r="AC80" s="28"/>
      <c r="AD80" s="37"/>
      <c r="AE80" s="28"/>
      <c r="AF80" s="28"/>
      <c r="AG80" s="38"/>
      <c r="AH80" s="28"/>
      <c r="AI80" s="28"/>
      <c r="AJ80" s="28"/>
      <c r="AK80" s="28"/>
      <c r="AL80" s="37"/>
      <c r="AM80" s="28"/>
      <c r="AN80" s="28"/>
      <c r="AO80" s="38"/>
      <c r="AP80" s="37"/>
      <c r="AQ80" s="28"/>
      <c r="AR80" s="28"/>
      <c r="AS80" s="38"/>
      <c r="AT80" s="28"/>
      <c r="AU80" s="28"/>
      <c r="AV80" s="28"/>
      <c r="AW80" s="38"/>
      <c r="AX80" s="28"/>
      <c r="AY80" s="28"/>
      <c r="AZ80" s="28"/>
      <c r="BA80" s="39"/>
    </row>
    <row r="81" spans="1:53" x14ac:dyDescent="0.15">
      <c r="A81" s="170">
        <v>2003</v>
      </c>
      <c r="B81" s="281">
        <v>37726</v>
      </c>
      <c r="C81" s="395" t="s">
        <v>986</v>
      </c>
      <c r="D81" s="395"/>
      <c r="E81" s="170">
        <f>365-E80</f>
        <v>261</v>
      </c>
      <c r="F81" s="170">
        <v>1</v>
      </c>
      <c r="G81" s="232"/>
      <c r="H81" s="170">
        <v>14</v>
      </c>
      <c r="I81" s="170"/>
      <c r="J81" s="240">
        <v>14</v>
      </c>
      <c r="K81" s="213">
        <f t="shared" si="10"/>
        <v>0</v>
      </c>
      <c r="L81" s="213">
        <f t="shared" si="11"/>
        <v>100</v>
      </c>
      <c r="M81" s="213">
        <f t="shared" si="12"/>
        <v>0</v>
      </c>
      <c r="N81" s="234">
        <f t="shared" si="13"/>
        <v>100</v>
      </c>
      <c r="O81" s="212"/>
      <c r="P81" s="213">
        <v>53.8</v>
      </c>
      <c r="Q81" s="213"/>
      <c r="R81" s="214">
        <f t="shared" si="14"/>
        <v>53.8</v>
      </c>
      <c r="S81" s="170">
        <v>1</v>
      </c>
      <c r="T81" s="283">
        <v>37723</v>
      </c>
      <c r="U81" s="281">
        <v>37726</v>
      </c>
      <c r="V81" s="177" t="s">
        <v>981</v>
      </c>
      <c r="W81" s="170" t="s">
        <v>17</v>
      </c>
      <c r="X81" s="170" t="s">
        <v>18</v>
      </c>
      <c r="Y81" s="178">
        <v>53.8</v>
      </c>
      <c r="Z81" s="170"/>
      <c r="AA81" s="170"/>
      <c r="AB81" s="170"/>
      <c r="AC81" s="170"/>
      <c r="AD81" s="177"/>
      <c r="AE81" s="170"/>
      <c r="AF81" s="170"/>
      <c r="AG81" s="178"/>
      <c r="AH81" s="170"/>
      <c r="AI81" s="170"/>
      <c r="AJ81" s="170"/>
      <c r="AK81" s="170"/>
      <c r="AL81" s="177"/>
      <c r="AM81" s="170"/>
      <c r="AN81" s="170"/>
      <c r="AO81" s="178"/>
      <c r="AP81" s="177"/>
      <c r="AQ81" s="170"/>
      <c r="AR81" s="170"/>
      <c r="AS81" s="178"/>
      <c r="AT81" s="170"/>
      <c r="AU81" s="170"/>
      <c r="AV81" s="170"/>
      <c r="AW81" s="178"/>
      <c r="AX81" s="170"/>
      <c r="AY81" s="170"/>
      <c r="AZ81" s="170"/>
      <c r="BA81" s="179"/>
    </row>
    <row r="82" spans="1:53" x14ac:dyDescent="0.15">
      <c r="A82" s="170">
        <v>2004</v>
      </c>
      <c r="B82" s="281"/>
      <c r="C82" s="395" t="s">
        <v>986</v>
      </c>
      <c r="D82" s="395"/>
      <c r="E82" s="170">
        <v>83</v>
      </c>
      <c r="F82" s="170"/>
      <c r="G82" s="232"/>
      <c r="H82" s="170">
        <v>14</v>
      </c>
      <c r="I82" s="170"/>
      <c r="J82" s="240">
        <v>14</v>
      </c>
      <c r="K82" s="213">
        <f t="shared" si="10"/>
        <v>0</v>
      </c>
      <c r="L82" s="213">
        <f t="shared" si="11"/>
        <v>100</v>
      </c>
      <c r="M82" s="213">
        <f t="shared" si="12"/>
        <v>0</v>
      </c>
      <c r="N82" s="234">
        <f t="shared" si="13"/>
        <v>100</v>
      </c>
      <c r="O82" s="212"/>
      <c r="P82" s="213">
        <v>53.8</v>
      </c>
      <c r="Q82" s="213"/>
      <c r="R82" s="214">
        <f t="shared" si="14"/>
        <v>53.8</v>
      </c>
      <c r="S82" s="170">
        <v>1</v>
      </c>
      <c r="T82" s="283"/>
      <c r="U82" s="281"/>
      <c r="V82" s="177" t="s">
        <v>981</v>
      </c>
      <c r="W82" s="170" t="s">
        <v>17</v>
      </c>
      <c r="X82" s="170" t="s">
        <v>18</v>
      </c>
      <c r="Y82" s="178">
        <v>53.8</v>
      </c>
      <c r="Z82" s="170"/>
      <c r="AA82" s="170"/>
      <c r="AB82" s="170"/>
      <c r="AC82" s="170"/>
      <c r="AD82" s="177"/>
      <c r="AE82" s="170"/>
      <c r="AF82" s="170"/>
      <c r="AG82" s="178"/>
      <c r="AH82" s="170"/>
      <c r="AI82" s="170"/>
      <c r="AJ82" s="170"/>
      <c r="AK82" s="170"/>
      <c r="AL82" s="177"/>
      <c r="AM82" s="170"/>
      <c r="AN82" s="170"/>
      <c r="AO82" s="178"/>
      <c r="AP82" s="177"/>
      <c r="AQ82" s="170"/>
      <c r="AR82" s="170"/>
      <c r="AS82" s="178"/>
      <c r="AT82" s="170"/>
      <c r="AU82" s="170"/>
      <c r="AV82" s="170"/>
      <c r="AW82" s="178"/>
      <c r="AX82" s="170"/>
      <c r="AY82" s="170"/>
      <c r="AZ82" s="170"/>
      <c r="BA82" s="179"/>
    </row>
    <row r="83" spans="1:53" x14ac:dyDescent="0.15">
      <c r="A83" s="28">
        <v>2004</v>
      </c>
      <c r="B83" s="293">
        <v>38070</v>
      </c>
      <c r="C83" s="394" t="s">
        <v>987</v>
      </c>
      <c r="D83" s="394"/>
      <c r="E83" s="28">
        <f>366-E82</f>
        <v>283</v>
      </c>
      <c r="F83" s="28">
        <v>2</v>
      </c>
      <c r="G83" s="65"/>
      <c r="H83" s="28">
        <v>13</v>
      </c>
      <c r="I83" s="28"/>
      <c r="J83" s="72">
        <v>13</v>
      </c>
      <c r="K83" s="46">
        <f t="shared" si="10"/>
        <v>0</v>
      </c>
      <c r="L83" s="46">
        <f t="shared" si="11"/>
        <v>100</v>
      </c>
      <c r="M83" s="46">
        <f t="shared" si="12"/>
        <v>0</v>
      </c>
      <c r="N83" s="67">
        <f t="shared" si="13"/>
        <v>100</v>
      </c>
      <c r="O83" s="45"/>
      <c r="P83" s="46">
        <v>53.8</v>
      </c>
      <c r="Q83" s="46"/>
      <c r="R83" s="47">
        <f t="shared" si="14"/>
        <v>53.8</v>
      </c>
      <c r="S83" s="28">
        <v>1</v>
      </c>
      <c r="T83" s="284"/>
      <c r="U83" s="293">
        <v>38070</v>
      </c>
      <c r="V83" s="37" t="s">
        <v>981</v>
      </c>
      <c r="W83" s="28" t="s">
        <v>17</v>
      </c>
      <c r="X83" s="28" t="s">
        <v>18</v>
      </c>
      <c r="Y83" s="38">
        <v>53.8</v>
      </c>
      <c r="Z83" s="28"/>
      <c r="AA83" s="28"/>
      <c r="AB83" s="28"/>
      <c r="AC83" s="28"/>
      <c r="AD83" s="37"/>
      <c r="AE83" s="28"/>
      <c r="AF83" s="28"/>
      <c r="AG83" s="38"/>
      <c r="AH83" s="28"/>
      <c r="AI83" s="28"/>
      <c r="AJ83" s="28"/>
      <c r="AK83" s="28"/>
      <c r="AL83" s="37"/>
      <c r="AM83" s="28"/>
      <c r="AN83" s="28"/>
      <c r="AO83" s="38"/>
      <c r="AP83" s="37"/>
      <c r="AQ83" s="28"/>
      <c r="AR83" s="28"/>
      <c r="AS83" s="38"/>
      <c r="AT83" s="28"/>
      <c r="AU83" s="28"/>
      <c r="AV83" s="28"/>
      <c r="AW83" s="38"/>
      <c r="AX83" s="28"/>
      <c r="AY83" s="28"/>
      <c r="AZ83" s="28"/>
      <c r="BA83" s="39"/>
    </row>
    <row r="84" spans="1:53" x14ac:dyDescent="0.15">
      <c r="A84" s="28">
        <v>2005</v>
      </c>
      <c r="B84" s="293"/>
      <c r="C84" s="394" t="s">
        <v>987</v>
      </c>
      <c r="D84" s="394"/>
      <c r="E84" s="28">
        <v>0</v>
      </c>
      <c r="F84" s="28"/>
      <c r="G84" s="65"/>
      <c r="H84" s="28">
        <v>13</v>
      </c>
      <c r="I84" s="28"/>
      <c r="J84" s="72">
        <v>13</v>
      </c>
      <c r="K84" s="46">
        <f t="shared" si="10"/>
        <v>0</v>
      </c>
      <c r="L84" s="46">
        <f t="shared" si="11"/>
        <v>100</v>
      </c>
      <c r="M84" s="46">
        <f t="shared" si="12"/>
        <v>0</v>
      </c>
      <c r="N84" s="67">
        <f t="shared" si="13"/>
        <v>100</v>
      </c>
      <c r="O84" s="45"/>
      <c r="P84" s="46">
        <v>53.8</v>
      </c>
      <c r="Q84" s="46"/>
      <c r="R84" s="47">
        <f t="shared" si="14"/>
        <v>53.8</v>
      </c>
      <c r="S84" s="28">
        <v>1</v>
      </c>
      <c r="T84" s="284"/>
      <c r="U84" s="293"/>
      <c r="V84" s="37" t="s">
        <v>981</v>
      </c>
      <c r="W84" s="28" t="s">
        <v>17</v>
      </c>
      <c r="X84" s="28" t="s">
        <v>18</v>
      </c>
      <c r="Y84" s="38">
        <v>53.8</v>
      </c>
      <c r="Z84" s="28"/>
      <c r="AA84" s="28"/>
      <c r="AB84" s="28"/>
      <c r="AC84" s="28"/>
      <c r="AD84" s="37"/>
      <c r="AE84" s="28"/>
      <c r="AF84" s="28"/>
      <c r="AG84" s="38"/>
      <c r="AH84" s="28"/>
      <c r="AI84" s="28"/>
      <c r="AJ84" s="28"/>
      <c r="AK84" s="28"/>
      <c r="AL84" s="37"/>
      <c r="AM84" s="28"/>
      <c r="AN84" s="28"/>
      <c r="AO84" s="38"/>
      <c r="AP84" s="37"/>
      <c r="AQ84" s="28"/>
      <c r="AR84" s="28"/>
      <c r="AS84" s="38"/>
      <c r="AT84" s="28"/>
      <c r="AU84" s="28"/>
      <c r="AV84" s="28"/>
      <c r="AW84" s="38"/>
      <c r="AX84" s="28"/>
      <c r="AY84" s="28"/>
      <c r="AZ84" s="28"/>
      <c r="BA84" s="39"/>
    </row>
    <row r="85" spans="1:53" x14ac:dyDescent="0.15">
      <c r="A85" s="28">
        <v>2005</v>
      </c>
      <c r="B85" s="293"/>
      <c r="C85" s="394" t="s">
        <v>987</v>
      </c>
      <c r="D85" s="394"/>
      <c r="E85" s="28">
        <f>365-E84</f>
        <v>365</v>
      </c>
      <c r="F85" s="28"/>
      <c r="G85" s="65"/>
      <c r="H85" s="28">
        <v>13</v>
      </c>
      <c r="I85" s="28"/>
      <c r="J85" s="72">
        <v>13</v>
      </c>
      <c r="K85" s="46">
        <f t="shared" si="10"/>
        <v>0</v>
      </c>
      <c r="L85" s="46">
        <f t="shared" si="11"/>
        <v>100</v>
      </c>
      <c r="M85" s="46">
        <f t="shared" si="12"/>
        <v>0</v>
      </c>
      <c r="N85" s="67">
        <f t="shared" si="13"/>
        <v>100</v>
      </c>
      <c r="O85" s="45"/>
      <c r="P85" s="46">
        <v>53.8</v>
      </c>
      <c r="Q85" s="46"/>
      <c r="R85" s="47">
        <f t="shared" si="14"/>
        <v>53.8</v>
      </c>
      <c r="S85" s="28">
        <v>1</v>
      </c>
      <c r="T85" s="284"/>
      <c r="U85" s="293"/>
      <c r="V85" s="37" t="s">
        <v>981</v>
      </c>
      <c r="W85" s="28" t="s">
        <v>17</v>
      </c>
      <c r="X85" s="28" t="s">
        <v>18</v>
      </c>
      <c r="Y85" s="38">
        <v>53.8</v>
      </c>
      <c r="Z85" s="28"/>
      <c r="AA85" s="28"/>
      <c r="AB85" s="28"/>
      <c r="AC85" s="28"/>
      <c r="AD85" s="37"/>
      <c r="AE85" s="28"/>
      <c r="AF85" s="28"/>
      <c r="AG85" s="38"/>
      <c r="AH85" s="28"/>
      <c r="AI85" s="28"/>
      <c r="AJ85" s="28"/>
      <c r="AK85" s="28"/>
      <c r="AL85" s="37"/>
      <c r="AM85" s="28"/>
      <c r="AN85" s="28"/>
      <c r="AO85" s="38"/>
      <c r="AP85" s="37"/>
      <c r="AQ85" s="28"/>
      <c r="AR85" s="28"/>
      <c r="AS85" s="38"/>
      <c r="AT85" s="28"/>
      <c r="AU85" s="28"/>
      <c r="AV85" s="28"/>
      <c r="AW85" s="38"/>
      <c r="AX85" s="28"/>
      <c r="AY85" s="28"/>
      <c r="AZ85" s="28"/>
      <c r="BA85" s="39"/>
    </row>
    <row r="86" spans="1:53" x14ac:dyDescent="0.15">
      <c r="A86" s="28">
        <v>2006</v>
      </c>
      <c r="B86" s="293"/>
      <c r="C86" s="394" t="s">
        <v>987</v>
      </c>
      <c r="D86" s="394"/>
      <c r="E86" s="28">
        <v>0</v>
      </c>
      <c r="F86" s="28"/>
      <c r="G86" s="65"/>
      <c r="H86" s="28">
        <v>13</v>
      </c>
      <c r="I86" s="28"/>
      <c r="J86" s="72">
        <v>13</v>
      </c>
      <c r="K86" s="46">
        <f t="shared" si="10"/>
        <v>0</v>
      </c>
      <c r="L86" s="46">
        <f t="shared" si="11"/>
        <v>100</v>
      </c>
      <c r="M86" s="46">
        <f t="shared" si="12"/>
        <v>0</v>
      </c>
      <c r="N86" s="67">
        <f t="shared" si="13"/>
        <v>100</v>
      </c>
      <c r="O86" s="45"/>
      <c r="P86" s="46">
        <v>53.8</v>
      </c>
      <c r="Q86" s="46"/>
      <c r="R86" s="47">
        <f t="shared" si="14"/>
        <v>53.8</v>
      </c>
      <c r="S86" s="28">
        <v>1</v>
      </c>
      <c r="T86" s="284"/>
      <c r="U86" s="293"/>
      <c r="V86" s="37" t="s">
        <v>981</v>
      </c>
      <c r="W86" s="28" t="s">
        <v>17</v>
      </c>
      <c r="X86" s="28" t="s">
        <v>18</v>
      </c>
      <c r="Y86" s="38">
        <v>53.8</v>
      </c>
      <c r="Z86" s="28"/>
      <c r="AA86" s="28"/>
      <c r="AB86" s="28"/>
      <c r="AC86" s="28"/>
      <c r="AD86" s="37"/>
      <c r="AE86" s="28"/>
      <c r="AF86" s="28"/>
      <c r="AG86" s="38"/>
      <c r="AH86" s="28"/>
      <c r="AI86" s="28"/>
      <c r="AJ86" s="28"/>
      <c r="AK86" s="28"/>
      <c r="AL86" s="37"/>
      <c r="AM86" s="28"/>
      <c r="AN86" s="28"/>
      <c r="AO86" s="38"/>
      <c r="AP86" s="37"/>
      <c r="AQ86" s="28"/>
      <c r="AR86" s="28"/>
      <c r="AS86" s="38"/>
      <c r="AT86" s="28"/>
      <c r="AU86" s="28"/>
      <c r="AV86" s="28"/>
      <c r="AW86" s="38"/>
      <c r="AX86" s="28"/>
      <c r="AY86" s="28"/>
      <c r="AZ86" s="28"/>
      <c r="BA86" s="39"/>
    </row>
    <row r="87" spans="1:53" x14ac:dyDescent="0.15">
      <c r="A87" s="28">
        <v>2006</v>
      </c>
      <c r="B87" s="293"/>
      <c r="C87" s="394" t="s">
        <v>987</v>
      </c>
      <c r="D87" s="394"/>
      <c r="E87" s="28">
        <f>365-E86</f>
        <v>365</v>
      </c>
      <c r="F87" s="28"/>
      <c r="G87" s="65"/>
      <c r="H87" s="28">
        <v>13</v>
      </c>
      <c r="I87" s="28"/>
      <c r="J87" s="72">
        <v>13</v>
      </c>
      <c r="K87" s="46">
        <f t="shared" si="10"/>
        <v>0</v>
      </c>
      <c r="L87" s="46">
        <f t="shared" si="11"/>
        <v>100</v>
      </c>
      <c r="M87" s="46">
        <f t="shared" si="12"/>
        <v>0</v>
      </c>
      <c r="N87" s="67">
        <f t="shared" si="13"/>
        <v>100</v>
      </c>
      <c r="O87" s="45"/>
      <c r="P87" s="46">
        <v>53.8</v>
      </c>
      <c r="Q87" s="46"/>
      <c r="R87" s="47">
        <f t="shared" si="14"/>
        <v>53.8</v>
      </c>
      <c r="S87" s="28">
        <v>1</v>
      </c>
      <c r="T87" s="284"/>
      <c r="U87" s="293"/>
      <c r="V87" s="37" t="s">
        <v>981</v>
      </c>
      <c r="W87" s="28" t="s">
        <v>17</v>
      </c>
      <c r="X87" s="28" t="s">
        <v>18</v>
      </c>
      <c r="Y87" s="38">
        <v>53.8</v>
      </c>
      <c r="Z87" s="28"/>
      <c r="AA87" s="28"/>
      <c r="AB87" s="28"/>
      <c r="AC87" s="28"/>
      <c r="AD87" s="37"/>
      <c r="AE87" s="28"/>
      <c r="AF87" s="28"/>
      <c r="AG87" s="38"/>
      <c r="AH87" s="28"/>
      <c r="AI87" s="28"/>
      <c r="AJ87" s="28"/>
      <c r="AK87" s="28"/>
      <c r="AL87" s="37"/>
      <c r="AM87" s="28"/>
      <c r="AN87" s="28"/>
      <c r="AO87" s="38"/>
      <c r="AP87" s="37"/>
      <c r="AQ87" s="28"/>
      <c r="AR87" s="28"/>
      <c r="AS87" s="38"/>
      <c r="AT87" s="28"/>
      <c r="AU87" s="28"/>
      <c r="AV87" s="28"/>
      <c r="AW87" s="38"/>
      <c r="AX87" s="28"/>
      <c r="AY87" s="28"/>
      <c r="AZ87" s="28"/>
      <c r="BA87" s="39"/>
    </row>
    <row r="88" spans="1:53" x14ac:dyDescent="0.15">
      <c r="A88" s="28">
        <v>2007</v>
      </c>
      <c r="B88" s="293"/>
      <c r="C88" s="394" t="s">
        <v>987</v>
      </c>
      <c r="D88" s="394"/>
      <c r="E88" s="28">
        <v>0</v>
      </c>
      <c r="F88" s="28"/>
      <c r="G88" s="65"/>
      <c r="H88" s="28">
        <v>13</v>
      </c>
      <c r="I88" s="28"/>
      <c r="J88" s="72">
        <v>13</v>
      </c>
      <c r="K88" s="46">
        <f t="shared" si="10"/>
        <v>0</v>
      </c>
      <c r="L88" s="46">
        <f t="shared" si="11"/>
        <v>100</v>
      </c>
      <c r="M88" s="46">
        <f t="shared" si="12"/>
        <v>0</v>
      </c>
      <c r="N88" s="67">
        <f t="shared" si="13"/>
        <v>100</v>
      </c>
      <c r="O88" s="45"/>
      <c r="P88" s="46">
        <v>54.8</v>
      </c>
      <c r="Q88" s="46"/>
      <c r="R88" s="47">
        <f t="shared" si="14"/>
        <v>54.8</v>
      </c>
      <c r="S88" s="28">
        <v>1</v>
      </c>
      <c r="T88" s="284"/>
      <c r="U88" s="293"/>
      <c r="V88" s="37" t="s">
        <v>981</v>
      </c>
      <c r="W88" s="28" t="s">
        <v>17</v>
      </c>
      <c r="X88" s="28" t="s">
        <v>18</v>
      </c>
      <c r="Y88" s="38">
        <v>53.8</v>
      </c>
      <c r="Z88" s="28"/>
      <c r="AA88" s="28"/>
      <c r="AB88" s="28"/>
      <c r="AC88" s="28"/>
      <c r="AD88" s="37"/>
      <c r="AE88" s="28"/>
      <c r="AF88" s="28"/>
      <c r="AG88" s="38"/>
      <c r="AH88" s="28"/>
      <c r="AI88" s="28"/>
      <c r="AJ88" s="28"/>
      <c r="AK88" s="28"/>
      <c r="AL88" s="37"/>
      <c r="AM88" s="28"/>
      <c r="AN88" s="28"/>
      <c r="AO88" s="38"/>
      <c r="AP88" s="37"/>
      <c r="AQ88" s="28"/>
      <c r="AR88" s="28"/>
      <c r="AS88" s="38"/>
      <c r="AT88" s="28"/>
      <c r="AU88" s="28"/>
      <c r="AV88" s="28"/>
      <c r="AW88" s="38"/>
      <c r="AX88" s="28"/>
      <c r="AY88" s="28"/>
      <c r="AZ88" s="28"/>
      <c r="BA88" s="39"/>
    </row>
    <row r="89" spans="1:53" x14ac:dyDescent="0.15">
      <c r="A89" s="28">
        <v>2007</v>
      </c>
      <c r="B89" s="293"/>
      <c r="C89" s="394" t="s">
        <v>987</v>
      </c>
      <c r="D89" s="394"/>
      <c r="E89" s="28">
        <v>365</v>
      </c>
      <c r="F89" s="28"/>
      <c r="G89" s="65"/>
      <c r="H89" s="28">
        <v>13</v>
      </c>
      <c r="I89" s="28"/>
      <c r="J89" s="72">
        <v>13</v>
      </c>
      <c r="K89" s="46">
        <f t="shared" si="10"/>
        <v>0</v>
      </c>
      <c r="L89" s="46">
        <f t="shared" si="11"/>
        <v>100</v>
      </c>
      <c r="M89" s="46">
        <f t="shared" si="12"/>
        <v>0</v>
      </c>
      <c r="N89" s="67">
        <f t="shared" si="13"/>
        <v>100</v>
      </c>
      <c r="O89" s="45"/>
      <c r="P89" s="46">
        <v>55.8</v>
      </c>
      <c r="Q89" s="46"/>
      <c r="R89" s="47">
        <f t="shared" si="14"/>
        <v>55.8</v>
      </c>
      <c r="S89" s="28">
        <v>1</v>
      </c>
      <c r="T89" s="284"/>
      <c r="U89" s="293"/>
      <c r="V89" s="37" t="s">
        <v>981</v>
      </c>
      <c r="W89" s="28" t="s">
        <v>17</v>
      </c>
      <c r="X89" s="28" t="s">
        <v>18</v>
      </c>
      <c r="Y89" s="38">
        <v>53.8</v>
      </c>
      <c r="Z89" s="28"/>
      <c r="AA89" s="28"/>
      <c r="AB89" s="28"/>
      <c r="AC89" s="28"/>
      <c r="AD89" s="37"/>
      <c r="AE89" s="28"/>
      <c r="AF89" s="28"/>
      <c r="AG89" s="38"/>
      <c r="AH89" s="28"/>
      <c r="AI89" s="28"/>
      <c r="AJ89" s="28"/>
      <c r="AK89" s="28"/>
      <c r="AL89" s="37"/>
      <c r="AM89" s="28"/>
      <c r="AN89" s="28"/>
      <c r="AO89" s="38"/>
      <c r="AP89" s="37"/>
      <c r="AQ89" s="28"/>
      <c r="AR89" s="28"/>
      <c r="AS89" s="38"/>
      <c r="AT89" s="28"/>
      <c r="AU89" s="28"/>
      <c r="AV89" s="28"/>
      <c r="AW89" s="38"/>
      <c r="AX89" s="28"/>
      <c r="AY89" s="28"/>
      <c r="AZ89" s="28"/>
      <c r="BA89" s="39"/>
    </row>
    <row r="90" spans="1:53" x14ac:dyDescent="0.15">
      <c r="A90" s="28">
        <v>2008</v>
      </c>
      <c r="B90" s="293"/>
      <c r="C90" s="394" t="s">
        <v>987</v>
      </c>
      <c r="D90" s="394"/>
      <c r="E90" s="28">
        <v>71</v>
      </c>
      <c r="F90" s="28"/>
      <c r="G90" s="65"/>
      <c r="H90" s="28">
        <v>13</v>
      </c>
      <c r="I90" s="28"/>
      <c r="J90" s="72">
        <v>13</v>
      </c>
      <c r="K90" s="46">
        <f t="shared" si="10"/>
        <v>0</v>
      </c>
      <c r="L90" s="46">
        <f t="shared" si="11"/>
        <v>100</v>
      </c>
      <c r="M90" s="46">
        <f t="shared" si="12"/>
        <v>0</v>
      </c>
      <c r="N90" s="67">
        <f t="shared" si="13"/>
        <v>100</v>
      </c>
      <c r="O90" s="45"/>
      <c r="P90" s="46">
        <v>55.8</v>
      </c>
      <c r="Q90" s="46"/>
      <c r="R90" s="47">
        <f t="shared" si="14"/>
        <v>55.8</v>
      </c>
      <c r="S90" s="28">
        <v>1</v>
      </c>
      <c r="T90" s="284"/>
      <c r="U90" s="293"/>
      <c r="V90" s="37" t="s">
        <v>981</v>
      </c>
      <c r="W90" s="28" t="s">
        <v>17</v>
      </c>
      <c r="X90" s="28" t="s">
        <v>18</v>
      </c>
      <c r="Y90" s="38">
        <v>53.8</v>
      </c>
      <c r="Z90" s="28"/>
      <c r="AA90" s="28"/>
      <c r="AB90" s="28"/>
      <c r="AC90" s="28"/>
      <c r="AD90" s="37"/>
      <c r="AE90" s="28"/>
      <c r="AF90" s="28"/>
      <c r="AG90" s="38"/>
      <c r="AH90" s="28"/>
      <c r="AI90" s="28"/>
      <c r="AJ90" s="28"/>
      <c r="AK90" s="28"/>
      <c r="AL90" s="37"/>
      <c r="AM90" s="28"/>
      <c r="AN90" s="28"/>
      <c r="AO90" s="38"/>
      <c r="AP90" s="37"/>
      <c r="AQ90" s="28"/>
      <c r="AR90" s="28"/>
      <c r="AS90" s="38"/>
      <c r="AT90" s="28"/>
      <c r="AU90" s="28"/>
      <c r="AV90" s="28"/>
      <c r="AW90" s="38"/>
      <c r="AX90" s="28"/>
      <c r="AY90" s="28"/>
      <c r="AZ90" s="28"/>
      <c r="BA90" s="39"/>
    </row>
    <row r="91" spans="1:53" x14ac:dyDescent="0.15">
      <c r="A91" s="170">
        <v>2008</v>
      </c>
      <c r="B91" s="281">
        <v>39519</v>
      </c>
      <c r="C91" s="395" t="s">
        <v>988</v>
      </c>
      <c r="D91" s="395"/>
      <c r="E91" s="170">
        <f>366-E90</f>
        <v>295</v>
      </c>
      <c r="F91" s="170">
        <v>1</v>
      </c>
      <c r="G91" s="232"/>
      <c r="H91" s="170">
        <v>9</v>
      </c>
      <c r="I91" s="170"/>
      <c r="J91" s="240">
        <v>9</v>
      </c>
      <c r="K91" s="213">
        <f t="shared" si="10"/>
        <v>0</v>
      </c>
      <c r="L91" s="213">
        <f t="shared" si="11"/>
        <v>100</v>
      </c>
      <c r="M91" s="213">
        <f t="shared" si="12"/>
        <v>0</v>
      </c>
      <c r="N91" s="234">
        <f t="shared" si="13"/>
        <v>100</v>
      </c>
      <c r="O91" s="212"/>
      <c r="P91" s="213">
        <v>50.72</v>
      </c>
      <c r="Q91" s="213"/>
      <c r="R91" s="214">
        <f t="shared" si="14"/>
        <v>50.72</v>
      </c>
      <c r="S91" s="170">
        <v>1</v>
      </c>
      <c r="T91" s="283">
        <v>39515</v>
      </c>
      <c r="U91" s="281">
        <v>39519</v>
      </c>
      <c r="V91" s="177" t="s">
        <v>981</v>
      </c>
      <c r="W91" s="170" t="s">
        <v>17</v>
      </c>
      <c r="X91" s="170" t="s">
        <v>18</v>
      </c>
      <c r="Y91" s="178">
        <v>50.7</v>
      </c>
      <c r="Z91" s="170"/>
      <c r="AA91" s="170"/>
      <c r="AB91" s="170"/>
      <c r="AC91" s="170"/>
      <c r="AD91" s="177"/>
      <c r="AE91" s="170"/>
      <c r="AF91" s="170"/>
      <c r="AG91" s="178"/>
      <c r="AH91" s="170"/>
      <c r="AI91" s="170"/>
      <c r="AJ91" s="170"/>
      <c r="AK91" s="170"/>
      <c r="AL91" s="177"/>
      <c r="AM91" s="170"/>
      <c r="AN91" s="170"/>
      <c r="AO91" s="178"/>
      <c r="AP91" s="177"/>
      <c r="AQ91" s="170"/>
      <c r="AR91" s="170"/>
      <c r="AS91" s="178"/>
      <c r="AT91" s="170"/>
      <c r="AU91" s="170"/>
      <c r="AV91" s="170"/>
      <c r="AW91" s="178"/>
      <c r="AX91" s="170"/>
      <c r="AY91" s="170"/>
      <c r="AZ91" s="170"/>
      <c r="BA91" s="179"/>
    </row>
    <row r="92" spans="1:53" x14ac:dyDescent="0.15">
      <c r="A92" s="170">
        <v>2009</v>
      </c>
      <c r="B92" s="281"/>
      <c r="C92" s="395" t="s">
        <v>988</v>
      </c>
      <c r="D92" s="395"/>
      <c r="E92" s="170">
        <v>0</v>
      </c>
      <c r="F92" s="170"/>
      <c r="G92" s="232"/>
      <c r="H92" s="170">
        <v>9</v>
      </c>
      <c r="I92" s="170"/>
      <c r="J92" s="240">
        <v>9</v>
      </c>
      <c r="K92" s="213">
        <f t="shared" si="10"/>
        <v>0</v>
      </c>
      <c r="L92" s="213">
        <f t="shared" si="11"/>
        <v>100</v>
      </c>
      <c r="M92" s="213">
        <f t="shared" si="12"/>
        <v>0</v>
      </c>
      <c r="N92" s="234">
        <f t="shared" si="13"/>
        <v>100</v>
      </c>
      <c r="O92" s="212"/>
      <c r="P92" s="213">
        <v>50.72</v>
      </c>
      <c r="Q92" s="213"/>
      <c r="R92" s="214">
        <f t="shared" si="14"/>
        <v>50.72</v>
      </c>
      <c r="S92" s="170">
        <v>1</v>
      </c>
      <c r="T92" s="283"/>
      <c r="U92" s="281"/>
      <c r="V92" s="177" t="s">
        <v>981</v>
      </c>
      <c r="W92" s="170" t="s">
        <v>17</v>
      </c>
      <c r="X92" s="170" t="s">
        <v>18</v>
      </c>
      <c r="Y92" s="178">
        <v>50.7</v>
      </c>
      <c r="Z92" s="170"/>
      <c r="AA92" s="170"/>
      <c r="AB92" s="170"/>
      <c r="AC92" s="170"/>
      <c r="AD92" s="177"/>
      <c r="AE92" s="170"/>
      <c r="AF92" s="170"/>
      <c r="AG92" s="178"/>
      <c r="AH92" s="170"/>
      <c r="AI92" s="170"/>
      <c r="AJ92" s="170"/>
      <c r="AK92" s="170"/>
      <c r="AL92" s="177"/>
      <c r="AM92" s="170"/>
      <c r="AN92" s="170"/>
      <c r="AO92" s="178"/>
      <c r="AP92" s="177"/>
      <c r="AQ92" s="170"/>
      <c r="AR92" s="170"/>
      <c r="AS92" s="178"/>
      <c r="AT92" s="170"/>
      <c r="AU92" s="170"/>
      <c r="AV92" s="170"/>
      <c r="AW92" s="178"/>
      <c r="AX92" s="170"/>
      <c r="AY92" s="170"/>
      <c r="AZ92" s="170"/>
      <c r="BA92" s="179"/>
    </row>
    <row r="93" spans="1:53" x14ac:dyDescent="0.15">
      <c r="A93" s="170">
        <v>2009</v>
      </c>
      <c r="B93" s="281"/>
      <c r="C93" s="395" t="s">
        <v>988</v>
      </c>
      <c r="D93" s="395"/>
      <c r="E93" s="170">
        <v>365</v>
      </c>
      <c r="F93" s="170"/>
      <c r="G93" s="232"/>
      <c r="H93" s="170">
        <v>9</v>
      </c>
      <c r="I93" s="170"/>
      <c r="J93" s="240">
        <v>9</v>
      </c>
      <c r="K93" s="213">
        <f t="shared" si="10"/>
        <v>0</v>
      </c>
      <c r="L93" s="213">
        <f t="shared" si="11"/>
        <v>100</v>
      </c>
      <c r="M93" s="213">
        <f t="shared" si="12"/>
        <v>0</v>
      </c>
      <c r="N93" s="234">
        <f t="shared" si="13"/>
        <v>100</v>
      </c>
      <c r="O93" s="212"/>
      <c r="P93" s="213">
        <v>50.72</v>
      </c>
      <c r="Q93" s="213"/>
      <c r="R93" s="214">
        <f t="shared" si="14"/>
        <v>50.72</v>
      </c>
      <c r="S93" s="170">
        <v>1</v>
      </c>
      <c r="T93" s="283"/>
      <c r="U93" s="281"/>
      <c r="V93" s="177" t="s">
        <v>981</v>
      </c>
      <c r="W93" s="170" t="s">
        <v>17</v>
      </c>
      <c r="X93" s="170" t="s">
        <v>18</v>
      </c>
      <c r="Y93" s="178">
        <v>50.7</v>
      </c>
      <c r="Z93" s="170"/>
      <c r="AA93" s="170"/>
      <c r="AB93" s="170"/>
      <c r="AC93" s="170"/>
      <c r="AD93" s="177"/>
      <c r="AE93" s="170"/>
      <c r="AF93" s="170"/>
      <c r="AG93" s="178"/>
      <c r="AH93" s="170"/>
      <c r="AI93" s="170"/>
      <c r="AJ93" s="170"/>
      <c r="AK93" s="170"/>
      <c r="AL93" s="177"/>
      <c r="AM93" s="170"/>
      <c r="AN93" s="170"/>
      <c r="AO93" s="178"/>
      <c r="AP93" s="177"/>
      <c r="AQ93" s="170"/>
      <c r="AR93" s="170"/>
      <c r="AS93" s="178"/>
      <c r="AT93" s="170"/>
      <c r="AU93" s="170"/>
      <c r="AV93" s="170"/>
      <c r="AW93" s="178"/>
      <c r="AX93" s="170"/>
      <c r="AY93" s="170"/>
      <c r="AZ93" s="170"/>
      <c r="BA93" s="179"/>
    </row>
    <row r="94" spans="1:53" x14ac:dyDescent="0.15">
      <c r="A94" s="170">
        <v>2010</v>
      </c>
      <c r="B94" s="281"/>
      <c r="C94" s="395" t="s">
        <v>988</v>
      </c>
      <c r="D94" s="395"/>
      <c r="E94" s="170">
        <v>0</v>
      </c>
      <c r="F94" s="170"/>
      <c r="G94" s="232"/>
      <c r="H94" s="170">
        <v>9</v>
      </c>
      <c r="I94" s="170"/>
      <c r="J94" s="240">
        <v>9</v>
      </c>
      <c r="K94" s="213">
        <f t="shared" si="10"/>
        <v>0</v>
      </c>
      <c r="L94" s="213">
        <f t="shared" si="11"/>
        <v>100</v>
      </c>
      <c r="M94" s="213">
        <f t="shared" si="12"/>
        <v>0</v>
      </c>
      <c r="N94" s="234">
        <f t="shared" si="13"/>
        <v>100</v>
      </c>
      <c r="O94" s="212"/>
      <c r="P94" s="213">
        <v>50.72</v>
      </c>
      <c r="Q94" s="213"/>
      <c r="R94" s="214">
        <f t="shared" si="14"/>
        <v>50.72</v>
      </c>
      <c r="S94" s="170">
        <v>1</v>
      </c>
      <c r="T94" s="283"/>
      <c r="U94" s="281"/>
      <c r="V94" s="177" t="s">
        <v>981</v>
      </c>
      <c r="W94" s="170" t="s">
        <v>17</v>
      </c>
      <c r="X94" s="170" t="s">
        <v>18</v>
      </c>
      <c r="Y94" s="178">
        <v>50.7</v>
      </c>
      <c r="Z94" s="170"/>
      <c r="AA94" s="170"/>
      <c r="AB94" s="170"/>
      <c r="AC94" s="170"/>
      <c r="AD94" s="177"/>
      <c r="AE94" s="170"/>
      <c r="AF94" s="170"/>
      <c r="AG94" s="178"/>
      <c r="AH94" s="170"/>
      <c r="AI94" s="170"/>
      <c r="AJ94" s="170"/>
      <c r="AK94" s="170"/>
      <c r="AL94" s="177"/>
      <c r="AM94" s="170"/>
      <c r="AN94" s="170"/>
      <c r="AO94" s="178"/>
      <c r="AP94" s="177"/>
      <c r="AQ94" s="170"/>
      <c r="AR94" s="170"/>
      <c r="AS94" s="178"/>
      <c r="AT94" s="170"/>
      <c r="AU94" s="170"/>
      <c r="AV94" s="170"/>
      <c r="AW94" s="178"/>
      <c r="AX94" s="170"/>
      <c r="AY94" s="170"/>
      <c r="AZ94" s="170"/>
      <c r="BA94" s="179"/>
    </row>
    <row r="95" spans="1:53" x14ac:dyDescent="0.15">
      <c r="A95" s="170">
        <v>2010</v>
      </c>
      <c r="B95" s="281"/>
      <c r="C95" s="395" t="s">
        <v>988</v>
      </c>
      <c r="D95" s="395"/>
      <c r="E95" s="170">
        <v>365</v>
      </c>
      <c r="F95" s="170"/>
      <c r="G95" s="232"/>
      <c r="H95" s="170">
        <v>9</v>
      </c>
      <c r="I95" s="170"/>
      <c r="J95" s="240">
        <v>9</v>
      </c>
      <c r="K95" s="213">
        <f t="shared" si="10"/>
        <v>0</v>
      </c>
      <c r="L95" s="213">
        <f t="shared" si="11"/>
        <v>100</v>
      </c>
      <c r="M95" s="213">
        <f t="shared" si="12"/>
        <v>0</v>
      </c>
      <c r="N95" s="234">
        <f t="shared" si="13"/>
        <v>100</v>
      </c>
      <c r="O95" s="212"/>
      <c r="P95" s="213">
        <v>50.72</v>
      </c>
      <c r="Q95" s="213"/>
      <c r="R95" s="214">
        <f t="shared" si="14"/>
        <v>50.72</v>
      </c>
      <c r="S95" s="170">
        <v>1</v>
      </c>
      <c r="T95" s="283"/>
      <c r="U95" s="281"/>
      <c r="V95" s="177" t="s">
        <v>981</v>
      </c>
      <c r="W95" s="170" t="s">
        <v>17</v>
      </c>
      <c r="X95" s="170" t="s">
        <v>18</v>
      </c>
      <c r="Y95" s="178">
        <v>50.7</v>
      </c>
      <c r="Z95" s="170"/>
      <c r="AA95" s="170"/>
      <c r="AB95" s="170"/>
      <c r="AC95" s="170"/>
      <c r="AD95" s="177"/>
      <c r="AE95" s="170"/>
      <c r="AF95" s="170"/>
      <c r="AG95" s="178"/>
      <c r="AH95" s="170"/>
      <c r="AI95" s="170"/>
      <c r="AJ95" s="170"/>
      <c r="AK95" s="170"/>
      <c r="AL95" s="177"/>
      <c r="AM95" s="170"/>
      <c r="AN95" s="170"/>
      <c r="AO95" s="178"/>
      <c r="AP95" s="177"/>
      <c r="AQ95" s="170"/>
      <c r="AR95" s="170"/>
      <c r="AS95" s="178"/>
      <c r="AT95" s="170"/>
      <c r="AU95" s="170"/>
      <c r="AV95" s="170"/>
      <c r="AW95" s="178"/>
      <c r="AX95" s="170"/>
      <c r="AY95" s="170"/>
      <c r="AZ95" s="170"/>
      <c r="BA95" s="179"/>
    </row>
    <row r="96" spans="1:53" x14ac:dyDescent="0.15">
      <c r="A96" s="170">
        <v>2011</v>
      </c>
      <c r="B96" s="281"/>
      <c r="C96" s="395" t="s">
        <v>988</v>
      </c>
      <c r="D96" s="395"/>
      <c r="E96" s="170">
        <v>0</v>
      </c>
      <c r="F96" s="170"/>
      <c r="G96" s="232"/>
      <c r="H96" s="170">
        <v>9</v>
      </c>
      <c r="I96" s="170"/>
      <c r="J96" s="240">
        <v>9</v>
      </c>
      <c r="K96" s="213">
        <f t="shared" si="10"/>
        <v>0</v>
      </c>
      <c r="L96" s="213">
        <f t="shared" si="11"/>
        <v>100</v>
      </c>
      <c r="M96" s="213">
        <f t="shared" si="12"/>
        <v>0</v>
      </c>
      <c r="N96" s="234">
        <f t="shared" si="13"/>
        <v>100</v>
      </c>
      <c r="O96" s="212"/>
      <c r="P96" s="213">
        <v>50.72</v>
      </c>
      <c r="Q96" s="213"/>
      <c r="R96" s="214">
        <f t="shared" si="14"/>
        <v>50.72</v>
      </c>
      <c r="S96" s="170">
        <v>1</v>
      </c>
      <c r="T96" s="283"/>
      <c r="U96" s="281"/>
      <c r="V96" s="177" t="s">
        <v>981</v>
      </c>
      <c r="W96" s="170" t="s">
        <v>17</v>
      </c>
      <c r="X96" s="170" t="s">
        <v>18</v>
      </c>
      <c r="Y96" s="178">
        <v>50.7</v>
      </c>
      <c r="Z96" s="170"/>
      <c r="AA96" s="170"/>
      <c r="AB96" s="170"/>
      <c r="AC96" s="170"/>
      <c r="AD96" s="177"/>
      <c r="AE96" s="170"/>
      <c r="AF96" s="170"/>
      <c r="AG96" s="178"/>
      <c r="AH96" s="170"/>
      <c r="AI96" s="170"/>
      <c r="AJ96" s="170"/>
      <c r="AK96" s="170"/>
      <c r="AL96" s="177"/>
      <c r="AM96" s="170"/>
      <c r="AN96" s="170"/>
      <c r="AO96" s="178"/>
      <c r="AP96" s="177"/>
      <c r="AQ96" s="170"/>
      <c r="AR96" s="170"/>
      <c r="AS96" s="178"/>
      <c r="AT96" s="170"/>
      <c r="AU96" s="170"/>
      <c r="AV96" s="170"/>
      <c r="AW96" s="178"/>
      <c r="AX96" s="170"/>
      <c r="AY96" s="170"/>
      <c r="AZ96" s="170"/>
      <c r="BA96" s="179"/>
    </row>
    <row r="97" spans="1:53" x14ac:dyDescent="0.15">
      <c r="A97" s="170">
        <v>2011</v>
      </c>
      <c r="B97" s="281"/>
      <c r="C97" s="395" t="s">
        <v>988</v>
      </c>
      <c r="D97" s="395"/>
      <c r="E97" s="170">
        <v>365</v>
      </c>
      <c r="F97" s="170"/>
      <c r="G97" s="232"/>
      <c r="H97" s="170">
        <v>9</v>
      </c>
      <c r="I97" s="170"/>
      <c r="J97" s="240">
        <v>9</v>
      </c>
      <c r="K97" s="213">
        <f t="shared" si="10"/>
        <v>0</v>
      </c>
      <c r="L97" s="213">
        <f t="shared" si="11"/>
        <v>100</v>
      </c>
      <c r="M97" s="213">
        <f t="shared" si="12"/>
        <v>0</v>
      </c>
      <c r="N97" s="234">
        <f t="shared" si="13"/>
        <v>100</v>
      </c>
      <c r="O97" s="212"/>
      <c r="P97" s="213">
        <v>50.72</v>
      </c>
      <c r="Q97" s="213"/>
      <c r="R97" s="214">
        <f t="shared" si="14"/>
        <v>50.72</v>
      </c>
      <c r="S97" s="170">
        <v>1</v>
      </c>
      <c r="T97" s="283"/>
      <c r="U97" s="281"/>
      <c r="V97" s="177" t="s">
        <v>981</v>
      </c>
      <c r="W97" s="170" t="s">
        <v>17</v>
      </c>
      <c r="X97" s="170" t="s">
        <v>18</v>
      </c>
      <c r="Y97" s="178">
        <v>50.7</v>
      </c>
      <c r="Z97" s="170"/>
      <c r="AA97" s="170"/>
      <c r="AB97" s="170"/>
      <c r="AC97" s="170"/>
      <c r="AD97" s="177"/>
      <c r="AE97" s="170"/>
      <c r="AF97" s="170"/>
      <c r="AG97" s="178"/>
      <c r="AH97" s="170"/>
      <c r="AI97" s="170"/>
      <c r="AJ97" s="170"/>
      <c r="AK97" s="170"/>
      <c r="AL97" s="177"/>
      <c r="AM97" s="170"/>
      <c r="AN97" s="170"/>
      <c r="AO97" s="178"/>
      <c r="AP97" s="177"/>
      <c r="AQ97" s="170"/>
      <c r="AR97" s="170"/>
      <c r="AS97" s="178"/>
      <c r="AT97" s="170"/>
      <c r="AU97" s="170"/>
      <c r="AV97" s="170"/>
      <c r="AW97" s="178"/>
      <c r="AX97" s="170"/>
      <c r="AY97" s="170"/>
      <c r="AZ97" s="170"/>
      <c r="BA97" s="179"/>
    </row>
    <row r="98" spans="1:53" x14ac:dyDescent="0.15">
      <c r="A98" s="170">
        <v>2012</v>
      </c>
      <c r="B98" s="299"/>
      <c r="C98" s="395" t="s">
        <v>988</v>
      </c>
      <c r="D98" s="395"/>
      <c r="E98" s="170">
        <v>5</v>
      </c>
      <c r="F98" s="191"/>
      <c r="G98" s="232"/>
      <c r="H98" s="170">
        <v>9</v>
      </c>
      <c r="I98" s="170"/>
      <c r="J98" s="240">
        <v>9</v>
      </c>
      <c r="K98" s="213">
        <f t="shared" si="10"/>
        <v>0</v>
      </c>
      <c r="L98" s="213">
        <f t="shared" si="11"/>
        <v>100</v>
      </c>
      <c r="M98" s="213">
        <f t="shared" si="12"/>
        <v>0</v>
      </c>
      <c r="N98" s="234">
        <f t="shared" si="13"/>
        <v>100</v>
      </c>
      <c r="O98" s="212"/>
      <c r="P98" s="213">
        <v>50.72</v>
      </c>
      <c r="Q98" s="213"/>
      <c r="R98" s="214">
        <f t="shared" si="14"/>
        <v>50.72</v>
      </c>
      <c r="S98" s="170">
        <v>1</v>
      </c>
      <c r="T98" s="283"/>
      <c r="U98" s="281"/>
      <c r="V98" s="177" t="s">
        <v>981</v>
      </c>
      <c r="W98" s="170" t="s">
        <v>17</v>
      </c>
      <c r="X98" s="170" t="s">
        <v>18</v>
      </c>
      <c r="Y98" s="178">
        <v>50.7</v>
      </c>
      <c r="Z98" s="170"/>
      <c r="AA98" s="170"/>
      <c r="AB98" s="170"/>
      <c r="AC98" s="170"/>
      <c r="AD98" s="177"/>
      <c r="AE98" s="170"/>
      <c r="AF98" s="170"/>
      <c r="AG98" s="178"/>
      <c r="AH98" s="170"/>
      <c r="AI98" s="170"/>
      <c r="AJ98" s="170"/>
      <c r="AK98" s="170"/>
      <c r="AL98" s="177"/>
      <c r="AM98" s="170"/>
      <c r="AN98" s="170"/>
      <c r="AO98" s="178"/>
      <c r="AP98" s="177"/>
      <c r="AQ98" s="170"/>
      <c r="AR98" s="170"/>
      <c r="AS98" s="178"/>
      <c r="AT98" s="170"/>
      <c r="AU98" s="170"/>
      <c r="AV98" s="170"/>
      <c r="AW98" s="178"/>
      <c r="AX98" s="170"/>
      <c r="AY98" s="170"/>
      <c r="AZ98" s="170"/>
      <c r="BA98" s="179"/>
    </row>
    <row r="99" spans="1:53" x14ac:dyDescent="0.15">
      <c r="A99" s="170">
        <v>2012</v>
      </c>
      <c r="B99" s="299">
        <v>40914</v>
      </c>
      <c r="C99" s="395" t="s">
        <v>988</v>
      </c>
      <c r="D99" s="395"/>
      <c r="E99" s="170">
        <v>361</v>
      </c>
      <c r="F99" s="191">
        <v>0</v>
      </c>
      <c r="G99" s="232"/>
      <c r="H99" s="170">
        <v>11</v>
      </c>
      <c r="I99" s="170"/>
      <c r="J99" s="240">
        <v>11</v>
      </c>
      <c r="K99" s="213">
        <f t="shared" si="10"/>
        <v>0</v>
      </c>
      <c r="L99" s="213">
        <f t="shared" si="11"/>
        <v>100</v>
      </c>
      <c r="M99" s="213">
        <f t="shared" si="12"/>
        <v>0</v>
      </c>
      <c r="N99" s="234">
        <f t="shared" si="13"/>
        <v>100</v>
      </c>
      <c r="O99" s="212"/>
      <c r="P99" s="213">
        <v>50.72</v>
      </c>
      <c r="Q99" s="213"/>
      <c r="R99" s="214">
        <f t="shared" si="14"/>
        <v>50.72</v>
      </c>
      <c r="S99" s="170">
        <v>1</v>
      </c>
      <c r="T99" s="283"/>
      <c r="U99" s="281"/>
      <c r="V99" s="177" t="s">
        <v>981</v>
      </c>
      <c r="W99" s="170" t="s">
        <v>17</v>
      </c>
      <c r="X99" s="170" t="s">
        <v>18</v>
      </c>
      <c r="Y99" s="178">
        <v>50.7</v>
      </c>
      <c r="Z99" s="170"/>
      <c r="AA99" s="170"/>
      <c r="AB99" s="170"/>
      <c r="AC99" s="170"/>
      <c r="AD99" s="177"/>
      <c r="AE99" s="170"/>
      <c r="AF99" s="170"/>
      <c r="AG99" s="178"/>
      <c r="AH99" s="170"/>
      <c r="AI99" s="170"/>
      <c r="AJ99" s="170"/>
      <c r="AK99" s="170"/>
      <c r="AL99" s="177"/>
      <c r="AM99" s="170"/>
      <c r="AN99" s="170"/>
      <c r="AO99" s="178"/>
      <c r="AP99" s="177"/>
      <c r="AQ99" s="170"/>
      <c r="AR99" s="170"/>
      <c r="AS99" s="178"/>
      <c r="AT99" s="170"/>
      <c r="AU99" s="170"/>
      <c r="AV99" s="170"/>
      <c r="AW99" s="178"/>
      <c r="AX99" s="170"/>
      <c r="AY99" s="170"/>
      <c r="AZ99" s="170"/>
      <c r="BA99" s="179"/>
    </row>
    <row r="100" spans="1:53" x14ac:dyDescent="0.15">
      <c r="A100" s="170">
        <v>2013</v>
      </c>
      <c r="B100" s="281"/>
      <c r="C100" s="395" t="s">
        <v>988</v>
      </c>
      <c r="D100" s="395"/>
      <c r="E100" s="170">
        <v>71</v>
      </c>
      <c r="F100" s="170"/>
      <c r="G100" s="232"/>
      <c r="H100" s="170">
        <v>11</v>
      </c>
      <c r="I100" s="170"/>
      <c r="J100" s="240">
        <v>11</v>
      </c>
      <c r="K100" s="213">
        <f t="shared" si="10"/>
        <v>0</v>
      </c>
      <c r="L100" s="213">
        <f t="shared" si="11"/>
        <v>100</v>
      </c>
      <c r="M100" s="213">
        <f t="shared" si="12"/>
        <v>0</v>
      </c>
      <c r="N100" s="234">
        <f t="shared" si="13"/>
        <v>100</v>
      </c>
      <c r="O100" s="212"/>
      <c r="P100" s="213">
        <v>50.72</v>
      </c>
      <c r="Q100" s="213"/>
      <c r="R100" s="214">
        <f t="shared" si="14"/>
        <v>50.72</v>
      </c>
      <c r="S100" s="170">
        <v>1</v>
      </c>
      <c r="T100" s="283"/>
      <c r="U100" s="281"/>
      <c r="V100" s="177" t="s">
        <v>981</v>
      </c>
      <c r="W100" s="170" t="s">
        <v>17</v>
      </c>
      <c r="X100" s="170" t="s">
        <v>18</v>
      </c>
      <c r="Y100" s="178">
        <v>50.7</v>
      </c>
      <c r="Z100" s="170"/>
      <c r="AA100" s="170"/>
      <c r="AB100" s="170"/>
      <c r="AC100" s="170"/>
      <c r="AD100" s="177"/>
      <c r="AE100" s="170"/>
      <c r="AF100" s="170"/>
      <c r="AG100" s="178"/>
      <c r="AH100" s="170"/>
      <c r="AI100" s="170"/>
      <c r="AJ100" s="170"/>
      <c r="AK100" s="170"/>
      <c r="AL100" s="177"/>
      <c r="AM100" s="170"/>
      <c r="AN100" s="170"/>
      <c r="AO100" s="178"/>
      <c r="AP100" s="177"/>
      <c r="AQ100" s="170"/>
      <c r="AR100" s="170"/>
      <c r="AS100" s="178"/>
      <c r="AT100" s="170"/>
      <c r="AU100" s="170"/>
      <c r="AV100" s="170"/>
      <c r="AW100" s="178"/>
      <c r="AX100" s="170"/>
      <c r="AY100" s="170"/>
      <c r="AZ100" s="170"/>
      <c r="BA100" s="179"/>
    </row>
    <row r="101" spans="1:53" x14ac:dyDescent="0.15">
      <c r="A101" s="28">
        <v>2013</v>
      </c>
      <c r="B101" s="293">
        <v>41346</v>
      </c>
      <c r="C101" s="394" t="s">
        <v>1252</v>
      </c>
      <c r="D101" s="394"/>
      <c r="E101" s="28">
        <f>365-E100</f>
        <v>294</v>
      </c>
      <c r="F101" s="28">
        <v>1</v>
      </c>
      <c r="G101" s="65"/>
      <c r="H101" s="28"/>
      <c r="I101" s="28">
        <v>15</v>
      </c>
      <c r="J101" s="72">
        <v>15</v>
      </c>
      <c r="K101" s="46">
        <f t="shared" si="10"/>
        <v>0</v>
      </c>
      <c r="L101" s="46">
        <f t="shared" si="11"/>
        <v>0</v>
      </c>
      <c r="M101" s="46">
        <f t="shared" si="12"/>
        <v>100</v>
      </c>
      <c r="N101" s="67">
        <f t="shared" si="13"/>
        <v>100</v>
      </c>
      <c r="O101" s="45"/>
      <c r="P101" s="46"/>
      <c r="Q101" s="46">
        <v>56.5</v>
      </c>
      <c r="R101" s="47">
        <f t="shared" si="14"/>
        <v>56.5</v>
      </c>
      <c r="S101" s="28">
        <v>1</v>
      </c>
      <c r="T101" s="284">
        <v>41341</v>
      </c>
      <c r="U101" s="293">
        <v>41346</v>
      </c>
      <c r="V101" s="37" t="s">
        <v>984</v>
      </c>
      <c r="W101" s="28" t="s">
        <v>20</v>
      </c>
      <c r="X101" s="28" t="s">
        <v>12</v>
      </c>
      <c r="Y101" s="38">
        <v>56.5</v>
      </c>
      <c r="Z101" s="28"/>
      <c r="AA101" s="28"/>
      <c r="AB101" s="28"/>
      <c r="AC101" s="28"/>
      <c r="AD101" s="37"/>
      <c r="AE101" s="28"/>
      <c r="AF101" s="28"/>
      <c r="AG101" s="38"/>
      <c r="AH101" s="28"/>
      <c r="AI101" s="28"/>
      <c r="AJ101" s="28"/>
      <c r="AK101" s="28"/>
      <c r="AL101" s="37"/>
      <c r="AM101" s="28"/>
      <c r="AN101" s="28"/>
      <c r="AO101" s="38"/>
      <c r="AP101" s="37"/>
      <c r="AQ101" s="28"/>
      <c r="AR101" s="28"/>
      <c r="AS101" s="38"/>
      <c r="AT101" s="28"/>
      <c r="AU101" s="28"/>
      <c r="AV101" s="28"/>
      <c r="AW101" s="38"/>
      <c r="AX101" s="28"/>
      <c r="AY101" s="28"/>
      <c r="AZ101" s="28"/>
      <c r="BA101" s="39"/>
    </row>
    <row r="102" spans="1:53" x14ac:dyDescent="0.15">
      <c r="A102" s="28">
        <v>2014</v>
      </c>
      <c r="B102" s="293"/>
      <c r="C102" s="394" t="s">
        <v>1252</v>
      </c>
      <c r="D102" s="394"/>
      <c r="E102" s="28">
        <v>0</v>
      </c>
      <c r="F102" s="28"/>
      <c r="G102" s="65"/>
      <c r="H102" s="28"/>
      <c r="I102" s="28">
        <v>15</v>
      </c>
      <c r="J102" s="72">
        <v>15</v>
      </c>
      <c r="K102" s="46">
        <f>G102/J102*100</f>
        <v>0</v>
      </c>
      <c r="L102" s="46">
        <f>H102/J102*100</f>
        <v>0</v>
      </c>
      <c r="M102" s="46">
        <f>I102/J102*100</f>
        <v>100</v>
      </c>
      <c r="N102" s="67">
        <f>K102+L102+M102</f>
        <v>100</v>
      </c>
      <c r="O102" s="45"/>
      <c r="P102" s="46"/>
      <c r="Q102" s="46">
        <v>56.5</v>
      </c>
      <c r="R102" s="47">
        <f t="shared" si="14"/>
        <v>56.5</v>
      </c>
      <c r="S102" s="28">
        <v>1</v>
      </c>
      <c r="T102" s="284"/>
      <c r="U102" s="293"/>
      <c r="V102" s="37" t="s">
        <v>984</v>
      </c>
      <c r="W102" s="28" t="s">
        <v>20</v>
      </c>
      <c r="X102" s="28" t="s">
        <v>12</v>
      </c>
      <c r="Y102" s="38">
        <v>56.5</v>
      </c>
      <c r="Z102" s="28"/>
      <c r="AA102" s="28"/>
      <c r="AB102" s="28"/>
      <c r="AC102" s="28"/>
      <c r="AD102" s="37"/>
      <c r="AE102" s="28"/>
      <c r="AF102" s="28"/>
      <c r="AG102" s="38"/>
      <c r="AH102" s="28"/>
      <c r="AI102" s="28"/>
      <c r="AJ102" s="28"/>
      <c r="AK102" s="28"/>
      <c r="AL102" s="37"/>
      <c r="AM102" s="28"/>
      <c r="AN102" s="28"/>
      <c r="AO102" s="38"/>
      <c r="AP102" s="37"/>
      <c r="AQ102" s="28"/>
      <c r="AR102" s="28"/>
      <c r="AS102" s="38"/>
      <c r="AT102" s="28"/>
      <c r="AU102" s="28"/>
      <c r="AV102" s="28"/>
      <c r="AW102" s="38"/>
      <c r="AX102" s="28"/>
      <c r="AY102" s="28"/>
      <c r="AZ102" s="28"/>
      <c r="BA102" s="39"/>
    </row>
    <row r="103" spans="1:53" x14ac:dyDescent="0.15">
      <c r="A103" s="28">
        <v>2014</v>
      </c>
      <c r="B103" s="301"/>
      <c r="C103" s="394" t="s">
        <v>1252</v>
      </c>
      <c r="D103" s="394"/>
      <c r="E103" s="28">
        <v>365</v>
      </c>
      <c r="F103" s="83"/>
      <c r="G103" s="65"/>
      <c r="H103" s="28"/>
      <c r="I103" s="28">
        <v>15</v>
      </c>
      <c r="J103" s="72">
        <v>15</v>
      </c>
      <c r="K103" s="46">
        <f>G103/J103*100</f>
        <v>0</v>
      </c>
      <c r="L103" s="46">
        <f>H103/J103*100</f>
        <v>0</v>
      </c>
      <c r="M103" s="46">
        <f>I103/J103*100</f>
        <v>100</v>
      </c>
      <c r="N103" s="67">
        <f>K103+L103+M103</f>
        <v>100</v>
      </c>
      <c r="O103" s="45"/>
      <c r="P103" s="46"/>
      <c r="Q103" s="46">
        <v>56.5</v>
      </c>
      <c r="R103" s="47">
        <f t="shared" si="14"/>
        <v>56.5</v>
      </c>
      <c r="S103" s="28">
        <v>1</v>
      </c>
      <c r="T103" s="284"/>
      <c r="U103" s="293"/>
      <c r="V103" s="37" t="s">
        <v>984</v>
      </c>
      <c r="W103" s="28" t="s">
        <v>20</v>
      </c>
      <c r="X103" s="28" t="s">
        <v>12</v>
      </c>
      <c r="Y103" s="38">
        <v>56.5</v>
      </c>
      <c r="Z103" s="28"/>
      <c r="AA103" s="28"/>
      <c r="AB103" s="28"/>
      <c r="AC103" s="28"/>
      <c r="AD103" s="37"/>
      <c r="AE103" s="28"/>
      <c r="AF103" s="28"/>
      <c r="AG103" s="38"/>
      <c r="AH103" s="28"/>
      <c r="AI103" s="28"/>
      <c r="AJ103" s="28"/>
      <c r="AK103" s="28"/>
      <c r="AL103" s="37"/>
      <c r="AM103" s="28"/>
      <c r="AN103" s="28"/>
      <c r="AO103" s="38"/>
      <c r="AP103" s="37"/>
      <c r="AQ103" s="28"/>
      <c r="AR103" s="28"/>
      <c r="AS103" s="38"/>
      <c r="AT103" s="28"/>
      <c r="AU103" s="28"/>
      <c r="AV103" s="28"/>
      <c r="AW103" s="38"/>
      <c r="AX103" s="28"/>
      <c r="AY103" s="28"/>
      <c r="AZ103" s="28"/>
      <c r="BA103" s="39"/>
    </row>
    <row r="104" spans="1:53" x14ac:dyDescent="0.15">
      <c r="A104" s="28">
        <v>2015</v>
      </c>
      <c r="B104" s="301"/>
      <c r="C104" s="394" t="s">
        <v>1252</v>
      </c>
      <c r="D104" s="394"/>
      <c r="E104" s="28">
        <v>0</v>
      </c>
      <c r="F104" s="83"/>
      <c r="G104" s="65"/>
      <c r="H104" s="28"/>
      <c r="I104" s="28">
        <v>15</v>
      </c>
      <c r="J104" s="72">
        <v>15</v>
      </c>
      <c r="K104" s="46">
        <f t="shared" ref="K104:K107" si="15">G104/J104*100</f>
        <v>0</v>
      </c>
      <c r="L104" s="46">
        <f t="shared" ref="L104:L107" si="16">H104/J104*100</f>
        <v>0</v>
      </c>
      <c r="M104" s="46">
        <f>I104/J104*100</f>
        <v>100</v>
      </c>
      <c r="N104" s="67">
        <f t="shared" ref="N104:N107" si="17">K104+L104+M104</f>
        <v>100</v>
      </c>
      <c r="O104" s="45"/>
      <c r="P104" s="46"/>
      <c r="Q104" s="46">
        <v>56.5</v>
      </c>
      <c r="R104" s="47">
        <f t="shared" ref="R104:R105" si="18">O104+P104+Q104</f>
        <v>56.5</v>
      </c>
      <c r="S104" s="28">
        <v>1</v>
      </c>
      <c r="T104" s="284"/>
      <c r="U104" s="293"/>
      <c r="V104" s="37" t="s">
        <v>984</v>
      </c>
      <c r="W104" s="28" t="s">
        <v>20</v>
      </c>
      <c r="X104" s="28" t="s">
        <v>12</v>
      </c>
      <c r="Y104" s="38">
        <v>56.5</v>
      </c>
      <c r="Z104" s="28"/>
      <c r="AA104" s="28"/>
      <c r="AB104" s="28"/>
      <c r="AC104" s="28"/>
      <c r="AD104" s="37"/>
      <c r="AE104" s="28"/>
      <c r="AF104" s="28"/>
      <c r="AG104" s="38"/>
      <c r="AH104" s="28"/>
      <c r="AI104" s="28"/>
      <c r="AJ104" s="28"/>
      <c r="AK104" s="28"/>
      <c r="AL104" s="37"/>
      <c r="AM104" s="28"/>
      <c r="AN104" s="28"/>
      <c r="AO104" s="38"/>
      <c r="AP104" s="37"/>
      <c r="AQ104" s="28"/>
      <c r="AR104" s="28"/>
      <c r="AS104" s="38"/>
      <c r="AT104" s="28"/>
      <c r="AU104" s="28"/>
      <c r="AV104" s="28"/>
      <c r="AW104" s="38"/>
      <c r="AX104" s="28"/>
      <c r="AY104" s="28"/>
      <c r="AZ104" s="28"/>
      <c r="BA104" s="39"/>
    </row>
    <row r="105" spans="1:53" x14ac:dyDescent="0.15">
      <c r="A105" s="28">
        <v>2015</v>
      </c>
      <c r="B105" s="301"/>
      <c r="C105" s="394" t="s">
        <v>1252</v>
      </c>
      <c r="D105" s="394"/>
      <c r="E105" s="28">
        <v>365</v>
      </c>
      <c r="F105" s="83"/>
      <c r="G105" s="65"/>
      <c r="H105" s="28"/>
      <c r="I105" s="28">
        <v>15</v>
      </c>
      <c r="J105" s="72">
        <v>15</v>
      </c>
      <c r="K105" s="46">
        <f t="shared" si="15"/>
        <v>0</v>
      </c>
      <c r="L105" s="46">
        <f t="shared" si="16"/>
        <v>0</v>
      </c>
      <c r="M105" s="46">
        <f t="shared" ref="M105:M107" si="19">I105/J105*100</f>
        <v>100</v>
      </c>
      <c r="N105" s="67">
        <f t="shared" si="17"/>
        <v>100</v>
      </c>
      <c r="O105" s="45"/>
      <c r="P105" s="46"/>
      <c r="Q105" s="46">
        <v>56.5</v>
      </c>
      <c r="R105" s="47">
        <f t="shared" si="18"/>
        <v>56.5</v>
      </c>
      <c r="S105" s="28">
        <v>1</v>
      </c>
      <c r="T105" s="284"/>
      <c r="U105" s="293"/>
      <c r="V105" s="37" t="s">
        <v>984</v>
      </c>
      <c r="W105" s="28" t="s">
        <v>20</v>
      </c>
      <c r="X105" s="28" t="s">
        <v>12</v>
      </c>
      <c r="Y105" s="38">
        <v>56.5</v>
      </c>
      <c r="Z105" s="28"/>
      <c r="AA105" s="28"/>
      <c r="AB105" s="28"/>
      <c r="AC105" s="28"/>
      <c r="AD105" s="37"/>
      <c r="AE105" s="28"/>
      <c r="AF105" s="28"/>
      <c r="AG105" s="38"/>
      <c r="AH105" s="28"/>
      <c r="AI105" s="28"/>
      <c r="AJ105" s="28"/>
      <c r="AK105" s="28"/>
      <c r="AL105" s="37"/>
      <c r="AM105" s="28"/>
      <c r="AN105" s="28"/>
      <c r="AO105" s="38"/>
      <c r="AP105" s="37"/>
      <c r="AQ105" s="28"/>
      <c r="AR105" s="28"/>
      <c r="AS105" s="38"/>
      <c r="AT105" s="28"/>
      <c r="AU105" s="28"/>
      <c r="AV105" s="28"/>
      <c r="AW105" s="38"/>
      <c r="AX105" s="28"/>
      <c r="AY105" s="28"/>
      <c r="AZ105" s="28"/>
      <c r="BA105" s="39"/>
    </row>
    <row r="106" spans="1:53" x14ac:dyDescent="0.15">
      <c r="A106" s="28">
        <v>2016</v>
      </c>
      <c r="B106" s="301"/>
      <c r="C106" s="394" t="s">
        <v>1252</v>
      </c>
      <c r="D106" s="394"/>
      <c r="E106" s="28">
        <v>118</v>
      </c>
      <c r="F106" s="83"/>
      <c r="G106" s="65"/>
      <c r="H106" s="28"/>
      <c r="I106" s="28">
        <v>15</v>
      </c>
      <c r="J106" s="72">
        <v>15</v>
      </c>
      <c r="K106" s="46">
        <f t="shared" si="15"/>
        <v>0</v>
      </c>
      <c r="L106" s="46">
        <f t="shared" si="16"/>
        <v>0</v>
      </c>
      <c r="M106" s="46">
        <f t="shared" si="19"/>
        <v>100</v>
      </c>
      <c r="N106" s="67">
        <f t="shared" si="17"/>
        <v>100</v>
      </c>
      <c r="O106" s="45"/>
      <c r="P106" s="46"/>
      <c r="Q106" s="46">
        <v>56.5</v>
      </c>
      <c r="R106" s="47">
        <f t="shared" ref="R106:R107" si="20">O106+P106+Q106</f>
        <v>56.5</v>
      </c>
      <c r="S106" s="28">
        <v>1</v>
      </c>
      <c r="T106" s="284"/>
      <c r="U106" s="293"/>
      <c r="V106" s="37" t="s">
        <v>984</v>
      </c>
      <c r="W106" s="28" t="s">
        <v>20</v>
      </c>
      <c r="X106" s="28" t="s">
        <v>12</v>
      </c>
      <c r="Y106" s="38">
        <v>56.5</v>
      </c>
      <c r="Z106" s="28"/>
      <c r="AA106" s="28"/>
      <c r="AB106" s="28"/>
      <c r="AC106" s="28"/>
      <c r="AD106" s="37"/>
      <c r="AE106" s="28"/>
      <c r="AF106" s="28"/>
      <c r="AG106" s="38"/>
      <c r="AH106" s="28"/>
      <c r="AI106" s="28"/>
      <c r="AJ106" s="28"/>
      <c r="AK106" s="28"/>
      <c r="AL106" s="37"/>
      <c r="AM106" s="28"/>
      <c r="AN106" s="28"/>
      <c r="AO106" s="38"/>
      <c r="AP106" s="37"/>
      <c r="AQ106" s="28"/>
      <c r="AR106" s="28"/>
      <c r="AS106" s="38"/>
      <c r="AT106" s="28"/>
      <c r="AU106" s="28"/>
      <c r="AV106" s="28"/>
      <c r="AW106" s="38"/>
      <c r="AX106" s="28"/>
      <c r="AY106" s="28"/>
      <c r="AZ106" s="28"/>
      <c r="BA106" s="39"/>
    </row>
    <row r="107" spans="1:53" x14ac:dyDescent="0.15">
      <c r="A107" s="28">
        <v>2016</v>
      </c>
      <c r="B107" s="301">
        <v>42488</v>
      </c>
      <c r="C107" s="394" t="s">
        <v>1252</v>
      </c>
      <c r="D107" s="394"/>
      <c r="E107" s="28">
        <v>248</v>
      </c>
      <c r="F107" s="83">
        <v>0</v>
      </c>
      <c r="G107" s="65"/>
      <c r="H107" s="28"/>
      <c r="I107" s="28">
        <v>17</v>
      </c>
      <c r="J107" s="72">
        <v>17</v>
      </c>
      <c r="K107" s="46">
        <f t="shared" si="15"/>
        <v>0</v>
      </c>
      <c r="L107" s="46">
        <f t="shared" si="16"/>
        <v>0</v>
      </c>
      <c r="M107" s="46">
        <f t="shared" si="19"/>
        <v>100</v>
      </c>
      <c r="N107" s="67">
        <f t="shared" si="17"/>
        <v>100</v>
      </c>
      <c r="O107" s="45"/>
      <c r="P107" s="46"/>
      <c r="Q107" s="46">
        <v>56.5</v>
      </c>
      <c r="R107" s="47">
        <f t="shared" si="20"/>
        <v>56.5</v>
      </c>
      <c r="S107" s="36">
        <v>1</v>
      </c>
      <c r="T107" s="319"/>
      <c r="U107" s="293"/>
      <c r="V107" s="37" t="s">
        <v>984</v>
      </c>
      <c r="W107" s="28" t="s">
        <v>20</v>
      </c>
      <c r="X107" s="28" t="s">
        <v>12</v>
      </c>
      <c r="Y107" s="38">
        <v>56.5</v>
      </c>
      <c r="Z107" s="28"/>
      <c r="AA107" s="28"/>
      <c r="AB107" s="28"/>
      <c r="AC107" s="28"/>
      <c r="AD107" s="37"/>
      <c r="AE107" s="28"/>
      <c r="AF107" s="28"/>
      <c r="AG107" s="38"/>
      <c r="AH107" s="28"/>
      <c r="AI107" s="28"/>
      <c r="AJ107" s="28"/>
      <c r="AK107" s="28"/>
      <c r="AL107" s="37"/>
      <c r="AM107" s="28"/>
      <c r="AN107" s="28"/>
      <c r="AO107" s="38"/>
      <c r="AP107" s="37"/>
      <c r="AQ107" s="28"/>
      <c r="AR107" s="28"/>
      <c r="AS107" s="38"/>
      <c r="AT107" s="28"/>
      <c r="AU107" s="28"/>
      <c r="AV107" s="28"/>
      <c r="AW107" s="38"/>
      <c r="AX107" s="28"/>
      <c r="AY107" s="28"/>
      <c r="AZ107" s="28"/>
      <c r="BA107" s="39"/>
    </row>
    <row r="108" spans="1:53" x14ac:dyDescent="0.15">
      <c r="A108" s="28">
        <v>2017</v>
      </c>
      <c r="B108" s="301"/>
      <c r="C108" s="394" t="s">
        <v>1252</v>
      </c>
      <c r="D108" s="394"/>
      <c r="E108" s="28">
        <v>159</v>
      </c>
      <c r="F108" s="83"/>
      <c r="G108" s="65"/>
      <c r="H108" s="28"/>
      <c r="I108" s="28">
        <v>17</v>
      </c>
      <c r="J108" s="72">
        <v>17</v>
      </c>
      <c r="K108" s="46">
        <f t="shared" ref="K108:K109" si="21">G108/J108*100</f>
        <v>0</v>
      </c>
      <c r="L108" s="46">
        <f t="shared" ref="L108:L109" si="22">H108/J108*100</f>
        <v>0</v>
      </c>
      <c r="M108" s="46">
        <f t="shared" ref="M108:M109" si="23">I108/J108*100</f>
        <v>100</v>
      </c>
      <c r="N108" s="67">
        <f t="shared" ref="N108:N109" si="24">K108+L108+M108</f>
        <v>100</v>
      </c>
      <c r="O108" s="45"/>
      <c r="P108" s="46"/>
      <c r="Q108" s="46">
        <v>56.5</v>
      </c>
      <c r="R108" s="47">
        <f t="shared" ref="R108:R109" si="25">O108+P108+Q108</f>
        <v>56.5</v>
      </c>
      <c r="S108" s="36">
        <v>1</v>
      </c>
      <c r="T108" s="319"/>
      <c r="U108" s="293"/>
      <c r="V108" s="37" t="s">
        <v>984</v>
      </c>
      <c r="W108" s="28" t="s">
        <v>20</v>
      </c>
      <c r="X108" s="28" t="s">
        <v>12</v>
      </c>
      <c r="Y108" s="38">
        <v>56.5</v>
      </c>
      <c r="Z108" s="28"/>
      <c r="AA108" s="28"/>
      <c r="AB108" s="28"/>
      <c r="AC108" s="28"/>
      <c r="AD108" s="37"/>
      <c r="AE108" s="28"/>
      <c r="AF108" s="28"/>
      <c r="AG108" s="38"/>
      <c r="AH108" s="28"/>
      <c r="AI108" s="28"/>
      <c r="AJ108" s="28"/>
      <c r="AK108" s="28"/>
      <c r="AL108" s="37"/>
      <c r="AM108" s="28"/>
      <c r="AN108" s="28"/>
      <c r="AO108" s="38"/>
      <c r="AP108" s="37"/>
      <c r="AQ108" s="28"/>
      <c r="AR108" s="28"/>
      <c r="AS108" s="38"/>
      <c r="AT108" s="28"/>
      <c r="AU108" s="28"/>
      <c r="AV108" s="28"/>
      <c r="AW108" s="38"/>
      <c r="AX108" s="28"/>
      <c r="AY108" s="28"/>
      <c r="AZ108" s="28"/>
      <c r="BA108" s="39"/>
    </row>
    <row r="109" spans="1:53" s="170" customFormat="1" x14ac:dyDescent="0.15">
      <c r="A109" s="170">
        <v>2017</v>
      </c>
      <c r="B109" s="281">
        <v>42895</v>
      </c>
      <c r="C109" s="395" t="s">
        <v>1375</v>
      </c>
      <c r="D109" s="395"/>
      <c r="E109" s="170">
        <v>206</v>
      </c>
      <c r="F109" s="170">
        <v>1</v>
      </c>
      <c r="G109" s="232"/>
      <c r="I109" s="170">
        <v>15</v>
      </c>
      <c r="J109" s="240">
        <v>15</v>
      </c>
      <c r="K109" s="213">
        <f t="shared" si="21"/>
        <v>0</v>
      </c>
      <c r="L109" s="213">
        <f t="shared" si="22"/>
        <v>0</v>
      </c>
      <c r="M109" s="213">
        <f t="shared" si="23"/>
        <v>100</v>
      </c>
      <c r="N109" s="234">
        <f t="shared" si="24"/>
        <v>100</v>
      </c>
      <c r="O109" s="212"/>
      <c r="P109" s="213"/>
      <c r="Q109" s="213">
        <v>55.2</v>
      </c>
      <c r="R109" s="214">
        <f t="shared" si="25"/>
        <v>55.2</v>
      </c>
      <c r="S109" s="170">
        <v>1</v>
      </c>
      <c r="T109" s="283">
        <v>42889</v>
      </c>
      <c r="U109" s="281">
        <v>42895</v>
      </c>
      <c r="V109" s="177" t="s">
        <v>984</v>
      </c>
      <c r="W109" s="170" t="s">
        <v>20</v>
      </c>
      <c r="X109" s="170" t="s">
        <v>12</v>
      </c>
      <c r="Y109" s="178">
        <v>55.2</v>
      </c>
      <c r="AD109" s="177"/>
      <c r="AG109" s="178"/>
      <c r="AK109" s="178"/>
      <c r="AO109" s="178"/>
      <c r="AP109" s="177"/>
      <c r="AS109" s="178"/>
      <c r="AW109" s="178"/>
      <c r="BA109" s="179"/>
    </row>
    <row r="110" spans="1:53" s="170" customFormat="1" x14ac:dyDescent="0.15">
      <c r="A110" s="170">
        <v>2018</v>
      </c>
      <c r="B110" s="281"/>
      <c r="C110" s="395" t="s">
        <v>1375</v>
      </c>
      <c r="D110" s="395"/>
      <c r="E110" s="170">
        <v>0</v>
      </c>
      <c r="G110" s="232"/>
      <c r="I110" s="170">
        <v>15</v>
      </c>
      <c r="J110" s="240">
        <v>15</v>
      </c>
      <c r="K110" s="213">
        <f t="shared" ref="K110:K111" si="26">G110/J110*100</f>
        <v>0</v>
      </c>
      <c r="L110" s="213">
        <f t="shared" ref="L110:L111" si="27">H110/J110*100</f>
        <v>0</v>
      </c>
      <c r="M110" s="213">
        <f t="shared" ref="M110:M111" si="28">I110/J110*100</f>
        <v>100</v>
      </c>
      <c r="N110" s="234">
        <f t="shared" ref="N110:N111" si="29">K110+L110+M110</f>
        <v>100</v>
      </c>
      <c r="O110" s="212"/>
      <c r="P110" s="213"/>
      <c r="Q110" s="213">
        <v>55.2</v>
      </c>
      <c r="R110" s="214">
        <f t="shared" ref="R110:R111" si="30">O110+P110+Q110</f>
        <v>55.2</v>
      </c>
      <c r="S110" s="170">
        <v>1</v>
      </c>
      <c r="T110" s="283"/>
      <c r="U110" s="281"/>
      <c r="V110" s="177" t="s">
        <v>984</v>
      </c>
      <c r="W110" s="170" t="s">
        <v>20</v>
      </c>
      <c r="X110" s="170" t="s">
        <v>12</v>
      </c>
      <c r="Y110" s="178">
        <v>55.2</v>
      </c>
      <c r="AD110" s="177"/>
      <c r="AG110" s="178"/>
      <c r="AK110" s="178"/>
      <c r="AO110" s="178"/>
      <c r="AP110" s="177"/>
      <c r="AS110" s="178"/>
      <c r="AW110" s="178"/>
      <c r="BA110" s="179"/>
    </row>
    <row r="111" spans="1:53" s="170" customFormat="1" x14ac:dyDescent="0.15">
      <c r="A111" s="170">
        <v>2018</v>
      </c>
      <c r="B111" s="281"/>
      <c r="C111" s="395" t="s">
        <v>1375</v>
      </c>
      <c r="D111" s="395"/>
      <c r="E111" s="170">
        <v>365</v>
      </c>
      <c r="G111" s="232"/>
      <c r="I111" s="170">
        <v>15</v>
      </c>
      <c r="J111" s="240">
        <v>15</v>
      </c>
      <c r="K111" s="213">
        <f t="shared" si="26"/>
        <v>0</v>
      </c>
      <c r="L111" s="213">
        <f t="shared" si="27"/>
        <v>0</v>
      </c>
      <c r="M111" s="213">
        <f t="shared" si="28"/>
        <v>100</v>
      </c>
      <c r="N111" s="234">
        <f t="shared" si="29"/>
        <v>100</v>
      </c>
      <c r="O111" s="212"/>
      <c r="P111" s="213"/>
      <c r="Q111" s="213">
        <v>55.2</v>
      </c>
      <c r="R111" s="214">
        <f t="shared" si="30"/>
        <v>55.2</v>
      </c>
      <c r="S111" s="170">
        <v>1</v>
      </c>
      <c r="T111" s="283"/>
      <c r="U111" s="281"/>
      <c r="V111" s="177" t="s">
        <v>984</v>
      </c>
      <c r="W111" s="170" t="s">
        <v>20</v>
      </c>
      <c r="X111" s="170" t="s">
        <v>12</v>
      </c>
      <c r="Y111" s="178">
        <v>55.2</v>
      </c>
      <c r="AD111" s="177"/>
      <c r="AG111" s="178"/>
      <c r="AK111" s="178"/>
      <c r="AO111" s="178"/>
      <c r="AS111" s="178"/>
      <c r="AW111" s="178"/>
      <c r="BA111" s="179"/>
    </row>
    <row r="112" spans="1:53" s="170" customFormat="1" x14ac:dyDescent="0.15">
      <c r="A112" s="170">
        <v>2019</v>
      </c>
      <c r="B112" s="281"/>
      <c r="C112" s="395" t="s">
        <v>1375</v>
      </c>
      <c r="D112" s="395"/>
      <c r="E112" s="170">
        <v>0</v>
      </c>
      <c r="G112" s="232"/>
      <c r="I112" s="170">
        <v>15</v>
      </c>
      <c r="J112" s="240">
        <v>15</v>
      </c>
      <c r="K112" s="213">
        <f t="shared" ref="K112:K120" si="31">G112/J112*100</f>
        <v>0</v>
      </c>
      <c r="L112" s="213">
        <f t="shared" ref="L112:L120" si="32">H112/J112*100</f>
        <v>0</v>
      </c>
      <c r="M112" s="213">
        <f t="shared" ref="M112:M120" si="33">I112/J112*100</f>
        <v>100</v>
      </c>
      <c r="N112" s="234">
        <f t="shared" ref="N112:N120" si="34">K112+L112+M112</f>
        <v>100</v>
      </c>
      <c r="O112" s="212"/>
      <c r="P112" s="213"/>
      <c r="Q112" s="213">
        <v>55.2</v>
      </c>
      <c r="R112" s="214">
        <f t="shared" ref="R112:R114" si="35">O112+P112+Q112</f>
        <v>55.2</v>
      </c>
      <c r="S112" s="170">
        <v>1</v>
      </c>
      <c r="T112" s="283"/>
      <c r="U112" s="281"/>
      <c r="V112" s="177" t="s">
        <v>984</v>
      </c>
      <c r="W112" s="170" t="s">
        <v>20</v>
      </c>
      <c r="X112" s="170" t="s">
        <v>12</v>
      </c>
      <c r="Y112" s="178">
        <v>55.2</v>
      </c>
      <c r="AC112" s="178"/>
      <c r="AG112" s="178"/>
      <c r="AK112" s="178"/>
      <c r="AO112" s="178"/>
      <c r="AS112" s="178"/>
      <c r="AW112" s="178"/>
      <c r="BA112" s="179"/>
    </row>
    <row r="113" spans="1:53" s="170" customFormat="1" x14ac:dyDescent="0.15">
      <c r="A113" s="170">
        <v>2019</v>
      </c>
      <c r="B113" s="281"/>
      <c r="C113" s="395" t="s">
        <v>1375</v>
      </c>
      <c r="D113" s="395"/>
      <c r="E113" s="170">
        <v>365</v>
      </c>
      <c r="F113" s="179"/>
      <c r="I113" s="170">
        <v>15</v>
      </c>
      <c r="J113" s="240">
        <v>15</v>
      </c>
      <c r="K113" s="213">
        <f t="shared" si="31"/>
        <v>0</v>
      </c>
      <c r="L113" s="213">
        <f t="shared" si="32"/>
        <v>0</v>
      </c>
      <c r="M113" s="213">
        <f t="shared" si="33"/>
        <v>100</v>
      </c>
      <c r="N113" s="214">
        <f t="shared" si="34"/>
        <v>100</v>
      </c>
      <c r="O113" s="213"/>
      <c r="P113" s="213"/>
      <c r="Q113" s="213">
        <v>55.2</v>
      </c>
      <c r="R113" s="214">
        <f t="shared" si="35"/>
        <v>55.2</v>
      </c>
      <c r="S113" s="189">
        <v>1</v>
      </c>
      <c r="T113" s="283"/>
      <c r="U113" s="296"/>
      <c r="V113" s="170" t="s">
        <v>984</v>
      </c>
      <c r="W113" s="170" t="s">
        <v>20</v>
      </c>
      <c r="X113" s="170" t="s">
        <v>12</v>
      </c>
      <c r="Y113" s="178">
        <v>55.2</v>
      </c>
      <c r="AC113" s="178"/>
      <c r="AG113" s="178"/>
      <c r="AK113" s="178"/>
      <c r="AO113" s="178"/>
      <c r="AS113" s="178"/>
      <c r="AW113" s="178"/>
      <c r="BA113" s="179"/>
    </row>
    <row r="114" spans="1:53" s="170" customFormat="1" x14ac:dyDescent="0.15">
      <c r="A114" s="170">
        <v>2020</v>
      </c>
      <c r="B114" s="281"/>
      <c r="C114" s="395" t="s">
        <v>1375</v>
      </c>
      <c r="D114" s="395"/>
      <c r="E114" s="170">
        <v>14</v>
      </c>
      <c r="F114" s="179"/>
      <c r="I114" s="170">
        <v>15</v>
      </c>
      <c r="J114" s="240">
        <v>15</v>
      </c>
      <c r="K114" s="213">
        <f t="shared" si="31"/>
        <v>0</v>
      </c>
      <c r="L114" s="213">
        <f t="shared" si="32"/>
        <v>0</v>
      </c>
      <c r="M114" s="213">
        <f t="shared" si="33"/>
        <v>100</v>
      </c>
      <c r="N114" s="214">
        <f t="shared" si="34"/>
        <v>100</v>
      </c>
      <c r="O114" s="213"/>
      <c r="P114" s="213"/>
      <c r="Q114" s="213">
        <v>55.2</v>
      </c>
      <c r="R114" s="214">
        <f t="shared" si="35"/>
        <v>55.2</v>
      </c>
      <c r="S114" s="189">
        <v>1</v>
      </c>
      <c r="T114" s="283"/>
      <c r="U114" s="296"/>
      <c r="V114" s="170" t="s">
        <v>984</v>
      </c>
      <c r="W114" s="170" t="s">
        <v>20</v>
      </c>
      <c r="X114" s="170" t="s">
        <v>12</v>
      </c>
      <c r="Y114" s="178">
        <v>55.2</v>
      </c>
      <c r="AC114" s="178"/>
      <c r="AG114" s="178"/>
      <c r="AK114" s="178"/>
      <c r="AO114" s="178"/>
      <c r="AS114" s="178"/>
      <c r="AW114" s="178"/>
      <c r="BA114" s="179"/>
    </row>
    <row r="115" spans="1:53" s="28" customFormat="1" x14ac:dyDescent="0.15">
      <c r="A115" s="28">
        <v>2020</v>
      </c>
      <c r="B115" s="293">
        <v>43845</v>
      </c>
      <c r="C115" s="394" t="s">
        <v>1466</v>
      </c>
      <c r="D115" s="394"/>
      <c r="E115" s="28">
        <v>313</v>
      </c>
      <c r="F115" s="39">
        <v>2</v>
      </c>
      <c r="I115" s="28">
        <v>18</v>
      </c>
      <c r="J115" s="72">
        <v>18</v>
      </c>
      <c r="K115" s="46">
        <f t="shared" si="31"/>
        <v>0</v>
      </c>
      <c r="L115" s="46">
        <f t="shared" si="32"/>
        <v>0</v>
      </c>
      <c r="M115" s="46">
        <f t="shared" si="33"/>
        <v>100</v>
      </c>
      <c r="N115" s="47">
        <f t="shared" si="34"/>
        <v>100</v>
      </c>
      <c r="O115" s="46"/>
      <c r="P115" s="46"/>
      <c r="Q115" s="46">
        <v>55.2</v>
      </c>
      <c r="R115" s="47">
        <v>55.2</v>
      </c>
      <c r="S115" s="36">
        <v>1</v>
      </c>
      <c r="T115" s="284"/>
      <c r="U115" s="290">
        <v>43845</v>
      </c>
      <c r="V115" s="28" t="s">
        <v>984</v>
      </c>
      <c r="W115" s="28" t="s">
        <v>20</v>
      </c>
      <c r="X115" s="28" t="s">
        <v>12</v>
      </c>
      <c r="Y115" s="38">
        <v>55.2</v>
      </c>
      <c r="AC115" s="38"/>
      <c r="AG115" s="38"/>
      <c r="AK115" s="38"/>
      <c r="AO115" s="38"/>
      <c r="AS115" s="38"/>
      <c r="AW115" s="38"/>
      <c r="BA115" s="39"/>
    </row>
    <row r="116" spans="1:53" s="28" customFormat="1" x14ac:dyDescent="0.15">
      <c r="A116" s="28">
        <v>2020</v>
      </c>
      <c r="B116" s="301">
        <v>44158</v>
      </c>
      <c r="C116" s="394" t="s">
        <v>1466</v>
      </c>
      <c r="D116" s="394"/>
      <c r="E116" s="28">
        <v>39</v>
      </c>
      <c r="F116" s="340">
        <v>0</v>
      </c>
      <c r="I116" s="28">
        <v>21</v>
      </c>
      <c r="J116" s="72">
        <v>21</v>
      </c>
      <c r="K116" s="46">
        <f t="shared" si="31"/>
        <v>0</v>
      </c>
      <c r="L116" s="46">
        <f t="shared" si="32"/>
        <v>0</v>
      </c>
      <c r="M116" s="46">
        <f t="shared" si="33"/>
        <v>100</v>
      </c>
      <c r="N116" s="47">
        <f t="shared" si="34"/>
        <v>100</v>
      </c>
      <c r="O116" s="46"/>
      <c r="P116" s="46"/>
      <c r="Q116" s="46">
        <v>55.2</v>
      </c>
      <c r="R116" s="47">
        <v>55.2</v>
      </c>
      <c r="S116" s="36">
        <v>1</v>
      </c>
      <c r="T116" s="284"/>
      <c r="U116" s="290"/>
      <c r="V116" s="28" t="s">
        <v>984</v>
      </c>
      <c r="W116" s="28" t="s">
        <v>20</v>
      </c>
      <c r="X116" s="28" t="s">
        <v>12</v>
      </c>
      <c r="Y116" s="38">
        <v>55.2</v>
      </c>
      <c r="AC116" s="38"/>
      <c r="AG116" s="38"/>
      <c r="AK116" s="38"/>
      <c r="AO116" s="38"/>
      <c r="AS116" s="38"/>
      <c r="AW116" s="38"/>
      <c r="BA116" s="39"/>
    </row>
    <row r="117" spans="1:53" s="28" customFormat="1" x14ac:dyDescent="0.15">
      <c r="A117" s="28">
        <v>2021</v>
      </c>
      <c r="B117" s="301"/>
      <c r="C117" s="394" t="s">
        <v>1466</v>
      </c>
      <c r="D117" s="394"/>
      <c r="E117" s="28">
        <v>0</v>
      </c>
      <c r="F117" s="340"/>
      <c r="I117" s="28">
        <v>21</v>
      </c>
      <c r="J117" s="72">
        <v>21</v>
      </c>
      <c r="K117" s="46">
        <f t="shared" si="31"/>
        <v>0</v>
      </c>
      <c r="L117" s="46">
        <f t="shared" si="32"/>
        <v>0</v>
      </c>
      <c r="M117" s="46">
        <f t="shared" si="33"/>
        <v>100</v>
      </c>
      <c r="N117" s="47">
        <f t="shared" si="34"/>
        <v>100</v>
      </c>
      <c r="O117" s="46"/>
      <c r="P117" s="46"/>
      <c r="Q117" s="46">
        <v>55.2</v>
      </c>
      <c r="R117" s="47">
        <v>55.2</v>
      </c>
      <c r="S117" s="36">
        <v>1</v>
      </c>
      <c r="T117" s="284"/>
      <c r="U117" s="290"/>
      <c r="V117" s="28" t="s">
        <v>984</v>
      </c>
      <c r="W117" s="28" t="s">
        <v>20</v>
      </c>
      <c r="X117" s="28" t="s">
        <v>12</v>
      </c>
      <c r="Y117" s="38">
        <v>55.2</v>
      </c>
      <c r="AC117" s="38"/>
      <c r="AG117" s="38"/>
      <c r="AK117" s="38"/>
      <c r="AO117" s="38"/>
      <c r="AS117" s="38"/>
      <c r="AW117" s="38"/>
      <c r="BA117" s="39"/>
    </row>
    <row r="118" spans="1:53" s="28" customFormat="1" x14ac:dyDescent="0.15">
      <c r="A118" s="28">
        <v>2021</v>
      </c>
      <c r="B118" s="301"/>
      <c r="C118" s="394" t="s">
        <v>1466</v>
      </c>
      <c r="D118" s="394"/>
      <c r="E118" s="28">
        <v>365</v>
      </c>
      <c r="F118" s="340"/>
      <c r="I118" s="28">
        <v>21</v>
      </c>
      <c r="J118" s="72">
        <v>21</v>
      </c>
      <c r="K118" s="46">
        <f t="shared" si="31"/>
        <v>0</v>
      </c>
      <c r="L118" s="46">
        <f t="shared" si="32"/>
        <v>0</v>
      </c>
      <c r="M118" s="46">
        <f t="shared" si="33"/>
        <v>100</v>
      </c>
      <c r="N118" s="47">
        <f t="shared" si="34"/>
        <v>100</v>
      </c>
      <c r="O118" s="46"/>
      <c r="P118" s="46"/>
      <c r="Q118" s="46">
        <v>55.2</v>
      </c>
      <c r="R118" s="47">
        <v>55.2</v>
      </c>
      <c r="S118" s="36">
        <v>1</v>
      </c>
      <c r="T118" s="284"/>
      <c r="U118" s="290"/>
      <c r="V118" s="28" t="s">
        <v>984</v>
      </c>
      <c r="W118" s="28" t="s">
        <v>20</v>
      </c>
      <c r="X118" s="28" t="s">
        <v>12</v>
      </c>
      <c r="Y118" s="38">
        <v>55.2</v>
      </c>
      <c r="AC118" s="38"/>
      <c r="AG118" s="38"/>
      <c r="AK118" s="38"/>
      <c r="AO118" s="38"/>
      <c r="AS118" s="38"/>
      <c r="AW118" s="38"/>
      <c r="BA118" s="39"/>
    </row>
    <row r="119" spans="1:53" s="28" customFormat="1" x14ac:dyDescent="0.15">
      <c r="A119" s="28">
        <v>2022</v>
      </c>
      <c r="B119" s="301"/>
      <c r="C119" s="394" t="s">
        <v>1466</v>
      </c>
      <c r="D119" s="394"/>
      <c r="E119" s="28">
        <v>88</v>
      </c>
      <c r="F119" s="340"/>
      <c r="I119" s="28">
        <v>21</v>
      </c>
      <c r="J119" s="72">
        <v>21</v>
      </c>
      <c r="K119" s="46">
        <f t="shared" si="31"/>
        <v>0</v>
      </c>
      <c r="L119" s="46">
        <f t="shared" si="32"/>
        <v>0</v>
      </c>
      <c r="M119" s="46">
        <f t="shared" si="33"/>
        <v>100</v>
      </c>
      <c r="N119" s="47">
        <f t="shared" si="34"/>
        <v>100</v>
      </c>
      <c r="O119" s="46"/>
      <c r="P119" s="46"/>
      <c r="Q119" s="46">
        <v>55.2</v>
      </c>
      <c r="R119" s="47">
        <v>55.2</v>
      </c>
      <c r="S119" s="36">
        <v>1</v>
      </c>
      <c r="T119" s="284"/>
      <c r="U119" s="290"/>
      <c r="V119" s="28" t="s">
        <v>984</v>
      </c>
      <c r="W119" s="28" t="s">
        <v>20</v>
      </c>
      <c r="X119" s="28" t="s">
        <v>12</v>
      </c>
      <c r="Y119" s="38">
        <v>55.2</v>
      </c>
      <c r="AC119" s="38"/>
      <c r="AG119" s="38"/>
      <c r="AK119" s="38"/>
      <c r="AO119" s="38"/>
      <c r="AS119" s="38"/>
      <c r="AW119" s="38"/>
      <c r="BA119" s="39"/>
    </row>
    <row r="120" spans="1:53" s="170" customFormat="1" x14ac:dyDescent="0.15">
      <c r="A120" s="170">
        <v>2022</v>
      </c>
      <c r="B120" s="281">
        <v>44650</v>
      </c>
      <c r="C120" s="395" t="s">
        <v>1527</v>
      </c>
      <c r="D120" s="395"/>
      <c r="E120" s="170">
        <v>277</v>
      </c>
      <c r="F120" s="179">
        <v>1</v>
      </c>
      <c r="I120" s="170">
        <v>19</v>
      </c>
      <c r="J120" s="240">
        <v>19</v>
      </c>
      <c r="K120" s="213">
        <f t="shared" si="31"/>
        <v>0</v>
      </c>
      <c r="L120" s="213">
        <f t="shared" si="32"/>
        <v>0</v>
      </c>
      <c r="M120" s="213">
        <f t="shared" si="33"/>
        <v>100</v>
      </c>
      <c r="N120" s="214">
        <f t="shared" si="34"/>
        <v>100</v>
      </c>
      <c r="O120" s="213"/>
      <c r="P120" s="213"/>
      <c r="Q120" s="213">
        <v>55.7</v>
      </c>
      <c r="R120" s="214">
        <v>55.7</v>
      </c>
      <c r="S120" s="189">
        <v>1</v>
      </c>
      <c r="T120" s="283">
        <v>44646</v>
      </c>
      <c r="U120" s="296">
        <v>44650</v>
      </c>
      <c r="V120" s="170" t="s">
        <v>984</v>
      </c>
      <c r="W120" s="170" t="s">
        <v>20</v>
      </c>
      <c r="X120" s="170" t="s">
        <v>12</v>
      </c>
      <c r="Y120" s="178">
        <v>55.7</v>
      </c>
      <c r="AC120" s="178"/>
      <c r="AG120" s="178"/>
      <c r="AK120" s="178"/>
      <c r="AO120" s="178"/>
      <c r="AS120" s="178"/>
      <c r="AW120" s="178"/>
      <c r="BA120" s="179"/>
    </row>
    <row r="122" spans="1:53" ht="18" customHeight="1" x14ac:dyDescent="0.15">
      <c r="B122" s="15" t="s">
        <v>1262</v>
      </c>
    </row>
    <row r="123" spans="1:53" ht="9" customHeight="1" x14ac:dyDescent="0.15"/>
    <row r="124" spans="1:53" s="194" customFormat="1" ht="9" customHeight="1" x14ac:dyDescent="0.15">
      <c r="A124" s="192"/>
      <c r="B124" s="193" t="s">
        <v>1213</v>
      </c>
      <c r="C124" s="193"/>
      <c r="D124" s="193"/>
      <c r="E124" s="193"/>
      <c r="F124" s="193"/>
      <c r="G124" s="193" t="s">
        <v>1214</v>
      </c>
      <c r="H124" s="193"/>
      <c r="I124" s="193"/>
      <c r="J124" s="193"/>
      <c r="K124" s="193"/>
      <c r="L124" s="193"/>
      <c r="M124" s="193"/>
      <c r="N124" s="193"/>
      <c r="R124" s="386" t="s">
        <v>1215</v>
      </c>
      <c r="S124" s="386"/>
      <c r="T124" s="386"/>
      <c r="U124" s="386"/>
      <c r="V124" s="386"/>
      <c r="W124" s="386"/>
      <c r="X124" s="195"/>
      <c r="Y124" s="195"/>
      <c r="AA124" s="195"/>
      <c r="AB124" s="195"/>
      <c r="AC124" s="195"/>
      <c r="AD124" s="195"/>
    </row>
    <row r="125" spans="1:53" s="199" customFormat="1" ht="9" customHeight="1" x14ac:dyDescent="0.15">
      <c r="A125" s="196"/>
      <c r="B125" s="197" t="s">
        <v>1217</v>
      </c>
      <c r="C125" s="198"/>
      <c r="D125" s="198"/>
      <c r="E125" s="198"/>
      <c r="F125" s="198"/>
      <c r="G125" s="197" t="s">
        <v>1216</v>
      </c>
      <c r="H125" s="198"/>
      <c r="I125" s="198"/>
      <c r="J125" s="198"/>
      <c r="K125" s="198"/>
      <c r="L125" s="198"/>
      <c r="M125" s="198"/>
      <c r="N125" s="198"/>
      <c r="R125" s="200" t="s">
        <v>1218</v>
      </c>
      <c r="S125" s="201"/>
      <c r="T125" s="202"/>
      <c r="U125" s="202"/>
      <c r="V125" s="202"/>
      <c r="W125" s="200" t="s">
        <v>1219</v>
      </c>
      <c r="X125" s="202"/>
      <c r="Y125" s="202"/>
      <c r="AA125" s="202"/>
      <c r="AB125" s="202"/>
      <c r="AC125" s="202"/>
      <c r="AD125" s="202"/>
    </row>
    <row r="126" spans="1:53" s="185" customFormat="1" ht="12" customHeight="1" x14ac:dyDescent="0.15">
      <c r="A126" s="203" t="s">
        <v>3</v>
      </c>
      <c r="B126" s="204" t="s">
        <v>8</v>
      </c>
      <c r="C126" s="204" t="s">
        <v>9</v>
      </c>
      <c r="D126" s="204" t="s">
        <v>10</v>
      </c>
      <c r="E126" s="205" t="s">
        <v>1193</v>
      </c>
      <c r="F126" s="204"/>
      <c r="G126" s="185" t="s">
        <v>3</v>
      </c>
      <c r="H126" s="387" t="s">
        <v>0</v>
      </c>
      <c r="I126" s="387"/>
      <c r="J126" s="387" t="s">
        <v>1</v>
      </c>
      <c r="K126" s="387"/>
      <c r="L126" s="387" t="s">
        <v>2</v>
      </c>
      <c r="M126" s="387"/>
      <c r="N126" s="388" t="s">
        <v>1193</v>
      </c>
      <c r="O126" s="388"/>
      <c r="P126" s="206"/>
      <c r="Q126" s="206"/>
      <c r="R126" s="207" t="s">
        <v>3</v>
      </c>
      <c r="S126" s="208" t="s">
        <v>135</v>
      </c>
      <c r="T126" s="206" t="s">
        <v>133</v>
      </c>
      <c r="U126" s="204" t="s">
        <v>134</v>
      </c>
      <c r="V126" s="206"/>
      <c r="W126" s="209" t="s">
        <v>26</v>
      </c>
    </row>
    <row r="127" spans="1:53" x14ac:dyDescent="0.15">
      <c r="A127" s="1">
        <v>1966</v>
      </c>
      <c r="B127" s="10">
        <f>(K7*($E7/275))</f>
        <v>0</v>
      </c>
      <c r="C127" s="10">
        <f>(L7*($E7/275))</f>
        <v>100</v>
      </c>
      <c r="D127" s="10">
        <f>(M7*($E7/275))</f>
        <v>0</v>
      </c>
      <c r="E127" s="264">
        <f t="shared" ref="E127:E174" si="36">SUM(B127:D127)</f>
        <v>100</v>
      </c>
      <c r="F127" s="265"/>
      <c r="G127" s="1">
        <v>1966</v>
      </c>
      <c r="H127" s="392">
        <f>(O7/$R7*100*($E7/275))</f>
        <v>0</v>
      </c>
      <c r="I127" s="392"/>
      <c r="J127" s="392">
        <f>(P7/$R7*100*($E7/275))</f>
        <v>100</v>
      </c>
      <c r="K127" s="392"/>
      <c r="L127" s="392">
        <f>(Q7/$R7*100*($E7/275))</f>
        <v>0</v>
      </c>
      <c r="M127" s="392"/>
      <c r="N127" s="413">
        <f t="shared" ref="N127:N150" si="37">SUM(H127:M127)</f>
        <v>100</v>
      </c>
      <c r="O127" s="413"/>
      <c r="P127" s="265"/>
      <c r="Q127" s="265"/>
      <c r="R127" s="1">
        <v>1966</v>
      </c>
      <c r="S127" s="5">
        <f>(O7*($E7/275))</f>
        <v>0</v>
      </c>
      <c r="T127" s="5">
        <f>(P7*($E7/275))</f>
        <v>56</v>
      </c>
      <c r="U127" s="5">
        <f>(Q7*($E7/275))</f>
        <v>0</v>
      </c>
      <c r="V127" s="5"/>
      <c r="W127" s="5">
        <f t="shared" ref="W127:W153" si="38">SUM(S127:U127)</f>
        <v>56</v>
      </c>
      <c r="X127" s="265"/>
      <c r="Y127" s="26" t="s">
        <v>1274</v>
      </c>
      <c r="Z127" s="265"/>
      <c r="AA127" s="265"/>
      <c r="AB127" s="265"/>
      <c r="AC127" s="265"/>
      <c r="AD127" s="265"/>
      <c r="AE127" s="265"/>
      <c r="AF127" s="265"/>
      <c r="AG127" s="265"/>
      <c r="AH127" s="265"/>
      <c r="AI127" s="265"/>
      <c r="AJ127" s="265"/>
      <c r="AK127" s="265"/>
      <c r="AL127" s="265"/>
      <c r="AM127" s="265"/>
      <c r="AN127" s="265"/>
      <c r="AO127" s="265"/>
      <c r="AP127" s="265"/>
      <c r="AQ127" s="265"/>
      <c r="AR127" s="265"/>
      <c r="AS127" s="265"/>
      <c r="AT127" s="265"/>
      <c r="AU127" s="265"/>
      <c r="AV127" s="265"/>
      <c r="AW127" s="265"/>
      <c r="AX127" s="265"/>
      <c r="AY127" s="265"/>
      <c r="AZ127" s="265"/>
      <c r="BA127" s="265"/>
    </row>
    <row r="128" spans="1:53" x14ac:dyDescent="0.15">
      <c r="A128" s="1">
        <v>1967</v>
      </c>
      <c r="B128" s="10">
        <f>(K8*($E8/365))+(K9*($E9/365))</f>
        <v>0</v>
      </c>
      <c r="C128" s="10">
        <f>(L8*($E8/365))+(L9*($E9/365))</f>
        <v>100</v>
      </c>
      <c r="D128" s="10">
        <f>(M8*($E8/365))+(M9*($E9/365))</f>
        <v>0</v>
      </c>
      <c r="E128" s="264">
        <f t="shared" si="36"/>
        <v>100</v>
      </c>
      <c r="F128" s="265"/>
      <c r="G128" s="1">
        <v>1967</v>
      </c>
      <c r="H128" s="392">
        <f>(O8/$R8*100*($E8/365))+(O9/$R9*100*($E9/365))</f>
        <v>0</v>
      </c>
      <c r="I128" s="392"/>
      <c r="J128" s="392">
        <f>(P8/$R8*100*($E8/365))+(P9/$R9*100*($E9/365))</f>
        <v>100</v>
      </c>
      <c r="K128" s="392"/>
      <c r="L128" s="392">
        <f>(Q8/$R8*100*($E8/365))+(Q9/$R9*100*($E9/365))</f>
        <v>0</v>
      </c>
      <c r="M128" s="392"/>
      <c r="N128" s="413">
        <f t="shared" si="37"/>
        <v>100</v>
      </c>
      <c r="O128" s="413"/>
      <c r="P128" s="265"/>
      <c r="Q128" s="265"/>
      <c r="R128" s="1">
        <v>1967</v>
      </c>
      <c r="S128" s="5">
        <f>(O8*($E8/365))+(O9*($E9/365))</f>
        <v>0</v>
      </c>
      <c r="T128" s="5">
        <f>(P8*($E8/365))+(P9*($E9/365))</f>
        <v>56</v>
      </c>
      <c r="U128" s="5">
        <f>(Q8*($E8/365))+(Q9*($E9/365))</f>
        <v>0</v>
      </c>
      <c r="V128" s="5"/>
      <c r="W128" s="5">
        <f t="shared" si="38"/>
        <v>56</v>
      </c>
      <c r="X128" s="265"/>
      <c r="Y128" s="265"/>
      <c r="Z128" s="265"/>
      <c r="AA128" s="265"/>
      <c r="AB128" s="265"/>
      <c r="AC128" s="265"/>
      <c r="AD128" s="265"/>
      <c r="AE128" s="265"/>
      <c r="AF128" s="265"/>
      <c r="AG128" s="265"/>
      <c r="AH128" s="265"/>
      <c r="AI128" s="265"/>
      <c r="AJ128" s="265"/>
      <c r="AK128" s="265"/>
      <c r="AL128" s="265"/>
      <c r="AM128" s="265"/>
      <c r="AN128" s="265"/>
      <c r="AO128" s="265"/>
      <c r="AP128" s="265"/>
      <c r="AQ128" s="265"/>
      <c r="AR128" s="265"/>
      <c r="AS128" s="265"/>
      <c r="AT128" s="265"/>
      <c r="AU128" s="265"/>
      <c r="AV128" s="265"/>
      <c r="AW128" s="265"/>
      <c r="AX128" s="265"/>
      <c r="AY128" s="265"/>
      <c r="AZ128" s="265"/>
      <c r="BA128" s="265"/>
    </row>
    <row r="129" spans="1:53" x14ac:dyDescent="0.15">
      <c r="A129" s="1">
        <v>1968</v>
      </c>
      <c r="B129" s="10">
        <f>(K10*($E10/366))+(K11*($E11/366))</f>
        <v>0</v>
      </c>
      <c r="C129" s="10">
        <f>(L10*($E10/366))+(L11*($E11/366))</f>
        <v>100</v>
      </c>
      <c r="D129" s="10">
        <f>(M10*($E10/366))+(M11*($E11/366))</f>
        <v>0</v>
      </c>
      <c r="E129" s="264">
        <f t="shared" si="36"/>
        <v>100</v>
      </c>
      <c r="F129" s="265"/>
      <c r="G129" s="1">
        <v>1968</v>
      </c>
      <c r="H129" s="392">
        <f>(O10/$R10*100*($E10/366))+(O11/$R11*100*($E11/366))</f>
        <v>0</v>
      </c>
      <c r="I129" s="392"/>
      <c r="J129" s="392">
        <f>(P10/$R10*100*($E10/366))+(P11/$R11*100*($E11/366))</f>
        <v>100</v>
      </c>
      <c r="K129" s="392"/>
      <c r="L129" s="392">
        <f>(Q10/$R10*100*($E10/366))+(Q11/$R11*100*($E11/366))</f>
        <v>0</v>
      </c>
      <c r="M129" s="392"/>
      <c r="N129" s="413">
        <f t="shared" si="37"/>
        <v>100</v>
      </c>
      <c r="O129" s="413"/>
      <c r="P129" s="265"/>
      <c r="Q129" s="265"/>
      <c r="R129" s="1">
        <v>1968</v>
      </c>
      <c r="S129" s="5">
        <f>(O10*($E10/366))+(O11*($E11/366))</f>
        <v>0</v>
      </c>
      <c r="T129" s="5">
        <f>(P10*($E10/366))+(P11*($E11/366))</f>
        <v>56</v>
      </c>
      <c r="U129" s="5">
        <f>(Q10*($E10/366))+(Q11*($E11/366))</f>
        <v>0</v>
      </c>
      <c r="V129" s="5"/>
      <c r="W129" s="5">
        <f t="shared" si="38"/>
        <v>56</v>
      </c>
      <c r="X129" s="265"/>
      <c r="Y129" s="265"/>
      <c r="Z129" s="265"/>
      <c r="AA129" s="265"/>
      <c r="AB129" s="265"/>
      <c r="AC129" s="265"/>
      <c r="AD129" s="265"/>
      <c r="AE129" s="265"/>
      <c r="AF129" s="265"/>
      <c r="AG129" s="265"/>
      <c r="AH129" s="265"/>
      <c r="AI129" s="265"/>
      <c r="AJ129" s="265"/>
      <c r="AK129" s="265"/>
      <c r="AL129" s="265"/>
      <c r="AM129" s="265"/>
      <c r="AN129" s="265"/>
      <c r="AO129" s="265"/>
      <c r="AP129" s="265"/>
      <c r="AQ129" s="265"/>
      <c r="AR129" s="265"/>
      <c r="AS129" s="265"/>
      <c r="AT129" s="265"/>
      <c r="AU129" s="265"/>
      <c r="AV129" s="265"/>
      <c r="AW129" s="265"/>
      <c r="AX129" s="265"/>
      <c r="AY129" s="265"/>
      <c r="AZ129" s="265"/>
      <c r="BA129" s="265"/>
    </row>
    <row r="130" spans="1:53" x14ac:dyDescent="0.15">
      <c r="A130" s="1">
        <v>1969</v>
      </c>
      <c r="B130" s="10">
        <f>(K12*($E12/365))+(K13*($E13/365))</f>
        <v>0</v>
      </c>
      <c r="C130" s="10">
        <f>(L12*($E12/365))+(L13*($E13/365))</f>
        <v>100</v>
      </c>
      <c r="D130" s="10">
        <f>(M12*($E12/365))+(M13*($E13/365))</f>
        <v>0</v>
      </c>
      <c r="E130" s="264">
        <f t="shared" si="36"/>
        <v>100</v>
      </c>
      <c r="F130" s="265"/>
      <c r="G130" s="1">
        <v>1969</v>
      </c>
      <c r="H130" s="392">
        <f>(O12/$R12*100*($E12/365))+(O13/$R13*100*($E13/365))</f>
        <v>0</v>
      </c>
      <c r="I130" s="392"/>
      <c r="J130" s="392">
        <f>(P12/$R12*100*($E12/365))+(P13/$R13*100*($E13/365))</f>
        <v>100</v>
      </c>
      <c r="K130" s="392"/>
      <c r="L130" s="392">
        <f>(Q12/$R12*100*($E12/365))+(Q13/$R13*100*($E13/365))</f>
        <v>0</v>
      </c>
      <c r="M130" s="392"/>
      <c r="N130" s="413">
        <f t="shared" si="37"/>
        <v>100</v>
      </c>
      <c r="O130" s="413"/>
      <c r="P130" s="265"/>
      <c r="Q130" s="265"/>
      <c r="R130" s="1">
        <v>1969</v>
      </c>
      <c r="S130" s="5">
        <f>(O12*($E12/365))+(O13*($E13/365))</f>
        <v>0</v>
      </c>
      <c r="T130" s="5">
        <f>(P12*($E12/365))+(P13*($E13/365))</f>
        <v>56</v>
      </c>
      <c r="U130" s="5">
        <f>(Q12*($E12/365))+(Q13*($E13/365))</f>
        <v>0</v>
      </c>
      <c r="V130" s="5"/>
      <c r="W130" s="5">
        <f t="shared" si="38"/>
        <v>56</v>
      </c>
      <c r="X130" s="265"/>
      <c r="Y130" s="265"/>
      <c r="Z130" s="265"/>
      <c r="AA130" s="265"/>
      <c r="AB130" s="265"/>
      <c r="AC130" s="265"/>
      <c r="AD130" s="265"/>
      <c r="AE130" s="265"/>
      <c r="AF130" s="265"/>
      <c r="AG130" s="265"/>
      <c r="AH130" s="265"/>
      <c r="AI130" s="265"/>
      <c r="AJ130" s="265"/>
      <c r="AK130" s="265"/>
      <c r="AL130" s="265"/>
      <c r="AM130" s="265"/>
      <c r="AN130" s="265"/>
      <c r="AO130" s="265"/>
      <c r="AP130" s="265"/>
      <c r="AQ130" s="265"/>
      <c r="AR130" s="265"/>
      <c r="AS130" s="265"/>
      <c r="AT130" s="265"/>
      <c r="AU130" s="265"/>
      <c r="AV130" s="265"/>
      <c r="AW130" s="265"/>
      <c r="AX130" s="265"/>
      <c r="AY130" s="265"/>
      <c r="AZ130" s="265"/>
      <c r="BA130" s="265"/>
    </row>
    <row r="131" spans="1:53" x14ac:dyDescent="0.15">
      <c r="A131" s="1">
        <v>1970</v>
      </c>
      <c r="B131" s="10">
        <f>(K14*($E14/365))+(K15*($E15/365))</f>
        <v>0</v>
      </c>
      <c r="C131" s="10">
        <f>(L14*($E14/365))+(L15*($E15/365))</f>
        <v>100</v>
      </c>
      <c r="D131" s="10">
        <f>(M14*($E14/365))+(M15*($E15/365))</f>
        <v>0</v>
      </c>
      <c r="E131" s="264">
        <f t="shared" si="36"/>
        <v>100</v>
      </c>
      <c r="F131" s="265"/>
      <c r="G131" s="1">
        <v>1970</v>
      </c>
      <c r="H131" s="392">
        <f>(O14/$R14*100*($E14/365))+(O15/$R15*100*($E15/365))</f>
        <v>0</v>
      </c>
      <c r="I131" s="392"/>
      <c r="J131" s="392">
        <f>(P14/$R14*100*($E14/365))+(P15/$R15*100*($E15/365))</f>
        <v>100</v>
      </c>
      <c r="K131" s="392"/>
      <c r="L131" s="392">
        <f>(Q14/$R14*100*($E14/365))+(Q15/$R15*100*($E15/365))</f>
        <v>0</v>
      </c>
      <c r="M131" s="392"/>
      <c r="N131" s="413">
        <f t="shared" si="37"/>
        <v>100</v>
      </c>
      <c r="O131" s="413"/>
      <c r="P131" s="265"/>
      <c r="Q131" s="265"/>
      <c r="R131" s="1">
        <v>1970</v>
      </c>
      <c r="S131" s="5">
        <f>(O14*($E14/365))+(O15*($E15/365))</f>
        <v>0</v>
      </c>
      <c r="T131" s="5">
        <f>(P14*($E14/365))+(P15*($E15/365))</f>
        <v>56</v>
      </c>
      <c r="U131" s="5">
        <f>(Q14*($E14/365))+(Q15*($E15/365))</f>
        <v>0</v>
      </c>
      <c r="V131" s="5"/>
      <c r="W131" s="5">
        <f t="shared" si="38"/>
        <v>56</v>
      </c>
    </row>
    <row r="132" spans="1:53" x14ac:dyDescent="0.15">
      <c r="A132" s="1">
        <v>1971</v>
      </c>
      <c r="B132" s="10">
        <f>(K16*($E16/365))+(K17*($E17/365))</f>
        <v>0</v>
      </c>
      <c r="C132" s="10">
        <f>(L16*($E16/365))+(L17*($E17/365))</f>
        <v>46.849315068493155</v>
      </c>
      <c r="D132" s="10">
        <f>(M16*($E16/365))+(M17*($E17/365))</f>
        <v>53.150684931506852</v>
      </c>
      <c r="E132" s="264">
        <f t="shared" si="36"/>
        <v>100</v>
      </c>
      <c r="F132" s="265"/>
      <c r="G132" s="1">
        <v>1971</v>
      </c>
      <c r="H132" s="392">
        <f>(O16/$R16*100*($E16/365))+(O17/$R17*100*($E17/365))</f>
        <v>0</v>
      </c>
      <c r="I132" s="392"/>
      <c r="J132" s="392">
        <f>(P16/$R16*100*($E16/365))+(P17/$R17*100*($E17/365))</f>
        <v>46.849315068493155</v>
      </c>
      <c r="K132" s="392"/>
      <c r="L132" s="392">
        <f>(Q16/$R16*100*($E16/365))+(Q17/$R17*100*($E17/365))</f>
        <v>53.150684931506852</v>
      </c>
      <c r="M132" s="392"/>
      <c r="N132" s="413">
        <f t="shared" si="37"/>
        <v>100</v>
      </c>
      <c r="O132" s="413"/>
      <c r="P132" s="265"/>
      <c r="Q132" s="265"/>
      <c r="R132" s="1">
        <v>1971</v>
      </c>
      <c r="S132" s="5">
        <f>(O16*($E16/365))+(O17*($E17/365))</f>
        <v>0</v>
      </c>
      <c r="T132" s="5">
        <f>(P16*($E16/365))+(P17*($E17/365))</f>
        <v>26.235616438356164</v>
      </c>
      <c r="U132" s="5">
        <f>(Q16*($E16/365))+(Q17*($E17/365))</f>
        <v>27.053698630136989</v>
      </c>
      <c r="V132" s="5"/>
      <c r="W132" s="5">
        <f t="shared" si="38"/>
        <v>53.289315068493153</v>
      </c>
    </row>
    <row r="133" spans="1:53" x14ac:dyDescent="0.15">
      <c r="A133" s="1">
        <v>1972</v>
      </c>
      <c r="B133" s="10">
        <f>(K18*($E18/366))+(K19*($E19/366))</f>
        <v>0</v>
      </c>
      <c r="C133" s="10">
        <f>(L18*($E18/366))+(L19*($E19/366))</f>
        <v>0</v>
      </c>
      <c r="D133" s="10">
        <f>(M18*($E18/366))+(M19*($E19/366))</f>
        <v>100</v>
      </c>
      <c r="E133" s="264">
        <f t="shared" si="36"/>
        <v>100</v>
      </c>
      <c r="F133" s="265"/>
      <c r="G133" s="1">
        <v>1972</v>
      </c>
      <c r="H133" s="392">
        <f>(O18/$R18*100*($E18/366))+(O19/$R19*100*($E19/366))</f>
        <v>0</v>
      </c>
      <c r="I133" s="392"/>
      <c r="J133" s="392">
        <f>(P18/$R18*100*($E18/366))+(P19/$R19*100*($E19/366))</f>
        <v>0</v>
      </c>
      <c r="K133" s="392"/>
      <c r="L133" s="392">
        <f>(Q18/$R18*100*($E18/366))+(Q19/$R19*100*($E19/366))</f>
        <v>100</v>
      </c>
      <c r="M133" s="392"/>
      <c r="N133" s="413">
        <f t="shared" si="37"/>
        <v>100</v>
      </c>
      <c r="O133" s="413"/>
      <c r="P133" s="265"/>
      <c r="Q133" s="265"/>
      <c r="R133" s="1">
        <v>1972</v>
      </c>
      <c r="S133" s="5">
        <f>(O18*($E18/366))+(O19*($E19/366))</f>
        <v>0</v>
      </c>
      <c r="T133" s="5">
        <f>(P18*($E18/366))+(P19*($E19/366))</f>
        <v>0</v>
      </c>
      <c r="U133" s="5">
        <f>(Q18*($E18/366))+(Q19*($E19/366))</f>
        <v>50.9</v>
      </c>
      <c r="V133" s="5"/>
      <c r="W133" s="5">
        <f t="shared" si="38"/>
        <v>50.9</v>
      </c>
    </row>
    <row r="134" spans="1:53" x14ac:dyDescent="0.15">
      <c r="A134" s="1">
        <v>1973</v>
      </c>
      <c r="B134" s="10">
        <f>(K20*($E20/365))+(K21*($E21/365))</f>
        <v>0</v>
      </c>
      <c r="C134" s="10">
        <f>(L20*($E20/365))+(L21*($E21/365))</f>
        <v>0</v>
      </c>
      <c r="D134" s="10">
        <f>(M20*($E20/365))+(M21*($E21/365))</f>
        <v>100</v>
      </c>
      <c r="E134" s="264">
        <f t="shared" si="36"/>
        <v>100</v>
      </c>
      <c r="F134" s="265"/>
      <c r="G134" s="1">
        <v>1973</v>
      </c>
      <c r="H134" s="392">
        <f>(O20/$R20*100*($E20/365))+(O21/$R21*100*($E21/365))</f>
        <v>0</v>
      </c>
      <c r="I134" s="392"/>
      <c r="J134" s="392">
        <f>(P20/$R20*100*($E20/365))+(P21/$R21*100*($E21/365))</f>
        <v>0</v>
      </c>
      <c r="K134" s="392"/>
      <c r="L134" s="392">
        <f>(Q20/$R20*100*($E20/365))+(Q21/$R21*100*($E21/365))</f>
        <v>100</v>
      </c>
      <c r="M134" s="392"/>
      <c r="N134" s="413">
        <f t="shared" si="37"/>
        <v>100</v>
      </c>
      <c r="O134" s="413"/>
      <c r="P134" s="265"/>
      <c r="Q134" s="265"/>
      <c r="R134" s="1">
        <v>1973</v>
      </c>
      <c r="S134" s="5">
        <f>(O20*($E20/365))+(O21*($E21/365))</f>
        <v>0</v>
      </c>
      <c r="T134" s="5">
        <f>(P20*($E20/365))+(P21*($E21/365))</f>
        <v>0</v>
      </c>
      <c r="U134" s="5">
        <f>(Q20*($E20/365))+(Q21*($E21/365))</f>
        <v>50.9</v>
      </c>
      <c r="V134" s="5"/>
      <c r="W134" s="5">
        <f t="shared" si="38"/>
        <v>50.9</v>
      </c>
    </row>
    <row r="135" spans="1:53" x14ac:dyDescent="0.15">
      <c r="A135" s="1">
        <v>1974</v>
      </c>
      <c r="B135" s="10">
        <f>(K22*($E22/365))+(K23*($E23/365))</f>
        <v>0</v>
      </c>
      <c r="C135" s="10">
        <f>(L22*($E22/365))+(L23*($E23/365))</f>
        <v>0</v>
      </c>
      <c r="D135" s="10">
        <f>(M22*($E22/365))+(M23*($E23/365))</f>
        <v>100</v>
      </c>
      <c r="E135" s="264">
        <f t="shared" si="36"/>
        <v>100</v>
      </c>
      <c r="F135" s="265"/>
      <c r="G135" s="1">
        <v>1974</v>
      </c>
      <c r="H135" s="392">
        <f>(O22/$R22*100*($E22/365))+(O23/$R23*100*($E23/365))</f>
        <v>0</v>
      </c>
      <c r="I135" s="392"/>
      <c r="J135" s="392">
        <f>(P22/$R22*100*($E22/365))+(P23/$R23*100*($E23/365))</f>
        <v>0</v>
      </c>
      <c r="K135" s="392"/>
      <c r="L135" s="392">
        <f>(Q22/$R22*100*($E22/365))+(Q23/$R23*100*($E23/365))</f>
        <v>100</v>
      </c>
      <c r="M135" s="392"/>
      <c r="N135" s="413">
        <f t="shared" si="37"/>
        <v>100</v>
      </c>
      <c r="O135" s="413"/>
      <c r="P135" s="265"/>
      <c r="Q135" s="265"/>
      <c r="R135" s="1">
        <v>1974</v>
      </c>
      <c r="S135" s="5">
        <f>(O22*($E22/365))+(O23*($E23/365))</f>
        <v>0</v>
      </c>
      <c r="T135" s="5">
        <f>(P22*($E22/365))+(P23*($E23/365))</f>
        <v>0</v>
      </c>
      <c r="U135" s="5">
        <f>(Q22*($E22/365))+(Q23*($E23/365))</f>
        <v>50.9</v>
      </c>
      <c r="V135" s="5"/>
      <c r="W135" s="5">
        <f t="shared" si="38"/>
        <v>50.9</v>
      </c>
    </row>
    <row r="136" spans="1:53" x14ac:dyDescent="0.15">
      <c r="A136" s="1">
        <v>1975</v>
      </c>
      <c r="B136" s="10">
        <f>(K24*($E24/365))+(K25*($E25/365))</f>
        <v>0</v>
      </c>
      <c r="C136" s="10">
        <f>(L24*($E24/365))+(L25*($E25/365))</f>
        <v>0</v>
      </c>
      <c r="D136" s="10">
        <f>(M24*($E24/365))+(M25*($E25/365))</f>
        <v>100</v>
      </c>
      <c r="E136" s="264">
        <f t="shared" si="36"/>
        <v>100</v>
      </c>
      <c r="F136" s="265"/>
      <c r="G136" s="1">
        <v>1975</v>
      </c>
      <c r="H136" s="392">
        <f>(O24/$R24*100*($E24/365))+(O25/$R25*100*($E25/365))</f>
        <v>0</v>
      </c>
      <c r="I136" s="392"/>
      <c r="J136" s="392">
        <f>(P24/$R24*100*($E24/365))+(P25/$R25*100*($E25/365))</f>
        <v>0</v>
      </c>
      <c r="K136" s="392"/>
      <c r="L136" s="392">
        <f>(Q24/$R24*100*($E24/365))+(Q25/$R25*100*($E25/365))</f>
        <v>100</v>
      </c>
      <c r="M136" s="392"/>
      <c r="N136" s="413">
        <f t="shared" si="37"/>
        <v>100</v>
      </c>
      <c r="O136" s="413"/>
      <c r="P136" s="265"/>
      <c r="Q136" s="265"/>
      <c r="R136" s="1">
        <v>1975</v>
      </c>
      <c r="S136" s="5">
        <f>(O24*($E24/365))+(O25*($E25/365))</f>
        <v>0</v>
      </c>
      <c r="T136" s="5">
        <f>(P24*($E24/365))+(P25*($E25/365))</f>
        <v>0</v>
      </c>
      <c r="U136" s="5">
        <f>(Q24*($E24/365))+(Q25*($E25/365))</f>
        <v>50.9</v>
      </c>
      <c r="V136" s="5"/>
      <c r="W136" s="5">
        <f t="shared" si="38"/>
        <v>50.9</v>
      </c>
    </row>
    <row r="137" spans="1:53" x14ac:dyDescent="0.15">
      <c r="A137" s="1">
        <v>1976</v>
      </c>
      <c r="B137" s="10">
        <f>(K26*($E26/366))+(K27*($E27/366))</f>
        <v>0</v>
      </c>
      <c r="C137" s="10">
        <f>(L26*($E26/366))+(L27*($E27/366))</f>
        <v>0</v>
      </c>
      <c r="D137" s="10">
        <f>(M26*($E26/366))+(M27*($E27/366))</f>
        <v>100</v>
      </c>
      <c r="E137" s="264">
        <f t="shared" si="36"/>
        <v>100</v>
      </c>
      <c r="F137" s="265"/>
      <c r="G137" s="1">
        <v>1976</v>
      </c>
      <c r="H137" s="392">
        <f>(O26/$R26*100*($E26/366))+(O27/$R27*100*($E27/366))</f>
        <v>0</v>
      </c>
      <c r="I137" s="392"/>
      <c r="J137" s="392">
        <f>(P26/$R26*100*($E26/366))+(P27/$R27*100*($E27/366))</f>
        <v>0</v>
      </c>
      <c r="K137" s="392"/>
      <c r="L137" s="392">
        <f>(Q26/$R26*100*($E26/366))+(Q27/$R27*100*($E27/366))</f>
        <v>100</v>
      </c>
      <c r="M137" s="392"/>
      <c r="N137" s="413">
        <f t="shared" si="37"/>
        <v>100</v>
      </c>
      <c r="O137" s="413"/>
      <c r="P137" s="265"/>
      <c r="Q137" s="265"/>
      <c r="R137" s="1">
        <v>1976</v>
      </c>
      <c r="S137" s="5">
        <f>(O26*($E26/366))+(O27*($E27/366))</f>
        <v>0</v>
      </c>
      <c r="T137" s="5">
        <f>(P26*($E26/366))+(P27*($E27/366))</f>
        <v>0</v>
      </c>
      <c r="U137" s="5">
        <f>(Q26*($E26/366))+(Q27*($E27/366))</f>
        <v>51.28633879781421</v>
      </c>
      <c r="V137" s="5"/>
      <c r="W137" s="5">
        <f t="shared" si="38"/>
        <v>51.28633879781421</v>
      </c>
    </row>
    <row r="138" spans="1:53" x14ac:dyDescent="0.15">
      <c r="A138" s="1">
        <v>1977</v>
      </c>
      <c r="B138" s="10">
        <f>(K28*($E28/365))+(K29*($E29/365))</f>
        <v>0</v>
      </c>
      <c r="C138" s="10">
        <f>(L28*($E28/365))+(L29*($E29/365))</f>
        <v>0</v>
      </c>
      <c r="D138" s="10">
        <f>(M28*($E28/365))+(M29*($E29/365))</f>
        <v>100</v>
      </c>
      <c r="E138" s="264">
        <f t="shared" si="36"/>
        <v>100</v>
      </c>
      <c r="F138" s="265"/>
      <c r="G138" s="1">
        <v>1977</v>
      </c>
      <c r="H138" s="392">
        <f>(O28/$R28*100*($E28/365))+(O29/$R29*100*($E29/365))</f>
        <v>0</v>
      </c>
      <c r="I138" s="392"/>
      <c r="J138" s="392">
        <f>(P28/$R28*100*($E28/365))+(P29/$R29*100*($E29/365))</f>
        <v>0</v>
      </c>
      <c r="K138" s="392"/>
      <c r="L138" s="392">
        <f>(Q28/$R28*100*($E28/365))+(Q29/$R29*100*($E29/365))</f>
        <v>100</v>
      </c>
      <c r="M138" s="392"/>
      <c r="N138" s="413">
        <f t="shared" si="37"/>
        <v>100</v>
      </c>
      <c r="O138" s="413"/>
      <c r="P138" s="265"/>
      <c r="Q138" s="265"/>
      <c r="R138" s="1">
        <v>1977</v>
      </c>
      <c r="S138" s="5">
        <f>(O28*($E28/365))+(O29*($E29/365))</f>
        <v>0</v>
      </c>
      <c r="T138" s="5">
        <f>(P28*($E28/365))+(P29*($E29/365))</f>
        <v>0</v>
      </c>
      <c r="U138" s="5">
        <f>(Q28*($E28/365))+(Q29*($E29/365))</f>
        <v>52.3</v>
      </c>
      <c r="V138" s="5"/>
      <c r="W138" s="5">
        <f t="shared" si="38"/>
        <v>52.3</v>
      </c>
    </row>
    <row r="139" spans="1:53" x14ac:dyDescent="0.15">
      <c r="A139" s="1">
        <v>1978</v>
      </c>
      <c r="B139" s="10">
        <f>(K30*($E30/365))+(K31*($E31/365))</f>
        <v>0</v>
      </c>
      <c r="C139" s="10">
        <f>(L30*($E30/365))+(L31*($E31/365))</f>
        <v>0</v>
      </c>
      <c r="D139" s="10">
        <f>(M30*($E30/365))+(M31*($E31/365))</f>
        <v>100</v>
      </c>
      <c r="E139" s="264">
        <f t="shared" si="36"/>
        <v>100</v>
      </c>
      <c r="F139" s="265"/>
      <c r="G139" s="1">
        <v>1978</v>
      </c>
      <c r="H139" s="392">
        <f>(O30/$R30*100*($E30/365))+(O31/$R31*100*($E31/365))</f>
        <v>0</v>
      </c>
      <c r="I139" s="392"/>
      <c r="J139" s="392">
        <f>(P30/$R30*100*($E30/365))+(P31/$R31*100*($E31/365))</f>
        <v>0</v>
      </c>
      <c r="K139" s="392"/>
      <c r="L139" s="392">
        <f>(Q30/$R30*100*($E30/365))+(Q31/$R31*100*($E31/365))</f>
        <v>100</v>
      </c>
      <c r="M139" s="392"/>
      <c r="N139" s="413">
        <f t="shared" si="37"/>
        <v>100</v>
      </c>
      <c r="O139" s="413"/>
      <c r="P139" s="265"/>
      <c r="Q139" s="265"/>
      <c r="R139" s="1">
        <v>1978</v>
      </c>
      <c r="S139" s="5">
        <f>(O30*($E30/365))+(O31*($E31/365))</f>
        <v>0</v>
      </c>
      <c r="T139" s="5">
        <f>(P30*($E30/365))+(P31*($E31/365))</f>
        <v>0</v>
      </c>
      <c r="U139" s="5">
        <f>(Q30*($E30/365))+(Q31*($E31/365))</f>
        <v>52.3</v>
      </c>
      <c r="V139" s="5"/>
      <c r="W139" s="5">
        <f t="shared" si="38"/>
        <v>52.3</v>
      </c>
    </row>
    <row r="140" spans="1:53" x14ac:dyDescent="0.15">
      <c r="A140" s="1">
        <v>1979</v>
      </c>
      <c r="B140" s="10">
        <f>(K32*($E32/365))+(K33*($E33/365))</f>
        <v>0</v>
      </c>
      <c r="C140" s="10">
        <f>(L32*($E32/365))+(L33*($E33/365))</f>
        <v>0</v>
      </c>
      <c r="D140" s="10">
        <f>(M32*($E32/365))+(M33*($E33/365))</f>
        <v>100</v>
      </c>
      <c r="E140" s="264">
        <f t="shared" si="36"/>
        <v>100</v>
      </c>
      <c r="F140" s="265"/>
      <c r="G140" s="1">
        <v>1979</v>
      </c>
      <c r="H140" s="392">
        <f>(O32/$R32*100*($E32/365))+(O33/$R33*100*($E33/365))</f>
        <v>0</v>
      </c>
      <c r="I140" s="392"/>
      <c r="J140" s="392">
        <f>(P32/$R32*100*($E32/365))+(P33/$R33*100*($E33/365))</f>
        <v>0</v>
      </c>
      <c r="K140" s="392"/>
      <c r="L140" s="392">
        <f>(Q32/$R32*100*($E32/365))+(Q33/$R33*100*($E33/365))</f>
        <v>100</v>
      </c>
      <c r="M140" s="392"/>
      <c r="N140" s="413">
        <f t="shared" si="37"/>
        <v>100</v>
      </c>
      <c r="O140" s="413"/>
      <c r="P140" s="265"/>
      <c r="Q140" s="265"/>
      <c r="R140" s="1">
        <v>1979</v>
      </c>
      <c r="S140" s="5">
        <f>(O32*($E32/365))+(O33*($E33/365))</f>
        <v>0</v>
      </c>
      <c r="T140" s="5">
        <f>(P32*($E32/365))+(P33*($E33/365))</f>
        <v>0</v>
      </c>
      <c r="U140" s="5">
        <f>(Q32*($E32/365))+(Q33*($E33/365))</f>
        <v>52.3</v>
      </c>
      <c r="V140" s="5"/>
      <c r="W140" s="5">
        <f t="shared" si="38"/>
        <v>52.3</v>
      </c>
    </row>
    <row r="141" spans="1:53" x14ac:dyDescent="0.15">
      <c r="A141" s="1">
        <v>1980</v>
      </c>
      <c r="B141" s="10">
        <f>(K34*($E34/366))+(K35*($E35/366))</f>
        <v>0</v>
      </c>
      <c r="C141" s="10">
        <f>(L34*($E34/366))+(L35*($E35/366))</f>
        <v>0</v>
      </c>
      <c r="D141" s="10">
        <f>(M34*($E34/366))+(M35*($E35/366))</f>
        <v>100</v>
      </c>
      <c r="E141" s="264">
        <f t="shared" si="36"/>
        <v>100</v>
      </c>
      <c r="F141" s="265"/>
      <c r="G141" s="1">
        <v>1980</v>
      </c>
      <c r="H141" s="392">
        <f>(O34/$R34*100*($E34/366))+(O35/$R35*100*($E35/366))</f>
        <v>0</v>
      </c>
      <c r="I141" s="392"/>
      <c r="J141" s="392">
        <f>(P34/$R34*100*($E34/366))+(P35/$R35*100*($E35/366))</f>
        <v>0</v>
      </c>
      <c r="K141" s="392"/>
      <c r="L141" s="392">
        <f>(Q34/$R34*100*($E34/366))+(Q35/$R35*100*($E35/366))</f>
        <v>100</v>
      </c>
      <c r="M141" s="392"/>
      <c r="N141" s="413">
        <f t="shared" si="37"/>
        <v>100</v>
      </c>
      <c r="O141" s="413"/>
      <c r="P141" s="265"/>
      <c r="Q141" s="265"/>
      <c r="R141" s="1">
        <v>1980</v>
      </c>
      <c r="S141" s="5">
        <f>(O34*($E34/366))+(O35*($E35/366))</f>
        <v>0</v>
      </c>
      <c r="T141" s="5">
        <f>(P34*($E34/366))+(P35*($E35/366))</f>
        <v>0</v>
      </c>
      <c r="U141" s="5">
        <f>(Q34*($E34/366))+(Q35*($E35/366))</f>
        <v>52.3</v>
      </c>
      <c r="V141" s="5"/>
      <c r="W141" s="5">
        <f t="shared" si="38"/>
        <v>52.3</v>
      </c>
    </row>
    <row r="142" spans="1:53" x14ac:dyDescent="0.15">
      <c r="A142" s="1">
        <v>1981</v>
      </c>
      <c r="B142" s="10">
        <f>(K36*($E36/365))+(K37*($E37/365))</f>
        <v>0</v>
      </c>
      <c r="C142" s="10">
        <f>(L36*($E36/365))+(L37*($E37/365))</f>
        <v>0</v>
      </c>
      <c r="D142" s="10">
        <f>(M36*($E36/365))+(M37*($E37/365))</f>
        <v>100.00000000000001</v>
      </c>
      <c r="E142" s="264">
        <f t="shared" si="36"/>
        <v>100.00000000000001</v>
      </c>
      <c r="F142" s="265"/>
      <c r="G142" s="1">
        <v>1981</v>
      </c>
      <c r="H142" s="392">
        <f>(O36/$R36*100*($E36/365))+(O37/$R37*100*($E37/365))</f>
        <v>0</v>
      </c>
      <c r="I142" s="392"/>
      <c r="J142" s="392">
        <f>(P36/$R36*100*($E36/365))+(P37/$R37*100*($E37/365))</f>
        <v>0</v>
      </c>
      <c r="K142" s="392"/>
      <c r="L142" s="392">
        <f>(Q36/$R36*100*($E36/365))+(Q37/$R37*100*($E37/365))</f>
        <v>100.00000000000001</v>
      </c>
      <c r="M142" s="392"/>
      <c r="N142" s="413">
        <f t="shared" si="37"/>
        <v>100.00000000000001</v>
      </c>
      <c r="O142" s="413"/>
      <c r="P142" s="265"/>
      <c r="Q142" s="265"/>
      <c r="R142" s="1">
        <v>1981</v>
      </c>
      <c r="S142" s="5">
        <f>(O36*($E36/365))+(O37*($E37/365))</f>
        <v>0</v>
      </c>
      <c r="T142" s="5">
        <f>(P36*($E36/365))+(P37*($E37/365))</f>
        <v>0</v>
      </c>
      <c r="U142" s="5">
        <f>(Q36*($E36/365))+(Q37*($E37/365))</f>
        <v>52.300000000000004</v>
      </c>
      <c r="V142" s="5"/>
      <c r="W142" s="5">
        <f t="shared" si="38"/>
        <v>52.300000000000004</v>
      </c>
    </row>
    <row r="143" spans="1:53" x14ac:dyDescent="0.15">
      <c r="A143" s="1">
        <v>1982</v>
      </c>
      <c r="B143" s="10">
        <f>(K38*($E38/365))+(K39*($E39/365))</f>
        <v>0</v>
      </c>
      <c r="C143" s="10">
        <f>(L38*($E38/365))+(L39*($E39/365))</f>
        <v>0</v>
      </c>
      <c r="D143" s="10">
        <f>(M38*($E38/365))+(M39*($E39/365))</f>
        <v>100</v>
      </c>
      <c r="E143" s="264">
        <f t="shared" si="36"/>
        <v>100</v>
      </c>
      <c r="F143" s="265"/>
      <c r="G143" s="1">
        <v>1982</v>
      </c>
      <c r="H143" s="392">
        <f>(O38/$R38*100*($E38/365))+(O39/$R39*100*($E39/365))</f>
        <v>0</v>
      </c>
      <c r="I143" s="392"/>
      <c r="J143" s="392">
        <f>(P38/$R38*100*($E38/365))+(P39/$R39*100*($E39/365))</f>
        <v>0</v>
      </c>
      <c r="K143" s="392"/>
      <c r="L143" s="392">
        <f>(Q38/$R38*100*($E38/365))+(Q39/$R39*100*($E39/365))</f>
        <v>100</v>
      </c>
      <c r="M143" s="392"/>
      <c r="N143" s="413">
        <f t="shared" si="37"/>
        <v>100</v>
      </c>
      <c r="O143" s="413"/>
      <c r="P143" s="265"/>
      <c r="Q143" s="265"/>
      <c r="R143" s="1">
        <v>1982</v>
      </c>
      <c r="S143" s="5">
        <f>(O38*($E38/365))+(O39*($E39/365))</f>
        <v>0</v>
      </c>
      <c r="T143" s="5">
        <f>(P38*($E38/365))+(P39*($E39/365))</f>
        <v>0</v>
      </c>
      <c r="U143" s="5">
        <f>(Q38*($E38/365))+(Q39*($E39/365))</f>
        <v>52.3</v>
      </c>
      <c r="V143" s="5"/>
      <c r="W143" s="5">
        <f t="shared" si="38"/>
        <v>52.3</v>
      </c>
    </row>
    <row r="144" spans="1:53" x14ac:dyDescent="0.15">
      <c r="A144" s="1">
        <v>1983</v>
      </c>
      <c r="B144" s="10">
        <f>(K40*($E40/365))+(K41*($E41/365))</f>
        <v>0</v>
      </c>
      <c r="C144" s="10">
        <f>(L40*($E40/365))+(L41*($E41/365))</f>
        <v>0</v>
      </c>
      <c r="D144" s="10">
        <f>(M40*($E40/365))+(M41*($E41/365))</f>
        <v>100</v>
      </c>
      <c r="E144" s="264">
        <f t="shared" si="36"/>
        <v>100</v>
      </c>
      <c r="F144" s="265"/>
      <c r="G144" s="1">
        <v>1983</v>
      </c>
      <c r="H144" s="392">
        <f>(O40/$R40*100*($E40/365))+(O41/$R41*100*($E41/365))</f>
        <v>0</v>
      </c>
      <c r="I144" s="392"/>
      <c r="J144" s="392">
        <f>(P40/$R40*100*($E40/365))+(P41/$R41*100*($E41/365))</f>
        <v>0</v>
      </c>
      <c r="K144" s="392"/>
      <c r="L144" s="392">
        <f>(Q40/$R40*100*($E40/365))+(Q41/$R41*100*($E41/365))</f>
        <v>100</v>
      </c>
      <c r="M144" s="392"/>
      <c r="N144" s="413">
        <f t="shared" si="37"/>
        <v>100</v>
      </c>
      <c r="O144" s="413"/>
      <c r="P144" s="265"/>
      <c r="Q144" s="265"/>
      <c r="R144" s="1">
        <v>1983</v>
      </c>
      <c r="S144" s="5">
        <f>(O40*($E40/365))+(O41*($E41/365))</f>
        <v>0</v>
      </c>
      <c r="T144" s="5">
        <f>(P40*($E40/365))+(P41*($E41/365))</f>
        <v>0</v>
      </c>
      <c r="U144" s="5">
        <f>(Q40*($E40/365))+(Q41*($E41/365))</f>
        <v>52.3</v>
      </c>
      <c r="V144" s="5"/>
      <c r="W144" s="5">
        <f t="shared" si="38"/>
        <v>52.3</v>
      </c>
    </row>
    <row r="145" spans="1:23" x14ac:dyDescent="0.15">
      <c r="A145" s="1">
        <v>1984</v>
      </c>
      <c r="B145" s="10">
        <f>(K42*($E42/366))+(K43*($E43/366))</f>
        <v>0</v>
      </c>
      <c r="C145" s="10">
        <f>(L42*($E42/366))+(L43*($E43/366))</f>
        <v>0</v>
      </c>
      <c r="D145" s="10">
        <f>(M42*($E42/366))+(M43*($E43/366))</f>
        <v>100</v>
      </c>
      <c r="E145" s="264">
        <f t="shared" si="36"/>
        <v>100</v>
      </c>
      <c r="F145" s="265"/>
      <c r="G145" s="1">
        <v>1984</v>
      </c>
      <c r="H145" s="392">
        <f>(O42/$R42*100*($E42/366))+(O43/$R43*100*($E43/366))</f>
        <v>0</v>
      </c>
      <c r="I145" s="392"/>
      <c r="J145" s="392">
        <f>(P42/$R42*100*($E42/366))+(P43/$R43*100*($E43/366))</f>
        <v>0</v>
      </c>
      <c r="K145" s="392"/>
      <c r="L145" s="392">
        <f>(Q42/$R42*100*($E42/366))+(Q43/$R43*100*($E43/366))</f>
        <v>100</v>
      </c>
      <c r="M145" s="392"/>
      <c r="N145" s="413">
        <f t="shared" si="37"/>
        <v>100</v>
      </c>
      <c r="O145" s="413"/>
      <c r="P145" s="265"/>
      <c r="Q145" s="265"/>
      <c r="R145" s="1">
        <v>1984</v>
      </c>
      <c r="S145" s="5">
        <f>(O42*($E42/366))+(O43*($E43/366))</f>
        <v>0</v>
      </c>
      <c r="T145" s="5">
        <f>(P42*($E42/366))+(P43*($E43/366))</f>
        <v>0</v>
      </c>
      <c r="U145" s="5">
        <f>(Q42*($E42/366))+(Q43*($E43/366))</f>
        <v>52.3</v>
      </c>
      <c r="V145" s="5"/>
      <c r="W145" s="5">
        <f t="shared" si="38"/>
        <v>52.3</v>
      </c>
    </row>
    <row r="146" spans="1:23" x14ac:dyDescent="0.15">
      <c r="A146" s="1">
        <v>1985</v>
      </c>
      <c r="B146" s="10">
        <f>(K44*($E44/365))+(K45*($E45/365))</f>
        <v>0</v>
      </c>
      <c r="C146" s="10">
        <f>(L44*($E44/365))+(L45*($E45/365))</f>
        <v>0</v>
      </c>
      <c r="D146" s="10">
        <f>(M44*($E44/365))+(M45*($E45/365))</f>
        <v>100</v>
      </c>
      <c r="E146" s="264">
        <f t="shared" si="36"/>
        <v>100</v>
      </c>
      <c r="F146" s="265"/>
      <c r="G146" s="1">
        <v>1985</v>
      </c>
      <c r="H146" s="392">
        <f>(O44/$R44*100*($E44/365))+(O45/$R45*100*($E45/365))</f>
        <v>0</v>
      </c>
      <c r="I146" s="392"/>
      <c r="J146" s="392">
        <f>(P44/$R44*100*($E44/365))+(P45/$R45*100*($E45/365))</f>
        <v>0</v>
      </c>
      <c r="K146" s="392"/>
      <c r="L146" s="392">
        <f>(Q44/$R44*100*($E44/365))+(Q45/$R45*100*($E45/365))</f>
        <v>100</v>
      </c>
      <c r="M146" s="392"/>
      <c r="N146" s="413">
        <f t="shared" si="37"/>
        <v>100</v>
      </c>
      <c r="O146" s="413"/>
      <c r="P146" s="265"/>
      <c r="Q146" s="265"/>
      <c r="R146" s="1">
        <v>1985</v>
      </c>
      <c r="S146" s="5">
        <f>(O44*($E44/365))+(O45*($E45/365))</f>
        <v>0</v>
      </c>
      <c r="T146" s="5">
        <f>(P44*($E44/365))+(P45*($E45/365))</f>
        <v>0</v>
      </c>
      <c r="U146" s="5">
        <f>(Q44*($E44/365))+(Q45*($E45/365))</f>
        <v>52.3</v>
      </c>
      <c r="V146" s="5"/>
      <c r="W146" s="5">
        <f t="shared" si="38"/>
        <v>52.3</v>
      </c>
    </row>
    <row r="147" spans="1:23" x14ac:dyDescent="0.15">
      <c r="A147" s="1">
        <v>1986</v>
      </c>
      <c r="B147" s="10">
        <f>(K46*($E46/365))+(K47*($E47/365))</f>
        <v>0</v>
      </c>
      <c r="C147" s="10">
        <f>(L46*($E46/365))+(L47*($E47/365))</f>
        <v>0</v>
      </c>
      <c r="D147" s="10">
        <f>(M46*($E46/365))+(M47*($E47/365))</f>
        <v>100</v>
      </c>
      <c r="E147" s="264">
        <f t="shared" si="36"/>
        <v>100</v>
      </c>
      <c r="F147" s="265"/>
      <c r="G147" s="1">
        <v>1986</v>
      </c>
      <c r="H147" s="392">
        <f>(O46/$R46*100*($E46/365))+(O47/$R47*100*($E47/365))</f>
        <v>0</v>
      </c>
      <c r="I147" s="392"/>
      <c r="J147" s="392">
        <f>(P46/$R46*100*($E46/365))+(P47/$R47*100*($E47/365))</f>
        <v>0</v>
      </c>
      <c r="K147" s="392"/>
      <c r="L147" s="392">
        <f>(Q46/$R46*100*($E46/365))+(Q47/$R47*100*($E47/365))</f>
        <v>100</v>
      </c>
      <c r="M147" s="392"/>
      <c r="N147" s="413">
        <f t="shared" si="37"/>
        <v>100</v>
      </c>
      <c r="O147" s="413"/>
      <c r="P147" s="265"/>
      <c r="Q147" s="265"/>
      <c r="R147" s="1">
        <v>1986</v>
      </c>
      <c r="S147" s="5">
        <f>(O46*($E46/365))+(O47*($E47/365))</f>
        <v>0</v>
      </c>
      <c r="T147" s="5">
        <f>(P46*($E46/365))+(P47*($E47/365))</f>
        <v>0</v>
      </c>
      <c r="U147" s="5">
        <f>(Q46*($E46/365))+(Q47*($E47/365))</f>
        <v>52.3</v>
      </c>
      <c r="V147" s="5"/>
      <c r="W147" s="5">
        <f t="shared" si="38"/>
        <v>52.3</v>
      </c>
    </row>
    <row r="148" spans="1:23" x14ac:dyDescent="0.15">
      <c r="A148" s="1">
        <v>1987</v>
      </c>
      <c r="B148" s="10">
        <f>(K48*($E48/365))+(K49*($E49/365))</f>
        <v>0</v>
      </c>
      <c r="C148" s="10">
        <f>(L48*($E48/365))+(L49*($E49/365))</f>
        <v>63.561643835616444</v>
      </c>
      <c r="D148" s="10">
        <f>(M48*($E48/365))+(M49*($E49/365))</f>
        <v>36.438356164383563</v>
      </c>
      <c r="E148" s="264">
        <f t="shared" si="36"/>
        <v>100</v>
      </c>
      <c r="F148" s="265"/>
      <c r="G148" s="1">
        <v>1987</v>
      </c>
      <c r="H148" s="392">
        <f>(O48/$R48*100*($E48/365))+(O49/$R49*100*($E49/365))</f>
        <v>0</v>
      </c>
      <c r="I148" s="392"/>
      <c r="J148" s="392">
        <f>(P48/$R48*100*($E48/365))+(P49/$R49*100*($E49/365))</f>
        <v>63.561643835616444</v>
      </c>
      <c r="K148" s="392"/>
      <c r="L148" s="392">
        <f>(Q48/$R48*100*($E48/365))+(Q49/$R49*100*($E49/365))</f>
        <v>36.438356164383563</v>
      </c>
      <c r="M148" s="392"/>
      <c r="N148" s="413">
        <f t="shared" si="37"/>
        <v>100</v>
      </c>
      <c r="O148" s="413"/>
      <c r="P148" s="265"/>
      <c r="Q148" s="265"/>
      <c r="R148" s="1">
        <v>1987</v>
      </c>
      <c r="S148" s="5">
        <f>(O48*($E48/365))+(O49*($E49/365))</f>
        <v>0</v>
      </c>
      <c r="T148" s="5">
        <f>(P48*($E48/365))+(P49*($E49/365))</f>
        <v>32.22575342465754</v>
      </c>
      <c r="U148" s="5">
        <f>(Q48*($E48/365))+(Q49*($E49/365))</f>
        <v>19.057260273972602</v>
      </c>
      <c r="V148" s="5"/>
      <c r="W148" s="5">
        <f t="shared" si="38"/>
        <v>51.283013698630143</v>
      </c>
    </row>
    <row r="149" spans="1:23" x14ac:dyDescent="0.15">
      <c r="A149" s="1">
        <v>1988</v>
      </c>
      <c r="B149" s="10">
        <f>(K50*($E50/366))+(K51*($E51/366))</f>
        <v>0</v>
      </c>
      <c r="C149" s="10">
        <f>(L50*($E50/366))+(L51*($E51/366))</f>
        <v>100</v>
      </c>
      <c r="D149" s="10">
        <f>(M50*($E50/366))+(M51*($E51/366))</f>
        <v>0</v>
      </c>
      <c r="E149" s="264">
        <f t="shared" si="36"/>
        <v>100</v>
      </c>
      <c r="F149" s="265"/>
      <c r="G149" s="1">
        <v>1988</v>
      </c>
      <c r="H149" s="392">
        <f>(O50/$R50*100*($E50/366))+(O51/$R51*100*($E51/366))</f>
        <v>0</v>
      </c>
      <c r="I149" s="392"/>
      <c r="J149" s="392">
        <f>(P50/$R50*100*($E50/366))+(P51/$R51*100*($E51/366))</f>
        <v>100</v>
      </c>
      <c r="K149" s="392"/>
      <c r="L149" s="392">
        <f>(Q50/$R50*100*($E50/366))+(Q51/$R51*100*($E51/366))</f>
        <v>0</v>
      </c>
      <c r="M149" s="392"/>
      <c r="N149" s="413">
        <f t="shared" si="37"/>
        <v>100</v>
      </c>
      <c r="O149" s="413"/>
      <c r="P149" s="265"/>
      <c r="Q149" s="265"/>
      <c r="R149" s="1">
        <v>1988</v>
      </c>
      <c r="S149" s="5">
        <f>(O50*($E50/366))+(O51*($E51/366))</f>
        <v>0</v>
      </c>
      <c r="T149" s="5">
        <f>(P50*($E50/366))+(P51*($E51/366))</f>
        <v>50.7</v>
      </c>
      <c r="U149" s="5">
        <f>(Q50*($E50/366))+(Q51*($E51/366))</f>
        <v>0</v>
      </c>
      <c r="V149" s="5"/>
      <c r="W149" s="5">
        <f t="shared" si="38"/>
        <v>50.7</v>
      </c>
    </row>
    <row r="150" spans="1:23" x14ac:dyDescent="0.15">
      <c r="A150" s="1">
        <v>1989</v>
      </c>
      <c r="B150" s="10">
        <f>(K52*($E52/365))+(K53*($E53/365))</f>
        <v>0</v>
      </c>
      <c r="C150" s="10">
        <f>(L52*($E52/365))+(L53*($E53/365))</f>
        <v>100</v>
      </c>
      <c r="D150" s="10">
        <f>(M52*($E52/365))+(M53*($E53/365))</f>
        <v>0</v>
      </c>
      <c r="E150" s="264">
        <f t="shared" si="36"/>
        <v>100</v>
      </c>
      <c r="F150" s="265"/>
      <c r="G150" s="1">
        <v>1989</v>
      </c>
      <c r="H150" s="392">
        <f>(O52/$R52*100*($E52/365))+(O53/$R53*100*($E53/365))</f>
        <v>0</v>
      </c>
      <c r="I150" s="392"/>
      <c r="J150" s="392">
        <f>(P52/$R52*100*($E52/365))+(P53/$R53*100*($E53/365))</f>
        <v>100</v>
      </c>
      <c r="K150" s="392"/>
      <c r="L150" s="392">
        <f>(Q52/$R52*100*($E52/365))+(Q53/$R53*100*($E53/365))</f>
        <v>0</v>
      </c>
      <c r="M150" s="392"/>
      <c r="N150" s="413">
        <f t="shared" si="37"/>
        <v>100</v>
      </c>
      <c r="O150" s="413"/>
      <c r="P150" s="265"/>
      <c r="Q150" s="265"/>
      <c r="R150" s="1">
        <v>1989</v>
      </c>
      <c r="S150" s="5">
        <f>(O52*($E52/365))+(O53*($E53/365))</f>
        <v>0</v>
      </c>
      <c r="T150" s="5">
        <f>(P52*($E52/365))+(P53*($E53/365))</f>
        <v>50.7</v>
      </c>
      <c r="U150" s="5">
        <f>(Q52*($E52/365))+(Q53*($E53/365))</f>
        <v>0</v>
      </c>
      <c r="V150" s="5"/>
      <c r="W150" s="5">
        <f t="shared" si="38"/>
        <v>50.7</v>
      </c>
    </row>
    <row r="151" spans="1:23" x14ac:dyDescent="0.15">
      <c r="A151" s="1">
        <v>1990</v>
      </c>
      <c r="B151" s="10">
        <f>(K54*($E54/365))+(K55*($E55/365))</f>
        <v>0</v>
      </c>
      <c r="C151" s="10">
        <f>(L54*($E54/365))+(L55*($E55/365))</f>
        <v>100</v>
      </c>
      <c r="D151" s="10">
        <f>(M54*($E54/365))+(M55*($E55/365))</f>
        <v>0</v>
      </c>
      <c r="E151" s="264">
        <f t="shared" si="36"/>
        <v>100</v>
      </c>
      <c r="F151" s="265"/>
      <c r="G151" s="1">
        <v>1990</v>
      </c>
      <c r="H151" s="392">
        <f>(O54/$R54*100*($E54/365))+(O55/$R55*100*($E55/365))</f>
        <v>0</v>
      </c>
      <c r="I151" s="392"/>
      <c r="J151" s="392">
        <f>(P54/$R54*100*($E54/365))+(P55/$R55*100*($E55/365))</f>
        <v>100</v>
      </c>
      <c r="K151" s="392"/>
      <c r="L151" s="392">
        <f>(Q54/$R54*100*($E54/365))+(Q55/$R55*100*($E55/365))</f>
        <v>0</v>
      </c>
      <c r="M151" s="392"/>
      <c r="N151" s="413">
        <f t="shared" ref="N151:N174" si="39">H151+J151+L151</f>
        <v>100</v>
      </c>
      <c r="O151" s="413"/>
      <c r="P151" s="265"/>
      <c r="Q151" s="265"/>
      <c r="R151" s="1">
        <v>1990</v>
      </c>
      <c r="S151" s="5">
        <f>(O54*($E54/365))+(O55*($E55/365))</f>
        <v>0</v>
      </c>
      <c r="T151" s="5">
        <f>(P54*($E54/365))+(P55*($E55/365))</f>
        <v>50.7</v>
      </c>
      <c r="U151" s="5">
        <f>(Q54*($E54/365))+(Q55*($E55/365))</f>
        <v>0</v>
      </c>
      <c r="V151" s="5"/>
      <c r="W151" s="5">
        <f t="shared" si="38"/>
        <v>50.7</v>
      </c>
    </row>
    <row r="152" spans="1:23" x14ac:dyDescent="0.15">
      <c r="A152" s="1">
        <v>1991</v>
      </c>
      <c r="B152" s="10">
        <f>(K56*($E56/365))+(K57*($E57/365))</f>
        <v>0</v>
      </c>
      <c r="C152" s="10">
        <f>(L56*($E56/365))+(L57*($E57/365))</f>
        <v>100</v>
      </c>
      <c r="D152" s="10">
        <f>(M56*($E56/365))+(M57*($E57/365))</f>
        <v>0</v>
      </c>
      <c r="E152" s="264">
        <f t="shared" si="36"/>
        <v>100</v>
      </c>
      <c r="F152" s="265"/>
      <c r="G152" s="1">
        <v>1991</v>
      </c>
      <c r="H152" s="392">
        <f>(O56/$R56*100*($E56/365))+(O57/$R57*100*($E57/365))</f>
        <v>0</v>
      </c>
      <c r="I152" s="392"/>
      <c r="J152" s="392">
        <f>(P56/$R56*100*($E56/365))+(P57/$R57*100*($E57/365))</f>
        <v>100</v>
      </c>
      <c r="K152" s="392"/>
      <c r="L152" s="392">
        <f>(Q56/$R56*100*($E56/365))+(Q57/$R57*100*($E57/365))</f>
        <v>0</v>
      </c>
      <c r="M152" s="392"/>
      <c r="N152" s="413">
        <f t="shared" si="39"/>
        <v>100</v>
      </c>
      <c r="O152" s="413"/>
      <c r="P152" s="265"/>
      <c r="Q152" s="265"/>
      <c r="R152" s="1">
        <v>1991</v>
      </c>
      <c r="S152" s="5">
        <f>(O56*($E56/365))+(O57*($E57/365))</f>
        <v>0</v>
      </c>
      <c r="T152" s="5">
        <f>(P56*($E56/365))+(P57*($E57/365))</f>
        <v>50.7</v>
      </c>
      <c r="U152" s="5">
        <f>(Q56*($E56/365))+(Q57*($E57/365))</f>
        <v>0</v>
      </c>
      <c r="V152" s="5"/>
      <c r="W152" s="5">
        <f t="shared" si="38"/>
        <v>50.7</v>
      </c>
    </row>
    <row r="153" spans="1:23" x14ac:dyDescent="0.15">
      <c r="A153" s="1">
        <v>1992</v>
      </c>
      <c r="B153" s="10">
        <f>(K58*($E58/366))+(K59*($E59/366))</f>
        <v>0</v>
      </c>
      <c r="C153" s="10">
        <f>(L58*($E58/366))+(L59*($E59/366))</f>
        <v>100</v>
      </c>
      <c r="D153" s="10">
        <f>(M58*($E58/366))+(M59*($E59/366))</f>
        <v>0</v>
      </c>
      <c r="E153" s="264">
        <f t="shared" si="36"/>
        <v>100</v>
      </c>
      <c r="F153" s="265"/>
      <c r="G153" s="1">
        <v>1992</v>
      </c>
      <c r="H153" s="392">
        <f>(O58/$R58*100*($E58/366))+(O59/$R59*100*($E59/366))</f>
        <v>0</v>
      </c>
      <c r="I153" s="392"/>
      <c r="J153" s="392">
        <f>(P58/$R58*100*($E58/366))+(P59/$R59*100*($E59/366))</f>
        <v>100</v>
      </c>
      <c r="K153" s="392"/>
      <c r="L153" s="392">
        <f>(Q58/$R58*100*($E58/366))+(Q59/$R59*100*($E59/366))</f>
        <v>0</v>
      </c>
      <c r="M153" s="392"/>
      <c r="N153" s="413">
        <f t="shared" si="39"/>
        <v>100</v>
      </c>
      <c r="O153" s="413"/>
      <c r="P153" s="265"/>
      <c r="Q153" s="265"/>
      <c r="R153" s="1">
        <v>1992</v>
      </c>
      <c r="S153" s="5">
        <f>(O58*($E58/366))+(O59*($E59/366))</f>
        <v>0</v>
      </c>
      <c r="T153" s="5">
        <f>(P58*($E58/366))+(P59*($E59/366))</f>
        <v>52.050819672131155</v>
      </c>
      <c r="U153" s="5">
        <f>(Q58*($E58/366))+(Q59*($E59/366))</f>
        <v>0</v>
      </c>
      <c r="V153" s="5"/>
      <c r="W153" s="5">
        <f t="shared" si="38"/>
        <v>52.050819672131155</v>
      </c>
    </row>
    <row r="154" spans="1:23" x14ac:dyDescent="0.15">
      <c r="A154" s="1">
        <v>1993</v>
      </c>
      <c r="B154" s="10">
        <f>(K60*($E60/365))+(K61*($E61/365))</f>
        <v>0</v>
      </c>
      <c r="C154" s="10">
        <f>(L60*($E60/365))+(L61*($E61/365))</f>
        <v>100</v>
      </c>
      <c r="D154" s="10">
        <f>(M60*($E60/365))+(M61*($E61/365))</f>
        <v>0</v>
      </c>
      <c r="E154" s="264">
        <f t="shared" si="36"/>
        <v>100</v>
      </c>
      <c r="F154" s="265"/>
      <c r="G154" s="1">
        <v>1993</v>
      </c>
      <c r="H154" s="392">
        <f>(O60/$R60*100*($E60/365))+(O61/$R61*100*($E61/365))</f>
        <v>0</v>
      </c>
      <c r="I154" s="392"/>
      <c r="J154" s="392">
        <f>(P60/$R60*100*($E60/365))+(P61/$R61*100*($E61/365))</f>
        <v>100</v>
      </c>
      <c r="K154" s="392"/>
      <c r="L154" s="392">
        <f>(Q60/$R60*100*($E60/365))+(Q61/$R61*100*($E61/365))</f>
        <v>0</v>
      </c>
      <c r="M154" s="392"/>
      <c r="N154" s="413">
        <f t="shared" si="39"/>
        <v>100</v>
      </c>
      <c r="O154" s="413"/>
      <c r="P154" s="265"/>
      <c r="Q154" s="265"/>
      <c r="R154" s="1">
        <v>1993</v>
      </c>
      <c r="S154" s="5">
        <f>(O60*($E60/365))+(O61*($E61/365))</f>
        <v>0</v>
      </c>
      <c r="T154" s="5">
        <f>(P60*($E60/365))+(P61*($E61/365))</f>
        <v>52.3</v>
      </c>
      <c r="U154" s="5">
        <f>(Q60*($E60/365))+(Q61*($E61/365))</f>
        <v>0</v>
      </c>
      <c r="V154" s="5"/>
      <c r="W154" s="5">
        <f t="shared" ref="W154:W174" si="40">S154+T154+U154</f>
        <v>52.3</v>
      </c>
    </row>
    <row r="155" spans="1:23" x14ac:dyDescent="0.15">
      <c r="A155" s="1">
        <v>1994</v>
      </c>
      <c r="B155" s="10">
        <f>(K62*($E62/365))+(K63*($E63/365))</f>
        <v>0</v>
      </c>
      <c r="C155" s="10">
        <f>(L62*($E62/365))+(L63*($E63/365))</f>
        <v>100</v>
      </c>
      <c r="D155" s="10">
        <f>(M62*($E62/365))+(M63*($E63/365))</f>
        <v>0</v>
      </c>
      <c r="E155" s="264">
        <f t="shared" si="36"/>
        <v>100</v>
      </c>
      <c r="F155" s="265"/>
      <c r="G155" s="1">
        <v>1994</v>
      </c>
      <c r="H155" s="392">
        <f>(O62/$R62*100*($E62/365))+(O63/$R63*100*($E63/365))</f>
        <v>0</v>
      </c>
      <c r="I155" s="392"/>
      <c r="J155" s="392">
        <f>(P62/$R62*100*($E62/365))+(P63/$R63*100*($E63/365))</f>
        <v>100</v>
      </c>
      <c r="K155" s="392"/>
      <c r="L155" s="392">
        <f>(Q62/$R62*100*($E62/365))+(Q63/$R63*100*($E63/365))</f>
        <v>0</v>
      </c>
      <c r="M155" s="392"/>
      <c r="N155" s="413">
        <f t="shared" si="39"/>
        <v>100</v>
      </c>
      <c r="O155" s="413"/>
      <c r="P155" s="265"/>
      <c r="Q155" s="265"/>
      <c r="R155" s="1">
        <v>1994</v>
      </c>
      <c r="S155" s="5">
        <f>(O62*($E62/365))+(O63*($E63/365))</f>
        <v>0</v>
      </c>
      <c r="T155" s="5">
        <f>(P62*($E62/365))+(P63*($E63/365))</f>
        <v>52.3</v>
      </c>
      <c r="U155" s="5">
        <f>(Q62*($E62/365))+(Q63*($E63/365))</f>
        <v>0</v>
      </c>
      <c r="V155" s="5"/>
      <c r="W155" s="5">
        <f t="shared" si="40"/>
        <v>52.3</v>
      </c>
    </row>
    <row r="156" spans="1:23" x14ac:dyDescent="0.15">
      <c r="A156" s="1">
        <v>1995</v>
      </c>
      <c r="B156" s="10">
        <f>(K64*($E64/365))+(K65*($E65/365))</f>
        <v>0</v>
      </c>
      <c r="C156" s="10">
        <f>(L64*($E64/365))+(L65*($E65/365))</f>
        <v>100</v>
      </c>
      <c r="D156" s="10">
        <f>(M64*($E64/365))+(M65*($E65/365))</f>
        <v>0</v>
      </c>
      <c r="E156" s="264">
        <f t="shared" si="36"/>
        <v>100</v>
      </c>
      <c r="F156" s="265"/>
      <c r="G156" s="1">
        <v>1995</v>
      </c>
      <c r="H156" s="392">
        <f>(O64/$R64*100*($E64/365))+(O65/$R65*100*($E65/365))</f>
        <v>0</v>
      </c>
      <c r="I156" s="392"/>
      <c r="J156" s="392">
        <f>(P64/$R64*100*($E64/365))+(P65/$R65*100*($E65/365))</f>
        <v>100</v>
      </c>
      <c r="K156" s="392"/>
      <c r="L156" s="392">
        <f>(Q64/$R64*100*($E64/365))+(Q65/$R65*100*($E65/365))</f>
        <v>0</v>
      </c>
      <c r="M156" s="392"/>
      <c r="N156" s="413">
        <f t="shared" si="39"/>
        <v>100</v>
      </c>
      <c r="O156" s="413"/>
      <c r="P156" s="265"/>
      <c r="Q156" s="265"/>
      <c r="R156" s="1">
        <v>1995</v>
      </c>
      <c r="S156" s="5">
        <f>(O64*($E64/365))+(O65*($E65/365))</f>
        <v>0</v>
      </c>
      <c r="T156" s="5">
        <f>(P64*($E64/365))+(P65*($E65/365))</f>
        <v>52.3</v>
      </c>
      <c r="U156" s="5">
        <f>(Q64*($E64/365))+(Q65*($E65/365))</f>
        <v>0</v>
      </c>
      <c r="V156" s="5"/>
      <c r="W156" s="5">
        <f t="shared" si="40"/>
        <v>52.3</v>
      </c>
    </row>
    <row r="157" spans="1:23" x14ac:dyDescent="0.15">
      <c r="A157" s="1">
        <v>1996</v>
      </c>
      <c r="B157" s="10">
        <f>(K66*($E66/366))+(K67*($E67/366))</f>
        <v>0</v>
      </c>
      <c r="C157" s="10">
        <f>(L66*($E66/366))+(L67*($E67/366))</f>
        <v>82.513661202185801</v>
      </c>
      <c r="D157" s="10">
        <f>(M66*($E66/366))+(M67*($E67/366))</f>
        <v>17.486338797814209</v>
      </c>
      <c r="E157" s="264">
        <f t="shared" si="36"/>
        <v>100.00000000000001</v>
      </c>
      <c r="F157" s="265"/>
      <c r="G157" s="1">
        <v>1996</v>
      </c>
      <c r="H157" s="392">
        <f>(O66/$R66*100*($E66/366))+(O67/$R67*100*($E67/366))</f>
        <v>0</v>
      </c>
      <c r="I157" s="392"/>
      <c r="J157" s="392">
        <f>(P66/$R66*100*($E66/366))+(P67/$R67*100*($E67/366))</f>
        <v>82.513661202185801</v>
      </c>
      <c r="K157" s="392"/>
      <c r="L157" s="392">
        <f>(Q66/$R66*100*($E66/366))+(Q67/$R67*100*($E67/366))</f>
        <v>17.486338797814209</v>
      </c>
      <c r="M157" s="392"/>
      <c r="N157" s="413">
        <f t="shared" si="39"/>
        <v>100.00000000000001</v>
      </c>
      <c r="O157" s="413"/>
      <c r="P157" s="265"/>
      <c r="Q157" s="265"/>
      <c r="R157" s="1">
        <v>1996</v>
      </c>
      <c r="S157" s="5">
        <f>(O66*($E66/366))+(O67*($E67/366))</f>
        <v>0</v>
      </c>
      <c r="T157" s="5">
        <f>(P66*($E66/366))+(P67*($E67/366))</f>
        <v>43.154644808743171</v>
      </c>
      <c r="U157" s="5">
        <f>(Q66*($E66/366))+(Q67*($E67/366))</f>
        <v>8.8655737704918032</v>
      </c>
      <c r="V157" s="5"/>
      <c r="W157" s="5">
        <f t="shared" si="40"/>
        <v>52.020218579234978</v>
      </c>
    </row>
    <row r="158" spans="1:23" x14ac:dyDescent="0.15">
      <c r="A158" s="1">
        <v>1997</v>
      </c>
      <c r="B158" s="10">
        <f>(K68*($E68/365))+(K69*($E69/365))</f>
        <v>0</v>
      </c>
      <c r="C158" s="10">
        <f>(L68*($E68/365))+(L69*($E69/365))</f>
        <v>0</v>
      </c>
      <c r="D158" s="10">
        <f>(M68*($E68/365))+(M69*($E69/365))</f>
        <v>100</v>
      </c>
      <c r="E158" s="264">
        <f t="shared" si="36"/>
        <v>100</v>
      </c>
      <c r="F158" s="265"/>
      <c r="G158" s="1">
        <v>1997</v>
      </c>
      <c r="H158" s="392">
        <f>(O68/$R68*100*($E68/365))+(O69/$R69*100*($E69/365))</f>
        <v>0</v>
      </c>
      <c r="I158" s="392"/>
      <c r="J158" s="392">
        <f>(P68/$R68*100*($E68/365))+(P69/$R69*100*($E69/365))</f>
        <v>0</v>
      </c>
      <c r="K158" s="392"/>
      <c r="L158" s="392">
        <f>(Q68/$R68*100*($E68/365))+(Q69/$R69*100*($E69/365))</f>
        <v>100</v>
      </c>
      <c r="M158" s="392"/>
      <c r="N158" s="413">
        <f t="shared" si="39"/>
        <v>100</v>
      </c>
      <c r="O158" s="413"/>
      <c r="P158" s="265"/>
      <c r="Q158" s="265"/>
      <c r="R158" s="1">
        <v>1997</v>
      </c>
      <c r="S158" s="5">
        <f>(O68*($E68/365))+(O69*($E69/365))</f>
        <v>0</v>
      </c>
      <c r="T158" s="5">
        <f>(P68*($E68/365))+(P69*($E69/365))</f>
        <v>0</v>
      </c>
      <c r="U158" s="5">
        <f>(Q68*($E68/365))+(Q69*($E69/365))</f>
        <v>50.7</v>
      </c>
      <c r="V158" s="5"/>
      <c r="W158" s="5">
        <f t="shared" si="40"/>
        <v>50.7</v>
      </c>
    </row>
    <row r="159" spans="1:23" x14ac:dyDescent="0.15">
      <c r="A159" s="1">
        <v>1998</v>
      </c>
      <c r="B159" s="10">
        <f>(K70*($E70/365))+(K71*($E71/365))</f>
        <v>0</v>
      </c>
      <c r="C159" s="10">
        <f>(L70*($E70/365))+(L71*($E71/365))</f>
        <v>31.506849315068493</v>
      </c>
      <c r="D159" s="10">
        <f>(M70*($E70/365))+(M71*($E71/365))</f>
        <v>68.493150684931507</v>
      </c>
      <c r="E159" s="264">
        <f t="shared" si="36"/>
        <v>100</v>
      </c>
      <c r="F159" s="265"/>
      <c r="G159" s="1">
        <v>1998</v>
      </c>
      <c r="H159" s="392">
        <f>(O70/$R70*100*($E70/365))+(O71/$R71*100*($E71/365))</f>
        <v>0</v>
      </c>
      <c r="I159" s="392"/>
      <c r="J159" s="392">
        <f>(P70/$R70*100*($E70/365))+(P71/$R71*100*($E71/365))</f>
        <v>31.506849315068493</v>
      </c>
      <c r="K159" s="392"/>
      <c r="L159" s="392">
        <f>(Q70/$R70*100*($E70/365))+(Q71/$R71*100*($E71/365))</f>
        <v>68.493150684931507</v>
      </c>
      <c r="M159" s="392"/>
      <c r="N159" s="413">
        <f t="shared" si="39"/>
        <v>100</v>
      </c>
      <c r="O159" s="413"/>
      <c r="P159" s="265"/>
      <c r="Q159" s="265"/>
      <c r="R159" s="1">
        <v>1998</v>
      </c>
      <c r="S159" s="5">
        <f>(O70*($E70/365))+(O71*($E71/365))</f>
        <v>0</v>
      </c>
      <c r="T159" s="5">
        <f>(P70*($E70/365))+(P71*($E71/365))</f>
        <v>16.950684931506846</v>
      </c>
      <c r="U159" s="5">
        <f>(Q70*($E70/365))+(Q71*($E71/365))</f>
        <v>34.726027397260275</v>
      </c>
      <c r="V159" s="5"/>
      <c r="W159" s="5">
        <f t="shared" si="40"/>
        <v>51.676712328767124</v>
      </c>
    </row>
    <row r="160" spans="1:23" x14ac:dyDescent="0.15">
      <c r="A160" s="1">
        <v>1999</v>
      </c>
      <c r="B160" s="10">
        <f>(K72*($E72/365))+(K73*($E73/365))</f>
        <v>0</v>
      </c>
      <c r="C160" s="10">
        <f>(L72*($E72/365))+(L73*($E73/365))</f>
        <v>100</v>
      </c>
      <c r="D160" s="10">
        <f>(M72*($E72/365))+(M73*($E73/365))</f>
        <v>0</v>
      </c>
      <c r="E160" s="264">
        <f t="shared" si="36"/>
        <v>100</v>
      </c>
      <c r="F160" s="265"/>
      <c r="G160" s="1">
        <v>1999</v>
      </c>
      <c r="H160" s="392">
        <f>(O72/$R72*100*($E72/365))+(O73/$R73*100*($E73/365))</f>
        <v>0</v>
      </c>
      <c r="I160" s="392"/>
      <c r="J160" s="392">
        <f>(P72/$R72*100*($E72/365))+(P73/$R73*100*($E73/365))</f>
        <v>100</v>
      </c>
      <c r="K160" s="392"/>
      <c r="L160" s="392">
        <f>(Q72/$R72*100*($E72/365))+(Q73/$R73*100*($E73/365))</f>
        <v>0</v>
      </c>
      <c r="M160" s="392"/>
      <c r="N160" s="413">
        <f t="shared" si="39"/>
        <v>100</v>
      </c>
      <c r="O160" s="413"/>
      <c r="P160" s="265"/>
      <c r="Q160" s="265"/>
      <c r="R160" s="1">
        <v>1999</v>
      </c>
      <c r="S160" s="5">
        <f>(O72*($E72/365))+(O73*($E73/365))</f>
        <v>0</v>
      </c>
      <c r="T160" s="5">
        <f>(P72*($E72/365))+(P73*($E73/365))</f>
        <v>53.8</v>
      </c>
      <c r="U160" s="5">
        <f>(Q72*($E72/365))+(Q73*($E73/365))</f>
        <v>0</v>
      </c>
      <c r="V160" s="5"/>
      <c r="W160" s="5">
        <f t="shared" si="40"/>
        <v>53.8</v>
      </c>
    </row>
    <row r="161" spans="1:23" x14ac:dyDescent="0.15">
      <c r="A161" s="1">
        <v>2000</v>
      </c>
      <c r="B161" s="10">
        <f>(K74*($E74/366))+(K75*($E75/366))</f>
        <v>0</v>
      </c>
      <c r="C161" s="10">
        <f>(L74*($E74/366))+(L75*($E75/366))</f>
        <v>100</v>
      </c>
      <c r="D161" s="10">
        <f>(M74*($E74/366))+(M75*($E75/366))</f>
        <v>0</v>
      </c>
      <c r="E161" s="264">
        <f t="shared" si="36"/>
        <v>100</v>
      </c>
      <c r="F161" s="265"/>
      <c r="G161" s="1">
        <v>2000</v>
      </c>
      <c r="H161" s="392">
        <f>(O74/$R74*100*($E74/366))+(O75/$R75*100*($E75/366))</f>
        <v>0</v>
      </c>
      <c r="I161" s="392"/>
      <c r="J161" s="392">
        <f>(P74/$R74*100*($E74/366))+(P75/$R75*100*($E75/366))</f>
        <v>100</v>
      </c>
      <c r="K161" s="392"/>
      <c r="L161" s="392">
        <f>(Q74/$R74*100*($E74/366))+(Q75/$R75*100*($E75/366))</f>
        <v>0</v>
      </c>
      <c r="M161" s="392"/>
      <c r="N161" s="413">
        <f t="shared" si="39"/>
        <v>100</v>
      </c>
      <c r="O161" s="413"/>
      <c r="P161" s="265"/>
      <c r="Q161" s="265"/>
      <c r="R161" s="1">
        <v>2000</v>
      </c>
      <c r="S161" s="5">
        <f>(O74*($E74/366))+(O75*($E75/366))</f>
        <v>0</v>
      </c>
      <c r="T161" s="5">
        <f>(P74*($E74/366))+(P75*($E75/366))</f>
        <v>53.8</v>
      </c>
      <c r="U161" s="5">
        <f>(Q74*($E74/366))+(Q75*($E75/366))</f>
        <v>0</v>
      </c>
      <c r="V161" s="5"/>
      <c r="W161" s="5">
        <f t="shared" si="40"/>
        <v>53.8</v>
      </c>
    </row>
    <row r="162" spans="1:23" x14ac:dyDescent="0.15">
      <c r="A162" s="1">
        <v>2001</v>
      </c>
      <c r="B162" s="10">
        <f>(K76*($E76/365))+(K77*($E77/365))</f>
        <v>0</v>
      </c>
      <c r="C162" s="10">
        <f>(L76*($E76/365))+(L77*($E77/365))</f>
        <v>100</v>
      </c>
      <c r="D162" s="10">
        <f>(M76*($E76/365))+(M77*($E77/365))</f>
        <v>0</v>
      </c>
      <c r="E162" s="264">
        <f t="shared" si="36"/>
        <v>100</v>
      </c>
      <c r="F162" s="265"/>
      <c r="G162" s="1">
        <v>2001</v>
      </c>
      <c r="H162" s="392">
        <f>(O76/$R76*100*($E76/365))+(O77/$R77*100*($E77/365))</f>
        <v>0</v>
      </c>
      <c r="I162" s="392"/>
      <c r="J162" s="392">
        <f>(P76/$R76*100*($E76/365))+(P77/$R77*100*($E77/365))</f>
        <v>100</v>
      </c>
      <c r="K162" s="392"/>
      <c r="L162" s="392">
        <f>(Q76/$R76*100*($E76/365))+(Q77/$R77*100*($E77/365))</f>
        <v>0</v>
      </c>
      <c r="M162" s="392"/>
      <c r="N162" s="413">
        <f t="shared" si="39"/>
        <v>100</v>
      </c>
      <c r="O162" s="413"/>
      <c r="P162" s="265"/>
      <c r="Q162" s="265"/>
      <c r="R162" s="1">
        <v>2001</v>
      </c>
      <c r="S162" s="5">
        <f>(O76*($E76/365))+(O77*($E77/365))</f>
        <v>0</v>
      </c>
      <c r="T162" s="5">
        <f>(P76*($E76/365))+(P77*($E77/365))</f>
        <v>53.8</v>
      </c>
      <c r="U162" s="5">
        <f>(Q76*($E76/365))+(Q77*($E77/365))</f>
        <v>0</v>
      </c>
      <c r="V162" s="5"/>
      <c r="W162" s="5">
        <f t="shared" si="40"/>
        <v>53.8</v>
      </c>
    </row>
    <row r="163" spans="1:23" x14ac:dyDescent="0.15">
      <c r="A163" s="1">
        <v>2002</v>
      </c>
      <c r="B163" s="10">
        <f>(K78*($E78/365))+(K79*($E79/365))</f>
        <v>0</v>
      </c>
      <c r="C163" s="10">
        <f>(L78*($E78/365))+(L79*($E79/365))</f>
        <v>100</v>
      </c>
      <c r="D163" s="10">
        <f>(M78*($E78/365))+(M79*($E79/365))</f>
        <v>0</v>
      </c>
      <c r="E163" s="264">
        <f t="shared" si="36"/>
        <v>100</v>
      </c>
      <c r="F163" s="265"/>
      <c r="G163" s="1">
        <v>2002</v>
      </c>
      <c r="H163" s="392">
        <f>(O78/$R78*100*($E78/365))+(O79/$R79*100*($E79/365))</f>
        <v>0</v>
      </c>
      <c r="I163" s="392"/>
      <c r="J163" s="392">
        <f>(P78/$R78*100*($E78/365))+(P79/$R79*100*($E79/365))</f>
        <v>100</v>
      </c>
      <c r="K163" s="392"/>
      <c r="L163" s="392">
        <f>(Q78/$R78*100*($E78/365))+(Q79/$R79*100*($E79/365))</f>
        <v>0</v>
      </c>
      <c r="M163" s="392"/>
      <c r="N163" s="413">
        <f t="shared" si="39"/>
        <v>100</v>
      </c>
      <c r="O163" s="413"/>
      <c r="P163" s="265"/>
      <c r="Q163" s="265"/>
      <c r="R163" s="1">
        <v>2002</v>
      </c>
      <c r="S163" s="5">
        <f>(O78*($E78/365))+(O79*($E79/365))</f>
        <v>0</v>
      </c>
      <c r="T163" s="5">
        <f>(P78*($E78/365))+(P79*($E79/365))</f>
        <v>53.8</v>
      </c>
      <c r="U163" s="5">
        <f>(Q78*($E78/365))+(Q79*($E79/365))</f>
        <v>0</v>
      </c>
      <c r="V163" s="5"/>
      <c r="W163" s="5">
        <f t="shared" si="40"/>
        <v>53.8</v>
      </c>
    </row>
    <row r="164" spans="1:23" x14ac:dyDescent="0.15">
      <c r="A164" s="1">
        <v>2003</v>
      </c>
      <c r="B164" s="10">
        <f>(K80*($E80/365))+(K81*($E81/365))</f>
        <v>0</v>
      </c>
      <c r="C164" s="10">
        <f>(L80*($E80/365))+(L81*($E81/365))</f>
        <v>100</v>
      </c>
      <c r="D164" s="10">
        <f>(M80*($E80/365))+(M81*($E81/365))</f>
        <v>0</v>
      </c>
      <c r="E164" s="264">
        <f t="shared" si="36"/>
        <v>100</v>
      </c>
      <c r="F164" s="265"/>
      <c r="G164" s="1">
        <v>2003</v>
      </c>
      <c r="H164" s="392">
        <f>(O80/$R80*100*($E80/365))+(O81/$R81*100*($E81/365))</f>
        <v>0</v>
      </c>
      <c r="I164" s="392"/>
      <c r="J164" s="392">
        <f>(P80/$R80*100*($E80/365))+(P81/$R81*100*($E81/365))</f>
        <v>100</v>
      </c>
      <c r="K164" s="392"/>
      <c r="L164" s="392">
        <f>(Q80/$R80*100*($E80/365))+(Q81/$R81*100*($E81/365))</f>
        <v>0</v>
      </c>
      <c r="M164" s="392"/>
      <c r="N164" s="413">
        <f t="shared" si="39"/>
        <v>100</v>
      </c>
      <c r="O164" s="413"/>
      <c r="P164" s="265"/>
      <c r="Q164" s="265"/>
      <c r="R164" s="1">
        <v>2003</v>
      </c>
      <c r="S164" s="5">
        <f>(O80*($E80/365))+(O81*($E81/365))</f>
        <v>0</v>
      </c>
      <c r="T164" s="5">
        <f>(P80*($E80/365))+(P81*($E81/365))</f>
        <v>53.8</v>
      </c>
      <c r="U164" s="5">
        <f>(Q80*($E80/365))+(Q81*($E81/365))</f>
        <v>0</v>
      </c>
      <c r="V164" s="5"/>
      <c r="W164" s="5">
        <f t="shared" si="40"/>
        <v>53.8</v>
      </c>
    </row>
    <row r="165" spans="1:23" x14ac:dyDescent="0.15">
      <c r="A165" s="1">
        <v>2004</v>
      </c>
      <c r="B165" s="10">
        <f>(K82*($E82/366))+(K83*($E83/366))</f>
        <v>0</v>
      </c>
      <c r="C165" s="10">
        <f>(L82*($E82/366))+(L83*($E83/366))</f>
        <v>100</v>
      </c>
      <c r="D165" s="10">
        <f>(M82*($E82/366))+(M83*($E83/366))</f>
        <v>0</v>
      </c>
      <c r="E165" s="264">
        <f t="shared" si="36"/>
        <v>100</v>
      </c>
      <c r="F165" s="265"/>
      <c r="G165" s="1">
        <v>2004</v>
      </c>
      <c r="H165" s="392">
        <f>(O82/$R82*100*($E82/366))+(O83/$R83*100*($E83/366))</f>
        <v>0</v>
      </c>
      <c r="I165" s="392"/>
      <c r="J165" s="392">
        <f>(P82/$R82*100*($E82/366))+(P83/$R83*100*($E83/366))</f>
        <v>100</v>
      </c>
      <c r="K165" s="392"/>
      <c r="L165" s="392">
        <f>(Q82/$R82*100*($E82/366))+(Q83/$R83*100*($E83/366))</f>
        <v>0</v>
      </c>
      <c r="M165" s="392"/>
      <c r="N165" s="413">
        <f t="shared" si="39"/>
        <v>100</v>
      </c>
      <c r="O165" s="413"/>
      <c r="P165" s="265"/>
      <c r="Q165" s="265"/>
      <c r="R165" s="1">
        <v>2004</v>
      </c>
      <c r="S165" s="5">
        <f>(O82*($E82/366))+(O83*($E83/366))</f>
        <v>0</v>
      </c>
      <c r="T165" s="5">
        <f>(P82*($E82/366))+(P83*($E83/366))</f>
        <v>53.8</v>
      </c>
      <c r="U165" s="5">
        <f>(Q82*($E82/366))+(Q83*($E83/366))</f>
        <v>0</v>
      </c>
      <c r="V165" s="5"/>
      <c r="W165" s="5">
        <f t="shared" si="40"/>
        <v>53.8</v>
      </c>
    </row>
    <row r="166" spans="1:23" x14ac:dyDescent="0.15">
      <c r="A166" s="1">
        <v>2005</v>
      </c>
      <c r="B166" s="10">
        <f>(K84*($E84/365))+(K85*($E85/365))</f>
        <v>0</v>
      </c>
      <c r="C166" s="10">
        <f>(L84*($E84/365))+(L85*($E85/365))</f>
        <v>100</v>
      </c>
      <c r="D166" s="10">
        <f>(M84*($E84/365))+(M85*($E85/365))</f>
        <v>0</v>
      </c>
      <c r="E166" s="264">
        <f t="shared" si="36"/>
        <v>100</v>
      </c>
      <c r="F166" s="265"/>
      <c r="G166" s="1">
        <v>2005</v>
      </c>
      <c r="H166" s="392">
        <f>(O84/$R84*100*($E84/365))+(O85/$R85*100*($E85/365))</f>
        <v>0</v>
      </c>
      <c r="I166" s="392"/>
      <c r="J166" s="392">
        <f>(P84/$R84*100*($E84/365))+(P85/$R85*100*($E85/365))</f>
        <v>100</v>
      </c>
      <c r="K166" s="392"/>
      <c r="L166" s="392">
        <f>(Q84/$R84*100*($E84/365))+(Q85/$R85*100*($E85/365))</f>
        <v>0</v>
      </c>
      <c r="M166" s="392"/>
      <c r="N166" s="413">
        <f t="shared" si="39"/>
        <v>100</v>
      </c>
      <c r="O166" s="413"/>
      <c r="P166" s="265"/>
      <c r="Q166" s="265"/>
      <c r="R166" s="1">
        <v>2005</v>
      </c>
      <c r="S166" s="5">
        <f>(O84*($E84/365))+(O85*($E85/365))</f>
        <v>0</v>
      </c>
      <c r="T166" s="5">
        <f>(P84*($E84/365))+(P85*($E85/365))</f>
        <v>53.8</v>
      </c>
      <c r="U166" s="5">
        <f>(Q84*($E84/365))+(Q85*($E85/365))</f>
        <v>0</v>
      </c>
      <c r="V166" s="5"/>
      <c r="W166" s="5">
        <f t="shared" si="40"/>
        <v>53.8</v>
      </c>
    </row>
    <row r="167" spans="1:23" x14ac:dyDescent="0.15">
      <c r="A167" s="1">
        <v>2006</v>
      </c>
      <c r="B167" s="10">
        <f>(K86*($E86/365))+(K87*($E87/365))</f>
        <v>0</v>
      </c>
      <c r="C167" s="10">
        <f>(L86*($E86/365))+(L87*($E87/365))</f>
        <v>100</v>
      </c>
      <c r="D167" s="10">
        <f>(M86*($E86/365))+(M87*($E87/365))</f>
        <v>0</v>
      </c>
      <c r="E167" s="264">
        <f t="shared" si="36"/>
        <v>100</v>
      </c>
      <c r="F167" s="265"/>
      <c r="G167" s="1">
        <v>2006</v>
      </c>
      <c r="H167" s="392">
        <f>(O86/$R86*100*($E86/365))+(O87/$R87*100*($E87/365))</f>
        <v>0</v>
      </c>
      <c r="I167" s="392"/>
      <c r="J167" s="392">
        <f>(P86/$R86*100*($E86/365))+(P87/$R87*100*($E87/365))</f>
        <v>100</v>
      </c>
      <c r="K167" s="392"/>
      <c r="L167" s="392">
        <f>(Q86/$R86*100*($E86/365))+(Q87/$R87*100*($E87/365))</f>
        <v>0</v>
      </c>
      <c r="M167" s="392"/>
      <c r="N167" s="413">
        <f t="shared" si="39"/>
        <v>100</v>
      </c>
      <c r="O167" s="413"/>
      <c r="P167" s="265"/>
      <c r="Q167" s="265"/>
      <c r="R167" s="1">
        <v>2006</v>
      </c>
      <c r="S167" s="5">
        <f>(O86*($E86/365))+(O87*($E87/365))</f>
        <v>0</v>
      </c>
      <c r="T167" s="5">
        <f>(P86*($E86/365))+(P87*($E87/365))</f>
        <v>53.8</v>
      </c>
      <c r="U167" s="5">
        <f>(Q86*($E86/365))+(Q87*($E87/365))</f>
        <v>0</v>
      </c>
      <c r="V167" s="5"/>
      <c r="W167" s="5">
        <f t="shared" si="40"/>
        <v>53.8</v>
      </c>
    </row>
    <row r="168" spans="1:23" x14ac:dyDescent="0.15">
      <c r="A168" s="1">
        <v>2007</v>
      </c>
      <c r="B168" s="10">
        <f>(K88*($E88/365))+(K89*($E89/365))</f>
        <v>0</v>
      </c>
      <c r="C168" s="10">
        <f>(L88*($E88/365))+(L89*($E89/365))</f>
        <v>100</v>
      </c>
      <c r="D168" s="10">
        <f>(M88*($E88/365))+(M89*($E89/365))</f>
        <v>0</v>
      </c>
      <c r="E168" s="264">
        <f t="shared" si="36"/>
        <v>100</v>
      </c>
      <c r="F168" s="265"/>
      <c r="G168" s="1">
        <v>2007</v>
      </c>
      <c r="H168" s="392">
        <f>(O88/$R88*100*($E88/365))+(O89/$R89*100*($E89/365))</f>
        <v>0</v>
      </c>
      <c r="I168" s="392"/>
      <c r="J168" s="392">
        <f>(P88/$R88*100*($E88/365))+(P89/$R89*100*($E89/365))</f>
        <v>100</v>
      </c>
      <c r="K168" s="392"/>
      <c r="L168" s="392">
        <f>(Q88/$R88*100*($E88/365))+(Q89/$R89*100*($E89/365))</f>
        <v>0</v>
      </c>
      <c r="M168" s="392"/>
      <c r="N168" s="413">
        <f t="shared" si="39"/>
        <v>100</v>
      </c>
      <c r="O168" s="413"/>
      <c r="P168" s="265"/>
      <c r="Q168" s="265"/>
      <c r="R168" s="1">
        <v>2007</v>
      </c>
      <c r="S168" s="5">
        <f>(O88*($E88/365))+(O89*($E89/365))</f>
        <v>0</v>
      </c>
      <c r="T168" s="5">
        <f>(P88*($E88/365))+(P89*($E89/365))</f>
        <v>55.8</v>
      </c>
      <c r="U168" s="5">
        <f>(Q88*($E88/365))+(Q89*($E89/365))</f>
        <v>0</v>
      </c>
      <c r="V168" s="5"/>
      <c r="W168" s="5">
        <f t="shared" si="40"/>
        <v>55.8</v>
      </c>
    </row>
    <row r="169" spans="1:23" x14ac:dyDescent="0.15">
      <c r="A169" s="1">
        <v>2008</v>
      </c>
      <c r="B169" s="10">
        <f>(K90*($E90/366))+(K91*($E91/366))</f>
        <v>0</v>
      </c>
      <c r="C169" s="10">
        <f>(L90*($E90/366))+(L91*($E91/366))</f>
        <v>100</v>
      </c>
      <c r="D169" s="10">
        <f>(M90*($E90/366))+(M91*($E91/366))</f>
        <v>0</v>
      </c>
      <c r="E169" s="264">
        <f t="shared" si="36"/>
        <v>100</v>
      </c>
      <c r="F169" s="265"/>
      <c r="G169" s="1">
        <v>2008</v>
      </c>
      <c r="H169" s="392">
        <f>(O90/$R90*100*($E90/366))+(O91/$R91*100*($E91/366))</f>
        <v>0</v>
      </c>
      <c r="I169" s="392"/>
      <c r="J169" s="392">
        <f>(P90/$R90*100*($E90/366))+(P91/$R91*100*($E91/366))</f>
        <v>100</v>
      </c>
      <c r="K169" s="392"/>
      <c r="L169" s="392">
        <f>(Q90/$R90*100*($E90/366))+(Q91/$R91*100*($E91/366))</f>
        <v>0</v>
      </c>
      <c r="M169" s="392"/>
      <c r="N169" s="413">
        <f t="shared" si="39"/>
        <v>100</v>
      </c>
      <c r="O169" s="413"/>
      <c r="P169" s="265"/>
      <c r="Q169" s="265"/>
      <c r="R169" s="1">
        <v>2008</v>
      </c>
      <c r="S169" s="5">
        <f>(O90*($E90/366))+(O91*($E91/366))</f>
        <v>0</v>
      </c>
      <c r="T169" s="5">
        <f>(P90*($E90/366))+(P91*($E91/366))</f>
        <v>51.705464480874312</v>
      </c>
      <c r="U169" s="5">
        <f>(Q90*($E90/366))+(Q91*($E91/366))</f>
        <v>0</v>
      </c>
      <c r="V169" s="5"/>
      <c r="W169" s="5">
        <f t="shared" si="40"/>
        <v>51.705464480874312</v>
      </c>
    </row>
    <row r="170" spans="1:23" x14ac:dyDescent="0.15">
      <c r="A170" s="1">
        <v>2009</v>
      </c>
      <c r="B170" s="10">
        <f>(K92*($E92/365))+(K93*($E93/365))</f>
        <v>0</v>
      </c>
      <c r="C170" s="10">
        <f>(L92*($E92/365))+(L93*($E93/365))</f>
        <v>100</v>
      </c>
      <c r="D170" s="10">
        <f>(M92*($E92/365))+(M93*($E93/365))</f>
        <v>0</v>
      </c>
      <c r="E170" s="264">
        <f t="shared" si="36"/>
        <v>100</v>
      </c>
      <c r="F170" s="265"/>
      <c r="G170" s="1">
        <v>2009</v>
      </c>
      <c r="H170" s="392">
        <f>(O92/$R92*100*($E92/365))+(O93/$R93*100*($E93/365))</f>
        <v>0</v>
      </c>
      <c r="I170" s="392"/>
      <c r="J170" s="392">
        <f>(P92/$R92*100*($E92/365))+(P93/$R93*100*($E93/365))</f>
        <v>100</v>
      </c>
      <c r="K170" s="392"/>
      <c r="L170" s="392">
        <f>(Q92/$R92*100*($E92/365))+(Q93/$R93*100*($E93/365))</f>
        <v>0</v>
      </c>
      <c r="M170" s="392"/>
      <c r="N170" s="413">
        <f t="shared" si="39"/>
        <v>100</v>
      </c>
      <c r="O170" s="413"/>
      <c r="P170" s="265"/>
      <c r="Q170" s="265"/>
      <c r="R170" s="1">
        <v>2009</v>
      </c>
      <c r="S170" s="5">
        <f>(O92*($E92/365))+(O93*($E93/365))</f>
        <v>0</v>
      </c>
      <c r="T170" s="5">
        <f>(P92*($E92/365))+(P93*($E93/365))</f>
        <v>50.72</v>
      </c>
      <c r="U170" s="5">
        <f>(Q92*($E92/365))+(Q93*($E93/365))</f>
        <v>0</v>
      </c>
      <c r="V170" s="5"/>
      <c r="W170" s="5">
        <f t="shared" si="40"/>
        <v>50.72</v>
      </c>
    </row>
    <row r="171" spans="1:23" x14ac:dyDescent="0.15">
      <c r="A171" s="1">
        <v>2010</v>
      </c>
      <c r="B171" s="10">
        <f>(K94*($E94/365))+(K95*($E95/365))</f>
        <v>0</v>
      </c>
      <c r="C171" s="10">
        <f>(L94*($E94/365))+(L95*($E95/365))</f>
        <v>100</v>
      </c>
      <c r="D171" s="10">
        <f>(M94*($E94/365))+(M95*($E95/365))</f>
        <v>0</v>
      </c>
      <c r="E171" s="264">
        <f t="shared" si="36"/>
        <v>100</v>
      </c>
      <c r="F171" s="265"/>
      <c r="G171" s="1">
        <v>2010</v>
      </c>
      <c r="H171" s="392">
        <f>(O94/$R94*100*($E94/365))+(O95/$R95*100*($E95/365))</f>
        <v>0</v>
      </c>
      <c r="I171" s="392"/>
      <c r="J171" s="392">
        <f>(P94/$R94*100*($E94/365))+(P95/$R95*100*($E95/365))</f>
        <v>100</v>
      </c>
      <c r="K171" s="392"/>
      <c r="L171" s="392">
        <f>(Q94/$R94*100*($E94/365))+(Q95/$R95*100*($E95/365))</f>
        <v>0</v>
      </c>
      <c r="M171" s="392"/>
      <c r="N171" s="413">
        <f t="shared" si="39"/>
        <v>100</v>
      </c>
      <c r="O171" s="413"/>
      <c r="P171" s="265"/>
      <c r="Q171" s="265"/>
      <c r="R171" s="1">
        <v>2010</v>
      </c>
      <c r="S171" s="5">
        <f>(O94*($E94/365))+(O95*($E95/365))</f>
        <v>0</v>
      </c>
      <c r="T171" s="5">
        <f>(P94*($E94/365))+(P95*($E95/365))</f>
        <v>50.72</v>
      </c>
      <c r="U171" s="5">
        <f>(Q94*($E94/365))+(Q95*($E95/365))</f>
        <v>0</v>
      </c>
      <c r="V171" s="5"/>
      <c r="W171" s="5">
        <f t="shared" si="40"/>
        <v>50.72</v>
      </c>
    </row>
    <row r="172" spans="1:23" x14ac:dyDescent="0.15">
      <c r="A172" s="1">
        <v>2011</v>
      </c>
      <c r="B172" s="10">
        <f>(K96*($E96/365))+(K97*($E97/365))</f>
        <v>0</v>
      </c>
      <c r="C172" s="10">
        <f>(L96*($E96/365))+(L97*($E97/365))</f>
        <v>100</v>
      </c>
      <c r="D172" s="10">
        <f>(M96*($E96/365))+(M97*($E97/365))</f>
        <v>0</v>
      </c>
      <c r="E172" s="264">
        <f t="shared" si="36"/>
        <v>100</v>
      </c>
      <c r="F172" s="265"/>
      <c r="G172" s="1">
        <v>2011</v>
      </c>
      <c r="H172" s="392">
        <f>(O96/$R96*100*($E96/365))+(O97/$R97*100*($E97/365))</f>
        <v>0</v>
      </c>
      <c r="I172" s="392"/>
      <c r="J172" s="392">
        <f>(P96/$R96*100*($E96/365))+(P97/$R97*100*($E97/365))</f>
        <v>100</v>
      </c>
      <c r="K172" s="392"/>
      <c r="L172" s="392">
        <f>(Q96/$R96*100*($E96/365))+(Q97/$R97*100*($E97/365))</f>
        <v>0</v>
      </c>
      <c r="M172" s="392"/>
      <c r="N172" s="413">
        <f t="shared" si="39"/>
        <v>100</v>
      </c>
      <c r="O172" s="413"/>
      <c r="P172" s="265"/>
      <c r="Q172" s="265"/>
      <c r="R172" s="1">
        <v>2011</v>
      </c>
      <c r="S172" s="5">
        <f>(O96*($E96/365))+(O97*($E97/365))</f>
        <v>0</v>
      </c>
      <c r="T172" s="5">
        <f>(P96*($E96/365))+(P97*($E97/365))</f>
        <v>50.72</v>
      </c>
      <c r="U172" s="5">
        <f>(Q96*($E96/365))+(Q97*($E97/365))</f>
        <v>0</v>
      </c>
      <c r="V172" s="5"/>
      <c r="W172" s="5">
        <f t="shared" si="40"/>
        <v>50.72</v>
      </c>
    </row>
    <row r="173" spans="1:23" x14ac:dyDescent="0.15">
      <c r="A173" s="1">
        <v>2012</v>
      </c>
      <c r="B173" s="10">
        <f>(K98*($E98/366))+(K99*($E99/366))</f>
        <v>0</v>
      </c>
      <c r="C173" s="10">
        <f>(L98*($E98/366))+(L99*($E99/366))</f>
        <v>100</v>
      </c>
      <c r="D173" s="10">
        <f>(M98*($E98/366))+(M99*($E99/366))</f>
        <v>0</v>
      </c>
      <c r="E173" s="264">
        <f t="shared" si="36"/>
        <v>100</v>
      </c>
      <c r="F173" s="265"/>
      <c r="G173" s="1">
        <v>2012</v>
      </c>
      <c r="H173" s="392">
        <f>(O98/$R98*100*($E98/366))+(O99/$R99*100*($E99/366))</f>
        <v>0</v>
      </c>
      <c r="I173" s="392"/>
      <c r="J173" s="392">
        <f>(P98/$R98*100*($E98/366))+(P99/$R99*100*($E99/366))</f>
        <v>100</v>
      </c>
      <c r="K173" s="392"/>
      <c r="L173" s="392">
        <f>(Q98/$R98*100*($E98/366))+(Q99/$R99*100*($E99/366))</f>
        <v>0</v>
      </c>
      <c r="M173" s="392"/>
      <c r="N173" s="413">
        <f t="shared" si="39"/>
        <v>100</v>
      </c>
      <c r="O173" s="413"/>
      <c r="P173" s="265"/>
      <c r="Q173" s="265"/>
      <c r="R173" s="1">
        <v>2012</v>
      </c>
      <c r="S173" s="5">
        <f>(O98*($E98/366))+(O99*($E99/366))</f>
        <v>0</v>
      </c>
      <c r="T173" s="5">
        <f>(P98*($E98/366))+(P99*($E99/366))</f>
        <v>50.72</v>
      </c>
      <c r="U173" s="5">
        <f>(Q98*($E98/366))+(Q99*($E99/366))</f>
        <v>0</v>
      </c>
      <c r="V173" s="5"/>
      <c r="W173" s="5">
        <f t="shared" si="40"/>
        <v>50.72</v>
      </c>
    </row>
    <row r="174" spans="1:23" x14ac:dyDescent="0.15">
      <c r="A174" s="1">
        <v>2013</v>
      </c>
      <c r="B174" s="10">
        <f>(K100*($E100/365))+(K101*($E101/365))</f>
        <v>0</v>
      </c>
      <c r="C174" s="10">
        <f>(L100*($E100/365))+(L101*($E101/365))</f>
        <v>19.452054794520549</v>
      </c>
      <c r="D174" s="10">
        <f>(M100*($E100/365))+(M101*($E101/365))</f>
        <v>80.547945205479451</v>
      </c>
      <c r="E174" s="264">
        <f t="shared" si="36"/>
        <v>100</v>
      </c>
      <c r="F174" s="265"/>
      <c r="G174" s="1">
        <v>2013</v>
      </c>
      <c r="H174" s="392">
        <f>(O100/$R100*100*($E100/365))+(O101/$R101*100*($E101/365))</f>
        <v>0</v>
      </c>
      <c r="I174" s="392"/>
      <c r="J174" s="392">
        <f>(P100/$R100*100*($E100/365))+(P101/$R101*100*($E101/365))</f>
        <v>19.452054794520549</v>
      </c>
      <c r="K174" s="392"/>
      <c r="L174" s="392">
        <f>(Q100/$R100*100*($E100/365))+(Q101/$R101*100*($E101/365))</f>
        <v>80.547945205479451</v>
      </c>
      <c r="M174" s="392"/>
      <c r="N174" s="413">
        <f t="shared" si="39"/>
        <v>100</v>
      </c>
      <c r="O174" s="413"/>
      <c r="P174" s="265"/>
      <c r="Q174" s="265"/>
      <c r="R174" s="1">
        <v>2013</v>
      </c>
      <c r="S174" s="5">
        <f>(O100*($E100/365))+(O101*($E101/365))</f>
        <v>0</v>
      </c>
      <c r="T174" s="5">
        <f>(P100*($E100/365))+(P101*($E101/365))</f>
        <v>9.8660821917808228</v>
      </c>
      <c r="U174" s="5">
        <f>(Q100*($E100/365))+(Q101*($E101/365))</f>
        <v>45.509589041095893</v>
      </c>
      <c r="V174" s="5"/>
      <c r="W174" s="5">
        <f t="shared" si="40"/>
        <v>55.375671232876712</v>
      </c>
    </row>
    <row r="175" spans="1:23" x14ac:dyDescent="0.15">
      <c r="A175" s="1">
        <v>2014</v>
      </c>
      <c r="B175" s="10">
        <f>(K102*($E102/365))+(K103*($E103/365))</f>
        <v>0</v>
      </c>
      <c r="C175" s="10">
        <f>(L102*($E102/365))+(L103*($E103/365))</f>
        <v>0</v>
      </c>
      <c r="D175" s="10">
        <f>(M102*($E102/365))+(M103*($E103/365))</f>
        <v>100</v>
      </c>
      <c r="E175" s="264">
        <f>SUM(B175:D175)</f>
        <v>100</v>
      </c>
      <c r="F175" s="265"/>
      <c r="G175" s="1">
        <v>2014</v>
      </c>
      <c r="H175" s="392">
        <f>(O102/$R102*100*($E102/365))+(O103/$R103*100*($E103/365))</f>
        <v>0</v>
      </c>
      <c r="I175" s="392"/>
      <c r="J175" s="392">
        <f>(P102/$R102*100*($E102/365))+(P103/$R103*100*($E103/365))</f>
        <v>0</v>
      </c>
      <c r="K175" s="392"/>
      <c r="L175" s="392">
        <f>(Q102/$R102*100*($E102/365))+(Q103/$R103*100*($E103/365))</f>
        <v>100</v>
      </c>
      <c r="M175" s="392"/>
      <c r="N175" s="413">
        <f>H175+J175+L175</f>
        <v>100</v>
      </c>
      <c r="O175" s="413"/>
      <c r="P175" s="265"/>
      <c r="Q175" s="265"/>
      <c r="R175" s="1">
        <v>2014</v>
      </c>
      <c r="S175" s="5">
        <f>(O102*($E102/365))+(O103*($E103/365))</f>
        <v>0</v>
      </c>
      <c r="T175" s="5">
        <f>(P102*($E102/365))+(P103*($E103/365))</f>
        <v>0</v>
      </c>
      <c r="U175" s="5">
        <f>(Q102*($E102/365))+(Q103*($E103/365))</f>
        <v>56.5</v>
      </c>
      <c r="V175" s="5"/>
      <c r="W175" s="5">
        <f>S175+T175+U175</f>
        <v>56.5</v>
      </c>
    </row>
    <row r="176" spans="1:23" x14ac:dyDescent="0.15">
      <c r="A176" s="1">
        <v>2015</v>
      </c>
      <c r="B176" s="10">
        <f>(K104*($E104/365))+(K105*($E105/365))</f>
        <v>0</v>
      </c>
      <c r="C176" s="10">
        <f>(L104*($E104/365))+(L105*($E105/365))</f>
        <v>0</v>
      </c>
      <c r="D176" s="10">
        <f>(M104*($E104/365))+(M105*($E105/365))</f>
        <v>100</v>
      </c>
      <c r="E176" s="264">
        <f>SUM(B176:D176)</f>
        <v>100</v>
      </c>
      <c r="F176" s="265"/>
      <c r="G176" s="1">
        <v>2015</v>
      </c>
      <c r="H176" s="392">
        <f>(O104/$R104*100*($E104/365))+(O105/$R105*100*($E105/365))</f>
        <v>0</v>
      </c>
      <c r="I176" s="392"/>
      <c r="J176" s="392">
        <f>(P104/$R104*100*($E104/365))+(P105/$R105*100*($E105/365))</f>
        <v>0</v>
      </c>
      <c r="K176" s="392"/>
      <c r="L176" s="392">
        <f>(Q104/$R104*100*($E104/365))+(Q105/$R105*100*($E105/365))</f>
        <v>100</v>
      </c>
      <c r="M176" s="392"/>
      <c r="N176" s="413">
        <f>H176+J176+L176</f>
        <v>100</v>
      </c>
      <c r="O176" s="413"/>
      <c r="P176" s="265"/>
      <c r="Q176" s="265"/>
      <c r="R176" s="1">
        <v>2015</v>
      </c>
      <c r="S176" s="5">
        <f>(O104*($E104/365))+(O105*($E105/365))</f>
        <v>0</v>
      </c>
      <c r="T176" s="5">
        <f>(P104*($E104/365))+(P105*($E105/365))</f>
        <v>0</v>
      </c>
      <c r="U176" s="5">
        <f>(Q104*($E104/365))+(Q105*($E105/365))</f>
        <v>56.5</v>
      </c>
      <c r="V176" s="5"/>
      <c r="W176" s="5">
        <f>S176+T176+U176</f>
        <v>56.5</v>
      </c>
    </row>
    <row r="177" spans="1:23" x14ac:dyDescent="0.15">
      <c r="A177" s="1">
        <v>2016</v>
      </c>
      <c r="B177" s="10">
        <f>(K106*($E106/366))+(K107*($E107/366))</f>
        <v>0</v>
      </c>
      <c r="C177" s="10">
        <f>(L106*($E106/366))+(L107*($E107/366))</f>
        <v>0</v>
      </c>
      <c r="D177" s="10">
        <f>(M106*($E106/366))+(M107*($E107/366))</f>
        <v>100</v>
      </c>
      <c r="E177" s="264">
        <f t="shared" ref="E177" si="41">SUM(B177:D177)</f>
        <v>100</v>
      </c>
      <c r="F177" s="265"/>
      <c r="G177" s="1">
        <v>2016</v>
      </c>
      <c r="H177" s="392">
        <f>(O106/$R106*100*($E106/366))+(O107/$R107*100*($E107/366))</f>
        <v>0</v>
      </c>
      <c r="I177" s="392"/>
      <c r="J177" s="392">
        <f>(P106/$R106*100*($E106/366))+(P107/$R107*100*($E107/366))</f>
        <v>0</v>
      </c>
      <c r="K177" s="392"/>
      <c r="L177" s="392">
        <f>(Q106/$R106*100*($E106/366))+(Q107/$R107*100*($E107/366))</f>
        <v>100</v>
      </c>
      <c r="M177" s="392"/>
      <c r="N177" s="413">
        <f t="shared" ref="N177" si="42">H177+J177+L177</f>
        <v>100</v>
      </c>
      <c r="O177" s="413"/>
      <c r="P177" s="265"/>
      <c r="Q177" s="265"/>
      <c r="R177" s="1">
        <v>2016</v>
      </c>
      <c r="S177" s="5">
        <f>(O106*($E106/366))+(O107*($E107/366))</f>
        <v>0</v>
      </c>
      <c r="T177" s="5">
        <f>(P106*($E106/366))+(P107*($E107/366))</f>
        <v>0</v>
      </c>
      <c r="U177" s="5">
        <f>(Q106*($E106/366))+(Q107*($E107/366))</f>
        <v>56.5</v>
      </c>
      <c r="V177" s="5"/>
      <c r="W177" s="5">
        <f t="shared" ref="W177" si="43">S177+T177+U177</f>
        <v>56.5</v>
      </c>
    </row>
    <row r="178" spans="1:23" x14ac:dyDescent="0.15">
      <c r="A178" s="1">
        <v>2017</v>
      </c>
      <c r="B178" s="10">
        <f>(K108*($E108/365))+(K109*($E109/365))</f>
        <v>0</v>
      </c>
      <c r="C178" s="10">
        <f>(L108*($E108/365))+(L109*($E109/365))</f>
        <v>0</v>
      </c>
      <c r="D178" s="10">
        <f>(M108*($E108/365))+(M109*($E109/365))</f>
        <v>100</v>
      </c>
      <c r="E178" s="264">
        <f t="shared" ref="E178" si="44">SUM(B178:D178)</f>
        <v>100</v>
      </c>
      <c r="F178" s="265"/>
      <c r="G178" s="1">
        <v>2017</v>
      </c>
      <c r="H178" s="392">
        <f>(O108/$R108*100*($E108/365))+(O109/$R109*100*($E109/365))</f>
        <v>0</v>
      </c>
      <c r="I178" s="392"/>
      <c r="J178" s="392">
        <f>(P108/$R108*100*($E108/365))+(P109/$R109*100*($E109/365))</f>
        <v>0</v>
      </c>
      <c r="K178" s="392"/>
      <c r="L178" s="392">
        <f>(Q108/$R108*100*($E108/365))+(Q109/$R109*100*($E109/365))</f>
        <v>100</v>
      </c>
      <c r="M178" s="392"/>
      <c r="N178" s="413">
        <f t="shared" ref="N178" si="45">H178+J178+L178</f>
        <v>100</v>
      </c>
      <c r="O178" s="413"/>
      <c r="P178" s="265"/>
      <c r="Q178" s="265"/>
      <c r="R178" s="1">
        <v>2017</v>
      </c>
      <c r="S178" s="5">
        <f>(O108*($E108/365))+(O109*($E109/365))</f>
        <v>0</v>
      </c>
      <c r="T178" s="5">
        <f>(P108*($E108/365))+(P109*($E109/365))</f>
        <v>0</v>
      </c>
      <c r="U178" s="5">
        <f>(Q108*($E108/365))+(Q109*($E109/365))</f>
        <v>55.766301369863015</v>
      </c>
      <c r="V178" s="5"/>
      <c r="W178" s="5">
        <f t="shared" ref="W178" si="46">S178+T178+U178</f>
        <v>55.766301369863015</v>
      </c>
    </row>
    <row r="179" spans="1:23" x14ac:dyDescent="0.15">
      <c r="A179" s="1">
        <v>2018</v>
      </c>
      <c r="B179" s="10">
        <f>(K110*($E110/365))+(K111*($E111/365))</f>
        <v>0</v>
      </c>
      <c r="C179" s="10">
        <f>(L110*($E110/365))+(L111*($E111/365))</f>
        <v>0</v>
      </c>
      <c r="D179" s="10">
        <f>(M110*($E110/365))+(M111*($E111/365))</f>
        <v>100</v>
      </c>
      <c r="E179" s="264">
        <f t="shared" ref="E179" si="47">SUM(B179:D179)</f>
        <v>100</v>
      </c>
      <c r="F179" s="265"/>
      <c r="G179" s="1">
        <v>2018</v>
      </c>
      <c r="H179" s="392">
        <f>(O110/$R110*100*($E110/365))+(O111/$R111*100*($E111/365))</f>
        <v>0</v>
      </c>
      <c r="I179" s="392"/>
      <c r="J179" s="392">
        <f>(P110/$R110*100*($E110/365))+(P111/$R111*100*($E111/365))</f>
        <v>0</v>
      </c>
      <c r="K179" s="392"/>
      <c r="L179" s="392">
        <f>(Q110/$R110*100*($E110/365))+(Q111/$R111*100*($E111/365))</f>
        <v>100</v>
      </c>
      <c r="M179" s="392"/>
      <c r="N179" s="413">
        <f t="shared" ref="N179" si="48">H179+J179+L179</f>
        <v>100</v>
      </c>
      <c r="O179" s="413"/>
      <c r="P179" s="265"/>
      <c r="Q179" s="265"/>
      <c r="R179" s="1">
        <v>2018</v>
      </c>
      <c r="S179" s="5">
        <f>(O110*($E110/365))+(O111*($E111/365))</f>
        <v>0</v>
      </c>
      <c r="T179" s="5">
        <f>(P110*($E110/365))+(P111*($E111/365))</f>
        <v>0</v>
      </c>
      <c r="U179" s="5">
        <f>(Q110*($E110/365))+(Q111*($E111/365))</f>
        <v>55.2</v>
      </c>
      <c r="V179" s="5"/>
      <c r="W179" s="5">
        <f t="shared" ref="W179" si="49">S179+T179+U179</f>
        <v>55.2</v>
      </c>
    </row>
    <row r="180" spans="1:23" x14ac:dyDescent="0.15">
      <c r="A180" s="1">
        <v>2019</v>
      </c>
      <c r="B180" s="10">
        <f>(K112*($E112/365))+(K113*($E113/365))</f>
        <v>0</v>
      </c>
      <c r="C180" s="10">
        <f>(L112*($E112/365))+(L113*($E113/365))</f>
        <v>0</v>
      </c>
      <c r="D180" s="10">
        <f>(M112*($E112/365))+(M113*($E113/365))</f>
        <v>100</v>
      </c>
      <c r="E180" s="264">
        <f t="shared" ref="E180:E181" si="50">SUM(B180:D180)</f>
        <v>100</v>
      </c>
      <c r="F180" s="265"/>
      <c r="G180" s="1">
        <v>2019</v>
      </c>
      <c r="H180" s="392">
        <f>(O112/$R112*100*($E112/365))+(O113/$R113*100*($E113/365))</f>
        <v>0</v>
      </c>
      <c r="I180" s="392"/>
      <c r="J180" s="392">
        <f>(P112/$R112*100*($E112/365))+(P113/$R113*100*($E113/365))</f>
        <v>0</v>
      </c>
      <c r="K180" s="392"/>
      <c r="L180" s="392">
        <f>(Q112/$R112*100*($E112/365))+(Q113/$R113*100*($E113/365))</f>
        <v>100</v>
      </c>
      <c r="M180" s="392"/>
      <c r="N180" s="413">
        <f t="shared" ref="N180" si="51">H180+J180+L180</f>
        <v>100</v>
      </c>
      <c r="O180" s="413"/>
      <c r="P180" s="265"/>
      <c r="Q180" s="265"/>
      <c r="R180" s="1">
        <v>2019</v>
      </c>
      <c r="S180" s="5">
        <f>(O112*($E112/365))+(O113*($E113/365))</f>
        <v>0</v>
      </c>
      <c r="T180" s="5">
        <f>(P112*($E112/365))+(P113*($E113/365))</f>
        <v>0</v>
      </c>
      <c r="U180" s="5">
        <f>(Q112*($E112/365))+(Q113*($E113/365))</f>
        <v>55.2</v>
      </c>
      <c r="V180" s="5"/>
      <c r="W180" s="5">
        <f t="shared" ref="W180:W181" si="52">S180+T180+U180</f>
        <v>55.2</v>
      </c>
    </row>
    <row r="181" spans="1:23" x14ac:dyDescent="0.15">
      <c r="A181" s="1">
        <v>2020</v>
      </c>
      <c r="B181" s="10">
        <f>(K114*($E114/366))+(K115*($E115/366))+(K116*($E116/366))</f>
        <v>0</v>
      </c>
      <c r="C181" s="10">
        <f>(L114*($E114/366))+(L115*($E115/366))+(L116*($E116/366))</f>
        <v>0</v>
      </c>
      <c r="D181" s="10">
        <f>(M114*($E114/366))+(M115*($E115/366))+(M116*($E116/366))</f>
        <v>100</v>
      </c>
      <c r="E181" s="264">
        <f t="shared" si="50"/>
        <v>100</v>
      </c>
      <c r="G181" s="1">
        <v>2020</v>
      </c>
      <c r="H181" s="392">
        <f>(O114/$R114*100*($E114/366))+(O115/$R115*100*($E115/366))+(O116/$R116*100*($E116/366))</f>
        <v>0</v>
      </c>
      <c r="I181" s="392"/>
      <c r="J181" s="392">
        <f>(P114/$R114*100*($E114/366))+(P115/$R115*100*($E115/366))+(P116/$R116*100*($E116/366))</f>
        <v>0</v>
      </c>
      <c r="K181" s="392"/>
      <c r="L181" s="392">
        <f>(Q114/$R114*100*($E114/366))+(Q115/$R115*100*($E115/366))+(Q116/$R116*100*($E116/366))</f>
        <v>100</v>
      </c>
      <c r="M181" s="392"/>
      <c r="N181" s="413">
        <f t="shared" ref="N181" si="53">H181+J181+L181</f>
        <v>100</v>
      </c>
      <c r="O181" s="413"/>
      <c r="R181" s="1">
        <v>2020</v>
      </c>
      <c r="S181" s="5">
        <f>(O114*($E114/366))+(O115*($E115/366))+(O116*($E116/366))</f>
        <v>0</v>
      </c>
      <c r="T181" s="5">
        <f>(P114*($E114/366))+(P115*($E115/366))+(P116*($E116/366))</f>
        <v>0</v>
      </c>
      <c r="U181" s="5">
        <f>(Q114*($E114/366))+(Q115*($E115/366))+(Q116*($E116/366))</f>
        <v>55.2</v>
      </c>
      <c r="W181" s="5">
        <f t="shared" si="52"/>
        <v>55.2</v>
      </c>
    </row>
    <row r="182" spans="1:23" x14ac:dyDescent="0.15">
      <c r="A182" s="1">
        <v>2021</v>
      </c>
      <c r="B182" s="10">
        <f>(K117*($E117/365))+(K118*($E118/365))</f>
        <v>0</v>
      </c>
      <c r="C182" s="10">
        <f>(L117*($E117/365))+(L118*($E118/365))</f>
        <v>0</v>
      </c>
      <c r="D182" s="10">
        <f>(M117*($E117/365))+(M118*($E118/365))</f>
        <v>100</v>
      </c>
      <c r="E182" s="264">
        <f t="shared" ref="E182" si="54">SUM(B182:D182)</f>
        <v>100</v>
      </c>
      <c r="G182" s="1">
        <v>2021</v>
      </c>
      <c r="H182" s="392">
        <f>(O117/$R117*100*($E117/365))+(O118/$R118*100*($E118/365))</f>
        <v>0</v>
      </c>
      <c r="I182" s="392"/>
      <c r="J182" s="392">
        <f>(P117/$R117*100*($E117/365))+(P118/$R118*100*($E118/365))</f>
        <v>0</v>
      </c>
      <c r="K182" s="392"/>
      <c r="L182" s="392">
        <f>(Q117/$R117*100*($E117/365))+(Q118/$R118*100*($E118/365))</f>
        <v>100</v>
      </c>
      <c r="M182" s="392"/>
      <c r="N182" s="413">
        <f t="shared" ref="N182" si="55">H182+J182+L182</f>
        <v>100</v>
      </c>
      <c r="O182" s="413"/>
      <c r="R182" s="1">
        <v>2021</v>
      </c>
      <c r="S182" s="5">
        <f>(O117*($E117/365))+(O118*($E118/365))</f>
        <v>0</v>
      </c>
      <c r="T182" s="5">
        <f>(P117*($E117/365))+(P118*($E118/365))</f>
        <v>0</v>
      </c>
      <c r="U182" s="5">
        <f>(Q117*($E117/365))+(Q118*($E118/365))</f>
        <v>55.2</v>
      </c>
      <c r="W182" s="5">
        <f t="shared" ref="W182" si="56">S182+T182+U182</f>
        <v>55.2</v>
      </c>
    </row>
    <row r="183" spans="1:23" x14ac:dyDescent="0.15">
      <c r="A183" s="1">
        <v>2022</v>
      </c>
      <c r="B183" s="10">
        <f>(K120*($E120/365))+(K119*($E119/365))</f>
        <v>0</v>
      </c>
      <c r="C183" s="10">
        <f>(L120*($E120/365))+(L119*($E119/365))</f>
        <v>0</v>
      </c>
      <c r="D183" s="10">
        <f>(M120*($E120/365))+(M119*($E119/365))</f>
        <v>100</v>
      </c>
      <c r="E183" s="264">
        <f t="shared" ref="E183" si="57">SUM(B183:D183)</f>
        <v>100</v>
      </c>
      <c r="G183" s="1">
        <v>2022</v>
      </c>
      <c r="H183" s="392">
        <f>(O120/$R120*100*($E120/365))+(O119/$R119*100*($E119/365))</f>
        <v>0</v>
      </c>
      <c r="I183" s="392"/>
      <c r="J183" s="392">
        <f>(P120/$R120*100*($E120/365))+(P119/$R119*100*($E119/365))</f>
        <v>0</v>
      </c>
      <c r="K183" s="392"/>
      <c r="L183" s="392">
        <f>(Q120/$R120*100*($E120/365))+(Q119/$R119*100*($E119/365))</f>
        <v>100</v>
      </c>
      <c r="M183" s="392"/>
      <c r="N183" s="413">
        <f t="shared" ref="N183" si="58">H183+J183+L183</f>
        <v>100</v>
      </c>
      <c r="O183" s="413"/>
      <c r="R183" s="1">
        <v>2022</v>
      </c>
      <c r="S183" s="5">
        <f>(O120*($E120/365))+(O119*($E119/365))</f>
        <v>0</v>
      </c>
      <c r="T183" s="5">
        <f>(P120*($E120/365))+(P119*($E119/365))</f>
        <v>0</v>
      </c>
      <c r="U183" s="5">
        <f>(Q120*($E120/365))+(Q119*($E119/365))</f>
        <v>55.579452054794523</v>
      </c>
      <c r="W183" s="5">
        <f t="shared" ref="W183" si="59">S183+T183+U183</f>
        <v>55.579452054794523</v>
      </c>
    </row>
  </sheetData>
  <mergeCells count="369">
    <mergeCell ref="C119:D119"/>
    <mergeCell ref="C120:D120"/>
    <mergeCell ref="H183:I183"/>
    <mergeCell ref="J183:K183"/>
    <mergeCell ref="L183:M183"/>
    <mergeCell ref="N183:O183"/>
    <mergeCell ref="N156:O156"/>
    <mergeCell ref="J143:K143"/>
    <mergeCell ref="J145:K145"/>
    <mergeCell ref="J146:K146"/>
    <mergeCell ref="J144:K144"/>
    <mergeCell ref="L132:M132"/>
    <mergeCell ref="L133:M133"/>
    <mergeCell ref="L134:M134"/>
    <mergeCell ref="J157:K157"/>
    <mergeCell ref="N140:O140"/>
    <mergeCell ref="N147:O147"/>
    <mergeCell ref="N142:O142"/>
    <mergeCell ref="N151:O151"/>
    <mergeCell ref="L148:M148"/>
    <mergeCell ref="J156:K156"/>
    <mergeCell ref="J153:K153"/>
    <mergeCell ref="L156:M156"/>
    <mergeCell ref="N134:O134"/>
    <mergeCell ref="N145:O145"/>
    <mergeCell ref="N143:O143"/>
    <mergeCell ref="N181:O181"/>
    <mergeCell ref="N179:O179"/>
    <mergeCell ref="H175:I175"/>
    <mergeCell ref="J175:K175"/>
    <mergeCell ref="L175:M175"/>
    <mergeCell ref="N175:O175"/>
    <mergeCell ref="H179:I179"/>
    <mergeCell ref="J179:K179"/>
    <mergeCell ref="L179:M179"/>
    <mergeCell ref="H180:I180"/>
    <mergeCell ref="J180:K180"/>
    <mergeCell ref="L180:M180"/>
    <mergeCell ref="N180:O180"/>
    <mergeCell ref="H178:I178"/>
    <mergeCell ref="J178:K178"/>
    <mergeCell ref="L178:M178"/>
    <mergeCell ref="N178:O178"/>
    <mergeCell ref="H152:I152"/>
    <mergeCell ref="H153:I153"/>
    <mergeCell ref="L155:M155"/>
    <mergeCell ref="J148:K148"/>
    <mergeCell ref="J150:K150"/>
    <mergeCell ref="H181:I181"/>
    <mergeCell ref="J181:K181"/>
    <mergeCell ref="L181:M181"/>
    <mergeCell ref="J159:K159"/>
    <mergeCell ref="J158:K158"/>
    <mergeCell ref="J135:K135"/>
    <mergeCell ref="L146:M146"/>
    <mergeCell ref="L145:M145"/>
    <mergeCell ref="H138:I138"/>
    <mergeCell ref="J138:K138"/>
    <mergeCell ref="H141:I141"/>
    <mergeCell ref="J141:K141"/>
    <mergeCell ref="H144:I144"/>
    <mergeCell ref="H142:I142"/>
    <mergeCell ref="J142:K142"/>
    <mergeCell ref="H159:I159"/>
    <mergeCell ref="H156:I156"/>
    <mergeCell ref="L170:M170"/>
    <mergeCell ref="L171:M171"/>
    <mergeCell ref="L172:M172"/>
    <mergeCell ref="L173:M173"/>
    <mergeCell ref="J161:K161"/>
    <mergeCell ref="J173:K173"/>
    <mergeCell ref="J162:K162"/>
    <mergeCell ref="AT4:AW4"/>
    <mergeCell ref="AX4:BA4"/>
    <mergeCell ref="L168:M168"/>
    <mergeCell ref="L169:M169"/>
    <mergeCell ref="N144:O144"/>
    <mergeCell ref="L136:M136"/>
    <mergeCell ref="N137:O137"/>
    <mergeCell ref="L137:M137"/>
    <mergeCell ref="N136:O136"/>
    <mergeCell ref="L147:M147"/>
    <mergeCell ref="N146:O146"/>
    <mergeCell ref="L135:M135"/>
    <mergeCell ref="L138:M138"/>
    <mergeCell ref="N139:O139"/>
    <mergeCell ref="L139:M139"/>
    <mergeCell ref="N138:O138"/>
    <mergeCell ref="L142:M142"/>
    <mergeCell ref="L140:M140"/>
    <mergeCell ref="N141:O141"/>
    <mergeCell ref="L141:M141"/>
    <mergeCell ref="N127:O127"/>
    <mergeCell ref="N128:O128"/>
    <mergeCell ref="L131:M131"/>
    <mergeCell ref="N155:O155"/>
    <mergeCell ref="N152:O152"/>
    <mergeCell ref="J154:K154"/>
    <mergeCell ref="L152:M152"/>
    <mergeCell ref="H155:I155"/>
    <mergeCell ref="J152:K152"/>
    <mergeCell ref="H151:I151"/>
    <mergeCell ref="J151:K151"/>
    <mergeCell ref="H150:I150"/>
    <mergeCell ref="H149:I149"/>
    <mergeCell ref="N153:O153"/>
    <mergeCell ref="N154:O154"/>
    <mergeCell ref="N149:O149"/>
    <mergeCell ref="L149:M149"/>
    <mergeCell ref="C21:D21"/>
    <mergeCell ref="C23:D23"/>
    <mergeCell ref="C100:D100"/>
    <mergeCell ref="C72:D72"/>
    <mergeCell ref="C73:D73"/>
    <mergeCell ref="C74:D74"/>
    <mergeCell ref="C26:D26"/>
    <mergeCell ref="N148:O148"/>
    <mergeCell ref="N150:O150"/>
    <mergeCell ref="L150:M150"/>
    <mergeCell ref="J129:K129"/>
    <mergeCell ref="L129:M129"/>
    <mergeCell ref="J127:K127"/>
    <mergeCell ref="L127:M127"/>
    <mergeCell ref="J128:K128"/>
    <mergeCell ref="L128:M128"/>
    <mergeCell ref="N129:O129"/>
    <mergeCell ref="N131:O131"/>
    <mergeCell ref="N130:O130"/>
    <mergeCell ref="J147:K147"/>
    <mergeCell ref="N133:O133"/>
    <mergeCell ref="N132:O132"/>
    <mergeCell ref="N135:O135"/>
    <mergeCell ref="J131:K131"/>
    <mergeCell ref="H127:I127"/>
    <mergeCell ref="C32:D32"/>
    <mergeCell ref="C34:D34"/>
    <mergeCell ref="C36:D36"/>
    <mergeCell ref="C110:D110"/>
    <mergeCell ref="C111:D111"/>
    <mergeCell ref="C114:D114"/>
    <mergeCell ref="C115:D115"/>
    <mergeCell ref="C116:D116"/>
    <mergeCell ref="C94:D94"/>
    <mergeCell ref="C88:D88"/>
    <mergeCell ref="C96:D96"/>
    <mergeCell ref="C89:D89"/>
    <mergeCell ref="C90:D90"/>
    <mergeCell ref="C97:D97"/>
    <mergeCell ref="C85:D85"/>
    <mergeCell ref="C86:D86"/>
    <mergeCell ref="C87:D87"/>
    <mergeCell ref="C99:D99"/>
    <mergeCell ref="C91:D91"/>
    <mergeCell ref="C92:D92"/>
    <mergeCell ref="C93:D93"/>
    <mergeCell ref="C68:D68"/>
    <mergeCell ref="C69:D69"/>
    <mergeCell ref="C16:D16"/>
    <mergeCell ref="C20:D20"/>
    <mergeCell ref="C22:D22"/>
    <mergeCell ref="C24:D24"/>
    <mergeCell ref="C19:D19"/>
    <mergeCell ref="C28:D28"/>
    <mergeCell ref="H147:I147"/>
    <mergeCell ref="C15:D15"/>
    <mergeCell ref="H128:I128"/>
    <mergeCell ref="H129:I129"/>
    <mergeCell ref="C18:D18"/>
    <mergeCell ref="C112:D112"/>
    <mergeCell ref="C113:D113"/>
    <mergeCell ref="C31:D31"/>
    <mergeCell ref="C33:D33"/>
    <mergeCell ref="C35:D35"/>
    <mergeCell ref="C37:D37"/>
    <mergeCell ref="C39:D39"/>
    <mergeCell ref="C52:D52"/>
    <mergeCell ref="C30:D30"/>
    <mergeCell ref="C38:D38"/>
    <mergeCell ref="C84:D84"/>
    <mergeCell ref="C44:D44"/>
    <mergeCell ref="C46:D46"/>
    <mergeCell ref="G3:M3"/>
    <mergeCell ref="O3:Q3"/>
    <mergeCell ref="A4:A5"/>
    <mergeCell ref="B4:B5"/>
    <mergeCell ref="C4:D5"/>
    <mergeCell ref="E4:E5"/>
    <mergeCell ref="F4:F5"/>
    <mergeCell ref="G4:J4"/>
    <mergeCell ref="C13:D13"/>
    <mergeCell ref="C6:D6"/>
    <mergeCell ref="C12:D12"/>
    <mergeCell ref="C8:D8"/>
    <mergeCell ref="C10:D10"/>
    <mergeCell ref="C7:D7"/>
    <mergeCell ref="C9:D9"/>
    <mergeCell ref="C11:D11"/>
    <mergeCell ref="C14:D14"/>
    <mergeCell ref="C75:D75"/>
    <mergeCell ref="C76:D76"/>
    <mergeCell ref="C101:D101"/>
    <mergeCell ref="C63:D63"/>
    <mergeCell ref="C64:D64"/>
    <mergeCell ref="C65:D65"/>
    <mergeCell ref="C66:D66"/>
    <mergeCell ref="C67:D67"/>
    <mergeCell ref="C70:D70"/>
    <mergeCell ref="C71:D71"/>
    <mergeCell ref="C25:D25"/>
    <mergeCell ref="C27:D27"/>
    <mergeCell ref="C17:D17"/>
    <mergeCell ref="C62:D62"/>
    <mergeCell ref="C77:D77"/>
    <mergeCell ref="C40:D40"/>
    <mergeCell ref="C41:D41"/>
    <mergeCell ref="C43:D43"/>
    <mergeCell ref="C45:D45"/>
    <mergeCell ref="C53:D53"/>
    <mergeCell ref="C51:D51"/>
    <mergeCell ref="C42:D42"/>
    <mergeCell ref="C29:D29"/>
    <mergeCell ref="AP4:AS4"/>
    <mergeCell ref="K4:N4"/>
    <mergeCell ref="O4:R4"/>
    <mergeCell ref="S4:S5"/>
    <mergeCell ref="T4:T5"/>
    <mergeCell ref="Z4:AC4"/>
    <mergeCell ref="AD4:AG4"/>
    <mergeCell ref="AH4:AK4"/>
    <mergeCell ref="AL4:AO4"/>
    <mergeCell ref="U4:U5"/>
    <mergeCell ref="V4:Y4"/>
    <mergeCell ref="N126:O126"/>
    <mergeCell ref="R124:W124"/>
    <mergeCell ref="C48:D48"/>
    <mergeCell ref="C50:D50"/>
    <mergeCell ref="C47:D47"/>
    <mergeCell ref="C49:D49"/>
    <mergeCell ref="C57:D57"/>
    <mergeCell ref="C54:D54"/>
    <mergeCell ref="C55:D55"/>
    <mergeCell ref="C58:D58"/>
    <mergeCell ref="C59:D59"/>
    <mergeCell ref="C60:D60"/>
    <mergeCell ref="C61:D61"/>
    <mergeCell ref="C79:D79"/>
    <mergeCell ref="C80:D80"/>
    <mergeCell ref="C81:D81"/>
    <mergeCell ref="C82:D82"/>
    <mergeCell ref="C83:D83"/>
    <mergeCell ref="C78:D78"/>
    <mergeCell ref="C56:D56"/>
    <mergeCell ref="C98:D98"/>
    <mergeCell ref="C95:D95"/>
    <mergeCell ref="C102:D102"/>
    <mergeCell ref="C103:D103"/>
    <mergeCell ref="H173:I173"/>
    <mergeCell ref="H162:I162"/>
    <mergeCell ref="H163:I163"/>
    <mergeCell ref="H164:I164"/>
    <mergeCell ref="H165:I165"/>
    <mergeCell ref="J155:K155"/>
    <mergeCell ref="H154:I154"/>
    <mergeCell ref="H145:I145"/>
    <mergeCell ref="J149:K149"/>
    <mergeCell ref="H148:I148"/>
    <mergeCell ref="J160:K160"/>
    <mergeCell ref="H146:I146"/>
    <mergeCell ref="J163:K163"/>
    <mergeCell ref="J164:K164"/>
    <mergeCell ref="J165:K165"/>
    <mergeCell ref="J167:K167"/>
    <mergeCell ref="J170:K170"/>
    <mergeCell ref="J171:K171"/>
    <mergeCell ref="J172:K172"/>
    <mergeCell ref="J166:K166"/>
    <mergeCell ref="J168:K168"/>
    <mergeCell ref="L161:M161"/>
    <mergeCell ref="L162:M162"/>
    <mergeCell ref="L164:M164"/>
    <mergeCell ref="L157:M157"/>
    <mergeCell ref="L159:M159"/>
    <mergeCell ref="C104:D104"/>
    <mergeCell ref="H126:I126"/>
    <mergeCell ref="H132:I132"/>
    <mergeCell ref="J132:K132"/>
    <mergeCell ref="H133:I133"/>
    <mergeCell ref="J133:K133"/>
    <mergeCell ref="H134:I134"/>
    <mergeCell ref="J134:K134"/>
    <mergeCell ref="C105:D105"/>
    <mergeCell ref="C108:D108"/>
    <mergeCell ref="C109:D109"/>
    <mergeCell ref="C106:D106"/>
    <mergeCell ref="C107:D107"/>
    <mergeCell ref="C117:D117"/>
    <mergeCell ref="C118:D118"/>
    <mergeCell ref="H140:I140"/>
    <mergeCell ref="J140:K140"/>
    <mergeCell ref="J126:K126"/>
    <mergeCell ref="L126:M126"/>
    <mergeCell ref="L177:M177"/>
    <mergeCell ref="N177:O177"/>
    <mergeCell ref="L160:M160"/>
    <mergeCell ref="L163:M163"/>
    <mergeCell ref="L174:M174"/>
    <mergeCell ref="L165:M165"/>
    <mergeCell ref="J174:K174"/>
    <mergeCell ref="H174:I174"/>
    <mergeCell ref="H176:I176"/>
    <mergeCell ref="J176:K176"/>
    <mergeCell ref="L176:M176"/>
    <mergeCell ref="N176:O176"/>
    <mergeCell ref="J169:K169"/>
    <mergeCell ref="H160:I160"/>
    <mergeCell ref="H171:I171"/>
    <mergeCell ref="H172:I172"/>
    <mergeCell ref="H166:I166"/>
    <mergeCell ref="H167:I167"/>
    <mergeCell ref="H168:I168"/>
    <mergeCell ref="H169:I169"/>
    <mergeCell ref="H170:I170"/>
    <mergeCell ref="H161:I161"/>
    <mergeCell ref="L166:M166"/>
    <mergeCell ref="L167:M167"/>
    <mergeCell ref="H135:I135"/>
    <mergeCell ref="L158:M158"/>
    <mergeCell ref="H136:I136"/>
    <mergeCell ref="J136:K136"/>
    <mergeCell ref="H137:I137"/>
    <mergeCell ref="J137:K137"/>
    <mergeCell ref="H130:I130"/>
    <mergeCell ref="J130:K130"/>
    <mergeCell ref="L130:M130"/>
    <mergeCell ref="H131:I131"/>
    <mergeCell ref="H157:I157"/>
    <mergeCell ref="H158:I158"/>
    <mergeCell ref="L151:M151"/>
    <mergeCell ref="L153:M153"/>
    <mergeCell ref="L154:M154"/>
    <mergeCell ref="L143:M143"/>
    <mergeCell ref="H139:I139"/>
    <mergeCell ref="J139:K139"/>
    <mergeCell ref="L144:M144"/>
    <mergeCell ref="H143:I143"/>
    <mergeCell ref="H182:I182"/>
    <mergeCell ref="J182:K182"/>
    <mergeCell ref="L182:M182"/>
    <mergeCell ref="N182:O182"/>
    <mergeCell ref="N174:O174"/>
    <mergeCell ref="N172:O172"/>
    <mergeCell ref="N173:O173"/>
    <mergeCell ref="N170:O170"/>
    <mergeCell ref="N157:O157"/>
    <mergeCell ref="N158:O158"/>
    <mergeCell ref="N161:O161"/>
    <mergeCell ref="N162:O162"/>
    <mergeCell ref="N159:O159"/>
    <mergeCell ref="N160:O160"/>
    <mergeCell ref="N171:O171"/>
    <mergeCell ref="N163:O163"/>
    <mergeCell ref="N165:O165"/>
    <mergeCell ref="N166:O166"/>
    <mergeCell ref="N167:O167"/>
    <mergeCell ref="N168:O168"/>
    <mergeCell ref="N169:O169"/>
    <mergeCell ref="N164:O164"/>
    <mergeCell ref="H177:I177"/>
    <mergeCell ref="J177:K177"/>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BA216"/>
  <sheetViews>
    <sheetView zoomScale="98" zoomScaleNormal="120" workbookViewId="0">
      <pane xSplit="1" ySplit="5" topLeftCell="AH140"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63</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139" customFormat="1" x14ac:dyDescent="0.15">
      <c r="A6" s="145">
        <v>1959</v>
      </c>
      <c r="B6" s="294"/>
      <c r="C6" s="398" t="s">
        <v>1231</v>
      </c>
      <c r="D6" s="398"/>
      <c r="E6" s="139">
        <v>138</v>
      </c>
      <c r="G6" s="147">
        <v>7</v>
      </c>
      <c r="H6" s="139">
        <v>6</v>
      </c>
      <c r="J6" s="153">
        <v>13</v>
      </c>
      <c r="K6" s="133">
        <f>AC6+AG6</f>
        <v>17.3</v>
      </c>
      <c r="L6" s="133">
        <v>32.700000000000003</v>
      </c>
      <c r="M6" s="133">
        <f>I6/$J6*100</f>
        <v>0</v>
      </c>
      <c r="N6" s="149">
        <f>K6+L6+M6</f>
        <v>50</v>
      </c>
      <c r="O6" s="132">
        <v>30</v>
      </c>
      <c r="P6" s="133">
        <v>32.700000000000003</v>
      </c>
      <c r="Q6" s="133"/>
      <c r="R6" s="134">
        <f>O6+P6+Q6</f>
        <v>62.7</v>
      </c>
      <c r="S6" s="139">
        <v>3</v>
      </c>
      <c r="T6" s="306"/>
      <c r="U6" s="294"/>
      <c r="V6" s="138" t="s">
        <v>483</v>
      </c>
      <c r="W6" s="139" t="s">
        <v>81</v>
      </c>
      <c r="X6" s="139" t="s">
        <v>18</v>
      </c>
      <c r="Y6" s="140">
        <v>32.700000000000003</v>
      </c>
      <c r="Z6" s="139" t="s">
        <v>484</v>
      </c>
      <c r="AA6" s="139" t="s">
        <v>17</v>
      </c>
      <c r="AB6" s="139" t="s">
        <v>11</v>
      </c>
      <c r="AC6" s="139">
        <v>9.3000000000000007</v>
      </c>
      <c r="AD6" s="138" t="s">
        <v>485</v>
      </c>
      <c r="AE6" s="139" t="s">
        <v>85</v>
      </c>
      <c r="AF6" s="139" t="s">
        <v>11</v>
      </c>
      <c r="AG6" s="140">
        <v>8</v>
      </c>
      <c r="AL6" s="138"/>
      <c r="AO6" s="140"/>
      <c r="AP6" s="138"/>
      <c r="AS6" s="140"/>
      <c r="AW6" s="140"/>
      <c r="BA6" s="141"/>
    </row>
    <row r="7" spans="1:53" s="139" customFormat="1" x14ac:dyDescent="0.15">
      <c r="A7" s="145">
        <v>1959</v>
      </c>
      <c r="B7" s="294">
        <v>21689</v>
      </c>
      <c r="C7" s="398" t="s">
        <v>651</v>
      </c>
      <c r="D7" s="398"/>
      <c r="E7" s="139">
        <f>365-E6</f>
        <v>227</v>
      </c>
      <c r="F7" s="139">
        <v>1</v>
      </c>
      <c r="G7" s="147">
        <v>7</v>
      </c>
      <c r="H7" s="139">
        <v>6</v>
      </c>
      <c r="J7" s="153">
        <v>13</v>
      </c>
      <c r="K7" s="133">
        <f>G7/$J7*100</f>
        <v>53.846153846153847</v>
      </c>
      <c r="L7" s="133">
        <f>H7/$J7*100</f>
        <v>46.153846153846153</v>
      </c>
      <c r="M7" s="133">
        <f>I7/$J7*100</f>
        <v>0</v>
      </c>
      <c r="N7" s="149">
        <f>K7+L7+M7</f>
        <v>100</v>
      </c>
      <c r="O7" s="132">
        <v>30</v>
      </c>
      <c r="P7" s="133">
        <v>32.700000000000003</v>
      </c>
      <c r="Q7" s="133"/>
      <c r="R7" s="134">
        <f>O7+P7+Q7</f>
        <v>62.7</v>
      </c>
      <c r="S7" s="139">
        <v>3</v>
      </c>
      <c r="T7" s="306">
        <v>21887</v>
      </c>
      <c r="U7" s="294">
        <v>21689</v>
      </c>
      <c r="V7" s="138" t="s">
        <v>483</v>
      </c>
      <c r="W7" s="139" t="s">
        <v>81</v>
      </c>
      <c r="X7" s="139" t="s">
        <v>18</v>
      </c>
      <c r="Y7" s="140">
        <v>32.700000000000003</v>
      </c>
      <c r="Z7" s="139" t="s">
        <v>484</v>
      </c>
      <c r="AA7" s="139" t="s">
        <v>17</v>
      </c>
      <c r="AB7" s="139" t="s">
        <v>11</v>
      </c>
      <c r="AC7" s="139">
        <v>9.3000000000000007</v>
      </c>
      <c r="AD7" s="138" t="s">
        <v>485</v>
      </c>
      <c r="AE7" s="139" t="s">
        <v>85</v>
      </c>
      <c r="AF7" s="139" t="s">
        <v>11</v>
      </c>
      <c r="AG7" s="140">
        <v>8</v>
      </c>
      <c r="AH7" s="139" t="s">
        <v>486</v>
      </c>
      <c r="AI7" s="139" t="s">
        <v>22</v>
      </c>
      <c r="AJ7" s="139" t="s">
        <v>11</v>
      </c>
      <c r="AK7" s="139">
        <v>12.7</v>
      </c>
      <c r="AL7" s="138"/>
      <c r="AO7" s="140"/>
      <c r="AP7" s="138"/>
      <c r="AS7" s="140"/>
      <c r="AW7" s="140"/>
      <c r="BA7" s="141"/>
    </row>
    <row r="8" spans="1:53" s="28" customFormat="1" x14ac:dyDescent="0.15">
      <c r="A8" s="51">
        <v>1960</v>
      </c>
      <c r="B8" s="293"/>
      <c r="C8" s="394" t="s">
        <v>651</v>
      </c>
      <c r="D8" s="394"/>
      <c r="E8" s="28">
        <v>0</v>
      </c>
      <c r="G8" s="65">
        <v>7</v>
      </c>
      <c r="H8" s="28">
        <v>6</v>
      </c>
      <c r="J8" s="72">
        <v>13</v>
      </c>
      <c r="K8" s="46">
        <f>G8/$J8*100</f>
        <v>53.846153846153847</v>
      </c>
      <c r="L8" s="46">
        <f>H8/$J8*100</f>
        <v>46.153846153846153</v>
      </c>
      <c r="M8" s="46">
        <f>I8/$J8*100</f>
        <v>0</v>
      </c>
      <c r="N8" s="67">
        <f>K8+L8+M8</f>
        <v>100</v>
      </c>
      <c r="O8" s="45">
        <v>30</v>
      </c>
      <c r="P8" s="46">
        <v>32.700000000000003</v>
      </c>
      <c r="Q8" s="46"/>
      <c r="R8" s="47">
        <f>O8+P8+Q8</f>
        <v>62.7</v>
      </c>
      <c r="S8" s="28">
        <v>3</v>
      </c>
      <c r="T8" s="284"/>
      <c r="U8" s="293"/>
      <c r="V8" s="37" t="s">
        <v>483</v>
      </c>
      <c r="W8" s="28" t="s">
        <v>81</v>
      </c>
      <c r="X8" s="28" t="s">
        <v>18</v>
      </c>
      <c r="Y8" s="38">
        <v>32.700000000000003</v>
      </c>
      <c r="Z8" s="28" t="s">
        <v>484</v>
      </c>
      <c r="AA8" s="28" t="s">
        <v>17</v>
      </c>
      <c r="AB8" s="28" t="s">
        <v>11</v>
      </c>
      <c r="AC8" s="28">
        <v>9.3000000000000007</v>
      </c>
      <c r="AD8" s="37" t="s">
        <v>485</v>
      </c>
      <c r="AE8" s="28" t="s">
        <v>85</v>
      </c>
      <c r="AF8" s="28" t="s">
        <v>11</v>
      </c>
      <c r="AG8" s="38">
        <v>8</v>
      </c>
      <c r="AH8" s="28" t="s">
        <v>486</v>
      </c>
      <c r="AI8" s="28" t="s">
        <v>22</v>
      </c>
      <c r="AJ8" s="28" t="s">
        <v>11</v>
      </c>
      <c r="AK8" s="28">
        <v>12.7</v>
      </c>
      <c r="AL8" s="37"/>
      <c r="AO8" s="38"/>
      <c r="AP8" s="37"/>
      <c r="AS8" s="38"/>
      <c r="AW8" s="38"/>
      <c r="BA8" s="39"/>
    </row>
    <row r="9" spans="1:53" s="28" customFormat="1" x14ac:dyDescent="0.15">
      <c r="A9" s="51">
        <v>1960</v>
      </c>
      <c r="B9" s="293"/>
      <c r="C9" s="394" t="s">
        <v>651</v>
      </c>
      <c r="D9" s="394"/>
      <c r="E9" s="28">
        <v>366</v>
      </c>
      <c r="G9" s="65">
        <v>7</v>
      </c>
      <c r="H9" s="28">
        <v>6</v>
      </c>
      <c r="J9" s="72">
        <v>13</v>
      </c>
      <c r="K9" s="46">
        <f t="shared" ref="K9:M59" si="0">G9/$J9*100</f>
        <v>53.846153846153847</v>
      </c>
      <c r="L9" s="46">
        <f t="shared" si="0"/>
        <v>46.153846153846153</v>
      </c>
      <c r="M9" s="46">
        <f t="shared" si="0"/>
        <v>0</v>
      </c>
      <c r="N9" s="67">
        <f t="shared" ref="N9:N72" si="1">K9+L9+M9</f>
        <v>100</v>
      </c>
      <c r="O9" s="45">
        <v>30</v>
      </c>
      <c r="P9" s="46">
        <v>32.700000000000003</v>
      </c>
      <c r="Q9" s="46"/>
      <c r="R9" s="47">
        <f t="shared" ref="R9:R72" si="2">O9+P9+Q9</f>
        <v>62.7</v>
      </c>
      <c r="S9" s="28">
        <v>3</v>
      </c>
      <c r="T9" s="284"/>
      <c r="U9" s="293"/>
      <c r="V9" s="37" t="s">
        <v>483</v>
      </c>
      <c r="W9" s="28" t="s">
        <v>81</v>
      </c>
      <c r="X9" s="28" t="s">
        <v>18</v>
      </c>
      <c r="Y9" s="38">
        <v>32.700000000000003</v>
      </c>
      <c r="Z9" s="28" t="s">
        <v>484</v>
      </c>
      <c r="AA9" s="28" t="s">
        <v>17</v>
      </c>
      <c r="AB9" s="28" t="s">
        <v>11</v>
      </c>
      <c r="AC9" s="28">
        <v>9.3000000000000007</v>
      </c>
      <c r="AD9" s="37" t="s">
        <v>485</v>
      </c>
      <c r="AE9" s="28" t="s">
        <v>85</v>
      </c>
      <c r="AF9" s="28" t="s">
        <v>11</v>
      </c>
      <c r="AG9" s="38">
        <v>8</v>
      </c>
      <c r="AH9" s="28" t="s">
        <v>486</v>
      </c>
      <c r="AI9" s="28" t="s">
        <v>22</v>
      </c>
      <c r="AJ9" s="28" t="s">
        <v>11</v>
      </c>
      <c r="AK9" s="28">
        <v>12.7</v>
      </c>
      <c r="AL9" s="37"/>
      <c r="AO9" s="38"/>
      <c r="AP9" s="37"/>
      <c r="AS9" s="38"/>
      <c r="AW9" s="38"/>
      <c r="BA9" s="39"/>
    </row>
    <row r="10" spans="1:53" s="28" customFormat="1" x14ac:dyDescent="0.15">
      <c r="A10" s="51">
        <v>1961</v>
      </c>
      <c r="B10" s="293"/>
      <c r="C10" s="394" t="s">
        <v>651</v>
      </c>
      <c r="D10" s="394"/>
      <c r="E10" s="28">
        <v>0</v>
      </c>
      <c r="G10" s="65">
        <v>7</v>
      </c>
      <c r="H10" s="28">
        <v>6</v>
      </c>
      <c r="J10" s="72">
        <v>13</v>
      </c>
      <c r="K10" s="46">
        <f t="shared" si="0"/>
        <v>53.846153846153847</v>
      </c>
      <c r="L10" s="46">
        <f t="shared" si="0"/>
        <v>46.153846153846153</v>
      </c>
      <c r="M10" s="46">
        <f t="shared" si="0"/>
        <v>0</v>
      </c>
      <c r="N10" s="67">
        <f>K10+L10+M10</f>
        <v>100</v>
      </c>
      <c r="O10" s="45">
        <v>30</v>
      </c>
      <c r="P10" s="46">
        <v>32.700000000000003</v>
      </c>
      <c r="Q10" s="46"/>
      <c r="R10" s="47">
        <f t="shared" si="2"/>
        <v>62.7</v>
      </c>
      <c r="S10" s="28">
        <v>3</v>
      </c>
      <c r="T10" s="284"/>
      <c r="U10" s="293"/>
      <c r="V10" s="37" t="s">
        <v>483</v>
      </c>
      <c r="W10" s="28" t="s">
        <v>81</v>
      </c>
      <c r="X10" s="28" t="s">
        <v>18</v>
      </c>
      <c r="Y10" s="38">
        <v>32.700000000000003</v>
      </c>
      <c r="Z10" s="28" t="s">
        <v>484</v>
      </c>
      <c r="AA10" s="28" t="s">
        <v>17</v>
      </c>
      <c r="AB10" s="28" t="s">
        <v>11</v>
      </c>
      <c r="AC10" s="28">
        <v>9.3000000000000007</v>
      </c>
      <c r="AD10" s="37" t="s">
        <v>485</v>
      </c>
      <c r="AE10" s="28" t="s">
        <v>85</v>
      </c>
      <c r="AF10" s="28" t="s">
        <v>11</v>
      </c>
      <c r="AG10" s="38">
        <v>8</v>
      </c>
      <c r="AH10" s="28" t="s">
        <v>486</v>
      </c>
      <c r="AI10" s="28" t="s">
        <v>22</v>
      </c>
      <c r="AJ10" s="28" t="s">
        <v>11</v>
      </c>
      <c r="AK10" s="28">
        <v>12.7</v>
      </c>
      <c r="AL10" s="37"/>
      <c r="AO10" s="38"/>
      <c r="AP10" s="37"/>
      <c r="AS10" s="38"/>
      <c r="AW10" s="38"/>
      <c r="BA10" s="39"/>
    </row>
    <row r="11" spans="1:53" s="28" customFormat="1" x14ac:dyDescent="0.15">
      <c r="A11" s="51">
        <v>1961</v>
      </c>
      <c r="B11" s="293"/>
      <c r="C11" s="394" t="s">
        <v>651</v>
      </c>
      <c r="D11" s="394"/>
      <c r="E11" s="28">
        <v>365</v>
      </c>
      <c r="G11" s="65">
        <v>7</v>
      </c>
      <c r="H11" s="28">
        <v>6</v>
      </c>
      <c r="J11" s="72">
        <v>13</v>
      </c>
      <c r="K11" s="46">
        <f t="shared" si="0"/>
        <v>53.846153846153847</v>
      </c>
      <c r="L11" s="46">
        <f t="shared" si="0"/>
        <v>46.153846153846153</v>
      </c>
      <c r="M11" s="46">
        <f t="shared" si="0"/>
        <v>0</v>
      </c>
      <c r="N11" s="67">
        <f t="shared" si="1"/>
        <v>100</v>
      </c>
      <c r="O11" s="45">
        <v>30</v>
      </c>
      <c r="P11" s="46">
        <v>32.700000000000003</v>
      </c>
      <c r="Q11" s="46"/>
      <c r="R11" s="47">
        <f t="shared" si="2"/>
        <v>62.7</v>
      </c>
      <c r="S11" s="28">
        <v>3</v>
      </c>
      <c r="T11" s="284"/>
      <c r="U11" s="293"/>
      <c r="V11" s="37" t="s">
        <v>483</v>
      </c>
      <c r="W11" s="28" t="s">
        <v>81</v>
      </c>
      <c r="X11" s="28" t="s">
        <v>18</v>
      </c>
      <c r="Y11" s="38">
        <v>32.700000000000003</v>
      </c>
      <c r="Z11" s="28" t="s">
        <v>484</v>
      </c>
      <c r="AA11" s="28" t="s">
        <v>17</v>
      </c>
      <c r="AB11" s="28" t="s">
        <v>11</v>
      </c>
      <c r="AC11" s="28">
        <v>9.3000000000000007</v>
      </c>
      <c r="AD11" s="37" t="s">
        <v>485</v>
      </c>
      <c r="AE11" s="28" t="s">
        <v>85</v>
      </c>
      <c r="AF11" s="28" t="s">
        <v>11</v>
      </c>
      <c r="AG11" s="38">
        <v>8</v>
      </c>
      <c r="AH11" s="28" t="s">
        <v>486</v>
      </c>
      <c r="AI11" s="28" t="s">
        <v>22</v>
      </c>
      <c r="AJ11" s="28" t="s">
        <v>11</v>
      </c>
      <c r="AK11" s="28">
        <v>12.7</v>
      </c>
      <c r="AL11" s="37"/>
      <c r="AO11" s="38"/>
      <c r="AP11" s="37"/>
      <c r="AS11" s="38"/>
      <c r="AW11" s="38"/>
      <c r="BA11" s="39"/>
    </row>
    <row r="12" spans="1:53" s="28" customFormat="1" x14ac:dyDescent="0.15">
      <c r="A12" s="51">
        <v>1962</v>
      </c>
      <c r="B12" s="293"/>
      <c r="C12" s="394" t="s">
        <v>651</v>
      </c>
      <c r="D12" s="394"/>
      <c r="E12" s="28">
        <v>0</v>
      </c>
      <c r="G12" s="65">
        <v>7</v>
      </c>
      <c r="H12" s="28">
        <v>6</v>
      </c>
      <c r="J12" s="72">
        <v>13</v>
      </c>
      <c r="K12" s="46">
        <f t="shared" si="0"/>
        <v>53.846153846153847</v>
      </c>
      <c r="L12" s="46">
        <f t="shared" si="0"/>
        <v>46.153846153846153</v>
      </c>
      <c r="M12" s="46">
        <f t="shared" si="0"/>
        <v>0</v>
      </c>
      <c r="N12" s="67">
        <f t="shared" si="1"/>
        <v>100</v>
      </c>
      <c r="O12" s="45">
        <v>30</v>
      </c>
      <c r="P12" s="46">
        <v>32.700000000000003</v>
      </c>
      <c r="Q12" s="46"/>
      <c r="R12" s="47">
        <f t="shared" si="2"/>
        <v>62.7</v>
      </c>
      <c r="S12" s="28">
        <v>3</v>
      </c>
      <c r="T12" s="284"/>
      <c r="U12" s="293"/>
      <c r="V12" s="37" t="s">
        <v>483</v>
      </c>
      <c r="W12" s="28" t="s">
        <v>81</v>
      </c>
      <c r="X12" s="28" t="s">
        <v>18</v>
      </c>
      <c r="Y12" s="38">
        <v>32.700000000000003</v>
      </c>
      <c r="Z12" s="28" t="s">
        <v>484</v>
      </c>
      <c r="AA12" s="28" t="s">
        <v>17</v>
      </c>
      <c r="AB12" s="28" t="s">
        <v>11</v>
      </c>
      <c r="AC12" s="28">
        <v>9.3000000000000007</v>
      </c>
      <c r="AD12" s="37" t="s">
        <v>485</v>
      </c>
      <c r="AE12" s="28" t="s">
        <v>85</v>
      </c>
      <c r="AF12" s="28" t="s">
        <v>11</v>
      </c>
      <c r="AG12" s="38">
        <v>8</v>
      </c>
      <c r="AH12" s="28" t="s">
        <v>486</v>
      </c>
      <c r="AI12" s="28" t="s">
        <v>22</v>
      </c>
      <c r="AJ12" s="28" t="s">
        <v>11</v>
      </c>
      <c r="AK12" s="28">
        <v>12.7</v>
      </c>
      <c r="AL12" s="37"/>
      <c r="AO12" s="38"/>
      <c r="AP12" s="37"/>
      <c r="AS12" s="38"/>
      <c r="AW12" s="38"/>
      <c r="BA12" s="39"/>
    </row>
    <row r="13" spans="1:53" s="28" customFormat="1" x14ac:dyDescent="0.15">
      <c r="A13" s="51">
        <v>1962</v>
      </c>
      <c r="B13" s="293"/>
      <c r="C13" s="394" t="s">
        <v>651</v>
      </c>
      <c r="D13" s="394"/>
      <c r="E13" s="28">
        <v>365</v>
      </c>
      <c r="G13" s="65">
        <v>7</v>
      </c>
      <c r="H13" s="28">
        <v>6</v>
      </c>
      <c r="J13" s="72">
        <v>13</v>
      </c>
      <c r="K13" s="46">
        <f t="shared" si="0"/>
        <v>53.846153846153847</v>
      </c>
      <c r="L13" s="46">
        <f t="shared" si="0"/>
        <v>46.153846153846153</v>
      </c>
      <c r="M13" s="46">
        <f t="shared" si="0"/>
        <v>0</v>
      </c>
      <c r="N13" s="67">
        <f t="shared" si="1"/>
        <v>100</v>
      </c>
      <c r="O13" s="45">
        <v>30</v>
      </c>
      <c r="P13" s="46">
        <v>32.700000000000003</v>
      </c>
      <c r="Q13" s="46"/>
      <c r="R13" s="47">
        <f t="shared" si="2"/>
        <v>62.7</v>
      </c>
      <c r="S13" s="28">
        <v>3</v>
      </c>
      <c r="T13" s="284"/>
      <c r="U13" s="293"/>
      <c r="V13" s="37" t="s">
        <v>483</v>
      </c>
      <c r="W13" s="28" t="s">
        <v>81</v>
      </c>
      <c r="X13" s="28" t="s">
        <v>18</v>
      </c>
      <c r="Y13" s="38">
        <v>32.700000000000003</v>
      </c>
      <c r="Z13" s="28" t="s">
        <v>484</v>
      </c>
      <c r="AA13" s="28" t="s">
        <v>17</v>
      </c>
      <c r="AB13" s="28" t="s">
        <v>11</v>
      </c>
      <c r="AC13" s="28">
        <v>9.3000000000000007</v>
      </c>
      <c r="AD13" s="37" t="s">
        <v>485</v>
      </c>
      <c r="AE13" s="28" t="s">
        <v>85</v>
      </c>
      <c r="AF13" s="28" t="s">
        <v>11</v>
      </c>
      <c r="AG13" s="38">
        <v>8</v>
      </c>
      <c r="AH13" s="28" t="s">
        <v>486</v>
      </c>
      <c r="AI13" s="28" t="s">
        <v>22</v>
      </c>
      <c r="AJ13" s="28" t="s">
        <v>11</v>
      </c>
      <c r="AK13" s="28">
        <v>12.7</v>
      </c>
      <c r="AL13" s="37"/>
      <c r="AO13" s="38"/>
      <c r="AP13" s="37"/>
      <c r="AS13" s="38"/>
      <c r="AW13" s="38"/>
      <c r="BA13" s="39"/>
    </row>
    <row r="14" spans="1:53" s="28" customFormat="1" x14ac:dyDescent="0.15">
      <c r="A14" s="51">
        <v>1963</v>
      </c>
      <c r="B14" s="293"/>
      <c r="C14" s="394" t="s">
        <v>651</v>
      </c>
      <c r="D14" s="394"/>
      <c r="E14" s="28">
        <v>204</v>
      </c>
      <c r="G14" s="65">
        <v>7</v>
      </c>
      <c r="H14" s="28">
        <v>6</v>
      </c>
      <c r="J14" s="72">
        <v>13</v>
      </c>
      <c r="K14" s="46">
        <f t="shared" si="0"/>
        <v>53.846153846153847</v>
      </c>
      <c r="L14" s="46">
        <f t="shared" si="0"/>
        <v>46.153846153846153</v>
      </c>
      <c r="M14" s="46">
        <f t="shared" si="0"/>
        <v>0</v>
      </c>
      <c r="N14" s="67">
        <f t="shared" si="1"/>
        <v>100</v>
      </c>
      <c r="O14" s="45">
        <v>30</v>
      </c>
      <c r="P14" s="46">
        <v>32.700000000000003</v>
      </c>
      <c r="Q14" s="46"/>
      <c r="R14" s="47">
        <f t="shared" si="2"/>
        <v>62.7</v>
      </c>
      <c r="S14" s="28">
        <v>3</v>
      </c>
      <c r="T14" s="284"/>
      <c r="U14" s="293"/>
      <c r="V14" s="37" t="s">
        <v>483</v>
      </c>
      <c r="W14" s="28" t="s">
        <v>81</v>
      </c>
      <c r="X14" s="28" t="s">
        <v>18</v>
      </c>
      <c r="Y14" s="38">
        <v>32.700000000000003</v>
      </c>
      <c r="Z14" s="28" t="s">
        <v>484</v>
      </c>
      <c r="AA14" s="28" t="s">
        <v>17</v>
      </c>
      <c r="AB14" s="28" t="s">
        <v>11</v>
      </c>
      <c r="AC14" s="28">
        <v>9.3000000000000007</v>
      </c>
      <c r="AD14" s="37" t="s">
        <v>485</v>
      </c>
      <c r="AE14" s="28" t="s">
        <v>85</v>
      </c>
      <c r="AF14" s="28" t="s">
        <v>11</v>
      </c>
      <c r="AG14" s="38">
        <v>8</v>
      </c>
      <c r="AH14" s="28" t="s">
        <v>486</v>
      </c>
      <c r="AI14" s="28" t="s">
        <v>22</v>
      </c>
      <c r="AJ14" s="28" t="s">
        <v>11</v>
      </c>
      <c r="AK14" s="28">
        <v>12.7</v>
      </c>
      <c r="AL14" s="37"/>
      <c r="AO14" s="38"/>
      <c r="AP14" s="37"/>
      <c r="AS14" s="38"/>
      <c r="AW14" s="38"/>
      <c r="BA14" s="39"/>
    </row>
    <row r="15" spans="1:53" s="170" customFormat="1" x14ac:dyDescent="0.15">
      <c r="A15" s="215">
        <v>1963</v>
      </c>
      <c r="B15" s="281">
        <v>23216</v>
      </c>
      <c r="C15" s="395" t="s">
        <v>652</v>
      </c>
      <c r="D15" s="395"/>
      <c r="E15" s="170">
        <f>365-E14</f>
        <v>161</v>
      </c>
      <c r="F15" s="170">
        <v>1</v>
      </c>
      <c r="G15" s="232">
        <v>7</v>
      </c>
      <c r="H15" s="170">
        <v>6</v>
      </c>
      <c r="J15" s="240">
        <v>13</v>
      </c>
      <c r="K15" s="213">
        <f t="shared" si="0"/>
        <v>53.846153846153847</v>
      </c>
      <c r="L15" s="213">
        <f t="shared" si="0"/>
        <v>46.153846153846153</v>
      </c>
      <c r="M15" s="213">
        <f t="shared" si="0"/>
        <v>0</v>
      </c>
      <c r="N15" s="234">
        <f t="shared" si="1"/>
        <v>100</v>
      </c>
      <c r="O15" s="212">
        <v>28.099999999999998</v>
      </c>
      <c r="P15" s="213">
        <v>33.299999999999997</v>
      </c>
      <c r="Q15" s="213"/>
      <c r="R15" s="214">
        <f t="shared" si="2"/>
        <v>61.399999999999991</v>
      </c>
      <c r="S15" s="170">
        <v>3</v>
      </c>
      <c r="T15" s="283">
        <v>23146</v>
      </c>
      <c r="U15" s="281">
        <v>23216</v>
      </c>
      <c r="V15" s="177" t="s">
        <v>483</v>
      </c>
      <c r="W15" s="170" t="s">
        <v>81</v>
      </c>
      <c r="X15" s="170" t="s">
        <v>18</v>
      </c>
      <c r="Y15" s="178">
        <v>33.299999999999997</v>
      </c>
      <c r="Z15" s="170" t="s">
        <v>484</v>
      </c>
      <c r="AA15" s="170" t="s">
        <v>17</v>
      </c>
      <c r="AB15" s="170" t="s">
        <v>11</v>
      </c>
      <c r="AC15" s="170">
        <v>8.6999999999999993</v>
      </c>
      <c r="AD15" s="177" t="s">
        <v>485</v>
      </c>
      <c r="AE15" s="170" t="s">
        <v>85</v>
      </c>
      <c r="AF15" s="170" t="s">
        <v>11</v>
      </c>
      <c r="AG15" s="178">
        <v>8.6999999999999993</v>
      </c>
      <c r="AH15" s="170" t="s">
        <v>486</v>
      </c>
      <c r="AI15" s="170" t="s">
        <v>22</v>
      </c>
      <c r="AJ15" s="170" t="s">
        <v>11</v>
      </c>
      <c r="AK15" s="170">
        <v>10.7</v>
      </c>
      <c r="AL15" s="177"/>
      <c r="AO15" s="178"/>
      <c r="AP15" s="177"/>
      <c r="AS15" s="178"/>
      <c r="AW15" s="178"/>
      <c r="BA15" s="179"/>
    </row>
    <row r="16" spans="1:53" s="170" customFormat="1" x14ac:dyDescent="0.15">
      <c r="A16" s="215">
        <v>1964</v>
      </c>
      <c r="B16" s="281"/>
      <c r="C16" s="395" t="s">
        <v>652</v>
      </c>
      <c r="D16" s="395"/>
      <c r="E16" s="170">
        <v>0</v>
      </c>
      <c r="G16" s="232">
        <v>7</v>
      </c>
      <c r="H16" s="170">
        <v>6</v>
      </c>
      <c r="J16" s="240">
        <v>13</v>
      </c>
      <c r="K16" s="213">
        <f t="shared" si="0"/>
        <v>53.846153846153847</v>
      </c>
      <c r="L16" s="213">
        <f t="shared" si="0"/>
        <v>46.153846153846153</v>
      </c>
      <c r="M16" s="213">
        <f t="shared" si="0"/>
        <v>0</v>
      </c>
      <c r="N16" s="234">
        <f t="shared" si="1"/>
        <v>100</v>
      </c>
      <c r="O16" s="212">
        <v>28.099999999999998</v>
      </c>
      <c r="P16" s="213">
        <v>33.299999999999997</v>
      </c>
      <c r="Q16" s="213"/>
      <c r="R16" s="214">
        <f t="shared" si="2"/>
        <v>61.399999999999991</v>
      </c>
      <c r="S16" s="170">
        <v>3</v>
      </c>
      <c r="T16" s="283"/>
      <c r="U16" s="281"/>
      <c r="V16" s="177" t="s">
        <v>483</v>
      </c>
      <c r="W16" s="170" t="s">
        <v>81</v>
      </c>
      <c r="X16" s="170" t="s">
        <v>18</v>
      </c>
      <c r="Y16" s="178">
        <v>33.299999999999997</v>
      </c>
      <c r="Z16" s="170" t="s">
        <v>484</v>
      </c>
      <c r="AA16" s="170" t="s">
        <v>17</v>
      </c>
      <c r="AB16" s="170" t="s">
        <v>11</v>
      </c>
      <c r="AC16" s="170">
        <v>8.6999999999999993</v>
      </c>
      <c r="AD16" s="177" t="s">
        <v>485</v>
      </c>
      <c r="AE16" s="170" t="s">
        <v>85</v>
      </c>
      <c r="AF16" s="170" t="s">
        <v>11</v>
      </c>
      <c r="AG16" s="178">
        <v>8.6999999999999993</v>
      </c>
      <c r="AH16" s="170" t="s">
        <v>486</v>
      </c>
      <c r="AI16" s="170" t="s">
        <v>22</v>
      </c>
      <c r="AJ16" s="170" t="s">
        <v>11</v>
      </c>
      <c r="AK16" s="170">
        <v>10.7</v>
      </c>
      <c r="AL16" s="177"/>
      <c r="AO16" s="178"/>
      <c r="AP16" s="177"/>
      <c r="AS16" s="178"/>
      <c r="AW16" s="178"/>
      <c r="BA16" s="179"/>
    </row>
    <row r="17" spans="1:53" s="170" customFormat="1" x14ac:dyDescent="0.15">
      <c r="A17" s="215">
        <v>1964</v>
      </c>
      <c r="B17" s="281"/>
      <c r="C17" s="395" t="s">
        <v>652</v>
      </c>
      <c r="D17" s="395"/>
      <c r="E17" s="170">
        <v>366</v>
      </c>
      <c r="G17" s="232">
        <v>7</v>
      </c>
      <c r="H17" s="170">
        <v>6</v>
      </c>
      <c r="J17" s="240">
        <v>13</v>
      </c>
      <c r="K17" s="213">
        <f t="shared" si="0"/>
        <v>53.846153846153847</v>
      </c>
      <c r="L17" s="213">
        <f t="shared" si="0"/>
        <v>46.153846153846153</v>
      </c>
      <c r="M17" s="213">
        <f t="shared" si="0"/>
        <v>0</v>
      </c>
      <c r="N17" s="234">
        <f t="shared" si="1"/>
        <v>100</v>
      </c>
      <c r="O17" s="212">
        <v>28.099999999999998</v>
      </c>
      <c r="P17" s="213">
        <v>33.299999999999997</v>
      </c>
      <c r="Q17" s="213"/>
      <c r="R17" s="214">
        <f t="shared" si="2"/>
        <v>61.399999999999991</v>
      </c>
      <c r="S17" s="170">
        <v>3</v>
      </c>
      <c r="T17" s="283"/>
      <c r="U17" s="281"/>
      <c r="V17" s="177" t="s">
        <v>483</v>
      </c>
      <c r="W17" s="170" t="s">
        <v>81</v>
      </c>
      <c r="X17" s="170" t="s">
        <v>18</v>
      </c>
      <c r="Y17" s="178">
        <v>33.299999999999997</v>
      </c>
      <c r="Z17" s="170" t="s">
        <v>484</v>
      </c>
      <c r="AA17" s="170" t="s">
        <v>17</v>
      </c>
      <c r="AB17" s="170" t="s">
        <v>11</v>
      </c>
      <c r="AC17" s="170">
        <v>8.6999999999999993</v>
      </c>
      <c r="AD17" s="177" t="s">
        <v>485</v>
      </c>
      <c r="AE17" s="170" t="s">
        <v>85</v>
      </c>
      <c r="AF17" s="170" t="s">
        <v>11</v>
      </c>
      <c r="AG17" s="178">
        <v>8.6999999999999993</v>
      </c>
      <c r="AH17" s="170" t="s">
        <v>486</v>
      </c>
      <c r="AI17" s="170" t="s">
        <v>22</v>
      </c>
      <c r="AJ17" s="170" t="s">
        <v>11</v>
      </c>
      <c r="AK17" s="170">
        <v>10.7</v>
      </c>
      <c r="AL17" s="177"/>
      <c r="AO17" s="178"/>
      <c r="AP17" s="177"/>
      <c r="AS17" s="178"/>
      <c r="AW17" s="178"/>
      <c r="BA17" s="179"/>
    </row>
    <row r="18" spans="1:53" s="170" customFormat="1" x14ac:dyDescent="0.15">
      <c r="A18" s="215">
        <v>1965</v>
      </c>
      <c r="B18" s="281"/>
      <c r="C18" s="395" t="s">
        <v>652</v>
      </c>
      <c r="D18" s="395"/>
      <c r="E18" s="170">
        <v>116</v>
      </c>
      <c r="G18" s="232">
        <v>7</v>
      </c>
      <c r="H18" s="170">
        <v>6</v>
      </c>
      <c r="J18" s="240">
        <v>13</v>
      </c>
      <c r="K18" s="213">
        <f t="shared" si="0"/>
        <v>53.846153846153847</v>
      </c>
      <c r="L18" s="213">
        <f t="shared" si="0"/>
        <v>46.153846153846153</v>
      </c>
      <c r="M18" s="213">
        <f t="shared" si="0"/>
        <v>0</v>
      </c>
      <c r="N18" s="234">
        <f t="shared" si="1"/>
        <v>100</v>
      </c>
      <c r="O18" s="212">
        <v>28.099999999999998</v>
      </c>
      <c r="P18" s="213">
        <v>33.299999999999997</v>
      </c>
      <c r="Q18" s="213"/>
      <c r="R18" s="214">
        <f t="shared" si="2"/>
        <v>61.399999999999991</v>
      </c>
      <c r="S18" s="170">
        <v>3</v>
      </c>
      <c r="T18" s="283"/>
      <c r="U18" s="281"/>
      <c r="V18" s="177" t="s">
        <v>483</v>
      </c>
      <c r="W18" s="170" t="s">
        <v>81</v>
      </c>
      <c r="X18" s="170" t="s">
        <v>18</v>
      </c>
      <c r="Y18" s="178">
        <v>33.299999999999997</v>
      </c>
      <c r="Z18" s="170" t="s">
        <v>484</v>
      </c>
      <c r="AA18" s="170" t="s">
        <v>17</v>
      </c>
      <c r="AB18" s="170" t="s">
        <v>11</v>
      </c>
      <c r="AC18" s="170">
        <v>8.6999999999999993</v>
      </c>
      <c r="AD18" s="177" t="s">
        <v>485</v>
      </c>
      <c r="AE18" s="170" t="s">
        <v>85</v>
      </c>
      <c r="AF18" s="170" t="s">
        <v>11</v>
      </c>
      <c r="AG18" s="178">
        <v>8.6999999999999993</v>
      </c>
      <c r="AH18" s="170" t="s">
        <v>486</v>
      </c>
      <c r="AI18" s="170" t="s">
        <v>22</v>
      </c>
      <c r="AJ18" s="170" t="s">
        <v>11</v>
      </c>
      <c r="AK18" s="170">
        <v>10.7</v>
      </c>
      <c r="AL18" s="177"/>
      <c r="AO18" s="178"/>
      <c r="AP18" s="177"/>
      <c r="AS18" s="178"/>
      <c r="AW18" s="178"/>
      <c r="BA18" s="179"/>
    </row>
    <row r="19" spans="1:53" s="28" customFormat="1" x14ac:dyDescent="0.15">
      <c r="A19" s="51">
        <v>1965</v>
      </c>
      <c r="B19" s="293">
        <v>23859</v>
      </c>
      <c r="C19" s="394" t="s">
        <v>653</v>
      </c>
      <c r="D19" s="394"/>
      <c r="E19" s="28">
        <f>365-E18</f>
        <v>249</v>
      </c>
      <c r="F19" s="28">
        <v>4</v>
      </c>
      <c r="G19" s="65">
        <v>2</v>
      </c>
      <c r="H19" s="28">
        <v>6</v>
      </c>
      <c r="I19" s="28">
        <v>5</v>
      </c>
      <c r="J19" s="72">
        <v>14</v>
      </c>
      <c r="K19" s="46">
        <f t="shared" si="0"/>
        <v>14.285714285714285</v>
      </c>
      <c r="L19" s="46">
        <f t="shared" si="0"/>
        <v>42.857142857142854</v>
      </c>
      <c r="M19" s="46">
        <f t="shared" si="0"/>
        <v>35.714285714285715</v>
      </c>
      <c r="N19" s="67">
        <f t="shared" si="1"/>
        <v>92.857142857142861</v>
      </c>
      <c r="O19" s="45">
        <v>8.6999999999999993</v>
      </c>
      <c r="P19" s="46">
        <v>33.299999999999997</v>
      </c>
      <c r="Q19" s="46">
        <v>28.7</v>
      </c>
      <c r="R19" s="47">
        <f t="shared" si="2"/>
        <v>70.7</v>
      </c>
      <c r="S19" s="28">
        <v>3</v>
      </c>
      <c r="T19" s="284"/>
      <c r="U19" s="293">
        <v>23859</v>
      </c>
      <c r="V19" s="37" t="s">
        <v>483</v>
      </c>
      <c r="W19" s="28" t="s">
        <v>81</v>
      </c>
      <c r="X19" s="28" t="s">
        <v>18</v>
      </c>
      <c r="Y19" s="38">
        <v>33.299999999999997</v>
      </c>
      <c r="Z19" s="28" t="s">
        <v>484</v>
      </c>
      <c r="AA19" s="28" t="s">
        <v>17</v>
      </c>
      <c r="AB19" s="28" t="s">
        <v>11</v>
      </c>
      <c r="AC19" s="28">
        <v>8.6999999999999993</v>
      </c>
      <c r="AD19" s="37" t="s">
        <v>487</v>
      </c>
      <c r="AE19" s="28" t="s">
        <v>20</v>
      </c>
      <c r="AF19" s="28" t="s">
        <v>12</v>
      </c>
      <c r="AG19" s="38">
        <v>28.7</v>
      </c>
      <c r="AL19" s="37"/>
      <c r="AO19" s="38"/>
      <c r="AP19" s="37"/>
      <c r="AS19" s="38"/>
      <c r="AW19" s="38"/>
      <c r="BA19" s="39"/>
    </row>
    <row r="20" spans="1:53" s="28" customFormat="1" x14ac:dyDescent="0.15">
      <c r="A20" s="51">
        <v>1966</v>
      </c>
      <c r="B20" s="293"/>
      <c r="C20" s="394" t="s">
        <v>653</v>
      </c>
      <c r="D20" s="394"/>
      <c r="E20" s="28">
        <v>325</v>
      </c>
      <c r="G20" s="65">
        <v>2</v>
      </c>
      <c r="H20" s="28">
        <v>6</v>
      </c>
      <c r="I20" s="28">
        <v>5</v>
      </c>
      <c r="J20" s="72">
        <v>14</v>
      </c>
      <c r="K20" s="46">
        <f t="shared" si="0"/>
        <v>14.285714285714285</v>
      </c>
      <c r="L20" s="46">
        <f t="shared" si="0"/>
        <v>42.857142857142854</v>
      </c>
      <c r="M20" s="46">
        <f t="shared" si="0"/>
        <v>35.714285714285715</v>
      </c>
      <c r="N20" s="67">
        <f t="shared" si="1"/>
        <v>92.857142857142861</v>
      </c>
      <c r="O20" s="45">
        <v>8.6999999999999993</v>
      </c>
      <c r="P20" s="46">
        <v>33.299999999999997</v>
      </c>
      <c r="Q20" s="46">
        <v>28.7</v>
      </c>
      <c r="R20" s="47">
        <f t="shared" si="2"/>
        <v>70.7</v>
      </c>
      <c r="S20" s="28">
        <v>3</v>
      </c>
      <c r="T20" s="284"/>
      <c r="U20" s="293"/>
      <c r="V20" s="37" t="s">
        <v>483</v>
      </c>
      <c r="W20" s="28" t="s">
        <v>81</v>
      </c>
      <c r="X20" s="28" t="s">
        <v>18</v>
      </c>
      <c r="Y20" s="38">
        <v>33.299999999999997</v>
      </c>
      <c r="Z20" s="28" t="s">
        <v>484</v>
      </c>
      <c r="AA20" s="28" t="s">
        <v>17</v>
      </c>
      <c r="AB20" s="28" t="s">
        <v>11</v>
      </c>
      <c r="AC20" s="28">
        <v>8.6999999999999993</v>
      </c>
      <c r="AD20" s="37" t="s">
        <v>487</v>
      </c>
      <c r="AE20" s="28" t="s">
        <v>20</v>
      </c>
      <c r="AF20" s="28" t="s">
        <v>12</v>
      </c>
      <c r="AG20" s="38">
        <v>28.7</v>
      </c>
      <c r="AL20" s="37"/>
      <c r="AO20" s="38"/>
      <c r="AP20" s="37"/>
      <c r="AS20" s="38"/>
      <c r="AW20" s="38"/>
      <c r="BA20" s="39"/>
    </row>
    <row r="21" spans="1:53" s="170" customFormat="1" x14ac:dyDescent="0.15">
      <c r="A21" s="215">
        <v>1966</v>
      </c>
      <c r="B21" s="281">
        <v>24433</v>
      </c>
      <c r="C21" s="395" t="s">
        <v>654</v>
      </c>
      <c r="D21" s="395"/>
      <c r="E21" s="170">
        <f>365-E20</f>
        <v>40</v>
      </c>
      <c r="F21" s="170">
        <v>5</v>
      </c>
      <c r="G21" s="232">
        <v>4</v>
      </c>
      <c r="H21" s="170">
        <v>9</v>
      </c>
      <c r="J21" s="240">
        <v>13</v>
      </c>
      <c r="K21" s="213">
        <f t="shared" si="0"/>
        <v>30.76923076923077</v>
      </c>
      <c r="L21" s="213">
        <f t="shared" si="0"/>
        <v>69.230769230769226</v>
      </c>
      <c r="M21" s="213">
        <f t="shared" si="0"/>
        <v>0</v>
      </c>
      <c r="N21" s="234">
        <f t="shared" si="1"/>
        <v>100</v>
      </c>
      <c r="O21" s="212">
        <v>8.6999999999999993</v>
      </c>
      <c r="P21" s="213">
        <v>33.299999999999997</v>
      </c>
      <c r="Q21" s="213"/>
      <c r="R21" s="214">
        <f t="shared" si="2"/>
        <v>42</v>
      </c>
      <c r="S21" s="170">
        <v>6</v>
      </c>
      <c r="T21" s="283"/>
      <c r="U21" s="281">
        <v>24433</v>
      </c>
      <c r="V21" s="177" t="s">
        <v>483</v>
      </c>
      <c r="W21" s="170" t="s">
        <v>81</v>
      </c>
      <c r="X21" s="170" t="s">
        <v>18</v>
      </c>
      <c r="Y21" s="178">
        <v>33.299999999999997</v>
      </c>
      <c r="Z21" s="170" t="s">
        <v>484</v>
      </c>
      <c r="AA21" s="170" t="s">
        <v>17</v>
      </c>
      <c r="AB21" s="170" t="s">
        <v>11</v>
      </c>
      <c r="AC21" s="170">
        <v>8.6999999999999993</v>
      </c>
      <c r="AD21" s="177"/>
      <c r="AG21" s="178"/>
      <c r="AL21" s="177"/>
      <c r="AO21" s="178"/>
      <c r="AP21" s="177"/>
      <c r="AS21" s="178"/>
      <c r="AW21" s="178"/>
      <c r="BA21" s="179"/>
    </row>
    <row r="22" spans="1:53" s="170" customFormat="1" x14ac:dyDescent="0.15">
      <c r="A22" s="215">
        <v>1967</v>
      </c>
      <c r="B22" s="281"/>
      <c r="C22" s="395" t="s">
        <v>654</v>
      </c>
      <c r="D22" s="395"/>
      <c r="E22" s="170">
        <v>92</v>
      </c>
      <c r="G22" s="232">
        <v>4</v>
      </c>
      <c r="H22" s="170">
        <v>9</v>
      </c>
      <c r="J22" s="240">
        <v>13</v>
      </c>
      <c r="K22" s="213">
        <f t="shared" si="0"/>
        <v>30.76923076923077</v>
      </c>
      <c r="L22" s="213">
        <f t="shared" si="0"/>
        <v>69.230769230769226</v>
      </c>
      <c r="M22" s="213">
        <f t="shared" si="0"/>
        <v>0</v>
      </c>
      <c r="N22" s="234">
        <f t="shared" si="1"/>
        <v>100</v>
      </c>
      <c r="O22" s="212">
        <v>8.6999999999999993</v>
      </c>
      <c r="P22" s="213">
        <v>33.299999999999997</v>
      </c>
      <c r="Q22" s="213"/>
      <c r="R22" s="214">
        <f t="shared" si="2"/>
        <v>42</v>
      </c>
      <c r="S22" s="170">
        <v>6</v>
      </c>
      <c r="T22" s="283"/>
      <c r="U22" s="281"/>
      <c r="V22" s="177" t="s">
        <v>483</v>
      </c>
      <c r="W22" s="170" t="s">
        <v>81</v>
      </c>
      <c r="X22" s="170" t="s">
        <v>18</v>
      </c>
      <c r="Y22" s="178">
        <v>33.299999999999997</v>
      </c>
      <c r="Z22" s="170" t="s">
        <v>484</v>
      </c>
      <c r="AA22" s="170" t="s">
        <v>17</v>
      </c>
      <c r="AB22" s="170" t="s">
        <v>11</v>
      </c>
      <c r="AC22" s="170">
        <v>8.6999999999999993</v>
      </c>
      <c r="AD22" s="177"/>
      <c r="AG22" s="178"/>
      <c r="AL22" s="177"/>
      <c r="AO22" s="178"/>
      <c r="AP22" s="177"/>
      <c r="AS22" s="178"/>
      <c r="AW22" s="178"/>
      <c r="BA22" s="179"/>
    </row>
    <row r="23" spans="1:53" s="28" customFormat="1" x14ac:dyDescent="0.15">
      <c r="A23" s="51">
        <v>1967</v>
      </c>
      <c r="B23" s="293">
        <v>24565</v>
      </c>
      <c r="C23" s="394" t="s">
        <v>807</v>
      </c>
      <c r="D23" s="394"/>
      <c r="E23" s="28">
        <f>365-E22</f>
        <v>273</v>
      </c>
      <c r="F23" s="28">
        <v>1</v>
      </c>
      <c r="G23" s="65">
        <v>8</v>
      </c>
      <c r="H23" s="28">
        <v>6</v>
      </c>
      <c r="J23" s="72">
        <v>14</v>
      </c>
      <c r="K23" s="46">
        <f t="shared" si="0"/>
        <v>57.142857142857139</v>
      </c>
      <c r="L23" s="46">
        <f t="shared" si="0"/>
        <v>42.857142857142854</v>
      </c>
      <c r="M23" s="46">
        <f t="shared" si="0"/>
        <v>0</v>
      </c>
      <c r="N23" s="67">
        <f t="shared" si="1"/>
        <v>100</v>
      </c>
      <c r="O23" s="45">
        <v>29.3</v>
      </c>
      <c r="P23" s="46">
        <v>28</v>
      </c>
      <c r="Q23" s="46"/>
      <c r="R23" s="47">
        <f t="shared" si="2"/>
        <v>57.3</v>
      </c>
      <c r="S23" s="28">
        <v>2</v>
      </c>
      <c r="T23" s="284">
        <v>24518</v>
      </c>
      <c r="U23" s="293">
        <v>24565</v>
      </c>
      <c r="V23" s="37" t="s">
        <v>483</v>
      </c>
      <c r="W23" s="28" t="s">
        <v>81</v>
      </c>
      <c r="X23" s="28" t="s">
        <v>18</v>
      </c>
      <c r="Y23" s="38">
        <v>28</v>
      </c>
      <c r="Z23" s="28" t="s">
        <v>484</v>
      </c>
      <c r="AA23" s="28" t="s">
        <v>17</v>
      </c>
      <c r="AB23" s="28" t="s">
        <v>11</v>
      </c>
      <c r="AC23" s="28">
        <v>10</v>
      </c>
      <c r="AD23" s="37" t="s">
        <v>485</v>
      </c>
      <c r="AE23" s="28" t="s">
        <v>85</v>
      </c>
      <c r="AF23" s="28" t="s">
        <v>11</v>
      </c>
      <c r="AG23" s="38">
        <v>8</v>
      </c>
      <c r="AH23" s="28" t="s">
        <v>486</v>
      </c>
      <c r="AI23" s="28" t="s">
        <v>22</v>
      </c>
      <c r="AJ23" s="28" t="s">
        <v>11</v>
      </c>
      <c r="AK23" s="28">
        <v>11.3</v>
      </c>
      <c r="AL23" s="37"/>
      <c r="AO23" s="38"/>
      <c r="AP23" s="37"/>
      <c r="AS23" s="38"/>
      <c r="AW23" s="38"/>
      <c r="BA23" s="39"/>
    </row>
    <row r="24" spans="1:53" s="28" customFormat="1" x14ac:dyDescent="0.15">
      <c r="A24" s="51">
        <v>1968</v>
      </c>
      <c r="B24" s="293"/>
      <c r="C24" s="394" t="s">
        <v>807</v>
      </c>
      <c r="D24" s="394"/>
      <c r="E24" s="28">
        <v>0</v>
      </c>
      <c r="G24" s="65">
        <v>8</v>
      </c>
      <c r="H24" s="28">
        <v>6</v>
      </c>
      <c r="J24" s="72">
        <v>14</v>
      </c>
      <c r="K24" s="46">
        <f t="shared" si="0"/>
        <v>57.142857142857139</v>
      </c>
      <c r="L24" s="46">
        <f t="shared" si="0"/>
        <v>42.857142857142854</v>
      </c>
      <c r="M24" s="46">
        <f t="shared" si="0"/>
        <v>0</v>
      </c>
      <c r="N24" s="67">
        <f t="shared" si="1"/>
        <v>100</v>
      </c>
      <c r="O24" s="45">
        <v>29.3</v>
      </c>
      <c r="P24" s="46">
        <v>28</v>
      </c>
      <c r="Q24" s="46"/>
      <c r="R24" s="47">
        <f t="shared" si="2"/>
        <v>57.3</v>
      </c>
      <c r="S24" s="28">
        <v>2</v>
      </c>
      <c r="T24" s="284"/>
      <c r="U24" s="293"/>
      <c r="V24" s="37" t="s">
        <v>483</v>
      </c>
      <c r="W24" s="28" t="s">
        <v>81</v>
      </c>
      <c r="X24" s="28" t="s">
        <v>18</v>
      </c>
      <c r="Y24" s="38">
        <v>28</v>
      </c>
      <c r="Z24" s="28" t="s">
        <v>484</v>
      </c>
      <c r="AA24" s="28" t="s">
        <v>17</v>
      </c>
      <c r="AB24" s="28" t="s">
        <v>11</v>
      </c>
      <c r="AC24" s="28">
        <v>10</v>
      </c>
      <c r="AD24" s="37" t="s">
        <v>485</v>
      </c>
      <c r="AE24" s="28" t="s">
        <v>85</v>
      </c>
      <c r="AF24" s="28" t="s">
        <v>11</v>
      </c>
      <c r="AG24" s="38">
        <v>8</v>
      </c>
      <c r="AH24" s="28" t="s">
        <v>486</v>
      </c>
      <c r="AI24" s="28" t="s">
        <v>22</v>
      </c>
      <c r="AJ24" s="28" t="s">
        <v>11</v>
      </c>
      <c r="AK24" s="28">
        <v>11.3</v>
      </c>
      <c r="AL24" s="37"/>
      <c r="AO24" s="38"/>
      <c r="AP24" s="37"/>
      <c r="AS24" s="38"/>
      <c r="AW24" s="38"/>
      <c r="BA24" s="39"/>
    </row>
    <row r="25" spans="1:53" s="28" customFormat="1" x14ac:dyDescent="0.15">
      <c r="A25" s="51">
        <v>1968</v>
      </c>
      <c r="B25" s="293"/>
      <c r="C25" s="394" t="s">
        <v>807</v>
      </c>
      <c r="D25" s="394"/>
      <c r="E25" s="28">
        <v>366</v>
      </c>
      <c r="G25" s="65">
        <v>8</v>
      </c>
      <c r="H25" s="28">
        <v>6</v>
      </c>
      <c r="J25" s="72">
        <v>14</v>
      </c>
      <c r="K25" s="46">
        <f t="shared" si="0"/>
        <v>57.142857142857139</v>
      </c>
      <c r="L25" s="46">
        <f t="shared" si="0"/>
        <v>42.857142857142854</v>
      </c>
      <c r="M25" s="46">
        <f t="shared" si="0"/>
        <v>0</v>
      </c>
      <c r="N25" s="67">
        <f t="shared" si="1"/>
        <v>100</v>
      </c>
      <c r="O25" s="45">
        <v>29.3</v>
      </c>
      <c r="P25" s="46">
        <v>28</v>
      </c>
      <c r="Q25" s="46"/>
      <c r="R25" s="47">
        <f t="shared" si="2"/>
        <v>57.3</v>
      </c>
      <c r="S25" s="28">
        <v>2</v>
      </c>
      <c r="T25" s="284"/>
      <c r="U25" s="293"/>
      <c r="V25" s="37" t="s">
        <v>483</v>
      </c>
      <c r="W25" s="28" t="s">
        <v>81</v>
      </c>
      <c r="X25" s="28" t="s">
        <v>18</v>
      </c>
      <c r="Y25" s="38">
        <v>28</v>
      </c>
      <c r="Z25" s="28" t="s">
        <v>484</v>
      </c>
      <c r="AA25" s="28" t="s">
        <v>17</v>
      </c>
      <c r="AB25" s="28" t="s">
        <v>11</v>
      </c>
      <c r="AC25" s="28">
        <v>10</v>
      </c>
      <c r="AD25" s="37" t="s">
        <v>485</v>
      </c>
      <c r="AE25" s="28" t="s">
        <v>85</v>
      </c>
      <c r="AF25" s="28" t="s">
        <v>11</v>
      </c>
      <c r="AG25" s="38">
        <v>8</v>
      </c>
      <c r="AH25" s="28" t="s">
        <v>486</v>
      </c>
      <c r="AI25" s="28" t="s">
        <v>22</v>
      </c>
      <c r="AJ25" s="28" t="s">
        <v>11</v>
      </c>
      <c r="AK25" s="28">
        <v>11.3</v>
      </c>
      <c r="AL25" s="37"/>
      <c r="AO25" s="38"/>
      <c r="AP25" s="37"/>
      <c r="AS25" s="38"/>
      <c r="AW25" s="38"/>
      <c r="BA25" s="39"/>
    </row>
    <row r="26" spans="1:53" s="28" customFormat="1" x14ac:dyDescent="0.15">
      <c r="A26" s="51">
        <v>1969</v>
      </c>
      <c r="B26" s="293"/>
      <c r="C26" s="394" t="s">
        <v>807</v>
      </c>
      <c r="D26" s="394"/>
      <c r="E26" s="28">
        <v>0</v>
      </c>
      <c r="G26" s="65">
        <v>8</v>
      </c>
      <c r="H26" s="28">
        <v>6</v>
      </c>
      <c r="J26" s="72">
        <v>14</v>
      </c>
      <c r="K26" s="46">
        <f t="shared" si="0"/>
        <v>57.142857142857139</v>
      </c>
      <c r="L26" s="46">
        <f t="shared" si="0"/>
        <v>42.857142857142854</v>
      </c>
      <c r="M26" s="46">
        <f t="shared" si="0"/>
        <v>0</v>
      </c>
      <c r="N26" s="67">
        <f t="shared" si="1"/>
        <v>100</v>
      </c>
      <c r="O26" s="45">
        <v>29.3</v>
      </c>
      <c r="P26" s="46">
        <v>28</v>
      </c>
      <c r="Q26" s="46"/>
      <c r="R26" s="47">
        <f t="shared" si="2"/>
        <v>57.3</v>
      </c>
      <c r="S26" s="28">
        <v>2</v>
      </c>
      <c r="T26" s="284"/>
      <c r="U26" s="293"/>
      <c r="V26" s="37" t="s">
        <v>483</v>
      </c>
      <c r="W26" s="28" t="s">
        <v>81</v>
      </c>
      <c r="X26" s="28" t="s">
        <v>18</v>
      </c>
      <c r="Y26" s="38">
        <v>28</v>
      </c>
      <c r="Z26" s="28" t="s">
        <v>484</v>
      </c>
      <c r="AA26" s="28" t="s">
        <v>17</v>
      </c>
      <c r="AB26" s="28" t="s">
        <v>11</v>
      </c>
      <c r="AC26" s="28">
        <v>10</v>
      </c>
      <c r="AD26" s="37" t="s">
        <v>485</v>
      </c>
      <c r="AE26" s="28" t="s">
        <v>85</v>
      </c>
      <c r="AF26" s="28" t="s">
        <v>11</v>
      </c>
      <c r="AG26" s="38">
        <v>8</v>
      </c>
      <c r="AH26" s="28" t="s">
        <v>486</v>
      </c>
      <c r="AI26" s="28" t="s">
        <v>22</v>
      </c>
      <c r="AJ26" s="28" t="s">
        <v>11</v>
      </c>
      <c r="AK26" s="28">
        <v>11.3</v>
      </c>
      <c r="AL26" s="37"/>
      <c r="AO26" s="38"/>
      <c r="AP26" s="37"/>
      <c r="AS26" s="38"/>
      <c r="AW26" s="38"/>
      <c r="BA26" s="39"/>
    </row>
    <row r="27" spans="1:53" s="28" customFormat="1" x14ac:dyDescent="0.15">
      <c r="A27" s="51">
        <v>1969</v>
      </c>
      <c r="B27" s="293"/>
      <c r="C27" s="394" t="s">
        <v>807</v>
      </c>
      <c r="D27" s="394"/>
      <c r="E27" s="28">
        <v>365</v>
      </c>
      <c r="G27" s="65">
        <v>8</v>
      </c>
      <c r="H27" s="28">
        <v>6</v>
      </c>
      <c r="J27" s="72">
        <v>14</v>
      </c>
      <c r="K27" s="46">
        <f t="shared" si="0"/>
        <v>57.142857142857139</v>
      </c>
      <c r="L27" s="46">
        <f t="shared" si="0"/>
        <v>42.857142857142854</v>
      </c>
      <c r="M27" s="46">
        <f t="shared" si="0"/>
        <v>0</v>
      </c>
      <c r="N27" s="67">
        <f t="shared" si="1"/>
        <v>100</v>
      </c>
      <c r="O27" s="45">
        <v>29.3</v>
      </c>
      <c r="P27" s="46">
        <v>28</v>
      </c>
      <c r="Q27" s="46"/>
      <c r="R27" s="47">
        <f t="shared" si="2"/>
        <v>57.3</v>
      </c>
      <c r="S27" s="28">
        <v>2</v>
      </c>
      <c r="T27" s="284"/>
      <c r="U27" s="293"/>
      <c r="V27" s="37" t="s">
        <v>483</v>
      </c>
      <c r="W27" s="28" t="s">
        <v>81</v>
      </c>
      <c r="X27" s="28" t="s">
        <v>18</v>
      </c>
      <c r="Y27" s="38">
        <v>28</v>
      </c>
      <c r="Z27" s="28" t="s">
        <v>484</v>
      </c>
      <c r="AA27" s="28" t="s">
        <v>17</v>
      </c>
      <c r="AB27" s="28" t="s">
        <v>11</v>
      </c>
      <c r="AC27" s="28">
        <v>10</v>
      </c>
      <c r="AD27" s="37" t="s">
        <v>485</v>
      </c>
      <c r="AE27" s="28" t="s">
        <v>85</v>
      </c>
      <c r="AF27" s="28" t="s">
        <v>11</v>
      </c>
      <c r="AG27" s="38">
        <v>8</v>
      </c>
      <c r="AH27" s="28" t="s">
        <v>486</v>
      </c>
      <c r="AI27" s="28" t="s">
        <v>22</v>
      </c>
      <c r="AJ27" s="28" t="s">
        <v>11</v>
      </c>
      <c r="AK27" s="28">
        <v>11.3</v>
      </c>
      <c r="AL27" s="37"/>
      <c r="AO27" s="38"/>
      <c r="AP27" s="37"/>
      <c r="AS27" s="38"/>
      <c r="AW27" s="38"/>
      <c r="BA27" s="39"/>
    </row>
    <row r="28" spans="1:53" s="28" customFormat="1" x14ac:dyDescent="0.15">
      <c r="A28" s="51">
        <v>1970</v>
      </c>
      <c r="B28" s="293"/>
      <c r="C28" s="394" t="s">
        <v>807</v>
      </c>
      <c r="D28" s="394"/>
      <c r="E28" s="28">
        <v>0</v>
      </c>
      <c r="G28" s="65">
        <v>8</v>
      </c>
      <c r="H28" s="28">
        <v>6</v>
      </c>
      <c r="J28" s="72">
        <v>14</v>
      </c>
      <c r="K28" s="46">
        <f t="shared" si="0"/>
        <v>57.142857142857139</v>
      </c>
      <c r="L28" s="46">
        <f t="shared" si="0"/>
        <v>42.857142857142854</v>
      </c>
      <c r="M28" s="46">
        <f t="shared" si="0"/>
        <v>0</v>
      </c>
      <c r="N28" s="67">
        <f t="shared" si="1"/>
        <v>100</v>
      </c>
      <c r="O28" s="45">
        <v>29.3</v>
      </c>
      <c r="P28" s="46">
        <v>28</v>
      </c>
      <c r="Q28" s="46"/>
      <c r="R28" s="47">
        <f t="shared" si="2"/>
        <v>57.3</v>
      </c>
      <c r="S28" s="28">
        <v>2</v>
      </c>
      <c r="T28" s="284"/>
      <c r="U28" s="293"/>
      <c r="V28" s="37" t="s">
        <v>483</v>
      </c>
      <c r="W28" s="28" t="s">
        <v>81</v>
      </c>
      <c r="X28" s="28" t="s">
        <v>18</v>
      </c>
      <c r="Y28" s="38">
        <v>28</v>
      </c>
      <c r="Z28" s="28" t="s">
        <v>484</v>
      </c>
      <c r="AA28" s="28" t="s">
        <v>17</v>
      </c>
      <c r="AB28" s="28" t="s">
        <v>11</v>
      </c>
      <c r="AC28" s="28">
        <v>10</v>
      </c>
      <c r="AD28" s="37" t="s">
        <v>485</v>
      </c>
      <c r="AE28" s="28" t="s">
        <v>85</v>
      </c>
      <c r="AF28" s="28" t="s">
        <v>11</v>
      </c>
      <c r="AG28" s="38">
        <v>8</v>
      </c>
      <c r="AH28" s="28" t="s">
        <v>486</v>
      </c>
      <c r="AI28" s="28" t="s">
        <v>22</v>
      </c>
      <c r="AJ28" s="28" t="s">
        <v>11</v>
      </c>
      <c r="AK28" s="28">
        <v>11.3</v>
      </c>
      <c r="AL28" s="37"/>
      <c r="AO28" s="38"/>
      <c r="AP28" s="37"/>
      <c r="AS28" s="38"/>
      <c r="AW28" s="38"/>
      <c r="BA28" s="39"/>
    </row>
    <row r="29" spans="1:53" s="28" customFormat="1" x14ac:dyDescent="0.15">
      <c r="A29" s="51">
        <v>1970</v>
      </c>
      <c r="B29" s="293"/>
      <c r="C29" s="394" t="s">
        <v>807</v>
      </c>
      <c r="D29" s="394"/>
      <c r="E29" s="28">
        <v>365</v>
      </c>
      <c r="G29" s="65">
        <v>8</v>
      </c>
      <c r="H29" s="28">
        <v>6</v>
      </c>
      <c r="J29" s="72">
        <v>14</v>
      </c>
      <c r="K29" s="46">
        <f t="shared" si="0"/>
        <v>57.142857142857139</v>
      </c>
      <c r="L29" s="46">
        <f t="shared" si="0"/>
        <v>42.857142857142854</v>
      </c>
      <c r="M29" s="46">
        <f t="shared" si="0"/>
        <v>0</v>
      </c>
      <c r="N29" s="67">
        <f t="shared" si="1"/>
        <v>100</v>
      </c>
      <c r="O29" s="45">
        <v>29.3</v>
      </c>
      <c r="P29" s="46">
        <v>28</v>
      </c>
      <c r="Q29" s="46"/>
      <c r="R29" s="47">
        <f t="shared" si="2"/>
        <v>57.3</v>
      </c>
      <c r="S29" s="28">
        <v>2</v>
      </c>
      <c r="T29" s="284"/>
      <c r="U29" s="293"/>
      <c r="V29" s="37" t="s">
        <v>483</v>
      </c>
      <c r="W29" s="28" t="s">
        <v>81</v>
      </c>
      <c r="X29" s="28" t="s">
        <v>18</v>
      </c>
      <c r="Y29" s="38">
        <v>28</v>
      </c>
      <c r="Z29" s="28" t="s">
        <v>484</v>
      </c>
      <c r="AA29" s="28" t="s">
        <v>17</v>
      </c>
      <c r="AB29" s="28" t="s">
        <v>11</v>
      </c>
      <c r="AC29" s="28">
        <v>10</v>
      </c>
      <c r="AD29" s="37" t="s">
        <v>485</v>
      </c>
      <c r="AE29" s="28" t="s">
        <v>85</v>
      </c>
      <c r="AF29" s="28" t="s">
        <v>11</v>
      </c>
      <c r="AG29" s="38">
        <v>8</v>
      </c>
      <c r="AH29" s="28" t="s">
        <v>486</v>
      </c>
      <c r="AI29" s="28" t="s">
        <v>22</v>
      </c>
      <c r="AJ29" s="28" t="s">
        <v>11</v>
      </c>
      <c r="AK29" s="28">
        <v>11.3</v>
      </c>
      <c r="AL29" s="37"/>
      <c r="AO29" s="38"/>
      <c r="AP29" s="37"/>
      <c r="AS29" s="38"/>
      <c r="AW29" s="38"/>
      <c r="BA29" s="39"/>
    </row>
    <row r="30" spans="1:53" s="28" customFormat="1" x14ac:dyDescent="0.15">
      <c r="A30" s="51">
        <v>1971</v>
      </c>
      <c r="B30" s="293"/>
      <c r="C30" s="394" t="s">
        <v>807</v>
      </c>
      <c r="D30" s="394"/>
      <c r="E30" s="28">
        <v>186</v>
      </c>
      <c r="G30" s="65">
        <v>8</v>
      </c>
      <c r="H30" s="28">
        <v>6</v>
      </c>
      <c r="J30" s="72">
        <v>14</v>
      </c>
      <c r="K30" s="46">
        <f t="shared" si="0"/>
        <v>57.142857142857139</v>
      </c>
      <c r="L30" s="46">
        <f t="shared" si="0"/>
        <v>42.857142857142854</v>
      </c>
      <c r="M30" s="46">
        <f t="shared" si="0"/>
        <v>0</v>
      </c>
      <c r="N30" s="67">
        <f t="shared" si="1"/>
        <v>100</v>
      </c>
      <c r="O30" s="45">
        <v>29.3</v>
      </c>
      <c r="P30" s="46">
        <v>28</v>
      </c>
      <c r="Q30" s="46"/>
      <c r="R30" s="47">
        <f t="shared" si="2"/>
        <v>57.3</v>
      </c>
      <c r="S30" s="28">
        <v>2</v>
      </c>
      <c r="T30" s="284"/>
      <c r="U30" s="293"/>
      <c r="V30" s="37" t="s">
        <v>483</v>
      </c>
      <c r="W30" s="28" t="s">
        <v>81</v>
      </c>
      <c r="X30" s="28" t="s">
        <v>18</v>
      </c>
      <c r="Y30" s="38">
        <v>28</v>
      </c>
      <c r="Z30" s="28" t="s">
        <v>484</v>
      </c>
      <c r="AA30" s="28" t="s">
        <v>17</v>
      </c>
      <c r="AB30" s="28" t="s">
        <v>11</v>
      </c>
      <c r="AC30" s="28">
        <v>10</v>
      </c>
      <c r="AD30" s="37" t="s">
        <v>485</v>
      </c>
      <c r="AE30" s="28" t="s">
        <v>85</v>
      </c>
      <c r="AF30" s="28" t="s">
        <v>11</v>
      </c>
      <c r="AG30" s="38">
        <v>8</v>
      </c>
      <c r="AH30" s="28" t="s">
        <v>486</v>
      </c>
      <c r="AI30" s="28" t="s">
        <v>22</v>
      </c>
      <c r="AJ30" s="28" t="s">
        <v>11</v>
      </c>
      <c r="AK30" s="28">
        <v>11.3</v>
      </c>
      <c r="AL30" s="37"/>
      <c r="AO30" s="38"/>
      <c r="AP30" s="37"/>
      <c r="AS30" s="38"/>
      <c r="AW30" s="38"/>
      <c r="BA30" s="39"/>
    </row>
    <row r="31" spans="1:53" s="170" customFormat="1" x14ac:dyDescent="0.15">
      <c r="A31" s="215">
        <v>1971</v>
      </c>
      <c r="B31" s="281">
        <v>26120</v>
      </c>
      <c r="C31" s="395" t="s">
        <v>655</v>
      </c>
      <c r="D31" s="395"/>
      <c r="E31" s="170">
        <v>179</v>
      </c>
      <c r="F31" s="170">
        <v>1</v>
      </c>
      <c r="G31" s="232">
        <v>8</v>
      </c>
      <c r="H31" s="170">
        <v>8</v>
      </c>
      <c r="J31" s="240">
        <v>16</v>
      </c>
      <c r="K31" s="213">
        <f t="shared" si="0"/>
        <v>50</v>
      </c>
      <c r="L31" s="213">
        <f t="shared" si="0"/>
        <v>50</v>
      </c>
      <c r="M31" s="213">
        <f t="shared" si="0"/>
        <v>0</v>
      </c>
      <c r="N31" s="234">
        <f t="shared" si="1"/>
        <v>100</v>
      </c>
      <c r="O31" s="212">
        <v>26.099999999999998</v>
      </c>
      <c r="P31" s="213">
        <v>28.6</v>
      </c>
      <c r="Q31" s="213"/>
      <c r="R31" s="214">
        <f t="shared" si="2"/>
        <v>54.7</v>
      </c>
      <c r="S31" s="170">
        <v>2</v>
      </c>
      <c r="T31" s="283">
        <v>26020</v>
      </c>
      <c r="U31" s="281">
        <v>26120</v>
      </c>
      <c r="V31" s="177" t="s">
        <v>483</v>
      </c>
      <c r="W31" s="170" t="s">
        <v>81</v>
      </c>
      <c r="X31" s="170" t="s">
        <v>18</v>
      </c>
      <c r="Y31" s="178">
        <v>23.3</v>
      </c>
      <c r="Z31" s="170" t="s">
        <v>484</v>
      </c>
      <c r="AA31" s="170" t="s">
        <v>17</v>
      </c>
      <c r="AB31" s="170" t="s">
        <v>11</v>
      </c>
      <c r="AC31" s="170">
        <v>8.6999999999999993</v>
      </c>
      <c r="AD31" s="177" t="s">
        <v>485</v>
      </c>
      <c r="AE31" s="170" t="s">
        <v>85</v>
      </c>
      <c r="AF31" s="170" t="s">
        <v>11</v>
      </c>
      <c r="AG31" s="178">
        <v>6.7</v>
      </c>
      <c r="AH31" s="170" t="s">
        <v>486</v>
      </c>
      <c r="AI31" s="170" t="s">
        <v>22</v>
      </c>
      <c r="AJ31" s="170" t="s">
        <v>11</v>
      </c>
      <c r="AK31" s="170">
        <v>10.7</v>
      </c>
      <c r="AL31" s="177" t="s">
        <v>488</v>
      </c>
      <c r="AM31" s="170" t="s">
        <v>97</v>
      </c>
      <c r="AN31" s="170" t="s">
        <v>18</v>
      </c>
      <c r="AO31" s="178">
        <v>5.3</v>
      </c>
      <c r="AP31" s="177"/>
      <c r="AS31" s="178"/>
      <c r="AW31" s="178"/>
      <c r="BA31" s="179"/>
    </row>
    <row r="32" spans="1:53" s="170" customFormat="1" x14ac:dyDescent="0.15">
      <c r="A32" s="215">
        <v>1972</v>
      </c>
      <c r="B32" s="281"/>
      <c r="C32" s="395" t="s">
        <v>655</v>
      </c>
      <c r="D32" s="395"/>
      <c r="E32" s="170">
        <v>229</v>
      </c>
      <c r="G32" s="232">
        <v>8</v>
      </c>
      <c r="H32" s="170">
        <v>8</v>
      </c>
      <c r="J32" s="240">
        <v>16</v>
      </c>
      <c r="K32" s="213">
        <f t="shared" si="0"/>
        <v>50</v>
      </c>
      <c r="L32" s="213">
        <f t="shared" si="0"/>
        <v>50</v>
      </c>
      <c r="M32" s="213">
        <f t="shared" si="0"/>
        <v>0</v>
      </c>
      <c r="N32" s="234">
        <f t="shared" si="1"/>
        <v>100</v>
      </c>
      <c r="O32" s="212">
        <v>26.099999999999998</v>
      </c>
      <c r="P32" s="213">
        <v>28.6</v>
      </c>
      <c r="Q32" s="213"/>
      <c r="R32" s="214">
        <f t="shared" si="2"/>
        <v>54.7</v>
      </c>
      <c r="S32" s="170">
        <v>2</v>
      </c>
      <c r="T32" s="283"/>
      <c r="U32" s="281"/>
      <c r="V32" s="177" t="s">
        <v>483</v>
      </c>
      <c r="W32" s="170" t="s">
        <v>81</v>
      </c>
      <c r="X32" s="170" t="s">
        <v>18</v>
      </c>
      <c r="Y32" s="178">
        <v>23.3</v>
      </c>
      <c r="Z32" s="170" t="s">
        <v>484</v>
      </c>
      <c r="AA32" s="170" t="s">
        <v>17</v>
      </c>
      <c r="AB32" s="170" t="s">
        <v>11</v>
      </c>
      <c r="AC32" s="170">
        <v>8.6999999999999993</v>
      </c>
      <c r="AD32" s="177" t="s">
        <v>485</v>
      </c>
      <c r="AE32" s="170" t="s">
        <v>85</v>
      </c>
      <c r="AF32" s="170" t="s">
        <v>11</v>
      </c>
      <c r="AG32" s="178">
        <v>6.7</v>
      </c>
      <c r="AH32" s="170" t="s">
        <v>486</v>
      </c>
      <c r="AI32" s="170" t="s">
        <v>22</v>
      </c>
      <c r="AJ32" s="170" t="s">
        <v>11</v>
      </c>
      <c r="AK32" s="170">
        <v>10.7</v>
      </c>
      <c r="AL32" s="177" t="s">
        <v>488</v>
      </c>
      <c r="AM32" s="170" t="s">
        <v>97</v>
      </c>
      <c r="AN32" s="170" t="s">
        <v>18</v>
      </c>
      <c r="AO32" s="178">
        <v>5.3</v>
      </c>
      <c r="AP32" s="177"/>
      <c r="AS32" s="178"/>
      <c r="AW32" s="178"/>
      <c r="BA32" s="179"/>
    </row>
    <row r="33" spans="1:53" s="28" customFormat="1" x14ac:dyDescent="0.15">
      <c r="A33" s="51">
        <v>1972</v>
      </c>
      <c r="B33" s="293">
        <v>26528</v>
      </c>
      <c r="C33" s="394" t="s">
        <v>656</v>
      </c>
      <c r="D33" s="394"/>
      <c r="E33" s="28">
        <f>366-E32</f>
        <v>137</v>
      </c>
      <c r="F33" s="28">
        <v>4</v>
      </c>
      <c r="G33" s="65">
        <v>8</v>
      </c>
      <c r="H33" s="28">
        <v>6</v>
      </c>
      <c r="J33" s="72">
        <v>14</v>
      </c>
      <c r="K33" s="46">
        <f t="shared" si="0"/>
        <v>57.142857142857139</v>
      </c>
      <c r="L33" s="46">
        <f t="shared" si="0"/>
        <v>42.857142857142854</v>
      </c>
      <c r="M33" s="46">
        <f t="shared" si="0"/>
        <v>0</v>
      </c>
      <c r="N33" s="67">
        <f t="shared" si="1"/>
        <v>100</v>
      </c>
      <c r="O33" s="45">
        <v>26.099999999999998</v>
      </c>
      <c r="P33" s="46">
        <v>23.3</v>
      </c>
      <c r="Q33" s="46"/>
      <c r="R33" s="47">
        <f t="shared" si="2"/>
        <v>49.4</v>
      </c>
      <c r="S33" s="28">
        <v>6</v>
      </c>
      <c r="T33" s="284">
        <v>26632</v>
      </c>
      <c r="U33" s="293">
        <v>26528</v>
      </c>
      <c r="V33" s="37" t="s">
        <v>483</v>
      </c>
      <c r="W33" s="28" t="s">
        <v>81</v>
      </c>
      <c r="X33" s="28" t="s">
        <v>18</v>
      </c>
      <c r="Y33" s="38">
        <v>23.3</v>
      </c>
      <c r="Z33" s="28" t="s">
        <v>484</v>
      </c>
      <c r="AA33" s="28" t="s">
        <v>17</v>
      </c>
      <c r="AB33" s="28" t="s">
        <v>11</v>
      </c>
      <c r="AC33" s="28">
        <v>8.6999999999999993</v>
      </c>
      <c r="AD33" s="37" t="s">
        <v>485</v>
      </c>
      <c r="AE33" s="28" t="s">
        <v>85</v>
      </c>
      <c r="AF33" s="28" t="s">
        <v>11</v>
      </c>
      <c r="AG33" s="38">
        <v>6.7</v>
      </c>
      <c r="AH33" s="28" t="s">
        <v>486</v>
      </c>
      <c r="AI33" s="28" t="s">
        <v>22</v>
      </c>
      <c r="AJ33" s="28" t="s">
        <v>11</v>
      </c>
      <c r="AK33" s="28">
        <v>10.7</v>
      </c>
      <c r="AL33" s="37"/>
      <c r="AO33" s="38"/>
      <c r="AP33" s="37"/>
      <c r="AS33" s="38"/>
      <c r="AW33" s="38"/>
      <c r="BA33" s="39"/>
    </row>
    <row r="34" spans="1:53" s="28" customFormat="1" x14ac:dyDescent="0.15">
      <c r="A34" s="51">
        <v>1973</v>
      </c>
      <c r="B34" s="293"/>
      <c r="C34" s="394" t="s">
        <v>656</v>
      </c>
      <c r="D34" s="394"/>
      <c r="E34" s="28">
        <v>130</v>
      </c>
      <c r="G34" s="65">
        <v>8</v>
      </c>
      <c r="H34" s="28">
        <v>6</v>
      </c>
      <c r="J34" s="72">
        <v>14</v>
      </c>
      <c r="K34" s="46">
        <f t="shared" si="0"/>
        <v>57.142857142857139</v>
      </c>
      <c r="L34" s="46">
        <f t="shared" si="0"/>
        <v>42.857142857142854</v>
      </c>
      <c r="M34" s="46">
        <f t="shared" si="0"/>
        <v>0</v>
      </c>
      <c r="N34" s="67">
        <f t="shared" si="1"/>
        <v>100</v>
      </c>
      <c r="O34" s="45">
        <v>26.099999999999998</v>
      </c>
      <c r="P34" s="46">
        <v>23.3</v>
      </c>
      <c r="Q34" s="46"/>
      <c r="R34" s="47">
        <f t="shared" si="2"/>
        <v>49.4</v>
      </c>
      <c r="S34" s="28">
        <v>6</v>
      </c>
      <c r="T34" s="284"/>
      <c r="U34" s="293"/>
      <c r="V34" s="37" t="s">
        <v>483</v>
      </c>
      <c r="W34" s="28" t="s">
        <v>81</v>
      </c>
      <c r="X34" s="28" t="s">
        <v>18</v>
      </c>
      <c r="Y34" s="38">
        <v>23.3</v>
      </c>
      <c r="Z34" s="28" t="s">
        <v>484</v>
      </c>
      <c r="AA34" s="28" t="s">
        <v>17</v>
      </c>
      <c r="AB34" s="28" t="s">
        <v>11</v>
      </c>
      <c r="AC34" s="28">
        <v>8.6999999999999993</v>
      </c>
      <c r="AD34" s="37" t="s">
        <v>485</v>
      </c>
      <c r="AE34" s="28" t="s">
        <v>85</v>
      </c>
      <c r="AF34" s="28" t="s">
        <v>11</v>
      </c>
      <c r="AG34" s="38">
        <v>6.7</v>
      </c>
      <c r="AH34" s="28" t="s">
        <v>486</v>
      </c>
      <c r="AI34" s="28" t="s">
        <v>22</v>
      </c>
      <c r="AJ34" s="28" t="s">
        <v>11</v>
      </c>
      <c r="AK34" s="28">
        <v>10.7</v>
      </c>
      <c r="AL34" s="37"/>
      <c r="AO34" s="38"/>
      <c r="AP34" s="37"/>
      <c r="AS34" s="38"/>
      <c r="AW34" s="38"/>
      <c r="BA34" s="39"/>
    </row>
    <row r="35" spans="1:53" s="170" customFormat="1" x14ac:dyDescent="0.15">
      <c r="A35" s="215">
        <v>1973</v>
      </c>
      <c r="B35" s="281">
        <v>26795</v>
      </c>
      <c r="C35" s="395" t="s">
        <v>808</v>
      </c>
      <c r="D35" s="395"/>
      <c r="E35" s="170">
        <f>365-E34</f>
        <v>235</v>
      </c>
      <c r="F35" s="170">
        <v>1</v>
      </c>
      <c r="G35" s="232">
        <v>2</v>
      </c>
      <c r="H35" s="170">
        <v>5</v>
      </c>
      <c r="I35" s="170">
        <v>9</v>
      </c>
      <c r="J35" s="240">
        <v>16</v>
      </c>
      <c r="K35" s="213">
        <f t="shared" si="0"/>
        <v>12.5</v>
      </c>
      <c r="L35" s="213">
        <f t="shared" si="0"/>
        <v>31.25</v>
      </c>
      <c r="M35" s="213">
        <f t="shared" si="0"/>
        <v>56.25</v>
      </c>
      <c r="N35" s="234">
        <f t="shared" si="1"/>
        <v>100</v>
      </c>
      <c r="O35" s="212">
        <v>9.3000000000000007</v>
      </c>
      <c r="P35" s="213">
        <v>22</v>
      </c>
      <c r="Q35" s="213">
        <v>33.4</v>
      </c>
      <c r="R35" s="214">
        <f t="shared" si="2"/>
        <v>64.7</v>
      </c>
      <c r="S35" s="170">
        <v>3</v>
      </c>
      <c r="T35" s="283"/>
      <c r="U35" s="281">
        <v>26795</v>
      </c>
      <c r="V35" s="177" t="s">
        <v>483</v>
      </c>
      <c r="W35" s="170" t="s">
        <v>81</v>
      </c>
      <c r="X35" s="170" t="s">
        <v>18</v>
      </c>
      <c r="Y35" s="178">
        <v>18</v>
      </c>
      <c r="Z35" s="170" t="s">
        <v>484</v>
      </c>
      <c r="AA35" s="170" t="s">
        <v>17</v>
      </c>
      <c r="AB35" s="170" t="s">
        <v>11</v>
      </c>
      <c r="AC35" s="170">
        <v>9.3000000000000007</v>
      </c>
      <c r="AD35" s="177" t="s">
        <v>487</v>
      </c>
      <c r="AE35" s="170" t="s">
        <v>20</v>
      </c>
      <c r="AF35" s="170" t="s">
        <v>12</v>
      </c>
      <c r="AG35" s="178">
        <v>28.7</v>
      </c>
      <c r="AH35" s="170" t="s">
        <v>489</v>
      </c>
      <c r="AI35" s="170" t="s">
        <v>87</v>
      </c>
      <c r="AJ35" s="170" t="s">
        <v>18</v>
      </c>
      <c r="AK35" s="170">
        <v>4</v>
      </c>
      <c r="AL35" s="177" t="s">
        <v>564</v>
      </c>
      <c r="AM35" s="170" t="s">
        <v>324</v>
      </c>
      <c r="AN35" s="170" t="s">
        <v>12</v>
      </c>
      <c r="AO35" s="178">
        <v>4.7</v>
      </c>
      <c r="AP35" s="177"/>
      <c r="AS35" s="178"/>
      <c r="AW35" s="178"/>
      <c r="BA35" s="179"/>
    </row>
    <row r="36" spans="1:53" s="170" customFormat="1" x14ac:dyDescent="0.15">
      <c r="A36" s="215">
        <v>1974</v>
      </c>
      <c r="B36" s="281"/>
      <c r="C36" s="395" t="s">
        <v>808</v>
      </c>
      <c r="D36" s="395"/>
      <c r="E36" s="170">
        <v>0</v>
      </c>
      <c r="G36" s="232">
        <v>2</v>
      </c>
      <c r="H36" s="170">
        <v>5</v>
      </c>
      <c r="I36" s="170">
        <v>9</v>
      </c>
      <c r="J36" s="240">
        <v>16</v>
      </c>
      <c r="K36" s="213">
        <f t="shared" si="0"/>
        <v>12.5</v>
      </c>
      <c r="L36" s="213">
        <f t="shared" si="0"/>
        <v>31.25</v>
      </c>
      <c r="M36" s="213">
        <f t="shared" si="0"/>
        <v>56.25</v>
      </c>
      <c r="N36" s="234">
        <f t="shared" si="1"/>
        <v>100</v>
      </c>
      <c r="O36" s="212">
        <v>9.3000000000000007</v>
      </c>
      <c r="P36" s="213">
        <v>22</v>
      </c>
      <c r="Q36" s="213">
        <v>33.4</v>
      </c>
      <c r="R36" s="214">
        <f t="shared" si="2"/>
        <v>64.7</v>
      </c>
      <c r="S36" s="170">
        <v>3</v>
      </c>
      <c r="T36" s="283"/>
      <c r="U36" s="281"/>
      <c r="V36" s="177" t="s">
        <v>483</v>
      </c>
      <c r="W36" s="170" t="s">
        <v>81</v>
      </c>
      <c r="X36" s="170" t="s">
        <v>18</v>
      </c>
      <c r="Y36" s="178">
        <v>18</v>
      </c>
      <c r="Z36" s="170" t="s">
        <v>484</v>
      </c>
      <c r="AA36" s="170" t="s">
        <v>17</v>
      </c>
      <c r="AB36" s="170" t="s">
        <v>11</v>
      </c>
      <c r="AC36" s="170">
        <v>9.3000000000000007</v>
      </c>
      <c r="AD36" s="177" t="s">
        <v>487</v>
      </c>
      <c r="AE36" s="170" t="s">
        <v>20</v>
      </c>
      <c r="AF36" s="170" t="s">
        <v>12</v>
      </c>
      <c r="AG36" s="178">
        <v>28.7</v>
      </c>
      <c r="AH36" s="170" t="s">
        <v>489</v>
      </c>
      <c r="AI36" s="170" t="s">
        <v>87</v>
      </c>
      <c r="AJ36" s="170" t="s">
        <v>18</v>
      </c>
      <c r="AK36" s="170">
        <v>4</v>
      </c>
      <c r="AL36" s="177" t="s">
        <v>564</v>
      </c>
      <c r="AM36" s="170" t="s">
        <v>324</v>
      </c>
      <c r="AN36" s="170" t="s">
        <v>12</v>
      </c>
      <c r="AO36" s="178">
        <v>4.7</v>
      </c>
      <c r="AP36" s="177"/>
      <c r="AS36" s="178"/>
      <c r="AW36" s="178"/>
      <c r="BA36" s="179"/>
    </row>
    <row r="37" spans="1:53" s="170" customFormat="1" x14ac:dyDescent="0.15">
      <c r="A37" s="215">
        <v>1974</v>
      </c>
      <c r="B37" s="281"/>
      <c r="C37" s="395" t="s">
        <v>808</v>
      </c>
      <c r="D37" s="395"/>
      <c r="E37" s="170">
        <v>365</v>
      </c>
      <c r="G37" s="232">
        <v>2</v>
      </c>
      <c r="H37" s="170">
        <v>5</v>
      </c>
      <c r="I37" s="170">
        <v>9</v>
      </c>
      <c r="J37" s="240">
        <v>16</v>
      </c>
      <c r="K37" s="213">
        <f t="shared" si="0"/>
        <v>12.5</v>
      </c>
      <c r="L37" s="213">
        <f t="shared" si="0"/>
        <v>31.25</v>
      </c>
      <c r="M37" s="213">
        <f t="shared" si="0"/>
        <v>56.25</v>
      </c>
      <c r="N37" s="234">
        <f t="shared" si="1"/>
        <v>100</v>
      </c>
      <c r="O37" s="212">
        <v>9.3000000000000007</v>
      </c>
      <c r="P37" s="213">
        <v>22</v>
      </c>
      <c r="Q37" s="213">
        <v>33.4</v>
      </c>
      <c r="R37" s="214">
        <f t="shared" si="2"/>
        <v>64.7</v>
      </c>
      <c r="S37" s="170">
        <v>3</v>
      </c>
      <c r="T37" s="283"/>
      <c r="U37" s="281"/>
      <c r="V37" s="177" t="s">
        <v>483</v>
      </c>
      <c r="W37" s="170" t="s">
        <v>81</v>
      </c>
      <c r="X37" s="170" t="s">
        <v>18</v>
      </c>
      <c r="Y37" s="178">
        <v>18</v>
      </c>
      <c r="Z37" s="170" t="s">
        <v>484</v>
      </c>
      <c r="AA37" s="170" t="s">
        <v>17</v>
      </c>
      <c r="AB37" s="170" t="s">
        <v>11</v>
      </c>
      <c r="AC37" s="170">
        <v>9.3000000000000007</v>
      </c>
      <c r="AD37" s="177" t="s">
        <v>487</v>
      </c>
      <c r="AE37" s="170" t="s">
        <v>20</v>
      </c>
      <c r="AF37" s="170" t="s">
        <v>12</v>
      </c>
      <c r="AG37" s="178">
        <v>28.7</v>
      </c>
      <c r="AH37" s="170" t="s">
        <v>489</v>
      </c>
      <c r="AI37" s="170" t="s">
        <v>87</v>
      </c>
      <c r="AJ37" s="170" t="s">
        <v>18</v>
      </c>
      <c r="AK37" s="170">
        <v>4</v>
      </c>
      <c r="AL37" s="177" t="s">
        <v>564</v>
      </c>
      <c r="AM37" s="170" t="s">
        <v>324</v>
      </c>
      <c r="AN37" s="170" t="s">
        <v>12</v>
      </c>
      <c r="AO37" s="178">
        <v>4.7</v>
      </c>
      <c r="AP37" s="177"/>
      <c r="AS37" s="178"/>
      <c r="AW37" s="178"/>
      <c r="BA37" s="179"/>
    </row>
    <row r="38" spans="1:53" s="170" customFormat="1" x14ac:dyDescent="0.15">
      <c r="A38" s="215">
        <v>1975</v>
      </c>
      <c r="B38" s="281"/>
      <c r="C38" s="395" t="s">
        <v>808</v>
      </c>
      <c r="D38" s="395"/>
      <c r="E38" s="170">
        <v>0</v>
      </c>
      <c r="G38" s="232">
        <v>2</v>
      </c>
      <c r="H38" s="170">
        <v>5</v>
      </c>
      <c r="I38" s="170">
        <v>9</v>
      </c>
      <c r="J38" s="240">
        <v>16</v>
      </c>
      <c r="K38" s="213">
        <f t="shared" si="0"/>
        <v>12.5</v>
      </c>
      <c r="L38" s="213">
        <f t="shared" si="0"/>
        <v>31.25</v>
      </c>
      <c r="M38" s="213">
        <f t="shared" si="0"/>
        <v>56.25</v>
      </c>
      <c r="N38" s="234">
        <f t="shared" si="1"/>
        <v>100</v>
      </c>
      <c r="O38" s="212">
        <v>9.3000000000000007</v>
      </c>
      <c r="P38" s="213">
        <v>22</v>
      </c>
      <c r="Q38" s="213">
        <v>33.4</v>
      </c>
      <c r="R38" s="214">
        <f t="shared" si="2"/>
        <v>64.7</v>
      </c>
      <c r="S38" s="170">
        <v>3</v>
      </c>
      <c r="T38" s="283"/>
      <c r="U38" s="281"/>
      <c r="V38" s="177" t="s">
        <v>483</v>
      </c>
      <c r="W38" s="170" t="s">
        <v>81</v>
      </c>
      <c r="X38" s="170" t="s">
        <v>18</v>
      </c>
      <c r="Y38" s="178">
        <v>18</v>
      </c>
      <c r="Z38" s="170" t="s">
        <v>484</v>
      </c>
      <c r="AA38" s="170" t="s">
        <v>17</v>
      </c>
      <c r="AB38" s="170" t="s">
        <v>11</v>
      </c>
      <c r="AC38" s="170">
        <v>9.3000000000000007</v>
      </c>
      <c r="AD38" s="177" t="s">
        <v>487</v>
      </c>
      <c r="AE38" s="170" t="s">
        <v>20</v>
      </c>
      <c r="AF38" s="170" t="s">
        <v>12</v>
      </c>
      <c r="AG38" s="178">
        <v>28.7</v>
      </c>
      <c r="AH38" s="170" t="s">
        <v>489</v>
      </c>
      <c r="AI38" s="170" t="s">
        <v>87</v>
      </c>
      <c r="AJ38" s="170" t="s">
        <v>18</v>
      </c>
      <c r="AK38" s="170">
        <v>4</v>
      </c>
      <c r="AL38" s="177" t="s">
        <v>564</v>
      </c>
      <c r="AM38" s="170" t="s">
        <v>324</v>
      </c>
      <c r="AN38" s="170" t="s">
        <v>12</v>
      </c>
      <c r="AO38" s="178">
        <v>4.7</v>
      </c>
      <c r="AP38" s="177"/>
      <c r="AS38" s="178"/>
      <c r="AW38" s="178"/>
      <c r="BA38" s="179"/>
    </row>
    <row r="39" spans="1:53" s="170" customFormat="1" x14ac:dyDescent="0.15">
      <c r="A39" s="215">
        <v>1975</v>
      </c>
      <c r="B39" s="281"/>
      <c r="C39" s="395" t="s">
        <v>808</v>
      </c>
      <c r="D39" s="395"/>
      <c r="E39" s="170">
        <v>365</v>
      </c>
      <c r="G39" s="232">
        <v>2</v>
      </c>
      <c r="H39" s="170">
        <v>5</v>
      </c>
      <c r="I39" s="170">
        <v>9</v>
      </c>
      <c r="J39" s="240">
        <v>16</v>
      </c>
      <c r="K39" s="213">
        <f t="shared" si="0"/>
        <v>12.5</v>
      </c>
      <c r="L39" s="213">
        <f t="shared" si="0"/>
        <v>31.25</v>
      </c>
      <c r="M39" s="213">
        <f t="shared" si="0"/>
        <v>56.25</v>
      </c>
      <c r="N39" s="234">
        <f t="shared" si="1"/>
        <v>100</v>
      </c>
      <c r="O39" s="212">
        <v>9.3000000000000007</v>
      </c>
      <c r="P39" s="213">
        <v>22</v>
      </c>
      <c r="Q39" s="213">
        <v>33.4</v>
      </c>
      <c r="R39" s="214">
        <f t="shared" si="2"/>
        <v>64.7</v>
      </c>
      <c r="S39" s="170">
        <v>3</v>
      </c>
      <c r="T39" s="283"/>
      <c r="U39" s="281"/>
      <c r="V39" s="177" t="s">
        <v>483</v>
      </c>
      <c r="W39" s="170" t="s">
        <v>81</v>
      </c>
      <c r="X39" s="170" t="s">
        <v>18</v>
      </c>
      <c r="Y39" s="178">
        <v>18</v>
      </c>
      <c r="Z39" s="170" t="s">
        <v>484</v>
      </c>
      <c r="AA39" s="170" t="s">
        <v>17</v>
      </c>
      <c r="AB39" s="170" t="s">
        <v>11</v>
      </c>
      <c r="AC39" s="170">
        <v>9.3000000000000007</v>
      </c>
      <c r="AD39" s="177" t="s">
        <v>487</v>
      </c>
      <c r="AE39" s="170" t="s">
        <v>20</v>
      </c>
      <c r="AF39" s="170" t="s">
        <v>12</v>
      </c>
      <c r="AG39" s="178">
        <v>28.7</v>
      </c>
      <c r="AH39" s="170" t="s">
        <v>489</v>
      </c>
      <c r="AI39" s="170" t="s">
        <v>87</v>
      </c>
      <c r="AJ39" s="170" t="s">
        <v>18</v>
      </c>
      <c r="AK39" s="170">
        <v>4</v>
      </c>
      <c r="AL39" s="177" t="s">
        <v>564</v>
      </c>
      <c r="AM39" s="170" t="s">
        <v>324</v>
      </c>
      <c r="AN39" s="170" t="s">
        <v>12</v>
      </c>
      <c r="AO39" s="178">
        <v>4.7</v>
      </c>
      <c r="AP39" s="177"/>
      <c r="AS39" s="178"/>
      <c r="AW39" s="178"/>
      <c r="BA39" s="179"/>
    </row>
    <row r="40" spans="1:53" s="170" customFormat="1" x14ac:dyDescent="0.15">
      <c r="A40" s="215">
        <v>1976</v>
      </c>
      <c r="B40" s="281"/>
      <c r="C40" s="395" t="s">
        <v>808</v>
      </c>
      <c r="D40" s="395"/>
      <c r="E40" s="170">
        <v>0</v>
      </c>
      <c r="G40" s="232">
        <v>2</v>
      </c>
      <c r="H40" s="170">
        <v>5</v>
      </c>
      <c r="I40" s="170">
        <v>9</v>
      </c>
      <c r="J40" s="240">
        <v>16</v>
      </c>
      <c r="K40" s="213">
        <f t="shared" si="0"/>
        <v>12.5</v>
      </c>
      <c r="L40" s="213">
        <f t="shared" si="0"/>
        <v>31.25</v>
      </c>
      <c r="M40" s="213">
        <f t="shared" si="0"/>
        <v>56.25</v>
      </c>
      <c r="N40" s="234">
        <f t="shared" si="1"/>
        <v>100</v>
      </c>
      <c r="O40" s="212">
        <v>9.3000000000000007</v>
      </c>
      <c r="P40" s="213">
        <v>22</v>
      </c>
      <c r="Q40" s="213">
        <v>33.4</v>
      </c>
      <c r="R40" s="214">
        <f t="shared" si="2"/>
        <v>64.7</v>
      </c>
      <c r="S40" s="170">
        <v>3</v>
      </c>
      <c r="T40" s="283"/>
      <c r="U40" s="281"/>
      <c r="V40" s="177" t="s">
        <v>483</v>
      </c>
      <c r="W40" s="170" t="s">
        <v>81</v>
      </c>
      <c r="X40" s="170" t="s">
        <v>18</v>
      </c>
      <c r="Y40" s="178">
        <v>18</v>
      </c>
      <c r="Z40" s="170" t="s">
        <v>484</v>
      </c>
      <c r="AA40" s="170" t="s">
        <v>17</v>
      </c>
      <c r="AB40" s="170" t="s">
        <v>11</v>
      </c>
      <c r="AC40" s="170">
        <v>9.3000000000000007</v>
      </c>
      <c r="AD40" s="177" t="s">
        <v>487</v>
      </c>
      <c r="AE40" s="170" t="s">
        <v>20</v>
      </c>
      <c r="AF40" s="170" t="s">
        <v>12</v>
      </c>
      <c r="AG40" s="178">
        <v>28.7</v>
      </c>
      <c r="AH40" s="170" t="s">
        <v>489</v>
      </c>
      <c r="AI40" s="170" t="s">
        <v>87</v>
      </c>
      <c r="AJ40" s="170" t="s">
        <v>18</v>
      </c>
      <c r="AK40" s="170">
        <v>4</v>
      </c>
      <c r="AL40" s="177" t="s">
        <v>564</v>
      </c>
      <c r="AM40" s="170" t="s">
        <v>324</v>
      </c>
      <c r="AN40" s="170" t="s">
        <v>12</v>
      </c>
      <c r="AO40" s="178">
        <v>4.7</v>
      </c>
      <c r="AP40" s="177"/>
      <c r="AS40" s="178"/>
      <c r="AW40" s="178"/>
      <c r="BA40" s="179"/>
    </row>
    <row r="41" spans="1:53" s="170" customFormat="1" x14ac:dyDescent="0.15">
      <c r="A41" s="215">
        <v>1976</v>
      </c>
      <c r="B41" s="281"/>
      <c r="C41" s="395" t="s">
        <v>808</v>
      </c>
      <c r="D41" s="395"/>
      <c r="E41" s="170">
        <v>366</v>
      </c>
      <c r="G41" s="232">
        <v>2</v>
      </c>
      <c r="H41" s="170">
        <v>5</v>
      </c>
      <c r="I41" s="170">
        <v>9</v>
      </c>
      <c r="J41" s="240">
        <v>16</v>
      </c>
      <c r="K41" s="213">
        <f t="shared" si="0"/>
        <v>12.5</v>
      </c>
      <c r="L41" s="213">
        <f t="shared" si="0"/>
        <v>31.25</v>
      </c>
      <c r="M41" s="213">
        <f t="shared" si="0"/>
        <v>56.25</v>
      </c>
      <c r="N41" s="234">
        <f t="shared" si="1"/>
        <v>100</v>
      </c>
      <c r="O41" s="212">
        <v>9.3000000000000007</v>
      </c>
      <c r="P41" s="213">
        <v>22</v>
      </c>
      <c r="Q41" s="213">
        <v>33.4</v>
      </c>
      <c r="R41" s="214">
        <f t="shared" si="2"/>
        <v>64.7</v>
      </c>
      <c r="S41" s="170">
        <v>3</v>
      </c>
      <c r="T41" s="283"/>
      <c r="U41" s="281"/>
      <c r="V41" s="177" t="s">
        <v>483</v>
      </c>
      <c r="W41" s="170" t="s">
        <v>81</v>
      </c>
      <c r="X41" s="170" t="s">
        <v>18</v>
      </c>
      <c r="Y41" s="178">
        <v>18</v>
      </c>
      <c r="Z41" s="170" t="s">
        <v>484</v>
      </c>
      <c r="AA41" s="170" t="s">
        <v>17</v>
      </c>
      <c r="AB41" s="170" t="s">
        <v>11</v>
      </c>
      <c r="AC41" s="170">
        <v>9.3000000000000007</v>
      </c>
      <c r="AD41" s="177" t="s">
        <v>487</v>
      </c>
      <c r="AE41" s="170" t="s">
        <v>20</v>
      </c>
      <c r="AF41" s="170" t="s">
        <v>12</v>
      </c>
      <c r="AG41" s="178">
        <v>28.7</v>
      </c>
      <c r="AH41" s="170" t="s">
        <v>489</v>
      </c>
      <c r="AI41" s="170" t="s">
        <v>87</v>
      </c>
      <c r="AJ41" s="170" t="s">
        <v>18</v>
      </c>
      <c r="AK41" s="170">
        <v>4</v>
      </c>
      <c r="AL41" s="177" t="s">
        <v>564</v>
      </c>
      <c r="AM41" s="170" t="s">
        <v>324</v>
      </c>
      <c r="AN41" s="170" t="s">
        <v>12</v>
      </c>
      <c r="AO41" s="178">
        <v>4.7</v>
      </c>
      <c r="AP41" s="177"/>
      <c r="AS41" s="178"/>
      <c r="AW41" s="178"/>
      <c r="BA41" s="179"/>
    </row>
    <row r="42" spans="1:53" s="170" customFormat="1" x14ac:dyDescent="0.15">
      <c r="A42" s="215">
        <v>1977</v>
      </c>
      <c r="B42" s="281"/>
      <c r="C42" s="395" t="s">
        <v>808</v>
      </c>
      <c r="D42" s="395"/>
      <c r="E42" s="170">
        <v>352</v>
      </c>
      <c r="G42" s="232">
        <v>2</v>
      </c>
      <c r="H42" s="170">
        <v>5</v>
      </c>
      <c r="I42" s="170">
        <v>9</v>
      </c>
      <c r="J42" s="240">
        <v>16</v>
      </c>
      <c r="K42" s="213">
        <f t="shared" si="0"/>
        <v>12.5</v>
      </c>
      <c r="L42" s="213">
        <f t="shared" si="0"/>
        <v>31.25</v>
      </c>
      <c r="M42" s="213">
        <f t="shared" si="0"/>
        <v>56.25</v>
      </c>
      <c r="N42" s="234">
        <f t="shared" si="1"/>
        <v>100</v>
      </c>
      <c r="O42" s="212">
        <v>9.3000000000000007</v>
      </c>
      <c r="P42" s="213">
        <v>22</v>
      </c>
      <c r="Q42" s="213">
        <v>33.4</v>
      </c>
      <c r="R42" s="214">
        <f t="shared" si="2"/>
        <v>64.7</v>
      </c>
      <c r="S42" s="170">
        <v>3</v>
      </c>
      <c r="T42" s="283"/>
      <c r="U42" s="281"/>
      <c r="V42" s="177" t="s">
        <v>483</v>
      </c>
      <c r="W42" s="170" t="s">
        <v>81</v>
      </c>
      <c r="X42" s="170" t="s">
        <v>18</v>
      </c>
      <c r="Y42" s="178">
        <v>18</v>
      </c>
      <c r="Z42" s="170" t="s">
        <v>484</v>
      </c>
      <c r="AA42" s="170" t="s">
        <v>17</v>
      </c>
      <c r="AB42" s="170" t="s">
        <v>11</v>
      </c>
      <c r="AC42" s="170">
        <v>9.3000000000000007</v>
      </c>
      <c r="AD42" s="177" t="s">
        <v>487</v>
      </c>
      <c r="AE42" s="170" t="s">
        <v>20</v>
      </c>
      <c r="AF42" s="170" t="s">
        <v>12</v>
      </c>
      <c r="AG42" s="178">
        <v>28.7</v>
      </c>
      <c r="AH42" s="170" t="s">
        <v>489</v>
      </c>
      <c r="AI42" s="170" t="s">
        <v>87</v>
      </c>
      <c r="AJ42" s="170" t="s">
        <v>18</v>
      </c>
      <c r="AK42" s="170">
        <v>4</v>
      </c>
      <c r="AL42" s="177" t="s">
        <v>564</v>
      </c>
      <c r="AM42" s="170" t="s">
        <v>324</v>
      </c>
      <c r="AN42" s="170" t="s">
        <v>12</v>
      </c>
      <c r="AO42" s="178">
        <v>4.7</v>
      </c>
      <c r="AP42" s="177"/>
      <c r="AS42" s="178"/>
      <c r="AW42" s="178"/>
      <c r="BA42" s="179"/>
    </row>
    <row r="43" spans="1:53" s="28" customFormat="1" x14ac:dyDescent="0.15">
      <c r="A43" s="51">
        <v>1977</v>
      </c>
      <c r="B43" s="293">
        <v>28478</v>
      </c>
      <c r="C43" s="394" t="s">
        <v>809</v>
      </c>
      <c r="D43" s="394"/>
      <c r="E43" s="28">
        <f>365-E42</f>
        <v>13</v>
      </c>
      <c r="F43" s="28">
        <v>4</v>
      </c>
      <c r="G43" s="65">
        <v>5</v>
      </c>
      <c r="H43" s="28">
        <v>10</v>
      </c>
      <c r="J43" s="72">
        <v>15</v>
      </c>
      <c r="K43" s="46">
        <f t="shared" si="0"/>
        <v>33.333333333333329</v>
      </c>
      <c r="L43" s="46">
        <f>H43/$J43*100</f>
        <v>66.666666666666657</v>
      </c>
      <c r="M43" s="46">
        <f>I43/$J43*100</f>
        <v>0</v>
      </c>
      <c r="N43" s="67">
        <f t="shared" si="1"/>
        <v>99.999999999999986</v>
      </c>
      <c r="O43" s="45">
        <v>18.7</v>
      </c>
      <c r="P43" s="46">
        <v>32.700000000000003</v>
      </c>
      <c r="Q43" s="46"/>
      <c r="R43" s="47">
        <f t="shared" si="2"/>
        <v>51.400000000000006</v>
      </c>
      <c r="S43" s="28">
        <v>2</v>
      </c>
      <c r="T43" s="284">
        <v>28270</v>
      </c>
      <c r="U43" s="293">
        <v>28478</v>
      </c>
      <c r="V43" s="37" t="s">
        <v>490</v>
      </c>
      <c r="W43" s="28" t="s">
        <v>325</v>
      </c>
      <c r="X43" s="28" t="s">
        <v>18</v>
      </c>
      <c r="Y43" s="38">
        <v>32.700000000000003</v>
      </c>
      <c r="Z43" s="28" t="s">
        <v>486</v>
      </c>
      <c r="AA43" s="28" t="s">
        <v>22</v>
      </c>
      <c r="AB43" s="28" t="s">
        <v>11</v>
      </c>
      <c r="AC43" s="28">
        <v>18.7</v>
      </c>
      <c r="AD43" s="37"/>
      <c r="AG43" s="38"/>
      <c r="AL43" s="37"/>
      <c r="AO43" s="38"/>
      <c r="AP43" s="37"/>
      <c r="AS43" s="38"/>
      <c r="AW43" s="38"/>
      <c r="BA43" s="39"/>
    </row>
    <row r="44" spans="1:53" s="28" customFormat="1" x14ac:dyDescent="0.15">
      <c r="A44" s="51">
        <v>1978</v>
      </c>
      <c r="B44" s="293"/>
      <c r="C44" s="394" t="s">
        <v>809</v>
      </c>
      <c r="D44" s="394"/>
      <c r="E44" s="28">
        <v>0</v>
      </c>
      <c r="G44" s="65">
        <v>5</v>
      </c>
      <c r="H44" s="28">
        <v>10</v>
      </c>
      <c r="J44" s="72">
        <v>15</v>
      </c>
      <c r="K44" s="46">
        <f>G44/$J44*100</f>
        <v>33.333333333333329</v>
      </c>
      <c r="L44" s="46">
        <f t="shared" si="0"/>
        <v>66.666666666666657</v>
      </c>
      <c r="M44" s="46">
        <f t="shared" si="0"/>
        <v>0</v>
      </c>
      <c r="N44" s="67">
        <f t="shared" si="1"/>
        <v>99.999999999999986</v>
      </c>
      <c r="O44" s="45">
        <v>18.7</v>
      </c>
      <c r="P44" s="46">
        <v>32.700000000000003</v>
      </c>
      <c r="Q44" s="46"/>
      <c r="R44" s="47">
        <f t="shared" si="2"/>
        <v>51.400000000000006</v>
      </c>
      <c r="S44" s="28">
        <v>2</v>
      </c>
      <c r="T44" s="284"/>
      <c r="U44" s="293"/>
      <c r="V44" s="37" t="s">
        <v>490</v>
      </c>
      <c r="W44" s="28" t="s">
        <v>325</v>
      </c>
      <c r="X44" s="28" t="s">
        <v>18</v>
      </c>
      <c r="Y44" s="38">
        <v>32.700000000000003</v>
      </c>
      <c r="Z44" s="28" t="s">
        <v>486</v>
      </c>
      <c r="AA44" s="28" t="s">
        <v>22</v>
      </c>
      <c r="AB44" s="28" t="s">
        <v>11</v>
      </c>
      <c r="AC44" s="28">
        <v>18.7</v>
      </c>
      <c r="AD44" s="37"/>
      <c r="AG44" s="38"/>
      <c r="AL44" s="37"/>
      <c r="AO44" s="38"/>
      <c r="AP44" s="37"/>
      <c r="AS44" s="38"/>
      <c r="AW44" s="38"/>
      <c r="BA44" s="39"/>
    </row>
    <row r="45" spans="1:53" s="28" customFormat="1" x14ac:dyDescent="0.15">
      <c r="A45" s="51">
        <v>1978</v>
      </c>
      <c r="B45" s="293"/>
      <c r="C45" s="394" t="s">
        <v>809</v>
      </c>
      <c r="D45" s="394"/>
      <c r="E45" s="28">
        <v>365</v>
      </c>
      <c r="G45" s="65">
        <v>5</v>
      </c>
      <c r="H45" s="28">
        <v>10</v>
      </c>
      <c r="J45" s="72">
        <v>15</v>
      </c>
      <c r="K45" s="46">
        <f t="shared" si="0"/>
        <v>33.333333333333329</v>
      </c>
      <c r="L45" s="46">
        <f t="shared" si="0"/>
        <v>66.666666666666657</v>
      </c>
      <c r="M45" s="46">
        <f t="shared" si="0"/>
        <v>0</v>
      </c>
      <c r="N45" s="67">
        <f t="shared" si="1"/>
        <v>99.999999999999986</v>
      </c>
      <c r="O45" s="45">
        <v>18.7</v>
      </c>
      <c r="P45" s="46">
        <v>32.700000000000003</v>
      </c>
      <c r="Q45" s="46"/>
      <c r="R45" s="47">
        <f t="shared" si="2"/>
        <v>51.400000000000006</v>
      </c>
      <c r="S45" s="28">
        <v>2</v>
      </c>
      <c r="T45" s="284"/>
      <c r="U45" s="293"/>
      <c r="V45" s="37" t="s">
        <v>490</v>
      </c>
      <c r="W45" s="28" t="s">
        <v>325</v>
      </c>
      <c r="X45" s="28" t="s">
        <v>18</v>
      </c>
      <c r="Y45" s="38">
        <v>32.700000000000003</v>
      </c>
      <c r="Z45" s="28" t="s">
        <v>486</v>
      </c>
      <c r="AA45" s="28" t="s">
        <v>22</v>
      </c>
      <c r="AB45" s="28" t="s">
        <v>11</v>
      </c>
      <c r="AC45" s="28">
        <v>18.7</v>
      </c>
      <c r="AD45" s="37"/>
      <c r="AG45" s="38"/>
      <c r="AL45" s="37"/>
      <c r="AO45" s="38"/>
      <c r="AP45" s="37"/>
      <c r="AS45" s="38"/>
      <c r="AW45" s="38"/>
      <c r="BA45" s="39"/>
    </row>
    <row r="46" spans="1:53" s="28" customFormat="1" x14ac:dyDescent="0.15">
      <c r="A46" s="51">
        <v>1979</v>
      </c>
      <c r="B46" s="293"/>
      <c r="C46" s="394" t="s">
        <v>809</v>
      </c>
      <c r="D46" s="394"/>
      <c r="E46" s="28">
        <v>0</v>
      </c>
      <c r="G46" s="65">
        <v>5</v>
      </c>
      <c r="H46" s="28">
        <v>10</v>
      </c>
      <c r="J46" s="72">
        <v>15</v>
      </c>
      <c r="K46" s="46">
        <f t="shared" si="0"/>
        <v>33.333333333333329</v>
      </c>
      <c r="L46" s="46">
        <f t="shared" si="0"/>
        <v>66.666666666666657</v>
      </c>
      <c r="M46" s="46">
        <f t="shared" si="0"/>
        <v>0</v>
      </c>
      <c r="N46" s="67">
        <f t="shared" si="1"/>
        <v>99.999999999999986</v>
      </c>
      <c r="O46" s="45">
        <v>18.7</v>
      </c>
      <c r="P46" s="46">
        <v>32.700000000000003</v>
      </c>
      <c r="Q46" s="46"/>
      <c r="R46" s="47">
        <f t="shared" si="2"/>
        <v>51.400000000000006</v>
      </c>
      <c r="S46" s="28">
        <v>2</v>
      </c>
      <c r="T46" s="284"/>
      <c r="U46" s="293"/>
      <c r="V46" s="37" t="s">
        <v>490</v>
      </c>
      <c r="W46" s="28" t="s">
        <v>325</v>
      </c>
      <c r="X46" s="28" t="s">
        <v>18</v>
      </c>
      <c r="Y46" s="38">
        <v>32.700000000000003</v>
      </c>
      <c r="Z46" s="28" t="s">
        <v>486</v>
      </c>
      <c r="AA46" s="28" t="s">
        <v>22</v>
      </c>
      <c r="AB46" s="28" t="s">
        <v>11</v>
      </c>
      <c r="AC46" s="28">
        <v>18.7</v>
      </c>
      <c r="AD46" s="37"/>
      <c r="AG46" s="38"/>
      <c r="AL46" s="37"/>
      <c r="AO46" s="38"/>
      <c r="AP46" s="37"/>
      <c r="AS46" s="38"/>
      <c r="AW46" s="38"/>
      <c r="BA46" s="39"/>
    </row>
    <row r="47" spans="1:53" s="28" customFormat="1" x14ac:dyDescent="0.15">
      <c r="A47" s="51">
        <v>1979</v>
      </c>
      <c r="B47" s="293"/>
      <c r="C47" s="394" t="s">
        <v>809</v>
      </c>
      <c r="D47" s="394"/>
      <c r="E47" s="28">
        <v>365</v>
      </c>
      <c r="G47" s="65">
        <v>5</v>
      </c>
      <c r="H47" s="28">
        <v>10</v>
      </c>
      <c r="J47" s="72">
        <v>15</v>
      </c>
      <c r="K47" s="46">
        <f t="shared" si="0"/>
        <v>33.333333333333329</v>
      </c>
      <c r="L47" s="46">
        <f t="shared" si="0"/>
        <v>66.666666666666657</v>
      </c>
      <c r="M47" s="46">
        <f t="shared" si="0"/>
        <v>0</v>
      </c>
      <c r="N47" s="67">
        <f t="shared" si="1"/>
        <v>99.999999999999986</v>
      </c>
      <c r="O47" s="45">
        <v>18.7</v>
      </c>
      <c r="P47" s="46">
        <v>32.700000000000003</v>
      </c>
      <c r="Q47" s="46"/>
      <c r="R47" s="47">
        <f t="shared" si="2"/>
        <v>51.400000000000006</v>
      </c>
      <c r="S47" s="28">
        <v>2</v>
      </c>
      <c r="T47" s="284"/>
      <c r="U47" s="293"/>
      <c r="V47" s="37" t="s">
        <v>490</v>
      </c>
      <c r="W47" s="28" t="s">
        <v>325</v>
      </c>
      <c r="X47" s="28" t="s">
        <v>18</v>
      </c>
      <c r="Y47" s="38">
        <v>32.700000000000003</v>
      </c>
      <c r="Z47" s="28" t="s">
        <v>486</v>
      </c>
      <c r="AA47" s="28" t="s">
        <v>22</v>
      </c>
      <c r="AB47" s="28" t="s">
        <v>11</v>
      </c>
      <c r="AC47" s="28">
        <v>18.7</v>
      </c>
      <c r="AD47" s="37"/>
      <c r="AG47" s="38"/>
      <c r="AL47" s="37"/>
      <c r="AO47" s="38"/>
      <c r="AP47" s="37"/>
      <c r="AS47" s="38"/>
      <c r="AW47" s="38"/>
      <c r="BA47" s="39"/>
    </row>
    <row r="48" spans="1:53" s="28" customFormat="1" x14ac:dyDescent="0.15">
      <c r="A48" s="51">
        <v>1980</v>
      </c>
      <c r="B48" s="293"/>
      <c r="C48" s="394" t="s">
        <v>809</v>
      </c>
      <c r="D48" s="394"/>
      <c r="E48" s="28">
        <v>0</v>
      </c>
      <c r="G48" s="65">
        <v>5</v>
      </c>
      <c r="H48" s="28">
        <v>10</v>
      </c>
      <c r="J48" s="72">
        <v>15</v>
      </c>
      <c r="K48" s="46">
        <f t="shared" si="0"/>
        <v>33.333333333333329</v>
      </c>
      <c r="L48" s="46">
        <f t="shared" si="0"/>
        <v>66.666666666666657</v>
      </c>
      <c r="M48" s="46">
        <f t="shared" si="0"/>
        <v>0</v>
      </c>
      <c r="N48" s="67">
        <f t="shared" si="1"/>
        <v>99.999999999999986</v>
      </c>
      <c r="O48" s="45">
        <v>18.7</v>
      </c>
      <c r="P48" s="46">
        <v>32.700000000000003</v>
      </c>
      <c r="Q48" s="46"/>
      <c r="R48" s="47">
        <f t="shared" si="2"/>
        <v>51.400000000000006</v>
      </c>
      <c r="S48" s="28">
        <v>2</v>
      </c>
      <c r="T48" s="284"/>
      <c r="U48" s="293"/>
      <c r="V48" s="37" t="s">
        <v>490</v>
      </c>
      <c r="W48" s="28" t="s">
        <v>325</v>
      </c>
      <c r="X48" s="28" t="s">
        <v>18</v>
      </c>
      <c r="Y48" s="38">
        <v>32.700000000000003</v>
      </c>
      <c r="Z48" s="28" t="s">
        <v>486</v>
      </c>
      <c r="AA48" s="28" t="s">
        <v>22</v>
      </c>
      <c r="AB48" s="28" t="s">
        <v>11</v>
      </c>
      <c r="AC48" s="28">
        <v>18.7</v>
      </c>
      <c r="AD48" s="37"/>
      <c r="AG48" s="38"/>
      <c r="AL48" s="37"/>
      <c r="AO48" s="38"/>
      <c r="AP48" s="37"/>
      <c r="AS48" s="38"/>
      <c r="AW48" s="38"/>
      <c r="BA48" s="39"/>
    </row>
    <row r="49" spans="1:53" s="28" customFormat="1" x14ac:dyDescent="0.15">
      <c r="A49" s="51">
        <v>1980</v>
      </c>
      <c r="B49" s="293"/>
      <c r="C49" s="394" t="s">
        <v>809</v>
      </c>
      <c r="D49" s="394"/>
      <c r="E49" s="28">
        <v>366</v>
      </c>
      <c r="G49" s="65">
        <v>5</v>
      </c>
      <c r="H49" s="28">
        <v>10</v>
      </c>
      <c r="J49" s="72">
        <v>15</v>
      </c>
      <c r="K49" s="46">
        <f t="shared" si="0"/>
        <v>33.333333333333329</v>
      </c>
      <c r="L49" s="46">
        <f t="shared" si="0"/>
        <v>66.666666666666657</v>
      </c>
      <c r="M49" s="46">
        <f t="shared" si="0"/>
        <v>0</v>
      </c>
      <c r="N49" s="67">
        <f t="shared" si="1"/>
        <v>99.999999999999986</v>
      </c>
      <c r="O49" s="45">
        <v>18.7</v>
      </c>
      <c r="P49" s="46">
        <v>32.700000000000003</v>
      </c>
      <c r="Q49" s="46"/>
      <c r="R49" s="47">
        <f t="shared" si="2"/>
        <v>51.400000000000006</v>
      </c>
      <c r="S49" s="28">
        <v>2</v>
      </c>
      <c r="T49" s="284"/>
      <c r="U49" s="293"/>
      <c r="V49" s="37" t="s">
        <v>490</v>
      </c>
      <c r="W49" s="28" t="s">
        <v>325</v>
      </c>
      <c r="X49" s="28" t="s">
        <v>18</v>
      </c>
      <c r="Y49" s="38">
        <v>32.700000000000003</v>
      </c>
      <c r="Z49" s="28" t="s">
        <v>486</v>
      </c>
      <c r="AA49" s="28" t="s">
        <v>22</v>
      </c>
      <c r="AB49" s="28" t="s">
        <v>11</v>
      </c>
      <c r="AC49" s="28">
        <v>18.7</v>
      </c>
      <c r="AD49" s="37"/>
      <c r="AG49" s="38"/>
      <c r="AL49" s="37"/>
      <c r="AO49" s="38"/>
      <c r="AP49" s="37"/>
      <c r="AS49" s="38"/>
      <c r="AW49" s="38"/>
      <c r="BA49" s="39"/>
    </row>
    <row r="50" spans="1:53" s="28" customFormat="1" x14ac:dyDescent="0.15">
      <c r="A50" s="51">
        <v>1981</v>
      </c>
      <c r="B50" s="293"/>
      <c r="C50" s="394" t="s">
        <v>809</v>
      </c>
      <c r="D50" s="394"/>
      <c r="E50" s="28">
        <v>253</v>
      </c>
      <c r="G50" s="65">
        <v>5</v>
      </c>
      <c r="H50" s="28">
        <v>10</v>
      </c>
      <c r="J50" s="72">
        <v>15</v>
      </c>
      <c r="K50" s="46">
        <f t="shared" si="0"/>
        <v>33.333333333333329</v>
      </c>
      <c r="L50" s="46">
        <f t="shared" si="0"/>
        <v>66.666666666666657</v>
      </c>
      <c r="M50" s="46">
        <f t="shared" si="0"/>
        <v>0</v>
      </c>
      <c r="N50" s="67">
        <f t="shared" si="1"/>
        <v>99.999999999999986</v>
      </c>
      <c r="O50" s="45">
        <v>18.7</v>
      </c>
      <c r="P50" s="46">
        <v>32.700000000000003</v>
      </c>
      <c r="Q50" s="46"/>
      <c r="R50" s="47">
        <f t="shared" si="2"/>
        <v>51.400000000000006</v>
      </c>
      <c r="S50" s="28">
        <v>2</v>
      </c>
      <c r="T50" s="284"/>
      <c r="U50" s="293"/>
      <c r="V50" s="37" t="s">
        <v>490</v>
      </c>
      <c r="W50" s="28" t="s">
        <v>325</v>
      </c>
      <c r="X50" s="28" t="s">
        <v>18</v>
      </c>
      <c r="Y50" s="38">
        <v>32.700000000000003</v>
      </c>
      <c r="Z50" s="28" t="s">
        <v>486</v>
      </c>
      <c r="AA50" s="28" t="s">
        <v>22</v>
      </c>
      <c r="AB50" s="28" t="s">
        <v>11</v>
      </c>
      <c r="AC50" s="28">
        <v>18.7</v>
      </c>
      <c r="AD50" s="37"/>
      <c r="AG50" s="38"/>
      <c r="AL50" s="37"/>
      <c r="AO50" s="38"/>
      <c r="AP50" s="37"/>
      <c r="AS50" s="38"/>
      <c r="AW50" s="38"/>
      <c r="BA50" s="39"/>
    </row>
    <row r="51" spans="1:53" s="170" customFormat="1" x14ac:dyDescent="0.15">
      <c r="A51" s="215">
        <v>1981</v>
      </c>
      <c r="B51" s="281">
        <v>29840</v>
      </c>
      <c r="C51" s="395" t="s">
        <v>810</v>
      </c>
      <c r="D51" s="395"/>
      <c r="E51" s="170">
        <f>365-E50</f>
        <v>112</v>
      </c>
      <c r="F51" s="170">
        <v>1</v>
      </c>
      <c r="G51" s="232"/>
      <c r="H51" s="170">
        <v>9</v>
      </c>
      <c r="I51" s="170">
        <v>6</v>
      </c>
      <c r="J51" s="240">
        <v>15</v>
      </c>
      <c r="K51" s="213">
        <f t="shared" si="0"/>
        <v>0</v>
      </c>
      <c r="L51" s="213">
        <f t="shared" si="0"/>
        <v>60</v>
      </c>
      <c r="M51" s="213">
        <f t="shared" si="0"/>
        <v>40</v>
      </c>
      <c r="N51" s="234">
        <f t="shared" si="1"/>
        <v>100</v>
      </c>
      <c r="O51" s="212"/>
      <c r="P51" s="213">
        <v>43.3</v>
      </c>
      <c r="Q51" s="213">
        <v>29.3</v>
      </c>
      <c r="R51" s="214">
        <f t="shared" si="2"/>
        <v>72.599999999999994</v>
      </c>
      <c r="S51" s="170">
        <v>3</v>
      </c>
      <c r="T51" s="283">
        <v>29732</v>
      </c>
      <c r="U51" s="281">
        <v>29840</v>
      </c>
      <c r="V51" s="177" t="s">
        <v>490</v>
      </c>
      <c r="W51" s="170" t="s">
        <v>325</v>
      </c>
      <c r="X51" s="170" t="s">
        <v>18</v>
      </c>
      <c r="Y51" s="178">
        <v>32</v>
      </c>
      <c r="Z51" s="177" t="s">
        <v>487</v>
      </c>
      <c r="AA51" s="170" t="s">
        <v>20</v>
      </c>
      <c r="AB51" s="170" t="s">
        <v>12</v>
      </c>
      <c r="AC51" s="170">
        <v>29.3</v>
      </c>
      <c r="AD51" s="177" t="s">
        <v>489</v>
      </c>
      <c r="AE51" s="170" t="s">
        <v>87</v>
      </c>
      <c r="AF51" s="170" t="s">
        <v>18</v>
      </c>
      <c r="AG51" s="178">
        <v>11.3</v>
      </c>
      <c r="AL51" s="177"/>
      <c r="AO51" s="178"/>
      <c r="AP51" s="177"/>
      <c r="AS51" s="178"/>
      <c r="AW51" s="178"/>
      <c r="BA51" s="179"/>
    </row>
    <row r="52" spans="1:53" s="170" customFormat="1" x14ac:dyDescent="0.15">
      <c r="A52" s="215">
        <v>1982</v>
      </c>
      <c r="B52" s="281"/>
      <c r="C52" s="395" t="s">
        <v>810</v>
      </c>
      <c r="D52" s="395"/>
      <c r="E52" s="170">
        <v>148</v>
      </c>
      <c r="G52" s="232"/>
      <c r="H52" s="170">
        <v>9</v>
      </c>
      <c r="I52" s="170">
        <v>6</v>
      </c>
      <c r="J52" s="240">
        <v>15</v>
      </c>
      <c r="K52" s="213">
        <f t="shared" si="0"/>
        <v>0</v>
      </c>
      <c r="L52" s="213">
        <f t="shared" si="0"/>
        <v>60</v>
      </c>
      <c r="M52" s="213">
        <f t="shared" si="0"/>
        <v>40</v>
      </c>
      <c r="N52" s="234">
        <f t="shared" si="1"/>
        <v>100</v>
      </c>
      <c r="O52" s="212"/>
      <c r="P52" s="213">
        <v>43.3</v>
      </c>
      <c r="Q52" s="213">
        <v>29.3</v>
      </c>
      <c r="R52" s="214">
        <f t="shared" si="2"/>
        <v>72.599999999999994</v>
      </c>
      <c r="S52" s="170">
        <v>3</v>
      </c>
      <c r="T52" s="283"/>
      <c r="U52" s="281"/>
      <c r="V52" s="177" t="s">
        <v>490</v>
      </c>
      <c r="W52" s="170" t="s">
        <v>325</v>
      </c>
      <c r="X52" s="170" t="s">
        <v>18</v>
      </c>
      <c r="Y52" s="178">
        <v>32</v>
      </c>
      <c r="Z52" s="177" t="s">
        <v>487</v>
      </c>
      <c r="AA52" s="170" t="s">
        <v>20</v>
      </c>
      <c r="AB52" s="170" t="s">
        <v>12</v>
      </c>
      <c r="AC52" s="170">
        <v>29.3</v>
      </c>
      <c r="AD52" s="177" t="s">
        <v>489</v>
      </c>
      <c r="AE52" s="170" t="s">
        <v>87</v>
      </c>
      <c r="AF52" s="170" t="s">
        <v>18</v>
      </c>
      <c r="AG52" s="178">
        <v>11.3</v>
      </c>
      <c r="AL52" s="177"/>
      <c r="AO52" s="178"/>
      <c r="AP52" s="177"/>
      <c r="AS52" s="178"/>
      <c r="AW52" s="178"/>
      <c r="BA52" s="179"/>
    </row>
    <row r="53" spans="1:53" s="28" customFormat="1" x14ac:dyDescent="0.15">
      <c r="A53" s="51">
        <v>1982</v>
      </c>
      <c r="B53" s="293">
        <v>30100</v>
      </c>
      <c r="C53" s="394" t="s">
        <v>811</v>
      </c>
      <c r="D53" s="394"/>
      <c r="E53" s="28">
        <v>159</v>
      </c>
      <c r="F53" s="28">
        <v>4</v>
      </c>
      <c r="G53" s="65"/>
      <c r="H53" s="28">
        <v>9</v>
      </c>
      <c r="I53" s="28">
        <v>6</v>
      </c>
      <c r="J53" s="72">
        <v>15</v>
      </c>
      <c r="K53" s="46">
        <f t="shared" si="0"/>
        <v>0</v>
      </c>
      <c r="L53" s="46">
        <f t="shared" si="0"/>
        <v>60</v>
      </c>
      <c r="M53" s="46">
        <f t="shared" si="0"/>
        <v>40</v>
      </c>
      <c r="N53" s="67">
        <f t="shared" si="1"/>
        <v>100</v>
      </c>
      <c r="O53" s="45"/>
      <c r="P53" s="46">
        <v>43.3</v>
      </c>
      <c r="Q53" s="46"/>
      <c r="R53" s="47">
        <f t="shared" si="2"/>
        <v>43.3</v>
      </c>
      <c r="S53" s="28">
        <v>6</v>
      </c>
      <c r="T53" s="284"/>
      <c r="U53" s="293">
        <v>30100</v>
      </c>
      <c r="V53" s="37" t="s">
        <v>490</v>
      </c>
      <c r="W53" s="28" t="s">
        <v>325</v>
      </c>
      <c r="X53" s="28" t="s">
        <v>18</v>
      </c>
      <c r="Y53" s="38">
        <v>32</v>
      </c>
      <c r="Z53" s="28" t="s">
        <v>489</v>
      </c>
      <c r="AA53" s="28" t="s">
        <v>87</v>
      </c>
      <c r="AB53" s="28" t="s">
        <v>18</v>
      </c>
      <c r="AC53" s="28">
        <v>11.3</v>
      </c>
      <c r="AD53" s="37"/>
      <c r="AG53" s="38"/>
      <c r="AL53" s="37"/>
      <c r="AO53" s="38"/>
      <c r="AP53" s="37"/>
      <c r="AS53" s="38"/>
      <c r="AW53" s="38"/>
      <c r="BA53" s="39"/>
    </row>
    <row r="54" spans="1:53" s="170" customFormat="1" x14ac:dyDescent="0.15">
      <c r="A54" s="215">
        <v>1982</v>
      </c>
      <c r="B54" s="281">
        <v>30259</v>
      </c>
      <c r="C54" s="395" t="s">
        <v>657</v>
      </c>
      <c r="D54" s="395"/>
      <c r="E54" s="170">
        <f>365-E52-E53</f>
        <v>58</v>
      </c>
      <c r="F54" s="170">
        <v>1</v>
      </c>
      <c r="G54" s="232"/>
      <c r="H54" s="170">
        <v>14</v>
      </c>
      <c r="J54" s="240">
        <v>14</v>
      </c>
      <c r="K54" s="213">
        <f t="shared" si="0"/>
        <v>0</v>
      </c>
      <c r="L54" s="213">
        <f t="shared" si="0"/>
        <v>100</v>
      </c>
      <c r="M54" s="213">
        <f t="shared" si="0"/>
        <v>0</v>
      </c>
      <c r="N54" s="234">
        <f t="shared" si="1"/>
        <v>100</v>
      </c>
      <c r="O54" s="212">
        <v>24</v>
      </c>
      <c r="P54" s="213">
        <v>30</v>
      </c>
      <c r="Q54" s="213"/>
      <c r="R54" s="214">
        <f t="shared" si="2"/>
        <v>54</v>
      </c>
      <c r="S54" s="170">
        <v>2</v>
      </c>
      <c r="T54" s="283">
        <v>30202</v>
      </c>
      <c r="U54" s="281">
        <v>30259</v>
      </c>
      <c r="V54" s="177" t="s">
        <v>490</v>
      </c>
      <c r="W54" s="170" t="s">
        <v>325</v>
      </c>
      <c r="X54" s="170" t="s">
        <v>18</v>
      </c>
      <c r="Y54" s="178">
        <v>30</v>
      </c>
      <c r="Z54" s="170" t="s">
        <v>486</v>
      </c>
      <c r="AA54" s="170" t="s">
        <v>22</v>
      </c>
      <c r="AB54" s="170" t="s">
        <v>11</v>
      </c>
      <c r="AC54" s="170">
        <v>24</v>
      </c>
      <c r="AD54" s="177"/>
      <c r="AG54" s="178"/>
      <c r="AL54" s="177"/>
      <c r="AO54" s="178"/>
      <c r="AP54" s="177"/>
      <c r="AS54" s="178"/>
      <c r="AW54" s="178"/>
      <c r="BA54" s="179"/>
    </row>
    <row r="55" spans="1:53" s="170" customFormat="1" x14ac:dyDescent="0.15">
      <c r="A55" s="215">
        <v>1983</v>
      </c>
      <c r="B55" s="281"/>
      <c r="C55" s="395" t="s">
        <v>657</v>
      </c>
      <c r="D55" s="395"/>
      <c r="E55" s="170">
        <v>0</v>
      </c>
      <c r="G55" s="232"/>
      <c r="H55" s="170">
        <v>14</v>
      </c>
      <c r="J55" s="240">
        <v>14</v>
      </c>
      <c r="K55" s="213">
        <f t="shared" si="0"/>
        <v>0</v>
      </c>
      <c r="L55" s="213">
        <f t="shared" si="0"/>
        <v>100</v>
      </c>
      <c r="M55" s="213">
        <f t="shared" si="0"/>
        <v>0</v>
      </c>
      <c r="N55" s="234">
        <f t="shared" si="1"/>
        <v>100</v>
      </c>
      <c r="O55" s="212">
        <v>24</v>
      </c>
      <c r="P55" s="213">
        <v>30</v>
      </c>
      <c r="Q55" s="213"/>
      <c r="R55" s="214">
        <f t="shared" si="2"/>
        <v>54</v>
      </c>
      <c r="S55" s="170">
        <v>2</v>
      </c>
      <c r="T55" s="283"/>
      <c r="U55" s="281"/>
      <c r="V55" s="177" t="s">
        <v>490</v>
      </c>
      <c r="W55" s="170" t="s">
        <v>325</v>
      </c>
      <c r="X55" s="170" t="s">
        <v>18</v>
      </c>
      <c r="Y55" s="178">
        <v>30</v>
      </c>
      <c r="Z55" s="170" t="s">
        <v>486</v>
      </c>
      <c r="AA55" s="170" t="s">
        <v>22</v>
      </c>
      <c r="AB55" s="170" t="s">
        <v>11</v>
      </c>
      <c r="AC55" s="170">
        <v>24</v>
      </c>
      <c r="AD55" s="177"/>
      <c r="AG55" s="178"/>
      <c r="AL55" s="177"/>
      <c r="AO55" s="178"/>
      <c r="AP55" s="177"/>
      <c r="AS55" s="178"/>
      <c r="AW55" s="178"/>
      <c r="BA55" s="179"/>
    </row>
    <row r="56" spans="1:53" s="170" customFormat="1" x14ac:dyDescent="0.15">
      <c r="A56" s="215">
        <v>1983</v>
      </c>
      <c r="B56" s="281"/>
      <c r="C56" s="395" t="s">
        <v>657</v>
      </c>
      <c r="D56" s="395"/>
      <c r="E56" s="170">
        <v>365</v>
      </c>
      <c r="G56" s="232"/>
      <c r="H56" s="170">
        <v>14</v>
      </c>
      <c r="J56" s="240">
        <v>14</v>
      </c>
      <c r="K56" s="213">
        <f t="shared" si="0"/>
        <v>0</v>
      </c>
      <c r="L56" s="213">
        <f t="shared" si="0"/>
        <v>100</v>
      </c>
      <c r="M56" s="213">
        <f t="shared" si="0"/>
        <v>0</v>
      </c>
      <c r="N56" s="234">
        <f t="shared" si="1"/>
        <v>100</v>
      </c>
      <c r="O56" s="212">
        <v>24</v>
      </c>
      <c r="P56" s="213">
        <v>30</v>
      </c>
      <c r="Q56" s="213"/>
      <c r="R56" s="214">
        <f t="shared" si="2"/>
        <v>54</v>
      </c>
      <c r="S56" s="170">
        <v>2</v>
      </c>
      <c r="T56" s="283"/>
      <c r="U56" s="281"/>
      <c r="V56" s="177" t="s">
        <v>490</v>
      </c>
      <c r="W56" s="170" t="s">
        <v>325</v>
      </c>
      <c r="X56" s="170" t="s">
        <v>18</v>
      </c>
      <c r="Y56" s="178">
        <v>30</v>
      </c>
      <c r="Z56" s="170" t="s">
        <v>486</v>
      </c>
      <c r="AA56" s="170" t="s">
        <v>22</v>
      </c>
      <c r="AB56" s="170" t="s">
        <v>11</v>
      </c>
      <c r="AC56" s="170">
        <v>24</v>
      </c>
      <c r="AD56" s="177"/>
      <c r="AG56" s="178"/>
      <c r="AL56" s="177"/>
      <c r="AO56" s="178"/>
      <c r="AP56" s="177"/>
      <c r="AS56" s="178"/>
      <c r="AW56" s="178"/>
      <c r="BA56" s="179"/>
    </row>
    <row r="57" spans="1:53" s="170" customFormat="1" x14ac:dyDescent="0.15">
      <c r="A57" s="215">
        <v>1984</v>
      </c>
      <c r="B57" s="281"/>
      <c r="C57" s="395" t="s">
        <v>657</v>
      </c>
      <c r="D57" s="395"/>
      <c r="E57" s="170">
        <v>0</v>
      </c>
      <c r="G57" s="232"/>
      <c r="H57" s="170">
        <v>14</v>
      </c>
      <c r="J57" s="240">
        <v>14</v>
      </c>
      <c r="K57" s="213">
        <f t="shared" si="0"/>
        <v>0</v>
      </c>
      <c r="L57" s="213">
        <f t="shared" si="0"/>
        <v>100</v>
      </c>
      <c r="M57" s="213">
        <f t="shared" si="0"/>
        <v>0</v>
      </c>
      <c r="N57" s="234">
        <f t="shared" si="1"/>
        <v>100</v>
      </c>
      <c r="O57" s="212">
        <v>24</v>
      </c>
      <c r="P57" s="213">
        <v>30</v>
      </c>
      <c r="Q57" s="213"/>
      <c r="R57" s="214">
        <f t="shared" si="2"/>
        <v>54</v>
      </c>
      <c r="S57" s="170">
        <v>2</v>
      </c>
      <c r="T57" s="283"/>
      <c r="U57" s="281"/>
      <c r="V57" s="177" t="s">
        <v>490</v>
      </c>
      <c r="W57" s="170" t="s">
        <v>325</v>
      </c>
      <c r="X57" s="170" t="s">
        <v>18</v>
      </c>
      <c r="Y57" s="178">
        <v>30</v>
      </c>
      <c r="Z57" s="170" t="s">
        <v>486</v>
      </c>
      <c r="AA57" s="170" t="s">
        <v>22</v>
      </c>
      <c r="AB57" s="170" t="s">
        <v>11</v>
      </c>
      <c r="AC57" s="170">
        <v>24</v>
      </c>
      <c r="AD57" s="177"/>
      <c r="AG57" s="178"/>
      <c r="AL57" s="177"/>
      <c r="AO57" s="178"/>
      <c r="AP57" s="177"/>
      <c r="AS57" s="178"/>
      <c r="AW57" s="178"/>
      <c r="BA57" s="179"/>
    </row>
    <row r="58" spans="1:53" s="170" customFormat="1" x14ac:dyDescent="0.15">
      <c r="A58" s="215">
        <v>1984</v>
      </c>
      <c r="B58" s="281"/>
      <c r="C58" s="395" t="s">
        <v>657</v>
      </c>
      <c r="D58" s="395"/>
      <c r="E58" s="170">
        <v>366</v>
      </c>
      <c r="G58" s="232"/>
      <c r="H58" s="170">
        <v>14</v>
      </c>
      <c r="J58" s="240">
        <v>14</v>
      </c>
      <c r="K58" s="213">
        <f t="shared" si="0"/>
        <v>0</v>
      </c>
      <c r="L58" s="213">
        <f t="shared" si="0"/>
        <v>100</v>
      </c>
      <c r="M58" s="213">
        <f t="shared" si="0"/>
        <v>0</v>
      </c>
      <c r="N58" s="234">
        <f t="shared" si="1"/>
        <v>100</v>
      </c>
      <c r="O58" s="212">
        <v>24</v>
      </c>
      <c r="P58" s="213">
        <v>30</v>
      </c>
      <c r="Q58" s="213"/>
      <c r="R58" s="214">
        <f t="shared" si="2"/>
        <v>54</v>
      </c>
      <c r="S58" s="170">
        <v>2</v>
      </c>
      <c r="T58" s="283"/>
      <c r="U58" s="281"/>
      <c r="V58" s="177" t="s">
        <v>490</v>
      </c>
      <c r="W58" s="170" t="s">
        <v>325</v>
      </c>
      <c r="X58" s="170" t="s">
        <v>18</v>
      </c>
      <c r="Y58" s="178">
        <v>30</v>
      </c>
      <c r="Z58" s="170" t="s">
        <v>486</v>
      </c>
      <c r="AA58" s="170" t="s">
        <v>22</v>
      </c>
      <c r="AB58" s="170" t="s">
        <v>11</v>
      </c>
      <c r="AC58" s="170">
        <v>24</v>
      </c>
      <c r="AD58" s="177"/>
      <c r="AG58" s="178"/>
      <c r="AL58" s="177"/>
      <c r="AO58" s="178"/>
      <c r="AP58" s="177"/>
      <c r="AS58" s="178"/>
      <c r="AW58" s="178"/>
      <c r="BA58" s="179"/>
    </row>
    <row r="59" spans="1:53" s="170" customFormat="1" x14ac:dyDescent="0.15">
      <c r="A59" s="215">
        <v>1985</v>
      </c>
      <c r="B59" s="281"/>
      <c r="C59" s="395" t="s">
        <v>657</v>
      </c>
      <c r="D59" s="395"/>
      <c r="E59" s="170">
        <v>0</v>
      </c>
      <c r="G59" s="232"/>
      <c r="H59" s="170">
        <v>14</v>
      </c>
      <c r="J59" s="240">
        <v>14</v>
      </c>
      <c r="K59" s="213">
        <f t="shared" si="0"/>
        <v>0</v>
      </c>
      <c r="L59" s="213">
        <f t="shared" si="0"/>
        <v>100</v>
      </c>
      <c r="M59" s="213">
        <f t="shared" si="0"/>
        <v>0</v>
      </c>
      <c r="N59" s="234">
        <f t="shared" si="1"/>
        <v>100</v>
      </c>
      <c r="O59" s="212">
        <v>24</v>
      </c>
      <c r="P59" s="213">
        <v>30</v>
      </c>
      <c r="Q59" s="213"/>
      <c r="R59" s="214">
        <f t="shared" si="2"/>
        <v>54</v>
      </c>
      <c r="S59" s="170">
        <v>2</v>
      </c>
      <c r="T59" s="283"/>
      <c r="U59" s="281"/>
      <c r="V59" s="177" t="s">
        <v>490</v>
      </c>
      <c r="W59" s="170" t="s">
        <v>325</v>
      </c>
      <c r="X59" s="170" t="s">
        <v>18</v>
      </c>
      <c r="Y59" s="178">
        <v>30</v>
      </c>
      <c r="Z59" s="170" t="s">
        <v>486</v>
      </c>
      <c r="AA59" s="170" t="s">
        <v>22</v>
      </c>
      <c r="AB59" s="170" t="s">
        <v>11</v>
      </c>
      <c r="AC59" s="170">
        <v>24</v>
      </c>
      <c r="AD59" s="177"/>
      <c r="AG59" s="178"/>
      <c r="AL59" s="177"/>
      <c r="AO59" s="178"/>
      <c r="AP59" s="177"/>
      <c r="AS59" s="178"/>
      <c r="AW59" s="178"/>
      <c r="BA59" s="179"/>
    </row>
    <row r="60" spans="1:53" s="170" customFormat="1" x14ac:dyDescent="0.15">
      <c r="A60" s="215">
        <v>1985</v>
      </c>
      <c r="B60" s="281"/>
      <c r="C60" s="395" t="s">
        <v>657</v>
      </c>
      <c r="D60" s="395"/>
      <c r="E60" s="170">
        <v>365</v>
      </c>
      <c r="G60" s="232"/>
      <c r="H60" s="170">
        <v>14</v>
      </c>
      <c r="J60" s="240">
        <v>14</v>
      </c>
      <c r="K60" s="213">
        <f>G60/$J60*100</f>
        <v>0</v>
      </c>
      <c r="L60" s="213">
        <f t="shared" ref="L60:M112" si="3">H60/$J60*100</f>
        <v>100</v>
      </c>
      <c r="M60" s="213">
        <f t="shared" si="3"/>
        <v>0</v>
      </c>
      <c r="N60" s="234">
        <f t="shared" si="1"/>
        <v>100</v>
      </c>
      <c r="O60" s="212">
        <v>24</v>
      </c>
      <c r="P60" s="213">
        <v>30</v>
      </c>
      <c r="Q60" s="213"/>
      <c r="R60" s="214">
        <f t="shared" si="2"/>
        <v>54</v>
      </c>
      <c r="S60" s="170">
        <v>2</v>
      </c>
      <c r="T60" s="283"/>
      <c r="U60" s="281"/>
      <c r="V60" s="177" t="s">
        <v>490</v>
      </c>
      <c r="W60" s="170" t="s">
        <v>325</v>
      </c>
      <c r="X60" s="170" t="s">
        <v>18</v>
      </c>
      <c r="Y60" s="178">
        <v>30</v>
      </c>
      <c r="Z60" s="170" t="s">
        <v>486</v>
      </c>
      <c r="AA60" s="170" t="s">
        <v>22</v>
      </c>
      <c r="AB60" s="170" t="s">
        <v>11</v>
      </c>
      <c r="AC60" s="170">
        <v>24</v>
      </c>
      <c r="AD60" s="177"/>
      <c r="AG60" s="178"/>
      <c r="AL60" s="177"/>
      <c r="AO60" s="178"/>
      <c r="AP60" s="177"/>
      <c r="AS60" s="178"/>
      <c r="AW60" s="178"/>
      <c r="BA60" s="179"/>
    </row>
    <row r="61" spans="1:53" s="170" customFormat="1" x14ac:dyDescent="0.15">
      <c r="A61" s="215">
        <v>1986</v>
      </c>
      <c r="B61" s="281"/>
      <c r="C61" s="395" t="s">
        <v>657</v>
      </c>
      <c r="D61" s="395"/>
      <c r="E61" s="170">
        <v>317</v>
      </c>
      <c r="G61" s="232"/>
      <c r="H61" s="170">
        <v>14</v>
      </c>
      <c r="J61" s="240">
        <v>14</v>
      </c>
      <c r="K61" s="213">
        <f t="shared" ref="K61:K102" si="4">G61/$J61*100</f>
        <v>0</v>
      </c>
      <c r="L61" s="213">
        <f t="shared" si="3"/>
        <v>100</v>
      </c>
      <c r="M61" s="213">
        <f t="shared" si="3"/>
        <v>0</v>
      </c>
      <c r="N61" s="234">
        <f t="shared" si="1"/>
        <v>100</v>
      </c>
      <c r="O61" s="212">
        <v>24</v>
      </c>
      <c r="P61" s="213">
        <v>30</v>
      </c>
      <c r="Q61" s="213"/>
      <c r="R61" s="214">
        <f t="shared" si="2"/>
        <v>54</v>
      </c>
      <c r="S61" s="170">
        <v>2</v>
      </c>
      <c r="T61" s="283"/>
      <c r="U61" s="281"/>
      <c r="V61" s="177" t="s">
        <v>490</v>
      </c>
      <c r="W61" s="170" t="s">
        <v>325</v>
      </c>
      <c r="X61" s="170" t="s">
        <v>18</v>
      </c>
      <c r="Y61" s="178">
        <v>30</v>
      </c>
      <c r="Z61" s="170" t="s">
        <v>486</v>
      </c>
      <c r="AA61" s="170" t="s">
        <v>22</v>
      </c>
      <c r="AB61" s="170" t="s">
        <v>11</v>
      </c>
      <c r="AC61" s="170">
        <v>24</v>
      </c>
      <c r="AD61" s="177"/>
      <c r="AG61" s="178"/>
      <c r="AL61" s="177"/>
      <c r="AO61" s="178"/>
      <c r="AP61" s="177"/>
      <c r="AS61" s="178"/>
      <c r="AW61" s="178"/>
      <c r="BA61" s="179"/>
    </row>
    <row r="62" spans="1:53" s="28" customFormat="1" x14ac:dyDescent="0.15">
      <c r="A62" s="51">
        <v>1986</v>
      </c>
      <c r="B62" s="293">
        <v>31730</v>
      </c>
      <c r="C62" s="394" t="s">
        <v>658</v>
      </c>
      <c r="D62" s="394"/>
      <c r="E62" s="28">
        <f>365-E61</f>
        <v>48</v>
      </c>
      <c r="F62" s="28">
        <v>1</v>
      </c>
      <c r="G62" s="65">
        <v>5</v>
      </c>
      <c r="H62" s="28">
        <v>9</v>
      </c>
      <c r="J62" s="72">
        <v>14</v>
      </c>
      <c r="K62" s="46">
        <f t="shared" si="4"/>
        <v>35.714285714285715</v>
      </c>
      <c r="L62" s="46">
        <f t="shared" si="3"/>
        <v>64.285714285714292</v>
      </c>
      <c r="M62" s="46">
        <f t="shared" si="3"/>
        <v>0</v>
      </c>
      <c r="N62" s="67">
        <f t="shared" si="1"/>
        <v>100</v>
      </c>
      <c r="O62" s="45">
        <v>18</v>
      </c>
      <c r="P62" s="46">
        <v>36</v>
      </c>
      <c r="Q62" s="46"/>
      <c r="R62" s="47">
        <f t="shared" si="2"/>
        <v>54</v>
      </c>
      <c r="S62" s="28">
        <v>2</v>
      </c>
      <c r="T62" s="284">
        <v>31553</v>
      </c>
      <c r="U62" s="293">
        <v>31730</v>
      </c>
      <c r="V62" s="37" t="s">
        <v>490</v>
      </c>
      <c r="W62" s="28" t="s">
        <v>325</v>
      </c>
      <c r="X62" s="28" t="s">
        <v>18</v>
      </c>
      <c r="Y62" s="38">
        <v>36</v>
      </c>
      <c r="Z62" s="28" t="s">
        <v>486</v>
      </c>
      <c r="AA62" s="28" t="s">
        <v>22</v>
      </c>
      <c r="AB62" s="28" t="s">
        <v>11</v>
      </c>
      <c r="AC62" s="28">
        <v>18</v>
      </c>
      <c r="AD62" s="37"/>
      <c r="AG62" s="38"/>
      <c r="AL62" s="37"/>
      <c r="AO62" s="38"/>
      <c r="AP62" s="37"/>
      <c r="AS62" s="38"/>
      <c r="AW62" s="38"/>
      <c r="BA62" s="39"/>
    </row>
    <row r="63" spans="1:53" s="28" customFormat="1" x14ac:dyDescent="0.15">
      <c r="A63" s="51">
        <v>1987</v>
      </c>
      <c r="B63" s="293"/>
      <c r="C63" s="394" t="s">
        <v>658</v>
      </c>
      <c r="D63" s="394"/>
      <c r="E63" s="28">
        <v>0</v>
      </c>
      <c r="G63" s="65">
        <v>5</v>
      </c>
      <c r="H63" s="28">
        <v>9</v>
      </c>
      <c r="J63" s="72">
        <v>14</v>
      </c>
      <c r="K63" s="46">
        <f t="shared" si="4"/>
        <v>35.714285714285715</v>
      </c>
      <c r="L63" s="46">
        <f t="shared" si="3"/>
        <v>64.285714285714292</v>
      </c>
      <c r="M63" s="46">
        <f t="shared" si="3"/>
        <v>0</v>
      </c>
      <c r="N63" s="67">
        <f t="shared" si="1"/>
        <v>100</v>
      </c>
      <c r="O63" s="45">
        <v>18</v>
      </c>
      <c r="P63" s="46">
        <v>36</v>
      </c>
      <c r="Q63" s="46"/>
      <c r="R63" s="47">
        <f t="shared" si="2"/>
        <v>54</v>
      </c>
      <c r="S63" s="28">
        <v>2</v>
      </c>
      <c r="T63" s="284"/>
      <c r="U63" s="293"/>
      <c r="V63" s="37" t="s">
        <v>490</v>
      </c>
      <c r="W63" s="28" t="s">
        <v>325</v>
      </c>
      <c r="X63" s="28" t="s">
        <v>18</v>
      </c>
      <c r="Y63" s="38">
        <v>36</v>
      </c>
      <c r="Z63" s="28" t="s">
        <v>486</v>
      </c>
      <c r="AA63" s="28" t="s">
        <v>22</v>
      </c>
      <c r="AB63" s="28" t="s">
        <v>11</v>
      </c>
      <c r="AC63" s="28">
        <v>18</v>
      </c>
      <c r="AD63" s="37"/>
      <c r="AG63" s="38"/>
      <c r="AL63" s="37"/>
      <c r="AO63" s="38"/>
      <c r="AP63" s="37"/>
      <c r="AS63" s="38"/>
      <c r="AW63" s="38"/>
      <c r="BA63" s="39"/>
    </row>
    <row r="64" spans="1:53" s="28" customFormat="1" x14ac:dyDescent="0.15">
      <c r="A64" s="51">
        <v>1987</v>
      </c>
      <c r="B64" s="293"/>
      <c r="C64" s="394" t="s">
        <v>658</v>
      </c>
      <c r="D64" s="394"/>
      <c r="E64" s="28">
        <v>365</v>
      </c>
      <c r="G64" s="65">
        <v>5</v>
      </c>
      <c r="H64" s="28">
        <v>9</v>
      </c>
      <c r="J64" s="72">
        <v>14</v>
      </c>
      <c r="K64" s="46">
        <f t="shared" si="4"/>
        <v>35.714285714285715</v>
      </c>
      <c r="L64" s="46">
        <f t="shared" si="3"/>
        <v>64.285714285714292</v>
      </c>
      <c r="M64" s="46">
        <f t="shared" si="3"/>
        <v>0</v>
      </c>
      <c r="N64" s="67">
        <f t="shared" si="1"/>
        <v>100</v>
      </c>
      <c r="O64" s="45">
        <v>18</v>
      </c>
      <c r="P64" s="46">
        <v>36</v>
      </c>
      <c r="Q64" s="46"/>
      <c r="R64" s="47">
        <f t="shared" si="2"/>
        <v>54</v>
      </c>
      <c r="S64" s="28">
        <v>2</v>
      </c>
      <c r="T64" s="284"/>
      <c r="U64" s="293"/>
      <c r="V64" s="37" t="s">
        <v>490</v>
      </c>
      <c r="W64" s="28" t="s">
        <v>325</v>
      </c>
      <c r="X64" s="28" t="s">
        <v>18</v>
      </c>
      <c r="Y64" s="38">
        <v>36</v>
      </c>
      <c r="Z64" s="28" t="s">
        <v>486</v>
      </c>
      <c r="AA64" s="28" t="s">
        <v>22</v>
      </c>
      <c r="AB64" s="28" t="s">
        <v>11</v>
      </c>
      <c r="AC64" s="28">
        <v>18</v>
      </c>
      <c r="AD64" s="37"/>
      <c r="AG64" s="38"/>
      <c r="AL64" s="37"/>
      <c r="AO64" s="38"/>
      <c r="AP64" s="37"/>
      <c r="AS64" s="38"/>
      <c r="AW64" s="38"/>
      <c r="BA64" s="39"/>
    </row>
    <row r="65" spans="1:53" s="28" customFormat="1" x14ac:dyDescent="0.15">
      <c r="A65" s="51">
        <v>1988</v>
      </c>
      <c r="B65" s="293"/>
      <c r="C65" s="394" t="s">
        <v>658</v>
      </c>
      <c r="D65" s="394"/>
      <c r="E65" s="28">
        <v>0</v>
      </c>
      <c r="G65" s="65">
        <v>5</v>
      </c>
      <c r="H65" s="28">
        <v>9</v>
      </c>
      <c r="J65" s="72">
        <v>14</v>
      </c>
      <c r="K65" s="46">
        <f t="shared" si="4"/>
        <v>35.714285714285715</v>
      </c>
      <c r="L65" s="46">
        <f t="shared" si="3"/>
        <v>64.285714285714292</v>
      </c>
      <c r="M65" s="46">
        <f t="shared" si="3"/>
        <v>0</v>
      </c>
      <c r="N65" s="67">
        <f t="shared" si="1"/>
        <v>100</v>
      </c>
      <c r="O65" s="45">
        <v>18</v>
      </c>
      <c r="P65" s="46">
        <v>36</v>
      </c>
      <c r="Q65" s="46"/>
      <c r="R65" s="47">
        <f t="shared" si="2"/>
        <v>54</v>
      </c>
      <c r="S65" s="28">
        <v>2</v>
      </c>
      <c r="T65" s="284"/>
      <c r="U65" s="293"/>
      <c r="V65" s="37" t="s">
        <v>490</v>
      </c>
      <c r="W65" s="28" t="s">
        <v>325</v>
      </c>
      <c r="X65" s="28" t="s">
        <v>18</v>
      </c>
      <c r="Y65" s="38">
        <v>36</v>
      </c>
      <c r="Z65" s="28" t="s">
        <v>486</v>
      </c>
      <c r="AA65" s="28" t="s">
        <v>22</v>
      </c>
      <c r="AB65" s="28" t="s">
        <v>11</v>
      </c>
      <c r="AC65" s="28">
        <v>18</v>
      </c>
      <c r="AD65" s="37"/>
      <c r="AG65" s="38"/>
      <c r="AL65" s="37"/>
      <c r="AO65" s="38"/>
      <c r="AP65" s="37"/>
      <c r="AS65" s="38"/>
      <c r="AW65" s="38"/>
      <c r="BA65" s="39"/>
    </row>
    <row r="66" spans="1:53" s="28" customFormat="1" x14ac:dyDescent="0.15">
      <c r="A66" s="51">
        <v>1988</v>
      </c>
      <c r="B66" s="293"/>
      <c r="C66" s="394" t="s">
        <v>658</v>
      </c>
      <c r="D66" s="394"/>
      <c r="E66" s="28">
        <v>366</v>
      </c>
      <c r="G66" s="65">
        <v>5</v>
      </c>
      <c r="H66" s="28">
        <v>9</v>
      </c>
      <c r="J66" s="72">
        <v>14</v>
      </c>
      <c r="K66" s="46">
        <f t="shared" si="4"/>
        <v>35.714285714285715</v>
      </c>
      <c r="L66" s="46">
        <f t="shared" si="3"/>
        <v>64.285714285714292</v>
      </c>
      <c r="M66" s="46">
        <f t="shared" si="3"/>
        <v>0</v>
      </c>
      <c r="N66" s="67">
        <f t="shared" si="1"/>
        <v>100</v>
      </c>
      <c r="O66" s="45">
        <v>18</v>
      </c>
      <c r="P66" s="46">
        <v>36</v>
      </c>
      <c r="Q66" s="46"/>
      <c r="R66" s="47">
        <f t="shared" si="2"/>
        <v>54</v>
      </c>
      <c r="S66" s="28">
        <v>2</v>
      </c>
      <c r="T66" s="284"/>
      <c r="U66" s="293"/>
      <c r="V66" s="37" t="s">
        <v>490</v>
      </c>
      <c r="W66" s="28" t="s">
        <v>325</v>
      </c>
      <c r="X66" s="28" t="s">
        <v>18</v>
      </c>
      <c r="Y66" s="38">
        <v>36</v>
      </c>
      <c r="Z66" s="28" t="s">
        <v>486</v>
      </c>
      <c r="AA66" s="28" t="s">
        <v>22</v>
      </c>
      <c r="AB66" s="28" t="s">
        <v>11</v>
      </c>
      <c r="AC66" s="28">
        <v>18</v>
      </c>
      <c r="AD66" s="37"/>
      <c r="AG66" s="38"/>
      <c r="AL66" s="37"/>
      <c r="AO66" s="38"/>
      <c r="AP66" s="37"/>
      <c r="AS66" s="38"/>
      <c r="AW66" s="38"/>
      <c r="BA66" s="39"/>
    </row>
    <row r="67" spans="1:53" s="28" customFormat="1" x14ac:dyDescent="0.15">
      <c r="A67" s="51">
        <v>1989</v>
      </c>
      <c r="B67" s="293"/>
      <c r="C67" s="394" t="s">
        <v>658</v>
      </c>
      <c r="D67" s="394"/>
      <c r="E67" s="28">
        <v>310</v>
      </c>
      <c r="G67" s="65">
        <v>5</v>
      </c>
      <c r="H67" s="28">
        <v>9</v>
      </c>
      <c r="J67" s="72">
        <v>14</v>
      </c>
      <c r="K67" s="46">
        <f t="shared" si="4"/>
        <v>35.714285714285715</v>
      </c>
      <c r="L67" s="46">
        <f t="shared" si="3"/>
        <v>64.285714285714292</v>
      </c>
      <c r="M67" s="46">
        <f t="shared" si="3"/>
        <v>0</v>
      </c>
      <c r="N67" s="67">
        <f t="shared" si="1"/>
        <v>100</v>
      </c>
      <c r="O67" s="45">
        <v>18</v>
      </c>
      <c r="P67" s="46">
        <v>36</v>
      </c>
      <c r="Q67" s="46"/>
      <c r="R67" s="47">
        <f t="shared" si="2"/>
        <v>54</v>
      </c>
      <c r="S67" s="28">
        <v>2</v>
      </c>
      <c r="T67" s="284"/>
      <c r="U67" s="293"/>
      <c r="V67" s="37" t="s">
        <v>490</v>
      </c>
      <c r="W67" s="28" t="s">
        <v>325</v>
      </c>
      <c r="X67" s="28" t="s">
        <v>18</v>
      </c>
      <c r="Y67" s="38">
        <v>36</v>
      </c>
      <c r="Z67" s="28" t="s">
        <v>486</v>
      </c>
      <c r="AA67" s="28" t="s">
        <v>22</v>
      </c>
      <c r="AB67" s="28" t="s">
        <v>11</v>
      </c>
      <c r="AC67" s="28">
        <v>18</v>
      </c>
      <c r="AD67" s="37"/>
      <c r="AG67" s="38"/>
      <c r="AL67" s="37"/>
      <c r="AO67" s="38"/>
      <c r="AP67" s="37"/>
      <c r="AS67" s="38"/>
      <c r="AW67" s="38"/>
      <c r="BA67" s="39"/>
    </row>
    <row r="68" spans="1:53" s="53" customFormat="1" x14ac:dyDescent="0.15">
      <c r="A68" s="117">
        <v>1989</v>
      </c>
      <c r="B68" s="291">
        <v>32819</v>
      </c>
      <c r="C68" s="399" t="s">
        <v>659</v>
      </c>
      <c r="D68" s="399"/>
      <c r="E68" s="53">
        <f>365-E67</f>
        <v>55</v>
      </c>
      <c r="F68" s="53">
        <v>5</v>
      </c>
      <c r="G68" s="248"/>
      <c r="H68" s="53">
        <v>7</v>
      </c>
      <c r="I68" s="53">
        <v>7</v>
      </c>
      <c r="J68" s="249">
        <v>14</v>
      </c>
      <c r="K68" s="224">
        <f t="shared" si="4"/>
        <v>0</v>
      </c>
      <c r="L68" s="225">
        <f t="shared" si="3"/>
        <v>50</v>
      </c>
      <c r="M68" s="225">
        <f t="shared" si="3"/>
        <v>50</v>
      </c>
      <c r="N68" s="226">
        <f t="shared" si="1"/>
        <v>100</v>
      </c>
      <c r="O68" s="224"/>
      <c r="P68" s="225">
        <v>36</v>
      </c>
      <c r="Q68" s="225">
        <v>32.700000000000003</v>
      </c>
      <c r="R68" s="226">
        <f t="shared" si="2"/>
        <v>68.7</v>
      </c>
      <c r="S68" s="257">
        <v>2</v>
      </c>
      <c r="T68" s="285">
        <v>32757</v>
      </c>
      <c r="U68" s="291">
        <v>32819</v>
      </c>
      <c r="V68" s="54" t="s">
        <v>490</v>
      </c>
      <c r="W68" s="53" t="s">
        <v>325</v>
      </c>
      <c r="X68" s="53" t="s">
        <v>18</v>
      </c>
      <c r="Y68" s="55">
        <v>36</v>
      </c>
      <c r="Z68" s="54" t="s">
        <v>487</v>
      </c>
      <c r="AA68" s="53" t="s">
        <v>20</v>
      </c>
      <c r="AB68" s="53" t="s">
        <v>12</v>
      </c>
      <c r="AC68" s="53">
        <v>32.700000000000003</v>
      </c>
      <c r="AD68" s="54"/>
      <c r="AG68" s="55"/>
      <c r="AL68" s="54"/>
      <c r="AO68" s="55"/>
      <c r="AP68" s="54"/>
      <c r="AS68" s="55"/>
      <c r="AW68" s="55"/>
      <c r="BA68" s="56"/>
    </row>
    <row r="69" spans="1:53" s="170" customFormat="1" x14ac:dyDescent="0.15">
      <c r="A69" s="170">
        <v>1990</v>
      </c>
      <c r="B69" s="281"/>
      <c r="C69" s="395" t="s">
        <v>659</v>
      </c>
      <c r="D69" s="395"/>
      <c r="E69" s="170">
        <v>0</v>
      </c>
      <c r="G69" s="232"/>
      <c r="H69" s="170">
        <v>7</v>
      </c>
      <c r="I69" s="170">
        <v>7</v>
      </c>
      <c r="J69" s="240">
        <v>14</v>
      </c>
      <c r="K69" s="213">
        <f t="shared" si="4"/>
        <v>0</v>
      </c>
      <c r="L69" s="213">
        <f t="shared" si="3"/>
        <v>50</v>
      </c>
      <c r="M69" s="213">
        <f t="shared" si="3"/>
        <v>50</v>
      </c>
      <c r="N69" s="234">
        <f t="shared" si="1"/>
        <v>100</v>
      </c>
      <c r="O69" s="212"/>
      <c r="P69" s="213">
        <v>36</v>
      </c>
      <c r="Q69" s="213">
        <v>32.700000000000003</v>
      </c>
      <c r="R69" s="214">
        <f t="shared" si="2"/>
        <v>68.7</v>
      </c>
      <c r="S69" s="170">
        <v>2</v>
      </c>
      <c r="T69" s="283"/>
      <c r="U69" s="281"/>
      <c r="V69" s="177" t="s">
        <v>490</v>
      </c>
      <c r="W69" s="170" t="s">
        <v>325</v>
      </c>
      <c r="X69" s="170" t="s">
        <v>18</v>
      </c>
      <c r="Y69" s="170">
        <v>36</v>
      </c>
      <c r="Z69" s="177" t="s">
        <v>487</v>
      </c>
      <c r="AA69" s="170" t="s">
        <v>20</v>
      </c>
      <c r="AB69" s="170" t="s">
        <v>12</v>
      </c>
      <c r="AC69" s="170">
        <v>32.700000000000003</v>
      </c>
      <c r="AD69" s="177"/>
      <c r="AG69" s="178"/>
      <c r="AL69" s="177"/>
      <c r="AO69" s="178"/>
      <c r="AP69" s="177"/>
      <c r="AS69" s="178"/>
      <c r="AW69" s="178"/>
      <c r="BA69" s="179"/>
    </row>
    <row r="70" spans="1:53" s="170" customFormat="1" x14ac:dyDescent="0.15">
      <c r="A70" s="170">
        <v>1990</v>
      </c>
      <c r="B70" s="281"/>
      <c r="C70" s="395" t="s">
        <v>659</v>
      </c>
      <c r="D70" s="395"/>
      <c r="E70" s="170">
        <f>365-E69</f>
        <v>365</v>
      </c>
      <c r="G70" s="232"/>
      <c r="H70" s="170">
        <v>7</v>
      </c>
      <c r="I70" s="170">
        <v>7</v>
      </c>
      <c r="J70" s="240">
        <v>14</v>
      </c>
      <c r="K70" s="213">
        <f t="shared" si="4"/>
        <v>0</v>
      </c>
      <c r="L70" s="213">
        <f t="shared" si="3"/>
        <v>50</v>
      </c>
      <c r="M70" s="213">
        <f t="shared" si="3"/>
        <v>50</v>
      </c>
      <c r="N70" s="234">
        <f t="shared" si="1"/>
        <v>100</v>
      </c>
      <c r="O70" s="212"/>
      <c r="P70" s="213">
        <v>36</v>
      </c>
      <c r="Q70" s="213">
        <v>32.700000000000003</v>
      </c>
      <c r="R70" s="214">
        <f t="shared" si="2"/>
        <v>68.7</v>
      </c>
      <c r="S70" s="170">
        <v>2</v>
      </c>
      <c r="T70" s="283"/>
      <c r="U70" s="281"/>
      <c r="V70" s="177" t="s">
        <v>490</v>
      </c>
      <c r="W70" s="170" t="s">
        <v>325</v>
      </c>
      <c r="X70" s="170" t="s">
        <v>18</v>
      </c>
      <c r="Y70" s="170">
        <v>36</v>
      </c>
      <c r="Z70" s="177" t="s">
        <v>487</v>
      </c>
      <c r="AA70" s="170" t="s">
        <v>20</v>
      </c>
      <c r="AB70" s="170" t="s">
        <v>12</v>
      </c>
      <c r="AC70" s="170">
        <v>32.700000000000003</v>
      </c>
      <c r="AD70" s="177"/>
      <c r="AG70" s="178"/>
      <c r="AL70" s="177"/>
      <c r="AO70" s="178"/>
      <c r="AP70" s="177"/>
      <c r="AS70" s="178"/>
      <c r="AW70" s="178"/>
      <c r="BA70" s="179"/>
    </row>
    <row r="71" spans="1:53" s="170" customFormat="1" x14ac:dyDescent="0.15">
      <c r="A71" s="170">
        <v>1991</v>
      </c>
      <c r="B71" s="281"/>
      <c r="C71" s="395" t="s">
        <v>659</v>
      </c>
      <c r="D71" s="395"/>
      <c r="E71" s="170">
        <v>0</v>
      </c>
      <c r="G71" s="232"/>
      <c r="H71" s="170">
        <v>7</v>
      </c>
      <c r="I71" s="170">
        <v>7</v>
      </c>
      <c r="J71" s="240">
        <v>14</v>
      </c>
      <c r="K71" s="213">
        <f t="shared" si="4"/>
        <v>0</v>
      </c>
      <c r="L71" s="213">
        <f t="shared" si="3"/>
        <v>50</v>
      </c>
      <c r="M71" s="213">
        <f t="shared" si="3"/>
        <v>50</v>
      </c>
      <c r="N71" s="234">
        <f t="shared" si="1"/>
        <v>100</v>
      </c>
      <c r="O71" s="212"/>
      <c r="P71" s="213">
        <v>36</v>
      </c>
      <c r="Q71" s="213">
        <v>32.700000000000003</v>
      </c>
      <c r="R71" s="214">
        <f t="shared" si="2"/>
        <v>68.7</v>
      </c>
      <c r="S71" s="170">
        <v>2</v>
      </c>
      <c r="T71" s="283"/>
      <c r="U71" s="281"/>
      <c r="V71" s="177" t="s">
        <v>490</v>
      </c>
      <c r="W71" s="170" t="s">
        <v>325</v>
      </c>
      <c r="X71" s="170" t="s">
        <v>18</v>
      </c>
      <c r="Y71" s="170">
        <v>36</v>
      </c>
      <c r="Z71" s="177" t="s">
        <v>487</v>
      </c>
      <c r="AA71" s="170" t="s">
        <v>20</v>
      </c>
      <c r="AB71" s="170" t="s">
        <v>12</v>
      </c>
      <c r="AC71" s="170">
        <v>32.700000000000003</v>
      </c>
      <c r="AD71" s="177"/>
      <c r="AG71" s="178"/>
      <c r="AL71" s="177"/>
      <c r="AO71" s="178"/>
      <c r="AP71" s="177"/>
      <c r="AS71" s="178"/>
      <c r="AW71" s="178"/>
      <c r="BA71" s="179"/>
    </row>
    <row r="72" spans="1:53" s="170" customFormat="1" x14ac:dyDescent="0.15">
      <c r="A72" s="170">
        <v>1991</v>
      </c>
      <c r="B72" s="281"/>
      <c r="C72" s="395" t="s">
        <v>659</v>
      </c>
      <c r="D72" s="395"/>
      <c r="E72" s="170">
        <f>365-E71</f>
        <v>365</v>
      </c>
      <c r="G72" s="232"/>
      <c r="H72" s="170">
        <v>7</v>
      </c>
      <c r="I72" s="170">
        <v>7</v>
      </c>
      <c r="J72" s="240">
        <v>14</v>
      </c>
      <c r="K72" s="213">
        <f t="shared" si="4"/>
        <v>0</v>
      </c>
      <c r="L72" s="213">
        <f t="shared" si="3"/>
        <v>50</v>
      </c>
      <c r="M72" s="213">
        <f t="shared" si="3"/>
        <v>50</v>
      </c>
      <c r="N72" s="234">
        <f t="shared" si="1"/>
        <v>100</v>
      </c>
      <c r="O72" s="212"/>
      <c r="P72" s="213">
        <v>36</v>
      </c>
      <c r="Q72" s="213">
        <v>32.700000000000003</v>
      </c>
      <c r="R72" s="214">
        <f t="shared" si="2"/>
        <v>68.7</v>
      </c>
      <c r="S72" s="170">
        <v>2</v>
      </c>
      <c r="T72" s="283"/>
      <c r="U72" s="281"/>
      <c r="V72" s="177" t="s">
        <v>490</v>
      </c>
      <c r="W72" s="170" t="s">
        <v>325</v>
      </c>
      <c r="X72" s="170" t="s">
        <v>18</v>
      </c>
      <c r="Y72" s="170">
        <v>36</v>
      </c>
      <c r="Z72" s="177" t="s">
        <v>487</v>
      </c>
      <c r="AA72" s="170" t="s">
        <v>20</v>
      </c>
      <c r="AB72" s="170" t="s">
        <v>12</v>
      </c>
      <c r="AC72" s="170">
        <v>32.700000000000003</v>
      </c>
      <c r="AD72" s="177"/>
      <c r="AG72" s="178"/>
      <c r="AL72" s="177"/>
      <c r="AO72" s="178"/>
      <c r="AP72" s="177"/>
      <c r="AS72" s="178"/>
      <c r="AW72" s="178"/>
      <c r="BA72" s="179"/>
    </row>
    <row r="73" spans="1:53" s="170" customFormat="1" x14ac:dyDescent="0.15">
      <c r="A73" s="170">
        <v>1992</v>
      </c>
      <c r="B73" s="281"/>
      <c r="C73" s="395" t="s">
        <v>659</v>
      </c>
      <c r="D73" s="395"/>
      <c r="E73" s="170">
        <v>0</v>
      </c>
      <c r="G73" s="232"/>
      <c r="H73" s="170">
        <v>7</v>
      </c>
      <c r="I73" s="170">
        <v>7</v>
      </c>
      <c r="J73" s="240">
        <v>14</v>
      </c>
      <c r="K73" s="213">
        <f t="shared" si="4"/>
        <v>0</v>
      </c>
      <c r="L73" s="213">
        <f t="shared" si="3"/>
        <v>50</v>
      </c>
      <c r="M73" s="213">
        <f t="shared" si="3"/>
        <v>50</v>
      </c>
      <c r="N73" s="234">
        <f t="shared" ref="N73:N120" si="5">K73+L73+M73</f>
        <v>100</v>
      </c>
      <c r="O73" s="212"/>
      <c r="P73" s="213">
        <v>36</v>
      </c>
      <c r="Q73" s="213">
        <v>32.700000000000003</v>
      </c>
      <c r="R73" s="214">
        <f t="shared" ref="R73:R118" si="6">O73+P73+Q73</f>
        <v>68.7</v>
      </c>
      <c r="S73" s="170">
        <v>2</v>
      </c>
      <c r="T73" s="283"/>
      <c r="U73" s="281"/>
      <c r="V73" s="177" t="s">
        <v>490</v>
      </c>
      <c r="W73" s="170" t="s">
        <v>325</v>
      </c>
      <c r="X73" s="170" t="s">
        <v>18</v>
      </c>
      <c r="Y73" s="170">
        <v>36</v>
      </c>
      <c r="Z73" s="177" t="s">
        <v>487</v>
      </c>
      <c r="AA73" s="170" t="s">
        <v>20</v>
      </c>
      <c r="AB73" s="170" t="s">
        <v>12</v>
      </c>
      <c r="AC73" s="170">
        <v>32.700000000000003</v>
      </c>
      <c r="AD73" s="177"/>
      <c r="AG73" s="178"/>
      <c r="AL73" s="177"/>
      <c r="AO73" s="178"/>
      <c r="AP73" s="177"/>
      <c r="AS73" s="178"/>
      <c r="AW73" s="178"/>
      <c r="BA73" s="179"/>
    </row>
    <row r="74" spans="1:53" s="170" customFormat="1" x14ac:dyDescent="0.15">
      <c r="A74" s="170">
        <v>1992</v>
      </c>
      <c r="B74" s="281"/>
      <c r="C74" s="395" t="s">
        <v>659</v>
      </c>
      <c r="D74" s="395"/>
      <c r="E74" s="170">
        <v>366</v>
      </c>
      <c r="G74" s="232"/>
      <c r="H74" s="170">
        <v>7</v>
      </c>
      <c r="I74" s="170">
        <v>7</v>
      </c>
      <c r="J74" s="240">
        <v>14</v>
      </c>
      <c r="K74" s="213">
        <f t="shared" si="4"/>
        <v>0</v>
      </c>
      <c r="L74" s="213">
        <f t="shared" si="3"/>
        <v>50</v>
      </c>
      <c r="M74" s="213">
        <f t="shared" si="3"/>
        <v>50</v>
      </c>
      <c r="N74" s="234">
        <f t="shared" si="5"/>
        <v>100</v>
      </c>
      <c r="O74" s="212"/>
      <c r="P74" s="213">
        <v>36</v>
      </c>
      <c r="Q74" s="213">
        <v>32.700000000000003</v>
      </c>
      <c r="R74" s="214">
        <f t="shared" si="6"/>
        <v>68.7</v>
      </c>
      <c r="S74" s="170">
        <v>2</v>
      </c>
      <c r="T74" s="283"/>
      <c r="U74" s="281"/>
      <c r="V74" s="177" t="s">
        <v>490</v>
      </c>
      <c r="W74" s="170" t="s">
        <v>325</v>
      </c>
      <c r="X74" s="170" t="s">
        <v>18</v>
      </c>
      <c r="Y74" s="170">
        <v>36</v>
      </c>
      <c r="Z74" s="177" t="s">
        <v>487</v>
      </c>
      <c r="AA74" s="170" t="s">
        <v>20</v>
      </c>
      <c r="AB74" s="170" t="s">
        <v>12</v>
      </c>
      <c r="AC74" s="170">
        <v>32.700000000000003</v>
      </c>
      <c r="AD74" s="177"/>
      <c r="AG74" s="178"/>
      <c r="AL74" s="177"/>
      <c r="AO74" s="178"/>
      <c r="AP74" s="177"/>
      <c r="AS74" s="178"/>
      <c r="AW74" s="178"/>
      <c r="BA74" s="179"/>
    </row>
    <row r="75" spans="1:53" s="170" customFormat="1" x14ac:dyDescent="0.15">
      <c r="A75" s="170">
        <v>1993</v>
      </c>
      <c r="B75" s="281"/>
      <c r="C75" s="395" t="s">
        <v>659</v>
      </c>
      <c r="D75" s="395"/>
      <c r="E75" s="170">
        <v>0</v>
      </c>
      <c r="G75" s="232"/>
      <c r="H75" s="170">
        <v>7</v>
      </c>
      <c r="I75" s="170">
        <v>7</v>
      </c>
      <c r="J75" s="240">
        <v>14</v>
      </c>
      <c r="K75" s="213">
        <f t="shared" si="4"/>
        <v>0</v>
      </c>
      <c r="L75" s="213">
        <f t="shared" si="3"/>
        <v>50</v>
      </c>
      <c r="M75" s="213">
        <f t="shared" si="3"/>
        <v>50</v>
      </c>
      <c r="N75" s="234">
        <f t="shared" si="5"/>
        <v>100</v>
      </c>
      <c r="O75" s="212"/>
      <c r="P75" s="213">
        <v>36</v>
      </c>
      <c r="Q75" s="213">
        <v>32.700000000000003</v>
      </c>
      <c r="R75" s="214">
        <f t="shared" si="6"/>
        <v>68.7</v>
      </c>
      <c r="S75" s="170">
        <v>2</v>
      </c>
      <c r="T75" s="283"/>
      <c r="U75" s="281"/>
      <c r="V75" s="177" t="s">
        <v>490</v>
      </c>
      <c r="W75" s="170" t="s">
        <v>325</v>
      </c>
      <c r="X75" s="170" t="s">
        <v>18</v>
      </c>
      <c r="Y75" s="170">
        <v>36</v>
      </c>
      <c r="Z75" s="177" t="s">
        <v>487</v>
      </c>
      <c r="AA75" s="170" t="s">
        <v>20</v>
      </c>
      <c r="AB75" s="170" t="s">
        <v>12</v>
      </c>
      <c r="AC75" s="170">
        <v>32.700000000000003</v>
      </c>
      <c r="AD75" s="177"/>
      <c r="AG75" s="178"/>
      <c r="AL75" s="177"/>
      <c r="AO75" s="178"/>
      <c r="AP75" s="177"/>
      <c r="AS75" s="178"/>
      <c r="AW75" s="178"/>
      <c r="BA75" s="179"/>
    </row>
    <row r="76" spans="1:53" s="170" customFormat="1" x14ac:dyDescent="0.15">
      <c r="A76" s="170">
        <v>1993</v>
      </c>
      <c r="B76" s="281"/>
      <c r="C76" s="395" t="s">
        <v>659</v>
      </c>
      <c r="D76" s="395"/>
      <c r="E76" s="170">
        <f>365-E75</f>
        <v>365</v>
      </c>
      <c r="G76" s="232"/>
      <c r="H76" s="170">
        <v>7</v>
      </c>
      <c r="I76" s="170">
        <v>7</v>
      </c>
      <c r="J76" s="240">
        <v>14</v>
      </c>
      <c r="K76" s="213">
        <f t="shared" si="4"/>
        <v>0</v>
      </c>
      <c r="L76" s="213">
        <f t="shared" si="3"/>
        <v>50</v>
      </c>
      <c r="M76" s="213">
        <f t="shared" si="3"/>
        <v>50</v>
      </c>
      <c r="N76" s="234">
        <f t="shared" si="5"/>
        <v>100</v>
      </c>
      <c r="O76" s="212"/>
      <c r="P76" s="213">
        <v>36</v>
      </c>
      <c r="Q76" s="213">
        <v>32.700000000000003</v>
      </c>
      <c r="R76" s="214">
        <f t="shared" si="6"/>
        <v>68.7</v>
      </c>
      <c r="S76" s="170">
        <v>2</v>
      </c>
      <c r="T76" s="283"/>
      <c r="U76" s="281"/>
      <c r="V76" s="177" t="s">
        <v>490</v>
      </c>
      <c r="W76" s="170" t="s">
        <v>325</v>
      </c>
      <c r="X76" s="170" t="s">
        <v>18</v>
      </c>
      <c r="Y76" s="170">
        <v>36</v>
      </c>
      <c r="Z76" s="177" t="s">
        <v>487</v>
      </c>
      <c r="AA76" s="170" t="s">
        <v>20</v>
      </c>
      <c r="AB76" s="170" t="s">
        <v>12</v>
      </c>
      <c r="AC76" s="170">
        <v>32.700000000000003</v>
      </c>
      <c r="AD76" s="177"/>
      <c r="AG76" s="178"/>
      <c r="AL76" s="177"/>
      <c r="AO76" s="178"/>
      <c r="AP76" s="177"/>
      <c r="AS76" s="178"/>
      <c r="AW76" s="178"/>
      <c r="BA76" s="179"/>
    </row>
    <row r="77" spans="1:53" s="170" customFormat="1" x14ac:dyDescent="0.15">
      <c r="A77" s="170">
        <v>1994</v>
      </c>
      <c r="B77" s="281"/>
      <c r="C77" s="395" t="s">
        <v>659</v>
      </c>
      <c r="D77" s="395"/>
      <c r="E77" s="170">
        <v>233</v>
      </c>
      <c r="G77" s="232"/>
      <c r="H77" s="170">
        <v>7</v>
      </c>
      <c r="I77" s="170">
        <v>7</v>
      </c>
      <c r="J77" s="240">
        <v>14</v>
      </c>
      <c r="K77" s="213">
        <f t="shared" si="4"/>
        <v>0</v>
      </c>
      <c r="L77" s="213">
        <f t="shared" si="3"/>
        <v>50</v>
      </c>
      <c r="M77" s="213">
        <f t="shared" si="3"/>
        <v>50</v>
      </c>
      <c r="N77" s="234">
        <f t="shared" si="5"/>
        <v>100</v>
      </c>
      <c r="O77" s="212"/>
      <c r="P77" s="213">
        <v>36</v>
      </c>
      <c r="Q77" s="213">
        <v>32.700000000000003</v>
      </c>
      <c r="R77" s="214">
        <f t="shared" si="6"/>
        <v>68.7</v>
      </c>
      <c r="S77" s="170">
        <v>2</v>
      </c>
      <c r="T77" s="283"/>
      <c r="U77" s="281"/>
      <c r="V77" s="177" t="s">
        <v>490</v>
      </c>
      <c r="W77" s="170" t="s">
        <v>325</v>
      </c>
      <c r="X77" s="170" t="s">
        <v>18</v>
      </c>
      <c r="Y77" s="170">
        <v>36</v>
      </c>
      <c r="Z77" s="177" t="s">
        <v>487</v>
      </c>
      <c r="AA77" s="170" t="s">
        <v>20</v>
      </c>
      <c r="AB77" s="170" t="s">
        <v>12</v>
      </c>
      <c r="AC77" s="170">
        <v>32.700000000000003</v>
      </c>
      <c r="AD77" s="177"/>
      <c r="AG77" s="178"/>
      <c r="AL77" s="177"/>
      <c r="AO77" s="178"/>
      <c r="AP77" s="177"/>
      <c r="AS77" s="178"/>
      <c r="AW77" s="178"/>
      <c r="BA77" s="179"/>
    </row>
    <row r="78" spans="1:53" s="28" customFormat="1" x14ac:dyDescent="0.15">
      <c r="A78" s="28">
        <v>1994</v>
      </c>
      <c r="B78" s="293">
        <v>34568</v>
      </c>
      <c r="C78" s="394" t="s">
        <v>660</v>
      </c>
      <c r="D78" s="394"/>
      <c r="E78" s="28">
        <f>365-E77</f>
        <v>132</v>
      </c>
      <c r="F78" s="28">
        <v>1</v>
      </c>
      <c r="G78" s="65">
        <v>5</v>
      </c>
      <c r="H78" s="28">
        <v>4</v>
      </c>
      <c r="I78" s="28">
        <v>5</v>
      </c>
      <c r="J78" s="72">
        <v>14</v>
      </c>
      <c r="K78" s="46">
        <f t="shared" si="4"/>
        <v>35.714285714285715</v>
      </c>
      <c r="L78" s="46">
        <f t="shared" si="3"/>
        <v>28.571428571428569</v>
      </c>
      <c r="M78" s="46">
        <f t="shared" si="3"/>
        <v>35.714285714285715</v>
      </c>
      <c r="N78" s="67">
        <f t="shared" si="5"/>
        <v>100</v>
      </c>
      <c r="O78" s="45">
        <v>20.7</v>
      </c>
      <c r="P78" s="46">
        <v>16</v>
      </c>
      <c r="Q78" s="46">
        <v>24.7</v>
      </c>
      <c r="R78" s="47">
        <f t="shared" si="6"/>
        <v>61.400000000000006</v>
      </c>
      <c r="S78" s="28">
        <v>2</v>
      </c>
      <c r="T78" s="284">
        <v>34457</v>
      </c>
      <c r="U78" s="293">
        <v>34568</v>
      </c>
      <c r="V78" s="37" t="s">
        <v>487</v>
      </c>
      <c r="W78" s="28" t="s">
        <v>20</v>
      </c>
      <c r="X78" s="28" t="s">
        <v>12</v>
      </c>
      <c r="Y78" s="38">
        <v>24.7</v>
      </c>
      <c r="Z78" s="28" t="s">
        <v>486</v>
      </c>
      <c r="AA78" s="28" t="s">
        <v>22</v>
      </c>
      <c r="AB78" s="28" t="s">
        <v>11</v>
      </c>
      <c r="AC78" s="28">
        <v>20.7</v>
      </c>
      <c r="AD78" s="37" t="s">
        <v>489</v>
      </c>
      <c r="AE78" s="28" t="s">
        <v>87</v>
      </c>
      <c r="AF78" s="28" t="s">
        <v>18</v>
      </c>
      <c r="AG78" s="38">
        <v>16</v>
      </c>
      <c r="AL78" s="37"/>
      <c r="AO78" s="38"/>
      <c r="AP78" s="37"/>
      <c r="AS78" s="38"/>
      <c r="AW78" s="38"/>
      <c r="BA78" s="39"/>
    </row>
    <row r="79" spans="1:53" s="28" customFormat="1" x14ac:dyDescent="0.15">
      <c r="A79" s="28">
        <v>1995</v>
      </c>
      <c r="B79" s="293"/>
      <c r="C79" s="394" t="s">
        <v>660</v>
      </c>
      <c r="D79" s="394"/>
      <c r="E79" s="28">
        <v>0</v>
      </c>
      <c r="G79" s="65">
        <v>5</v>
      </c>
      <c r="H79" s="28">
        <v>4</v>
      </c>
      <c r="I79" s="28">
        <v>5</v>
      </c>
      <c r="J79" s="72">
        <v>14</v>
      </c>
      <c r="K79" s="46">
        <f t="shared" si="4"/>
        <v>35.714285714285715</v>
      </c>
      <c r="L79" s="46">
        <f t="shared" si="3"/>
        <v>28.571428571428569</v>
      </c>
      <c r="M79" s="46">
        <f t="shared" si="3"/>
        <v>35.714285714285715</v>
      </c>
      <c r="N79" s="67">
        <f t="shared" si="5"/>
        <v>100</v>
      </c>
      <c r="O79" s="45">
        <v>20.7</v>
      </c>
      <c r="P79" s="46">
        <v>16</v>
      </c>
      <c r="Q79" s="46">
        <v>24.7</v>
      </c>
      <c r="R79" s="47">
        <f t="shared" si="6"/>
        <v>61.400000000000006</v>
      </c>
      <c r="S79" s="28">
        <v>2</v>
      </c>
      <c r="T79" s="284"/>
      <c r="U79" s="293"/>
      <c r="V79" s="37" t="s">
        <v>487</v>
      </c>
      <c r="W79" s="28" t="s">
        <v>20</v>
      </c>
      <c r="X79" s="28" t="s">
        <v>12</v>
      </c>
      <c r="Y79" s="38">
        <v>24.7</v>
      </c>
      <c r="Z79" s="28" t="s">
        <v>486</v>
      </c>
      <c r="AA79" s="28" t="s">
        <v>22</v>
      </c>
      <c r="AB79" s="28" t="s">
        <v>11</v>
      </c>
      <c r="AC79" s="28">
        <v>20.7</v>
      </c>
      <c r="AD79" s="37" t="s">
        <v>489</v>
      </c>
      <c r="AE79" s="28" t="s">
        <v>87</v>
      </c>
      <c r="AF79" s="28" t="s">
        <v>18</v>
      </c>
      <c r="AG79" s="38">
        <v>16</v>
      </c>
      <c r="AL79" s="37"/>
      <c r="AO79" s="38"/>
      <c r="AP79" s="37"/>
      <c r="AS79" s="38"/>
      <c r="AW79" s="38"/>
      <c r="BA79" s="39"/>
    </row>
    <row r="80" spans="1:53" s="28" customFormat="1" x14ac:dyDescent="0.15">
      <c r="A80" s="28">
        <v>1995</v>
      </c>
      <c r="B80" s="293"/>
      <c r="C80" s="394" t="s">
        <v>660</v>
      </c>
      <c r="D80" s="394"/>
      <c r="E80" s="28">
        <f>365-E79</f>
        <v>365</v>
      </c>
      <c r="G80" s="65">
        <v>5</v>
      </c>
      <c r="H80" s="28">
        <v>4</v>
      </c>
      <c r="I80" s="28">
        <v>5</v>
      </c>
      <c r="J80" s="72">
        <v>14</v>
      </c>
      <c r="K80" s="46">
        <f t="shared" si="4"/>
        <v>35.714285714285715</v>
      </c>
      <c r="L80" s="46">
        <f t="shared" si="3"/>
        <v>28.571428571428569</v>
      </c>
      <c r="M80" s="46">
        <f t="shared" si="3"/>
        <v>35.714285714285715</v>
      </c>
      <c r="N80" s="67">
        <f t="shared" si="5"/>
        <v>100</v>
      </c>
      <c r="O80" s="45">
        <v>20.7</v>
      </c>
      <c r="P80" s="46">
        <v>16</v>
      </c>
      <c r="Q80" s="46">
        <v>24.7</v>
      </c>
      <c r="R80" s="47">
        <f t="shared" si="6"/>
        <v>61.400000000000006</v>
      </c>
      <c r="S80" s="28">
        <v>2</v>
      </c>
      <c r="T80" s="284"/>
      <c r="U80" s="293"/>
      <c r="V80" s="37" t="s">
        <v>487</v>
      </c>
      <c r="W80" s="28" t="s">
        <v>20</v>
      </c>
      <c r="X80" s="28" t="s">
        <v>12</v>
      </c>
      <c r="Y80" s="38">
        <v>24.7</v>
      </c>
      <c r="Z80" s="28" t="s">
        <v>486</v>
      </c>
      <c r="AA80" s="28" t="s">
        <v>22</v>
      </c>
      <c r="AB80" s="28" t="s">
        <v>11</v>
      </c>
      <c r="AC80" s="28">
        <v>20.7</v>
      </c>
      <c r="AD80" s="37" t="s">
        <v>489</v>
      </c>
      <c r="AE80" s="28" t="s">
        <v>87</v>
      </c>
      <c r="AF80" s="28" t="s">
        <v>18</v>
      </c>
      <c r="AG80" s="38">
        <v>16</v>
      </c>
      <c r="AL80" s="37"/>
      <c r="AO80" s="38"/>
      <c r="AP80" s="37"/>
      <c r="AS80" s="38"/>
      <c r="AW80" s="38"/>
      <c r="BA80" s="39"/>
    </row>
    <row r="81" spans="1:53" s="28" customFormat="1" x14ac:dyDescent="0.15">
      <c r="A81" s="28">
        <v>1996</v>
      </c>
      <c r="B81" s="293"/>
      <c r="C81" s="394" t="s">
        <v>660</v>
      </c>
      <c r="D81" s="394"/>
      <c r="E81" s="28">
        <v>0</v>
      </c>
      <c r="G81" s="65">
        <v>5</v>
      </c>
      <c r="H81" s="28">
        <v>4</v>
      </c>
      <c r="I81" s="28">
        <v>5</v>
      </c>
      <c r="J81" s="72">
        <v>14</v>
      </c>
      <c r="K81" s="46">
        <f t="shared" si="4"/>
        <v>35.714285714285715</v>
      </c>
      <c r="L81" s="46">
        <f t="shared" si="3"/>
        <v>28.571428571428569</v>
      </c>
      <c r="M81" s="46">
        <f t="shared" si="3"/>
        <v>35.714285714285715</v>
      </c>
      <c r="N81" s="67">
        <f t="shared" si="5"/>
        <v>100</v>
      </c>
      <c r="O81" s="45">
        <v>20.7</v>
      </c>
      <c r="P81" s="46">
        <v>16</v>
      </c>
      <c r="Q81" s="46">
        <v>24.7</v>
      </c>
      <c r="R81" s="47">
        <f t="shared" si="6"/>
        <v>61.400000000000006</v>
      </c>
      <c r="S81" s="28">
        <v>2</v>
      </c>
      <c r="T81" s="284"/>
      <c r="U81" s="293"/>
      <c r="V81" s="37" t="s">
        <v>487</v>
      </c>
      <c r="W81" s="28" t="s">
        <v>20</v>
      </c>
      <c r="X81" s="28" t="s">
        <v>12</v>
      </c>
      <c r="Y81" s="38">
        <v>24.7</v>
      </c>
      <c r="Z81" s="28" t="s">
        <v>486</v>
      </c>
      <c r="AA81" s="28" t="s">
        <v>22</v>
      </c>
      <c r="AB81" s="28" t="s">
        <v>11</v>
      </c>
      <c r="AC81" s="28">
        <v>20.7</v>
      </c>
      <c r="AD81" s="37" t="s">
        <v>489</v>
      </c>
      <c r="AE81" s="28" t="s">
        <v>87</v>
      </c>
      <c r="AF81" s="28" t="s">
        <v>18</v>
      </c>
      <c r="AG81" s="38">
        <v>16</v>
      </c>
      <c r="AL81" s="37"/>
      <c r="AO81" s="38"/>
      <c r="AP81" s="37"/>
      <c r="AS81" s="38"/>
      <c r="AW81" s="38"/>
      <c r="BA81" s="39"/>
    </row>
    <row r="82" spans="1:53" s="28" customFormat="1" x14ac:dyDescent="0.15">
      <c r="A82" s="28">
        <v>1996</v>
      </c>
      <c r="B82" s="293"/>
      <c r="C82" s="394" t="s">
        <v>660</v>
      </c>
      <c r="D82" s="394"/>
      <c r="E82" s="28">
        <v>366</v>
      </c>
      <c r="G82" s="65">
        <v>5</v>
      </c>
      <c r="H82" s="28">
        <v>4</v>
      </c>
      <c r="I82" s="28">
        <v>5</v>
      </c>
      <c r="J82" s="72">
        <v>14</v>
      </c>
      <c r="K82" s="46">
        <f t="shared" si="4"/>
        <v>35.714285714285715</v>
      </c>
      <c r="L82" s="46">
        <f t="shared" si="3"/>
        <v>28.571428571428569</v>
      </c>
      <c r="M82" s="46">
        <f t="shared" si="3"/>
        <v>35.714285714285715</v>
      </c>
      <c r="N82" s="67">
        <f t="shared" si="5"/>
        <v>100</v>
      </c>
      <c r="O82" s="45">
        <v>20.7</v>
      </c>
      <c r="P82" s="46">
        <v>16</v>
      </c>
      <c r="Q82" s="46">
        <v>24.7</v>
      </c>
      <c r="R82" s="47">
        <f t="shared" si="6"/>
        <v>61.400000000000006</v>
      </c>
      <c r="S82" s="28">
        <v>2</v>
      </c>
      <c r="T82" s="284"/>
      <c r="U82" s="293"/>
      <c r="V82" s="37" t="s">
        <v>487</v>
      </c>
      <c r="W82" s="28" t="s">
        <v>20</v>
      </c>
      <c r="X82" s="28" t="s">
        <v>12</v>
      </c>
      <c r="Y82" s="38">
        <v>24.7</v>
      </c>
      <c r="Z82" s="28" t="s">
        <v>486</v>
      </c>
      <c r="AA82" s="28" t="s">
        <v>22</v>
      </c>
      <c r="AB82" s="28" t="s">
        <v>11</v>
      </c>
      <c r="AC82" s="28">
        <v>20.7</v>
      </c>
      <c r="AD82" s="37" t="s">
        <v>489</v>
      </c>
      <c r="AE82" s="28" t="s">
        <v>87</v>
      </c>
      <c r="AF82" s="28" t="s">
        <v>18</v>
      </c>
      <c r="AG82" s="38">
        <v>16</v>
      </c>
      <c r="AL82" s="37"/>
      <c r="AO82" s="38"/>
      <c r="AP82" s="37"/>
      <c r="AS82" s="38"/>
      <c r="AW82" s="38"/>
      <c r="BA82" s="39"/>
    </row>
    <row r="83" spans="1:53" s="28" customFormat="1" x14ac:dyDescent="0.15">
      <c r="A83" s="28">
        <v>1997</v>
      </c>
      <c r="B83" s="293"/>
      <c r="C83" s="394" t="s">
        <v>660</v>
      </c>
      <c r="D83" s="394"/>
      <c r="E83" s="28">
        <v>0</v>
      </c>
      <c r="G83" s="65">
        <v>5</v>
      </c>
      <c r="H83" s="28">
        <v>4</v>
      </c>
      <c r="I83" s="28">
        <v>5</v>
      </c>
      <c r="J83" s="72">
        <v>14</v>
      </c>
      <c r="K83" s="46">
        <f t="shared" si="4"/>
        <v>35.714285714285715</v>
      </c>
      <c r="L83" s="46">
        <f t="shared" si="3"/>
        <v>28.571428571428569</v>
      </c>
      <c r="M83" s="46">
        <f t="shared" si="3"/>
        <v>35.714285714285715</v>
      </c>
      <c r="N83" s="67">
        <f t="shared" si="5"/>
        <v>100</v>
      </c>
      <c r="O83" s="45">
        <v>20.7</v>
      </c>
      <c r="P83" s="46">
        <v>16</v>
      </c>
      <c r="Q83" s="46">
        <v>24.7</v>
      </c>
      <c r="R83" s="47">
        <f t="shared" si="6"/>
        <v>61.400000000000006</v>
      </c>
      <c r="S83" s="28">
        <v>2</v>
      </c>
      <c r="T83" s="284"/>
      <c r="U83" s="293"/>
      <c r="V83" s="37" t="s">
        <v>487</v>
      </c>
      <c r="W83" s="28" t="s">
        <v>20</v>
      </c>
      <c r="X83" s="28" t="s">
        <v>12</v>
      </c>
      <c r="Y83" s="38">
        <v>24.7</v>
      </c>
      <c r="Z83" s="28" t="s">
        <v>486</v>
      </c>
      <c r="AA83" s="28" t="s">
        <v>22</v>
      </c>
      <c r="AB83" s="28" t="s">
        <v>11</v>
      </c>
      <c r="AC83" s="28">
        <v>20.7</v>
      </c>
      <c r="AD83" s="37" t="s">
        <v>489</v>
      </c>
      <c r="AE83" s="28" t="s">
        <v>87</v>
      </c>
      <c r="AF83" s="28" t="s">
        <v>18</v>
      </c>
      <c r="AG83" s="38">
        <v>16</v>
      </c>
      <c r="AL83" s="37"/>
      <c r="AO83" s="38"/>
      <c r="AP83" s="37"/>
      <c r="AS83" s="38"/>
      <c r="AW83" s="38"/>
      <c r="BA83" s="39"/>
    </row>
    <row r="84" spans="1:53" s="28" customFormat="1" x14ac:dyDescent="0.15">
      <c r="A84" s="28">
        <v>1997</v>
      </c>
      <c r="B84" s="293"/>
      <c r="C84" s="394" t="s">
        <v>660</v>
      </c>
      <c r="D84" s="394"/>
      <c r="E84" s="28">
        <f>365-E83</f>
        <v>365</v>
      </c>
      <c r="G84" s="65">
        <v>5</v>
      </c>
      <c r="H84" s="28">
        <v>4</v>
      </c>
      <c r="I84" s="28">
        <v>5</v>
      </c>
      <c r="J84" s="72">
        <v>14</v>
      </c>
      <c r="K84" s="46">
        <f t="shared" si="4"/>
        <v>35.714285714285715</v>
      </c>
      <c r="L84" s="46">
        <f t="shared" si="3"/>
        <v>28.571428571428569</v>
      </c>
      <c r="M84" s="46">
        <f t="shared" si="3"/>
        <v>35.714285714285715</v>
      </c>
      <c r="N84" s="67">
        <f t="shared" si="5"/>
        <v>100</v>
      </c>
      <c r="O84" s="45">
        <v>20.7</v>
      </c>
      <c r="P84" s="46">
        <v>16</v>
      </c>
      <c r="Q84" s="46">
        <v>24.7</v>
      </c>
      <c r="R84" s="47">
        <f t="shared" si="6"/>
        <v>61.400000000000006</v>
      </c>
      <c r="S84" s="28">
        <v>2</v>
      </c>
      <c r="T84" s="284"/>
      <c r="U84" s="293"/>
      <c r="V84" s="37" t="s">
        <v>487</v>
      </c>
      <c r="W84" s="28" t="s">
        <v>20</v>
      </c>
      <c r="X84" s="28" t="s">
        <v>12</v>
      </c>
      <c r="Y84" s="38">
        <v>24.7</v>
      </c>
      <c r="Z84" s="28" t="s">
        <v>486</v>
      </c>
      <c r="AA84" s="28" t="s">
        <v>22</v>
      </c>
      <c r="AB84" s="28" t="s">
        <v>11</v>
      </c>
      <c r="AC84" s="28">
        <v>20.7</v>
      </c>
      <c r="AD84" s="37" t="s">
        <v>489</v>
      </c>
      <c r="AE84" s="28" t="s">
        <v>87</v>
      </c>
      <c r="AF84" s="28" t="s">
        <v>18</v>
      </c>
      <c r="AG84" s="38">
        <v>16</v>
      </c>
      <c r="AL84" s="37"/>
      <c r="AO84" s="38"/>
      <c r="AP84" s="37"/>
      <c r="AS84" s="38"/>
      <c r="AW84" s="38"/>
      <c r="BA84" s="39"/>
    </row>
    <row r="85" spans="1:53" s="28" customFormat="1" x14ac:dyDescent="0.15">
      <c r="A85" s="28">
        <v>1998</v>
      </c>
      <c r="B85" s="293"/>
      <c r="C85" s="394" t="s">
        <v>660</v>
      </c>
      <c r="D85" s="394"/>
      <c r="E85" s="28">
        <v>214</v>
      </c>
      <c r="G85" s="65">
        <v>5</v>
      </c>
      <c r="H85" s="28">
        <v>4</v>
      </c>
      <c r="I85" s="28">
        <v>5</v>
      </c>
      <c r="J85" s="72">
        <v>14</v>
      </c>
      <c r="K85" s="46">
        <f t="shared" si="4"/>
        <v>35.714285714285715</v>
      </c>
      <c r="L85" s="46">
        <f t="shared" si="3"/>
        <v>28.571428571428569</v>
      </c>
      <c r="M85" s="46">
        <f t="shared" si="3"/>
        <v>35.714285714285715</v>
      </c>
      <c r="N85" s="67">
        <f t="shared" si="5"/>
        <v>100</v>
      </c>
      <c r="O85" s="45">
        <v>20.7</v>
      </c>
      <c r="P85" s="46">
        <v>16</v>
      </c>
      <c r="Q85" s="46">
        <v>24.7</v>
      </c>
      <c r="R85" s="47">
        <f t="shared" si="6"/>
        <v>61.400000000000006</v>
      </c>
      <c r="S85" s="28">
        <v>2</v>
      </c>
      <c r="T85" s="284"/>
      <c r="U85" s="293"/>
      <c r="V85" s="37" t="s">
        <v>487</v>
      </c>
      <c r="W85" s="28" t="s">
        <v>20</v>
      </c>
      <c r="X85" s="28" t="s">
        <v>12</v>
      </c>
      <c r="Y85" s="38">
        <v>24.7</v>
      </c>
      <c r="Z85" s="28" t="s">
        <v>486</v>
      </c>
      <c r="AA85" s="28" t="s">
        <v>22</v>
      </c>
      <c r="AB85" s="28" t="s">
        <v>11</v>
      </c>
      <c r="AC85" s="28">
        <v>20.7</v>
      </c>
      <c r="AD85" s="37" t="s">
        <v>489</v>
      </c>
      <c r="AE85" s="28" t="s">
        <v>87</v>
      </c>
      <c r="AF85" s="28" t="s">
        <v>18</v>
      </c>
      <c r="AG85" s="38">
        <v>16</v>
      </c>
      <c r="AL85" s="37"/>
      <c r="AO85" s="38"/>
      <c r="AP85" s="37"/>
      <c r="AS85" s="38"/>
      <c r="AW85" s="38"/>
      <c r="BA85" s="39"/>
    </row>
    <row r="86" spans="1:53" s="170" customFormat="1" x14ac:dyDescent="0.15">
      <c r="A86" s="170">
        <v>1998</v>
      </c>
      <c r="B86" s="281">
        <v>36010</v>
      </c>
      <c r="C86" s="395" t="s">
        <v>661</v>
      </c>
      <c r="D86" s="395"/>
      <c r="E86" s="170">
        <f>365-E85</f>
        <v>151</v>
      </c>
      <c r="F86" s="170">
        <v>1</v>
      </c>
      <c r="G86" s="232">
        <v>6</v>
      </c>
      <c r="H86" s="170">
        <v>3</v>
      </c>
      <c r="I86" s="170">
        <v>5</v>
      </c>
      <c r="J86" s="240">
        <v>14</v>
      </c>
      <c r="K86" s="213">
        <f t="shared" si="4"/>
        <v>42.857142857142854</v>
      </c>
      <c r="L86" s="213">
        <f t="shared" si="3"/>
        <v>21.428571428571427</v>
      </c>
      <c r="M86" s="213">
        <f t="shared" si="3"/>
        <v>35.714285714285715</v>
      </c>
      <c r="N86" s="234">
        <f t="shared" si="5"/>
        <v>100</v>
      </c>
      <c r="O86" s="212">
        <v>25.3</v>
      </c>
      <c r="P86" s="213">
        <v>9.3000000000000007</v>
      </c>
      <c r="Q86" s="213">
        <v>30</v>
      </c>
      <c r="R86" s="214">
        <f t="shared" si="6"/>
        <v>64.599999999999994</v>
      </c>
      <c r="S86" s="170">
        <v>3</v>
      </c>
      <c r="T86" s="283">
        <v>35921</v>
      </c>
      <c r="U86" s="281">
        <v>36010</v>
      </c>
      <c r="V86" s="177" t="s">
        <v>487</v>
      </c>
      <c r="W86" s="170" t="s">
        <v>20</v>
      </c>
      <c r="X86" s="170" t="s">
        <v>12</v>
      </c>
      <c r="Y86" s="178">
        <v>30</v>
      </c>
      <c r="Z86" s="170" t="s">
        <v>486</v>
      </c>
      <c r="AA86" s="170" t="s">
        <v>22</v>
      </c>
      <c r="AB86" s="170" t="s">
        <v>11</v>
      </c>
      <c r="AC86" s="170">
        <v>25.3</v>
      </c>
      <c r="AD86" s="177" t="s">
        <v>489</v>
      </c>
      <c r="AE86" s="170" t="s">
        <v>87</v>
      </c>
      <c r="AF86" s="170" t="s">
        <v>18</v>
      </c>
      <c r="AG86" s="178">
        <v>9.3000000000000007</v>
      </c>
      <c r="AL86" s="177"/>
      <c r="AO86" s="178"/>
      <c r="AP86" s="177"/>
      <c r="AS86" s="178"/>
      <c r="AW86" s="178"/>
      <c r="BA86" s="179"/>
    </row>
    <row r="87" spans="1:53" s="170" customFormat="1" x14ac:dyDescent="0.15">
      <c r="A87" s="170">
        <v>1999</v>
      </c>
      <c r="B87" s="281"/>
      <c r="C87" s="395" t="s">
        <v>661</v>
      </c>
      <c r="D87" s="395"/>
      <c r="E87" s="170">
        <v>0</v>
      </c>
      <c r="G87" s="232">
        <v>6</v>
      </c>
      <c r="H87" s="170">
        <v>3</v>
      </c>
      <c r="I87" s="170">
        <v>6</v>
      </c>
      <c r="J87" s="240">
        <v>15</v>
      </c>
      <c r="K87" s="213">
        <f t="shared" si="4"/>
        <v>40</v>
      </c>
      <c r="L87" s="213">
        <f t="shared" si="3"/>
        <v>20</v>
      </c>
      <c r="M87" s="213">
        <f t="shared" si="3"/>
        <v>40</v>
      </c>
      <c r="N87" s="234">
        <f t="shared" si="5"/>
        <v>100</v>
      </c>
      <c r="O87" s="212">
        <v>25.3</v>
      </c>
      <c r="P87" s="213">
        <v>9.3000000000000007</v>
      </c>
      <c r="Q87" s="213">
        <v>30</v>
      </c>
      <c r="R87" s="214">
        <f t="shared" si="6"/>
        <v>64.599999999999994</v>
      </c>
      <c r="S87" s="170">
        <v>3</v>
      </c>
      <c r="T87" s="283"/>
      <c r="U87" s="281"/>
      <c r="V87" s="177" t="s">
        <v>487</v>
      </c>
      <c r="W87" s="170" t="s">
        <v>20</v>
      </c>
      <c r="X87" s="170" t="s">
        <v>12</v>
      </c>
      <c r="Y87" s="178">
        <v>30</v>
      </c>
      <c r="Z87" s="170" t="s">
        <v>486</v>
      </c>
      <c r="AA87" s="170" t="s">
        <v>22</v>
      </c>
      <c r="AB87" s="170" t="s">
        <v>11</v>
      </c>
      <c r="AC87" s="170">
        <v>25.3</v>
      </c>
      <c r="AD87" s="177" t="s">
        <v>489</v>
      </c>
      <c r="AE87" s="170" t="s">
        <v>87</v>
      </c>
      <c r="AF87" s="170" t="s">
        <v>18</v>
      </c>
      <c r="AG87" s="178">
        <v>9.3000000000000007</v>
      </c>
      <c r="AL87" s="177"/>
      <c r="AO87" s="178"/>
      <c r="AP87" s="177"/>
      <c r="AS87" s="178"/>
      <c r="AW87" s="178"/>
      <c r="BA87" s="179"/>
    </row>
    <row r="88" spans="1:53" s="170" customFormat="1" x14ac:dyDescent="0.15">
      <c r="A88" s="170">
        <v>1999</v>
      </c>
      <c r="B88" s="281"/>
      <c r="C88" s="395" t="s">
        <v>661</v>
      </c>
      <c r="D88" s="395"/>
      <c r="E88" s="170">
        <f>365-E87</f>
        <v>365</v>
      </c>
      <c r="G88" s="232">
        <v>6</v>
      </c>
      <c r="H88" s="170">
        <v>3</v>
      </c>
      <c r="I88" s="170">
        <v>6</v>
      </c>
      <c r="J88" s="240">
        <v>15</v>
      </c>
      <c r="K88" s="213">
        <f t="shared" si="4"/>
        <v>40</v>
      </c>
      <c r="L88" s="213">
        <f t="shared" si="3"/>
        <v>20</v>
      </c>
      <c r="M88" s="213">
        <f t="shared" si="3"/>
        <v>40</v>
      </c>
      <c r="N88" s="234">
        <f t="shared" si="5"/>
        <v>100</v>
      </c>
      <c r="O88" s="212">
        <v>25.3</v>
      </c>
      <c r="P88" s="213">
        <v>9.3000000000000007</v>
      </c>
      <c r="Q88" s="213">
        <v>30</v>
      </c>
      <c r="R88" s="214">
        <f t="shared" si="6"/>
        <v>64.599999999999994</v>
      </c>
      <c r="S88" s="170">
        <v>3</v>
      </c>
      <c r="T88" s="283"/>
      <c r="U88" s="281"/>
      <c r="V88" s="177" t="s">
        <v>487</v>
      </c>
      <c r="W88" s="170" t="s">
        <v>20</v>
      </c>
      <c r="X88" s="170" t="s">
        <v>12</v>
      </c>
      <c r="Y88" s="178">
        <v>30</v>
      </c>
      <c r="Z88" s="170" t="s">
        <v>486</v>
      </c>
      <c r="AA88" s="170" t="s">
        <v>22</v>
      </c>
      <c r="AB88" s="170" t="s">
        <v>11</v>
      </c>
      <c r="AC88" s="170">
        <v>25.3</v>
      </c>
      <c r="AD88" s="177" t="s">
        <v>489</v>
      </c>
      <c r="AE88" s="170" t="s">
        <v>87</v>
      </c>
      <c r="AF88" s="170" t="s">
        <v>18</v>
      </c>
      <c r="AG88" s="178">
        <v>9.3000000000000007</v>
      </c>
      <c r="AL88" s="177"/>
      <c r="AO88" s="178"/>
      <c r="AP88" s="177"/>
      <c r="AS88" s="178"/>
      <c r="AW88" s="178"/>
      <c r="BA88" s="179"/>
    </row>
    <row r="89" spans="1:53" s="170" customFormat="1" x14ac:dyDescent="0.15">
      <c r="A89" s="170">
        <v>2000</v>
      </c>
      <c r="B89" s="281"/>
      <c r="C89" s="395" t="s">
        <v>661</v>
      </c>
      <c r="D89" s="395"/>
      <c r="E89" s="170">
        <v>0</v>
      </c>
      <c r="G89" s="232">
        <v>6</v>
      </c>
      <c r="H89" s="170">
        <v>3</v>
      </c>
      <c r="I89" s="170">
        <v>6</v>
      </c>
      <c r="J89" s="240">
        <v>15</v>
      </c>
      <c r="K89" s="213">
        <f t="shared" si="4"/>
        <v>40</v>
      </c>
      <c r="L89" s="213">
        <f t="shared" si="3"/>
        <v>20</v>
      </c>
      <c r="M89" s="213">
        <f t="shared" si="3"/>
        <v>40</v>
      </c>
      <c r="N89" s="234">
        <f t="shared" si="5"/>
        <v>100</v>
      </c>
      <c r="O89" s="212">
        <v>25.3</v>
      </c>
      <c r="P89" s="213">
        <v>9.3000000000000007</v>
      </c>
      <c r="Q89" s="213">
        <v>30</v>
      </c>
      <c r="R89" s="214">
        <f t="shared" si="6"/>
        <v>64.599999999999994</v>
      </c>
      <c r="S89" s="170">
        <v>3</v>
      </c>
      <c r="T89" s="283"/>
      <c r="U89" s="281"/>
      <c r="V89" s="177" t="s">
        <v>487</v>
      </c>
      <c r="W89" s="170" t="s">
        <v>20</v>
      </c>
      <c r="X89" s="170" t="s">
        <v>12</v>
      </c>
      <c r="Y89" s="178">
        <v>30</v>
      </c>
      <c r="Z89" s="170" t="s">
        <v>486</v>
      </c>
      <c r="AA89" s="170" t="s">
        <v>22</v>
      </c>
      <c r="AB89" s="170" t="s">
        <v>11</v>
      </c>
      <c r="AC89" s="170">
        <v>25.3</v>
      </c>
      <c r="AD89" s="177" t="s">
        <v>489</v>
      </c>
      <c r="AE89" s="170" t="s">
        <v>87</v>
      </c>
      <c r="AF89" s="170" t="s">
        <v>18</v>
      </c>
      <c r="AG89" s="178">
        <v>9.3000000000000007</v>
      </c>
      <c r="AL89" s="177"/>
      <c r="AO89" s="178"/>
      <c r="AP89" s="177"/>
      <c r="AS89" s="178"/>
      <c r="AW89" s="178"/>
      <c r="BA89" s="179"/>
    </row>
    <row r="90" spans="1:53" s="170" customFormat="1" x14ac:dyDescent="0.15">
      <c r="A90" s="170">
        <v>2000</v>
      </c>
      <c r="B90" s="281"/>
      <c r="C90" s="395" t="s">
        <v>661</v>
      </c>
      <c r="D90" s="395"/>
      <c r="E90" s="170">
        <v>366</v>
      </c>
      <c r="G90" s="232">
        <v>6</v>
      </c>
      <c r="H90" s="170">
        <v>3</v>
      </c>
      <c r="I90" s="170">
        <v>6</v>
      </c>
      <c r="J90" s="240">
        <v>15</v>
      </c>
      <c r="K90" s="213">
        <f t="shared" si="4"/>
        <v>40</v>
      </c>
      <c r="L90" s="213">
        <f t="shared" si="3"/>
        <v>20</v>
      </c>
      <c r="M90" s="213">
        <f t="shared" si="3"/>
        <v>40</v>
      </c>
      <c r="N90" s="234">
        <f t="shared" si="5"/>
        <v>100</v>
      </c>
      <c r="O90" s="212">
        <v>25.3</v>
      </c>
      <c r="P90" s="213">
        <v>9.3000000000000007</v>
      </c>
      <c r="Q90" s="213">
        <v>30</v>
      </c>
      <c r="R90" s="214">
        <f t="shared" si="6"/>
        <v>64.599999999999994</v>
      </c>
      <c r="S90" s="170">
        <v>3</v>
      </c>
      <c r="T90" s="283"/>
      <c r="U90" s="281"/>
      <c r="V90" s="177" t="s">
        <v>487</v>
      </c>
      <c r="W90" s="170" t="s">
        <v>20</v>
      </c>
      <c r="X90" s="170" t="s">
        <v>12</v>
      </c>
      <c r="Y90" s="178">
        <v>30</v>
      </c>
      <c r="Z90" s="170" t="s">
        <v>486</v>
      </c>
      <c r="AA90" s="170" t="s">
        <v>22</v>
      </c>
      <c r="AB90" s="170" t="s">
        <v>11</v>
      </c>
      <c r="AC90" s="170">
        <v>25.3</v>
      </c>
      <c r="AD90" s="177" t="s">
        <v>489</v>
      </c>
      <c r="AE90" s="170" t="s">
        <v>87</v>
      </c>
      <c r="AF90" s="170" t="s">
        <v>18</v>
      </c>
      <c r="AG90" s="178">
        <v>9.3000000000000007</v>
      </c>
      <c r="AL90" s="177"/>
      <c r="AO90" s="178"/>
      <c r="AP90" s="177"/>
      <c r="AS90" s="178"/>
      <c r="AW90" s="178"/>
      <c r="BA90" s="179"/>
    </row>
    <row r="91" spans="1:53" s="170" customFormat="1" x14ac:dyDescent="0.15">
      <c r="A91" s="170">
        <v>2001</v>
      </c>
      <c r="B91" s="281"/>
      <c r="C91" s="395" t="s">
        <v>661</v>
      </c>
      <c r="D91" s="395"/>
      <c r="E91" s="170">
        <v>0</v>
      </c>
      <c r="G91" s="232">
        <v>6</v>
      </c>
      <c r="H91" s="170">
        <v>3</v>
      </c>
      <c r="I91" s="170">
        <v>6</v>
      </c>
      <c r="J91" s="240">
        <v>15</v>
      </c>
      <c r="K91" s="213">
        <f t="shared" si="4"/>
        <v>40</v>
      </c>
      <c r="L91" s="213">
        <f t="shared" si="3"/>
        <v>20</v>
      </c>
      <c r="M91" s="213">
        <f t="shared" si="3"/>
        <v>40</v>
      </c>
      <c r="N91" s="234">
        <f t="shared" si="5"/>
        <v>100</v>
      </c>
      <c r="O91" s="212">
        <v>25.3</v>
      </c>
      <c r="P91" s="213">
        <v>9.3000000000000007</v>
      </c>
      <c r="Q91" s="213">
        <v>30</v>
      </c>
      <c r="R91" s="214">
        <f t="shared" si="6"/>
        <v>64.599999999999994</v>
      </c>
      <c r="S91" s="170">
        <v>3</v>
      </c>
      <c r="T91" s="283"/>
      <c r="U91" s="281"/>
      <c r="V91" s="177" t="s">
        <v>487</v>
      </c>
      <c r="W91" s="170" t="s">
        <v>20</v>
      </c>
      <c r="X91" s="170" t="s">
        <v>12</v>
      </c>
      <c r="Y91" s="178">
        <v>30</v>
      </c>
      <c r="Z91" s="170" t="s">
        <v>486</v>
      </c>
      <c r="AA91" s="170" t="s">
        <v>22</v>
      </c>
      <c r="AB91" s="170" t="s">
        <v>11</v>
      </c>
      <c r="AC91" s="170">
        <v>25.3</v>
      </c>
      <c r="AD91" s="177" t="s">
        <v>489</v>
      </c>
      <c r="AE91" s="170" t="s">
        <v>87</v>
      </c>
      <c r="AF91" s="170" t="s">
        <v>18</v>
      </c>
      <c r="AG91" s="178">
        <v>9.3000000000000007</v>
      </c>
      <c r="AL91" s="177"/>
      <c r="AO91" s="178"/>
      <c r="AP91" s="177"/>
      <c r="AS91" s="178"/>
      <c r="AW91" s="178"/>
      <c r="BA91" s="179"/>
    </row>
    <row r="92" spans="1:53" s="170" customFormat="1" x14ac:dyDescent="0.15">
      <c r="A92" s="170">
        <v>2001</v>
      </c>
      <c r="B92" s="281"/>
      <c r="C92" s="395" t="s">
        <v>661</v>
      </c>
      <c r="D92" s="395"/>
      <c r="E92" s="170">
        <f>365-E91</f>
        <v>365</v>
      </c>
      <c r="G92" s="232">
        <v>6</v>
      </c>
      <c r="H92" s="170">
        <v>3</v>
      </c>
      <c r="I92" s="170">
        <v>6</v>
      </c>
      <c r="J92" s="240">
        <v>15</v>
      </c>
      <c r="K92" s="213">
        <f t="shared" si="4"/>
        <v>40</v>
      </c>
      <c r="L92" s="213">
        <f t="shared" si="3"/>
        <v>20</v>
      </c>
      <c r="M92" s="213">
        <f t="shared" si="3"/>
        <v>40</v>
      </c>
      <c r="N92" s="234">
        <f t="shared" si="5"/>
        <v>100</v>
      </c>
      <c r="O92" s="212">
        <v>25.3</v>
      </c>
      <c r="P92" s="213">
        <v>9.3000000000000007</v>
      </c>
      <c r="Q92" s="213">
        <v>30</v>
      </c>
      <c r="R92" s="214">
        <f t="shared" si="6"/>
        <v>64.599999999999994</v>
      </c>
      <c r="S92" s="170">
        <v>3</v>
      </c>
      <c r="T92" s="283"/>
      <c r="U92" s="281"/>
      <c r="V92" s="177" t="s">
        <v>487</v>
      </c>
      <c r="W92" s="170" t="s">
        <v>20</v>
      </c>
      <c r="X92" s="170" t="s">
        <v>12</v>
      </c>
      <c r="Y92" s="178">
        <v>30</v>
      </c>
      <c r="Z92" s="170" t="s">
        <v>486</v>
      </c>
      <c r="AA92" s="170" t="s">
        <v>22</v>
      </c>
      <c r="AB92" s="170" t="s">
        <v>11</v>
      </c>
      <c r="AC92" s="170">
        <v>25.3</v>
      </c>
      <c r="AD92" s="177" t="s">
        <v>489</v>
      </c>
      <c r="AE92" s="170" t="s">
        <v>87</v>
      </c>
      <c r="AF92" s="170" t="s">
        <v>18</v>
      </c>
      <c r="AG92" s="178">
        <v>9.3000000000000007</v>
      </c>
      <c r="AL92" s="177"/>
      <c r="AO92" s="178"/>
      <c r="AP92" s="177"/>
      <c r="AS92" s="178"/>
      <c r="AW92" s="178"/>
      <c r="BA92" s="179"/>
    </row>
    <row r="93" spans="1:53" s="170" customFormat="1" x14ac:dyDescent="0.15">
      <c r="A93" s="170">
        <v>2002</v>
      </c>
      <c r="B93" s="281"/>
      <c r="C93" s="395" t="s">
        <v>661</v>
      </c>
      <c r="D93" s="395"/>
      <c r="E93" s="170">
        <v>105</v>
      </c>
      <c r="G93" s="232">
        <v>6</v>
      </c>
      <c r="H93" s="170">
        <v>3</v>
      </c>
      <c r="I93" s="170">
        <v>6</v>
      </c>
      <c r="J93" s="240">
        <v>15</v>
      </c>
      <c r="K93" s="213">
        <f t="shared" si="4"/>
        <v>40</v>
      </c>
      <c r="L93" s="213">
        <f t="shared" si="3"/>
        <v>20</v>
      </c>
      <c r="M93" s="213">
        <f t="shared" si="3"/>
        <v>40</v>
      </c>
      <c r="N93" s="234">
        <f t="shared" si="5"/>
        <v>100</v>
      </c>
      <c r="O93" s="212">
        <v>25.3</v>
      </c>
      <c r="P93" s="213">
        <v>9.3000000000000007</v>
      </c>
      <c r="Q93" s="213">
        <v>30</v>
      </c>
      <c r="R93" s="214">
        <f t="shared" si="6"/>
        <v>64.599999999999994</v>
      </c>
      <c r="S93" s="170">
        <v>3</v>
      </c>
      <c r="T93" s="283"/>
      <c r="U93" s="281"/>
      <c r="V93" s="177" t="s">
        <v>487</v>
      </c>
      <c r="W93" s="170" t="s">
        <v>20</v>
      </c>
      <c r="X93" s="170" t="s">
        <v>12</v>
      </c>
      <c r="Y93" s="178">
        <v>30</v>
      </c>
      <c r="Z93" s="170" t="s">
        <v>486</v>
      </c>
      <c r="AA93" s="170" t="s">
        <v>22</v>
      </c>
      <c r="AB93" s="170" t="s">
        <v>11</v>
      </c>
      <c r="AC93" s="170">
        <v>25.3</v>
      </c>
      <c r="AD93" s="177" t="s">
        <v>489</v>
      </c>
      <c r="AE93" s="170" t="s">
        <v>87</v>
      </c>
      <c r="AF93" s="170" t="s">
        <v>18</v>
      </c>
      <c r="AG93" s="178">
        <v>9.3000000000000007</v>
      </c>
      <c r="AL93" s="177"/>
      <c r="AO93" s="178"/>
      <c r="AP93" s="177"/>
      <c r="AS93" s="178"/>
      <c r="AW93" s="178"/>
      <c r="BA93" s="179"/>
    </row>
    <row r="94" spans="1:53" s="28" customFormat="1" x14ac:dyDescent="0.15">
      <c r="A94" s="28">
        <v>2002</v>
      </c>
      <c r="B94" s="293">
        <v>37362</v>
      </c>
      <c r="C94" s="394" t="s">
        <v>662</v>
      </c>
      <c r="D94" s="394"/>
      <c r="E94" s="28">
        <v>97</v>
      </c>
      <c r="F94" s="28">
        <v>2</v>
      </c>
      <c r="G94" s="65">
        <v>6</v>
      </c>
      <c r="H94" s="28">
        <v>3</v>
      </c>
      <c r="I94" s="28">
        <v>6</v>
      </c>
      <c r="J94" s="72">
        <v>15</v>
      </c>
      <c r="K94" s="46">
        <f t="shared" si="4"/>
        <v>40</v>
      </c>
      <c r="L94" s="46">
        <f t="shared" si="3"/>
        <v>20</v>
      </c>
      <c r="M94" s="46">
        <f t="shared" si="3"/>
        <v>40</v>
      </c>
      <c r="N94" s="67">
        <f t="shared" si="5"/>
        <v>100</v>
      </c>
      <c r="O94" s="45">
        <v>25.3</v>
      </c>
      <c r="P94" s="46">
        <v>9.3000000000000007</v>
      </c>
      <c r="Q94" s="46">
        <v>30</v>
      </c>
      <c r="R94" s="47">
        <f t="shared" si="6"/>
        <v>64.599999999999994</v>
      </c>
      <c r="S94" s="28">
        <v>6</v>
      </c>
      <c r="T94" s="284"/>
      <c r="U94" s="293">
        <v>37362</v>
      </c>
      <c r="V94" s="37" t="s">
        <v>487</v>
      </c>
      <c r="W94" s="28" t="s">
        <v>20</v>
      </c>
      <c r="X94" s="28" t="s">
        <v>12</v>
      </c>
      <c r="Y94" s="38">
        <v>30</v>
      </c>
      <c r="Z94" s="28" t="s">
        <v>486</v>
      </c>
      <c r="AA94" s="28" t="s">
        <v>22</v>
      </c>
      <c r="AB94" s="28" t="s">
        <v>11</v>
      </c>
      <c r="AC94" s="28">
        <v>25.3</v>
      </c>
      <c r="AD94" s="37" t="s">
        <v>489</v>
      </c>
      <c r="AE94" s="28" t="s">
        <v>87</v>
      </c>
      <c r="AF94" s="28" t="s">
        <v>18</v>
      </c>
      <c r="AG94" s="38">
        <v>9.3000000000000007</v>
      </c>
      <c r="AL94" s="37"/>
      <c r="AO94" s="38"/>
      <c r="AP94" s="37"/>
      <c r="AS94" s="38"/>
      <c r="AW94" s="38"/>
      <c r="BA94" s="39"/>
    </row>
    <row r="95" spans="1:53" s="170" customFormat="1" x14ac:dyDescent="0.15">
      <c r="A95" s="170">
        <v>2002</v>
      </c>
      <c r="B95" s="281">
        <v>37459</v>
      </c>
      <c r="C95" s="395" t="s">
        <v>663</v>
      </c>
      <c r="D95" s="395"/>
      <c r="E95" s="170">
        <v>86</v>
      </c>
      <c r="F95" s="170">
        <v>1</v>
      </c>
      <c r="G95" s="232">
        <v>5</v>
      </c>
      <c r="H95" s="170">
        <v>6</v>
      </c>
      <c r="J95" s="240">
        <v>11</v>
      </c>
      <c r="K95" s="213">
        <f t="shared" si="4"/>
        <v>45.454545454545453</v>
      </c>
      <c r="L95" s="213">
        <f t="shared" si="3"/>
        <v>54.54545454545454</v>
      </c>
      <c r="M95" s="213">
        <f t="shared" si="3"/>
        <v>0</v>
      </c>
      <c r="N95" s="234">
        <f t="shared" si="5"/>
        <v>100</v>
      </c>
      <c r="O95" s="212">
        <v>33.299999999999997</v>
      </c>
      <c r="P95" s="213">
        <v>28.7</v>
      </c>
      <c r="Q95" s="213"/>
      <c r="R95" s="214">
        <f t="shared" si="6"/>
        <v>62</v>
      </c>
      <c r="S95" s="170">
        <v>2</v>
      </c>
      <c r="T95" s="283">
        <v>37391</v>
      </c>
      <c r="U95" s="281">
        <v>37459</v>
      </c>
      <c r="V95" s="177" t="s">
        <v>490</v>
      </c>
      <c r="W95" s="170" t="s">
        <v>325</v>
      </c>
      <c r="X95" s="170" t="s">
        <v>18</v>
      </c>
      <c r="Y95" s="178">
        <v>28.7</v>
      </c>
      <c r="Z95" s="170" t="s">
        <v>486</v>
      </c>
      <c r="AA95" s="170" t="s">
        <v>22</v>
      </c>
      <c r="AB95" s="170" t="s">
        <v>11</v>
      </c>
      <c r="AC95" s="170">
        <v>16</v>
      </c>
      <c r="AD95" s="177" t="s">
        <v>491</v>
      </c>
      <c r="AE95" s="170" t="s">
        <v>294</v>
      </c>
      <c r="AF95" s="170" t="s">
        <v>11</v>
      </c>
      <c r="AG95" s="178">
        <v>17.3</v>
      </c>
      <c r="AL95" s="177"/>
      <c r="AO95" s="178"/>
      <c r="AP95" s="177"/>
      <c r="AS95" s="178"/>
      <c r="AW95" s="178"/>
      <c r="BA95" s="179"/>
    </row>
    <row r="96" spans="1:53" s="28" customFormat="1" x14ac:dyDescent="0.15">
      <c r="A96" s="28">
        <v>2002</v>
      </c>
      <c r="B96" s="293">
        <v>37545</v>
      </c>
      <c r="C96" s="394" t="s">
        <v>664</v>
      </c>
      <c r="D96" s="394"/>
      <c r="E96" s="28">
        <v>57</v>
      </c>
      <c r="F96" s="28">
        <v>2</v>
      </c>
      <c r="G96" s="65">
        <v>3</v>
      </c>
      <c r="H96" s="28">
        <v>6</v>
      </c>
      <c r="J96" s="72">
        <v>9</v>
      </c>
      <c r="K96" s="46">
        <f t="shared" si="4"/>
        <v>33.333333333333329</v>
      </c>
      <c r="L96" s="46">
        <f t="shared" si="3"/>
        <v>66.666666666666657</v>
      </c>
      <c r="M96" s="46">
        <f t="shared" si="3"/>
        <v>0</v>
      </c>
      <c r="N96" s="67">
        <f t="shared" si="5"/>
        <v>99.999999999999986</v>
      </c>
      <c r="O96" s="45">
        <v>16</v>
      </c>
      <c r="P96" s="46">
        <v>28.7</v>
      </c>
      <c r="Q96" s="46"/>
      <c r="R96" s="47">
        <f t="shared" si="6"/>
        <v>44.7</v>
      </c>
      <c r="S96" s="28">
        <v>6</v>
      </c>
      <c r="T96" s="284"/>
      <c r="U96" s="293">
        <v>37545</v>
      </c>
      <c r="V96" s="37" t="s">
        <v>490</v>
      </c>
      <c r="W96" s="28" t="s">
        <v>325</v>
      </c>
      <c r="X96" s="28" t="s">
        <v>18</v>
      </c>
      <c r="Y96" s="38">
        <v>28.7</v>
      </c>
      <c r="Z96" s="28" t="s">
        <v>486</v>
      </c>
      <c r="AA96" s="28" t="s">
        <v>22</v>
      </c>
      <c r="AB96" s="28" t="s">
        <v>11</v>
      </c>
      <c r="AC96" s="28">
        <v>16</v>
      </c>
      <c r="AD96" s="37"/>
      <c r="AG96" s="38"/>
      <c r="AL96" s="37"/>
      <c r="AO96" s="38"/>
      <c r="AP96" s="37"/>
      <c r="AS96" s="38"/>
      <c r="AW96" s="38"/>
      <c r="BA96" s="39"/>
    </row>
    <row r="97" spans="1:53" s="28" customFormat="1" x14ac:dyDescent="0.15">
      <c r="A97" s="28">
        <v>2002</v>
      </c>
      <c r="B97" s="301">
        <v>37602</v>
      </c>
      <c r="C97" s="394" t="s">
        <v>664</v>
      </c>
      <c r="D97" s="394"/>
      <c r="E97" s="28">
        <f>365-E93-E94-E95-E96</f>
        <v>20</v>
      </c>
      <c r="F97" s="83">
        <v>0</v>
      </c>
      <c r="G97" s="65">
        <v>2</v>
      </c>
      <c r="H97" s="28">
        <v>6</v>
      </c>
      <c r="J97" s="72">
        <v>8</v>
      </c>
      <c r="K97" s="46">
        <f t="shared" si="4"/>
        <v>25</v>
      </c>
      <c r="L97" s="46">
        <f t="shared" si="3"/>
        <v>75</v>
      </c>
      <c r="M97" s="46">
        <f t="shared" si="3"/>
        <v>0</v>
      </c>
      <c r="N97" s="67">
        <f t="shared" si="5"/>
        <v>100</v>
      </c>
      <c r="O97" s="45">
        <v>16</v>
      </c>
      <c r="P97" s="46">
        <v>28.7</v>
      </c>
      <c r="Q97" s="46"/>
      <c r="R97" s="47">
        <f>O97+P97+Q97</f>
        <v>44.7</v>
      </c>
      <c r="S97" s="28">
        <v>6</v>
      </c>
      <c r="T97" s="284"/>
      <c r="U97" s="293"/>
      <c r="V97" s="37" t="s">
        <v>490</v>
      </c>
      <c r="W97" s="28" t="s">
        <v>325</v>
      </c>
      <c r="X97" s="28" t="s">
        <v>18</v>
      </c>
      <c r="Y97" s="38">
        <v>28.7</v>
      </c>
      <c r="Z97" s="28" t="s">
        <v>486</v>
      </c>
      <c r="AA97" s="28" t="s">
        <v>22</v>
      </c>
      <c r="AB97" s="28" t="s">
        <v>11</v>
      </c>
      <c r="AC97" s="28">
        <v>16</v>
      </c>
      <c r="AD97" s="37"/>
      <c r="AG97" s="38"/>
      <c r="AL97" s="37"/>
      <c r="AO97" s="38"/>
      <c r="AP97" s="37"/>
      <c r="AS97" s="38"/>
      <c r="AW97" s="38"/>
      <c r="BA97" s="39"/>
    </row>
    <row r="98" spans="1:53" s="28" customFormat="1" x14ac:dyDescent="0.15">
      <c r="A98" s="28">
        <v>2003</v>
      </c>
      <c r="B98" s="293"/>
      <c r="C98" s="394" t="s">
        <v>664</v>
      </c>
      <c r="D98" s="394"/>
      <c r="E98" s="28">
        <v>146</v>
      </c>
      <c r="G98" s="65">
        <v>2</v>
      </c>
      <c r="H98" s="28">
        <v>6</v>
      </c>
      <c r="J98" s="72">
        <v>8</v>
      </c>
      <c r="K98" s="46">
        <f t="shared" si="4"/>
        <v>25</v>
      </c>
      <c r="L98" s="46">
        <f t="shared" si="3"/>
        <v>75</v>
      </c>
      <c r="M98" s="46">
        <f t="shared" si="3"/>
        <v>0</v>
      </c>
      <c r="N98" s="67">
        <f t="shared" si="5"/>
        <v>100</v>
      </c>
      <c r="O98" s="45">
        <v>16</v>
      </c>
      <c r="P98" s="46">
        <v>28.7</v>
      </c>
      <c r="Q98" s="46"/>
      <c r="R98" s="47">
        <f t="shared" si="6"/>
        <v>44.7</v>
      </c>
      <c r="S98" s="28">
        <v>6</v>
      </c>
      <c r="T98" s="284"/>
      <c r="U98" s="293"/>
      <c r="V98" s="37" t="s">
        <v>490</v>
      </c>
      <c r="W98" s="28" t="s">
        <v>325</v>
      </c>
      <c r="X98" s="28" t="s">
        <v>18</v>
      </c>
      <c r="Y98" s="38">
        <v>28.7</v>
      </c>
      <c r="Z98" s="28" t="s">
        <v>486</v>
      </c>
      <c r="AA98" s="28" t="s">
        <v>22</v>
      </c>
      <c r="AB98" s="28" t="s">
        <v>11</v>
      </c>
      <c r="AC98" s="28">
        <v>16</v>
      </c>
      <c r="AD98" s="37"/>
      <c r="AG98" s="38"/>
      <c r="AL98" s="37"/>
      <c r="AO98" s="38"/>
      <c r="AP98" s="37"/>
      <c r="AS98" s="38"/>
      <c r="AW98" s="38"/>
      <c r="BA98" s="39"/>
    </row>
    <row r="99" spans="1:53" s="170" customFormat="1" x14ac:dyDescent="0.15">
      <c r="A99" s="170">
        <v>2003</v>
      </c>
      <c r="B99" s="281">
        <v>37768</v>
      </c>
      <c r="C99" s="395" t="s">
        <v>665</v>
      </c>
      <c r="D99" s="395"/>
      <c r="E99" s="170">
        <f>365-E98</f>
        <v>219</v>
      </c>
      <c r="F99" s="170">
        <v>1</v>
      </c>
      <c r="G99" s="232">
        <v>6</v>
      </c>
      <c r="H99" s="170">
        <v>10</v>
      </c>
      <c r="J99" s="240">
        <v>16</v>
      </c>
      <c r="K99" s="213">
        <f t="shared" si="4"/>
        <v>37.5</v>
      </c>
      <c r="L99" s="213">
        <f t="shared" si="3"/>
        <v>62.5</v>
      </c>
      <c r="M99" s="213">
        <f t="shared" si="3"/>
        <v>0</v>
      </c>
      <c r="N99" s="234">
        <f t="shared" si="5"/>
        <v>100</v>
      </c>
      <c r="O99" s="212">
        <v>18.7</v>
      </c>
      <c r="P99" s="213">
        <v>33.299999999999997</v>
      </c>
      <c r="Q99" s="213"/>
      <c r="R99" s="214">
        <f t="shared" si="6"/>
        <v>52</v>
      </c>
      <c r="S99" s="170">
        <v>2</v>
      </c>
      <c r="T99" s="283">
        <v>37643</v>
      </c>
      <c r="U99" s="281">
        <v>37768</v>
      </c>
      <c r="V99" s="177" t="s">
        <v>490</v>
      </c>
      <c r="W99" s="170" t="s">
        <v>325</v>
      </c>
      <c r="X99" s="170" t="s">
        <v>18</v>
      </c>
      <c r="Y99" s="178">
        <v>29.3</v>
      </c>
      <c r="Z99" s="170" t="s">
        <v>486</v>
      </c>
      <c r="AA99" s="170" t="s">
        <v>22</v>
      </c>
      <c r="AB99" s="170" t="s">
        <v>11</v>
      </c>
      <c r="AC99" s="170">
        <v>18.7</v>
      </c>
      <c r="AD99" s="177" t="s">
        <v>489</v>
      </c>
      <c r="AE99" s="170" t="s">
        <v>87</v>
      </c>
      <c r="AF99" s="170" t="s">
        <v>18</v>
      </c>
      <c r="AG99" s="178">
        <v>4</v>
      </c>
      <c r="AL99" s="177"/>
      <c r="AO99" s="178"/>
      <c r="AP99" s="177"/>
      <c r="AS99" s="178"/>
      <c r="AW99" s="178"/>
      <c r="BA99" s="179"/>
    </row>
    <row r="100" spans="1:53" s="170" customFormat="1" x14ac:dyDescent="0.15">
      <c r="A100" s="170">
        <v>2004</v>
      </c>
      <c r="B100" s="281"/>
      <c r="C100" s="395" t="s">
        <v>665</v>
      </c>
      <c r="D100" s="395"/>
      <c r="E100" s="170">
        <v>0</v>
      </c>
      <c r="G100" s="232">
        <v>6</v>
      </c>
      <c r="H100" s="170">
        <v>10</v>
      </c>
      <c r="J100" s="240">
        <v>16</v>
      </c>
      <c r="K100" s="213">
        <f t="shared" si="4"/>
        <v>37.5</v>
      </c>
      <c r="L100" s="213">
        <f t="shared" si="3"/>
        <v>62.5</v>
      </c>
      <c r="M100" s="213">
        <f t="shared" si="3"/>
        <v>0</v>
      </c>
      <c r="N100" s="234">
        <f t="shared" si="5"/>
        <v>100</v>
      </c>
      <c r="O100" s="212">
        <v>18.7</v>
      </c>
      <c r="P100" s="213">
        <v>33.299999999999997</v>
      </c>
      <c r="Q100" s="213"/>
      <c r="R100" s="214">
        <f t="shared" si="6"/>
        <v>52</v>
      </c>
      <c r="S100" s="170">
        <v>2</v>
      </c>
      <c r="T100" s="283"/>
      <c r="U100" s="281"/>
      <c r="V100" s="177" t="s">
        <v>490</v>
      </c>
      <c r="W100" s="170" t="s">
        <v>325</v>
      </c>
      <c r="X100" s="170" t="s">
        <v>18</v>
      </c>
      <c r="Y100" s="178">
        <v>29.3</v>
      </c>
      <c r="Z100" s="170" t="s">
        <v>486</v>
      </c>
      <c r="AA100" s="170" t="s">
        <v>22</v>
      </c>
      <c r="AB100" s="170" t="s">
        <v>11</v>
      </c>
      <c r="AC100" s="170">
        <v>18.7</v>
      </c>
      <c r="AD100" s="177" t="s">
        <v>489</v>
      </c>
      <c r="AE100" s="170" t="s">
        <v>87</v>
      </c>
      <c r="AF100" s="170" t="s">
        <v>18</v>
      </c>
      <c r="AG100" s="178">
        <v>4</v>
      </c>
      <c r="AL100" s="177"/>
      <c r="AO100" s="178"/>
      <c r="AP100" s="177"/>
      <c r="AS100" s="178"/>
      <c r="AW100" s="178"/>
      <c r="BA100" s="179"/>
    </row>
    <row r="101" spans="1:53" s="170" customFormat="1" x14ac:dyDescent="0.15">
      <c r="A101" s="170">
        <v>2004</v>
      </c>
      <c r="B101" s="281"/>
      <c r="C101" s="395" t="s">
        <v>665</v>
      </c>
      <c r="D101" s="395"/>
      <c r="E101" s="170">
        <v>366</v>
      </c>
      <c r="G101" s="232">
        <v>6</v>
      </c>
      <c r="H101" s="170">
        <v>10</v>
      </c>
      <c r="J101" s="240">
        <v>16</v>
      </c>
      <c r="K101" s="213">
        <f t="shared" si="4"/>
        <v>37.5</v>
      </c>
      <c r="L101" s="213">
        <f t="shared" si="3"/>
        <v>62.5</v>
      </c>
      <c r="M101" s="213">
        <f t="shared" si="3"/>
        <v>0</v>
      </c>
      <c r="N101" s="234">
        <f t="shared" si="5"/>
        <v>100</v>
      </c>
      <c r="O101" s="212">
        <v>18.7</v>
      </c>
      <c r="P101" s="213">
        <v>33.299999999999997</v>
      </c>
      <c r="Q101" s="213"/>
      <c r="R101" s="214">
        <f t="shared" si="6"/>
        <v>52</v>
      </c>
      <c r="S101" s="170">
        <v>2</v>
      </c>
      <c r="T101" s="283"/>
      <c r="U101" s="281"/>
      <c r="V101" s="177" t="s">
        <v>490</v>
      </c>
      <c r="W101" s="170" t="s">
        <v>325</v>
      </c>
      <c r="X101" s="170" t="s">
        <v>18</v>
      </c>
      <c r="Y101" s="178">
        <v>29.3</v>
      </c>
      <c r="Z101" s="170" t="s">
        <v>486</v>
      </c>
      <c r="AA101" s="170" t="s">
        <v>22</v>
      </c>
      <c r="AB101" s="170" t="s">
        <v>11</v>
      </c>
      <c r="AC101" s="170">
        <v>18.7</v>
      </c>
      <c r="AD101" s="177" t="s">
        <v>489</v>
      </c>
      <c r="AE101" s="170" t="s">
        <v>87</v>
      </c>
      <c r="AF101" s="170" t="s">
        <v>18</v>
      </c>
      <c r="AG101" s="178">
        <v>4</v>
      </c>
      <c r="AL101" s="177"/>
      <c r="AO101" s="178"/>
      <c r="AP101" s="177"/>
      <c r="AS101" s="178"/>
      <c r="AW101" s="178"/>
      <c r="BA101" s="179"/>
    </row>
    <row r="102" spans="1:53" s="170" customFormat="1" x14ac:dyDescent="0.15">
      <c r="A102" s="170">
        <v>2005</v>
      </c>
      <c r="B102" s="281"/>
      <c r="C102" s="395" t="s">
        <v>665</v>
      </c>
      <c r="D102" s="395"/>
      <c r="E102" s="170">
        <v>0</v>
      </c>
      <c r="G102" s="232">
        <v>6</v>
      </c>
      <c r="H102" s="170">
        <v>10</v>
      </c>
      <c r="J102" s="240">
        <v>16</v>
      </c>
      <c r="K102" s="213">
        <f t="shared" si="4"/>
        <v>37.5</v>
      </c>
      <c r="L102" s="213">
        <f t="shared" si="3"/>
        <v>62.5</v>
      </c>
      <c r="M102" s="213">
        <f t="shared" si="3"/>
        <v>0</v>
      </c>
      <c r="N102" s="234">
        <f t="shared" si="5"/>
        <v>100</v>
      </c>
      <c r="O102" s="212">
        <v>18.7</v>
      </c>
      <c r="P102" s="213">
        <v>33.299999999999997</v>
      </c>
      <c r="Q102" s="213"/>
      <c r="R102" s="214">
        <f t="shared" si="6"/>
        <v>52</v>
      </c>
      <c r="S102" s="170">
        <v>2</v>
      </c>
      <c r="T102" s="283"/>
      <c r="U102" s="281"/>
      <c r="V102" s="177" t="s">
        <v>490</v>
      </c>
      <c r="W102" s="170" t="s">
        <v>325</v>
      </c>
      <c r="X102" s="170" t="s">
        <v>18</v>
      </c>
      <c r="Y102" s="178">
        <v>29.3</v>
      </c>
      <c r="Z102" s="170" t="s">
        <v>486</v>
      </c>
      <c r="AA102" s="170" t="s">
        <v>22</v>
      </c>
      <c r="AB102" s="170" t="s">
        <v>11</v>
      </c>
      <c r="AC102" s="170">
        <v>18.7</v>
      </c>
      <c r="AD102" s="177" t="s">
        <v>489</v>
      </c>
      <c r="AE102" s="170" t="s">
        <v>87</v>
      </c>
      <c r="AF102" s="170" t="s">
        <v>18</v>
      </c>
      <c r="AG102" s="178">
        <v>4</v>
      </c>
      <c r="AL102" s="177"/>
      <c r="AO102" s="178"/>
      <c r="AP102" s="177"/>
      <c r="AS102" s="178"/>
      <c r="AW102" s="178"/>
      <c r="BA102" s="179"/>
    </row>
    <row r="103" spans="1:53" s="170" customFormat="1" x14ac:dyDescent="0.15">
      <c r="A103" s="170">
        <v>2005</v>
      </c>
      <c r="B103" s="281"/>
      <c r="C103" s="395" t="s">
        <v>665</v>
      </c>
      <c r="D103" s="395"/>
      <c r="E103" s="170">
        <f>365-E102</f>
        <v>365</v>
      </c>
      <c r="G103" s="232">
        <v>6</v>
      </c>
      <c r="H103" s="170">
        <v>10</v>
      </c>
      <c r="J103" s="240">
        <v>16</v>
      </c>
      <c r="K103" s="213">
        <f>G103/$J103*100</f>
        <v>37.5</v>
      </c>
      <c r="L103" s="213">
        <f t="shared" si="3"/>
        <v>62.5</v>
      </c>
      <c r="M103" s="213">
        <f t="shared" si="3"/>
        <v>0</v>
      </c>
      <c r="N103" s="234">
        <f t="shared" si="5"/>
        <v>100</v>
      </c>
      <c r="O103" s="212">
        <v>18.7</v>
      </c>
      <c r="P103" s="213">
        <v>33.299999999999997</v>
      </c>
      <c r="Q103" s="213"/>
      <c r="R103" s="214">
        <f t="shared" si="6"/>
        <v>52</v>
      </c>
      <c r="S103" s="170">
        <v>2</v>
      </c>
      <c r="T103" s="283"/>
      <c r="U103" s="281"/>
      <c r="V103" s="177" t="s">
        <v>490</v>
      </c>
      <c r="W103" s="170" t="s">
        <v>325</v>
      </c>
      <c r="X103" s="170" t="s">
        <v>18</v>
      </c>
      <c r="Y103" s="178">
        <v>29.3</v>
      </c>
      <c r="Z103" s="170" t="s">
        <v>486</v>
      </c>
      <c r="AA103" s="170" t="s">
        <v>22</v>
      </c>
      <c r="AB103" s="170" t="s">
        <v>11</v>
      </c>
      <c r="AC103" s="170">
        <v>18.7</v>
      </c>
      <c r="AD103" s="177" t="s">
        <v>489</v>
      </c>
      <c r="AE103" s="170" t="s">
        <v>87</v>
      </c>
      <c r="AF103" s="170" t="s">
        <v>18</v>
      </c>
      <c r="AG103" s="178">
        <v>4</v>
      </c>
      <c r="AL103" s="177"/>
      <c r="AO103" s="178"/>
      <c r="AP103" s="177"/>
      <c r="AS103" s="178"/>
      <c r="AW103" s="178"/>
      <c r="BA103" s="179"/>
    </row>
    <row r="104" spans="1:53" s="170" customFormat="1" x14ac:dyDescent="0.15">
      <c r="A104" s="170">
        <v>2006</v>
      </c>
      <c r="B104" s="281"/>
      <c r="C104" s="395" t="s">
        <v>665</v>
      </c>
      <c r="D104" s="395"/>
      <c r="E104" s="170">
        <v>187</v>
      </c>
      <c r="G104" s="232">
        <v>6</v>
      </c>
      <c r="H104" s="170">
        <v>10</v>
      </c>
      <c r="J104" s="240">
        <v>16</v>
      </c>
      <c r="K104" s="213">
        <f t="shared" ref="K104:M120" si="7">G104/$J104*100</f>
        <v>37.5</v>
      </c>
      <c r="L104" s="213">
        <f t="shared" si="3"/>
        <v>62.5</v>
      </c>
      <c r="M104" s="213">
        <f t="shared" si="3"/>
        <v>0</v>
      </c>
      <c r="N104" s="234">
        <f t="shared" si="5"/>
        <v>100</v>
      </c>
      <c r="O104" s="212">
        <v>18.7</v>
      </c>
      <c r="P104" s="213">
        <v>33.299999999999997</v>
      </c>
      <c r="Q104" s="213"/>
      <c r="R104" s="214">
        <f t="shared" si="6"/>
        <v>52</v>
      </c>
      <c r="S104" s="170">
        <v>2</v>
      </c>
      <c r="T104" s="283"/>
      <c r="U104" s="281"/>
      <c r="V104" s="177" t="s">
        <v>490</v>
      </c>
      <c r="W104" s="170" t="s">
        <v>325</v>
      </c>
      <c r="X104" s="170" t="s">
        <v>18</v>
      </c>
      <c r="Y104" s="178">
        <v>29.3</v>
      </c>
      <c r="Z104" s="170" t="s">
        <v>486</v>
      </c>
      <c r="AA104" s="170" t="s">
        <v>22</v>
      </c>
      <c r="AB104" s="170" t="s">
        <v>11</v>
      </c>
      <c r="AC104" s="170">
        <v>18.7</v>
      </c>
      <c r="AD104" s="177" t="s">
        <v>489</v>
      </c>
      <c r="AE104" s="170" t="s">
        <v>87</v>
      </c>
      <c r="AF104" s="170" t="s">
        <v>18</v>
      </c>
      <c r="AG104" s="178">
        <v>4</v>
      </c>
      <c r="AL104" s="177"/>
      <c r="AO104" s="178"/>
      <c r="AP104" s="177"/>
      <c r="AS104" s="178"/>
      <c r="AW104" s="178"/>
      <c r="BA104" s="179"/>
    </row>
    <row r="105" spans="1:53" s="28" customFormat="1" x14ac:dyDescent="0.15">
      <c r="A105" s="28">
        <v>2006</v>
      </c>
      <c r="B105" s="293">
        <v>38905</v>
      </c>
      <c r="C105" s="394" t="s">
        <v>666</v>
      </c>
      <c r="D105" s="394"/>
      <c r="E105" s="28">
        <f>365-E104</f>
        <v>178</v>
      </c>
      <c r="F105" s="28">
        <v>4</v>
      </c>
      <c r="G105" s="65">
        <v>7</v>
      </c>
      <c r="H105" s="28">
        <v>9</v>
      </c>
      <c r="J105" s="72">
        <v>16</v>
      </c>
      <c r="K105" s="46">
        <f t="shared" si="7"/>
        <v>43.75</v>
      </c>
      <c r="L105" s="46">
        <f t="shared" si="3"/>
        <v>56.25</v>
      </c>
      <c r="M105" s="46">
        <f t="shared" si="3"/>
        <v>0</v>
      </c>
      <c r="N105" s="67">
        <f t="shared" si="5"/>
        <v>100</v>
      </c>
      <c r="O105" s="45">
        <v>18.7</v>
      </c>
      <c r="P105" s="46">
        <v>29.3</v>
      </c>
      <c r="Q105" s="46"/>
      <c r="R105" s="47">
        <f t="shared" si="6"/>
        <v>48</v>
      </c>
      <c r="S105" s="28">
        <v>5</v>
      </c>
      <c r="T105" s="284"/>
      <c r="U105" s="293">
        <v>38905</v>
      </c>
      <c r="V105" s="37" t="s">
        <v>490</v>
      </c>
      <c r="W105" s="28" t="s">
        <v>325</v>
      </c>
      <c r="X105" s="28" t="s">
        <v>18</v>
      </c>
      <c r="Y105" s="38">
        <v>29.3</v>
      </c>
      <c r="Z105" s="28" t="s">
        <v>486</v>
      </c>
      <c r="AA105" s="28" t="s">
        <v>22</v>
      </c>
      <c r="AB105" s="28" t="s">
        <v>11</v>
      </c>
      <c r="AC105" s="28">
        <v>18.7</v>
      </c>
      <c r="AD105" s="37"/>
      <c r="AG105" s="38"/>
      <c r="AL105" s="37"/>
      <c r="AO105" s="38"/>
      <c r="AP105" s="37"/>
      <c r="AS105" s="38"/>
      <c r="AW105" s="38"/>
      <c r="BA105" s="39"/>
    </row>
    <row r="106" spans="1:53" s="28" customFormat="1" x14ac:dyDescent="0.15">
      <c r="A106" s="28">
        <v>2007</v>
      </c>
      <c r="B106" s="293"/>
      <c r="C106" s="394" t="s">
        <v>666</v>
      </c>
      <c r="D106" s="394"/>
      <c r="E106" s="28">
        <v>52</v>
      </c>
      <c r="G106" s="65">
        <v>7</v>
      </c>
      <c r="H106" s="28">
        <v>9</v>
      </c>
      <c r="J106" s="72">
        <v>16</v>
      </c>
      <c r="K106" s="46">
        <f t="shared" si="7"/>
        <v>43.75</v>
      </c>
      <c r="L106" s="46">
        <f t="shared" si="3"/>
        <v>56.25</v>
      </c>
      <c r="M106" s="46">
        <f t="shared" si="3"/>
        <v>0</v>
      </c>
      <c r="N106" s="67">
        <f t="shared" si="5"/>
        <v>100</v>
      </c>
      <c r="O106" s="45">
        <v>18.7</v>
      </c>
      <c r="P106" s="46">
        <v>29.3</v>
      </c>
      <c r="Q106" s="46"/>
      <c r="R106" s="47">
        <f t="shared" si="6"/>
        <v>48</v>
      </c>
      <c r="S106" s="28">
        <v>5</v>
      </c>
      <c r="T106" s="284">
        <v>39043</v>
      </c>
      <c r="U106" s="293"/>
      <c r="V106" s="37" t="s">
        <v>490</v>
      </c>
      <c r="W106" s="28" t="s">
        <v>325</v>
      </c>
      <c r="X106" s="28" t="s">
        <v>18</v>
      </c>
      <c r="Y106" s="38">
        <v>29.3</v>
      </c>
      <c r="Z106" s="28" t="s">
        <v>486</v>
      </c>
      <c r="AA106" s="28" t="s">
        <v>22</v>
      </c>
      <c r="AB106" s="28" t="s">
        <v>11</v>
      </c>
      <c r="AC106" s="28">
        <v>18.7</v>
      </c>
      <c r="AD106" s="37"/>
      <c r="AG106" s="38"/>
      <c r="AL106" s="37"/>
      <c r="AO106" s="38"/>
      <c r="AP106" s="37"/>
      <c r="AS106" s="38"/>
      <c r="AW106" s="38"/>
      <c r="BA106" s="39"/>
    </row>
    <row r="107" spans="1:53" s="170" customFormat="1" x14ac:dyDescent="0.15">
      <c r="A107" s="170">
        <v>2007</v>
      </c>
      <c r="B107" s="281">
        <v>39135</v>
      </c>
      <c r="C107" s="395" t="s">
        <v>667</v>
      </c>
      <c r="D107" s="395"/>
      <c r="E107" s="170">
        <f>365-E106</f>
        <v>313</v>
      </c>
      <c r="F107" s="170">
        <v>1</v>
      </c>
      <c r="G107" s="232"/>
      <c r="H107" s="170">
        <v>10</v>
      </c>
      <c r="I107" s="170">
        <v>6</v>
      </c>
      <c r="J107" s="240">
        <v>16</v>
      </c>
      <c r="K107" s="213">
        <f t="shared" si="7"/>
        <v>0</v>
      </c>
      <c r="L107" s="213">
        <f t="shared" si="3"/>
        <v>62.5</v>
      </c>
      <c r="M107" s="213">
        <f t="shared" si="3"/>
        <v>37.5</v>
      </c>
      <c r="N107" s="234">
        <f t="shared" si="5"/>
        <v>100</v>
      </c>
      <c r="O107" s="212"/>
      <c r="P107" s="213">
        <v>31.3</v>
      </c>
      <c r="Q107" s="213">
        <v>22</v>
      </c>
      <c r="R107" s="214">
        <f t="shared" si="6"/>
        <v>53.3</v>
      </c>
      <c r="S107" s="170">
        <v>2</v>
      </c>
      <c r="T107" s="283"/>
      <c r="U107" s="281">
        <v>39135</v>
      </c>
      <c r="V107" s="177" t="s">
        <v>490</v>
      </c>
      <c r="W107" s="170" t="s">
        <v>325</v>
      </c>
      <c r="X107" s="170" t="s">
        <v>18</v>
      </c>
      <c r="Y107" s="178">
        <v>27.3</v>
      </c>
      <c r="Z107" s="177" t="s">
        <v>487</v>
      </c>
      <c r="AA107" s="170" t="s">
        <v>20</v>
      </c>
      <c r="AB107" s="170" t="s">
        <v>12</v>
      </c>
      <c r="AC107" s="170">
        <v>22</v>
      </c>
      <c r="AD107" s="177" t="s">
        <v>565</v>
      </c>
      <c r="AE107" s="170" t="s">
        <v>326</v>
      </c>
      <c r="AF107" s="170" t="s">
        <v>18</v>
      </c>
      <c r="AG107" s="178">
        <v>4</v>
      </c>
      <c r="AL107" s="177"/>
      <c r="AO107" s="178"/>
      <c r="AP107" s="177"/>
      <c r="AS107" s="178"/>
      <c r="AW107" s="178"/>
      <c r="BA107" s="179"/>
    </row>
    <row r="108" spans="1:53" s="170" customFormat="1" x14ac:dyDescent="0.15">
      <c r="A108" s="170">
        <v>2008</v>
      </c>
      <c r="B108" s="281"/>
      <c r="C108" s="395" t="s">
        <v>667</v>
      </c>
      <c r="D108" s="395"/>
      <c r="E108" s="170">
        <v>0</v>
      </c>
      <c r="G108" s="232"/>
      <c r="H108" s="170">
        <v>10</v>
      </c>
      <c r="I108" s="170">
        <v>6</v>
      </c>
      <c r="J108" s="240">
        <v>16</v>
      </c>
      <c r="K108" s="213">
        <f t="shared" si="7"/>
        <v>0</v>
      </c>
      <c r="L108" s="213">
        <f t="shared" si="3"/>
        <v>62.5</v>
      </c>
      <c r="M108" s="213">
        <f t="shared" si="3"/>
        <v>37.5</v>
      </c>
      <c r="N108" s="234">
        <f t="shared" si="5"/>
        <v>100</v>
      </c>
      <c r="O108" s="212"/>
      <c r="P108" s="213">
        <v>31.3</v>
      </c>
      <c r="Q108" s="213">
        <v>22</v>
      </c>
      <c r="R108" s="214">
        <f t="shared" si="6"/>
        <v>53.3</v>
      </c>
      <c r="S108" s="170">
        <v>2</v>
      </c>
      <c r="T108" s="283"/>
      <c r="U108" s="281"/>
      <c r="V108" s="177" t="s">
        <v>490</v>
      </c>
      <c r="W108" s="170" t="s">
        <v>325</v>
      </c>
      <c r="X108" s="170" t="s">
        <v>18</v>
      </c>
      <c r="Y108" s="178">
        <v>27.3</v>
      </c>
      <c r="Z108" s="177" t="s">
        <v>487</v>
      </c>
      <c r="AA108" s="170" t="s">
        <v>20</v>
      </c>
      <c r="AB108" s="170" t="s">
        <v>12</v>
      </c>
      <c r="AC108" s="170">
        <v>22</v>
      </c>
      <c r="AD108" s="177" t="s">
        <v>565</v>
      </c>
      <c r="AE108" s="170" t="s">
        <v>326</v>
      </c>
      <c r="AF108" s="170" t="s">
        <v>18</v>
      </c>
      <c r="AG108" s="178">
        <v>4</v>
      </c>
      <c r="AL108" s="177"/>
      <c r="AO108" s="178"/>
      <c r="AP108" s="177"/>
      <c r="AS108" s="178"/>
      <c r="AW108" s="178"/>
      <c r="BA108" s="179"/>
    </row>
    <row r="109" spans="1:53" s="170" customFormat="1" x14ac:dyDescent="0.15">
      <c r="A109" s="170">
        <v>2008</v>
      </c>
      <c r="B109" s="281"/>
      <c r="C109" s="395" t="s">
        <v>667</v>
      </c>
      <c r="D109" s="395"/>
      <c r="E109" s="170">
        <v>366</v>
      </c>
      <c r="G109" s="232"/>
      <c r="H109" s="170">
        <v>10</v>
      </c>
      <c r="I109" s="170">
        <v>6</v>
      </c>
      <c r="J109" s="240">
        <v>16</v>
      </c>
      <c r="K109" s="213">
        <f t="shared" si="7"/>
        <v>0</v>
      </c>
      <c r="L109" s="213">
        <f t="shared" si="3"/>
        <v>62.5</v>
      </c>
      <c r="M109" s="213">
        <f t="shared" si="3"/>
        <v>37.5</v>
      </c>
      <c r="N109" s="234">
        <f t="shared" si="5"/>
        <v>100</v>
      </c>
      <c r="O109" s="212"/>
      <c r="P109" s="213">
        <v>31.3</v>
      </c>
      <c r="Q109" s="213">
        <v>22</v>
      </c>
      <c r="R109" s="214">
        <f t="shared" si="6"/>
        <v>53.3</v>
      </c>
      <c r="S109" s="170">
        <v>2</v>
      </c>
      <c r="T109" s="283"/>
      <c r="U109" s="281"/>
      <c r="V109" s="177" t="s">
        <v>490</v>
      </c>
      <c r="W109" s="170" t="s">
        <v>325</v>
      </c>
      <c r="X109" s="170" t="s">
        <v>18</v>
      </c>
      <c r="Y109" s="178">
        <v>27.3</v>
      </c>
      <c r="Z109" s="177" t="s">
        <v>487</v>
      </c>
      <c r="AA109" s="170" t="s">
        <v>20</v>
      </c>
      <c r="AB109" s="170" t="s">
        <v>12</v>
      </c>
      <c r="AC109" s="170">
        <v>22</v>
      </c>
      <c r="AD109" s="177" t="s">
        <v>565</v>
      </c>
      <c r="AE109" s="170" t="s">
        <v>326</v>
      </c>
      <c r="AF109" s="170" t="s">
        <v>18</v>
      </c>
      <c r="AG109" s="178">
        <v>4</v>
      </c>
      <c r="AL109" s="177"/>
      <c r="AO109" s="178"/>
      <c r="AP109" s="177"/>
      <c r="AS109" s="178"/>
      <c r="AW109" s="178"/>
      <c r="BA109" s="179"/>
    </row>
    <row r="110" spans="1:53" s="170" customFormat="1" x14ac:dyDescent="0.15">
      <c r="A110" s="170">
        <v>2009</v>
      </c>
      <c r="B110" s="281"/>
      <c r="C110" s="395" t="s">
        <v>667</v>
      </c>
      <c r="D110" s="395"/>
      <c r="E110" s="170">
        <v>0</v>
      </c>
      <c r="G110" s="232"/>
      <c r="H110" s="170">
        <v>10</v>
      </c>
      <c r="I110" s="170">
        <v>6</v>
      </c>
      <c r="J110" s="240">
        <v>16</v>
      </c>
      <c r="K110" s="213">
        <f t="shared" si="7"/>
        <v>0</v>
      </c>
      <c r="L110" s="213">
        <f t="shared" si="3"/>
        <v>62.5</v>
      </c>
      <c r="M110" s="213">
        <f t="shared" si="3"/>
        <v>37.5</v>
      </c>
      <c r="N110" s="234">
        <f t="shared" si="5"/>
        <v>100</v>
      </c>
      <c r="O110" s="212"/>
      <c r="P110" s="213">
        <v>31.3</v>
      </c>
      <c r="Q110" s="213">
        <v>22</v>
      </c>
      <c r="R110" s="214">
        <f t="shared" si="6"/>
        <v>53.3</v>
      </c>
      <c r="S110" s="170">
        <v>2</v>
      </c>
      <c r="T110" s="283"/>
      <c r="U110" s="281"/>
      <c r="V110" s="177" t="s">
        <v>490</v>
      </c>
      <c r="W110" s="170" t="s">
        <v>325</v>
      </c>
      <c r="X110" s="170" t="s">
        <v>18</v>
      </c>
      <c r="Y110" s="178">
        <v>27.3</v>
      </c>
      <c r="Z110" s="177" t="s">
        <v>487</v>
      </c>
      <c r="AA110" s="170" t="s">
        <v>20</v>
      </c>
      <c r="AB110" s="170" t="s">
        <v>12</v>
      </c>
      <c r="AC110" s="170">
        <v>22</v>
      </c>
      <c r="AD110" s="177" t="s">
        <v>565</v>
      </c>
      <c r="AE110" s="170" t="s">
        <v>326</v>
      </c>
      <c r="AF110" s="170" t="s">
        <v>18</v>
      </c>
      <c r="AG110" s="178">
        <v>4</v>
      </c>
      <c r="AL110" s="177"/>
      <c r="AO110" s="178"/>
      <c r="AP110" s="177"/>
      <c r="AS110" s="178"/>
      <c r="AW110" s="178"/>
      <c r="BA110" s="179"/>
    </row>
    <row r="111" spans="1:53" s="170" customFormat="1" x14ac:dyDescent="0.15">
      <c r="A111" s="170">
        <v>2009</v>
      </c>
      <c r="B111" s="281"/>
      <c r="C111" s="395" t="s">
        <v>667</v>
      </c>
      <c r="D111" s="395"/>
      <c r="E111" s="170">
        <v>365</v>
      </c>
      <c r="G111" s="232"/>
      <c r="H111" s="170">
        <v>10</v>
      </c>
      <c r="I111" s="170">
        <v>6</v>
      </c>
      <c r="J111" s="240">
        <v>16</v>
      </c>
      <c r="K111" s="213">
        <f t="shared" si="7"/>
        <v>0</v>
      </c>
      <c r="L111" s="213">
        <f t="shared" si="3"/>
        <v>62.5</v>
      </c>
      <c r="M111" s="213">
        <f t="shared" si="3"/>
        <v>37.5</v>
      </c>
      <c r="N111" s="234">
        <f t="shared" si="5"/>
        <v>100</v>
      </c>
      <c r="O111" s="212"/>
      <c r="P111" s="213">
        <v>31.3</v>
      </c>
      <c r="Q111" s="213">
        <v>22</v>
      </c>
      <c r="R111" s="214">
        <f t="shared" si="6"/>
        <v>53.3</v>
      </c>
      <c r="S111" s="170">
        <v>2</v>
      </c>
      <c r="T111" s="283"/>
      <c r="U111" s="281"/>
      <c r="V111" s="177" t="s">
        <v>490</v>
      </c>
      <c r="W111" s="170" t="s">
        <v>325</v>
      </c>
      <c r="X111" s="170" t="s">
        <v>18</v>
      </c>
      <c r="Y111" s="178">
        <v>27.3</v>
      </c>
      <c r="Z111" s="177" t="s">
        <v>487</v>
      </c>
      <c r="AA111" s="170" t="s">
        <v>20</v>
      </c>
      <c r="AB111" s="170" t="s">
        <v>12</v>
      </c>
      <c r="AC111" s="170">
        <v>22</v>
      </c>
      <c r="AD111" s="177" t="s">
        <v>565</v>
      </c>
      <c r="AE111" s="170" t="s">
        <v>326</v>
      </c>
      <c r="AF111" s="170" t="s">
        <v>18</v>
      </c>
      <c r="AG111" s="178">
        <v>4</v>
      </c>
      <c r="AL111" s="177"/>
      <c r="AO111" s="178"/>
      <c r="AP111" s="177"/>
      <c r="AS111" s="178"/>
      <c r="AW111" s="178"/>
      <c r="BA111" s="179"/>
    </row>
    <row r="112" spans="1:53" s="170" customFormat="1" x14ac:dyDescent="0.15">
      <c r="A112" s="170">
        <v>2010</v>
      </c>
      <c r="B112" s="281"/>
      <c r="C112" s="395" t="s">
        <v>667</v>
      </c>
      <c r="D112" s="395"/>
      <c r="E112" s="170">
        <v>50</v>
      </c>
      <c r="G112" s="232"/>
      <c r="H112" s="170">
        <v>10</v>
      </c>
      <c r="I112" s="170">
        <v>6</v>
      </c>
      <c r="J112" s="240">
        <v>16</v>
      </c>
      <c r="K112" s="213">
        <f t="shared" si="7"/>
        <v>0</v>
      </c>
      <c r="L112" s="213">
        <f t="shared" si="3"/>
        <v>62.5</v>
      </c>
      <c r="M112" s="213">
        <f t="shared" si="3"/>
        <v>37.5</v>
      </c>
      <c r="N112" s="234">
        <f t="shared" si="5"/>
        <v>100</v>
      </c>
      <c r="O112" s="212"/>
      <c r="P112" s="213">
        <v>31.3</v>
      </c>
      <c r="Q112" s="213">
        <v>22</v>
      </c>
      <c r="R112" s="214">
        <f t="shared" si="6"/>
        <v>53.3</v>
      </c>
      <c r="S112" s="170">
        <v>2</v>
      </c>
      <c r="T112" s="283"/>
      <c r="U112" s="281"/>
      <c r="V112" s="177" t="s">
        <v>490</v>
      </c>
      <c r="W112" s="170" t="s">
        <v>325</v>
      </c>
      <c r="X112" s="170" t="s">
        <v>18</v>
      </c>
      <c r="Y112" s="178">
        <v>27.3</v>
      </c>
      <c r="Z112" s="177" t="s">
        <v>487</v>
      </c>
      <c r="AA112" s="170" t="s">
        <v>20</v>
      </c>
      <c r="AB112" s="170" t="s">
        <v>12</v>
      </c>
      <c r="AC112" s="170">
        <v>22</v>
      </c>
      <c r="AD112" s="177" t="s">
        <v>565</v>
      </c>
      <c r="AE112" s="170" t="s">
        <v>326</v>
      </c>
      <c r="AF112" s="170" t="s">
        <v>18</v>
      </c>
      <c r="AG112" s="178">
        <v>4</v>
      </c>
      <c r="AL112" s="177"/>
      <c r="AO112" s="178"/>
      <c r="AP112" s="177"/>
      <c r="AS112" s="178"/>
      <c r="AW112" s="178"/>
      <c r="BA112" s="179"/>
    </row>
    <row r="113" spans="1:53" s="28" customFormat="1" x14ac:dyDescent="0.15">
      <c r="A113" s="28">
        <v>2010</v>
      </c>
      <c r="B113" s="293">
        <v>40229</v>
      </c>
      <c r="C113" s="394" t="s">
        <v>668</v>
      </c>
      <c r="D113" s="394"/>
      <c r="E113" s="28">
        <f>365-E112-E114</f>
        <v>236</v>
      </c>
      <c r="F113" s="28">
        <v>4</v>
      </c>
      <c r="G113" s="65"/>
      <c r="H113" s="28">
        <v>10</v>
      </c>
      <c r="J113" s="72">
        <v>10</v>
      </c>
      <c r="K113" s="46">
        <f t="shared" si="7"/>
        <v>0</v>
      </c>
      <c r="L113" s="46">
        <f t="shared" si="7"/>
        <v>100</v>
      </c>
      <c r="M113" s="46">
        <f t="shared" si="7"/>
        <v>0</v>
      </c>
      <c r="N113" s="67">
        <f t="shared" si="5"/>
        <v>100</v>
      </c>
      <c r="O113" s="45"/>
      <c r="P113" s="46">
        <v>31.3</v>
      </c>
      <c r="Q113" s="46"/>
      <c r="R113" s="47">
        <f t="shared" si="6"/>
        <v>31.3</v>
      </c>
      <c r="S113" s="28">
        <v>6</v>
      </c>
      <c r="T113" s="284"/>
      <c r="U113" s="293">
        <v>40229</v>
      </c>
      <c r="V113" s="37" t="s">
        <v>490</v>
      </c>
      <c r="W113" s="28" t="s">
        <v>325</v>
      </c>
      <c r="X113" s="28" t="s">
        <v>18</v>
      </c>
      <c r="Y113" s="38">
        <v>27.3</v>
      </c>
      <c r="Z113" s="37" t="s">
        <v>565</v>
      </c>
      <c r="AA113" s="28" t="s">
        <v>326</v>
      </c>
      <c r="AB113" s="28" t="s">
        <v>18</v>
      </c>
      <c r="AC113" s="28">
        <v>4</v>
      </c>
      <c r="AD113" s="37"/>
      <c r="AG113" s="38"/>
      <c r="AL113" s="37"/>
      <c r="AO113" s="38"/>
      <c r="AP113" s="37"/>
      <c r="AS113" s="38"/>
      <c r="AW113" s="38"/>
      <c r="BA113" s="39"/>
    </row>
    <row r="114" spans="1:53" s="170" customFormat="1" x14ac:dyDescent="0.15">
      <c r="A114" s="170">
        <v>2010</v>
      </c>
      <c r="B114" s="281">
        <v>40465</v>
      </c>
      <c r="C114" s="395" t="s">
        <v>669</v>
      </c>
      <c r="D114" s="395"/>
      <c r="E114" s="170">
        <v>79</v>
      </c>
      <c r="F114" s="170">
        <v>1</v>
      </c>
      <c r="G114" s="232">
        <v>8</v>
      </c>
      <c r="H114" s="170">
        <v>8</v>
      </c>
      <c r="J114" s="240">
        <v>16</v>
      </c>
      <c r="K114" s="213">
        <f t="shared" si="7"/>
        <v>50</v>
      </c>
      <c r="L114" s="213">
        <f t="shared" si="7"/>
        <v>50</v>
      </c>
      <c r="M114" s="213">
        <f t="shared" si="7"/>
        <v>0</v>
      </c>
      <c r="N114" s="234">
        <f t="shared" si="5"/>
        <v>100</v>
      </c>
      <c r="O114" s="212">
        <v>20.7</v>
      </c>
      <c r="P114" s="213">
        <v>14</v>
      </c>
      <c r="Q114" s="213"/>
      <c r="R114" s="214">
        <f t="shared" si="6"/>
        <v>34.700000000000003</v>
      </c>
      <c r="S114" s="170">
        <v>5</v>
      </c>
      <c r="T114" s="283">
        <v>40338</v>
      </c>
      <c r="U114" s="281">
        <v>40465</v>
      </c>
      <c r="V114" s="177" t="s">
        <v>486</v>
      </c>
      <c r="W114" s="170" t="s">
        <v>22</v>
      </c>
      <c r="X114" s="170" t="s">
        <v>11</v>
      </c>
      <c r="Y114" s="178">
        <v>20.7</v>
      </c>
      <c r="Z114" s="170" t="s">
        <v>490</v>
      </c>
      <c r="AA114" s="170" t="s">
        <v>325</v>
      </c>
      <c r="AB114" s="170" t="s">
        <v>18</v>
      </c>
      <c r="AC114" s="170">
        <v>14</v>
      </c>
      <c r="AD114" s="177"/>
      <c r="AG114" s="178"/>
      <c r="AL114" s="177"/>
      <c r="AO114" s="178"/>
      <c r="AP114" s="177"/>
      <c r="AS114" s="178"/>
      <c r="AW114" s="178"/>
      <c r="BA114" s="179"/>
    </row>
    <row r="115" spans="1:53" s="170" customFormat="1" x14ac:dyDescent="0.15">
      <c r="A115" s="170">
        <v>2011</v>
      </c>
      <c r="B115" s="281"/>
      <c r="C115" s="395" t="s">
        <v>669</v>
      </c>
      <c r="D115" s="395"/>
      <c r="E115" s="170">
        <v>0</v>
      </c>
      <c r="G115" s="232">
        <v>8</v>
      </c>
      <c r="H115" s="170">
        <v>8</v>
      </c>
      <c r="J115" s="240">
        <v>16</v>
      </c>
      <c r="K115" s="213">
        <f t="shared" si="7"/>
        <v>50</v>
      </c>
      <c r="L115" s="213">
        <f t="shared" si="7"/>
        <v>50</v>
      </c>
      <c r="M115" s="213">
        <f t="shared" si="7"/>
        <v>0</v>
      </c>
      <c r="N115" s="234">
        <f t="shared" si="5"/>
        <v>100</v>
      </c>
      <c r="O115" s="212">
        <v>20.7</v>
      </c>
      <c r="P115" s="213">
        <v>14</v>
      </c>
      <c r="Q115" s="213"/>
      <c r="R115" s="214">
        <f t="shared" si="6"/>
        <v>34.700000000000003</v>
      </c>
      <c r="S115" s="170">
        <v>5</v>
      </c>
      <c r="T115" s="283"/>
      <c r="U115" s="281"/>
      <c r="V115" s="177" t="s">
        <v>486</v>
      </c>
      <c r="W115" s="170" t="s">
        <v>22</v>
      </c>
      <c r="X115" s="170" t="s">
        <v>11</v>
      </c>
      <c r="Y115" s="178">
        <v>20.7</v>
      </c>
      <c r="Z115" s="170" t="s">
        <v>490</v>
      </c>
      <c r="AA115" s="170" t="s">
        <v>325</v>
      </c>
      <c r="AB115" s="170" t="s">
        <v>18</v>
      </c>
      <c r="AC115" s="170">
        <v>14</v>
      </c>
      <c r="AD115" s="177"/>
      <c r="AG115" s="178"/>
      <c r="AL115" s="177"/>
      <c r="AO115" s="178"/>
      <c r="AP115" s="177"/>
      <c r="AS115" s="178"/>
      <c r="AW115" s="178"/>
      <c r="BA115" s="179"/>
    </row>
    <row r="116" spans="1:53" s="170" customFormat="1" x14ac:dyDescent="0.15">
      <c r="A116" s="170">
        <v>2011</v>
      </c>
      <c r="B116" s="281"/>
      <c r="C116" s="395" t="s">
        <v>669</v>
      </c>
      <c r="D116" s="395"/>
      <c r="E116" s="170">
        <v>365</v>
      </c>
      <c r="G116" s="232">
        <v>8</v>
      </c>
      <c r="H116" s="170">
        <v>8</v>
      </c>
      <c r="J116" s="240">
        <v>16</v>
      </c>
      <c r="K116" s="213">
        <f t="shared" si="7"/>
        <v>50</v>
      </c>
      <c r="L116" s="213">
        <f t="shared" si="7"/>
        <v>50</v>
      </c>
      <c r="M116" s="213">
        <f t="shared" si="7"/>
        <v>0</v>
      </c>
      <c r="N116" s="234">
        <f t="shared" si="5"/>
        <v>100</v>
      </c>
      <c r="O116" s="212">
        <v>20.7</v>
      </c>
      <c r="P116" s="213">
        <v>14</v>
      </c>
      <c r="Q116" s="213"/>
      <c r="R116" s="214">
        <f t="shared" si="6"/>
        <v>34.700000000000003</v>
      </c>
      <c r="S116" s="170">
        <v>5</v>
      </c>
      <c r="T116" s="283"/>
      <c r="U116" s="281"/>
      <c r="V116" s="177" t="s">
        <v>486</v>
      </c>
      <c r="W116" s="170" t="s">
        <v>22</v>
      </c>
      <c r="X116" s="170" t="s">
        <v>11</v>
      </c>
      <c r="Y116" s="178">
        <v>20.7</v>
      </c>
      <c r="Z116" s="170" t="s">
        <v>490</v>
      </c>
      <c r="AA116" s="170" t="s">
        <v>325</v>
      </c>
      <c r="AB116" s="170" t="s">
        <v>18</v>
      </c>
      <c r="AC116" s="170">
        <v>14</v>
      </c>
      <c r="AD116" s="177"/>
      <c r="AG116" s="178"/>
      <c r="AL116" s="177"/>
      <c r="AO116" s="178"/>
      <c r="AP116" s="177"/>
      <c r="AS116" s="178"/>
      <c r="AW116" s="178"/>
      <c r="BA116" s="179"/>
    </row>
    <row r="117" spans="1:53" s="170" customFormat="1" x14ac:dyDescent="0.15">
      <c r="A117" s="170">
        <v>2012</v>
      </c>
      <c r="B117" s="281"/>
      <c r="C117" s="395" t="s">
        <v>669</v>
      </c>
      <c r="D117" s="395"/>
      <c r="E117" s="170">
        <v>309</v>
      </c>
      <c r="G117" s="232">
        <v>8</v>
      </c>
      <c r="H117" s="170">
        <v>8</v>
      </c>
      <c r="J117" s="240">
        <v>16</v>
      </c>
      <c r="K117" s="213">
        <f t="shared" si="7"/>
        <v>50</v>
      </c>
      <c r="L117" s="213">
        <f t="shared" si="7"/>
        <v>50</v>
      </c>
      <c r="M117" s="213">
        <f t="shared" si="7"/>
        <v>0</v>
      </c>
      <c r="N117" s="234">
        <f t="shared" si="5"/>
        <v>100</v>
      </c>
      <c r="O117" s="212">
        <v>20.7</v>
      </c>
      <c r="P117" s="213">
        <v>14</v>
      </c>
      <c r="Q117" s="213"/>
      <c r="R117" s="214">
        <f t="shared" si="6"/>
        <v>34.700000000000003</v>
      </c>
      <c r="S117" s="170">
        <v>5</v>
      </c>
      <c r="T117" s="283"/>
      <c r="U117" s="281"/>
      <c r="V117" s="177" t="s">
        <v>486</v>
      </c>
      <c r="W117" s="170" t="s">
        <v>22</v>
      </c>
      <c r="X117" s="170" t="s">
        <v>11</v>
      </c>
      <c r="Y117" s="178">
        <v>20.7</v>
      </c>
      <c r="Z117" s="170" t="s">
        <v>490</v>
      </c>
      <c r="AA117" s="170" t="s">
        <v>325</v>
      </c>
      <c r="AB117" s="170" t="s">
        <v>18</v>
      </c>
      <c r="AC117" s="170">
        <v>14</v>
      </c>
      <c r="AD117" s="177"/>
      <c r="AG117" s="178"/>
      <c r="AL117" s="177"/>
      <c r="AO117" s="178"/>
      <c r="AP117" s="177"/>
      <c r="AS117" s="178"/>
      <c r="AW117" s="178"/>
      <c r="BA117" s="179"/>
    </row>
    <row r="118" spans="1:53" s="28" customFormat="1" x14ac:dyDescent="0.15">
      <c r="A118" s="28">
        <v>2012</v>
      </c>
      <c r="B118" s="293">
        <v>41218</v>
      </c>
      <c r="C118" s="394" t="s">
        <v>670</v>
      </c>
      <c r="D118" s="394"/>
      <c r="E118" s="28">
        <v>57</v>
      </c>
      <c r="F118" s="28">
        <v>1</v>
      </c>
      <c r="G118" s="65">
        <v>7</v>
      </c>
      <c r="I118" s="28">
        <v>6</v>
      </c>
      <c r="J118" s="72">
        <v>13</v>
      </c>
      <c r="K118" s="46">
        <f t="shared" si="7"/>
        <v>53.846153846153847</v>
      </c>
      <c r="L118" s="46">
        <f t="shared" si="7"/>
        <v>0</v>
      </c>
      <c r="M118" s="46">
        <f t="shared" si="7"/>
        <v>46.153846153846153</v>
      </c>
      <c r="N118" s="67">
        <f t="shared" si="5"/>
        <v>100</v>
      </c>
      <c r="O118" s="45">
        <v>27.3</v>
      </c>
      <c r="P118" s="46"/>
      <c r="Q118" s="46">
        <v>25.3</v>
      </c>
      <c r="R118" s="47">
        <f t="shared" si="6"/>
        <v>52.6</v>
      </c>
      <c r="S118" s="28">
        <v>2</v>
      </c>
      <c r="T118" s="284">
        <v>41164</v>
      </c>
      <c r="U118" s="293">
        <v>41218</v>
      </c>
      <c r="V118" s="37" t="s">
        <v>486</v>
      </c>
      <c r="W118" s="28" t="s">
        <v>22</v>
      </c>
      <c r="X118" s="28" t="s">
        <v>11</v>
      </c>
      <c r="Y118" s="38">
        <v>27.3</v>
      </c>
      <c r="Z118" s="28" t="s">
        <v>487</v>
      </c>
      <c r="AA118" s="28" t="s">
        <v>20</v>
      </c>
      <c r="AB118" s="28" t="s">
        <v>12</v>
      </c>
      <c r="AC118" s="28">
        <v>25.3</v>
      </c>
      <c r="AD118" s="37"/>
      <c r="AG118" s="38"/>
      <c r="AL118" s="37"/>
      <c r="AO118" s="38"/>
      <c r="AP118" s="37"/>
      <c r="AS118" s="38"/>
      <c r="AW118" s="38"/>
      <c r="BA118" s="39"/>
    </row>
    <row r="119" spans="1:53" s="28" customFormat="1" x14ac:dyDescent="0.15">
      <c r="A119" s="28">
        <v>2013</v>
      </c>
      <c r="B119" s="293"/>
      <c r="C119" s="394" t="s">
        <v>670</v>
      </c>
      <c r="D119" s="394"/>
      <c r="E119" s="28">
        <v>0</v>
      </c>
      <c r="G119" s="65">
        <v>7</v>
      </c>
      <c r="I119" s="28">
        <v>6</v>
      </c>
      <c r="J119" s="72">
        <v>13</v>
      </c>
      <c r="K119" s="46">
        <f t="shared" si="7"/>
        <v>53.846153846153847</v>
      </c>
      <c r="L119" s="46">
        <f t="shared" si="7"/>
        <v>0</v>
      </c>
      <c r="M119" s="46">
        <f t="shared" si="7"/>
        <v>46.153846153846153</v>
      </c>
      <c r="N119" s="67">
        <f t="shared" si="5"/>
        <v>100</v>
      </c>
      <c r="O119" s="45">
        <v>27.3</v>
      </c>
      <c r="P119" s="46"/>
      <c r="Q119" s="46">
        <v>25.3</v>
      </c>
      <c r="R119" s="47">
        <f>O119+P119+Q119</f>
        <v>52.6</v>
      </c>
      <c r="S119" s="28">
        <v>2</v>
      </c>
      <c r="T119" s="284"/>
      <c r="U119" s="293"/>
      <c r="V119" s="37" t="s">
        <v>486</v>
      </c>
      <c r="W119" s="28" t="s">
        <v>22</v>
      </c>
      <c r="X119" s="28" t="s">
        <v>11</v>
      </c>
      <c r="Y119" s="38">
        <v>27.3</v>
      </c>
      <c r="Z119" s="28" t="s">
        <v>487</v>
      </c>
      <c r="AA119" s="28" t="s">
        <v>20</v>
      </c>
      <c r="AB119" s="28" t="s">
        <v>12</v>
      </c>
      <c r="AC119" s="28">
        <v>25.3</v>
      </c>
      <c r="AD119" s="37"/>
      <c r="AG119" s="38"/>
      <c r="AL119" s="37"/>
      <c r="AO119" s="38"/>
      <c r="AP119" s="37"/>
      <c r="AS119" s="38"/>
      <c r="AW119" s="38"/>
      <c r="BA119" s="39"/>
    </row>
    <row r="120" spans="1:53" s="28" customFormat="1" x14ac:dyDescent="0.15">
      <c r="A120" s="28">
        <v>2013</v>
      </c>
      <c r="B120" s="293"/>
      <c r="C120" s="394" t="s">
        <v>670</v>
      </c>
      <c r="D120" s="394"/>
      <c r="E120" s="28">
        <v>365</v>
      </c>
      <c r="G120" s="65">
        <v>7</v>
      </c>
      <c r="I120" s="28">
        <v>6</v>
      </c>
      <c r="J120" s="72">
        <v>13</v>
      </c>
      <c r="K120" s="46">
        <f t="shared" si="7"/>
        <v>53.846153846153847</v>
      </c>
      <c r="L120" s="46">
        <f t="shared" si="7"/>
        <v>0</v>
      </c>
      <c r="M120" s="46">
        <f t="shared" si="7"/>
        <v>46.153846153846153</v>
      </c>
      <c r="N120" s="67">
        <f t="shared" si="5"/>
        <v>100</v>
      </c>
      <c r="O120" s="45">
        <v>27.3</v>
      </c>
      <c r="P120" s="46"/>
      <c r="Q120" s="46">
        <v>25.3</v>
      </c>
      <c r="R120" s="47">
        <f>O120+P120+Q120</f>
        <v>52.6</v>
      </c>
      <c r="S120" s="28">
        <v>2</v>
      </c>
      <c r="T120" s="284"/>
      <c r="U120" s="293"/>
      <c r="V120" s="37" t="s">
        <v>486</v>
      </c>
      <c r="W120" s="28" t="s">
        <v>22</v>
      </c>
      <c r="X120" s="28" t="s">
        <v>11</v>
      </c>
      <c r="Y120" s="38">
        <v>27.3</v>
      </c>
      <c r="Z120" s="28" t="s">
        <v>487</v>
      </c>
      <c r="AA120" s="28" t="s">
        <v>20</v>
      </c>
      <c r="AB120" s="28" t="s">
        <v>12</v>
      </c>
      <c r="AC120" s="28">
        <v>25.3</v>
      </c>
      <c r="AD120" s="37"/>
      <c r="AG120" s="38"/>
      <c r="AL120" s="37"/>
      <c r="AO120" s="38"/>
      <c r="AP120" s="37"/>
      <c r="AS120" s="38"/>
      <c r="AW120" s="38"/>
      <c r="BA120" s="39"/>
    </row>
    <row r="121" spans="1:53" s="28" customFormat="1" x14ac:dyDescent="0.15">
      <c r="A121" s="28">
        <v>2014</v>
      </c>
      <c r="B121" s="293"/>
      <c r="C121" s="394" t="s">
        <v>670</v>
      </c>
      <c r="D121" s="394"/>
      <c r="E121" s="28">
        <v>0</v>
      </c>
      <c r="G121" s="65">
        <v>7</v>
      </c>
      <c r="I121" s="28">
        <v>6</v>
      </c>
      <c r="J121" s="72">
        <v>13</v>
      </c>
      <c r="K121" s="46">
        <f t="shared" ref="K121:M122" si="8">G121/$J121*100</f>
        <v>53.846153846153847</v>
      </c>
      <c r="L121" s="46">
        <f t="shared" si="8"/>
        <v>0</v>
      </c>
      <c r="M121" s="46">
        <f t="shared" si="8"/>
        <v>46.153846153846153</v>
      </c>
      <c r="N121" s="67">
        <f>K121+L121+M121</f>
        <v>100</v>
      </c>
      <c r="O121" s="45">
        <v>27.3</v>
      </c>
      <c r="P121" s="46"/>
      <c r="Q121" s="46">
        <v>25.3</v>
      </c>
      <c r="R121" s="47">
        <f>O121+P121+Q121</f>
        <v>52.6</v>
      </c>
      <c r="S121" s="28">
        <v>2</v>
      </c>
      <c r="T121" s="284"/>
      <c r="U121" s="293"/>
      <c r="V121" s="37" t="s">
        <v>486</v>
      </c>
      <c r="W121" s="28" t="s">
        <v>22</v>
      </c>
      <c r="X121" s="28" t="s">
        <v>11</v>
      </c>
      <c r="Y121" s="38">
        <v>27.3</v>
      </c>
      <c r="Z121" s="28" t="s">
        <v>487</v>
      </c>
      <c r="AA121" s="28" t="s">
        <v>20</v>
      </c>
      <c r="AB121" s="28" t="s">
        <v>12</v>
      </c>
      <c r="AC121" s="28">
        <v>25.3</v>
      </c>
      <c r="AD121" s="37"/>
      <c r="AG121" s="38"/>
      <c r="AL121" s="37"/>
      <c r="AO121" s="38"/>
      <c r="AP121" s="37"/>
      <c r="AS121" s="38"/>
      <c r="AW121" s="38"/>
      <c r="BA121" s="39"/>
    </row>
    <row r="122" spans="1:53" s="28" customFormat="1" x14ac:dyDescent="0.15">
      <c r="A122" s="28">
        <v>2014</v>
      </c>
      <c r="B122" s="293"/>
      <c r="C122" s="394" t="s">
        <v>670</v>
      </c>
      <c r="D122" s="394"/>
      <c r="E122" s="28">
        <v>365</v>
      </c>
      <c r="G122" s="65">
        <v>7</v>
      </c>
      <c r="I122" s="28">
        <v>6</v>
      </c>
      <c r="J122" s="72">
        <v>13</v>
      </c>
      <c r="K122" s="46">
        <f t="shared" si="8"/>
        <v>53.846153846153847</v>
      </c>
      <c r="L122" s="46">
        <f t="shared" si="8"/>
        <v>0</v>
      </c>
      <c r="M122" s="46">
        <f t="shared" si="8"/>
        <v>46.153846153846153</v>
      </c>
      <c r="N122" s="67">
        <f>K122+L122+M122</f>
        <v>100</v>
      </c>
      <c r="O122" s="45">
        <v>27.3</v>
      </c>
      <c r="P122" s="46"/>
      <c r="Q122" s="46">
        <v>25.3</v>
      </c>
      <c r="R122" s="47">
        <f>O122+P122+Q122</f>
        <v>52.6</v>
      </c>
      <c r="S122" s="28">
        <v>2</v>
      </c>
      <c r="T122" s="284"/>
      <c r="U122" s="293"/>
      <c r="V122" s="37" t="s">
        <v>486</v>
      </c>
      <c r="W122" s="28" t="s">
        <v>22</v>
      </c>
      <c r="X122" s="28" t="s">
        <v>11</v>
      </c>
      <c r="Y122" s="38">
        <v>27.3</v>
      </c>
      <c r="Z122" s="28" t="s">
        <v>487</v>
      </c>
      <c r="AA122" s="28" t="s">
        <v>20</v>
      </c>
      <c r="AB122" s="28" t="s">
        <v>12</v>
      </c>
      <c r="AC122" s="28">
        <v>25.3</v>
      </c>
      <c r="AD122" s="37"/>
      <c r="AG122" s="38"/>
      <c r="AL122" s="37"/>
      <c r="AO122" s="38"/>
      <c r="AP122" s="37"/>
      <c r="AS122" s="38"/>
      <c r="AW122" s="38"/>
      <c r="BA122" s="39"/>
    </row>
    <row r="123" spans="1:53" s="28" customFormat="1" x14ac:dyDescent="0.15">
      <c r="A123" s="28">
        <v>2015</v>
      </c>
      <c r="B123" s="293"/>
      <c r="C123" s="394" t="s">
        <v>670</v>
      </c>
      <c r="D123" s="394"/>
      <c r="E123" s="28">
        <v>0</v>
      </c>
      <c r="G123" s="65">
        <v>7</v>
      </c>
      <c r="I123" s="28">
        <v>6</v>
      </c>
      <c r="J123" s="72">
        <v>13</v>
      </c>
      <c r="K123" s="46">
        <f t="shared" ref="K123:K124" si="9">G123/$J123*100</f>
        <v>53.846153846153847</v>
      </c>
      <c r="L123" s="46">
        <f t="shared" ref="L123:L124" si="10">H123/$J123*100</f>
        <v>0</v>
      </c>
      <c r="M123" s="46">
        <f t="shared" ref="M123:M124" si="11">I123/$J123*100</f>
        <v>46.153846153846153</v>
      </c>
      <c r="N123" s="67">
        <f t="shared" ref="N123:N124" si="12">K123+L123+M123</f>
        <v>100</v>
      </c>
      <c r="O123" s="45">
        <v>27.3</v>
      </c>
      <c r="P123" s="46"/>
      <c r="Q123" s="46">
        <v>25.3</v>
      </c>
      <c r="R123" s="47">
        <f t="shared" ref="R123:R124" si="13">O123+P123+Q123</f>
        <v>52.6</v>
      </c>
      <c r="S123" s="28">
        <v>2</v>
      </c>
      <c r="T123" s="284"/>
      <c r="U123" s="293"/>
      <c r="V123" s="37" t="s">
        <v>486</v>
      </c>
      <c r="W123" s="28" t="s">
        <v>22</v>
      </c>
      <c r="X123" s="28" t="s">
        <v>11</v>
      </c>
      <c r="Y123" s="38">
        <v>27.3</v>
      </c>
      <c r="Z123" s="28" t="s">
        <v>487</v>
      </c>
      <c r="AA123" s="28" t="s">
        <v>20</v>
      </c>
      <c r="AB123" s="28" t="s">
        <v>12</v>
      </c>
      <c r="AC123" s="28">
        <v>25.3</v>
      </c>
      <c r="AD123" s="37"/>
      <c r="AG123" s="38"/>
      <c r="AL123" s="37"/>
      <c r="AO123" s="38"/>
      <c r="AP123" s="37"/>
      <c r="AS123" s="38"/>
      <c r="AW123" s="38"/>
      <c r="BA123" s="39"/>
    </row>
    <row r="124" spans="1:53" s="28" customFormat="1" x14ac:dyDescent="0.15">
      <c r="A124" s="28">
        <v>2015</v>
      </c>
      <c r="B124" s="293"/>
      <c r="C124" s="394" t="s">
        <v>670</v>
      </c>
      <c r="D124" s="394"/>
      <c r="E124" s="28">
        <v>365</v>
      </c>
      <c r="G124" s="65">
        <v>7</v>
      </c>
      <c r="I124" s="28">
        <v>6</v>
      </c>
      <c r="J124" s="72">
        <v>13</v>
      </c>
      <c r="K124" s="46">
        <f t="shared" si="9"/>
        <v>53.846153846153847</v>
      </c>
      <c r="L124" s="46">
        <f t="shared" si="10"/>
        <v>0</v>
      </c>
      <c r="M124" s="46">
        <f t="shared" si="11"/>
        <v>46.153846153846153</v>
      </c>
      <c r="N124" s="67">
        <f t="shared" si="12"/>
        <v>100</v>
      </c>
      <c r="O124" s="45">
        <v>27.3</v>
      </c>
      <c r="P124" s="46"/>
      <c r="Q124" s="46">
        <v>25.3</v>
      </c>
      <c r="R124" s="47">
        <f t="shared" si="13"/>
        <v>52.6</v>
      </c>
      <c r="S124" s="28">
        <v>2</v>
      </c>
      <c r="T124" s="284"/>
      <c r="U124" s="293"/>
      <c r="V124" s="37" t="s">
        <v>486</v>
      </c>
      <c r="W124" s="28" t="s">
        <v>22</v>
      </c>
      <c r="X124" s="28" t="s">
        <v>11</v>
      </c>
      <c r="Y124" s="38">
        <v>27.3</v>
      </c>
      <c r="Z124" s="28" t="s">
        <v>487</v>
      </c>
      <c r="AA124" s="28" t="s">
        <v>20</v>
      </c>
      <c r="AB124" s="28" t="s">
        <v>12</v>
      </c>
      <c r="AC124" s="28">
        <v>25.3</v>
      </c>
      <c r="AD124" s="37"/>
      <c r="AG124" s="38"/>
      <c r="AL124" s="37"/>
      <c r="AO124" s="38"/>
      <c r="AP124" s="37"/>
      <c r="AS124" s="38"/>
      <c r="AW124" s="38"/>
      <c r="BA124" s="39"/>
    </row>
    <row r="125" spans="1:53" s="28" customFormat="1" x14ac:dyDescent="0.15">
      <c r="A125" s="28">
        <v>2016</v>
      </c>
      <c r="B125" s="293"/>
      <c r="C125" s="394" t="s">
        <v>670</v>
      </c>
      <c r="D125" s="394"/>
      <c r="E125" s="28">
        <v>0</v>
      </c>
      <c r="G125" s="65">
        <v>7</v>
      </c>
      <c r="I125" s="28">
        <v>6</v>
      </c>
      <c r="J125" s="72">
        <v>13</v>
      </c>
      <c r="K125" s="46">
        <f t="shared" ref="K125:K126" si="14">G125/$J125*100</f>
        <v>53.846153846153847</v>
      </c>
      <c r="L125" s="46">
        <f t="shared" ref="L125:L126" si="15">H125/$J125*100</f>
        <v>0</v>
      </c>
      <c r="M125" s="46">
        <f t="shared" ref="M125:M126" si="16">I125/$J125*100</f>
        <v>46.153846153846153</v>
      </c>
      <c r="N125" s="67">
        <f t="shared" ref="N125:N126" si="17">K125+L125+M125</f>
        <v>100</v>
      </c>
      <c r="O125" s="45">
        <v>27.3</v>
      </c>
      <c r="P125" s="46"/>
      <c r="Q125" s="46">
        <v>25.3</v>
      </c>
      <c r="R125" s="47">
        <f t="shared" ref="R125:R126" si="18">O125+P125+Q125</f>
        <v>52.6</v>
      </c>
      <c r="S125" s="28">
        <v>2</v>
      </c>
      <c r="T125" s="284"/>
      <c r="U125" s="293"/>
      <c r="V125" s="37" t="s">
        <v>486</v>
      </c>
      <c r="W125" s="28" t="s">
        <v>22</v>
      </c>
      <c r="X125" s="28" t="s">
        <v>11</v>
      </c>
      <c r="Y125" s="38">
        <v>27.3</v>
      </c>
      <c r="Z125" s="28" t="s">
        <v>487</v>
      </c>
      <c r="AA125" s="28" t="s">
        <v>20</v>
      </c>
      <c r="AB125" s="28" t="s">
        <v>12</v>
      </c>
      <c r="AC125" s="28">
        <v>25.3</v>
      </c>
      <c r="AD125" s="37"/>
      <c r="AG125" s="38"/>
      <c r="AL125" s="37"/>
      <c r="AO125" s="38"/>
      <c r="AP125" s="37"/>
      <c r="AS125" s="38"/>
      <c r="AW125" s="38"/>
      <c r="BA125" s="39"/>
    </row>
    <row r="126" spans="1:53" s="28" customFormat="1" x14ac:dyDescent="0.15">
      <c r="A126" s="28">
        <v>2016</v>
      </c>
      <c r="B126" s="293"/>
      <c r="C126" s="394" t="s">
        <v>670</v>
      </c>
      <c r="D126" s="394"/>
      <c r="E126" s="28">
        <v>366</v>
      </c>
      <c r="G126" s="65">
        <v>7</v>
      </c>
      <c r="I126" s="28">
        <v>6</v>
      </c>
      <c r="J126" s="72">
        <v>13</v>
      </c>
      <c r="K126" s="46">
        <f t="shared" si="14"/>
        <v>53.846153846153847</v>
      </c>
      <c r="L126" s="46">
        <f t="shared" si="15"/>
        <v>0</v>
      </c>
      <c r="M126" s="46">
        <f t="shared" si="16"/>
        <v>46.153846153846153</v>
      </c>
      <c r="N126" s="67">
        <f t="shared" si="17"/>
        <v>100</v>
      </c>
      <c r="O126" s="45">
        <v>27.3</v>
      </c>
      <c r="P126" s="46"/>
      <c r="Q126" s="46">
        <v>25.3</v>
      </c>
      <c r="R126" s="47">
        <f t="shared" si="18"/>
        <v>52.6</v>
      </c>
      <c r="S126" s="28">
        <v>2</v>
      </c>
      <c r="T126" s="284"/>
      <c r="U126" s="293"/>
      <c r="V126" s="37" t="s">
        <v>486</v>
      </c>
      <c r="W126" s="28" t="s">
        <v>22</v>
      </c>
      <c r="X126" s="28" t="s">
        <v>11</v>
      </c>
      <c r="Y126" s="38">
        <v>27.3</v>
      </c>
      <c r="Z126" s="28" t="s">
        <v>487</v>
      </c>
      <c r="AA126" s="28" t="s">
        <v>20</v>
      </c>
      <c r="AB126" s="28" t="s">
        <v>12</v>
      </c>
      <c r="AC126" s="28">
        <v>25.3</v>
      </c>
      <c r="AD126" s="37"/>
      <c r="AG126" s="38"/>
      <c r="AL126" s="37"/>
      <c r="AO126" s="38"/>
      <c r="AP126" s="37"/>
      <c r="AS126" s="38"/>
      <c r="AW126" s="38"/>
      <c r="BA126" s="39"/>
    </row>
    <row r="127" spans="1:53" s="28" customFormat="1" x14ac:dyDescent="0.15">
      <c r="A127" s="28">
        <v>2017</v>
      </c>
      <c r="B127" s="293"/>
      <c r="C127" s="394" t="s">
        <v>670</v>
      </c>
      <c r="D127" s="394"/>
      <c r="E127" s="28">
        <v>25</v>
      </c>
      <c r="G127" s="65">
        <v>7</v>
      </c>
      <c r="I127" s="28">
        <v>6</v>
      </c>
      <c r="J127" s="72">
        <v>13</v>
      </c>
      <c r="K127" s="46">
        <f t="shared" ref="K127:K128" si="19">G127/$J127*100</f>
        <v>53.846153846153847</v>
      </c>
      <c r="L127" s="46">
        <f t="shared" ref="L127:L128" si="20">H127/$J127*100</f>
        <v>0</v>
      </c>
      <c r="M127" s="46">
        <f t="shared" ref="M127:M128" si="21">I127/$J127*100</f>
        <v>46.153846153846153</v>
      </c>
      <c r="N127" s="67">
        <f t="shared" ref="N127:N128" si="22">K127+L127+M127</f>
        <v>100</v>
      </c>
      <c r="O127" s="45">
        <v>27.3</v>
      </c>
      <c r="P127" s="46"/>
      <c r="Q127" s="46">
        <v>25.3</v>
      </c>
      <c r="R127" s="47">
        <f t="shared" ref="R127" si="23">O127+P127+Q127</f>
        <v>52.6</v>
      </c>
      <c r="S127" s="28">
        <v>2</v>
      </c>
      <c r="T127" s="284"/>
      <c r="U127" s="293"/>
      <c r="V127" s="37" t="s">
        <v>486</v>
      </c>
      <c r="W127" s="28" t="s">
        <v>22</v>
      </c>
      <c r="X127" s="28" t="s">
        <v>11</v>
      </c>
      <c r="Y127" s="38">
        <v>27.3</v>
      </c>
      <c r="Z127" s="28" t="s">
        <v>487</v>
      </c>
      <c r="AA127" s="28" t="s">
        <v>20</v>
      </c>
      <c r="AB127" s="28" t="s">
        <v>12</v>
      </c>
      <c r="AC127" s="28">
        <v>25.3</v>
      </c>
      <c r="AD127" s="37"/>
      <c r="AG127" s="38"/>
      <c r="AL127" s="37"/>
      <c r="AO127" s="38"/>
      <c r="AP127" s="37"/>
      <c r="AS127" s="38"/>
      <c r="AW127" s="38"/>
      <c r="BA127" s="39"/>
    </row>
    <row r="128" spans="1:53" s="28" customFormat="1" x14ac:dyDescent="0.15">
      <c r="A128" s="28">
        <v>2017</v>
      </c>
      <c r="B128" s="301">
        <v>42761</v>
      </c>
      <c r="C128" s="394" t="s">
        <v>670</v>
      </c>
      <c r="D128" s="394"/>
      <c r="E128" s="28">
        <v>273</v>
      </c>
      <c r="F128" s="83">
        <v>0</v>
      </c>
      <c r="G128" s="65">
        <v>6</v>
      </c>
      <c r="I128" s="28">
        <v>6</v>
      </c>
      <c r="J128" s="72">
        <v>12</v>
      </c>
      <c r="K128" s="46">
        <f t="shared" si="19"/>
        <v>50</v>
      </c>
      <c r="L128" s="46">
        <f t="shared" si="20"/>
        <v>0</v>
      </c>
      <c r="M128" s="46">
        <f t="shared" si="21"/>
        <v>50</v>
      </c>
      <c r="N128" s="67">
        <f t="shared" si="22"/>
        <v>100</v>
      </c>
      <c r="O128" s="45">
        <v>27.3</v>
      </c>
      <c r="P128" s="46"/>
      <c r="Q128" s="46">
        <v>25.3</v>
      </c>
      <c r="R128" s="47">
        <f t="shared" ref="R128:R129" si="24">O128+P128+Q128</f>
        <v>52.6</v>
      </c>
      <c r="S128" s="28">
        <v>2</v>
      </c>
      <c r="T128" s="284"/>
      <c r="U128" s="293"/>
      <c r="V128" s="37" t="s">
        <v>486</v>
      </c>
      <c r="W128" s="28" t="s">
        <v>22</v>
      </c>
      <c r="X128" s="28" t="s">
        <v>11</v>
      </c>
      <c r="Y128" s="38">
        <v>27.3</v>
      </c>
      <c r="Z128" s="28" t="s">
        <v>487</v>
      </c>
      <c r="AA128" s="28" t="s">
        <v>20</v>
      </c>
      <c r="AB128" s="28" t="s">
        <v>12</v>
      </c>
      <c r="AC128" s="28">
        <v>25.3</v>
      </c>
      <c r="AD128" s="37"/>
      <c r="AG128" s="38"/>
      <c r="AL128" s="37"/>
      <c r="AO128" s="38"/>
      <c r="AP128" s="37"/>
      <c r="AS128" s="38"/>
      <c r="AW128" s="38"/>
      <c r="BA128" s="39"/>
    </row>
    <row r="129" spans="1:53" s="170" customFormat="1" x14ac:dyDescent="0.15">
      <c r="A129" s="170">
        <v>2017</v>
      </c>
      <c r="B129" s="281">
        <v>43034</v>
      </c>
      <c r="C129" s="395" t="s">
        <v>1376</v>
      </c>
      <c r="D129" s="395"/>
      <c r="E129" s="170">
        <v>67</v>
      </c>
      <c r="F129" s="170">
        <v>1</v>
      </c>
      <c r="G129" s="232">
        <v>6</v>
      </c>
      <c r="H129" s="170">
        <v>10</v>
      </c>
      <c r="J129" s="240">
        <v>16</v>
      </c>
      <c r="K129" s="213">
        <f t="shared" ref="K129" si="25">G129/$J129*100</f>
        <v>37.5</v>
      </c>
      <c r="L129" s="213">
        <f t="shared" ref="L129" si="26">H129/$J129*100</f>
        <v>62.5</v>
      </c>
      <c r="M129" s="213">
        <f t="shared" ref="M129" si="27">I129/$J129*100</f>
        <v>0</v>
      </c>
      <c r="N129" s="234">
        <f t="shared" ref="N129" si="28">K129+L129+M129</f>
        <v>100</v>
      </c>
      <c r="O129" s="212">
        <v>22</v>
      </c>
      <c r="P129" s="213">
        <v>28.7</v>
      </c>
      <c r="Q129" s="213"/>
      <c r="R129" s="214">
        <f t="shared" si="24"/>
        <v>50.7</v>
      </c>
      <c r="S129" s="170">
        <v>2</v>
      </c>
      <c r="T129" s="283">
        <v>42809</v>
      </c>
      <c r="U129" s="281">
        <v>43034</v>
      </c>
      <c r="V129" s="177" t="s">
        <v>486</v>
      </c>
      <c r="W129" s="170" t="s">
        <v>22</v>
      </c>
      <c r="X129" s="170" t="s">
        <v>11</v>
      </c>
      <c r="Y129" s="178">
        <v>22</v>
      </c>
      <c r="Z129" s="170" t="s">
        <v>490</v>
      </c>
      <c r="AA129" s="170" t="s">
        <v>325</v>
      </c>
      <c r="AB129" s="170" t="s">
        <v>18</v>
      </c>
      <c r="AC129" s="170">
        <v>12.7</v>
      </c>
      <c r="AD129" s="177" t="s">
        <v>489</v>
      </c>
      <c r="AE129" s="170" t="s">
        <v>87</v>
      </c>
      <c r="AF129" s="170" t="s">
        <v>18</v>
      </c>
      <c r="AG129" s="178">
        <v>12.7</v>
      </c>
      <c r="AH129" s="170" t="s">
        <v>565</v>
      </c>
      <c r="AI129" s="170" t="s">
        <v>326</v>
      </c>
      <c r="AJ129" s="170" t="s">
        <v>18</v>
      </c>
      <c r="AK129" s="170">
        <v>3.3</v>
      </c>
      <c r="AL129" s="177"/>
      <c r="AO129" s="178"/>
      <c r="AP129" s="177"/>
      <c r="AS129" s="178"/>
      <c r="AW129" s="178"/>
      <c r="BA129" s="179"/>
    </row>
    <row r="130" spans="1:53" s="170" customFormat="1" x14ac:dyDescent="0.15">
      <c r="A130" s="170">
        <v>2018</v>
      </c>
      <c r="B130" s="281"/>
      <c r="C130" s="395" t="s">
        <v>1376</v>
      </c>
      <c r="D130" s="395"/>
      <c r="E130" s="170">
        <v>0</v>
      </c>
      <c r="G130" s="232">
        <v>6</v>
      </c>
      <c r="H130" s="170">
        <v>10</v>
      </c>
      <c r="J130" s="240">
        <v>16</v>
      </c>
      <c r="K130" s="213">
        <f t="shared" ref="K130:K146" si="29">G130/$J130*100</f>
        <v>37.5</v>
      </c>
      <c r="L130" s="213">
        <f t="shared" ref="L130:L146" si="30">H130/$J130*100</f>
        <v>62.5</v>
      </c>
      <c r="M130" s="213">
        <f t="shared" ref="M130:M146" si="31">I130/$J130*100</f>
        <v>0</v>
      </c>
      <c r="N130" s="234">
        <f t="shared" ref="N130:N146" si="32">K130+L130+M130</f>
        <v>100</v>
      </c>
      <c r="O130" s="212">
        <v>22</v>
      </c>
      <c r="P130" s="213">
        <v>28.7</v>
      </c>
      <c r="Q130" s="213"/>
      <c r="R130" s="214">
        <f t="shared" ref="R130:R138" si="33">O130+P130+Q130</f>
        <v>50.7</v>
      </c>
      <c r="S130" s="170">
        <v>2</v>
      </c>
      <c r="T130" s="283"/>
      <c r="U130" s="281"/>
      <c r="V130" s="177" t="s">
        <v>486</v>
      </c>
      <c r="W130" s="170" t="s">
        <v>22</v>
      </c>
      <c r="X130" s="170" t="s">
        <v>11</v>
      </c>
      <c r="Y130" s="178">
        <v>22</v>
      </c>
      <c r="Z130" s="170" t="s">
        <v>490</v>
      </c>
      <c r="AA130" s="170" t="s">
        <v>325</v>
      </c>
      <c r="AB130" s="170" t="s">
        <v>18</v>
      </c>
      <c r="AC130" s="170">
        <v>12.7</v>
      </c>
      <c r="AD130" s="177" t="s">
        <v>489</v>
      </c>
      <c r="AE130" s="170" t="s">
        <v>87</v>
      </c>
      <c r="AF130" s="170" t="s">
        <v>18</v>
      </c>
      <c r="AG130" s="178">
        <v>12.7</v>
      </c>
      <c r="AH130" s="170" t="s">
        <v>565</v>
      </c>
      <c r="AI130" s="170" t="s">
        <v>326</v>
      </c>
      <c r="AJ130" s="170" t="s">
        <v>18</v>
      </c>
      <c r="AK130" s="170">
        <v>3.3</v>
      </c>
      <c r="AL130" s="177"/>
      <c r="AO130" s="178"/>
      <c r="AP130" s="177"/>
      <c r="AS130" s="178"/>
      <c r="AW130" s="178"/>
      <c r="BA130" s="179"/>
    </row>
    <row r="131" spans="1:53" s="170" customFormat="1" x14ac:dyDescent="0.15">
      <c r="A131" s="170">
        <v>2018</v>
      </c>
      <c r="B131" s="281"/>
      <c r="C131" s="395" t="s">
        <v>1376</v>
      </c>
      <c r="D131" s="395"/>
      <c r="E131" s="170">
        <v>365</v>
      </c>
      <c r="G131" s="232">
        <v>6</v>
      </c>
      <c r="H131" s="170">
        <v>10</v>
      </c>
      <c r="J131" s="240">
        <v>16</v>
      </c>
      <c r="K131" s="213">
        <f t="shared" si="29"/>
        <v>37.5</v>
      </c>
      <c r="L131" s="213">
        <f t="shared" si="30"/>
        <v>62.5</v>
      </c>
      <c r="M131" s="213">
        <f t="shared" si="31"/>
        <v>0</v>
      </c>
      <c r="N131" s="234">
        <f t="shared" si="32"/>
        <v>100</v>
      </c>
      <c r="O131" s="212">
        <v>22</v>
      </c>
      <c r="P131" s="213">
        <v>28.7</v>
      </c>
      <c r="Q131" s="213"/>
      <c r="R131" s="214">
        <f t="shared" si="33"/>
        <v>50.7</v>
      </c>
      <c r="S131" s="170">
        <v>2</v>
      </c>
      <c r="T131" s="283"/>
      <c r="U131" s="281"/>
      <c r="V131" s="177" t="s">
        <v>486</v>
      </c>
      <c r="W131" s="170" t="s">
        <v>22</v>
      </c>
      <c r="X131" s="170" t="s">
        <v>11</v>
      </c>
      <c r="Y131" s="178">
        <v>22</v>
      </c>
      <c r="Z131" s="170" t="s">
        <v>490</v>
      </c>
      <c r="AA131" s="343" t="s">
        <v>325</v>
      </c>
      <c r="AB131" s="170" t="s">
        <v>18</v>
      </c>
      <c r="AC131" s="170">
        <v>12.7</v>
      </c>
      <c r="AD131" s="177" t="s">
        <v>489</v>
      </c>
      <c r="AE131" s="170" t="s">
        <v>87</v>
      </c>
      <c r="AF131" s="170" t="s">
        <v>18</v>
      </c>
      <c r="AG131" s="178">
        <v>12.7</v>
      </c>
      <c r="AH131" s="170" t="s">
        <v>565</v>
      </c>
      <c r="AI131" s="170" t="s">
        <v>326</v>
      </c>
      <c r="AJ131" s="170" t="s">
        <v>18</v>
      </c>
      <c r="AK131" s="170">
        <v>3.3</v>
      </c>
      <c r="AL131" s="177"/>
      <c r="AO131" s="178"/>
      <c r="AP131" s="177"/>
      <c r="AS131" s="178"/>
      <c r="AW131" s="178"/>
      <c r="BA131" s="179"/>
    </row>
    <row r="132" spans="1:53" s="170" customFormat="1" x14ac:dyDescent="0.15">
      <c r="A132" s="170">
        <v>2019</v>
      </c>
      <c r="B132" s="281"/>
      <c r="C132" s="395" t="s">
        <v>1376</v>
      </c>
      <c r="D132" s="395"/>
      <c r="E132" s="170">
        <v>304</v>
      </c>
      <c r="G132" s="232">
        <v>6</v>
      </c>
      <c r="H132" s="170">
        <v>10</v>
      </c>
      <c r="J132" s="240">
        <v>16</v>
      </c>
      <c r="K132" s="213">
        <f t="shared" si="29"/>
        <v>37.5</v>
      </c>
      <c r="L132" s="213">
        <f t="shared" si="30"/>
        <v>62.5</v>
      </c>
      <c r="M132" s="213">
        <f t="shared" si="31"/>
        <v>0</v>
      </c>
      <c r="N132" s="234">
        <f t="shared" si="32"/>
        <v>100</v>
      </c>
      <c r="O132" s="212">
        <v>22</v>
      </c>
      <c r="P132" s="213">
        <v>28.7</v>
      </c>
      <c r="Q132" s="213"/>
      <c r="R132" s="214">
        <f t="shared" si="33"/>
        <v>50.7</v>
      </c>
      <c r="S132" s="170">
        <v>2</v>
      </c>
      <c r="T132" s="283"/>
      <c r="U132" s="281"/>
      <c r="V132" s="177" t="s">
        <v>486</v>
      </c>
      <c r="W132" s="170" t="s">
        <v>22</v>
      </c>
      <c r="X132" s="170" t="s">
        <v>11</v>
      </c>
      <c r="Y132" s="178">
        <v>22</v>
      </c>
      <c r="Z132" s="170" t="s">
        <v>490</v>
      </c>
      <c r="AA132" s="170" t="s">
        <v>325</v>
      </c>
      <c r="AB132" s="170" t="s">
        <v>18</v>
      </c>
      <c r="AC132" s="170">
        <v>12.7</v>
      </c>
      <c r="AD132" s="177" t="s">
        <v>489</v>
      </c>
      <c r="AE132" s="170" t="s">
        <v>87</v>
      </c>
      <c r="AF132" s="170" t="s">
        <v>18</v>
      </c>
      <c r="AG132" s="178">
        <v>12.7</v>
      </c>
      <c r="AH132" s="170" t="s">
        <v>565</v>
      </c>
      <c r="AI132" s="170" t="s">
        <v>326</v>
      </c>
      <c r="AJ132" s="170" t="s">
        <v>18</v>
      </c>
      <c r="AK132" s="170">
        <v>3.3</v>
      </c>
      <c r="AL132" s="177"/>
      <c r="AO132" s="178"/>
      <c r="AP132" s="177"/>
      <c r="AS132" s="178"/>
      <c r="AW132" s="178"/>
      <c r="BA132" s="179"/>
    </row>
    <row r="133" spans="1:53" s="170" customFormat="1" x14ac:dyDescent="0.15">
      <c r="A133" s="170">
        <v>2019</v>
      </c>
      <c r="B133" s="303">
        <v>43770</v>
      </c>
      <c r="C133" s="395" t="s">
        <v>1376</v>
      </c>
      <c r="D133" s="395"/>
      <c r="E133" s="170">
        <v>61</v>
      </c>
      <c r="F133" s="243">
        <v>0</v>
      </c>
      <c r="G133" s="232">
        <v>6</v>
      </c>
      <c r="H133" s="170">
        <v>11</v>
      </c>
      <c r="J133" s="240">
        <v>17</v>
      </c>
      <c r="K133" s="213">
        <f t="shared" si="29"/>
        <v>35.294117647058826</v>
      </c>
      <c r="L133" s="213">
        <f t="shared" si="30"/>
        <v>64.705882352941174</v>
      </c>
      <c r="M133" s="213">
        <f t="shared" si="31"/>
        <v>0</v>
      </c>
      <c r="N133" s="234">
        <f t="shared" si="32"/>
        <v>100</v>
      </c>
      <c r="O133" s="212">
        <v>22</v>
      </c>
      <c r="P133" s="213">
        <v>28.7</v>
      </c>
      <c r="Q133" s="213"/>
      <c r="R133" s="214">
        <f t="shared" si="33"/>
        <v>50.7</v>
      </c>
      <c r="S133" s="170">
        <v>2</v>
      </c>
      <c r="T133" s="283"/>
      <c r="U133" s="281"/>
      <c r="V133" s="177" t="s">
        <v>486</v>
      </c>
      <c r="W133" s="170" t="s">
        <v>22</v>
      </c>
      <c r="X133" s="170" t="s">
        <v>11</v>
      </c>
      <c r="Y133" s="178">
        <v>22</v>
      </c>
      <c r="Z133" s="170" t="s">
        <v>490</v>
      </c>
      <c r="AA133" s="170" t="s">
        <v>325</v>
      </c>
      <c r="AB133" s="170" t="s">
        <v>18</v>
      </c>
      <c r="AC133" s="170">
        <v>12.7</v>
      </c>
      <c r="AD133" s="177" t="s">
        <v>489</v>
      </c>
      <c r="AE133" s="170" t="s">
        <v>87</v>
      </c>
      <c r="AF133" s="170" t="s">
        <v>18</v>
      </c>
      <c r="AG133" s="178">
        <v>12.7</v>
      </c>
      <c r="AH133" s="170" t="s">
        <v>565</v>
      </c>
      <c r="AI133" s="170" t="s">
        <v>326</v>
      </c>
      <c r="AJ133" s="170" t="s">
        <v>18</v>
      </c>
      <c r="AK133" s="170">
        <v>3.3</v>
      </c>
      <c r="AL133" s="177"/>
      <c r="AO133" s="178"/>
      <c r="AP133" s="177"/>
      <c r="AS133" s="178"/>
      <c r="AW133" s="178"/>
      <c r="BA133" s="179"/>
    </row>
    <row r="134" spans="1:53" s="170" customFormat="1" x14ac:dyDescent="0.15">
      <c r="A134" s="170">
        <v>2020</v>
      </c>
      <c r="B134" s="303"/>
      <c r="C134" s="395" t="s">
        <v>1376</v>
      </c>
      <c r="D134" s="395"/>
      <c r="E134" s="170">
        <v>78</v>
      </c>
      <c r="F134" s="243"/>
      <c r="G134" s="232">
        <v>6</v>
      </c>
      <c r="H134" s="170">
        <v>11</v>
      </c>
      <c r="J134" s="240">
        <v>17</v>
      </c>
      <c r="K134" s="213">
        <f t="shared" si="29"/>
        <v>35.294117647058826</v>
      </c>
      <c r="L134" s="213">
        <f t="shared" si="30"/>
        <v>64.705882352941174</v>
      </c>
      <c r="M134" s="213">
        <f t="shared" si="31"/>
        <v>0</v>
      </c>
      <c r="N134" s="234">
        <f t="shared" si="32"/>
        <v>100</v>
      </c>
      <c r="O134" s="212">
        <v>22</v>
      </c>
      <c r="P134" s="213">
        <v>28.7</v>
      </c>
      <c r="Q134" s="213"/>
      <c r="R134" s="214">
        <f t="shared" si="33"/>
        <v>50.7</v>
      </c>
      <c r="S134" s="170">
        <v>2</v>
      </c>
      <c r="T134" s="283"/>
      <c r="U134" s="281"/>
      <c r="V134" s="177" t="s">
        <v>486</v>
      </c>
      <c r="W134" s="170" t="s">
        <v>22</v>
      </c>
      <c r="X134" s="170" t="s">
        <v>11</v>
      </c>
      <c r="Y134" s="178">
        <v>22</v>
      </c>
      <c r="Z134" s="170" t="s">
        <v>490</v>
      </c>
      <c r="AA134" s="170" t="s">
        <v>325</v>
      </c>
      <c r="AB134" s="170" t="s">
        <v>18</v>
      </c>
      <c r="AC134" s="170">
        <v>12.7</v>
      </c>
      <c r="AD134" s="177" t="s">
        <v>489</v>
      </c>
      <c r="AE134" s="170" t="s">
        <v>87</v>
      </c>
      <c r="AF134" s="170" t="s">
        <v>18</v>
      </c>
      <c r="AG134" s="178">
        <v>12.7</v>
      </c>
      <c r="AH134" s="170" t="s">
        <v>565</v>
      </c>
      <c r="AI134" s="170" t="s">
        <v>326</v>
      </c>
      <c r="AJ134" s="170" t="s">
        <v>18</v>
      </c>
      <c r="AK134" s="170">
        <v>3.3</v>
      </c>
      <c r="AL134" s="177"/>
      <c r="AO134" s="178"/>
      <c r="AP134" s="177"/>
      <c r="AS134" s="178"/>
      <c r="AW134" s="178"/>
      <c r="BA134" s="179"/>
    </row>
    <row r="135" spans="1:53" s="170" customFormat="1" x14ac:dyDescent="0.15">
      <c r="A135" s="170">
        <v>2020</v>
      </c>
      <c r="B135" s="303">
        <v>43909</v>
      </c>
      <c r="C135" s="395" t="s">
        <v>1376</v>
      </c>
      <c r="D135" s="395"/>
      <c r="E135" s="170">
        <v>26</v>
      </c>
      <c r="F135" s="243">
        <v>0</v>
      </c>
      <c r="G135" s="232">
        <v>5</v>
      </c>
      <c r="H135" s="170">
        <v>11</v>
      </c>
      <c r="J135" s="240">
        <v>17</v>
      </c>
      <c r="K135" s="213">
        <f t="shared" si="29"/>
        <v>29.411764705882355</v>
      </c>
      <c r="L135" s="213">
        <f t="shared" si="30"/>
        <v>64.705882352941174</v>
      </c>
      <c r="M135" s="213">
        <f t="shared" si="31"/>
        <v>0</v>
      </c>
      <c r="N135" s="234">
        <f t="shared" si="32"/>
        <v>94.117647058823536</v>
      </c>
      <c r="O135" s="212">
        <v>22</v>
      </c>
      <c r="P135" s="213">
        <v>28.7</v>
      </c>
      <c r="Q135" s="213"/>
      <c r="R135" s="214">
        <f t="shared" si="33"/>
        <v>50.7</v>
      </c>
      <c r="S135" s="170">
        <v>2</v>
      </c>
      <c r="T135" s="283"/>
      <c r="U135" s="281"/>
      <c r="V135" s="177" t="s">
        <v>486</v>
      </c>
      <c r="W135" s="170" t="s">
        <v>22</v>
      </c>
      <c r="X135" s="170" t="s">
        <v>11</v>
      </c>
      <c r="Y135" s="178">
        <v>22</v>
      </c>
      <c r="Z135" s="170" t="s">
        <v>490</v>
      </c>
      <c r="AA135" s="170" t="s">
        <v>325</v>
      </c>
      <c r="AB135" s="170" t="s">
        <v>18</v>
      </c>
      <c r="AC135" s="170">
        <v>12.7</v>
      </c>
      <c r="AD135" s="177" t="s">
        <v>489</v>
      </c>
      <c r="AE135" s="170" t="s">
        <v>87</v>
      </c>
      <c r="AF135" s="170" t="s">
        <v>18</v>
      </c>
      <c r="AG135" s="178">
        <v>12.7</v>
      </c>
      <c r="AH135" s="170" t="s">
        <v>565</v>
      </c>
      <c r="AI135" s="170" t="s">
        <v>326</v>
      </c>
      <c r="AJ135" s="170" t="s">
        <v>18</v>
      </c>
      <c r="AK135" s="170">
        <v>3.3</v>
      </c>
      <c r="AL135" s="177"/>
      <c r="AO135" s="178"/>
      <c r="AS135" s="178"/>
      <c r="AW135" s="178"/>
      <c r="BA135" s="179"/>
    </row>
    <row r="136" spans="1:53" s="170" customFormat="1" x14ac:dyDescent="0.15">
      <c r="A136" s="170">
        <v>2020</v>
      </c>
      <c r="B136" s="303">
        <v>43935</v>
      </c>
      <c r="C136" s="395" t="s">
        <v>1376</v>
      </c>
      <c r="D136" s="395"/>
      <c r="E136" s="170">
        <v>86</v>
      </c>
      <c r="F136" s="243">
        <v>0</v>
      </c>
      <c r="G136" s="232">
        <v>5</v>
      </c>
      <c r="H136" s="170">
        <v>10</v>
      </c>
      <c r="J136" s="240">
        <v>16</v>
      </c>
      <c r="K136" s="213">
        <f t="shared" si="29"/>
        <v>31.25</v>
      </c>
      <c r="L136" s="213">
        <f t="shared" si="30"/>
        <v>62.5</v>
      </c>
      <c r="M136" s="213">
        <f t="shared" si="31"/>
        <v>0</v>
      </c>
      <c r="N136" s="214">
        <f t="shared" si="32"/>
        <v>93.75</v>
      </c>
      <c r="O136" s="213">
        <v>22</v>
      </c>
      <c r="P136" s="213">
        <v>28.7</v>
      </c>
      <c r="Q136" s="213"/>
      <c r="R136" s="214">
        <f t="shared" si="33"/>
        <v>50.7</v>
      </c>
      <c r="S136" s="170">
        <v>2</v>
      </c>
      <c r="T136" s="283"/>
      <c r="U136" s="296"/>
      <c r="V136" s="170" t="s">
        <v>486</v>
      </c>
      <c r="W136" s="170" t="s">
        <v>22</v>
      </c>
      <c r="X136" s="170" t="s">
        <v>11</v>
      </c>
      <c r="Y136" s="178">
        <v>22</v>
      </c>
      <c r="Z136" s="170" t="s">
        <v>490</v>
      </c>
      <c r="AA136" s="170" t="s">
        <v>325</v>
      </c>
      <c r="AB136" s="170" t="s">
        <v>18</v>
      </c>
      <c r="AC136" s="178">
        <v>12.7</v>
      </c>
      <c r="AD136" s="170" t="s">
        <v>489</v>
      </c>
      <c r="AE136" s="170" t="s">
        <v>87</v>
      </c>
      <c r="AF136" s="170" t="s">
        <v>18</v>
      </c>
      <c r="AG136" s="178">
        <v>12.7</v>
      </c>
      <c r="AH136" s="170" t="s">
        <v>565</v>
      </c>
      <c r="AI136" s="170" t="s">
        <v>326</v>
      </c>
      <c r="AJ136" s="170" t="s">
        <v>18</v>
      </c>
      <c r="AK136" s="178">
        <v>3.3</v>
      </c>
      <c r="AO136" s="178"/>
      <c r="AS136" s="178"/>
      <c r="AW136" s="178"/>
      <c r="BA136" s="179"/>
    </row>
    <row r="137" spans="1:53" s="170" customFormat="1" x14ac:dyDescent="0.15">
      <c r="A137" s="170">
        <v>2020</v>
      </c>
      <c r="B137" s="303">
        <v>44021</v>
      </c>
      <c r="C137" s="395" t="s">
        <v>1376</v>
      </c>
      <c r="D137" s="395"/>
      <c r="E137" s="170">
        <v>176</v>
      </c>
      <c r="F137" s="246">
        <v>0</v>
      </c>
      <c r="G137" s="170">
        <v>6</v>
      </c>
      <c r="H137" s="170">
        <v>10</v>
      </c>
      <c r="J137" s="240">
        <v>16</v>
      </c>
      <c r="K137" s="213">
        <f t="shared" si="29"/>
        <v>37.5</v>
      </c>
      <c r="L137" s="213">
        <f t="shared" si="30"/>
        <v>62.5</v>
      </c>
      <c r="M137" s="213">
        <f t="shared" si="31"/>
        <v>0</v>
      </c>
      <c r="N137" s="214">
        <f t="shared" si="32"/>
        <v>100</v>
      </c>
      <c r="O137" s="213">
        <v>22</v>
      </c>
      <c r="P137" s="213">
        <v>28.7</v>
      </c>
      <c r="Q137" s="213"/>
      <c r="R137" s="214">
        <f t="shared" si="33"/>
        <v>50.7</v>
      </c>
      <c r="S137" s="189">
        <v>2</v>
      </c>
      <c r="T137" s="283"/>
      <c r="U137" s="296"/>
      <c r="V137" s="170" t="s">
        <v>486</v>
      </c>
      <c r="W137" s="170" t="s">
        <v>22</v>
      </c>
      <c r="X137" s="170" t="s">
        <v>11</v>
      </c>
      <c r="Y137" s="178">
        <v>22</v>
      </c>
      <c r="Z137" s="170" t="s">
        <v>490</v>
      </c>
      <c r="AA137" s="170" t="s">
        <v>325</v>
      </c>
      <c r="AB137" s="170" t="s">
        <v>18</v>
      </c>
      <c r="AC137" s="178">
        <v>12.7</v>
      </c>
      <c r="AD137" s="170" t="s">
        <v>489</v>
      </c>
      <c r="AE137" s="170" t="s">
        <v>87</v>
      </c>
      <c r="AF137" s="170" t="s">
        <v>18</v>
      </c>
      <c r="AG137" s="178">
        <v>12.7</v>
      </c>
      <c r="AH137" s="170" t="s">
        <v>565</v>
      </c>
      <c r="AI137" s="170" t="s">
        <v>326</v>
      </c>
      <c r="AJ137" s="170" t="s">
        <v>18</v>
      </c>
      <c r="AK137" s="178">
        <v>3.3</v>
      </c>
      <c r="AO137" s="178"/>
      <c r="AS137" s="178"/>
      <c r="AW137" s="178"/>
      <c r="BA137" s="179"/>
    </row>
    <row r="138" spans="1:53" s="170" customFormat="1" x14ac:dyDescent="0.15">
      <c r="A138" s="170">
        <v>2021</v>
      </c>
      <c r="B138" s="303"/>
      <c r="C138" s="395" t="s">
        <v>1376</v>
      </c>
      <c r="D138" s="395"/>
      <c r="E138" s="170">
        <v>145</v>
      </c>
      <c r="F138" s="246"/>
      <c r="G138" s="170">
        <v>6</v>
      </c>
      <c r="H138" s="170">
        <v>10</v>
      </c>
      <c r="J138" s="240">
        <v>16</v>
      </c>
      <c r="K138" s="213">
        <f t="shared" si="29"/>
        <v>37.5</v>
      </c>
      <c r="L138" s="213">
        <f t="shared" si="30"/>
        <v>62.5</v>
      </c>
      <c r="M138" s="213">
        <f t="shared" si="31"/>
        <v>0</v>
      </c>
      <c r="N138" s="214">
        <f t="shared" si="32"/>
        <v>100</v>
      </c>
      <c r="O138" s="213">
        <v>21.5</v>
      </c>
      <c r="P138" s="213">
        <v>29</v>
      </c>
      <c r="Q138" s="213"/>
      <c r="R138" s="214">
        <f t="shared" si="33"/>
        <v>50.5</v>
      </c>
      <c r="S138" s="189">
        <v>2</v>
      </c>
      <c r="T138" s="283">
        <v>44272</v>
      </c>
      <c r="U138" s="296"/>
      <c r="V138" s="170" t="s">
        <v>486</v>
      </c>
      <c r="W138" s="170" t="s">
        <v>22</v>
      </c>
      <c r="X138" s="170" t="s">
        <v>11</v>
      </c>
      <c r="Y138" s="178">
        <v>21.5</v>
      </c>
      <c r="Z138" s="170" t="s">
        <v>490</v>
      </c>
      <c r="AA138" s="170" t="s">
        <v>325</v>
      </c>
      <c r="AB138" s="170" t="s">
        <v>18</v>
      </c>
      <c r="AC138" s="178">
        <v>12.8</v>
      </c>
      <c r="AD138" s="170" t="s">
        <v>489</v>
      </c>
      <c r="AE138" s="170" t="s">
        <v>87</v>
      </c>
      <c r="AF138" s="170" t="s">
        <v>18</v>
      </c>
      <c r="AG138" s="178">
        <v>12.8</v>
      </c>
      <c r="AH138" s="170" t="s">
        <v>565</v>
      </c>
      <c r="AI138" s="170" t="s">
        <v>326</v>
      </c>
      <c r="AJ138" s="170" t="s">
        <v>18</v>
      </c>
      <c r="AK138" s="178">
        <v>3.4</v>
      </c>
      <c r="AO138" s="178"/>
      <c r="AS138" s="178"/>
      <c r="AW138" s="178"/>
      <c r="BA138" s="179"/>
    </row>
    <row r="139" spans="1:53" s="170" customFormat="1" x14ac:dyDescent="0.15">
      <c r="A139" s="170">
        <v>2021</v>
      </c>
      <c r="B139" s="303">
        <v>44341</v>
      </c>
      <c r="C139" s="395" t="s">
        <v>1376</v>
      </c>
      <c r="D139" s="395"/>
      <c r="E139" s="170">
        <v>77</v>
      </c>
      <c r="F139" s="246">
        <v>0</v>
      </c>
      <c r="G139" s="170">
        <v>5</v>
      </c>
      <c r="H139" s="170">
        <v>10</v>
      </c>
      <c r="J139" s="240">
        <v>15</v>
      </c>
      <c r="K139" s="213">
        <f t="shared" si="29"/>
        <v>33.333333333333329</v>
      </c>
      <c r="L139" s="213">
        <f t="shared" si="30"/>
        <v>66.666666666666657</v>
      </c>
      <c r="M139" s="213">
        <f t="shared" si="31"/>
        <v>0</v>
      </c>
      <c r="N139" s="214">
        <f t="shared" si="32"/>
        <v>99.999999999999986</v>
      </c>
      <c r="O139" s="213">
        <v>21.5</v>
      </c>
      <c r="P139" s="213">
        <v>29</v>
      </c>
      <c r="Q139" s="213"/>
      <c r="R139" s="214">
        <v>50.5</v>
      </c>
      <c r="S139" s="189">
        <v>2</v>
      </c>
      <c r="T139" s="283"/>
      <c r="U139" s="296"/>
      <c r="V139" s="170" t="s">
        <v>486</v>
      </c>
      <c r="W139" s="170" t="s">
        <v>22</v>
      </c>
      <c r="X139" s="170" t="s">
        <v>11</v>
      </c>
      <c r="Y139" s="178">
        <v>21.5</v>
      </c>
      <c r="Z139" s="170" t="s">
        <v>490</v>
      </c>
      <c r="AA139" s="170" t="s">
        <v>325</v>
      </c>
      <c r="AB139" s="170" t="s">
        <v>18</v>
      </c>
      <c r="AC139" s="178">
        <v>12.8</v>
      </c>
      <c r="AD139" s="170" t="s">
        <v>489</v>
      </c>
      <c r="AE139" s="170" t="s">
        <v>87</v>
      </c>
      <c r="AF139" s="170" t="s">
        <v>18</v>
      </c>
      <c r="AG139" s="178">
        <v>12.8</v>
      </c>
      <c r="AH139" s="170" t="s">
        <v>565</v>
      </c>
      <c r="AI139" s="170" t="s">
        <v>326</v>
      </c>
      <c r="AJ139" s="170" t="s">
        <v>18</v>
      </c>
      <c r="AK139" s="178">
        <v>3.4</v>
      </c>
      <c r="AO139" s="178"/>
      <c r="AS139" s="178"/>
      <c r="AW139" s="178"/>
      <c r="BA139" s="179"/>
    </row>
    <row r="140" spans="1:53" s="170" customFormat="1" x14ac:dyDescent="0.15">
      <c r="A140" s="170">
        <v>2021</v>
      </c>
      <c r="B140" s="303">
        <v>44418</v>
      </c>
      <c r="C140" s="395" t="s">
        <v>1376</v>
      </c>
      <c r="D140" s="395"/>
      <c r="E140" s="170">
        <v>24</v>
      </c>
      <c r="F140" s="246">
        <v>0</v>
      </c>
      <c r="G140" s="170">
        <v>5</v>
      </c>
      <c r="H140" s="170">
        <v>11</v>
      </c>
      <c r="J140" s="240">
        <v>16</v>
      </c>
      <c r="K140" s="213">
        <f t="shared" si="29"/>
        <v>31.25</v>
      </c>
      <c r="L140" s="213">
        <f t="shared" si="30"/>
        <v>68.75</v>
      </c>
      <c r="M140" s="213">
        <f t="shared" si="31"/>
        <v>0</v>
      </c>
      <c r="N140" s="214">
        <f t="shared" si="32"/>
        <v>100</v>
      </c>
      <c r="O140" s="213">
        <v>21.5</v>
      </c>
      <c r="P140" s="213">
        <v>29</v>
      </c>
      <c r="Q140" s="213"/>
      <c r="R140" s="214">
        <v>50.5</v>
      </c>
      <c r="S140" s="189">
        <v>2</v>
      </c>
      <c r="T140" s="283"/>
      <c r="U140" s="296"/>
      <c r="V140" s="170" t="s">
        <v>486</v>
      </c>
      <c r="W140" s="170" t="s">
        <v>22</v>
      </c>
      <c r="X140" s="170" t="s">
        <v>11</v>
      </c>
      <c r="Y140" s="178">
        <v>21.5</v>
      </c>
      <c r="Z140" s="170" t="s">
        <v>490</v>
      </c>
      <c r="AA140" s="170" t="s">
        <v>325</v>
      </c>
      <c r="AB140" s="170" t="s">
        <v>18</v>
      </c>
      <c r="AC140" s="178">
        <v>12.8</v>
      </c>
      <c r="AD140" s="170" t="s">
        <v>489</v>
      </c>
      <c r="AE140" s="170" t="s">
        <v>87</v>
      </c>
      <c r="AF140" s="170" t="s">
        <v>18</v>
      </c>
      <c r="AG140" s="178">
        <v>12.8</v>
      </c>
      <c r="AH140" s="170" t="s">
        <v>565</v>
      </c>
      <c r="AI140" s="170" t="s">
        <v>326</v>
      </c>
      <c r="AJ140" s="170" t="s">
        <v>18</v>
      </c>
      <c r="AK140" s="178">
        <v>3.4</v>
      </c>
      <c r="AO140" s="178"/>
      <c r="AS140" s="178"/>
      <c r="AW140" s="178"/>
      <c r="BA140" s="179"/>
    </row>
    <row r="141" spans="1:53" s="170" customFormat="1" x14ac:dyDescent="0.15">
      <c r="A141" s="170">
        <v>2021</v>
      </c>
      <c r="B141" s="303">
        <v>44442</v>
      </c>
      <c r="C141" s="395" t="s">
        <v>1376</v>
      </c>
      <c r="D141" s="395"/>
      <c r="E141" s="170">
        <v>14</v>
      </c>
      <c r="F141" s="246">
        <v>0</v>
      </c>
      <c r="G141" s="170">
        <v>4</v>
      </c>
      <c r="H141" s="170">
        <v>11</v>
      </c>
      <c r="J141" s="240">
        <v>15</v>
      </c>
      <c r="K141" s="213">
        <f t="shared" si="29"/>
        <v>26.666666666666668</v>
      </c>
      <c r="L141" s="213">
        <f t="shared" si="30"/>
        <v>73.333333333333329</v>
      </c>
      <c r="M141" s="213">
        <f t="shared" si="31"/>
        <v>0</v>
      </c>
      <c r="N141" s="214">
        <f t="shared" si="32"/>
        <v>100</v>
      </c>
      <c r="O141" s="213">
        <v>21.5</v>
      </c>
      <c r="P141" s="213">
        <v>29</v>
      </c>
      <c r="Q141" s="213"/>
      <c r="R141" s="214">
        <v>50.5</v>
      </c>
      <c r="S141" s="189">
        <v>2</v>
      </c>
      <c r="T141" s="283"/>
      <c r="U141" s="296"/>
      <c r="V141" s="170" t="s">
        <v>486</v>
      </c>
      <c r="W141" s="170" t="s">
        <v>22</v>
      </c>
      <c r="X141" s="170" t="s">
        <v>11</v>
      </c>
      <c r="Y141" s="178">
        <v>21.5</v>
      </c>
      <c r="Z141" s="170" t="s">
        <v>490</v>
      </c>
      <c r="AA141" s="170" t="s">
        <v>325</v>
      </c>
      <c r="AB141" s="170" t="s">
        <v>18</v>
      </c>
      <c r="AC141" s="178">
        <v>12.8</v>
      </c>
      <c r="AD141" s="170" t="s">
        <v>489</v>
      </c>
      <c r="AE141" s="170" t="s">
        <v>87</v>
      </c>
      <c r="AF141" s="170" t="s">
        <v>18</v>
      </c>
      <c r="AG141" s="178">
        <v>12.8</v>
      </c>
      <c r="AH141" s="170" t="s">
        <v>565</v>
      </c>
      <c r="AI141" s="170" t="s">
        <v>326</v>
      </c>
      <c r="AJ141" s="170" t="s">
        <v>18</v>
      </c>
      <c r="AK141" s="178">
        <v>3.4</v>
      </c>
      <c r="AO141" s="178"/>
      <c r="AS141" s="178"/>
      <c r="AW141" s="178"/>
      <c r="BA141" s="179"/>
    </row>
    <row r="142" spans="1:53" s="170" customFormat="1" x14ac:dyDescent="0.15">
      <c r="A142" s="170">
        <v>2021</v>
      </c>
      <c r="B142" s="303">
        <v>44456</v>
      </c>
      <c r="C142" s="395" t="s">
        <v>1376</v>
      </c>
      <c r="D142" s="395"/>
      <c r="E142" s="170">
        <v>105</v>
      </c>
      <c r="F142" s="246">
        <v>0</v>
      </c>
      <c r="G142" s="170">
        <v>5</v>
      </c>
      <c r="H142" s="170">
        <v>10</v>
      </c>
      <c r="J142" s="240">
        <v>15</v>
      </c>
      <c r="K142" s="213">
        <f t="shared" si="29"/>
        <v>33.333333333333329</v>
      </c>
      <c r="L142" s="213">
        <f t="shared" si="30"/>
        <v>66.666666666666657</v>
      </c>
      <c r="M142" s="213">
        <f t="shared" si="31"/>
        <v>0</v>
      </c>
      <c r="N142" s="214">
        <f t="shared" si="32"/>
        <v>99.999999999999986</v>
      </c>
      <c r="O142" s="213">
        <v>21.5</v>
      </c>
      <c r="P142" s="213">
        <v>29</v>
      </c>
      <c r="Q142" s="213"/>
      <c r="R142" s="214">
        <v>50.5</v>
      </c>
      <c r="S142" s="189">
        <v>2</v>
      </c>
      <c r="T142" s="283"/>
      <c r="U142" s="296"/>
      <c r="V142" s="170" t="s">
        <v>486</v>
      </c>
      <c r="W142" s="170" t="s">
        <v>22</v>
      </c>
      <c r="X142" s="170" t="s">
        <v>11</v>
      </c>
      <c r="Y142" s="178">
        <v>21.5</v>
      </c>
      <c r="Z142" s="170" t="s">
        <v>490</v>
      </c>
      <c r="AA142" s="170" t="s">
        <v>325</v>
      </c>
      <c r="AB142" s="170" t="s">
        <v>18</v>
      </c>
      <c r="AC142" s="178">
        <v>12.8</v>
      </c>
      <c r="AD142" s="170" t="s">
        <v>489</v>
      </c>
      <c r="AE142" s="170" t="s">
        <v>87</v>
      </c>
      <c r="AF142" s="170" t="s">
        <v>18</v>
      </c>
      <c r="AG142" s="178">
        <v>12.8</v>
      </c>
      <c r="AH142" s="170" t="s">
        <v>565</v>
      </c>
      <c r="AI142" s="170" t="s">
        <v>326</v>
      </c>
      <c r="AJ142" s="170" t="s">
        <v>18</v>
      </c>
      <c r="AK142" s="178">
        <v>3.4</v>
      </c>
      <c r="AO142" s="178"/>
      <c r="AS142" s="178"/>
      <c r="AW142" s="178"/>
      <c r="BA142" s="179"/>
    </row>
    <row r="143" spans="1:53" s="170" customFormat="1" x14ac:dyDescent="0.15">
      <c r="A143" s="170">
        <v>2022</v>
      </c>
      <c r="B143" s="303"/>
      <c r="C143" s="395" t="s">
        <v>1376</v>
      </c>
      <c r="D143" s="395"/>
      <c r="E143" s="170">
        <v>10</v>
      </c>
      <c r="F143" s="246"/>
      <c r="G143" s="170">
        <v>5</v>
      </c>
      <c r="H143" s="170">
        <v>10</v>
      </c>
      <c r="J143" s="240">
        <v>15</v>
      </c>
      <c r="K143" s="213">
        <f t="shared" si="29"/>
        <v>33.333333333333329</v>
      </c>
      <c r="L143" s="213">
        <f t="shared" si="30"/>
        <v>66.666666666666657</v>
      </c>
      <c r="M143" s="213">
        <f t="shared" si="31"/>
        <v>0</v>
      </c>
      <c r="N143" s="214">
        <f t="shared" si="32"/>
        <v>99.999999999999986</v>
      </c>
      <c r="O143" s="213">
        <v>21.5</v>
      </c>
      <c r="P143" s="213">
        <v>29</v>
      </c>
      <c r="Q143" s="213"/>
      <c r="R143" s="214">
        <v>50.5</v>
      </c>
      <c r="S143" s="189">
        <v>2</v>
      </c>
      <c r="T143" s="283"/>
      <c r="U143" s="296"/>
      <c r="V143" s="170" t="s">
        <v>486</v>
      </c>
      <c r="W143" s="170" t="s">
        <v>22</v>
      </c>
      <c r="X143" s="170" t="s">
        <v>11</v>
      </c>
      <c r="Y143" s="178">
        <v>21.5</v>
      </c>
      <c r="Z143" s="170" t="s">
        <v>490</v>
      </c>
      <c r="AA143" s="170" t="s">
        <v>325</v>
      </c>
      <c r="AB143" s="170" t="s">
        <v>18</v>
      </c>
      <c r="AC143" s="178">
        <v>12.8</v>
      </c>
      <c r="AD143" s="170" t="s">
        <v>489</v>
      </c>
      <c r="AE143" s="170" t="s">
        <v>87</v>
      </c>
      <c r="AF143" s="170" t="s">
        <v>18</v>
      </c>
      <c r="AG143" s="178">
        <v>12.8</v>
      </c>
      <c r="AH143" s="170" t="s">
        <v>565</v>
      </c>
      <c r="AI143" s="170" t="s">
        <v>326</v>
      </c>
      <c r="AJ143" s="170" t="s">
        <v>18</v>
      </c>
      <c r="AK143" s="178">
        <v>3.4</v>
      </c>
      <c r="AO143" s="178"/>
      <c r="AS143" s="178"/>
      <c r="AW143" s="178"/>
      <c r="BA143" s="179"/>
    </row>
    <row r="144" spans="1:53" s="28" customFormat="1" x14ac:dyDescent="0.15">
      <c r="A144" s="28">
        <v>2022</v>
      </c>
      <c r="B144" s="293">
        <v>44571</v>
      </c>
      <c r="C144" s="394" t="s">
        <v>1528</v>
      </c>
      <c r="D144" s="394"/>
      <c r="E144" s="28">
        <v>238</v>
      </c>
      <c r="F144" s="28">
        <v>1</v>
      </c>
      <c r="G144" s="65">
        <v>8</v>
      </c>
      <c r="H144" s="28">
        <v>12</v>
      </c>
      <c r="J144" s="72">
        <v>20</v>
      </c>
      <c r="K144" s="46">
        <f t="shared" si="29"/>
        <v>40</v>
      </c>
      <c r="L144" s="46">
        <f t="shared" si="30"/>
        <v>60</v>
      </c>
      <c r="M144" s="46">
        <f t="shared" si="31"/>
        <v>0</v>
      </c>
      <c r="N144" s="67">
        <f t="shared" si="32"/>
        <v>100</v>
      </c>
      <c r="O144" s="45">
        <v>22.7</v>
      </c>
      <c r="P144" s="46">
        <v>28.6</v>
      </c>
      <c r="Q144" s="46"/>
      <c r="R144" s="47">
        <v>51.3</v>
      </c>
      <c r="S144" s="28">
        <v>2</v>
      </c>
      <c r="T144" s="284">
        <v>44272</v>
      </c>
      <c r="U144" s="293">
        <v>44571</v>
      </c>
      <c r="V144" s="37" t="s">
        <v>486</v>
      </c>
      <c r="W144" s="28" t="s">
        <v>22</v>
      </c>
      <c r="X144" s="28" t="s">
        <v>11</v>
      </c>
      <c r="Y144" s="38">
        <v>22.7</v>
      </c>
      <c r="Z144" s="28" t="s">
        <v>490</v>
      </c>
      <c r="AA144" s="28" t="s">
        <v>325</v>
      </c>
      <c r="AB144" s="28" t="s">
        <v>18</v>
      </c>
      <c r="AC144" s="28">
        <v>9.3000000000000007</v>
      </c>
      <c r="AD144" s="37" t="s">
        <v>489</v>
      </c>
      <c r="AE144" s="28" t="s">
        <v>87</v>
      </c>
      <c r="AF144" s="28" t="s">
        <v>18</v>
      </c>
      <c r="AG144" s="38">
        <v>16</v>
      </c>
      <c r="AH144" s="28" t="s">
        <v>565</v>
      </c>
      <c r="AI144" s="28" t="s">
        <v>326</v>
      </c>
      <c r="AJ144" s="28" t="s">
        <v>18</v>
      </c>
      <c r="AK144" s="28">
        <v>3.3</v>
      </c>
      <c r="AL144" s="37"/>
      <c r="AO144" s="38"/>
      <c r="AP144" s="37"/>
      <c r="AS144" s="38"/>
      <c r="AW144" s="38"/>
      <c r="BA144" s="39"/>
    </row>
    <row r="145" spans="1:53" s="28" customFormat="1" x14ac:dyDescent="0.15">
      <c r="A145" s="28">
        <v>2022</v>
      </c>
      <c r="B145" s="301">
        <v>44809</v>
      </c>
      <c r="C145" s="394" t="s">
        <v>1528</v>
      </c>
      <c r="D145" s="394"/>
      <c r="E145" s="28">
        <v>28</v>
      </c>
      <c r="F145" s="83">
        <v>0</v>
      </c>
      <c r="G145" s="65">
        <v>8</v>
      </c>
      <c r="H145" s="28">
        <v>11</v>
      </c>
      <c r="J145" s="72">
        <v>19</v>
      </c>
      <c r="K145" s="46">
        <f t="shared" si="29"/>
        <v>42.105263157894733</v>
      </c>
      <c r="L145" s="46">
        <f t="shared" si="30"/>
        <v>57.894736842105267</v>
      </c>
      <c r="M145" s="46">
        <f t="shared" si="31"/>
        <v>0</v>
      </c>
      <c r="N145" s="67">
        <f t="shared" si="32"/>
        <v>100</v>
      </c>
      <c r="O145" s="45">
        <v>22.7</v>
      </c>
      <c r="P145" s="46">
        <v>28.6</v>
      </c>
      <c r="Q145" s="46"/>
      <c r="R145" s="47">
        <v>51.3</v>
      </c>
      <c r="S145" s="28">
        <v>2</v>
      </c>
      <c r="T145" s="284"/>
      <c r="U145" s="293"/>
      <c r="V145" s="37" t="s">
        <v>486</v>
      </c>
      <c r="W145" s="28" t="s">
        <v>22</v>
      </c>
      <c r="X145" s="28" t="s">
        <v>11</v>
      </c>
      <c r="Y145" s="38">
        <v>22.7</v>
      </c>
      <c r="Z145" s="28" t="s">
        <v>490</v>
      </c>
      <c r="AA145" s="28" t="s">
        <v>325</v>
      </c>
      <c r="AB145" s="28" t="s">
        <v>18</v>
      </c>
      <c r="AC145" s="28">
        <v>9.3000000000000007</v>
      </c>
      <c r="AD145" s="37" t="s">
        <v>489</v>
      </c>
      <c r="AE145" s="28" t="s">
        <v>87</v>
      </c>
      <c r="AF145" s="28" t="s">
        <v>18</v>
      </c>
      <c r="AG145" s="38">
        <v>16</v>
      </c>
      <c r="AH145" s="28" t="s">
        <v>565</v>
      </c>
      <c r="AI145" s="28" t="s">
        <v>326</v>
      </c>
      <c r="AJ145" s="28" t="s">
        <v>18</v>
      </c>
      <c r="AK145" s="28">
        <v>3.3</v>
      </c>
      <c r="AL145" s="37"/>
      <c r="AO145" s="38"/>
      <c r="AP145" s="37"/>
      <c r="AS145" s="38"/>
      <c r="AW145" s="38"/>
      <c r="BA145" s="39"/>
    </row>
    <row r="146" spans="1:53" s="28" customFormat="1" x14ac:dyDescent="0.15">
      <c r="A146" s="28">
        <v>2022</v>
      </c>
      <c r="B146" s="301">
        <v>44837</v>
      </c>
      <c r="C146" s="394" t="s">
        <v>1528</v>
      </c>
      <c r="D146" s="394"/>
      <c r="E146" s="28">
        <v>89</v>
      </c>
      <c r="F146" s="83">
        <v>0</v>
      </c>
      <c r="G146" s="65">
        <v>8</v>
      </c>
      <c r="H146" s="28">
        <v>12</v>
      </c>
      <c r="J146" s="72">
        <v>20</v>
      </c>
      <c r="K146" s="46">
        <f t="shared" si="29"/>
        <v>40</v>
      </c>
      <c r="L146" s="46">
        <f t="shared" si="30"/>
        <v>60</v>
      </c>
      <c r="M146" s="46">
        <f t="shared" si="31"/>
        <v>0</v>
      </c>
      <c r="N146" s="67">
        <f t="shared" si="32"/>
        <v>100</v>
      </c>
      <c r="O146" s="45">
        <v>22.7</v>
      </c>
      <c r="P146" s="46">
        <v>28.6</v>
      </c>
      <c r="Q146" s="46"/>
      <c r="R146" s="47">
        <v>51.3</v>
      </c>
      <c r="S146" s="28">
        <v>2</v>
      </c>
      <c r="T146" s="284"/>
      <c r="U146" s="293"/>
      <c r="V146" s="37" t="s">
        <v>486</v>
      </c>
      <c r="W146" s="28" t="s">
        <v>22</v>
      </c>
      <c r="X146" s="28" t="s">
        <v>11</v>
      </c>
      <c r="Y146" s="38">
        <v>22.7</v>
      </c>
      <c r="Z146" s="28" t="s">
        <v>490</v>
      </c>
      <c r="AA146" s="28" t="s">
        <v>325</v>
      </c>
      <c r="AB146" s="28" t="s">
        <v>18</v>
      </c>
      <c r="AC146" s="28">
        <v>9.3000000000000007</v>
      </c>
      <c r="AD146" s="37" t="s">
        <v>489</v>
      </c>
      <c r="AE146" s="28" t="s">
        <v>87</v>
      </c>
      <c r="AF146" s="28" t="s">
        <v>18</v>
      </c>
      <c r="AG146" s="38">
        <v>16</v>
      </c>
      <c r="AH146" s="28" t="s">
        <v>565</v>
      </c>
      <c r="AI146" s="28" t="s">
        <v>326</v>
      </c>
      <c r="AJ146" s="28" t="s">
        <v>18</v>
      </c>
      <c r="AK146" s="28">
        <v>3.3</v>
      </c>
      <c r="AL146" s="37"/>
      <c r="AO146" s="38"/>
      <c r="AP146" s="37"/>
      <c r="AS146" s="38"/>
      <c r="AW146" s="38"/>
      <c r="BA146" s="39"/>
    </row>
    <row r="148" spans="1:53" ht="18" customHeight="1" x14ac:dyDescent="0.15">
      <c r="B148" s="15" t="s">
        <v>1262</v>
      </c>
      <c r="H148" s="4"/>
    </row>
    <row r="149" spans="1:53" ht="9" customHeight="1" x14ac:dyDescent="0.15">
      <c r="H149" s="4"/>
    </row>
    <row r="150" spans="1:53" s="194" customFormat="1" ht="9" customHeight="1" x14ac:dyDescent="0.15">
      <c r="A150" s="192"/>
      <c r="B150" s="193" t="s">
        <v>1213</v>
      </c>
      <c r="C150" s="193"/>
      <c r="D150" s="193"/>
      <c r="E150" s="193"/>
      <c r="F150" s="193"/>
      <c r="G150" s="193" t="s">
        <v>1214</v>
      </c>
      <c r="H150" s="193"/>
      <c r="I150" s="193"/>
      <c r="J150" s="193"/>
      <c r="K150" s="193"/>
      <c r="L150" s="193"/>
      <c r="M150" s="193"/>
      <c r="N150" s="193"/>
      <c r="R150" s="386" t="s">
        <v>1215</v>
      </c>
      <c r="S150" s="386"/>
      <c r="T150" s="386"/>
      <c r="U150" s="386"/>
      <c r="V150" s="386"/>
      <c r="W150" s="386"/>
      <c r="X150" s="195"/>
      <c r="Y150" s="195"/>
      <c r="AA150" s="195"/>
      <c r="AB150" s="195"/>
      <c r="AC150" s="195"/>
      <c r="AD150" s="195"/>
    </row>
    <row r="151" spans="1:53" s="199" customFormat="1" ht="9" customHeight="1" x14ac:dyDescent="0.15">
      <c r="A151" s="196"/>
      <c r="B151" s="197" t="s">
        <v>1217</v>
      </c>
      <c r="C151" s="198"/>
      <c r="D151" s="198"/>
      <c r="E151" s="198"/>
      <c r="F151" s="198"/>
      <c r="G151" s="197" t="s">
        <v>1216</v>
      </c>
      <c r="H151" s="198"/>
      <c r="I151" s="198"/>
      <c r="J151" s="198"/>
      <c r="K151" s="198"/>
      <c r="L151" s="198"/>
      <c r="M151" s="198"/>
      <c r="N151" s="198"/>
      <c r="R151" s="200" t="s">
        <v>1218</v>
      </c>
      <c r="S151" s="201"/>
      <c r="T151" s="202"/>
      <c r="U151" s="202"/>
      <c r="V151" s="202"/>
      <c r="W151" s="200" t="s">
        <v>1219</v>
      </c>
      <c r="X151" s="202"/>
      <c r="Y151" s="202"/>
      <c r="AA151" s="202"/>
      <c r="AB151" s="202"/>
      <c r="AC151" s="202"/>
      <c r="AD151" s="202"/>
    </row>
    <row r="152" spans="1:53" s="185" customFormat="1" ht="12" customHeight="1" x14ac:dyDescent="0.15">
      <c r="A152" s="203" t="s">
        <v>3</v>
      </c>
      <c r="B152" s="204" t="s">
        <v>8</v>
      </c>
      <c r="C152" s="204" t="s">
        <v>9</v>
      </c>
      <c r="D152" s="204" t="s">
        <v>10</v>
      </c>
      <c r="E152" s="205" t="s">
        <v>1193</v>
      </c>
      <c r="F152" s="204"/>
      <c r="G152" s="185" t="s">
        <v>3</v>
      </c>
      <c r="H152" s="387" t="s">
        <v>0</v>
      </c>
      <c r="I152" s="387"/>
      <c r="J152" s="387" t="s">
        <v>1</v>
      </c>
      <c r="K152" s="387"/>
      <c r="L152" s="387" t="s">
        <v>2</v>
      </c>
      <c r="M152" s="387"/>
      <c r="N152" s="388" t="s">
        <v>1193</v>
      </c>
      <c r="O152" s="388"/>
      <c r="P152" s="206"/>
      <c r="Q152" s="206"/>
      <c r="R152" s="207" t="s">
        <v>3</v>
      </c>
      <c r="S152" s="208" t="s">
        <v>135</v>
      </c>
      <c r="T152" s="206" t="s">
        <v>133</v>
      </c>
      <c r="U152" s="204" t="s">
        <v>134</v>
      </c>
      <c r="V152" s="206"/>
      <c r="W152" s="209" t="s">
        <v>26</v>
      </c>
    </row>
    <row r="153" spans="1:53" s="139" customFormat="1" x14ac:dyDescent="0.15">
      <c r="A153" s="139">
        <v>1959</v>
      </c>
      <c r="B153" s="142">
        <f>(K6*($E6/365)) + (K7*($E7/365))</f>
        <v>40.028703898840888</v>
      </c>
      <c r="C153" s="142">
        <f>(L6*($E6/365)) + (L7*($E7/365))</f>
        <v>41.06718651211802</v>
      </c>
      <c r="D153" s="142">
        <f>(M6*($E6/365)) + (M7*($E7/365))</f>
        <v>0</v>
      </c>
      <c r="E153" s="143">
        <f>B153+C153+D153</f>
        <v>81.095890410958901</v>
      </c>
      <c r="G153" s="139">
        <v>1959</v>
      </c>
      <c r="H153" s="396">
        <f>(O6/$R6*100*($E6/365))+(O7/$R7*100*($E7/365))</f>
        <v>47.846889952153113</v>
      </c>
      <c r="I153" s="396"/>
      <c r="J153" s="396">
        <f>(P6/$R6*100*($E6/365))+(P7/$R7*100*($E7/365))</f>
        <v>52.153110047846894</v>
      </c>
      <c r="K153" s="396"/>
      <c r="L153" s="396">
        <f>(Q6/$R6*100*($E6/365))+(Q7/$R7*100*($E7/365))</f>
        <v>0</v>
      </c>
      <c r="M153" s="396"/>
      <c r="N153" s="400">
        <f>H153+J153+L153</f>
        <v>100</v>
      </c>
      <c r="O153" s="400"/>
      <c r="R153" s="139">
        <v>1959</v>
      </c>
      <c r="S153" s="142">
        <f>(O6*($E6/365)) + (O7*($E7/365))</f>
        <v>30</v>
      </c>
      <c r="T153" s="142">
        <f>(P6*($E6/365)) + (P7*($E7/365))</f>
        <v>32.700000000000003</v>
      </c>
      <c r="U153" s="142">
        <f>(Q6*($E6/365)) + (Q7*($E7/365))</f>
        <v>0</v>
      </c>
      <c r="V153" s="142"/>
      <c r="W153" s="142">
        <f>S153+T153+U153</f>
        <v>62.7</v>
      </c>
    </row>
    <row r="154" spans="1:53" x14ac:dyDescent="0.15">
      <c r="A154" s="1">
        <v>1960</v>
      </c>
      <c r="B154" s="5">
        <f>(K8*($E8/366))+(K9*($E9/366))</f>
        <v>53.846153846153847</v>
      </c>
      <c r="C154" s="5">
        <f>(L8*($E8/366))+(L9*($E9/366))</f>
        <v>46.153846153846153</v>
      </c>
      <c r="D154" s="5">
        <f>(M8*($E8/366))+(M9*($E9/366))</f>
        <v>0</v>
      </c>
      <c r="E154" s="17">
        <f>B154+C154+D154</f>
        <v>100</v>
      </c>
      <c r="G154" s="1">
        <v>1960</v>
      </c>
      <c r="H154" s="392">
        <f>(O8/$R8*100*($E8/366))+(O9/$R9*100*($E9/366))</f>
        <v>47.846889952153113</v>
      </c>
      <c r="I154" s="392"/>
      <c r="J154" s="392">
        <f>(P8/$R8*100*($E8/366))+(P9/$R9*100*($E9/366))</f>
        <v>52.153110047846894</v>
      </c>
      <c r="K154" s="392"/>
      <c r="L154" s="392">
        <f>(Q8/$R8*100*($E8/366))+(Q9/$R9*100*($E9/366))</f>
        <v>0</v>
      </c>
      <c r="M154" s="392"/>
      <c r="N154" s="363">
        <f>H154+J154+L154</f>
        <v>100</v>
      </c>
      <c r="O154" s="363"/>
      <c r="R154" s="1">
        <v>1960</v>
      </c>
      <c r="S154" s="5">
        <f>(O8*($E8/366))+(O9*($E9/366))</f>
        <v>30</v>
      </c>
      <c r="T154" s="5">
        <f>(P8*($E8/366))+(P9*($E9/366))</f>
        <v>32.700000000000003</v>
      </c>
      <c r="U154" s="5">
        <f>(Q8*($E8/366))+(Q9*($E9/366))</f>
        <v>0</v>
      </c>
      <c r="V154" s="5"/>
      <c r="W154" s="5">
        <f>S154+T154+U154</f>
        <v>62.7</v>
      </c>
    </row>
    <row r="155" spans="1:53" x14ac:dyDescent="0.15">
      <c r="A155" s="1">
        <v>1961</v>
      </c>
      <c r="B155" s="5">
        <f>(K10*($E10/365))+(K11*($E11/365))</f>
        <v>53.846153846153847</v>
      </c>
      <c r="C155" s="5">
        <f>(L10*($E10/365))+(L11*($E11/365))</f>
        <v>46.153846153846153</v>
      </c>
      <c r="D155" s="5">
        <f>(M10*($E10/365))+(M11*($E11/365))</f>
        <v>0</v>
      </c>
      <c r="E155" s="17">
        <f t="shared" ref="E155:E207" si="34">B155+C155+D155</f>
        <v>100</v>
      </c>
      <c r="G155" s="1">
        <v>1961</v>
      </c>
      <c r="H155" s="392">
        <f>(O10/$R10*100*($E10/365))+(O11/$R11*100*($E11/365))</f>
        <v>47.846889952153113</v>
      </c>
      <c r="I155" s="392"/>
      <c r="J155" s="392">
        <f>(P10/$R10*100*($E10/365))+(P11/$R11*100*($E11/365))</f>
        <v>52.153110047846894</v>
      </c>
      <c r="K155" s="392"/>
      <c r="L155" s="392">
        <f>(Q10/$R10*100*($E10/365))+(Q11/$R11*100*($E11/365))</f>
        <v>0</v>
      </c>
      <c r="M155" s="392"/>
      <c r="N155" s="363">
        <f>H155+J155+L155</f>
        <v>100</v>
      </c>
      <c r="O155" s="363"/>
      <c r="R155" s="1">
        <v>1961</v>
      </c>
      <c r="S155" s="5">
        <f>(O10*($E10/365))+(O11*($E11/365))</f>
        <v>30</v>
      </c>
      <c r="T155" s="5">
        <f>(P10*($E10/365))+(P11*($E11/365))</f>
        <v>32.700000000000003</v>
      </c>
      <c r="U155" s="5">
        <f>(Q10*($E10/365))+(Q11*($E11/365))</f>
        <v>0</v>
      </c>
      <c r="V155" s="5"/>
      <c r="W155" s="5">
        <f t="shared" ref="W155:W207" si="35">S155+T155+U155</f>
        <v>62.7</v>
      </c>
    </row>
    <row r="156" spans="1:53" x14ac:dyDescent="0.15">
      <c r="A156" s="1">
        <v>1962</v>
      </c>
      <c r="B156" s="5">
        <f>(K12*($E12/365))+(K13*($E13/365))</f>
        <v>53.846153846153847</v>
      </c>
      <c r="C156" s="5">
        <f>(L12*($E12/365))+(L13*($E13/365))</f>
        <v>46.153846153846153</v>
      </c>
      <c r="D156" s="5">
        <f>(M12*($E12/365))+(M13*($E13/365))</f>
        <v>0</v>
      </c>
      <c r="E156" s="17">
        <f t="shared" si="34"/>
        <v>100</v>
      </c>
      <c r="G156" s="1">
        <v>1962</v>
      </c>
      <c r="H156" s="392">
        <f>(O12/$R12*100*($E12/365))+(O13/$R13*100*($E13/365))</f>
        <v>47.846889952153113</v>
      </c>
      <c r="I156" s="392"/>
      <c r="J156" s="392">
        <f>(P12/$R12*100*($E12/365))+(P13/$R13*100*($E13/365))</f>
        <v>52.153110047846894</v>
      </c>
      <c r="K156" s="392"/>
      <c r="L156" s="392">
        <f>(Q12/$R12*100*($E12/365))+(Q13/$R13*100*($E13/365))</f>
        <v>0</v>
      </c>
      <c r="M156" s="392"/>
      <c r="N156" s="363">
        <f t="shared" ref="N156:N206" si="36">H156+J156+L156</f>
        <v>100</v>
      </c>
      <c r="O156" s="363"/>
      <c r="R156" s="1">
        <v>1962</v>
      </c>
      <c r="S156" s="5">
        <f>(O12*($E12/365))+(O13*($E13/365))</f>
        <v>30</v>
      </c>
      <c r="T156" s="5">
        <f>(P12*($E12/365))+(P13*($E13/365))</f>
        <v>32.700000000000003</v>
      </c>
      <c r="U156" s="5">
        <f>(Q12*($E12/365))+(Q13*($E13/365))</f>
        <v>0</v>
      </c>
      <c r="V156" s="5"/>
      <c r="W156" s="5">
        <f t="shared" si="35"/>
        <v>62.7</v>
      </c>
    </row>
    <row r="157" spans="1:53" x14ac:dyDescent="0.15">
      <c r="A157" s="1">
        <v>1963</v>
      </c>
      <c r="B157" s="5">
        <f>(K14*($E14/365))+(K15*($E15/365))</f>
        <v>53.846153846153854</v>
      </c>
      <c r="C157" s="5">
        <f>(L14*($E14/365))+(L15*($E15/365))</f>
        <v>46.15384615384616</v>
      </c>
      <c r="D157" s="5">
        <f>(M14*($E14/365))+(M15*($E15/365))</f>
        <v>0</v>
      </c>
      <c r="E157" s="17">
        <f t="shared" si="34"/>
        <v>100.00000000000001</v>
      </c>
      <c r="G157" s="1">
        <v>1963</v>
      </c>
      <c r="H157" s="392">
        <f>(O14/$R14*100*($E14/365))+(O15/$R15*100*($E15/365))</f>
        <v>46.928785185163051</v>
      </c>
      <c r="I157" s="392"/>
      <c r="J157" s="392">
        <f>(P14/$R14*100*($E14/365))+(P15/$R15*100*($E15/365))</f>
        <v>53.071214814836964</v>
      </c>
      <c r="K157" s="392"/>
      <c r="L157" s="392">
        <f>(Q14/$R14*100*($E14/365))+(Q15/$R15*100*($E15/365))</f>
        <v>0</v>
      </c>
      <c r="M157" s="392"/>
      <c r="N157" s="363">
        <f t="shared" si="36"/>
        <v>100.00000000000001</v>
      </c>
      <c r="O157" s="363"/>
      <c r="R157" s="1">
        <v>1963</v>
      </c>
      <c r="S157" s="5">
        <f>(O14*($E14/365))+(O15*($E15/365))</f>
        <v>29.161917808219179</v>
      </c>
      <c r="T157" s="5">
        <f>(P14*($E14/365))+(P15*($E15/365))</f>
        <v>32.964657534246577</v>
      </c>
      <c r="U157" s="5">
        <f>(Q14*($E14/365))+(Q15*($E15/365))</f>
        <v>0</v>
      </c>
      <c r="V157" s="5"/>
      <c r="W157" s="5">
        <f t="shared" si="35"/>
        <v>62.126575342465756</v>
      </c>
    </row>
    <row r="158" spans="1:53" x14ac:dyDescent="0.15">
      <c r="A158" s="1">
        <v>1964</v>
      </c>
      <c r="B158" s="5">
        <f>(K16*($E16/366))+(K17*($E17/366))</f>
        <v>53.846153846153847</v>
      </c>
      <c r="C158" s="5">
        <f>(L16*($E16/366))+(L17*($E17/366))</f>
        <v>46.153846153846153</v>
      </c>
      <c r="D158" s="5">
        <f>(M16*($E16/366))+(M17*($E17/366))</f>
        <v>0</v>
      </c>
      <c r="E158" s="17">
        <f t="shared" si="34"/>
        <v>100</v>
      </c>
      <c r="G158" s="1">
        <v>1964</v>
      </c>
      <c r="H158" s="392">
        <f>(O16/$R16*100*($E16/366))+(O17/$R17*100*($E17/366))</f>
        <v>45.765472312703587</v>
      </c>
      <c r="I158" s="392"/>
      <c r="J158" s="392">
        <f>(P16/$R16*100*($E16/366))+(P17/$R17*100*($E17/366))</f>
        <v>54.234527687296421</v>
      </c>
      <c r="K158" s="392"/>
      <c r="L158" s="392">
        <f>(Q16/$R16*100*($E16/366))+(Q17/$R17*100*($E17/366))</f>
        <v>0</v>
      </c>
      <c r="M158" s="392"/>
      <c r="N158" s="363">
        <f t="shared" si="36"/>
        <v>100</v>
      </c>
      <c r="O158" s="363"/>
      <c r="R158" s="1">
        <v>1964</v>
      </c>
      <c r="S158" s="5">
        <f>(O16*($E16/366))+(O17*($E17/366))</f>
        <v>28.099999999999998</v>
      </c>
      <c r="T158" s="5">
        <f>(P16*($E16/366))+(P17*($E17/366))</f>
        <v>33.299999999999997</v>
      </c>
      <c r="U158" s="5">
        <f>(Q16*($E16/366))+(Q17*($E17/366))</f>
        <v>0</v>
      </c>
      <c r="V158" s="5"/>
      <c r="W158" s="5">
        <f t="shared" si="35"/>
        <v>61.399999999999991</v>
      </c>
    </row>
    <row r="159" spans="1:53" x14ac:dyDescent="0.15">
      <c r="A159" s="1">
        <v>1965</v>
      </c>
      <c r="B159" s="5">
        <f>(K18*($E18/365))+(K19*($E19/365))</f>
        <v>26.858347132319736</v>
      </c>
      <c r="C159" s="5">
        <f>(L18*($E18/365))+(L19*($E19/365))</f>
        <v>43.904862261026643</v>
      </c>
      <c r="D159" s="5">
        <f>(M18*($E18/365))+(M19*($E19/365))</f>
        <v>24.363992172211351</v>
      </c>
      <c r="E159" s="17">
        <f t="shared" si="34"/>
        <v>95.127201565557741</v>
      </c>
      <c r="G159" s="1">
        <v>1965</v>
      </c>
      <c r="H159" s="392">
        <f>(O18/$R18*100*($E18/365))+(O19/$R19*100*($E19/365))</f>
        <v>22.939365310919946</v>
      </c>
      <c r="I159" s="392"/>
      <c r="J159" s="392">
        <f>(P18/$R18*100*($E18/365))+(P19/$R19*100*($E19/365))</f>
        <v>49.367701012150718</v>
      </c>
      <c r="K159" s="392"/>
      <c r="L159" s="392">
        <f>(Q18/$R18*100*($E18/365))+(Q19/$R19*100*($E19/365))</f>
        <v>27.692933676929332</v>
      </c>
      <c r="M159" s="392"/>
      <c r="N159" s="363">
        <f t="shared" si="36"/>
        <v>100</v>
      </c>
      <c r="O159" s="363"/>
      <c r="R159" s="1">
        <v>1965</v>
      </c>
      <c r="S159" s="5">
        <f>(O18*($E18/365))+(O19*($E19/365))</f>
        <v>14.865479452054794</v>
      </c>
      <c r="T159" s="5">
        <f>(P18*($E18/365))+(P19*($E19/365))</f>
        <v>33.299999999999997</v>
      </c>
      <c r="U159" s="5">
        <f>(Q18*($E18/365))+(Q19*($E19/365))</f>
        <v>19.57890410958904</v>
      </c>
      <c r="V159" s="5"/>
      <c r="W159" s="5">
        <f t="shared" si="35"/>
        <v>67.744383561643829</v>
      </c>
    </row>
    <row r="160" spans="1:53" x14ac:dyDescent="0.15">
      <c r="A160" s="1">
        <v>1966</v>
      </c>
      <c r="B160" s="5">
        <f>(K20*($E20/365))+(K21*($E21/365))</f>
        <v>16.092127051031159</v>
      </c>
      <c r="C160" s="5">
        <f>(L20*($E20/365))+(L21*($E21/365))</f>
        <v>45.747403281649852</v>
      </c>
      <c r="D160" s="5">
        <f>(M20*($E20/365))+(M21*($E21/365))</f>
        <v>31.800391389432487</v>
      </c>
      <c r="E160" s="17">
        <f t="shared" si="34"/>
        <v>93.639921722113499</v>
      </c>
      <c r="G160" s="1">
        <v>1966</v>
      </c>
      <c r="H160" s="392">
        <f>(O20/$R20*100*($E20/365))+(O21/$R21*100*($E21/365))</f>
        <v>13.227025246555966</v>
      </c>
      <c r="I160" s="392"/>
      <c r="J160" s="392">
        <f>(P20/$R20*100*($E20/365))+(P21/$R21*100*($E21/365))</f>
        <v>50.627579391990068</v>
      </c>
      <c r="K160" s="392"/>
      <c r="L160" s="392">
        <f>(Q20/$R20*100*($E20/365))+(Q21/$R21*100*($E21/365))</f>
        <v>36.14539536145395</v>
      </c>
      <c r="M160" s="392"/>
      <c r="N160" s="363">
        <f t="shared" si="36"/>
        <v>99.999999999999986</v>
      </c>
      <c r="O160" s="363"/>
      <c r="R160" s="1">
        <v>1966</v>
      </c>
      <c r="S160" s="5">
        <f>(O20*($E20/365))+(O21*($E21/365))</f>
        <v>8.6999999999999993</v>
      </c>
      <c r="T160" s="5">
        <f>(P20*($E20/365))+(P21*($E21/365))</f>
        <v>33.299999999999997</v>
      </c>
      <c r="U160" s="5">
        <f>(Q20*($E20/365))+(Q21*($E21/365))</f>
        <v>25.554794520547944</v>
      </c>
      <c r="V160" s="5"/>
      <c r="W160" s="5">
        <f t="shared" si="35"/>
        <v>67.554794520547944</v>
      </c>
    </row>
    <row r="161" spans="1:23" x14ac:dyDescent="0.15">
      <c r="A161" s="1">
        <v>1967</v>
      </c>
      <c r="B161" s="5">
        <f>(K22*($E22/365))+(K23*($E23/365))</f>
        <v>50.495258166491041</v>
      </c>
      <c r="C161" s="5">
        <f>(L22*($E22/365))+(L23*($E23/365))</f>
        <v>49.504741833508959</v>
      </c>
      <c r="D161" s="5">
        <f>(M22*($E22/365))+(M23*($E23/365))</f>
        <v>0</v>
      </c>
      <c r="E161" s="17">
        <f t="shared" si="34"/>
        <v>100</v>
      </c>
      <c r="G161" s="1">
        <v>1967</v>
      </c>
      <c r="H161" s="392">
        <f>(O22/$R22*100*($E22/365))+(O23/$R23*100*($E23/365))</f>
        <v>43.466849724900364</v>
      </c>
      <c r="I161" s="392"/>
      <c r="J161" s="392">
        <f>(P22/$R22*100*($E22/365))+(P23/$R23*100*($E23/365))</f>
        <v>56.533150275099644</v>
      </c>
      <c r="K161" s="392"/>
      <c r="L161" s="392">
        <f>(Q22/$R22*100*($E22/365))+(Q23/$R23*100*($E23/365))</f>
        <v>0</v>
      </c>
      <c r="M161" s="392"/>
      <c r="N161" s="363">
        <f t="shared" si="36"/>
        <v>100</v>
      </c>
      <c r="O161" s="363"/>
      <c r="R161" s="1">
        <v>1967</v>
      </c>
      <c r="S161" s="5">
        <f>(O22*($E22/365))+(O23*($E23/365))</f>
        <v>24.107671232876715</v>
      </c>
      <c r="T161" s="5">
        <f>(P22*($E22/365))+(P23*($E23/365))</f>
        <v>29.335890410958907</v>
      </c>
      <c r="U161" s="5">
        <f>(Q22*($E22/365))+(Q23*($E23/365))</f>
        <v>0</v>
      </c>
      <c r="V161" s="5"/>
      <c r="W161" s="5">
        <f t="shared" si="35"/>
        <v>53.443561643835622</v>
      </c>
    </row>
    <row r="162" spans="1:23" x14ac:dyDescent="0.15">
      <c r="A162" s="1">
        <v>1968</v>
      </c>
      <c r="B162" s="5">
        <f>(K24*($E24/366))+(K25*($E25/366))</f>
        <v>57.142857142857139</v>
      </c>
      <c r="C162" s="5">
        <f>(L24*($E24/366))+(L25*($E25/366))</f>
        <v>42.857142857142854</v>
      </c>
      <c r="D162" s="5">
        <f>(M24*($E24/366))+(M25*($E25/366))</f>
        <v>0</v>
      </c>
      <c r="E162" s="17">
        <f t="shared" si="34"/>
        <v>100</v>
      </c>
      <c r="G162" s="1">
        <v>1968</v>
      </c>
      <c r="H162" s="392">
        <f>(O24/$R24*100*($E24/366))+(O25/$R25*100*($E25/366))</f>
        <v>51.134380453752179</v>
      </c>
      <c r="I162" s="392"/>
      <c r="J162" s="392">
        <f>(P24/$R24*100*($E24/366))+(P25/$R25*100*($E25/366))</f>
        <v>48.865619546247821</v>
      </c>
      <c r="K162" s="392"/>
      <c r="L162" s="392">
        <f>(Q24/$R24*100*($E24/366))+(Q25/$R25*100*($E25/366))</f>
        <v>0</v>
      </c>
      <c r="M162" s="392"/>
      <c r="N162" s="363">
        <f t="shared" si="36"/>
        <v>100</v>
      </c>
      <c r="O162" s="363"/>
      <c r="R162" s="1">
        <v>1968</v>
      </c>
      <c r="S162" s="5">
        <f>(O24*($E24/366))+(O25*($E25/366))</f>
        <v>29.3</v>
      </c>
      <c r="T162" s="5">
        <f>(P24*($E24/366))+(P25*($E25/366))</f>
        <v>28</v>
      </c>
      <c r="U162" s="5">
        <f>(Q24*($E24/366))+(Q25*($E25/366))</f>
        <v>0</v>
      </c>
      <c r="V162" s="5"/>
      <c r="W162" s="5">
        <f t="shared" si="35"/>
        <v>57.3</v>
      </c>
    </row>
    <row r="163" spans="1:23" x14ac:dyDescent="0.15">
      <c r="A163" s="1">
        <v>1969</v>
      </c>
      <c r="B163" s="5">
        <f>(K26*($E26/365))+(K27*($E27/365))</f>
        <v>57.142857142857139</v>
      </c>
      <c r="C163" s="5">
        <f>(L26*($E26/365))+(L27*($E27/365))</f>
        <v>42.857142857142854</v>
      </c>
      <c r="D163" s="5">
        <f>(M26*($E26/365))+(M27*($E27/365))</f>
        <v>0</v>
      </c>
      <c r="E163" s="17">
        <f t="shared" si="34"/>
        <v>100</v>
      </c>
      <c r="G163" s="1">
        <v>1969</v>
      </c>
      <c r="H163" s="392">
        <f>(O26/$R26*100*($E26/365))+(O27/$R27*100*($E27/365))</f>
        <v>51.134380453752179</v>
      </c>
      <c r="I163" s="392"/>
      <c r="J163" s="392">
        <f>(P26/$R26*100*($E26/365))+(P27/$R27*100*($E27/365))</f>
        <v>48.865619546247821</v>
      </c>
      <c r="K163" s="392"/>
      <c r="L163" s="392">
        <f>(Q26/$R26*100*($E26/365))+(Q27/$R27*100*($E27/365))</f>
        <v>0</v>
      </c>
      <c r="M163" s="392"/>
      <c r="N163" s="363">
        <f t="shared" si="36"/>
        <v>100</v>
      </c>
      <c r="O163" s="363"/>
      <c r="R163" s="1">
        <v>1969</v>
      </c>
      <c r="S163" s="5">
        <f>(O26*($E26/365))+(O27*($E27/365))</f>
        <v>29.3</v>
      </c>
      <c r="T163" s="5">
        <f>(P26*($E26/365))+(P27*($E27/365))</f>
        <v>28</v>
      </c>
      <c r="U163" s="5">
        <f>(Q26*($E26/365))+(Q27*($E27/365))</f>
        <v>0</v>
      </c>
      <c r="V163" s="5"/>
      <c r="W163" s="5">
        <f t="shared" si="35"/>
        <v>57.3</v>
      </c>
    </row>
    <row r="164" spans="1:23" x14ac:dyDescent="0.15">
      <c r="A164" s="1">
        <v>1970</v>
      </c>
      <c r="B164" s="5">
        <f>(K28*($E28/365))+(K29*($E29/365))</f>
        <v>57.142857142857139</v>
      </c>
      <c r="C164" s="5">
        <f>(L28*($E28/365))+(L29*($E29/365))</f>
        <v>42.857142857142854</v>
      </c>
      <c r="D164" s="5">
        <f>(M28*($E28/365))+(M29*($E29/365))</f>
        <v>0</v>
      </c>
      <c r="E164" s="17">
        <f t="shared" si="34"/>
        <v>100</v>
      </c>
      <c r="G164" s="1">
        <v>1970</v>
      </c>
      <c r="H164" s="392">
        <f>(O28/$R28*100*($E28/365))+(O29/$R29*100*($E29/365))</f>
        <v>51.134380453752179</v>
      </c>
      <c r="I164" s="392"/>
      <c r="J164" s="392">
        <f>(P28/$R28*100*($E28/365))+(P29/$R29*100*($E29/365))</f>
        <v>48.865619546247821</v>
      </c>
      <c r="K164" s="392"/>
      <c r="L164" s="392">
        <f>(Q28/$R28*100*($E28/365))+(Q29/$R29*100*($E29/365))</f>
        <v>0</v>
      </c>
      <c r="M164" s="392"/>
      <c r="N164" s="363">
        <f t="shared" si="36"/>
        <v>100</v>
      </c>
      <c r="O164" s="363"/>
      <c r="R164" s="1">
        <v>1970</v>
      </c>
      <c r="S164" s="5">
        <f>(O28*($E28/365))+(O29*($E29/365))</f>
        <v>29.3</v>
      </c>
      <c r="T164" s="5">
        <f>(P28*($E28/365))+(P29*($E29/365))</f>
        <v>28</v>
      </c>
      <c r="U164" s="5">
        <f>(Q28*($E28/365))+(Q29*($E29/365))</f>
        <v>0</v>
      </c>
      <c r="V164" s="5"/>
      <c r="W164" s="5">
        <f t="shared" si="35"/>
        <v>57.3</v>
      </c>
    </row>
    <row r="165" spans="1:23" x14ac:dyDescent="0.15">
      <c r="A165" s="1">
        <v>1971</v>
      </c>
      <c r="B165" s="5">
        <f>(K30*($E30/365))+(K31*($E31/365))</f>
        <v>53.639921722113499</v>
      </c>
      <c r="C165" s="5">
        <f>(L30*($E30/365))+(L31*($E31/365))</f>
        <v>46.360078277886494</v>
      </c>
      <c r="D165" s="5">
        <f>(M30*($E30/365))+(M31*($E31/365))</f>
        <v>0</v>
      </c>
      <c r="E165" s="17">
        <f t="shared" si="34"/>
        <v>100</v>
      </c>
      <c r="G165" s="1">
        <v>1971</v>
      </c>
      <c r="H165" s="392">
        <f>(O30/$R30*100*($E30/365))+(O31/$R31*100*($E31/365))</f>
        <v>49.457384669182602</v>
      </c>
      <c r="I165" s="392"/>
      <c r="J165" s="392">
        <f>(P30/$R30*100*($E30/365))+(P31/$R31*100*($E31/365))</f>
        <v>50.542615330817384</v>
      </c>
      <c r="K165" s="392"/>
      <c r="L165" s="392">
        <f>(Q30/$R30*100*($E30/365))+(Q31/$R31*100*($E31/365))</f>
        <v>0</v>
      </c>
      <c r="M165" s="392"/>
      <c r="N165" s="363">
        <f t="shared" si="36"/>
        <v>99.999999999999986</v>
      </c>
      <c r="O165" s="363"/>
      <c r="R165" s="1">
        <v>1971</v>
      </c>
      <c r="S165" s="5">
        <f>(O30*($E30/365))+(O31*($E31/365))</f>
        <v>27.73068493150685</v>
      </c>
      <c r="T165" s="5">
        <f>(P30*($E30/365))+(P31*($E31/365))</f>
        <v>28.294246575342466</v>
      </c>
      <c r="U165" s="5">
        <f>(Q30*($E30/365))+(Q31*($E31/365))</f>
        <v>0</v>
      </c>
      <c r="V165" s="5"/>
      <c r="W165" s="5">
        <f t="shared" si="35"/>
        <v>56.024931506849313</v>
      </c>
    </row>
    <row r="166" spans="1:23" x14ac:dyDescent="0.15">
      <c r="A166" s="1">
        <v>1972</v>
      </c>
      <c r="B166" s="5">
        <f>(K32*($E32/366))+(K33*($E33/366))</f>
        <v>52.67369242779079</v>
      </c>
      <c r="C166" s="5">
        <f>(L32*($E32/366))+(L33*($E33/366))</f>
        <v>47.326307572209217</v>
      </c>
      <c r="D166" s="5">
        <f>(M32*($E32/366))+(M33*($E33/366))</f>
        <v>0</v>
      </c>
      <c r="E166" s="17">
        <f t="shared" si="34"/>
        <v>100</v>
      </c>
      <c r="G166" s="1">
        <v>1972</v>
      </c>
      <c r="H166" s="392">
        <f>(O32/$R32*100*($E32/366))+(O33/$R33*100*($E33/366))</f>
        <v>49.63101134251167</v>
      </c>
      <c r="I166" s="392"/>
      <c r="J166" s="392">
        <f>(P32/$R32*100*($E32/366))+(P33/$R33*100*($E33/366))</f>
        <v>50.368988657488323</v>
      </c>
      <c r="K166" s="392"/>
      <c r="L166" s="392">
        <f>(Q32/$R32*100*($E32/366))+(Q33/$R33*100*($E33/366))</f>
        <v>0</v>
      </c>
      <c r="M166" s="392"/>
      <c r="N166" s="363">
        <f t="shared" si="36"/>
        <v>100</v>
      </c>
      <c r="O166" s="363"/>
      <c r="R166" s="1">
        <v>1972</v>
      </c>
      <c r="S166" s="5">
        <f>(O32*($E32/366))+(O33*($E33/366))</f>
        <v>26.099999999999998</v>
      </c>
      <c r="T166" s="5">
        <f>(P32*($E32/366))+(P33*($E33/366))</f>
        <v>26.61612021857924</v>
      </c>
      <c r="U166" s="5">
        <f>(Q32*($E32/366))+(Q33*($E33/366))</f>
        <v>0</v>
      </c>
      <c r="V166" s="5"/>
      <c r="W166" s="5">
        <f t="shared" si="35"/>
        <v>52.716120218579235</v>
      </c>
    </row>
    <row r="167" spans="1:23" x14ac:dyDescent="0.15">
      <c r="A167" s="1">
        <v>1973</v>
      </c>
      <c r="B167" s="5">
        <f>(K34*($E34/365))+(K35*($E35/365))</f>
        <v>28.400195694716238</v>
      </c>
      <c r="C167" s="5">
        <f>(L34*($E34/365))+(L35*($E35/365))</f>
        <v>35.384050880626219</v>
      </c>
      <c r="D167" s="5">
        <f>(M34*($E34/365))+(M35*($E35/365))</f>
        <v>36.215753424657535</v>
      </c>
      <c r="E167" s="17">
        <f t="shared" si="34"/>
        <v>100</v>
      </c>
      <c r="G167" s="1">
        <v>1973</v>
      </c>
      <c r="H167" s="392">
        <f>(O34/$R34*100*($E34/365))+(O35/$R35*100*($E35/365))</f>
        <v>28.07210696810413</v>
      </c>
      <c r="I167" s="392"/>
      <c r="J167" s="392">
        <f>(P34/$R34*100*($E34/365))+(P35/$R35*100*($E35/365))</f>
        <v>38.69124760833931</v>
      </c>
      <c r="K167" s="392"/>
      <c r="L167" s="392">
        <f>(Q34/$R34*100*($E34/365))+(Q35/$R35*100*($E35/365))</f>
        <v>33.23664542355656</v>
      </c>
      <c r="M167" s="392"/>
      <c r="N167" s="363">
        <f t="shared" si="36"/>
        <v>100</v>
      </c>
      <c r="O167" s="363"/>
      <c r="R167" s="1">
        <v>1973</v>
      </c>
      <c r="S167" s="5">
        <f>(O34*($E34/365))+(O35*($E35/365))</f>
        <v>15.283561643835615</v>
      </c>
      <c r="T167" s="5">
        <f>(P34*($E34/365))+(P35*($E35/365))</f>
        <v>22.463013698630135</v>
      </c>
      <c r="U167" s="5">
        <f>(Q34*($E34/365))+(Q35*($E35/365))</f>
        <v>21.504109589041096</v>
      </c>
      <c r="V167" s="5"/>
      <c r="W167" s="5">
        <f t="shared" si="35"/>
        <v>59.250684931506839</v>
      </c>
    </row>
    <row r="168" spans="1:23" x14ac:dyDescent="0.15">
      <c r="A168" s="1">
        <v>1974</v>
      </c>
      <c r="B168" s="5">
        <f>(K36*($E36/365))+(K37*($E37/365))</f>
        <v>12.5</v>
      </c>
      <c r="C168" s="5">
        <f>(L36*($E36/365))+(L37*($E37/365))</f>
        <v>31.25</v>
      </c>
      <c r="D168" s="5">
        <f>(M36*($E36/365))+(M37*($E37/365))</f>
        <v>56.25</v>
      </c>
      <c r="E168" s="17">
        <f t="shared" si="34"/>
        <v>100</v>
      </c>
      <c r="G168" s="1">
        <v>1974</v>
      </c>
      <c r="H168" s="392">
        <f>(O36/$R36*100*($E36/365))+(O37/$R37*100*($E37/365))</f>
        <v>14.374034003091191</v>
      </c>
      <c r="I168" s="392"/>
      <c r="J168" s="392">
        <f>(P36/$R36*100*($E36/365))+(P37/$R37*100*($E37/365))</f>
        <v>34.003091190108194</v>
      </c>
      <c r="K168" s="392"/>
      <c r="L168" s="392">
        <f>(Q36/$R36*100*($E36/365))+(Q37/$R37*100*($E37/365))</f>
        <v>51.62287480680061</v>
      </c>
      <c r="M168" s="392"/>
      <c r="N168" s="363">
        <f t="shared" si="36"/>
        <v>100</v>
      </c>
      <c r="O168" s="363"/>
      <c r="R168" s="1">
        <v>1974</v>
      </c>
      <c r="S168" s="5">
        <f>(O36*($E36/365))+(O37*($E37/365))</f>
        <v>9.3000000000000007</v>
      </c>
      <c r="T168" s="5">
        <f>(P36*($E36/365))+(P37*($E37/365))</f>
        <v>22</v>
      </c>
      <c r="U168" s="5">
        <f>(Q36*($E36/365))+(Q37*($E37/365))</f>
        <v>33.4</v>
      </c>
      <c r="V168" s="5"/>
      <c r="W168" s="5">
        <f t="shared" si="35"/>
        <v>64.7</v>
      </c>
    </row>
    <row r="169" spans="1:23" x14ac:dyDescent="0.15">
      <c r="A169" s="1">
        <v>1975</v>
      </c>
      <c r="B169" s="5">
        <f>(K38*($E38/365))+(K39*($E39/365))</f>
        <v>12.5</v>
      </c>
      <c r="C169" s="5">
        <f>(L38*($E38/365))+(L39*($E39/365))</f>
        <v>31.25</v>
      </c>
      <c r="D169" s="5">
        <f>(M38*($E38/365))+(M39*($E39/365))</f>
        <v>56.25</v>
      </c>
      <c r="E169" s="17">
        <f t="shared" si="34"/>
        <v>100</v>
      </c>
      <c r="G169" s="1">
        <v>1975</v>
      </c>
      <c r="H169" s="392">
        <f>(O38/$R38*100*($E38/365))+(O39/$R39*100*($E39/365))</f>
        <v>14.374034003091191</v>
      </c>
      <c r="I169" s="392"/>
      <c r="J169" s="392">
        <f>(P38/$R38*100*($E38/365))+(P39/$R39*100*($E39/365))</f>
        <v>34.003091190108194</v>
      </c>
      <c r="K169" s="392"/>
      <c r="L169" s="392">
        <f>(Q38/$R38*100*($E38/365))+(Q39/$R39*100*($E39/365))</f>
        <v>51.62287480680061</v>
      </c>
      <c r="M169" s="392"/>
      <c r="N169" s="363">
        <f t="shared" si="36"/>
        <v>100</v>
      </c>
      <c r="O169" s="363"/>
      <c r="R169" s="1">
        <v>1975</v>
      </c>
      <c r="S169" s="5">
        <f>(O38*($E38/365))+(O39*($E39/365))</f>
        <v>9.3000000000000007</v>
      </c>
      <c r="T169" s="5">
        <f>(P38*($E38/365))+(P39*($E39/365))</f>
        <v>22</v>
      </c>
      <c r="U169" s="5">
        <f>(Q38*($E38/365))+(Q39*($E39/365))</f>
        <v>33.4</v>
      </c>
      <c r="V169" s="5"/>
      <c r="W169" s="5">
        <f t="shared" si="35"/>
        <v>64.7</v>
      </c>
    </row>
    <row r="170" spans="1:23" x14ac:dyDescent="0.15">
      <c r="A170" s="1">
        <v>1976</v>
      </c>
      <c r="B170" s="5">
        <f>(K40*($E40/366))+(K41*($E41/366))</f>
        <v>12.5</v>
      </c>
      <c r="C170" s="5">
        <f>(L40*($E40/366))+(L41*($E41/366))</f>
        <v>31.25</v>
      </c>
      <c r="D170" s="5">
        <f>(M40*($E40/366))+(M41*($E41/366))</f>
        <v>56.25</v>
      </c>
      <c r="E170" s="17">
        <f t="shared" si="34"/>
        <v>100</v>
      </c>
      <c r="G170" s="1">
        <v>1976</v>
      </c>
      <c r="H170" s="392">
        <f>(O40/$R40*100*($E40/366))+(O41/$R41*100*($E41/366))</f>
        <v>14.374034003091191</v>
      </c>
      <c r="I170" s="392"/>
      <c r="J170" s="392">
        <f>(P40/$R40*100*($E40/366))+(P41/$R41*100*($E41/366))</f>
        <v>34.003091190108194</v>
      </c>
      <c r="K170" s="392"/>
      <c r="L170" s="392">
        <f>(Q40/$R40*100*($E40/366))+(Q41/$R41*100*($E41/366))</f>
        <v>51.62287480680061</v>
      </c>
      <c r="M170" s="392"/>
      <c r="N170" s="363">
        <f t="shared" si="36"/>
        <v>100</v>
      </c>
      <c r="O170" s="363"/>
      <c r="R170" s="1">
        <v>1976</v>
      </c>
      <c r="S170" s="5">
        <f>(O40*($E40/366))+(O41*($E41/366))</f>
        <v>9.3000000000000007</v>
      </c>
      <c r="T170" s="5">
        <f>(P40*($E40/366))+(P41*($E41/366))</f>
        <v>22</v>
      </c>
      <c r="U170" s="5">
        <f>(Q40*($E40/366))+(Q41*($E41/366))</f>
        <v>33.4</v>
      </c>
      <c r="V170" s="5"/>
      <c r="W170" s="5">
        <f t="shared" si="35"/>
        <v>64.7</v>
      </c>
    </row>
    <row r="171" spans="1:23" x14ac:dyDescent="0.15">
      <c r="A171" s="1">
        <v>1977</v>
      </c>
      <c r="B171" s="5">
        <f>(K42*($E42/365))+(K43*($E43/365))</f>
        <v>13.24200913242009</v>
      </c>
      <c r="C171" s="5">
        <f>(L42*($E42/365))+(L43*($E43/365))</f>
        <v>32.511415525114153</v>
      </c>
      <c r="D171" s="5">
        <f>(M42*($E42/365))+(M43*($E43/365))</f>
        <v>54.246575342465754</v>
      </c>
      <c r="E171" s="17">
        <f t="shared" si="34"/>
        <v>100</v>
      </c>
      <c r="G171" s="1">
        <v>1977</v>
      </c>
      <c r="H171" s="392">
        <f>(O42/$R42*100*($E42/365))+(O43/$R43*100*($E43/365))</f>
        <v>15.15785525351145</v>
      </c>
      <c r="I171" s="392"/>
      <c r="J171" s="392">
        <f>(P42/$R42*100*($E42/365))+(P43/$R43*100*($E43/365))</f>
        <v>35.057892878012346</v>
      </c>
      <c r="K171" s="392"/>
      <c r="L171" s="392">
        <f>(Q42/$R42*100*($E42/365))+(Q43/$R43*100*($E43/365))</f>
        <v>49.784251868476204</v>
      </c>
      <c r="M171" s="392"/>
      <c r="N171" s="363">
        <f t="shared" si="36"/>
        <v>100</v>
      </c>
      <c r="O171" s="363"/>
      <c r="R171" s="1">
        <v>1977</v>
      </c>
      <c r="S171" s="5">
        <f>(O42*($E42/365))+(O43*($E43/365))</f>
        <v>9.6347945205479473</v>
      </c>
      <c r="T171" s="5">
        <f>(P42*($E42/365))+(P43*($E43/365))</f>
        <v>22.381095890410961</v>
      </c>
      <c r="U171" s="5">
        <f>(Q42*($E42/365))+(Q43*($E43/365))</f>
        <v>32.210410958904106</v>
      </c>
      <c r="V171" s="5"/>
      <c r="W171" s="5">
        <f t="shared" si="35"/>
        <v>64.226301369863023</v>
      </c>
    </row>
    <row r="172" spans="1:23" x14ac:dyDescent="0.15">
      <c r="A172" s="1">
        <v>1978</v>
      </c>
      <c r="B172" s="5">
        <f>(K44*($E44/365))+(K45*($E45/365))</f>
        <v>33.333333333333329</v>
      </c>
      <c r="C172" s="5">
        <f>(L44*($E44/365))+(L45*($E45/365))</f>
        <v>66.666666666666657</v>
      </c>
      <c r="D172" s="5">
        <f>(M44*($E44/365))+(M45*($E45/365))</f>
        <v>0</v>
      </c>
      <c r="E172" s="17">
        <f t="shared" si="34"/>
        <v>99.999999999999986</v>
      </c>
      <c r="G172" s="1">
        <v>1978</v>
      </c>
      <c r="H172" s="392">
        <f>(O44/$R44*100*($E44/365))+(O45/$R45*100*($E45/365))</f>
        <v>36.381322957198435</v>
      </c>
      <c r="I172" s="392"/>
      <c r="J172" s="392">
        <f>(P44/$R44*100*($E44/365))+(P45/$R45*100*($E45/365))</f>
        <v>63.618677042801551</v>
      </c>
      <c r="K172" s="392"/>
      <c r="L172" s="392">
        <f>(Q44/$R44*100*($E44/365))+(Q45/$R45*100*($E45/365))</f>
        <v>0</v>
      </c>
      <c r="M172" s="392"/>
      <c r="N172" s="363">
        <f t="shared" si="36"/>
        <v>99.999999999999986</v>
      </c>
      <c r="O172" s="363"/>
      <c r="R172" s="1">
        <v>1978</v>
      </c>
      <c r="S172" s="5">
        <f>(O44*($E44/365))+(O45*($E45/365))</f>
        <v>18.7</v>
      </c>
      <c r="T172" s="5">
        <f>(P44*($E44/365))+(P45*($E45/365))</f>
        <v>32.700000000000003</v>
      </c>
      <c r="U172" s="5">
        <f>(Q44*($E44/365))+(Q45*($E45/365))</f>
        <v>0</v>
      </c>
      <c r="V172" s="5"/>
      <c r="W172" s="5">
        <f t="shared" si="35"/>
        <v>51.400000000000006</v>
      </c>
    </row>
    <row r="173" spans="1:23" x14ac:dyDescent="0.15">
      <c r="A173" s="1">
        <v>1979</v>
      </c>
      <c r="B173" s="5">
        <f>(K46*($E46/365))+(K47*($E47/365))</f>
        <v>33.333333333333329</v>
      </c>
      <c r="C173" s="5">
        <f>(L46*($E46/365))+(L47*($E47/365))</f>
        <v>66.666666666666657</v>
      </c>
      <c r="D173" s="5">
        <f>(M46*($E46/365))+(M47*($E47/365))</f>
        <v>0</v>
      </c>
      <c r="E173" s="17">
        <f t="shared" si="34"/>
        <v>99.999999999999986</v>
      </c>
      <c r="G173" s="1">
        <v>1979</v>
      </c>
      <c r="H173" s="392">
        <f>(O46/$R46*100*($E46/365))+(O47/$R47*100*($E47/365))</f>
        <v>36.381322957198435</v>
      </c>
      <c r="I173" s="392"/>
      <c r="J173" s="392">
        <f>(P46/$R46*100*($E46/365))+(P47/$R47*100*($E47/365))</f>
        <v>63.618677042801551</v>
      </c>
      <c r="K173" s="392"/>
      <c r="L173" s="392">
        <f>(Q46/$R46*100*($E46/365))+(Q47/$R47*100*($E47/365))</f>
        <v>0</v>
      </c>
      <c r="M173" s="392"/>
      <c r="N173" s="363">
        <f t="shared" si="36"/>
        <v>99.999999999999986</v>
      </c>
      <c r="O173" s="363"/>
      <c r="R173" s="1">
        <v>1979</v>
      </c>
      <c r="S173" s="5">
        <f>(O46*($E46/365))+(O47*($E47/365))</f>
        <v>18.7</v>
      </c>
      <c r="T173" s="5">
        <f>(P46*($E46/365))+(P47*($E47/365))</f>
        <v>32.700000000000003</v>
      </c>
      <c r="U173" s="5">
        <f>(Q46*($E46/365))+(Q47*($E47/365))</f>
        <v>0</v>
      </c>
      <c r="V173" s="5"/>
      <c r="W173" s="5">
        <f t="shared" si="35"/>
        <v>51.400000000000006</v>
      </c>
    </row>
    <row r="174" spans="1:23" x14ac:dyDescent="0.15">
      <c r="A174" s="1">
        <v>1980</v>
      </c>
      <c r="B174" s="5">
        <f>(K48*($E48/366))+(K49*($E49/366))</f>
        <v>33.333333333333329</v>
      </c>
      <c r="C174" s="5">
        <f>(L48*($E48/366))+(L49*($E49/366))</f>
        <v>66.666666666666657</v>
      </c>
      <c r="D174" s="5">
        <f>(M48*($E48/366))+(M49*($E49/366))</f>
        <v>0</v>
      </c>
      <c r="E174" s="17">
        <f t="shared" si="34"/>
        <v>99.999999999999986</v>
      </c>
      <c r="G174" s="1">
        <v>1980</v>
      </c>
      <c r="H174" s="392">
        <f>(O48/$R48*100*($E48/366))+(O49/$R49*100*($E49/366))</f>
        <v>36.381322957198435</v>
      </c>
      <c r="I174" s="392"/>
      <c r="J174" s="392">
        <f>(P48/$R48*100*($E48/366))+(P49/$R49*100*($E49/366))</f>
        <v>63.618677042801551</v>
      </c>
      <c r="K174" s="392"/>
      <c r="L174" s="392">
        <f>(Q48/$R48*100*($E48/366))+(Q49/$R49*100*($E49/366))</f>
        <v>0</v>
      </c>
      <c r="M174" s="392"/>
      <c r="N174" s="363">
        <f t="shared" si="36"/>
        <v>99.999999999999986</v>
      </c>
      <c r="O174" s="363"/>
      <c r="R174" s="1">
        <v>1980</v>
      </c>
      <c r="S174" s="5">
        <f>(O48*($E48/366))+(O49*($E49/366))</f>
        <v>18.7</v>
      </c>
      <c r="T174" s="5">
        <f>(P48*($E48/366))+(P49*($E49/366))</f>
        <v>32.700000000000003</v>
      </c>
      <c r="U174" s="5">
        <f>(Q48*($E48/366))+(Q49*($E49/366))</f>
        <v>0</v>
      </c>
      <c r="V174" s="5"/>
      <c r="W174" s="5">
        <f t="shared" si="35"/>
        <v>51.400000000000006</v>
      </c>
    </row>
    <row r="175" spans="1:23" x14ac:dyDescent="0.15">
      <c r="A175" s="1">
        <v>1981</v>
      </c>
      <c r="B175" s="5">
        <f>(K50*($E50/365))+(K51*($E51/365))</f>
        <v>23.105022831050228</v>
      </c>
      <c r="C175" s="5">
        <f>(L50*($E50/365))+(L51*($E51/365))</f>
        <v>64.621004566210047</v>
      </c>
      <c r="D175" s="5">
        <f>(M50*($E50/365))+(M51*($E51/365))</f>
        <v>12.273972602739727</v>
      </c>
      <c r="E175" s="17">
        <f t="shared" si="34"/>
        <v>100.00000000000001</v>
      </c>
      <c r="G175" s="1">
        <v>1981</v>
      </c>
      <c r="H175" s="392">
        <f>(O50/$R50*100*($E50/365))+(O51/$R51*100*($E51/365))</f>
        <v>25.217738926496452</v>
      </c>
      <c r="I175" s="392"/>
      <c r="J175" s="392">
        <f>(P50/$R50*100*($E50/365))+(P51/$R51*100*($E51/365))</f>
        <v>62.398397531483099</v>
      </c>
      <c r="K175" s="392"/>
      <c r="L175" s="392">
        <f>(Q50/$R50*100*($E50/365))+(Q51/$R51*100*($E51/365))</f>
        <v>12.383863542020455</v>
      </c>
      <c r="M175" s="392"/>
      <c r="N175" s="363">
        <f t="shared" si="36"/>
        <v>100</v>
      </c>
      <c r="O175" s="363"/>
      <c r="R175" s="1">
        <v>1981</v>
      </c>
      <c r="S175" s="5">
        <f>(O50*($E50/365))+(O51*($E51/365))</f>
        <v>12.961917808219178</v>
      </c>
      <c r="T175" s="5">
        <f>(P50*($E50/365))+(P51*($E51/365))</f>
        <v>35.952602739726032</v>
      </c>
      <c r="U175" s="5">
        <f>(Q50*($E50/365))+(Q51*($E51/365))</f>
        <v>8.9906849315068502</v>
      </c>
      <c r="V175" s="5"/>
      <c r="W175" s="5">
        <f t="shared" si="35"/>
        <v>57.905205479452057</v>
      </c>
    </row>
    <row r="176" spans="1:23" x14ac:dyDescent="0.15">
      <c r="A176" s="1">
        <v>1982</v>
      </c>
      <c r="B176" s="5">
        <f>(K52*($E52/365))+(K53*($E53/365))+(K54*($E54/365))</f>
        <v>0</v>
      </c>
      <c r="C176" s="5">
        <f>(L52*($E52/365))+(L53*($E53/365))+(L54*($E54/365))</f>
        <v>66.356164383561648</v>
      </c>
      <c r="D176" s="5">
        <f>(M52*($E52/365))+(M53*($E53/365))+(M54*($E54/365))</f>
        <v>33.643835616438352</v>
      </c>
      <c r="E176" s="17">
        <f t="shared" si="34"/>
        <v>100</v>
      </c>
      <c r="G176" s="1">
        <v>1982</v>
      </c>
      <c r="H176" s="392">
        <f>(O52/$R52*100*($E52/365))+(O53/$R53*100*($E53/365))+(O54/$R54*100*($E54/365))</f>
        <v>7.0624048706240492</v>
      </c>
      <c r="I176" s="392"/>
      <c r="J176" s="392">
        <f>(P52/$R52*100*($E52/365))+(P53/$R53*100*($E53/365))+(P54/$R54*100*($E54/365))</f>
        <v>76.573204020277501</v>
      </c>
      <c r="K176" s="392"/>
      <c r="L176" s="392">
        <f>(Q52/$R52*100*($E52/365))+(Q53/$R53*100*($E53/365))+(Q54/$R54*100*($E54/365))</f>
        <v>16.364391109098456</v>
      </c>
      <c r="M176" s="392"/>
      <c r="N176" s="363">
        <f t="shared" si="36"/>
        <v>100</v>
      </c>
      <c r="O176" s="363"/>
      <c r="R176" s="1">
        <v>1982</v>
      </c>
      <c r="S176" s="5">
        <f>(O52*($E52/365))+(O53*($E53/365))+(O54*($E54/365))</f>
        <v>3.8136986301369866</v>
      </c>
      <c r="T176" s="5">
        <f>(P52*($E52/365))+(P53*($E53/365))+(P54*($E54/365))</f>
        <v>41.186575342465751</v>
      </c>
      <c r="U176" s="5">
        <f>(Q52*($E52/365))+(Q53*($E53/365))+(Q54*($E54/365))</f>
        <v>11.88054794520548</v>
      </c>
      <c r="V176" s="5"/>
      <c r="W176" s="5">
        <f t="shared" si="35"/>
        <v>56.88082191780822</v>
      </c>
    </row>
    <row r="177" spans="1:23" x14ac:dyDescent="0.15">
      <c r="A177" s="1">
        <v>1983</v>
      </c>
      <c r="B177" s="5">
        <f>(K55*($E55/365))+(K56*($E56/365))</f>
        <v>0</v>
      </c>
      <c r="C177" s="5">
        <f>(L55*($E55/365))+(L56*($E56/365))</f>
        <v>100</v>
      </c>
      <c r="D177" s="5">
        <f>(M55*($E55/365))+(M56*($E56/365))</f>
        <v>0</v>
      </c>
      <c r="E177" s="17">
        <f t="shared" si="34"/>
        <v>100</v>
      </c>
      <c r="G177" s="1">
        <v>1983</v>
      </c>
      <c r="H177" s="392">
        <f>(O55/$R55*100*($E55/365))+(O56/$R56*100*($E56/365))</f>
        <v>44.444444444444443</v>
      </c>
      <c r="I177" s="392"/>
      <c r="J177" s="392">
        <f>(P55/$R55*100*($E55/365))+(P56/$R56*100*($E56/365))</f>
        <v>55.555555555555557</v>
      </c>
      <c r="K177" s="392"/>
      <c r="L177" s="392">
        <f>(Q55/$R55*100*($E55/365))+(Q56/$R56*100*($E56/365))</f>
        <v>0</v>
      </c>
      <c r="M177" s="392"/>
      <c r="N177" s="363">
        <f t="shared" si="36"/>
        <v>100</v>
      </c>
      <c r="O177" s="363"/>
      <c r="R177" s="1">
        <v>1983</v>
      </c>
      <c r="S177" s="5">
        <f>(O55*($E55/365))+(O56*($E56/365))</f>
        <v>24</v>
      </c>
      <c r="T177" s="5">
        <f>(P55*($E55/365))+(P56*($E56/365))</f>
        <v>30</v>
      </c>
      <c r="U177" s="5">
        <f>(Q55*($E55/365))+(Q56*($E56/365))</f>
        <v>0</v>
      </c>
      <c r="V177" s="5"/>
      <c r="W177" s="5">
        <f t="shared" si="35"/>
        <v>54</v>
      </c>
    </row>
    <row r="178" spans="1:23" x14ac:dyDescent="0.15">
      <c r="A178" s="1">
        <v>1984</v>
      </c>
      <c r="B178" s="5">
        <f>(K57*($E57/366))+(K58*($E58/366))</f>
        <v>0</v>
      </c>
      <c r="C178" s="5">
        <f>(L57*($E57/366))+(L58*($E58/366))</f>
        <v>100</v>
      </c>
      <c r="D178" s="5">
        <f>(M57*($E57/366))+(M58*($E58/366))</f>
        <v>0</v>
      </c>
      <c r="E178" s="17">
        <f t="shared" si="34"/>
        <v>100</v>
      </c>
      <c r="G178" s="1">
        <v>1984</v>
      </c>
      <c r="H178" s="392">
        <f>(O57/$R57*100*($E57/366))+(O58/$R58*100*($E58/366))</f>
        <v>44.444444444444443</v>
      </c>
      <c r="I178" s="392"/>
      <c r="J178" s="392">
        <f>(P57/$R57*100*($E57/366))+(P58/$R58*100*($E58/366))</f>
        <v>55.555555555555557</v>
      </c>
      <c r="K178" s="392"/>
      <c r="L178" s="392">
        <f>(Q57/$R57*100*($E57/366))+(Q58/$R58*100*($E58/366))</f>
        <v>0</v>
      </c>
      <c r="M178" s="392"/>
      <c r="N178" s="363">
        <f t="shared" si="36"/>
        <v>100</v>
      </c>
      <c r="O178" s="363"/>
      <c r="R178" s="1">
        <v>1984</v>
      </c>
      <c r="S178" s="5">
        <f>(O57*($E57/366))+(O58*($E58/366))</f>
        <v>24</v>
      </c>
      <c r="T178" s="5">
        <f>(P57*($E57/366))+(P58*($E58/366))</f>
        <v>30</v>
      </c>
      <c r="U178" s="5">
        <f>(Q57*($E57/366))+(Q58*($E58/366))</f>
        <v>0</v>
      </c>
      <c r="V178" s="5"/>
      <c r="W178" s="5">
        <f t="shared" si="35"/>
        <v>54</v>
      </c>
    </row>
    <row r="179" spans="1:23" x14ac:dyDescent="0.15">
      <c r="A179" s="1">
        <v>1985</v>
      </c>
      <c r="B179" s="5">
        <f>(K59*($E59/365))+(K60*($E60/365))</f>
        <v>0</v>
      </c>
      <c r="C179" s="5">
        <f>(L59*($E59/365))+(L60*($E60/365))</f>
        <v>100</v>
      </c>
      <c r="D179" s="5">
        <f>(M59*($E59/365))+(M60*($E60/365))</f>
        <v>0</v>
      </c>
      <c r="E179" s="17">
        <f t="shared" si="34"/>
        <v>100</v>
      </c>
      <c r="G179" s="1">
        <v>1985</v>
      </c>
      <c r="H179" s="392">
        <f>(O59/$R59*100*($E59/365))+(O60/$R60*100*($E60/365))</f>
        <v>44.444444444444443</v>
      </c>
      <c r="I179" s="392"/>
      <c r="J179" s="392">
        <f>(P59/$R59*100*($E59/365))+(P60/$R60*100*($E60/365))</f>
        <v>55.555555555555557</v>
      </c>
      <c r="K179" s="392"/>
      <c r="L179" s="392">
        <f>(Q59/$R59*100*($E59/365))+(Q60/$R60*100*($E60/365))</f>
        <v>0</v>
      </c>
      <c r="M179" s="392"/>
      <c r="N179" s="363">
        <f t="shared" si="36"/>
        <v>100</v>
      </c>
      <c r="O179" s="363"/>
      <c r="R179" s="1">
        <v>1985</v>
      </c>
      <c r="S179" s="5">
        <f>(O59*($E59/365))+(O60*($E60/365))</f>
        <v>24</v>
      </c>
      <c r="T179" s="5">
        <f>(P59*($E59/365))+(P60*($E60/365))</f>
        <v>30</v>
      </c>
      <c r="U179" s="5">
        <f>(Q59*($E59/365))+(Q60*($E60/365))</f>
        <v>0</v>
      </c>
      <c r="V179" s="5"/>
      <c r="W179" s="5">
        <f t="shared" si="35"/>
        <v>54</v>
      </c>
    </row>
    <row r="180" spans="1:23" x14ac:dyDescent="0.15">
      <c r="A180" s="1">
        <v>1986</v>
      </c>
      <c r="B180" s="5">
        <f>(K61*($E61/365))+(K62*($E62/365))</f>
        <v>4.6966731898238745</v>
      </c>
      <c r="C180" s="5">
        <f>(L61*($E61/365))+(L62*($E62/365))</f>
        <v>95.303326810176131</v>
      </c>
      <c r="D180" s="5">
        <f>(M61*($E61/365))+(M62*($E62/365))</f>
        <v>0</v>
      </c>
      <c r="E180" s="17">
        <f t="shared" si="34"/>
        <v>100</v>
      </c>
      <c r="G180" s="1">
        <v>1986</v>
      </c>
      <c r="H180" s="392">
        <f>(O61/$R61*100*($E61/365))+(O62/$R62*100*($E62/365))</f>
        <v>42.983257229832567</v>
      </c>
      <c r="I180" s="392"/>
      <c r="J180" s="392">
        <f>(P61/$R61*100*($E61/365))+(P62/$R62*100*($E62/365))</f>
        <v>57.016742770167426</v>
      </c>
      <c r="K180" s="392"/>
      <c r="L180" s="392">
        <f>(Q61/$R61*100*($E61/365))+(Q62/$R62*100*($E62/365))</f>
        <v>0</v>
      </c>
      <c r="M180" s="392"/>
      <c r="N180" s="363">
        <f t="shared" si="36"/>
        <v>100</v>
      </c>
      <c r="O180" s="363"/>
      <c r="R180" s="1">
        <v>1986</v>
      </c>
      <c r="S180" s="5">
        <f>(O61*($E61/365))+(O62*($E62/365))</f>
        <v>23.210958904109589</v>
      </c>
      <c r="T180" s="5">
        <f>(P61*($E61/365))+(P62*($E62/365))</f>
        <v>30.789041095890408</v>
      </c>
      <c r="U180" s="5">
        <f>(Q61*($E61/365))+(Q62*($E62/365))</f>
        <v>0</v>
      </c>
      <c r="V180" s="5"/>
      <c r="W180" s="5">
        <f t="shared" si="35"/>
        <v>54</v>
      </c>
    </row>
    <row r="181" spans="1:23" x14ac:dyDescent="0.15">
      <c r="A181" s="1">
        <v>1987</v>
      </c>
      <c r="B181" s="5">
        <f>(K63*($E63/365))+(K64*($E64/365))</f>
        <v>35.714285714285715</v>
      </c>
      <c r="C181" s="5">
        <f>(L63*($E63/365))+(L64*($E64/365))</f>
        <v>64.285714285714292</v>
      </c>
      <c r="D181" s="5">
        <f>(M63*($E63/365))+(M64*($E64/365))</f>
        <v>0</v>
      </c>
      <c r="E181" s="17">
        <f t="shared" si="34"/>
        <v>100</v>
      </c>
      <c r="G181" s="1">
        <v>1987</v>
      </c>
      <c r="H181" s="392">
        <f>(O63/$R63*100*($E63/365))+(O64/$R64*100*($E64/365))</f>
        <v>33.333333333333329</v>
      </c>
      <c r="I181" s="392"/>
      <c r="J181" s="392">
        <f>(P63/$R63*100*($E63/365))+(P64/$R64*100*($E64/365))</f>
        <v>66.666666666666657</v>
      </c>
      <c r="K181" s="392"/>
      <c r="L181" s="392">
        <f>(Q63/$R63*100*($E63/365))+(Q64/$R64*100*($E64/365))</f>
        <v>0</v>
      </c>
      <c r="M181" s="392"/>
      <c r="N181" s="363">
        <f t="shared" si="36"/>
        <v>99.999999999999986</v>
      </c>
      <c r="O181" s="363"/>
      <c r="R181" s="1">
        <v>1987</v>
      </c>
      <c r="S181" s="5">
        <f>(O63*($E63/365))+(O64*($E64/365))</f>
        <v>18</v>
      </c>
      <c r="T181" s="5">
        <f>(P63*($E63/365))+(P64*($E64/365))</f>
        <v>36</v>
      </c>
      <c r="U181" s="5">
        <f>(Q63*($E63/365))+(Q64*($E64/365))</f>
        <v>0</v>
      </c>
      <c r="V181" s="5"/>
      <c r="W181" s="5">
        <f t="shared" si="35"/>
        <v>54</v>
      </c>
    </row>
    <row r="182" spans="1:23" x14ac:dyDescent="0.15">
      <c r="A182" s="1">
        <v>1988</v>
      </c>
      <c r="B182" s="5">
        <f>(K65*($E65/366))+(K66*($E66/366))</f>
        <v>35.714285714285715</v>
      </c>
      <c r="C182" s="5">
        <f>(L65*($E65/366))+(L66*($E66/366))</f>
        <v>64.285714285714292</v>
      </c>
      <c r="D182" s="5">
        <f>(M65*($E65/366))+(M66*($E66/366))</f>
        <v>0</v>
      </c>
      <c r="E182" s="17">
        <f t="shared" si="34"/>
        <v>100</v>
      </c>
      <c r="G182" s="1">
        <v>1988</v>
      </c>
      <c r="H182" s="392">
        <f>(O65/$R65*100*($E65/366))+(O66/$R66*100*($E66/366))</f>
        <v>33.333333333333329</v>
      </c>
      <c r="I182" s="392"/>
      <c r="J182" s="392">
        <f>(P65/$R65*100*($E65/366))+(P66/$R66*100*($E66/366))</f>
        <v>66.666666666666657</v>
      </c>
      <c r="K182" s="392"/>
      <c r="L182" s="392">
        <f>(Q65/$R65*100*($E65/366))+(Q66/$R66*100*($E66/366))</f>
        <v>0</v>
      </c>
      <c r="M182" s="392"/>
      <c r="N182" s="363">
        <f t="shared" si="36"/>
        <v>99.999999999999986</v>
      </c>
      <c r="O182" s="363"/>
      <c r="R182" s="1">
        <v>1988</v>
      </c>
      <c r="S182" s="5">
        <f>(O65*($E65/366))+(O66*($E66/366))</f>
        <v>18</v>
      </c>
      <c r="T182" s="5">
        <f>(P65*($E65/366))+(P66*($E66/366))</f>
        <v>36</v>
      </c>
      <c r="U182" s="5">
        <f>(Q65*($E65/366))+(Q66*($E66/366))</f>
        <v>0</v>
      </c>
      <c r="V182" s="5"/>
      <c r="W182" s="5">
        <f t="shared" si="35"/>
        <v>54</v>
      </c>
    </row>
    <row r="183" spans="1:23" x14ac:dyDescent="0.15">
      <c r="A183" s="1">
        <v>1989</v>
      </c>
      <c r="B183" s="5">
        <f>(K67*($E67/365))+(K68*($E68/365))</f>
        <v>30.332681017612522</v>
      </c>
      <c r="C183" s="5">
        <f>(L67*($E67/365))+(L68*($E68/365))</f>
        <v>62.133072407045013</v>
      </c>
      <c r="D183" s="5">
        <f>(M67*($E67/365))+(M68*($E68/365))</f>
        <v>7.5342465753424657</v>
      </c>
      <c r="E183" s="17">
        <f t="shared" si="34"/>
        <v>100</v>
      </c>
      <c r="G183" s="1">
        <v>1989</v>
      </c>
      <c r="H183" s="392">
        <f>(O67/$R67*100*($E67/365))+(O68/$R68*100*($E68/365))</f>
        <v>28.310502283105016</v>
      </c>
      <c r="I183" s="392"/>
      <c r="J183" s="392">
        <f>(P67/$R67*100*($E67/365))+(P68/$R68*100*($E68/365))</f>
        <v>64.517158182289478</v>
      </c>
      <c r="K183" s="392"/>
      <c r="L183" s="392">
        <f>(Q67/$R67*100*($E67/365))+(Q68/$R68*100*($E68/365))</f>
        <v>7.1723395346054915</v>
      </c>
      <c r="M183" s="392"/>
      <c r="N183" s="363">
        <f t="shared" si="36"/>
        <v>100</v>
      </c>
      <c r="O183" s="363"/>
      <c r="R183" s="1">
        <v>1989</v>
      </c>
      <c r="S183" s="5">
        <f>(O67*($E67/365))+(O68*($E68/365))</f>
        <v>15.287671232876711</v>
      </c>
      <c r="T183" s="5">
        <f>(P67*($E67/365))+(P68*($E68/365))</f>
        <v>36</v>
      </c>
      <c r="U183" s="5">
        <f>(Q67*($E67/365))+(Q68*($E68/365))</f>
        <v>4.9273972602739731</v>
      </c>
      <c r="V183" s="5"/>
      <c r="W183" s="5">
        <f t="shared" si="35"/>
        <v>56.215068493150682</v>
      </c>
    </row>
    <row r="184" spans="1:23" x14ac:dyDescent="0.15">
      <c r="A184" s="1">
        <v>1990</v>
      </c>
      <c r="B184" s="5">
        <f>(K69*($E69/365))+(K70*($E70/365))</f>
        <v>0</v>
      </c>
      <c r="C184" s="5">
        <f>(L69*($E69/365))+(L70*($E70/365))</f>
        <v>50</v>
      </c>
      <c r="D184" s="5">
        <f>(M69*($E69/365))+(M70*($E70/365))</f>
        <v>50</v>
      </c>
      <c r="E184" s="17">
        <f t="shared" si="34"/>
        <v>100</v>
      </c>
      <c r="G184" s="1">
        <v>1990</v>
      </c>
      <c r="H184" s="392">
        <f>(O69/$R69*100*($E69/365))+(O70/$R70*100*($E70/365))</f>
        <v>0</v>
      </c>
      <c r="I184" s="392"/>
      <c r="J184" s="392">
        <f>(P69/$R69*100*($E69/365))+(P70/$R70*100*($E70/365))</f>
        <v>52.401746724890828</v>
      </c>
      <c r="K184" s="392"/>
      <c r="L184" s="392">
        <f>(Q69/$R69*100*($E69/365))+(Q70/$R70*100*($E70/365))</f>
        <v>47.598253275109172</v>
      </c>
      <c r="M184" s="392"/>
      <c r="N184" s="363">
        <f t="shared" si="36"/>
        <v>100</v>
      </c>
      <c r="O184" s="363"/>
      <c r="R184" s="1">
        <v>1990</v>
      </c>
      <c r="S184" s="5">
        <f>(O69*($E69/365))+(O70*($E70/365))</f>
        <v>0</v>
      </c>
      <c r="T184" s="5">
        <f>(P69*($E69/365))+(P70*($E70/365))</f>
        <v>36</v>
      </c>
      <c r="U184" s="5">
        <f>(Q69*($E69/365))+(Q70*($E70/365))</f>
        <v>32.700000000000003</v>
      </c>
      <c r="V184" s="5"/>
      <c r="W184" s="5">
        <f t="shared" si="35"/>
        <v>68.7</v>
      </c>
    </row>
    <row r="185" spans="1:23" x14ac:dyDescent="0.15">
      <c r="A185" s="1">
        <v>1991</v>
      </c>
      <c r="B185" s="5">
        <f>(K71*($E71/365))+(K72*($E72/365))</f>
        <v>0</v>
      </c>
      <c r="C185" s="5">
        <f>(L71*($E71/365))+(L72*($E72/365))</f>
        <v>50</v>
      </c>
      <c r="D185" s="5">
        <f>(M71*($E71/365))+(M72*($E72/365))</f>
        <v>50</v>
      </c>
      <c r="E185" s="17">
        <f t="shared" si="34"/>
        <v>100</v>
      </c>
      <c r="G185" s="1">
        <v>1991</v>
      </c>
      <c r="H185" s="392">
        <f>(O71/$R71*100*($E71/365))+(O72/$R72*100*($E72/365))</f>
        <v>0</v>
      </c>
      <c r="I185" s="392"/>
      <c r="J185" s="392">
        <f>(P71/$R71*100*($E71/365))+(P72/$R72*100*($E72/365))</f>
        <v>52.401746724890828</v>
      </c>
      <c r="K185" s="392"/>
      <c r="L185" s="392">
        <f>(Q71/$R71*100*($E71/365))+(Q72/$R72*100*($E72/365))</f>
        <v>47.598253275109172</v>
      </c>
      <c r="M185" s="392"/>
      <c r="N185" s="363">
        <f t="shared" si="36"/>
        <v>100</v>
      </c>
      <c r="O185" s="363"/>
      <c r="R185" s="1">
        <v>1991</v>
      </c>
      <c r="S185" s="5">
        <f>(O71*($E71/365))+(O72*($E72/365))</f>
        <v>0</v>
      </c>
      <c r="T185" s="5">
        <f>(P71*($E71/365))+(P72*($E72/365))</f>
        <v>36</v>
      </c>
      <c r="U185" s="5">
        <f>(Q71*($E71/365))+(Q72*($E72/365))</f>
        <v>32.700000000000003</v>
      </c>
      <c r="V185" s="5"/>
      <c r="W185" s="5">
        <f t="shared" si="35"/>
        <v>68.7</v>
      </c>
    </row>
    <row r="186" spans="1:23" x14ac:dyDescent="0.15">
      <c r="A186" s="1">
        <v>1992</v>
      </c>
      <c r="B186" s="5">
        <f>(K73*($E73/366))+(K74*($E74/366))</f>
        <v>0</v>
      </c>
      <c r="C186" s="5">
        <f>(L73*($E73/366))+(L74*($E74/366))</f>
        <v>50</v>
      </c>
      <c r="D186" s="5">
        <f>(M73*($E73/366))+(M74*($E74/366))</f>
        <v>50</v>
      </c>
      <c r="E186" s="17">
        <f t="shared" si="34"/>
        <v>100</v>
      </c>
      <c r="G186" s="1">
        <v>1992</v>
      </c>
      <c r="H186" s="392">
        <f>(O73/$R73*100*($E73/366))+(O74/$R74*100*($E74/366))</f>
        <v>0</v>
      </c>
      <c r="I186" s="392"/>
      <c r="J186" s="392">
        <f>(P73/$R73*100*($E73/366))+(P74/$R74*100*($E74/366))</f>
        <v>52.401746724890828</v>
      </c>
      <c r="K186" s="392"/>
      <c r="L186" s="392">
        <f>(Q73/$R73*100*($E73/366))+(Q74/$R74*100*($E74/366))</f>
        <v>47.598253275109172</v>
      </c>
      <c r="M186" s="392"/>
      <c r="N186" s="363">
        <f t="shared" si="36"/>
        <v>100</v>
      </c>
      <c r="O186" s="363"/>
      <c r="R186" s="1">
        <v>1992</v>
      </c>
      <c r="S186" s="5">
        <f>(O73*($E73/366))+(O74*($E74/366))</f>
        <v>0</v>
      </c>
      <c r="T186" s="5">
        <f>(P73*($E73/366))+(P74*($E74/366))</f>
        <v>36</v>
      </c>
      <c r="U186" s="5">
        <f>(Q73*($E73/366))+(Q74*($E74/366))</f>
        <v>32.700000000000003</v>
      </c>
      <c r="V186" s="5"/>
      <c r="W186" s="5">
        <f t="shared" si="35"/>
        <v>68.7</v>
      </c>
    </row>
    <row r="187" spans="1:23" x14ac:dyDescent="0.15">
      <c r="A187" s="1">
        <v>1993</v>
      </c>
      <c r="B187" s="5">
        <f>(K75*($E75/365))+(K76*($E76/365))</f>
        <v>0</v>
      </c>
      <c r="C187" s="5">
        <f>(L75*($E75/365))+(L76*($E76/365))</f>
        <v>50</v>
      </c>
      <c r="D187" s="5">
        <f>(M75*($E75/365))+(M76*($E76/365))</f>
        <v>50</v>
      </c>
      <c r="E187" s="17">
        <f t="shared" si="34"/>
        <v>100</v>
      </c>
      <c r="G187" s="1">
        <v>1993</v>
      </c>
      <c r="H187" s="392">
        <f>(O75/$R75*100*($E75/365))+(O76/$R76*100*($E76/365))</f>
        <v>0</v>
      </c>
      <c r="I187" s="392"/>
      <c r="J187" s="392">
        <f>(P75/$R75*100*($E75/365))+(P76/$R76*100*($E76/365))</f>
        <v>52.401746724890828</v>
      </c>
      <c r="K187" s="392"/>
      <c r="L187" s="392">
        <f>(Q75/$R75*100*($E75/365))+(Q76/$R76*100*($E76/365))</f>
        <v>47.598253275109172</v>
      </c>
      <c r="M187" s="392"/>
      <c r="N187" s="363">
        <f t="shared" si="36"/>
        <v>100</v>
      </c>
      <c r="O187" s="363"/>
      <c r="R187" s="1">
        <v>1993</v>
      </c>
      <c r="S187" s="5">
        <f>(O75*($E75/365))+(O76*($E76/365))</f>
        <v>0</v>
      </c>
      <c r="T187" s="5">
        <f>(P75*($E75/365))+(P76*($E76/365))</f>
        <v>36</v>
      </c>
      <c r="U187" s="5">
        <f>(Q75*($E75/365))+(Q76*($E76/365))</f>
        <v>32.700000000000003</v>
      </c>
      <c r="V187" s="5"/>
      <c r="W187" s="5">
        <f t="shared" si="35"/>
        <v>68.7</v>
      </c>
    </row>
    <row r="188" spans="1:23" x14ac:dyDescent="0.15">
      <c r="A188" s="1">
        <v>1994</v>
      </c>
      <c r="B188" s="5">
        <f>(K77*($E77/365))+(K78*($E78/365))</f>
        <v>12.915851272015656</v>
      </c>
      <c r="C188" s="5">
        <f>(L77*($E77/365))+(L78*($E78/365))</f>
        <v>42.250489236790607</v>
      </c>
      <c r="D188" s="5">
        <f>(M77*($E77/365))+(M78*($E78/365))</f>
        <v>44.833659491193742</v>
      </c>
      <c r="E188" s="17">
        <f t="shared" si="34"/>
        <v>100</v>
      </c>
      <c r="G188" s="1">
        <v>1994</v>
      </c>
      <c r="H188" s="392">
        <f>(O77/$R77*100*($E77/365))+(O78/$R78*100*($E78/365))</f>
        <v>12.192227031368523</v>
      </c>
      <c r="I188" s="392"/>
      <c r="J188" s="392">
        <f>(P77/$R77*100*($E77/365))+(P78/$R78*100*($E78/365))</f>
        <v>42.874921645425601</v>
      </c>
      <c r="K188" s="392"/>
      <c r="L188" s="392">
        <f>(Q77/$R77*100*($E77/365))+(Q78/$R78*100*($E78/365))</f>
        <v>44.932851323205874</v>
      </c>
      <c r="M188" s="392"/>
      <c r="N188" s="363">
        <f t="shared" si="36"/>
        <v>100</v>
      </c>
      <c r="O188" s="363"/>
      <c r="R188" s="1">
        <v>1994</v>
      </c>
      <c r="S188" s="5">
        <f>(O77*($E77/365))+(O78*($E78/365))</f>
        <v>7.4860273972602736</v>
      </c>
      <c r="T188" s="5">
        <f>(P77*($E77/365))+(P78*($E78/365))</f>
        <v>28.767123287671236</v>
      </c>
      <c r="U188" s="5">
        <f>(Q77*($E77/365))+(Q78*($E78/365))</f>
        <v>29.806849315068497</v>
      </c>
      <c r="V188" s="5"/>
      <c r="W188" s="5">
        <f t="shared" si="35"/>
        <v>66.06</v>
      </c>
    </row>
    <row r="189" spans="1:23" x14ac:dyDescent="0.15">
      <c r="A189" s="1">
        <v>1995</v>
      </c>
      <c r="B189" s="5">
        <f>(K79*($E79/365))+(K80*($E80/365))</f>
        <v>35.714285714285715</v>
      </c>
      <c r="C189" s="5">
        <f>(L79*($E79/365))+(L80*($E80/365))</f>
        <v>28.571428571428569</v>
      </c>
      <c r="D189" s="5">
        <f>(M79*($E79/365))+(M80*($E80/365))</f>
        <v>35.714285714285715</v>
      </c>
      <c r="E189" s="17">
        <f t="shared" si="34"/>
        <v>100</v>
      </c>
      <c r="G189" s="1">
        <v>1995</v>
      </c>
      <c r="H189" s="392">
        <f>(O79/$R79*100*($E79/365))+(O80/$R80*100*($E80/365))</f>
        <v>33.713355048859931</v>
      </c>
      <c r="I189" s="392"/>
      <c r="J189" s="392">
        <f>(P79/$R79*100*($E79/365))+(P80/$R80*100*($E80/365))</f>
        <v>26.058631921824098</v>
      </c>
      <c r="K189" s="392"/>
      <c r="L189" s="392">
        <f>(Q79/$R79*100*($E79/365))+(Q80/$R80*100*($E80/365))</f>
        <v>40.22801302931596</v>
      </c>
      <c r="M189" s="392"/>
      <c r="N189" s="363">
        <f t="shared" si="36"/>
        <v>99.999999999999986</v>
      </c>
      <c r="O189" s="363"/>
      <c r="R189" s="1">
        <v>1995</v>
      </c>
      <c r="S189" s="5">
        <f>(O79*($E79/365))+(O80*($E80/365))</f>
        <v>20.7</v>
      </c>
      <c r="T189" s="5">
        <f>(P79*($E79/365))+(P80*($E80/365))</f>
        <v>16</v>
      </c>
      <c r="U189" s="5">
        <f>(Q79*($E79/365))+(Q80*($E80/365))</f>
        <v>24.7</v>
      </c>
      <c r="V189" s="5"/>
      <c r="W189" s="5">
        <f t="shared" si="35"/>
        <v>61.400000000000006</v>
      </c>
    </row>
    <row r="190" spans="1:23" x14ac:dyDescent="0.15">
      <c r="A190" s="1">
        <v>1996</v>
      </c>
      <c r="B190" s="5">
        <f>(K81*($E81/366))+(K82*($E82/366))</f>
        <v>35.714285714285715</v>
      </c>
      <c r="C190" s="5">
        <f>(L81*($E81/366))+(L82*($E82/366))</f>
        <v>28.571428571428569</v>
      </c>
      <c r="D190" s="5">
        <f>(M81*($E81/366))+(M82*($E82/366))</f>
        <v>35.714285714285715</v>
      </c>
      <c r="E190" s="17">
        <f t="shared" si="34"/>
        <v>100</v>
      </c>
      <c r="G190" s="1">
        <v>1996</v>
      </c>
      <c r="H190" s="392">
        <f>(O81/$R81*100*($E81/366))+(O82/$R82*100*($E82/366))</f>
        <v>33.713355048859931</v>
      </c>
      <c r="I190" s="392"/>
      <c r="J190" s="392">
        <f>(P81/$R81*100*($E81/366))+(P82/$R82*100*($E82/366))</f>
        <v>26.058631921824098</v>
      </c>
      <c r="K190" s="392"/>
      <c r="L190" s="392">
        <f>(Q81/$R81*100*($E81/366))+(Q82/$R82*100*($E82/366))</f>
        <v>40.22801302931596</v>
      </c>
      <c r="M190" s="392"/>
      <c r="N190" s="363">
        <f t="shared" si="36"/>
        <v>99.999999999999986</v>
      </c>
      <c r="O190" s="363"/>
      <c r="R190" s="1">
        <v>1996</v>
      </c>
      <c r="S190" s="5">
        <f>(O81*($E81/366))+(O82*($E82/366))</f>
        <v>20.7</v>
      </c>
      <c r="T190" s="5">
        <f>(P81*($E81/366))+(P82*($E82/366))</f>
        <v>16</v>
      </c>
      <c r="U190" s="5">
        <f>(Q81*($E81/366))+(Q82*($E82/366))</f>
        <v>24.7</v>
      </c>
      <c r="V190" s="5"/>
      <c r="W190" s="5">
        <f t="shared" si="35"/>
        <v>61.400000000000006</v>
      </c>
    </row>
    <row r="191" spans="1:23" x14ac:dyDescent="0.15">
      <c r="A191" s="1">
        <v>1997</v>
      </c>
      <c r="B191" s="5">
        <f>(K83*($E83/365))+(K84*($E84/365))</f>
        <v>35.714285714285715</v>
      </c>
      <c r="C191" s="5">
        <f>(L83*($E83/365))+(L84*($E84/365))</f>
        <v>28.571428571428569</v>
      </c>
      <c r="D191" s="5">
        <f>(M83*($E83/365))+(M84*($E84/365))</f>
        <v>35.714285714285715</v>
      </c>
      <c r="E191" s="17">
        <f t="shared" si="34"/>
        <v>100</v>
      </c>
      <c r="G191" s="1">
        <v>1997</v>
      </c>
      <c r="H191" s="392">
        <f>(O83/$R83*100*($E83/365))+(O84/$R84*100*($E84/365))</f>
        <v>33.713355048859931</v>
      </c>
      <c r="I191" s="392"/>
      <c r="J191" s="392">
        <f>(P83/$R83*100*($E83/365))+(P84/$R84*100*($E84/365))</f>
        <v>26.058631921824098</v>
      </c>
      <c r="K191" s="392"/>
      <c r="L191" s="392">
        <f>(Q83/$R83*100*($E83/365))+(Q84/$R84*100*($E84/365))</f>
        <v>40.22801302931596</v>
      </c>
      <c r="M191" s="392"/>
      <c r="N191" s="363">
        <f t="shared" si="36"/>
        <v>99.999999999999986</v>
      </c>
      <c r="O191" s="363"/>
      <c r="R191" s="1">
        <v>1997</v>
      </c>
      <c r="S191" s="5">
        <f>(O83*($E83/365))+(O84*($E84/365))</f>
        <v>20.7</v>
      </c>
      <c r="T191" s="5">
        <f>(P83*($E83/365))+(P84*($E84/365))</f>
        <v>16</v>
      </c>
      <c r="U191" s="5">
        <f>(Q83*($E83/365))+(Q84*($E84/365))</f>
        <v>24.7</v>
      </c>
      <c r="V191" s="5"/>
      <c r="W191" s="5">
        <f t="shared" si="35"/>
        <v>61.400000000000006</v>
      </c>
    </row>
    <row r="192" spans="1:23" x14ac:dyDescent="0.15">
      <c r="A192" s="1">
        <v>1998</v>
      </c>
      <c r="B192" s="5">
        <f>(K85*($E85/365))+(K86*($E86/365))</f>
        <v>38.669275929549904</v>
      </c>
      <c r="C192" s="5">
        <f>(L85*($E85/365))+(L86*($E86/365))</f>
        <v>25.616438356164384</v>
      </c>
      <c r="D192" s="5">
        <f>(M85*($E85/365))+(M86*($E86/365))</f>
        <v>35.714285714285715</v>
      </c>
      <c r="E192" s="17">
        <f t="shared" si="34"/>
        <v>100</v>
      </c>
      <c r="G192" s="1">
        <v>1998</v>
      </c>
      <c r="H192" s="392">
        <f>(O85/$R85*100*($E85/365))+(O86/$R86*100*($E86/365))</f>
        <v>35.968315260929614</v>
      </c>
      <c r="I192" s="392"/>
      <c r="J192" s="392">
        <f>(P85/$R85*100*($E85/365))+(P86/$R86*100*($E86/365))</f>
        <v>21.233934905639135</v>
      </c>
      <c r="K192" s="392"/>
      <c r="L192" s="392">
        <f>(Q85/$R85*100*($E85/365))+(Q86/$R86*100*($E86/365))</f>
        <v>42.797749833431254</v>
      </c>
      <c r="M192" s="392"/>
      <c r="N192" s="363">
        <f t="shared" si="36"/>
        <v>100</v>
      </c>
      <c r="O192" s="363"/>
      <c r="R192" s="1">
        <v>1998</v>
      </c>
      <c r="S192" s="5">
        <f>(O85*($E85/365))+(O86*($E86/365))</f>
        <v>22.603013698630136</v>
      </c>
      <c r="T192" s="5">
        <f>(P85*($E85/365))+(P86*($E86/365))</f>
        <v>13.228219178082192</v>
      </c>
      <c r="U192" s="5">
        <f>(Q85*($E85/365))+(Q86*($E86/365))</f>
        <v>26.89260273972603</v>
      </c>
      <c r="V192" s="5"/>
      <c r="W192" s="5">
        <f t="shared" si="35"/>
        <v>62.723835616438357</v>
      </c>
    </row>
    <row r="193" spans="1:23" x14ac:dyDescent="0.15">
      <c r="A193" s="1">
        <v>1999</v>
      </c>
      <c r="B193" s="5">
        <f>(K87*($E87/365))+(K88*($E88/365))</f>
        <v>40</v>
      </c>
      <c r="C193" s="5">
        <f>(L87*($E87/365))+(L88*($E88/365))</f>
        <v>20</v>
      </c>
      <c r="D193" s="5">
        <f>(M87*($E87/365))+(M88*($E88/365))</f>
        <v>40</v>
      </c>
      <c r="E193" s="17">
        <f t="shared" si="34"/>
        <v>100</v>
      </c>
      <c r="G193" s="1">
        <v>1999</v>
      </c>
      <c r="H193" s="392">
        <f>(O87/$R87*100*($E87/365))+(O88/$R88*100*($E88/365))</f>
        <v>39.164086687306501</v>
      </c>
      <c r="I193" s="392"/>
      <c r="J193" s="392">
        <f>(P87/$R87*100*($E87/365))+(P88/$R88*100*($E88/365))</f>
        <v>14.396284829721365</v>
      </c>
      <c r="K193" s="392"/>
      <c r="L193" s="392">
        <f>(Q87/$R87*100*($E87/365))+(Q88/$R88*100*($E88/365))</f>
        <v>46.43962848297214</v>
      </c>
      <c r="M193" s="392"/>
      <c r="N193" s="363">
        <f t="shared" si="36"/>
        <v>100</v>
      </c>
      <c r="O193" s="363"/>
      <c r="R193" s="1">
        <v>1999</v>
      </c>
      <c r="S193" s="5">
        <f>(O87*($E87/365))+(O88*($E88/365))</f>
        <v>25.3</v>
      </c>
      <c r="T193" s="5">
        <f>(P87*($E87/365))+(P88*($E88/365))</f>
        <v>9.3000000000000007</v>
      </c>
      <c r="U193" s="5">
        <f>(Q87*($E87/365))+(Q88*($E88/365))</f>
        <v>30</v>
      </c>
      <c r="V193" s="5"/>
      <c r="W193" s="5">
        <f t="shared" si="35"/>
        <v>64.599999999999994</v>
      </c>
    </row>
    <row r="194" spans="1:23" x14ac:dyDescent="0.15">
      <c r="A194" s="1">
        <v>2000</v>
      </c>
      <c r="B194" s="5">
        <f>(K89*($E89/366))+(K90*($E90/366))</f>
        <v>40</v>
      </c>
      <c r="C194" s="5">
        <f>(L89*($E89/366))+(L90*($E90/366))</f>
        <v>20</v>
      </c>
      <c r="D194" s="5">
        <f>(M89*($E89/366))+(M90*($E90/366))</f>
        <v>40</v>
      </c>
      <c r="E194" s="17">
        <f t="shared" si="34"/>
        <v>100</v>
      </c>
      <c r="G194" s="1">
        <v>2000</v>
      </c>
      <c r="H194" s="392">
        <f>(O89/$R89*100*($E89/366))+(O90/$R90*100*($E90/366))</f>
        <v>39.164086687306501</v>
      </c>
      <c r="I194" s="392"/>
      <c r="J194" s="392">
        <f>(P89/$R89*100*($E89/366))+(P90/$R90*100*($E90/366))</f>
        <v>14.396284829721365</v>
      </c>
      <c r="K194" s="392"/>
      <c r="L194" s="392">
        <f>(Q89/$R89*100*($E89/366))+(Q90/$R90*100*($E90/366))</f>
        <v>46.43962848297214</v>
      </c>
      <c r="M194" s="392"/>
      <c r="N194" s="363">
        <f t="shared" si="36"/>
        <v>100</v>
      </c>
      <c r="O194" s="363"/>
      <c r="R194" s="1">
        <v>2000</v>
      </c>
      <c r="S194" s="5">
        <f>(O89*($E89/366))+(O90*($E90/366))</f>
        <v>25.3</v>
      </c>
      <c r="T194" s="5">
        <f>(P89*($E89/366))+(P90*($E90/366))</f>
        <v>9.3000000000000007</v>
      </c>
      <c r="U194" s="5">
        <f>(Q89*($E89/366))+(Q90*($E90/366))</f>
        <v>30</v>
      </c>
      <c r="V194" s="5"/>
      <c r="W194" s="5">
        <f t="shared" si="35"/>
        <v>64.599999999999994</v>
      </c>
    </row>
    <row r="195" spans="1:23" x14ac:dyDescent="0.15">
      <c r="A195" s="1">
        <v>2001</v>
      </c>
      <c r="B195" s="5">
        <f>(K91*($E91/365))+(K92*($E92/365))</f>
        <v>40</v>
      </c>
      <c r="C195" s="5">
        <f>(L91*($E91/365))+(L92*($E92/365))</f>
        <v>20</v>
      </c>
      <c r="D195" s="5">
        <f>(M91*($E91/365))+(M92*($E92/365))</f>
        <v>40</v>
      </c>
      <c r="E195" s="17">
        <f t="shared" si="34"/>
        <v>100</v>
      </c>
      <c r="G195" s="1">
        <v>2001</v>
      </c>
      <c r="H195" s="392">
        <f>(O91/$R91*100*($E91/365))+(O92/$R92*100*($E92/365))</f>
        <v>39.164086687306501</v>
      </c>
      <c r="I195" s="392"/>
      <c r="J195" s="392">
        <f>(P91/$R91*100*($E91/365))+(P92/$R92*100*($E92/365))</f>
        <v>14.396284829721365</v>
      </c>
      <c r="K195" s="392"/>
      <c r="L195" s="392">
        <f>(Q91/$R91*100*($E91/365))+(Q92/$R92*100*($E92/365))</f>
        <v>46.43962848297214</v>
      </c>
      <c r="M195" s="392"/>
      <c r="N195" s="363">
        <f t="shared" si="36"/>
        <v>100</v>
      </c>
      <c r="O195" s="363"/>
      <c r="R195" s="1">
        <v>2001</v>
      </c>
      <c r="S195" s="5">
        <f>(O91*($E91/365))+(O92*($E92/365))</f>
        <v>25.3</v>
      </c>
      <c r="T195" s="5">
        <f>(P91*($E91/365))+(P92*($E92/365))</f>
        <v>9.3000000000000007</v>
      </c>
      <c r="U195" s="5">
        <f>(Q91*($E91/365))+(Q92*($E92/365))</f>
        <v>30</v>
      </c>
      <c r="V195" s="5"/>
      <c r="W195" s="5">
        <f t="shared" si="35"/>
        <v>64.599999999999994</v>
      </c>
    </row>
    <row r="196" spans="1:23" x14ac:dyDescent="0.15">
      <c r="A196" s="1">
        <v>2002</v>
      </c>
      <c r="B196" s="5">
        <f>(K93*($E93/365))+(K94*($E94/365))+(K95*($E95/365))+(K96*($E96/365))+(K97*($E97/365))</f>
        <v>39.422166874221666</v>
      </c>
      <c r="C196" s="5">
        <f>(L93*($E93/365))+(L94*($E94/365))+(L95*($E95/365))+(L96*($E96/365))+(L97*($E97/365))</f>
        <v>38.440846824408467</v>
      </c>
      <c r="D196" s="5">
        <f>(M93*($E93/365))+(M94*($E94/365))+(M95*($E95/365))+(M96*($E96/365))+(M97*($E97/365))</f>
        <v>22.136986301369863</v>
      </c>
      <c r="E196" s="17">
        <f t="shared" si="34"/>
        <v>100</v>
      </c>
      <c r="G196" s="1">
        <v>2002</v>
      </c>
      <c r="H196" s="392">
        <f>(O93/$R93*100*($E93/365))+(O94/$R94*100*($E94/365))+(O95/$R95*100*($E95/365))+(O96/$R96*100*($E96/365))+(O97/$R97*100*($E97/365))</f>
        <v>41.880355874465941</v>
      </c>
      <c r="I196" s="392"/>
      <c r="J196" s="392">
        <f>(P93/$R93*100*($E93/365))+(P94/$R94*100*($E94/365))+(P95/$R95*100*($E95/365))+(P96/$R96*100*($E96/365))+(P97/$R97*100*($E97/365))</f>
        <v>32.418808636327554</v>
      </c>
      <c r="K196" s="392"/>
      <c r="L196" s="392">
        <f>(Q93/$R93*100*($E93/365))+(Q94/$R94*100*($E94/365))+(Q95/$R95*100*($E95/365))+(Q96/$R96*100*($E96/365))+(Q97/$R97*100*($E97/365))</f>
        <v>25.700835489206501</v>
      </c>
      <c r="M196" s="392"/>
      <c r="N196" s="363">
        <f t="shared" si="36"/>
        <v>100</v>
      </c>
      <c r="O196" s="363"/>
      <c r="R196" s="1">
        <v>2002</v>
      </c>
      <c r="S196" s="5">
        <f>(O93*($E93/365))+(O94*($E94/365))+(O95*($E95/365))+(O96*($E96/365))+(O97*($E97/365))</f>
        <v>25.223013698630133</v>
      </c>
      <c r="T196" s="5">
        <f>(P93*($E93/365))+(P94*($E94/365))+(P95*($E95/365))+(P96*($E96/365))+(P97*($E97/365))</f>
        <v>17.963561643835614</v>
      </c>
      <c r="U196" s="5">
        <f>(Q93*($E93/365))+(Q94*($E94/365))+(Q95*($E95/365))+(Q96*($E96/365))+(Q97*($E97/365))</f>
        <v>16.602739726027398</v>
      </c>
      <c r="V196" s="5"/>
      <c r="W196" s="5">
        <f t="shared" si="35"/>
        <v>59.789315068493138</v>
      </c>
    </row>
    <row r="197" spans="1:23" x14ac:dyDescent="0.15">
      <c r="A197" s="1">
        <v>2003</v>
      </c>
      <c r="B197" s="5">
        <f>(K98*($E98/365))+(K99*($E99/365))</f>
        <v>32.5</v>
      </c>
      <c r="C197" s="5">
        <f>(L98*($E98/365))+(L99*($E99/365))</f>
        <v>67.5</v>
      </c>
      <c r="D197" s="5">
        <f>(M98*($E98/365))+(M99*($E99/365))</f>
        <v>0</v>
      </c>
      <c r="E197" s="17">
        <f t="shared" si="34"/>
        <v>100</v>
      </c>
      <c r="G197" s="1">
        <v>2003</v>
      </c>
      <c r="H197" s="392">
        <f>(O98/$R98*100*($E98/365))+(O99/$R99*100*($E99/365))</f>
        <v>35.894596454999139</v>
      </c>
      <c r="I197" s="392"/>
      <c r="J197" s="392">
        <f>(P98/$R98*100*($E98/365))+(P99/$R99*100*($E99/365))</f>
        <v>64.105403545000854</v>
      </c>
      <c r="K197" s="392"/>
      <c r="L197" s="392">
        <f>(Q98/$R98*100*($E98/365))+(Q99/$R99*100*($E99/365))</f>
        <v>0</v>
      </c>
      <c r="M197" s="392"/>
      <c r="N197" s="363">
        <f t="shared" si="36"/>
        <v>100</v>
      </c>
      <c r="O197" s="363"/>
      <c r="R197" s="1">
        <v>2003</v>
      </c>
      <c r="S197" s="5">
        <f>(O98*($E98/365))+(O99*($E99/365))</f>
        <v>17.619999999999997</v>
      </c>
      <c r="T197" s="5">
        <f>(P98*($E98/365))+(P99*($E99/365))</f>
        <v>31.459999999999997</v>
      </c>
      <c r="U197" s="5">
        <f>(Q98*($E98/365))+(Q99*($E99/365))</f>
        <v>0</v>
      </c>
      <c r="V197" s="5"/>
      <c r="W197" s="5">
        <f t="shared" si="35"/>
        <v>49.08</v>
      </c>
    </row>
    <row r="198" spans="1:23" x14ac:dyDescent="0.15">
      <c r="A198" s="1">
        <v>2004</v>
      </c>
      <c r="B198" s="5">
        <f>(K100*($E100/366))+(K101*($E101/366))</f>
        <v>37.5</v>
      </c>
      <c r="C198" s="5">
        <f>(L100*($E100/366))+(L101*($E101/366))</f>
        <v>62.5</v>
      </c>
      <c r="D198" s="5">
        <f>(M100*($E100/366))+(M101*($E101/366))</f>
        <v>0</v>
      </c>
      <c r="E198" s="17">
        <f t="shared" si="34"/>
        <v>100</v>
      </c>
      <c r="G198" s="1">
        <v>2004</v>
      </c>
      <c r="H198" s="392">
        <f>(O100/$R100*100*($E100/366))+(O101/$R101*100*($E101/366))</f>
        <v>35.96153846153846</v>
      </c>
      <c r="I198" s="392"/>
      <c r="J198" s="392">
        <f>(P100/$R100*100*($E100/366))+(P101/$R101*100*($E101/366))</f>
        <v>64.038461538461533</v>
      </c>
      <c r="K198" s="392"/>
      <c r="L198" s="392">
        <f>(Q100/$R100*100*($E100/366))+(Q101/$R101*100*($E101/366))</f>
        <v>0</v>
      </c>
      <c r="M198" s="392"/>
      <c r="N198" s="363">
        <f t="shared" si="36"/>
        <v>100</v>
      </c>
      <c r="O198" s="363"/>
      <c r="R198" s="1">
        <v>2004</v>
      </c>
      <c r="S198" s="5">
        <f>(O100*($E100/366))+(O101*($E101/366))</f>
        <v>18.7</v>
      </c>
      <c r="T198" s="5">
        <f>(P100*($E100/366))+(P101*($E101/366))</f>
        <v>33.299999999999997</v>
      </c>
      <c r="U198" s="5">
        <f>(Q100*($E100/366))+(Q101*($E101/366))</f>
        <v>0</v>
      </c>
      <c r="V198" s="5"/>
      <c r="W198" s="5">
        <f t="shared" si="35"/>
        <v>52</v>
      </c>
    </row>
    <row r="199" spans="1:23" x14ac:dyDescent="0.15">
      <c r="A199" s="1">
        <v>2005</v>
      </c>
      <c r="B199" s="5">
        <f>(K102*($E102/365))+(K103*($E103/365))</f>
        <v>37.5</v>
      </c>
      <c r="C199" s="5">
        <f>(L102*($E102/365))+(L103*($E103/365))</f>
        <v>62.5</v>
      </c>
      <c r="D199" s="5">
        <f>(M102*($E102/365))+(M103*($E103/365))</f>
        <v>0</v>
      </c>
      <c r="E199" s="17">
        <f t="shared" si="34"/>
        <v>100</v>
      </c>
      <c r="G199" s="1">
        <v>2005</v>
      </c>
      <c r="H199" s="392">
        <f>(O102/$R102*100*($E102/365))+(O103/$R103*100*($E103/365))</f>
        <v>35.96153846153846</v>
      </c>
      <c r="I199" s="392"/>
      <c r="J199" s="392">
        <f>(P102/$R102*100*($E102/365))+(P103/$R103*100*($E103/365))</f>
        <v>64.038461538461533</v>
      </c>
      <c r="K199" s="392"/>
      <c r="L199" s="392">
        <f>(Q102/$R102*100*($E102/365))+(Q103/$R103*100*($E103/365))</f>
        <v>0</v>
      </c>
      <c r="M199" s="392"/>
      <c r="N199" s="363">
        <f t="shared" si="36"/>
        <v>100</v>
      </c>
      <c r="O199" s="363"/>
      <c r="R199" s="1">
        <v>2005</v>
      </c>
      <c r="S199" s="5">
        <f>(O102*($E102/365))+(O103*($E103/365))</f>
        <v>18.7</v>
      </c>
      <c r="T199" s="5">
        <f>(P102*($E102/365))+(P103*($E103/365))</f>
        <v>33.299999999999997</v>
      </c>
      <c r="U199" s="5">
        <f>(Q102*($E102/365))+(Q103*($E103/365))</f>
        <v>0</v>
      </c>
      <c r="V199" s="5"/>
      <c r="W199" s="5">
        <f t="shared" si="35"/>
        <v>52</v>
      </c>
    </row>
    <row r="200" spans="1:23" x14ac:dyDescent="0.15">
      <c r="A200" s="1">
        <v>2006</v>
      </c>
      <c r="B200" s="5">
        <f>(K104*($E104/365))+(K105*($E105/365))</f>
        <v>40.547945205479451</v>
      </c>
      <c r="C200" s="5">
        <f>(L104*($E104/365))+(L105*($E105/365))</f>
        <v>59.452054794520549</v>
      </c>
      <c r="D200" s="5">
        <f>(M104*($E104/365))+(M105*($E105/365))</f>
        <v>0</v>
      </c>
      <c r="E200" s="17">
        <f t="shared" si="34"/>
        <v>100</v>
      </c>
      <c r="G200" s="1">
        <v>2006</v>
      </c>
      <c r="H200" s="392">
        <f>(O104/$R104*100*($E104/365))+(O105/$R105*100*($E105/365))</f>
        <v>37.422989111345274</v>
      </c>
      <c r="I200" s="392"/>
      <c r="J200" s="392">
        <f>(P104/$R104*100*($E104/365))+(P105/$R105*100*($E105/365))</f>
        <v>62.577010888654726</v>
      </c>
      <c r="K200" s="392"/>
      <c r="L200" s="392">
        <f>(Q104/$R104*100*($E104/365))+(Q105/$R105*100*($E105/365))</f>
        <v>0</v>
      </c>
      <c r="M200" s="392"/>
      <c r="N200" s="363">
        <f t="shared" si="36"/>
        <v>100</v>
      </c>
      <c r="O200" s="363"/>
      <c r="R200" s="1">
        <v>2006</v>
      </c>
      <c r="S200" s="5">
        <f>(O104*($E104/365))+(O105*($E105/365))</f>
        <v>18.7</v>
      </c>
      <c r="T200" s="5">
        <f>(P104*($E104/365))+(P105*($E105/365))</f>
        <v>31.349315068493148</v>
      </c>
      <c r="U200" s="5">
        <f>(Q104*($E104/365))+(Q105*($E105/365))</f>
        <v>0</v>
      </c>
      <c r="V200" s="5"/>
      <c r="W200" s="5">
        <f t="shared" si="35"/>
        <v>50.049315068493144</v>
      </c>
    </row>
    <row r="201" spans="1:23" x14ac:dyDescent="0.15">
      <c r="A201" s="1">
        <v>2007</v>
      </c>
      <c r="B201" s="5">
        <f>(K106*($E106/365))+(K107*($E107/365))</f>
        <v>6.2328767123287667</v>
      </c>
      <c r="C201" s="5">
        <f>(L106*($E106/365))+(L107*($E107/365))</f>
        <v>61.609589041095894</v>
      </c>
      <c r="D201" s="5">
        <f>(M106*($E106/365))+(M107*($E107/365))</f>
        <v>32.157534246575345</v>
      </c>
      <c r="E201" s="17">
        <f t="shared" si="34"/>
        <v>100</v>
      </c>
      <c r="G201" s="1">
        <v>2007</v>
      </c>
      <c r="H201" s="392">
        <f>(O106/$R106*100*($E106/365))+(O107/$R107*100*($E107/365))</f>
        <v>5.5502283105022832</v>
      </c>
      <c r="I201" s="392"/>
      <c r="J201" s="392">
        <f>(P106/$R106*100*($E106/365))+(P107/$R107*100*($E107/365))</f>
        <v>59.05436188713837</v>
      </c>
      <c r="K201" s="392"/>
      <c r="L201" s="392">
        <f>(Q106/$R106*100*($E106/365))+(Q107/$R107*100*($E107/365))</f>
        <v>35.395409802359353</v>
      </c>
      <c r="M201" s="392"/>
      <c r="N201" s="363">
        <f t="shared" si="36"/>
        <v>100</v>
      </c>
      <c r="O201" s="363"/>
      <c r="R201" s="1">
        <v>2007</v>
      </c>
      <c r="S201" s="5">
        <f>(O106*($E106/365))+(O107*($E107/365))</f>
        <v>2.6641095890410957</v>
      </c>
      <c r="T201" s="5">
        <f>(P106*($E106/365))+(P107*($E107/365))</f>
        <v>31.015068493150686</v>
      </c>
      <c r="U201" s="5">
        <f>(Q106*($E106/365))+(Q107*($E107/365))</f>
        <v>18.865753424657534</v>
      </c>
      <c r="V201" s="5"/>
      <c r="W201" s="5">
        <f t="shared" si="35"/>
        <v>52.544931506849316</v>
      </c>
    </row>
    <row r="202" spans="1:23" x14ac:dyDescent="0.15">
      <c r="A202" s="1">
        <v>2008</v>
      </c>
      <c r="B202" s="5">
        <f>(K108*($E108/366))+(K109*($E109/366))</f>
        <v>0</v>
      </c>
      <c r="C202" s="5">
        <f>(L108*($E108/366))+(L109*($E109/366))</f>
        <v>62.5</v>
      </c>
      <c r="D202" s="5">
        <f>(M108*($E108/366))+(M109*($E109/366))</f>
        <v>37.5</v>
      </c>
      <c r="E202" s="17">
        <f t="shared" si="34"/>
        <v>100</v>
      </c>
      <c r="G202" s="1">
        <v>2008</v>
      </c>
      <c r="H202" s="392">
        <f>(O108/$R108*100*($E108/366))+(O109/$R109*100*($E109/366))</f>
        <v>0</v>
      </c>
      <c r="I202" s="392"/>
      <c r="J202" s="392">
        <f>(P108/$R108*100*($E108/366))+(P109/$R109*100*($E109/366))</f>
        <v>58.724202626641656</v>
      </c>
      <c r="K202" s="392"/>
      <c r="L202" s="392">
        <f>(Q108/$R108*100*($E108/366))+(Q109/$R109*100*($E109/366))</f>
        <v>41.275797373358351</v>
      </c>
      <c r="M202" s="392"/>
      <c r="N202" s="363">
        <f t="shared" si="36"/>
        <v>100</v>
      </c>
      <c r="O202" s="363"/>
      <c r="R202" s="1">
        <v>2008</v>
      </c>
      <c r="S202" s="5">
        <f>(O108*($E108/366))+(O109*($E109/366))</f>
        <v>0</v>
      </c>
      <c r="T202" s="5">
        <f>(P108*($E108/366))+(P109*($E109/366))</f>
        <v>31.3</v>
      </c>
      <c r="U202" s="5">
        <f>(Q108*($E108/366))+(Q109*($E109/366))</f>
        <v>22</v>
      </c>
      <c r="V202" s="5"/>
      <c r="W202" s="5">
        <f t="shared" si="35"/>
        <v>53.3</v>
      </c>
    </row>
    <row r="203" spans="1:23" x14ac:dyDescent="0.15">
      <c r="A203" s="1">
        <v>2009</v>
      </c>
      <c r="B203" s="5">
        <f>(K110*($E110/365))+(K111*($E111/365))</f>
        <v>0</v>
      </c>
      <c r="C203" s="5">
        <f>(L110*($E110/365))+(L111*($E111/365))</f>
        <v>62.5</v>
      </c>
      <c r="D203" s="5">
        <f>(M110*($E110/365))+(M111*($E111/365))</f>
        <v>37.5</v>
      </c>
      <c r="E203" s="17">
        <f t="shared" si="34"/>
        <v>100</v>
      </c>
      <c r="G203" s="1">
        <v>2009</v>
      </c>
      <c r="H203" s="392">
        <f>(O110/$R110*100*($E110/365))+(O111/$R111*100*($E111/365))</f>
        <v>0</v>
      </c>
      <c r="I203" s="392"/>
      <c r="J203" s="392">
        <f>(P110/$R110*100*($E110/365))+(P111/$R111*100*($E111/365))</f>
        <v>58.724202626641656</v>
      </c>
      <c r="K203" s="392"/>
      <c r="L203" s="392">
        <f>(Q110/$R110*100*($E110/365))+(Q111/$R111*100*($E111/365))</f>
        <v>41.275797373358351</v>
      </c>
      <c r="M203" s="392"/>
      <c r="N203" s="363">
        <f t="shared" si="36"/>
        <v>100</v>
      </c>
      <c r="O203" s="363"/>
      <c r="R203" s="1">
        <v>2009</v>
      </c>
      <c r="S203" s="5">
        <f>(O110*($E110/365))+(O111*($E111/365))</f>
        <v>0</v>
      </c>
      <c r="T203" s="5">
        <f>(P110*($E110/365))+(P111*($E111/365))</f>
        <v>31.3</v>
      </c>
      <c r="U203" s="5">
        <f>(Q110*($E110/365))+(Q111*($E111/365))</f>
        <v>22</v>
      </c>
      <c r="V203" s="5"/>
      <c r="W203" s="5">
        <f t="shared" si="35"/>
        <v>53.3</v>
      </c>
    </row>
    <row r="204" spans="1:23" x14ac:dyDescent="0.15">
      <c r="A204" s="1">
        <v>2010</v>
      </c>
      <c r="B204" s="5">
        <f>(K112*($E112/365))+(K113*($E113/365))+(K114*($E114/365))</f>
        <v>10.821917808219178</v>
      </c>
      <c r="C204" s="5">
        <f>(L112*($E112/365))+(L113*($E113/365))+(L114*($E114/365))</f>
        <v>84.041095890410958</v>
      </c>
      <c r="D204" s="5">
        <f>(M112*($E112/365))+(M113*($E113/365))+(M114*($E114/365))</f>
        <v>5.1369863013698627</v>
      </c>
      <c r="E204" s="17">
        <f t="shared" si="34"/>
        <v>100</v>
      </c>
      <c r="G204" s="1">
        <v>2010</v>
      </c>
      <c r="H204" s="392">
        <f>(O112/$R112*100*($E112/365))+(O113/$R113*100*($E113/365))+(O114/$R114*100*($E114/365))</f>
        <v>12.91145237061308</v>
      </c>
      <c r="I204" s="392"/>
      <c r="J204" s="392">
        <f>(P112/$R112*100*($E112/365))+(P113/$R113*100*($E113/365))+(P114/$R114*100*($E114/365))</f>
        <v>81.434328811118647</v>
      </c>
      <c r="K204" s="392"/>
      <c r="L204" s="392">
        <f>(Q112/$R112*100*($E112/365))+(Q113/$R113*100*($E113/365))+(Q114/$R114*100*($E114/365))</f>
        <v>5.6542188182682667</v>
      </c>
      <c r="M204" s="392"/>
      <c r="N204" s="363">
        <f t="shared" si="36"/>
        <v>99.999999999999986</v>
      </c>
      <c r="O204" s="363"/>
      <c r="R204" s="1">
        <v>2010</v>
      </c>
      <c r="S204" s="5">
        <f>(O112*($E112/365))+(O113*($E113/365))+(O114*($E114/365))</f>
        <v>4.4802739726027392</v>
      </c>
      <c r="T204" s="5">
        <f>(P112*($E112/365))+(P113*($E113/365))+(P114*($E114/365))</f>
        <v>27.555616438356161</v>
      </c>
      <c r="U204" s="5">
        <f>(Q112*($E112/365))+(Q113*($E113/365))+(Q114*($E114/365))</f>
        <v>3.0136986301369859</v>
      </c>
      <c r="V204" s="5"/>
      <c r="W204" s="5">
        <f t="shared" si="35"/>
        <v>35.049589041095885</v>
      </c>
    </row>
    <row r="205" spans="1:23" x14ac:dyDescent="0.15">
      <c r="A205" s="1">
        <v>2011</v>
      </c>
      <c r="B205" s="5">
        <f>(K115*($E115/365))+(K116*($E116/365))</f>
        <v>50</v>
      </c>
      <c r="C205" s="5">
        <f>(L115*($E115/365))+(L116*($E116/365))</f>
        <v>50</v>
      </c>
      <c r="D205" s="5">
        <f>(M115*($E115/365))+(M116*($E116/365))</f>
        <v>0</v>
      </c>
      <c r="E205" s="17">
        <f t="shared" si="34"/>
        <v>100</v>
      </c>
      <c r="G205" s="1">
        <v>2011</v>
      </c>
      <c r="H205" s="392">
        <f>(O115/$R115*100*($E115/365))+(O116/$R116*100*($E116/365))</f>
        <v>59.654178674351577</v>
      </c>
      <c r="I205" s="392"/>
      <c r="J205" s="392">
        <f>(P115/$R115*100*($E115/365))+(P116/$R116*100*($E116/365))</f>
        <v>40.345821325648416</v>
      </c>
      <c r="K205" s="392"/>
      <c r="L205" s="392">
        <f>(Q115/$R115*100*($E115/365))+(Q116/$R116*100*($E116/365))</f>
        <v>0</v>
      </c>
      <c r="M205" s="392"/>
      <c r="N205" s="363">
        <f t="shared" si="36"/>
        <v>100</v>
      </c>
      <c r="O205" s="363"/>
      <c r="R205" s="1">
        <v>2011</v>
      </c>
      <c r="S205" s="5">
        <f>(O115*($E115/365))+(O116*($E116/365))</f>
        <v>20.7</v>
      </c>
      <c r="T205" s="5">
        <f>(P115*($E115/365))+(P116*($E116/365))</f>
        <v>14</v>
      </c>
      <c r="U205" s="5">
        <f>(Q115*($E115/365))+(Q116*($E116/365))</f>
        <v>0</v>
      </c>
      <c r="V205" s="5"/>
      <c r="W205" s="5">
        <f t="shared" si="35"/>
        <v>34.700000000000003</v>
      </c>
    </row>
    <row r="206" spans="1:23" x14ac:dyDescent="0.15">
      <c r="A206" s="1">
        <v>2012</v>
      </c>
      <c r="B206" s="5">
        <f>(K117*($E117/366))+(K118*($E118/366))</f>
        <v>50.598991172761671</v>
      </c>
      <c r="C206" s="5">
        <f>(L117*($E117/366))+(L118*($E118/366))</f>
        <v>42.213114754098363</v>
      </c>
      <c r="D206" s="5">
        <f>(M117*($E117/366))+(M118*($E118/366))</f>
        <v>7.187894073139975</v>
      </c>
      <c r="E206" s="17">
        <f t="shared" si="34"/>
        <v>100</v>
      </c>
      <c r="G206" s="1">
        <v>2012</v>
      </c>
      <c r="H206" s="392">
        <f>(O117/$R117*100*($E117/366))+(O118/$R118*100*($E118/366))</f>
        <v>58.446738331655865</v>
      </c>
      <c r="I206" s="392"/>
      <c r="J206" s="392">
        <f>(P117/$R117*100*($E117/366))+(P118/$R118*100*($E118/366))</f>
        <v>34.062455709358908</v>
      </c>
      <c r="K206" s="392"/>
      <c r="L206" s="392">
        <f>(Q117/$R117*100*($E117/366))+(Q118/$R118*100*($E118/366))</f>
        <v>7.4908059589852272</v>
      </c>
      <c r="M206" s="392"/>
      <c r="N206" s="363">
        <f t="shared" si="36"/>
        <v>100</v>
      </c>
      <c r="O206" s="363"/>
      <c r="R206" s="1">
        <v>2012</v>
      </c>
      <c r="S206" s="5">
        <f>(O117*($E117/366))+(O118*($E118/366))</f>
        <v>21.727868852459014</v>
      </c>
      <c r="T206" s="5">
        <f>(P117*($E117/366))+(P118*($E118/366))</f>
        <v>11.819672131147541</v>
      </c>
      <c r="U206" s="5">
        <f>(Q117*($E117/366))+(Q118*($E118/366))</f>
        <v>3.9401639344262298</v>
      </c>
      <c r="V206" s="5"/>
      <c r="W206" s="5">
        <f t="shared" si="35"/>
        <v>37.487704918032783</v>
      </c>
    </row>
    <row r="207" spans="1:23" x14ac:dyDescent="0.15">
      <c r="A207" s="1">
        <v>2013</v>
      </c>
      <c r="B207" s="5">
        <f>(K119*($E119/365))+(K120*($E120/365))</f>
        <v>53.846153846153847</v>
      </c>
      <c r="C207" s="5">
        <f>(L119*($E119/365))+(L120*($E120/365))</f>
        <v>0</v>
      </c>
      <c r="D207" s="5">
        <f>(M119*($E119/365))+(M120*($E120/365))</f>
        <v>46.153846153846153</v>
      </c>
      <c r="E207" s="17">
        <f t="shared" si="34"/>
        <v>100</v>
      </c>
      <c r="F207" s="5"/>
      <c r="G207" s="1">
        <v>2013</v>
      </c>
      <c r="H207" s="392">
        <f>(O119/$R119*100*($E119/365))+(O120/$R120*100*($E120/365))</f>
        <v>51.901140684410649</v>
      </c>
      <c r="I207" s="392"/>
      <c r="J207" s="392">
        <f>(P119/$R119*100*($E119/365))+(P120/$R120*100*($E120/365))</f>
        <v>0</v>
      </c>
      <c r="K207" s="392"/>
      <c r="L207" s="392">
        <f>(Q119/$R119*100*($E119/365))+(Q120/$R120*100*($E120/365))</f>
        <v>48.098859315589351</v>
      </c>
      <c r="M207" s="392"/>
      <c r="N207" s="363">
        <f>H207+J207+L207</f>
        <v>100</v>
      </c>
      <c r="O207" s="363"/>
      <c r="R207" s="1">
        <v>2013</v>
      </c>
      <c r="S207" s="5">
        <f>(O119*($E119/365))+(O120*($E120/365))</f>
        <v>27.3</v>
      </c>
      <c r="T207" s="5">
        <f>(P119*($E119/365))+(P120*($E120/365))</f>
        <v>0</v>
      </c>
      <c r="U207" s="5">
        <f>(Q119*($E119/365))+(Q120*($E120/365))</f>
        <v>25.3</v>
      </c>
      <c r="W207" s="5">
        <f t="shared" si="35"/>
        <v>52.6</v>
      </c>
    </row>
    <row r="208" spans="1:23" x14ac:dyDescent="0.15">
      <c r="A208" s="1">
        <v>2014</v>
      </c>
      <c r="B208" s="5">
        <f>(K121*($E121/365))+(K122*($E122/365))</f>
        <v>53.846153846153847</v>
      </c>
      <c r="C208" s="5">
        <f>(L121*($E121/365))+(L122*($E122/365))</f>
        <v>0</v>
      </c>
      <c r="D208" s="5">
        <f>(M121*($E121/365))+(M122*($E122/365))</f>
        <v>46.153846153846153</v>
      </c>
      <c r="E208" s="17">
        <f>B208+C208+D208</f>
        <v>100</v>
      </c>
      <c r="F208" s="5"/>
      <c r="G208" s="1">
        <v>2014</v>
      </c>
      <c r="H208" s="392">
        <f>(O121/$R121*100*($E121/365))+(O122/$R122*100*($E122/365))</f>
        <v>51.901140684410649</v>
      </c>
      <c r="I208" s="392"/>
      <c r="J208" s="392">
        <f>(P121/$R121*100*($E121/365))+(P122/$R122*100*($E122/365))</f>
        <v>0</v>
      </c>
      <c r="K208" s="392"/>
      <c r="L208" s="392">
        <f>(Q121/$R121*100*($E121/365))+(Q122/$R122*100*($E122/365))</f>
        <v>48.098859315589351</v>
      </c>
      <c r="M208" s="392"/>
      <c r="N208" s="363">
        <f>H208+J208+L208</f>
        <v>100</v>
      </c>
      <c r="O208" s="363"/>
      <c r="R208" s="1">
        <v>2014</v>
      </c>
      <c r="S208" s="5">
        <f>(O121*($E121/365))+(O122*($E122/365))</f>
        <v>27.3</v>
      </c>
      <c r="T208" s="5">
        <f>(P121*($E121/365))+(P122*($E122/365))</f>
        <v>0</v>
      </c>
      <c r="U208" s="5">
        <f>(Q121*($E121/365))+(Q122*($E122/365))</f>
        <v>25.3</v>
      </c>
      <c r="W208" s="5">
        <f>S208+T208+U208</f>
        <v>52.6</v>
      </c>
    </row>
    <row r="209" spans="1:23" x14ac:dyDescent="0.15">
      <c r="A209" s="1">
        <v>2015</v>
      </c>
      <c r="B209" s="5">
        <f>(K123*($E123/365))+(K124*($E124/365))</f>
        <v>53.846153846153847</v>
      </c>
      <c r="C209" s="5">
        <f>(L123*($E123/365))+(L124*($E124/365))</f>
        <v>0</v>
      </c>
      <c r="D209" s="5">
        <f>(M123*($E123/365))+(M124*($E124/365))</f>
        <v>46.153846153846153</v>
      </c>
      <c r="E209" s="17">
        <f>B209+C209+D209</f>
        <v>100</v>
      </c>
      <c r="F209" s="5"/>
      <c r="G209" s="1">
        <v>2015</v>
      </c>
      <c r="H209" s="392">
        <f>(O123/$R123*100*($E123/365))+(O124/$R124*100*($E124/365))</f>
        <v>51.901140684410649</v>
      </c>
      <c r="I209" s="392"/>
      <c r="J209" s="392">
        <f>(P123/$R123*100*($E123/365))+(P124/$R124*100*($E124/365))</f>
        <v>0</v>
      </c>
      <c r="K209" s="392"/>
      <c r="L209" s="392">
        <f>(Q123/$R123*100*($E123/365))+(Q124/$R124*100*($E124/365))</f>
        <v>48.098859315589351</v>
      </c>
      <c r="M209" s="392"/>
      <c r="N209" s="363">
        <f>H209+J209+L209</f>
        <v>100</v>
      </c>
      <c r="O209" s="363"/>
      <c r="R209" s="1">
        <v>2015</v>
      </c>
      <c r="S209" s="5">
        <f>(O123*($E123/365))+(O124*($E124/365))</f>
        <v>27.3</v>
      </c>
      <c r="T209" s="5">
        <f>(P123*($E123/365))+(P124*($E124/365))</f>
        <v>0</v>
      </c>
      <c r="U209" s="5">
        <f>(Q123*($E123/365))+(Q124*($E124/365))</f>
        <v>25.3</v>
      </c>
      <c r="W209" s="5">
        <f>S209+T209+U209</f>
        <v>52.6</v>
      </c>
    </row>
    <row r="210" spans="1:23" x14ac:dyDescent="0.15">
      <c r="A210" s="1">
        <v>2016</v>
      </c>
      <c r="B210" s="5">
        <f>(K125*($E125/366))+(K126*($E126/366))</f>
        <v>53.846153846153847</v>
      </c>
      <c r="C210" s="5">
        <f>(L125*($E125/366))+(L126*($E126/366))</f>
        <v>0</v>
      </c>
      <c r="D210" s="5">
        <f>(M125*($E125/366))+(M126*($E126/366))</f>
        <v>46.153846153846153</v>
      </c>
      <c r="E210" s="17">
        <f t="shared" ref="E210" si="37">B210+C210+D210</f>
        <v>100</v>
      </c>
      <c r="F210" s="5"/>
      <c r="G210" s="1">
        <v>2016</v>
      </c>
      <c r="H210" s="392">
        <f>(O125/$R125*100*($E125/366))+(O126/$R126*100*($E126/366))</f>
        <v>51.901140684410649</v>
      </c>
      <c r="I210" s="392"/>
      <c r="J210" s="392">
        <f>(P125/$R125*100*($E125/366))+(P126/$R126*100*($E126/366))</f>
        <v>0</v>
      </c>
      <c r="K210" s="392"/>
      <c r="L210" s="392">
        <f>(Q125/$R125*100*($E125/366))+(Q126/$R126*100*($E126/366))</f>
        <v>48.098859315589351</v>
      </c>
      <c r="M210" s="392"/>
      <c r="N210" s="363">
        <f t="shared" ref="N210" si="38">H210+J210+L210</f>
        <v>100</v>
      </c>
      <c r="O210" s="363"/>
      <c r="R210" s="1">
        <v>2016</v>
      </c>
      <c r="S210" s="5">
        <f>(O125*($E125/366))+(O126*($E126/366))</f>
        <v>27.3</v>
      </c>
      <c r="T210" s="5">
        <f>(P125*($E125/366))+(P126*($E126/366))</f>
        <v>0</v>
      </c>
      <c r="U210" s="5">
        <f>(Q125*($E125/366))+(Q126*($E126/366))</f>
        <v>25.3</v>
      </c>
      <c r="W210" s="5">
        <f t="shared" ref="W210" si="39">S210+T210+U210</f>
        <v>52.6</v>
      </c>
    </row>
    <row r="211" spans="1:23" x14ac:dyDescent="0.15">
      <c r="A211" s="1">
        <v>2017</v>
      </c>
      <c r="B211" s="5">
        <f>(K127*($E127/365))+(K128*($E128/365))+(K129*($E129/365))</f>
        <v>47.968914646996836</v>
      </c>
      <c r="C211" s="5">
        <f t="shared" ref="C211:D211" si="40">(L127*($E127/365))+(L128*($E128/365))+(L129*($E129/365))</f>
        <v>11.472602739726026</v>
      </c>
      <c r="D211" s="5">
        <f t="shared" si="40"/>
        <v>40.558482613277135</v>
      </c>
      <c r="E211" s="17">
        <f t="shared" ref="E211" si="41">B211+C211+D211</f>
        <v>100</v>
      </c>
      <c r="F211" s="5"/>
      <c r="G211" s="1">
        <v>2017</v>
      </c>
      <c r="H211" s="392">
        <f>(O127/$R127*100*($E127/365))+(O128/$R128*100*($E128/365))+(O129/$R129*100*($E129/365))</f>
        <v>50.339281518709939</v>
      </c>
      <c r="I211" s="392"/>
      <c r="J211" s="392">
        <f>(P127/$R127*100*($E127/365))+(P128/$R128*100*($E128/365))+(P129/$R129*100*($E129/365))</f>
        <v>10.390964848288347</v>
      </c>
      <c r="K211" s="392"/>
      <c r="L211" s="392">
        <f>(Q127/$R127*100*($E127/365))+(Q128/$R128*100*($E128/365))+(Q129/$R129*100*($E129/365))</f>
        <v>39.26975363300172</v>
      </c>
      <c r="M211" s="392"/>
      <c r="N211" s="363">
        <f t="shared" ref="N211" si="42">H211+J211+L211</f>
        <v>100</v>
      </c>
      <c r="O211" s="363"/>
      <c r="R211" s="1">
        <v>2017</v>
      </c>
      <c r="S211" s="5">
        <f>(O127*($E127/365))+(O128*($E128/365))+(O129*($E129/365))</f>
        <v>26.327123287671235</v>
      </c>
      <c r="T211" s="5">
        <f t="shared" ref="T211:U211" si="43">(P127*($E127/365))+(P128*($E128/365))+(P129*($E129/365))</f>
        <v>5.2682191780821919</v>
      </c>
      <c r="U211" s="5">
        <f t="shared" si="43"/>
        <v>20.655890410958907</v>
      </c>
      <c r="W211" s="5">
        <f t="shared" ref="W211" si="44">S211+T211+U211</f>
        <v>52.251232876712336</v>
      </c>
    </row>
    <row r="212" spans="1:23" x14ac:dyDescent="0.15">
      <c r="A212" s="1">
        <v>2018</v>
      </c>
      <c r="B212" s="5">
        <f>(K130*($E130/365))+(K131*($E131/365))</f>
        <v>37.5</v>
      </c>
      <c r="C212" s="5">
        <f>(L130*($E130/365))+(L131*($E131/365))</f>
        <v>62.5</v>
      </c>
      <c r="D212" s="5">
        <f>(M130*($E130/365))+(M131*($E131/365))</f>
        <v>0</v>
      </c>
      <c r="E212" s="17">
        <f>B212+C212+D212</f>
        <v>100</v>
      </c>
      <c r="F212" s="5"/>
      <c r="G212" s="1">
        <v>2018</v>
      </c>
      <c r="H212" s="392">
        <f>(O130/$R130*100*($E130/365))+(O131/$R131*100*($E131/365))</f>
        <v>43.392504930966467</v>
      </c>
      <c r="I212" s="392"/>
      <c r="J212" s="392">
        <f>(P130/$R130*100*($E130/365))+(P131/$R131*100*($E131/365))</f>
        <v>56.607495069033533</v>
      </c>
      <c r="K212" s="392"/>
      <c r="L212" s="392">
        <f>(Q130/$R130*100*($E130/365))+(Q131/$R131*100*($E131/365))</f>
        <v>0</v>
      </c>
      <c r="M212" s="392"/>
      <c r="N212" s="363">
        <f t="shared" ref="N212" si="45">H212+J212+L212</f>
        <v>100</v>
      </c>
      <c r="O212" s="363"/>
      <c r="R212" s="1">
        <v>2018</v>
      </c>
      <c r="S212" s="5">
        <f>(O130*($E130/365))+(O131*($E131/365))</f>
        <v>22</v>
      </c>
      <c r="T212" s="5">
        <f>(P130*($E130/365))+(P131*($E131/365))</f>
        <v>28.7</v>
      </c>
      <c r="U212" s="5">
        <f>(Q130*($E130/365))+(Q131*($E131/365))</f>
        <v>0</v>
      </c>
      <c r="W212" s="5">
        <f>S212+T212+U212</f>
        <v>50.7</v>
      </c>
    </row>
    <row r="213" spans="1:23" x14ac:dyDescent="0.15">
      <c r="A213" s="1">
        <v>2019</v>
      </c>
      <c r="B213" s="5">
        <f>(K132*($E132/365))+(K133*($E133/365))</f>
        <v>37.131345688960515</v>
      </c>
      <c r="C213" s="5">
        <f>(L132*($E132/365))+(L133*($E133/365))</f>
        <v>62.868654311039485</v>
      </c>
      <c r="D213" s="5">
        <f>(M132*($E132/365))+(M133*($E133/365))</f>
        <v>0</v>
      </c>
      <c r="E213" s="17">
        <f>B213+C213+D213</f>
        <v>100</v>
      </c>
      <c r="F213" s="5"/>
      <c r="G213" s="1">
        <v>2019</v>
      </c>
      <c r="H213" s="392">
        <f>(O132/$R132*100*($E132/365))+(O133/$R133*100*($E133/365))</f>
        <v>43.392504930966467</v>
      </c>
      <c r="I213" s="392"/>
      <c r="J213" s="392">
        <f>(P132/$R132*100*($E132/365))+(P133/$R133*100*($E133/365))</f>
        <v>56.607495069033533</v>
      </c>
      <c r="K213" s="392"/>
      <c r="L213" s="392">
        <f>(Q132/$R132*100*($E132/365))+(Q133/$R133*100*($E133/365))</f>
        <v>0</v>
      </c>
      <c r="M213" s="392"/>
      <c r="N213" s="363">
        <f t="shared" ref="N213" si="46">H213+J213+L213</f>
        <v>100</v>
      </c>
      <c r="O213" s="363"/>
      <c r="R213" s="1">
        <v>2019</v>
      </c>
      <c r="S213" s="5">
        <f>(O132*($E132/365))+(O133*($E133/365))</f>
        <v>22</v>
      </c>
      <c r="T213" s="5">
        <f>(P132*($E132/365))+(P133*($E133/365))</f>
        <v>28.7</v>
      </c>
      <c r="U213" s="5">
        <f>(Q132*($E132/365))+(Q133*($E133/365))</f>
        <v>0</v>
      </c>
      <c r="W213" s="5">
        <f>S213+T213+U213</f>
        <v>50.7</v>
      </c>
    </row>
    <row r="214" spans="1:23" x14ac:dyDescent="0.15">
      <c r="A214" s="1">
        <v>2020</v>
      </c>
      <c r="B214" s="5">
        <f>(K134*($E134/366))+(K135*($E135/366))+(K136*($E136/366))+(K137*($E137/366))</f>
        <v>34.986740597878494</v>
      </c>
      <c r="C214" s="5">
        <f>(L134*($E134/366))+(L135*($E135/366))+(L136*($E136/366))+(L137*($E137/366))</f>
        <v>63.126808100289296</v>
      </c>
      <c r="D214" s="5">
        <f>(M134*($E134/366))+(M135*($E135/366))+(M136*($E136/366))+(M137*($E137/366))</f>
        <v>0</v>
      </c>
      <c r="E214" s="17">
        <f t="shared" ref="E214" si="47">B214+C214+D214</f>
        <v>98.11354869816779</v>
      </c>
      <c r="F214" s="5"/>
      <c r="G214" s="1">
        <v>2020</v>
      </c>
      <c r="H214" s="392">
        <f>(O134/$R134*100*($E134/366))+(O135/$R135*100*($E135/366))+(O136/$R136*100*($E136/366))+(O137/$R137*100*($E137/366))</f>
        <v>43.392504930966467</v>
      </c>
      <c r="I214" s="392"/>
      <c r="J214" s="392">
        <f>(P134/$R134*100*($E134/366))+(P135/$R135*100*($E135/366))+(P136/$R136*100*($E136/366))+(P137/$R137*100*($E137/366))</f>
        <v>56.607495069033533</v>
      </c>
      <c r="K214" s="392"/>
      <c r="L214" s="392">
        <f>(Q134/$R134*100*($E134/366))+(Q135/$R135*100*($E135/366))+(Q136/$R136*100*($E136/366))+(Q137/$R137*100*($E137/366))</f>
        <v>0</v>
      </c>
      <c r="M214" s="392"/>
      <c r="N214" s="363">
        <f t="shared" ref="N214" si="48">H214+J214+L214</f>
        <v>100</v>
      </c>
      <c r="O214" s="363"/>
      <c r="R214" s="1">
        <v>2020</v>
      </c>
      <c r="S214" s="5">
        <f>(O134*($E134/366))+(O135*($E135/366))+(O136*($E136/366))+(O137*($E137/366))</f>
        <v>22</v>
      </c>
      <c r="T214" s="5">
        <f>(P134*($E134/366))+(P135*($E135/366))+(P136*($E136/366))+(P137*($E137/366))</f>
        <v>28.699999999999996</v>
      </c>
      <c r="U214" s="5">
        <f>(Q134*($E134/366))+(Q135*($E135/366))+(Q136*($E136/366))+(Q137*($E137/366))</f>
        <v>0</v>
      </c>
      <c r="W214" s="5">
        <f t="shared" ref="W214" si="49">S214+T214+U214</f>
        <v>50.699999999999996</v>
      </c>
    </row>
    <row r="215" spans="1:23" x14ac:dyDescent="0.15">
      <c r="A215" s="1">
        <v>2021</v>
      </c>
      <c r="B215" s="5">
        <f>(K138*($E138/365))+(K139*($E139/365))+(K140*($E140/365))+(K141*($E141/365))+(K142*($E142/365))</f>
        <v>34.595890410958901</v>
      </c>
      <c r="C215" s="5">
        <f>(L138*($E138/365))+(L139*($E139/365))+(L140*($E140/365))+(L141*($E141/365))+(L142*($E142/365))</f>
        <v>65.404109589041099</v>
      </c>
      <c r="D215" s="5">
        <f>(M138*($E138/365))+(M139*($E139/365))+(M140*($E140/365))+(M141*($E141/365))+(M142*($E142/365))</f>
        <v>0</v>
      </c>
      <c r="E215" s="17">
        <f t="shared" ref="E215" si="50">B215+C215+D215</f>
        <v>100</v>
      </c>
      <c r="F215" s="5"/>
      <c r="G215" s="1">
        <v>2021</v>
      </c>
      <c r="H215" s="392">
        <f>(O138/$R138*100*($E138/365))+(O139/$R139*100*($E139/365))+(O140/$R140*100*($E140/365))+(O141/$R141*100*($E141/365))+(O142/$R142*100*($E142/365))</f>
        <v>42.574257425742573</v>
      </c>
      <c r="I215" s="392"/>
      <c r="J215" s="392">
        <f>(P138/$R138*100*($E138/365))+(P139/$R139*100*($E139/365))+(P140/$R140*100*($E140/365))+(P141/$R141*100*($E141/365))+(P142/$R142*100*($E142/365))</f>
        <v>57.425742574257413</v>
      </c>
      <c r="K215" s="392"/>
      <c r="L215" s="392">
        <f>(Q138/$R138*100*($E138/365))+(Q139/$R139*100*($E139/365))+(Q140/$R140*100*($E140/365))+(Q141/$R141*100*($E141/365))+(Q142/$R142*100*($E142/365))</f>
        <v>0</v>
      </c>
      <c r="M215" s="392"/>
      <c r="N215" s="363">
        <f t="shared" ref="N215" si="51">H215+J215+L215</f>
        <v>99.999999999999986</v>
      </c>
      <c r="O215" s="363"/>
      <c r="R215" s="1">
        <v>2021</v>
      </c>
      <c r="S215" s="5">
        <f>(O138*($E138/365))+(O139*($E139/365))+(O140*($E140/365))+(O141*($E141/365))+(O142*($E142/365))</f>
        <v>21.5</v>
      </c>
      <c r="T215" s="5">
        <f>(P138*($E138/365))+(P139*($E139/365))+(P140*($E140/365))+(P141*($E141/365))+(P142*($E142/365))</f>
        <v>28.999999999999993</v>
      </c>
      <c r="U215" s="5">
        <f>(Q138*($E138/365))+(Q139*($E139/365))+(Q140*($E140/365))+(Q141*($E141/365))+(Q142*($E142/365))</f>
        <v>0</v>
      </c>
      <c r="W215" s="5">
        <f t="shared" ref="W215" si="52">S215+T215+U215</f>
        <v>50.499999999999993</v>
      </c>
    </row>
    <row r="216" spans="1:23" x14ac:dyDescent="0.15">
      <c r="A216" s="1">
        <v>2022</v>
      </c>
      <c r="B216" s="5">
        <f>(K143*($E143/365))+(K144*($E144/365))+(K145*($E145/365))+(K146*($E146/365))</f>
        <v>39.978851237683244</v>
      </c>
      <c r="C216" s="5">
        <f>(L143*($E143/365))+(L144*($E144/365))+(L145*($E145/365))+(L146*($E146/365))</f>
        <v>60.021148762316756</v>
      </c>
      <c r="D216" s="5">
        <f>(M143*($E143/365))+(M144*($E144/365))+(M145*($E145/365))+(M146*($E146/365))</f>
        <v>0</v>
      </c>
      <c r="E216" s="17">
        <f t="shared" ref="E216" si="53">B216+C216+D216</f>
        <v>100</v>
      </c>
      <c r="F216" s="5"/>
      <c r="G216" s="1">
        <v>2022</v>
      </c>
      <c r="H216" s="392">
        <f>(O143/$R143*100*($E143/365))+(O144/$R144*100*($E144/365))+(O145/$R145*100*($E145/365))+(O146/$R146*100*($E146/365))</f>
        <v>44.203615266597552</v>
      </c>
      <c r="I216" s="392"/>
      <c r="J216" s="392">
        <f>(P143/$R143*100*($E143/365))+(P144/$R144*100*($E144/365))+(P145/$R145*100*($E145/365))+(P146/$R146*100*($E146/365))</f>
        <v>55.796384733402455</v>
      </c>
      <c r="K216" s="392"/>
      <c r="L216" s="392">
        <f>(Q143/$R143*100*($E143/365))+(Q144/$R144*100*($E144/365))+(Q145/$R145*100*($E145/365))+(Q146/$R146*100*($E146/365))</f>
        <v>0</v>
      </c>
      <c r="M216" s="392"/>
      <c r="N216" s="363">
        <f t="shared" ref="N216" si="54">H216+J216+L216</f>
        <v>100</v>
      </c>
      <c r="O216" s="363"/>
      <c r="R216" s="1">
        <v>2022</v>
      </c>
      <c r="S216" s="5">
        <f>(O143*($E143/365))+(O144*($E144/365))+(O145*($E145/365))+(O146*($E146/365))</f>
        <v>22.667123287671231</v>
      </c>
      <c r="T216" s="5">
        <f>(P143*($E143/365))+(P144*($E144/365))+(P145*($E145/365))+(P146*($E146/365))</f>
        <v>28.610958904109591</v>
      </c>
      <c r="U216" s="5">
        <f>(Q143*($E143/365))+(Q144*($E144/365))+(Q145*($E145/365))+(Q146*($E146/365))</f>
        <v>0</v>
      </c>
      <c r="W216" s="5">
        <f t="shared" ref="W216" si="55">S216+T216+U216</f>
        <v>51.278082191780825</v>
      </c>
    </row>
  </sheetData>
  <mergeCells count="423">
    <mergeCell ref="C143:D143"/>
    <mergeCell ref="C144:D144"/>
    <mergeCell ref="C145:D145"/>
    <mergeCell ref="C146:D146"/>
    <mergeCell ref="H216:I216"/>
    <mergeCell ref="J216:K216"/>
    <mergeCell ref="L216:M216"/>
    <mergeCell ref="N216:O216"/>
    <mergeCell ref="H214:I214"/>
    <mergeCell ref="J214:K214"/>
    <mergeCell ref="L214:M214"/>
    <mergeCell ref="N214:O214"/>
    <mergeCell ref="H209:I209"/>
    <mergeCell ref="J209:K209"/>
    <mergeCell ref="L209:M209"/>
    <mergeCell ref="N209:O209"/>
    <mergeCell ref="L194:M194"/>
    <mergeCell ref="H185:I185"/>
    <mergeCell ref="H186:I186"/>
    <mergeCell ref="H187:I187"/>
    <mergeCell ref="H188:I188"/>
    <mergeCell ref="H189:I189"/>
    <mergeCell ref="H190:I190"/>
    <mergeCell ref="H182:I182"/>
    <mergeCell ref="C121:D121"/>
    <mergeCell ref="C122:D122"/>
    <mergeCell ref="H208:I208"/>
    <mergeCell ref="J208:K208"/>
    <mergeCell ref="L208:M208"/>
    <mergeCell ref="N208:O208"/>
    <mergeCell ref="H206:I206"/>
    <mergeCell ref="J206:K206"/>
    <mergeCell ref="L206:M206"/>
    <mergeCell ref="N206:O206"/>
    <mergeCell ref="L197:M197"/>
    <mergeCell ref="L196:M196"/>
    <mergeCell ref="L198:M198"/>
    <mergeCell ref="L199:M199"/>
    <mergeCell ref="L185:M185"/>
    <mergeCell ref="L186:M186"/>
    <mergeCell ref="J201:K201"/>
    <mergeCell ref="J202:K202"/>
    <mergeCell ref="L195:M195"/>
    <mergeCell ref="L189:M189"/>
    <mergeCell ref="L190:M190"/>
    <mergeCell ref="J185:K185"/>
    <mergeCell ref="J186:K186"/>
    <mergeCell ref="J187:K187"/>
    <mergeCell ref="AT4:AW4"/>
    <mergeCell ref="R150:W150"/>
    <mergeCell ref="N194:O194"/>
    <mergeCell ref="N195:O195"/>
    <mergeCell ref="N179:O179"/>
    <mergeCell ref="N180:O180"/>
    <mergeCell ref="N181:O181"/>
    <mergeCell ref="N182:O182"/>
    <mergeCell ref="N188:O188"/>
    <mergeCell ref="N189:O189"/>
    <mergeCell ref="N190:O190"/>
    <mergeCell ref="N191:O191"/>
    <mergeCell ref="N192:O192"/>
    <mergeCell ref="N193:O193"/>
    <mergeCell ref="N183:O183"/>
    <mergeCell ref="N184:O184"/>
    <mergeCell ref="N185:O185"/>
    <mergeCell ref="N186:O186"/>
    <mergeCell ref="N187:O187"/>
    <mergeCell ref="N177:O177"/>
    <mergeCell ref="N178:O178"/>
    <mergeCell ref="N163:O163"/>
    <mergeCell ref="N170:O170"/>
    <mergeCell ref="AP4:AS4"/>
    <mergeCell ref="AX4:BA4"/>
    <mergeCell ref="H205:I205"/>
    <mergeCell ref="J205:K205"/>
    <mergeCell ref="L205:M205"/>
    <mergeCell ref="N205:O205"/>
    <mergeCell ref="N202:O202"/>
    <mergeCell ref="N203:O203"/>
    <mergeCell ref="L203:M203"/>
    <mergeCell ref="H203:I203"/>
    <mergeCell ref="H204:I204"/>
    <mergeCell ref="J204:K204"/>
    <mergeCell ref="L204:M204"/>
    <mergeCell ref="N204:O204"/>
    <mergeCell ref="N200:O200"/>
    <mergeCell ref="N201:O201"/>
    <mergeCell ref="L200:M200"/>
    <mergeCell ref="L201:M201"/>
    <mergeCell ref="L202:M202"/>
    <mergeCell ref="J200:K200"/>
    <mergeCell ref="N196:O196"/>
    <mergeCell ref="N197:O197"/>
    <mergeCell ref="N198:O198"/>
    <mergeCell ref="N199:O199"/>
    <mergeCell ref="H197:I197"/>
    <mergeCell ref="H183:I183"/>
    <mergeCell ref="H184:I184"/>
    <mergeCell ref="J192:K192"/>
    <mergeCell ref="J193:K193"/>
    <mergeCell ref="J182:K182"/>
    <mergeCell ref="J183:K183"/>
    <mergeCell ref="J184:K184"/>
    <mergeCell ref="L187:M187"/>
    <mergeCell ref="L188:M188"/>
    <mergeCell ref="L191:M191"/>
    <mergeCell ref="L192:M192"/>
    <mergeCell ref="L193:M193"/>
    <mergeCell ref="J203:K203"/>
    <mergeCell ref="J194:K194"/>
    <mergeCell ref="J195:K195"/>
    <mergeCell ref="J196:K196"/>
    <mergeCell ref="J197:K197"/>
    <mergeCell ref="J198:K198"/>
    <mergeCell ref="J199:K199"/>
    <mergeCell ref="L179:M179"/>
    <mergeCell ref="L180:M180"/>
    <mergeCell ref="L181:M181"/>
    <mergeCell ref="L182:M182"/>
    <mergeCell ref="L183:M183"/>
    <mergeCell ref="L184:M184"/>
    <mergeCell ref="J188:K188"/>
    <mergeCell ref="J189:K189"/>
    <mergeCell ref="J190:K190"/>
    <mergeCell ref="J191:K191"/>
    <mergeCell ref="H200:I200"/>
    <mergeCell ref="H201:I201"/>
    <mergeCell ref="H202:I202"/>
    <mergeCell ref="H191:I191"/>
    <mergeCell ref="H192:I192"/>
    <mergeCell ref="H193:I193"/>
    <mergeCell ref="H194:I194"/>
    <mergeCell ref="H195:I195"/>
    <mergeCell ref="H196:I196"/>
    <mergeCell ref="H198:I198"/>
    <mergeCell ref="H199:I199"/>
    <mergeCell ref="L160:M160"/>
    <mergeCell ref="N160:O160"/>
    <mergeCell ref="L158:M158"/>
    <mergeCell ref="N158:O158"/>
    <mergeCell ref="H180:I180"/>
    <mergeCell ref="H181:I181"/>
    <mergeCell ref="H175:I175"/>
    <mergeCell ref="J175:K175"/>
    <mergeCell ref="L175:M175"/>
    <mergeCell ref="N175:O175"/>
    <mergeCell ref="H176:I176"/>
    <mergeCell ref="J176:K176"/>
    <mergeCell ref="L176:M176"/>
    <mergeCell ref="N176:O176"/>
    <mergeCell ref="H177:I177"/>
    <mergeCell ref="J177:K177"/>
    <mergeCell ref="L177:M177"/>
    <mergeCell ref="H178:I178"/>
    <mergeCell ref="J178:K178"/>
    <mergeCell ref="L178:M178"/>
    <mergeCell ref="H179:I179"/>
    <mergeCell ref="J179:K179"/>
    <mergeCell ref="J180:K180"/>
    <mergeCell ref="J181:K181"/>
    <mergeCell ref="G3:M3"/>
    <mergeCell ref="O3:Q3"/>
    <mergeCell ref="H154:I154"/>
    <mergeCell ref="J154:K154"/>
    <mergeCell ref="L154:M154"/>
    <mergeCell ref="N154:O154"/>
    <mergeCell ref="H153:I153"/>
    <mergeCell ref="J153:K153"/>
    <mergeCell ref="H159:I159"/>
    <mergeCell ref="J159:K159"/>
    <mergeCell ref="L159:M159"/>
    <mergeCell ref="N159:O159"/>
    <mergeCell ref="H157:I157"/>
    <mergeCell ref="J157:K157"/>
    <mergeCell ref="L157:M157"/>
    <mergeCell ref="N157:O157"/>
    <mergeCell ref="A4:A5"/>
    <mergeCell ref="B4:B5"/>
    <mergeCell ref="C4:D5"/>
    <mergeCell ref="E4:E5"/>
    <mergeCell ref="H152:I152"/>
    <mergeCell ref="J152:K152"/>
    <mergeCell ref="F4:F5"/>
    <mergeCell ref="G4:J4"/>
    <mergeCell ref="C11:D11"/>
    <mergeCell ref="C12:D12"/>
    <mergeCell ref="C9:D9"/>
    <mergeCell ref="C10:D10"/>
    <mergeCell ref="C21:D21"/>
    <mergeCell ref="C22:D22"/>
    <mergeCell ref="C23:D23"/>
    <mergeCell ref="C24:D24"/>
    <mergeCell ref="C116:D116"/>
    <mergeCell ref="C117:D117"/>
    <mergeCell ref="C118:D118"/>
    <mergeCell ref="C27:D27"/>
    <mergeCell ref="C28:D28"/>
    <mergeCell ref="C25:D25"/>
    <mergeCell ref="C26:D26"/>
    <mergeCell ref="C29:D29"/>
    <mergeCell ref="AH4:AK4"/>
    <mergeCell ref="C31:D31"/>
    <mergeCell ref="C32:D32"/>
    <mergeCell ref="AL4:AO4"/>
    <mergeCell ref="U4:U5"/>
    <mergeCell ref="V4:Y4"/>
    <mergeCell ref="C7:D7"/>
    <mergeCell ref="C6:D6"/>
    <mergeCell ref="C19:D19"/>
    <mergeCell ref="C20:D20"/>
    <mergeCell ref="C14:D14"/>
    <mergeCell ref="C15:D15"/>
    <mergeCell ref="C16:D16"/>
    <mergeCell ref="C17:D17"/>
    <mergeCell ref="C18:D18"/>
    <mergeCell ref="C8:D8"/>
    <mergeCell ref="K4:N4"/>
    <mergeCell ref="O4:R4"/>
    <mergeCell ref="S4:S5"/>
    <mergeCell ref="T4:T5"/>
    <mergeCell ref="Z4:AC4"/>
    <mergeCell ref="AD4:AG4"/>
    <mergeCell ref="C13:D13"/>
    <mergeCell ref="C35:D35"/>
    <mergeCell ref="C36:D36"/>
    <mergeCell ref="C39:D39"/>
    <mergeCell ref="C40:D40"/>
    <mergeCell ref="C37:D37"/>
    <mergeCell ref="C38:D38"/>
    <mergeCell ref="C41:D41"/>
    <mergeCell ref="C30:D30"/>
    <mergeCell ref="C33:D33"/>
    <mergeCell ref="C34:D34"/>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9:D79"/>
    <mergeCell ref="C80:D80"/>
    <mergeCell ref="C83:D83"/>
    <mergeCell ref="C84:D84"/>
    <mergeCell ref="C87:D87"/>
    <mergeCell ref="C88:D88"/>
    <mergeCell ref="C85:D85"/>
    <mergeCell ref="C86:D86"/>
    <mergeCell ref="C71:D71"/>
    <mergeCell ref="C72:D72"/>
    <mergeCell ref="C75:D75"/>
    <mergeCell ref="C76:D76"/>
    <mergeCell ref="C73:D73"/>
    <mergeCell ref="C74:D74"/>
    <mergeCell ref="C77:D77"/>
    <mergeCell ref="C78:D78"/>
    <mergeCell ref="C81:D81"/>
    <mergeCell ref="C102:D102"/>
    <mergeCell ref="C103:D103"/>
    <mergeCell ref="C112:D112"/>
    <mergeCell ref="C113:D113"/>
    <mergeCell ref="C104:D104"/>
    <mergeCell ref="C105:D105"/>
    <mergeCell ref="C101:D101"/>
    <mergeCell ref="H160:I160"/>
    <mergeCell ref="C82:D82"/>
    <mergeCell ref="C89:D89"/>
    <mergeCell ref="C90:D90"/>
    <mergeCell ref="C93:D93"/>
    <mergeCell ref="C94:D94"/>
    <mergeCell ref="C91:D91"/>
    <mergeCell ref="C92:D92"/>
    <mergeCell ref="C95:D95"/>
    <mergeCell ref="C96:D96"/>
    <mergeCell ref="C100:D100"/>
    <mergeCell ref="C98:D98"/>
    <mergeCell ref="C99:D99"/>
    <mergeCell ref="C97:D97"/>
    <mergeCell ref="C106:D106"/>
    <mergeCell ref="C107:D107"/>
    <mergeCell ref="C108:D108"/>
    <mergeCell ref="C109:D109"/>
    <mergeCell ref="C110:D110"/>
    <mergeCell ref="C111:D111"/>
    <mergeCell ref="N207:O207"/>
    <mergeCell ref="C119:D119"/>
    <mergeCell ref="C120:D120"/>
    <mergeCell ref="H207:I207"/>
    <mergeCell ref="J207:K207"/>
    <mergeCell ref="L207:M207"/>
    <mergeCell ref="L153:M153"/>
    <mergeCell ref="N153:O153"/>
    <mergeCell ref="L152:M152"/>
    <mergeCell ref="N152:O152"/>
    <mergeCell ref="L156:M156"/>
    <mergeCell ref="N156:O156"/>
    <mergeCell ref="C123:D123"/>
    <mergeCell ref="C124:D124"/>
    <mergeCell ref="C125:D125"/>
    <mergeCell ref="C126:D126"/>
    <mergeCell ref="H164:I164"/>
    <mergeCell ref="J164:K164"/>
    <mergeCell ref="H163:I163"/>
    <mergeCell ref="J163:K163"/>
    <mergeCell ref="L163:M163"/>
    <mergeCell ref="C114:D114"/>
    <mergeCell ref="C115:D115"/>
    <mergeCell ref="L162:M162"/>
    <mergeCell ref="N162:O162"/>
    <mergeCell ref="H167:I167"/>
    <mergeCell ref="J167:K167"/>
    <mergeCell ref="L167:M167"/>
    <mergeCell ref="N167:O167"/>
    <mergeCell ref="H168:I168"/>
    <mergeCell ref="J168:K168"/>
    <mergeCell ref="L168:M168"/>
    <mergeCell ref="N168:O168"/>
    <mergeCell ref="H165:I165"/>
    <mergeCell ref="J165:K165"/>
    <mergeCell ref="L165:M165"/>
    <mergeCell ref="N165:O165"/>
    <mergeCell ref="H166:I166"/>
    <mergeCell ref="J166:K166"/>
    <mergeCell ref="L166:M166"/>
    <mergeCell ref="N166:O166"/>
    <mergeCell ref="H158:I158"/>
    <mergeCell ref="J158:K158"/>
    <mergeCell ref="H155:I155"/>
    <mergeCell ref="J155:K155"/>
    <mergeCell ref="C127:D127"/>
    <mergeCell ref="C128:D128"/>
    <mergeCell ref="C129:D129"/>
    <mergeCell ref="L164:M164"/>
    <mergeCell ref="N164:O164"/>
    <mergeCell ref="H161:I161"/>
    <mergeCell ref="J161:K161"/>
    <mergeCell ref="L161:M161"/>
    <mergeCell ref="N161:O161"/>
    <mergeCell ref="H162:I162"/>
    <mergeCell ref="J162:K162"/>
    <mergeCell ref="C130:D130"/>
    <mergeCell ref="C131:D131"/>
    <mergeCell ref="C132:D132"/>
    <mergeCell ref="C133:D133"/>
    <mergeCell ref="C136:D136"/>
    <mergeCell ref="C134:D134"/>
    <mergeCell ref="C135:D135"/>
    <mergeCell ref="C137:D137"/>
    <mergeCell ref="L155:M155"/>
    <mergeCell ref="N155:O155"/>
    <mergeCell ref="H156:I156"/>
    <mergeCell ref="J156:K156"/>
    <mergeCell ref="J160:K160"/>
    <mergeCell ref="N212:O212"/>
    <mergeCell ref="H169:I169"/>
    <mergeCell ref="J169:K169"/>
    <mergeCell ref="L169:M169"/>
    <mergeCell ref="N169:O169"/>
    <mergeCell ref="H170:I170"/>
    <mergeCell ref="J170:K170"/>
    <mergeCell ref="L170:M170"/>
    <mergeCell ref="H173:I173"/>
    <mergeCell ref="J173:K173"/>
    <mergeCell ref="L173:M173"/>
    <mergeCell ref="N173:O173"/>
    <mergeCell ref="H171:I171"/>
    <mergeCell ref="J171:K171"/>
    <mergeCell ref="L171:M171"/>
    <mergeCell ref="N171:O171"/>
    <mergeCell ref="H172:I172"/>
    <mergeCell ref="J172:K172"/>
    <mergeCell ref="L172:M172"/>
    <mergeCell ref="N172:O172"/>
    <mergeCell ref="H174:I174"/>
    <mergeCell ref="J174:K174"/>
    <mergeCell ref="L174:M174"/>
    <mergeCell ref="N174:O174"/>
    <mergeCell ref="C139:D139"/>
    <mergeCell ref="C140:D140"/>
    <mergeCell ref="C141:D141"/>
    <mergeCell ref="C142:D142"/>
    <mergeCell ref="C138:D138"/>
    <mergeCell ref="H215:I215"/>
    <mergeCell ref="J215:K215"/>
    <mergeCell ref="L215:M215"/>
    <mergeCell ref="N215:O215"/>
    <mergeCell ref="H213:I213"/>
    <mergeCell ref="J213:K213"/>
    <mergeCell ref="L213:M213"/>
    <mergeCell ref="N213:O213"/>
    <mergeCell ref="H210:I210"/>
    <mergeCell ref="J210:K210"/>
    <mergeCell ref="L210:M210"/>
    <mergeCell ref="N210:O210"/>
    <mergeCell ref="H211:I211"/>
    <mergeCell ref="J211:K211"/>
    <mergeCell ref="L211:M211"/>
    <mergeCell ref="N211:O211"/>
    <mergeCell ref="H212:I212"/>
    <mergeCell ref="J212:K212"/>
    <mergeCell ref="L212:M212"/>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BA210"/>
  <sheetViews>
    <sheetView zoomScale="127" zoomScaleNormal="120" workbookViewId="0">
      <pane xSplit="1" ySplit="5" topLeftCell="AR132" activePane="bottomRight" state="frozen"/>
      <selection pane="topRight" activeCell="B1" sqref="B1"/>
      <selection pane="bottomLeft" activeCell="A6" sqref="A6"/>
      <selection pane="bottomRight" activeCell="G5" sqref="A5:XFD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64</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139" customFormat="1" x14ac:dyDescent="0.15">
      <c r="A6" s="145">
        <v>1959</v>
      </c>
      <c r="B6" s="294"/>
      <c r="C6" s="398" t="s">
        <v>626</v>
      </c>
      <c r="D6" s="398"/>
      <c r="E6" s="139">
        <v>0</v>
      </c>
      <c r="G6" s="147"/>
      <c r="I6" s="139">
        <v>16</v>
      </c>
      <c r="J6" s="153">
        <v>16</v>
      </c>
      <c r="K6" s="133">
        <f t="shared" ref="K6:M8" si="0">G6/$J6*100</f>
        <v>0</v>
      </c>
      <c r="L6" s="133">
        <f t="shared" si="0"/>
        <v>0</v>
      </c>
      <c r="M6" s="133">
        <f t="shared" si="0"/>
        <v>100</v>
      </c>
      <c r="N6" s="149">
        <f>K6+L6+M6</f>
        <v>100</v>
      </c>
      <c r="O6" s="132"/>
      <c r="P6" s="133"/>
      <c r="Q6" s="133">
        <v>51.3</v>
      </c>
      <c r="R6" s="134">
        <f>O6+P6+Q6</f>
        <v>51.3</v>
      </c>
      <c r="S6" s="139">
        <v>1</v>
      </c>
      <c r="T6" s="306"/>
      <c r="U6" s="294"/>
      <c r="V6" s="138" t="s">
        <v>451</v>
      </c>
      <c r="W6" s="139" t="s">
        <v>20</v>
      </c>
      <c r="X6" s="139" t="s">
        <v>12</v>
      </c>
      <c r="Y6" s="140">
        <v>51.3</v>
      </c>
      <c r="AD6" s="138"/>
      <c r="AG6" s="140"/>
      <c r="AL6" s="138"/>
      <c r="AO6" s="140"/>
      <c r="AP6" s="138"/>
      <c r="AS6" s="140"/>
      <c r="AW6" s="140"/>
      <c r="BA6" s="141"/>
    </row>
    <row r="7" spans="1:53" s="139" customFormat="1" x14ac:dyDescent="0.15">
      <c r="A7" s="145">
        <v>1959</v>
      </c>
      <c r="B7" s="294"/>
      <c r="C7" s="398" t="s">
        <v>626</v>
      </c>
      <c r="D7" s="398"/>
      <c r="E7" s="139">
        <v>365</v>
      </c>
      <c r="G7" s="147"/>
      <c r="I7" s="139">
        <v>16</v>
      </c>
      <c r="J7" s="153">
        <v>16</v>
      </c>
      <c r="K7" s="133">
        <f t="shared" si="0"/>
        <v>0</v>
      </c>
      <c r="L7" s="133">
        <f t="shared" si="0"/>
        <v>0</v>
      </c>
      <c r="M7" s="133">
        <f t="shared" si="0"/>
        <v>100</v>
      </c>
      <c r="N7" s="149">
        <f>K7+L7+M7</f>
        <v>100</v>
      </c>
      <c r="O7" s="132"/>
      <c r="P7" s="133"/>
      <c r="Q7" s="133">
        <v>51.3</v>
      </c>
      <c r="R7" s="134">
        <f>O7+P7+Q7</f>
        <v>51.3</v>
      </c>
      <c r="S7" s="139">
        <v>1</v>
      </c>
      <c r="T7" s="306"/>
      <c r="U7" s="294"/>
      <c r="V7" s="138" t="s">
        <v>451</v>
      </c>
      <c r="W7" s="139" t="s">
        <v>20</v>
      </c>
      <c r="X7" s="139" t="s">
        <v>12</v>
      </c>
      <c r="Y7" s="140">
        <v>51.3</v>
      </c>
      <c r="AD7" s="138"/>
      <c r="AG7" s="140"/>
      <c r="AL7" s="138"/>
      <c r="AO7" s="140"/>
      <c r="AP7" s="138"/>
      <c r="AS7" s="140"/>
      <c r="AW7" s="140"/>
      <c r="BA7" s="141"/>
    </row>
    <row r="8" spans="1:53" s="28" customFormat="1" x14ac:dyDescent="0.15">
      <c r="A8" s="51">
        <v>1960</v>
      </c>
      <c r="B8" s="293"/>
      <c r="C8" s="394" t="s">
        <v>626</v>
      </c>
      <c r="D8" s="394"/>
      <c r="E8" s="28">
        <v>346</v>
      </c>
      <c r="G8" s="65"/>
      <c r="I8" s="28">
        <v>16</v>
      </c>
      <c r="J8" s="72">
        <v>16</v>
      </c>
      <c r="K8" s="46">
        <f t="shared" si="0"/>
        <v>0</v>
      </c>
      <c r="L8" s="46">
        <f t="shared" si="0"/>
        <v>0</v>
      </c>
      <c r="M8" s="46">
        <f t="shared" si="0"/>
        <v>100</v>
      </c>
      <c r="N8" s="67">
        <f>K8+L8+M8</f>
        <v>100</v>
      </c>
      <c r="O8" s="45"/>
      <c r="P8" s="46"/>
      <c r="Q8" s="46">
        <v>51.3</v>
      </c>
      <c r="R8" s="47">
        <f>O8+P8+Q8</f>
        <v>51.3</v>
      </c>
      <c r="S8" s="28">
        <v>1</v>
      </c>
      <c r="T8" s="284"/>
      <c r="U8" s="293"/>
      <c r="V8" s="37" t="s">
        <v>451</v>
      </c>
      <c r="W8" s="28" t="s">
        <v>20</v>
      </c>
      <c r="X8" s="28" t="s">
        <v>12</v>
      </c>
      <c r="Y8" s="38">
        <v>51.3</v>
      </c>
      <c r="AD8" s="37"/>
      <c r="AG8" s="38"/>
      <c r="AL8" s="37"/>
      <c r="AO8" s="38"/>
      <c r="AP8" s="37"/>
      <c r="AS8" s="38"/>
      <c r="AW8" s="38"/>
      <c r="BA8" s="39"/>
    </row>
    <row r="9" spans="1:53" s="170" customFormat="1" x14ac:dyDescent="0.15">
      <c r="A9" s="215">
        <v>1960</v>
      </c>
      <c r="B9" s="281">
        <v>22262</v>
      </c>
      <c r="C9" s="395" t="s">
        <v>627</v>
      </c>
      <c r="D9" s="395"/>
      <c r="E9" s="170">
        <f>366-E8</f>
        <v>20</v>
      </c>
      <c r="F9" s="170">
        <v>1</v>
      </c>
      <c r="G9" s="232">
        <v>16</v>
      </c>
      <c r="J9" s="240">
        <v>16</v>
      </c>
      <c r="K9" s="213">
        <f t="shared" ref="K9:M57" si="1">G9/$J9*100</f>
        <v>100</v>
      </c>
      <c r="L9" s="213">
        <f t="shared" si="1"/>
        <v>0</v>
      </c>
      <c r="M9" s="213">
        <f t="shared" si="1"/>
        <v>0</v>
      </c>
      <c r="N9" s="234">
        <f t="shared" ref="N9:N72" si="2">K9+L9+M9</f>
        <v>100</v>
      </c>
      <c r="O9" s="212">
        <v>57.5</v>
      </c>
      <c r="P9" s="213"/>
      <c r="Q9" s="213"/>
      <c r="R9" s="214">
        <f t="shared" ref="R9:R72" si="3">O9+P9+Q9</f>
        <v>57.5</v>
      </c>
      <c r="S9" s="170">
        <v>1</v>
      </c>
      <c r="T9" s="283">
        <v>22246</v>
      </c>
      <c r="U9" s="281">
        <v>22262</v>
      </c>
      <c r="V9" s="177" t="s">
        <v>452</v>
      </c>
      <c r="W9" s="170" t="s">
        <v>74</v>
      </c>
      <c r="X9" s="170" t="s">
        <v>11</v>
      </c>
      <c r="Y9" s="178">
        <v>57.5</v>
      </c>
      <c r="AD9" s="177"/>
      <c r="AG9" s="178"/>
      <c r="AL9" s="177"/>
      <c r="AO9" s="178"/>
      <c r="AP9" s="177"/>
      <c r="AS9" s="178"/>
      <c r="AW9" s="178"/>
      <c r="BA9" s="179"/>
    </row>
    <row r="10" spans="1:53" s="170" customFormat="1" x14ac:dyDescent="0.15">
      <c r="A10" s="215">
        <v>1961</v>
      </c>
      <c r="B10" s="281"/>
      <c r="C10" s="395" t="s">
        <v>627</v>
      </c>
      <c r="D10" s="395"/>
      <c r="E10" s="170">
        <v>0</v>
      </c>
      <c r="G10" s="232">
        <v>16</v>
      </c>
      <c r="J10" s="240">
        <v>16</v>
      </c>
      <c r="K10" s="213">
        <f t="shared" si="1"/>
        <v>100</v>
      </c>
      <c r="L10" s="213">
        <f t="shared" si="1"/>
        <v>0</v>
      </c>
      <c r="M10" s="213">
        <f t="shared" si="1"/>
        <v>0</v>
      </c>
      <c r="N10" s="234">
        <f t="shared" si="2"/>
        <v>100</v>
      </c>
      <c r="O10" s="212">
        <v>57.5</v>
      </c>
      <c r="P10" s="213"/>
      <c r="Q10" s="213"/>
      <c r="R10" s="214">
        <f t="shared" si="3"/>
        <v>57.5</v>
      </c>
      <c r="S10" s="170">
        <v>1</v>
      </c>
      <c r="T10" s="283"/>
      <c r="U10" s="281"/>
      <c r="V10" s="177" t="s">
        <v>452</v>
      </c>
      <c r="W10" s="170" t="s">
        <v>74</v>
      </c>
      <c r="X10" s="170" t="s">
        <v>11</v>
      </c>
      <c r="Y10" s="178">
        <v>57.5</v>
      </c>
      <c r="AD10" s="177"/>
      <c r="AG10" s="178"/>
      <c r="AL10" s="177"/>
      <c r="AO10" s="178"/>
      <c r="AP10" s="177"/>
      <c r="AS10" s="178"/>
      <c r="AW10" s="178"/>
      <c r="BA10" s="179"/>
    </row>
    <row r="11" spans="1:53" s="170" customFormat="1" x14ac:dyDescent="0.15">
      <c r="A11" s="215">
        <v>1961</v>
      </c>
      <c r="B11" s="281"/>
      <c r="C11" s="395" t="s">
        <v>627</v>
      </c>
      <c r="D11" s="395"/>
      <c r="E11" s="170">
        <v>365</v>
      </c>
      <c r="G11" s="232">
        <v>16</v>
      </c>
      <c r="J11" s="240">
        <v>16</v>
      </c>
      <c r="K11" s="213">
        <f t="shared" si="1"/>
        <v>100</v>
      </c>
      <c r="L11" s="213">
        <f t="shared" si="1"/>
        <v>0</v>
      </c>
      <c r="M11" s="213">
        <f t="shared" si="1"/>
        <v>0</v>
      </c>
      <c r="N11" s="234">
        <f t="shared" si="2"/>
        <v>100</v>
      </c>
      <c r="O11" s="212">
        <v>57.5</v>
      </c>
      <c r="P11" s="213"/>
      <c r="Q11" s="213"/>
      <c r="R11" s="214">
        <f t="shared" si="3"/>
        <v>57.5</v>
      </c>
      <c r="S11" s="170">
        <v>1</v>
      </c>
      <c r="T11" s="283"/>
      <c r="U11" s="281"/>
      <c r="V11" s="177" t="s">
        <v>452</v>
      </c>
      <c r="W11" s="170" t="s">
        <v>74</v>
      </c>
      <c r="X11" s="170" t="s">
        <v>11</v>
      </c>
      <c r="Y11" s="178">
        <v>57.5</v>
      </c>
      <c r="AD11" s="177"/>
      <c r="AG11" s="178"/>
      <c r="AL11" s="177"/>
      <c r="AO11" s="178"/>
      <c r="AP11" s="177"/>
      <c r="AS11" s="178"/>
      <c r="AW11" s="178"/>
      <c r="BA11" s="179"/>
    </row>
    <row r="12" spans="1:53" s="170" customFormat="1" x14ac:dyDescent="0.15">
      <c r="A12" s="215">
        <v>1962</v>
      </c>
      <c r="B12" s="281"/>
      <c r="C12" s="395" t="s">
        <v>627</v>
      </c>
      <c r="D12" s="395"/>
      <c r="E12" s="170">
        <v>0</v>
      </c>
      <c r="G12" s="232">
        <v>16</v>
      </c>
      <c r="J12" s="240">
        <v>16</v>
      </c>
      <c r="K12" s="213">
        <f t="shared" si="1"/>
        <v>100</v>
      </c>
      <c r="L12" s="213">
        <f t="shared" si="1"/>
        <v>0</v>
      </c>
      <c r="M12" s="213">
        <f t="shared" si="1"/>
        <v>0</v>
      </c>
      <c r="N12" s="234">
        <f t="shared" si="2"/>
        <v>100</v>
      </c>
      <c r="O12" s="212">
        <v>57.5</v>
      </c>
      <c r="P12" s="213"/>
      <c r="Q12" s="213"/>
      <c r="R12" s="214">
        <f t="shared" si="3"/>
        <v>57.5</v>
      </c>
      <c r="S12" s="170">
        <v>1</v>
      </c>
      <c r="T12" s="283"/>
      <c r="U12" s="281"/>
      <c r="V12" s="177" t="s">
        <v>452</v>
      </c>
      <c r="W12" s="170" t="s">
        <v>74</v>
      </c>
      <c r="X12" s="170" t="s">
        <v>11</v>
      </c>
      <c r="Y12" s="178">
        <v>57.5</v>
      </c>
      <c r="AD12" s="177"/>
      <c r="AG12" s="178"/>
      <c r="AL12" s="177"/>
      <c r="AO12" s="178"/>
      <c r="AP12" s="177"/>
      <c r="AS12" s="178"/>
      <c r="AW12" s="178"/>
      <c r="BA12" s="179"/>
    </row>
    <row r="13" spans="1:53" s="170" customFormat="1" x14ac:dyDescent="0.15">
      <c r="A13" s="215">
        <v>1962</v>
      </c>
      <c r="B13" s="281"/>
      <c r="C13" s="395" t="s">
        <v>627</v>
      </c>
      <c r="D13" s="395"/>
      <c r="E13" s="170">
        <v>365</v>
      </c>
      <c r="G13" s="232">
        <v>16</v>
      </c>
      <c r="J13" s="240">
        <v>16</v>
      </c>
      <c r="K13" s="213">
        <f t="shared" si="1"/>
        <v>100</v>
      </c>
      <c r="L13" s="213">
        <f t="shared" si="1"/>
        <v>0</v>
      </c>
      <c r="M13" s="213">
        <f t="shared" si="1"/>
        <v>0</v>
      </c>
      <c r="N13" s="234">
        <f t="shared" si="2"/>
        <v>100</v>
      </c>
      <c r="O13" s="212">
        <v>57.5</v>
      </c>
      <c r="P13" s="213"/>
      <c r="Q13" s="213"/>
      <c r="R13" s="214">
        <f t="shared" si="3"/>
        <v>57.5</v>
      </c>
      <c r="S13" s="170">
        <v>1</v>
      </c>
      <c r="T13" s="283"/>
      <c r="U13" s="281"/>
      <c r="V13" s="177" t="s">
        <v>452</v>
      </c>
      <c r="W13" s="170" t="s">
        <v>74</v>
      </c>
      <c r="X13" s="170" t="s">
        <v>11</v>
      </c>
      <c r="Y13" s="178">
        <v>57.5</v>
      </c>
      <c r="AD13" s="177"/>
      <c r="AG13" s="178"/>
      <c r="AL13" s="177"/>
      <c r="AO13" s="178"/>
      <c r="AP13" s="177"/>
      <c r="AS13" s="178"/>
      <c r="AW13" s="178"/>
      <c r="BA13" s="179"/>
    </row>
    <row r="14" spans="1:53" s="170" customFormat="1" x14ac:dyDescent="0.15">
      <c r="A14" s="215">
        <v>1963</v>
      </c>
      <c r="B14" s="281"/>
      <c r="C14" s="395" t="s">
        <v>627</v>
      </c>
      <c r="D14" s="395"/>
      <c r="E14" s="170">
        <v>353</v>
      </c>
      <c r="G14" s="232">
        <v>16</v>
      </c>
      <c r="J14" s="240">
        <v>16</v>
      </c>
      <c r="K14" s="213">
        <f t="shared" si="1"/>
        <v>100</v>
      </c>
      <c r="L14" s="213">
        <f t="shared" si="1"/>
        <v>0</v>
      </c>
      <c r="M14" s="213">
        <f t="shared" si="1"/>
        <v>0</v>
      </c>
      <c r="N14" s="234">
        <f t="shared" si="2"/>
        <v>100</v>
      </c>
      <c r="O14" s="212">
        <v>57.5</v>
      </c>
      <c r="P14" s="213"/>
      <c r="Q14" s="213"/>
      <c r="R14" s="214">
        <f t="shared" si="3"/>
        <v>57.5</v>
      </c>
      <c r="S14" s="170">
        <v>1</v>
      </c>
      <c r="T14" s="283"/>
      <c r="U14" s="281"/>
      <c r="V14" s="177" t="s">
        <v>452</v>
      </c>
      <c r="W14" s="170" t="s">
        <v>74</v>
      </c>
      <c r="X14" s="170" t="s">
        <v>11</v>
      </c>
      <c r="Y14" s="178">
        <v>57.5</v>
      </c>
      <c r="AD14" s="177"/>
      <c r="AG14" s="178"/>
      <c r="AL14" s="177"/>
      <c r="AO14" s="178"/>
      <c r="AP14" s="177"/>
      <c r="AS14" s="178"/>
      <c r="AW14" s="178"/>
      <c r="BA14" s="179"/>
    </row>
    <row r="15" spans="1:53" s="28" customFormat="1" x14ac:dyDescent="0.15">
      <c r="A15" s="51">
        <v>1963</v>
      </c>
      <c r="B15" s="293">
        <v>23365</v>
      </c>
      <c r="C15" s="394" t="s">
        <v>628</v>
      </c>
      <c r="D15" s="394"/>
      <c r="E15" s="28">
        <f>365-E14</f>
        <v>12</v>
      </c>
      <c r="F15" s="28">
        <v>1</v>
      </c>
      <c r="G15" s="65">
        <v>16</v>
      </c>
      <c r="J15" s="72">
        <v>16</v>
      </c>
      <c r="K15" s="46">
        <f t="shared" si="1"/>
        <v>100</v>
      </c>
      <c r="L15" s="46">
        <f t="shared" si="1"/>
        <v>0</v>
      </c>
      <c r="M15" s="46">
        <f t="shared" si="1"/>
        <v>0</v>
      </c>
      <c r="N15" s="67">
        <f t="shared" si="2"/>
        <v>100</v>
      </c>
      <c r="O15" s="45">
        <v>56.3</v>
      </c>
      <c r="P15" s="46"/>
      <c r="Q15" s="46"/>
      <c r="R15" s="47">
        <f t="shared" si="3"/>
        <v>56.3</v>
      </c>
      <c r="S15" s="28">
        <v>1</v>
      </c>
      <c r="T15" s="284">
        <v>23345</v>
      </c>
      <c r="U15" s="293">
        <v>23365</v>
      </c>
      <c r="V15" s="37" t="s">
        <v>452</v>
      </c>
      <c r="W15" s="28" t="s">
        <v>74</v>
      </c>
      <c r="X15" s="28" t="s">
        <v>11</v>
      </c>
      <c r="Y15" s="38">
        <v>56.3</v>
      </c>
      <c r="AD15" s="37"/>
      <c r="AG15" s="38"/>
      <c r="AL15" s="37"/>
      <c r="AO15" s="38"/>
      <c r="AP15" s="37"/>
      <c r="AS15" s="38"/>
      <c r="AW15" s="38"/>
      <c r="BA15" s="39"/>
    </row>
    <row r="16" spans="1:53" s="28" customFormat="1" x14ac:dyDescent="0.15">
      <c r="A16" s="51">
        <v>1964</v>
      </c>
      <c r="B16" s="293"/>
      <c r="C16" s="394" t="s">
        <v>628</v>
      </c>
      <c r="D16" s="394"/>
      <c r="E16" s="28">
        <v>0</v>
      </c>
      <c r="G16" s="65">
        <v>16</v>
      </c>
      <c r="J16" s="72">
        <v>16</v>
      </c>
      <c r="K16" s="46">
        <f t="shared" si="1"/>
        <v>100</v>
      </c>
      <c r="L16" s="46">
        <f t="shared" si="1"/>
        <v>0</v>
      </c>
      <c r="M16" s="46">
        <f t="shared" si="1"/>
        <v>0</v>
      </c>
      <c r="N16" s="67">
        <f t="shared" si="2"/>
        <v>100</v>
      </c>
      <c r="O16" s="45">
        <v>56.3</v>
      </c>
      <c r="P16" s="46"/>
      <c r="Q16" s="46"/>
      <c r="R16" s="47">
        <f t="shared" si="3"/>
        <v>56.3</v>
      </c>
      <c r="S16" s="28">
        <v>1</v>
      </c>
      <c r="T16" s="284"/>
      <c r="U16" s="293"/>
      <c r="V16" s="37" t="s">
        <v>452</v>
      </c>
      <c r="W16" s="28" t="s">
        <v>74</v>
      </c>
      <c r="X16" s="28" t="s">
        <v>11</v>
      </c>
      <c r="Y16" s="38">
        <v>56.3</v>
      </c>
      <c r="AD16" s="37"/>
      <c r="AG16" s="38"/>
      <c r="AL16" s="37"/>
      <c r="AO16" s="38"/>
      <c r="AP16" s="37"/>
      <c r="AS16" s="38"/>
      <c r="AW16" s="38"/>
      <c r="BA16" s="39"/>
    </row>
    <row r="17" spans="1:53" s="28" customFormat="1" x14ac:dyDescent="0.15">
      <c r="A17" s="51">
        <v>1964</v>
      </c>
      <c r="B17" s="293"/>
      <c r="C17" s="394" t="s">
        <v>628</v>
      </c>
      <c r="D17" s="394"/>
      <c r="E17" s="28">
        <v>366</v>
      </c>
      <c r="G17" s="65">
        <v>16</v>
      </c>
      <c r="J17" s="72">
        <v>16</v>
      </c>
      <c r="K17" s="46">
        <f t="shared" si="1"/>
        <v>100</v>
      </c>
      <c r="L17" s="46">
        <f t="shared" si="1"/>
        <v>0</v>
      </c>
      <c r="M17" s="46">
        <f t="shared" si="1"/>
        <v>0</v>
      </c>
      <c r="N17" s="67">
        <f t="shared" si="2"/>
        <v>100</v>
      </c>
      <c r="O17" s="45">
        <v>56.3</v>
      </c>
      <c r="P17" s="46"/>
      <c r="Q17" s="46"/>
      <c r="R17" s="47">
        <f t="shared" si="3"/>
        <v>56.3</v>
      </c>
      <c r="S17" s="28">
        <v>1</v>
      </c>
      <c r="T17" s="284"/>
      <c r="U17" s="293"/>
      <c r="V17" s="37" t="s">
        <v>452</v>
      </c>
      <c r="W17" s="28" t="s">
        <v>74</v>
      </c>
      <c r="X17" s="28" t="s">
        <v>11</v>
      </c>
      <c r="Y17" s="38">
        <v>56.3</v>
      </c>
      <c r="AD17" s="37"/>
      <c r="AG17" s="38"/>
      <c r="AL17" s="37"/>
      <c r="AO17" s="38"/>
      <c r="AP17" s="37"/>
      <c r="AS17" s="38"/>
      <c r="AW17" s="38"/>
      <c r="BA17" s="39"/>
    </row>
    <row r="18" spans="1:53" s="28" customFormat="1" x14ac:dyDescent="0.15">
      <c r="A18" s="51">
        <v>1965</v>
      </c>
      <c r="B18" s="293"/>
      <c r="C18" s="394" t="s">
        <v>628</v>
      </c>
      <c r="D18" s="394"/>
      <c r="E18" s="28">
        <v>0</v>
      </c>
      <c r="G18" s="65">
        <v>16</v>
      </c>
      <c r="J18" s="72">
        <v>16</v>
      </c>
      <c r="K18" s="46">
        <f t="shared" si="1"/>
        <v>100</v>
      </c>
      <c r="L18" s="46">
        <f t="shared" si="1"/>
        <v>0</v>
      </c>
      <c r="M18" s="46">
        <f t="shared" si="1"/>
        <v>0</v>
      </c>
      <c r="N18" s="67">
        <f t="shared" si="2"/>
        <v>100</v>
      </c>
      <c r="O18" s="45">
        <v>56.3</v>
      </c>
      <c r="P18" s="46"/>
      <c r="Q18" s="46"/>
      <c r="R18" s="47">
        <f t="shared" si="3"/>
        <v>56.3</v>
      </c>
      <c r="S18" s="28">
        <v>1</v>
      </c>
      <c r="T18" s="284"/>
      <c r="U18" s="293"/>
      <c r="V18" s="37" t="s">
        <v>452</v>
      </c>
      <c r="W18" s="28" t="s">
        <v>74</v>
      </c>
      <c r="X18" s="28" t="s">
        <v>11</v>
      </c>
      <c r="Y18" s="38">
        <v>56.3</v>
      </c>
      <c r="AD18" s="37"/>
      <c r="AG18" s="38"/>
      <c r="AL18" s="37"/>
      <c r="AO18" s="38"/>
      <c r="AP18" s="37"/>
      <c r="AS18" s="38"/>
      <c r="AW18" s="38"/>
      <c r="BA18" s="39"/>
    </row>
    <row r="19" spans="1:53" s="28" customFormat="1" x14ac:dyDescent="0.15">
      <c r="A19" s="51">
        <v>1965</v>
      </c>
      <c r="B19" s="293"/>
      <c r="C19" s="394" t="s">
        <v>628</v>
      </c>
      <c r="D19" s="394"/>
      <c r="E19" s="28">
        <v>365</v>
      </c>
      <c r="G19" s="65">
        <v>16</v>
      </c>
      <c r="J19" s="72">
        <v>16</v>
      </c>
      <c r="K19" s="46">
        <f t="shared" si="1"/>
        <v>100</v>
      </c>
      <c r="L19" s="46">
        <f t="shared" si="1"/>
        <v>0</v>
      </c>
      <c r="M19" s="46">
        <f t="shared" si="1"/>
        <v>0</v>
      </c>
      <c r="N19" s="67">
        <f t="shared" si="2"/>
        <v>100</v>
      </c>
      <c r="O19" s="45">
        <v>56.3</v>
      </c>
      <c r="P19" s="46"/>
      <c r="Q19" s="46"/>
      <c r="R19" s="47">
        <f t="shared" si="3"/>
        <v>56.3</v>
      </c>
      <c r="S19" s="28">
        <v>1</v>
      </c>
      <c r="T19" s="284"/>
      <c r="U19" s="293"/>
      <c r="V19" s="37" t="s">
        <v>452</v>
      </c>
      <c r="W19" s="28" t="s">
        <v>74</v>
      </c>
      <c r="X19" s="28" t="s">
        <v>11</v>
      </c>
      <c r="Y19" s="38">
        <v>56.3</v>
      </c>
      <c r="AD19" s="37"/>
      <c r="AG19" s="38"/>
      <c r="AL19" s="37"/>
      <c r="AO19" s="38"/>
      <c r="AP19" s="37"/>
      <c r="AS19" s="38"/>
      <c r="AW19" s="38"/>
      <c r="BA19" s="39"/>
    </row>
    <row r="20" spans="1:53" s="28" customFormat="1" x14ac:dyDescent="0.15">
      <c r="A20" s="51">
        <v>1966</v>
      </c>
      <c r="B20" s="293"/>
      <c r="C20" s="394" t="s">
        <v>628</v>
      </c>
      <c r="D20" s="394"/>
      <c r="E20" s="28">
        <v>345</v>
      </c>
      <c r="G20" s="65">
        <v>16</v>
      </c>
      <c r="J20" s="72">
        <v>16</v>
      </c>
      <c r="K20" s="46">
        <f t="shared" si="1"/>
        <v>100</v>
      </c>
      <c r="L20" s="46">
        <f t="shared" si="1"/>
        <v>0</v>
      </c>
      <c r="M20" s="46">
        <f t="shared" si="1"/>
        <v>0</v>
      </c>
      <c r="N20" s="67">
        <f t="shared" si="2"/>
        <v>100</v>
      </c>
      <c r="O20" s="45">
        <v>56.3</v>
      </c>
      <c r="P20" s="46"/>
      <c r="Q20" s="46"/>
      <c r="R20" s="47">
        <f t="shared" si="3"/>
        <v>56.3</v>
      </c>
      <c r="S20" s="28">
        <v>1</v>
      </c>
      <c r="T20" s="284"/>
      <c r="U20" s="293"/>
      <c r="V20" s="37" t="s">
        <v>452</v>
      </c>
      <c r="W20" s="28" t="s">
        <v>74</v>
      </c>
      <c r="X20" s="28" t="s">
        <v>11</v>
      </c>
      <c r="Y20" s="38">
        <v>56.3</v>
      </c>
      <c r="AD20" s="37"/>
      <c r="AG20" s="38"/>
      <c r="AL20" s="37"/>
      <c r="AO20" s="38"/>
      <c r="AP20" s="37"/>
      <c r="AS20" s="38"/>
      <c r="AW20" s="38"/>
      <c r="BA20" s="39"/>
    </row>
    <row r="21" spans="1:53" s="170" customFormat="1" x14ac:dyDescent="0.15">
      <c r="A21" s="215">
        <v>1966</v>
      </c>
      <c r="B21" s="281">
        <v>24453</v>
      </c>
      <c r="C21" s="395" t="s">
        <v>629</v>
      </c>
      <c r="D21" s="395"/>
      <c r="E21" s="170">
        <f>365-E20</f>
        <v>20</v>
      </c>
      <c r="F21" s="170">
        <v>1</v>
      </c>
      <c r="G21" s="232">
        <v>16</v>
      </c>
      <c r="J21" s="240">
        <v>16</v>
      </c>
      <c r="K21" s="213">
        <f t="shared" si="1"/>
        <v>100</v>
      </c>
      <c r="L21" s="213">
        <f t="shared" si="1"/>
        <v>0</v>
      </c>
      <c r="M21" s="213">
        <f t="shared" si="1"/>
        <v>0</v>
      </c>
      <c r="N21" s="234">
        <f t="shared" si="2"/>
        <v>100</v>
      </c>
      <c r="O21" s="212">
        <v>55</v>
      </c>
      <c r="P21" s="213"/>
      <c r="Q21" s="213"/>
      <c r="R21" s="214">
        <f t="shared" si="3"/>
        <v>55</v>
      </c>
      <c r="S21" s="170">
        <v>1</v>
      </c>
      <c r="T21" s="283">
        <v>24437</v>
      </c>
      <c r="U21" s="281">
        <v>24453</v>
      </c>
      <c r="V21" s="177" t="s">
        <v>452</v>
      </c>
      <c r="W21" s="170" t="s">
        <v>74</v>
      </c>
      <c r="X21" s="170" t="s">
        <v>11</v>
      </c>
      <c r="Y21" s="178">
        <v>55</v>
      </c>
      <c r="AD21" s="177"/>
      <c r="AG21" s="178"/>
      <c r="AL21" s="177"/>
      <c r="AO21" s="178"/>
      <c r="AP21" s="177"/>
      <c r="AS21" s="178"/>
      <c r="AW21" s="178"/>
      <c r="BA21" s="179"/>
    </row>
    <row r="22" spans="1:53" s="170" customFormat="1" x14ac:dyDescent="0.15">
      <c r="A22" s="215">
        <v>1967</v>
      </c>
      <c r="B22" s="281"/>
      <c r="C22" s="395" t="s">
        <v>629</v>
      </c>
      <c r="D22" s="395"/>
      <c r="E22" s="170">
        <v>0</v>
      </c>
      <c r="G22" s="232">
        <v>16</v>
      </c>
      <c r="J22" s="240">
        <v>16</v>
      </c>
      <c r="K22" s="213">
        <f t="shared" si="1"/>
        <v>100</v>
      </c>
      <c r="L22" s="213">
        <f t="shared" si="1"/>
        <v>0</v>
      </c>
      <c r="M22" s="213">
        <f t="shared" si="1"/>
        <v>0</v>
      </c>
      <c r="N22" s="234">
        <f t="shared" si="2"/>
        <v>100</v>
      </c>
      <c r="O22" s="212">
        <v>55</v>
      </c>
      <c r="P22" s="213"/>
      <c r="Q22" s="213"/>
      <c r="R22" s="214">
        <f t="shared" si="3"/>
        <v>55</v>
      </c>
      <c r="S22" s="170">
        <v>1</v>
      </c>
      <c r="T22" s="283"/>
      <c r="U22" s="281"/>
      <c r="V22" s="177" t="s">
        <v>452</v>
      </c>
      <c r="W22" s="170" t="s">
        <v>74</v>
      </c>
      <c r="X22" s="170" t="s">
        <v>11</v>
      </c>
      <c r="Y22" s="178">
        <v>55</v>
      </c>
      <c r="AD22" s="177"/>
      <c r="AG22" s="178"/>
      <c r="AL22" s="177"/>
      <c r="AO22" s="178"/>
      <c r="AP22" s="177"/>
      <c r="AS22" s="178"/>
      <c r="AW22" s="178"/>
      <c r="BA22" s="179"/>
    </row>
    <row r="23" spans="1:53" s="170" customFormat="1" x14ac:dyDescent="0.15">
      <c r="A23" s="215">
        <v>1967</v>
      </c>
      <c r="B23" s="281"/>
      <c r="C23" s="395" t="s">
        <v>629</v>
      </c>
      <c r="D23" s="395"/>
      <c r="E23" s="170">
        <v>365</v>
      </c>
      <c r="G23" s="232">
        <v>16</v>
      </c>
      <c r="J23" s="240">
        <v>16</v>
      </c>
      <c r="K23" s="213">
        <f t="shared" si="1"/>
        <v>100</v>
      </c>
      <c r="L23" s="213">
        <f t="shared" si="1"/>
        <v>0</v>
      </c>
      <c r="M23" s="213">
        <f t="shared" si="1"/>
        <v>0</v>
      </c>
      <c r="N23" s="234">
        <f t="shared" si="2"/>
        <v>100</v>
      </c>
      <c r="O23" s="212">
        <v>55</v>
      </c>
      <c r="P23" s="213"/>
      <c r="Q23" s="213"/>
      <c r="R23" s="214">
        <f t="shared" si="3"/>
        <v>55</v>
      </c>
      <c r="S23" s="170">
        <v>1</v>
      </c>
      <c r="T23" s="283"/>
      <c r="U23" s="281"/>
      <c r="V23" s="177" t="s">
        <v>452</v>
      </c>
      <c r="W23" s="170" t="s">
        <v>74</v>
      </c>
      <c r="X23" s="170" t="s">
        <v>11</v>
      </c>
      <c r="Y23" s="178">
        <v>55</v>
      </c>
      <c r="AD23" s="177"/>
      <c r="AG23" s="178"/>
      <c r="AL23" s="177"/>
      <c r="AO23" s="178"/>
      <c r="AP23" s="177"/>
      <c r="AS23" s="178"/>
      <c r="AW23" s="178"/>
      <c r="BA23" s="179"/>
    </row>
    <row r="24" spans="1:53" s="170" customFormat="1" x14ac:dyDescent="0.15">
      <c r="A24" s="215">
        <v>1968</v>
      </c>
      <c r="B24" s="281"/>
      <c r="C24" s="395" t="s">
        <v>629</v>
      </c>
      <c r="D24" s="395"/>
      <c r="E24" s="170">
        <v>0</v>
      </c>
      <c r="G24" s="232">
        <v>16</v>
      </c>
      <c r="J24" s="240">
        <v>16</v>
      </c>
      <c r="K24" s="213">
        <f t="shared" si="1"/>
        <v>100</v>
      </c>
      <c r="L24" s="213">
        <f t="shared" si="1"/>
        <v>0</v>
      </c>
      <c r="M24" s="213">
        <f t="shared" si="1"/>
        <v>0</v>
      </c>
      <c r="N24" s="234">
        <f t="shared" si="2"/>
        <v>100</v>
      </c>
      <c r="O24" s="212">
        <v>55</v>
      </c>
      <c r="P24" s="213"/>
      <c r="Q24" s="213"/>
      <c r="R24" s="214">
        <f t="shared" si="3"/>
        <v>55</v>
      </c>
      <c r="S24" s="170">
        <v>1</v>
      </c>
      <c r="T24" s="283"/>
      <c r="U24" s="281"/>
      <c r="V24" s="177" t="s">
        <v>452</v>
      </c>
      <c r="W24" s="170" t="s">
        <v>74</v>
      </c>
      <c r="X24" s="170" t="s">
        <v>11</v>
      </c>
      <c r="Y24" s="178">
        <v>55</v>
      </c>
      <c r="AD24" s="177"/>
      <c r="AG24" s="178"/>
      <c r="AL24" s="177"/>
      <c r="AO24" s="178"/>
      <c r="AP24" s="177"/>
      <c r="AS24" s="178"/>
      <c r="AW24" s="178"/>
      <c r="BA24" s="179"/>
    </row>
    <row r="25" spans="1:53" s="170" customFormat="1" x14ac:dyDescent="0.15">
      <c r="A25" s="215">
        <v>1968</v>
      </c>
      <c r="B25" s="281"/>
      <c r="C25" s="395" t="s">
        <v>629</v>
      </c>
      <c r="D25" s="395"/>
      <c r="E25" s="170">
        <v>366</v>
      </c>
      <c r="G25" s="232">
        <v>16</v>
      </c>
      <c r="J25" s="240">
        <v>16</v>
      </c>
      <c r="K25" s="213">
        <f t="shared" si="1"/>
        <v>100</v>
      </c>
      <c r="L25" s="213">
        <f t="shared" si="1"/>
        <v>0</v>
      </c>
      <c r="M25" s="213">
        <f t="shared" si="1"/>
        <v>0</v>
      </c>
      <c r="N25" s="234">
        <f t="shared" si="2"/>
        <v>100</v>
      </c>
      <c r="O25" s="212">
        <v>55</v>
      </c>
      <c r="P25" s="213"/>
      <c r="Q25" s="213"/>
      <c r="R25" s="214">
        <f t="shared" si="3"/>
        <v>55</v>
      </c>
      <c r="S25" s="170">
        <v>1</v>
      </c>
      <c r="T25" s="283"/>
      <c r="U25" s="281"/>
      <c r="V25" s="177" t="s">
        <v>452</v>
      </c>
      <c r="W25" s="170" t="s">
        <v>74</v>
      </c>
      <c r="X25" s="170" t="s">
        <v>11</v>
      </c>
      <c r="Y25" s="178">
        <v>55</v>
      </c>
      <c r="AD25" s="177"/>
      <c r="AG25" s="178"/>
      <c r="AL25" s="177"/>
      <c r="AO25" s="178"/>
      <c r="AP25" s="177"/>
      <c r="AS25" s="178"/>
      <c r="AW25" s="178"/>
      <c r="BA25" s="179"/>
    </row>
    <row r="26" spans="1:53" s="170" customFormat="1" x14ac:dyDescent="0.15">
      <c r="A26" s="215">
        <v>1969</v>
      </c>
      <c r="B26" s="281"/>
      <c r="C26" s="395" t="s">
        <v>629</v>
      </c>
      <c r="D26" s="395"/>
      <c r="E26" s="170">
        <v>355</v>
      </c>
      <c r="G26" s="232">
        <v>16</v>
      </c>
      <c r="J26" s="240">
        <v>16</v>
      </c>
      <c r="K26" s="213">
        <f t="shared" si="1"/>
        <v>100</v>
      </c>
      <c r="L26" s="213">
        <f t="shared" si="1"/>
        <v>0</v>
      </c>
      <c r="M26" s="213">
        <f t="shared" si="1"/>
        <v>0</v>
      </c>
      <c r="N26" s="234">
        <f t="shared" si="2"/>
        <v>100</v>
      </c>
      <c r="O26" s="212">
        <v>55</v>
      </c>
      <c r="P26" s="213"/>
      <c r="Q26" s="213"/>
      <c r="R26" s="214">
        <f t="shared" si="3"/>
        <v>55</v>
      </c>
      <c r="S26" s="170">
        <v>1</v>
      </c>
      <c r="T26" s="283"/>
      <c r="U26" s="281"/>
      <c r="V26" s="177" t="s">
        <v>452</v>
      </c>
      <c r="W26" s="170" t="s">
        <v>74</v>
      </c>
      <c r="X26" s="170" t="s">
        <v>11</v>
      </c>
      <c r="Y26" s="178">
        <v>55</v>
      </c>
      <c r="AD26" s="177"/>
      <c r="AG26" s="178"/>
      <c r="AL26" s="177"/>
      <c r="AO26" s="178"/>
      <c r="AP26" s="177"/>
      <c r="AS26" s="178"/>
      <c r="AW26" s="178"/>
      <c r="BA26" s="179"/>
    </row>
    <row r="27" spans="1:53" s="28" customFormat="1" x14ac:dyDescent="0.15">
      <c r="A27" s="51">
        <v>1969</v>
      </c>
      <c r="B27" s="293">
        <v>25559</v>
      </c>
      <c r="C27" s="394" t="s">
        <v>630</v>
      </c>
      <c r="D27" s="394"/>
      <c r="E27" s="28">
        <f>365-E26</f>
        <v>10</v>
      </c>
      <c r="F27" s="28">
        <v>1</v>
      </c>
      <c r="G27" s="65">
        <v>18</v>
      </c>
      <c r="J27" s="72">
        <v>18</v>
      </c>
      <c r="K27" s="46">
        <f t="shared" si="1"/>
        <v>100</v>
      </c>
      <c r="L27" s="46">
        <f t="shared" si="1"/>
        <v>0</v>
      </c>
      <c r="M27" s="46">
        <f t="shared" si="1"/>
        <v>0</v>
      </c>
      <c r="N27" s="67">
        <f t="shared" si="2"/>
        <v>100</v>
      </c>
      <c r="O27" s="45">
        <v>53.6</v>
      </c>
      <c r="P27" s="46"/>
      <c r="Q27" s="46"/>
      <c r="R27" s="47">
        <f t="shared" si="3"/>
        <v>53.6</v>
      </c>
      <c r="S27" s="28">
        <v>1</v>
      </c>
      <c r="T27" s="284">
        <v>25536</v>
      </c>
      <c r="U27" s="293">
        <v>25559</v>
      </c>
      <c r="V27" s="37" t="s">
        <v>452</v>
      </c>
      <c r="W27" s="28" t="s">
        <v>74</v>
      </c>
      <c r="X27" s="28" t="s">
        <v>11</v>
      </c>
      <c r="Y27" s="38">
        <v>53.6</v>
      </c>
      <c r="AD27" s="37"/>
      <c r="AG27" s="38"/>
      <c r="AL27" s="37"/>
      <c r="AO27" s="38"/>
      <c r="AP27" s="37"/>
      <c r="AS27" s="38"/>
      <c r="AW27" s="38"/>
      <c r="BA27" s="39"/>
    </row>
    <row r="28" spans="1:53" s="28" customFormat="1" x14ac:dyDescent="0.15">
      <c r="A28" s="51">
        <v>1970</v>
      </c>
      <c r="B28" s="293"/>
      <c r="C28" s="394" t="s">
        <v>630</v>
      </c>
      <c r="D28" s="394"/>
      <c r="E28" s="28">
        <v>0</v>
      </c>
      <c r="G28" s="65">
        <v>18</v>
      </c>
      <c r="J28" s="72">
        <v>18</v>
      </c>
      <c r="K28" s="46">
        <f t="shared" si="1"/>
        <v>100</v>
      </c>
      <c r="L28" s="46">
        <f t="shared" si="1"/>
        <v>0</v>
      </c>
      <c r="M28" s="46">
        <f t="shared" si="1"/>
        <v>0</v>
      </c>
      <c r="N28" s="67">
        <f t="shared" si="2"/>
        <v>100</v>
      </c>
      <c r="O28" s="45">
        <v>53.6</v>
      </c>
      <c r="P28" s="46"/>
      <c r="Q28" s="46"/>
      <c r="R28" s="47">
        <f t="shared" si="3"/>
        <v>53.6</v>
      </c>
      <c r="S28" s="28">
        <v>1</v>
      </c>
      <c r="T28" s="284"/>
      <c r="U28" s="293"/>
      <c r="V28" s="37" t="s">
        <v>452</v>
      </c>
      <c r="W28" s="28" t="s">
        <v>74</v>
      </c>
      <c r="X28" s="28" t="s">
        <v>11</v>
      </c>
      <c r="Y28" s="38">
        <v>53.6</v>
      </c>
      <c r="AD28" s="37"/>
      <c r="AG28" s="38"/>
      <c r="AL28" s="37"/>
      <c r="AO28" s="38"/>
      <c r="AP28" s="37"/>
      <c r="AS28" s="38"/>
      <c r="AW28" s="38"/>
      <c r="BA28" s="39"/>
    </row>
    <row r="29" spans="1:53" s="28" customFormat="1" x14ac:dyDescent="0.15">
      <c r="A29" s="51">
        <v>1970</v>
      </c>
      <c r="B29" s="293"/>
      <c r="C29" s="394" t="s">
        <v>630</v>
      </c>
      <c r="D29" s="394"/>
      <c r="E29" s="28">
        <v>365</v>
      </c>
      <c r="G29" s="65">
        <v>18</v>
      </c>
      <c r="J29" s="72">
        <v>18</v>
      </c>
      <c r="K29" s="46">
        <f t="shared" si="1"/>
        <v>100</v>
      </c>
      <c r="L29" s="46">
        <f t="shared" si="1"/>
        <v>0</v>
      </c>
      <c r="M29" s="46">
        <f t="shared" si="1"/>
        <v>0</v>
      </c>
      <c r="N29" s="67">
        <f t="shared" si="2"/>
        <v>100</v>
      </c>
      <c r="O29" s="45">
        <v>53.6</v>
      </c>
      <c r="P29" s="46"/>
      <c r="Q29" s="46"/>
      <c r="R29" s="47">
        <f t="shared" si="3"/>
        <v>53.6</v>
      </c>
      <c r="S29" s="28">
        <v>1</v>
      </c>
      <c r="T29" s="284"/>
      <c r="U29" s="293"/>
      <c r="V29" s="37" t="s">
        <v>452</v>
      </c>
      <c r="W29" s="28" t="s">
        <v>74</v>
      </c>
      <c r="X29" s="28" t="s">
        <v>11</v>
      </c>
      <c r="Y29" s="38">
        <v>53.6</v>
      </c>
      <c r="AD29" s="37"/>
      <c r="AG29" s="38"/>
      <c r="AL29" s="37"/>
      <c r="AO29" s="38"/>
      <c r="AP29" s="37"/>
      <c r="AS29" s="38"/>
      <c r="AW29" s="38"/>
      <c r="BA29" s="39"/>
    </row>
    <row r="30" spans="1:53" s="28" customFormat="1" x14ac:dyDescent="0.15">
      <c r="A30" s="51">
        <v>1971</v>
      </c>
      <c r="B30" s="293"/>
      <c r="C30" s="394" t="s">
        <v>630</v>
      </c>
      <c r="D30" s="394"/>
      <c r="E30" s="28">
        <v>0</v>
      </c>
      <c r="G30" s="65">
        <v>18</v>
      </c>
      <c r="J30" s="72">
        <v>18</v>
      </c>
      <c r="K30" s="46">
        <f t="shared" si="1"/>
        <v>100</v>
      </c>
      <c r="L30" s="46">
        <f t="shared" si="1"/>
        <v>0</v>
      </c>
      <c r="M30" s="46">
        <f t="shared" si="1"/>
        <v>0</v>
      </c>
      <c r="N30" s="67">
        <f t="shared" si="2"/>
        <v>100</v>
      </c>
      <c r="O30" s="45">
        <v>53.6</v>
      </c>
      <c r="P30" s="46"/>
      <c r="Q30" s="46"/>
      <c r="R30" s="47">
        <f t="shared" si="3"/>
        <v>53.6</v>
      </c>
      <c r="S30" s="28">
        <v>1</v>
      </c>
      <c r="T30" s="284"/>
      <c r="U30" s="293"/>
      <c r="V30" s="37" t="s">
        <v>452</v>
      </c>
      <c r="W30" s="28" t="s">
        <v>74</v>
      </c>
      <c r="X30" s="28" t="s">
        <v>11</v>
      </c>
      <c r="Y30" s="38">
        <v>53.6</v>
      </c>
      <c r="AD30" s="37"/>
      <c r="AG30" s="38"/>
      <c r="AL30" s="37"/>
      <c r="AO30" s="38"/>
      <c r="AP30" s="37"/>
      <c r="AS30" s="38"/>
      <c r="AW30" s="38"/>
      <c r="BA30" s="39"/>
    </row>
    <row r="31" spans="1:53" s="28" customFormat="1" x14ac:dyDescent="0.15">
      <c r="A31" s="51">
        <v>1971</v>
      </c>
      <c r="B31" s="293"/>
      <c r="C31" s="394" t="s">
        <v>630</v>
      </c>
      <c r="D31" s="394"/>
      <c r="E31" s="28">
        <v>365</v>
      </c>
      <c r="G31" s="65">
        <v>18</v>
      </c>
      <c r="J31" s="72">
        <v>18</v>
      </c>
      <c r="K31" s="46">
        <f t="shared" si="1"/>
        <v>100</v>
      </c>
      <c r="L31" s="46">
        <f t="shared" si="1"/>
        <v>0</v>
      </c>
      <c r="M31" s="46">
        <f t="shared" si="1"/>
        <v>0</v>
      </c>
      <c r="N31" s="67">
        <f t="shared" si="2"/>
        <v>100</v>
      </c>
      <c r="O31" s="45">
        <v>53.6</v>
      </c>
      <c r="P31" s="46"/>
      <c r="Q31" s="46"/>
      <c r="R31" s="47">
        <f t="shared" si="3"/>
        <v>53.6</v>
      </c>
      <c r="S31" s="28">
        <v>1</v>
      </c>
      <c r="T31" s="284"/>
      <c r="U31" s="293"/>
      <c r="V31" s="37" t="s">
        <v>452</v>
      </c>
      <c r="W31" s="28" t="s">
        <v>74</v>
      </c>
      <c r="X31" s="28" t="s">
        <v>11</v>
      </c>
      <c r="Y31" s="38">
        <v>53.6</v>
      </c>
      <c r="AD31" s="37"/>
      <c r="AG31" s="38"/>
      <c r="AL31" s="37"/>
      <c r="AO31" s="38"/>
      <c r="AP31" s="37"/>
      <c r="AS31" s="38"/>
      <c r="AW31" s="38"/>
      <c r="BA31" s="39"/>
    </row>
    <row r="32" spans="1:53" s="28" customFormat="1" x14ac:dyDescent="0.15">
      <c r="A32" s="51">
        <v>1972</v>
      </c>
      <c r="B32" s="293"/>
      <c r="C32" s="394" t="s">
        <v>630</v>
      </c>
      <c r="D32" s="394"/>
      <c r="E32" s="28">
        <v>39</v>
      </c>
      <c r="G32" s="65">
        <v>18</v>
      </c>
      <c r="J32" s="72">
        <v>18</v>
      </c>
      <c r="K32" s="46">
        <f t="shared" si="1"/>
        <v>100</v>
      </c>
      <c r="L32" s="46">
        <f t="shared" si="1"/>
        <v>0</v>
      </c>
      <c r="M32" s="46">
        <f t="shared" si="1"/>
        <v>0</v>
      </c>
      <c r="N32" s="67">
        <f t="shared" si="2"/>
        <v>100</v>
      </c>
      <c r="O32" s="45">
        <v>53.6</v>
      </c>
      <c r="P32" s="46"/>
      <c r="Q32" s="46"/>
      <c r="R32" s="47">
        <f t="shared" si="3"/>
        <v>53.6</v>
      </c>
      <c r="S32" s="28">
        <v>1</v>
      </c>
      <c r="T32" s="284"/>
      <c r="U32" s="293"/>
      <c r="V32" s="37" t="s">
        <v>452</v>
      </c>
      <c r="W32" s="28" t="s">
        <v>74</v>
      </c>
      <c r="X32" s="28" t="s">
        <v>11</v>
      </c>
      <c r="Y32" s="38">
        <v>53.6</v>
      </c>
      <c r="AD32" s="37"/>
      <c r="AG32" s="38"/>
      <c r="AL32" s="37"/>
      <c r="AO32" s="38"/>
      <c r="AP32" s="37"/>
      <c r="AS32" s="38"/>
      <c r="AW32" s="38"/>
      <c r="BA32" s="39"/>
    </row>
    <row r="33" spans="1:53" s="170" customFormat="1" x14ac:dyDescent="0.15">
      <c r="A33" s="215">
        <v>1972</v>
      </c>
      <c r="B33" s="281">
        <v>26338</v>
      </c>
      <c r="C33" s="395" t="s">
        <v>631</v>
      </c>
      <c r="D33" s="395"/>
      <c r="E33" s="170">
        <v>303</v>
      </c>
      <c r="F33" s="170">
        <v>2</v>
      </c>
      <c r="G33" s="232">
        <v>18</v>
      </c>
      <c r="J33" s="240">
        <v>18</v>
      </c>
      <c r="K33" s="213">
        <f t="shared" si="1"/>
        <v>100</v>
      </c>
      <c r="L33" s="213">
        <f t="shared" si="1"/>
        <v>0</v>
      </c>
      <c r="M33" s="213">
        <f t="shared" si="1"/>
        <v>0</v>
      </c>
      <c r="N33" s="234">
        <f t="shared" si="2"/>
        <v>100</v>
      </c>
      <c r="O33" s="212">
        <v>53.6</v>
      </c>
      <c r="P33" s="213"/>
      <c r="Q33" s="213"/>
      <c r="R33" s="214">
        <f t="shared" si="3"/>
        <v>53.6</v>
      </c>
      <c r="S33" s="170">
        <v>1</v>
      </c>
      <c r="T33" s="283"/>
      <c r="U33" s="281">
        <v>26338</v>
      </c>
      <c r="V33" s="177" t="s">
        <v>452</v>
      </c>
      <c r="W33" s="170" t="s">
        <v>74</v>
      </c>
      <c r="X33" s="170" t="s">
        <v>11</v>
      </c>
      <c r="Y33" s="178">
        <v>53.6</v>
      </c>
      <c r="AD33" s="177"/>
      <c r="AG33" s="178"/>
      <c r="AL33" s="177"/>
      <c r="AO33" s="178"/>
      <c r="AP33" s="177"/>
      <c r="AS33" s="178"/>
      <c r="AW33" s="178"/>
      <c r="BA33" s="179"/>
    </row>
    <row r="34" spans="1:53" s="28" customFormat="1" x14ac:dyDescent="0.15">
      <c r="A34" s="51">
        <v>1972</v>
      </c>
      <c r="B34" s="293">
        <v>26641</v>
      </c>
      <c r="C34" s="394" t="s">
        <v>632</v>
      </c>
      <c r="D34" s="394"/>
      <c r="E34" s="28">
        <f>366-E33-E32</f>
        <v>24</v>
      </c>
      <c r="F34" s="28">
        <v>1</v>
      </c>
      <c r="G34" s="65"/>
      <c r="I34" s="28">
        <v>20</v>
      </c>
      <c r="J34" s="72">
        <v>20</v>
      </c>
      <c r="K34" s="46">
        <f t="shared" si="1"/>
        <v>0</v>
      </c>
      <c r="L34" s="46">
        <f t="shared" si="1"/>
        <v>0</v>
      </c>
      <c r="M34" s="46">
        <f t="shared" si="1"/>
        <v>100</v>
      </c>
      <c r="N34" s="67">
        <f t="shared" si="2"/>
        <v>100</v>
      </c>
      <c r="O34" s="45"/>
      <c r="P34" s="46"/>
      <c r="Q34" s="46">
        <v>63.2</v>
      </c>
      <c r="R34" s="47">
        <f t="shared" si="3"/>
        <v>63.2</v>
      </c>
      <c r="S34" s="28">
        <v>1</v>
      </c>
      <c r="T34" s="284">
        <v>26628</v>
      </c>
      <c r="U34" s="293">
        <v>26641</v>
      </c>
      <c r="V34" s="37" t="s">
        <v>451</v>
      </c>
      <c r="W34" s="28" t="s">
        <v>20</v>
      </c>
      <c r="X34" s="28" t="s">
        <v>12</v>
      </c>
      <c r="Y34" s="38">
        <v>63.2</v>
      </c>
      <c r="AD34" s="37"/>
      <c r="AG34" s="38"/>
      <c r="AL34" s="37"/>
      <c r="AO34" s="38"/>
      <c r="AP34" s="37"/>
      <c r="AS34" s="38"/>
      <c r="AW34" s="38"/>
      <c r="BA34" s="39"/>
    </row>
    <row r="35" spans="1:53" s="28" customFormat="1" x14ac:dyDescent="0.15">
      <c r="A35" s="51">
        <v>1973</v>
      </c>
      <c r="B35" s="293"/>
      <c r="C35" s="394" t="s">
        <v>632</v>
      </c>
      <c r="D35" s="394"/>
      <c r="E35" s="28">
        <v>0</v>
      </c>
      <c r="G35" s="65"/>
      <c r="I35" s="28">
        <v>20</v>
      </c>
      <c r="J35" s="72">
        <v>20</v>
      </c>
      <c r="K35" s="46">
        <f t="shared" si="1"/>
        <v>0</v>
      </c>
      <c r="L35" s="46">
        <f t="shared" si="1"/>
        <v>0</v>
      </c>
      <c r="M35" s="46">
        <f t="shared" si="1"/>
        <v>100</v>
      </c>
      <c r="N35" s="67">
        <f t="shared" si="2"/>
        <v>100</v>
      </c>
      <c r="O35" s="45"/>
      <c r="P35" s="46"/>
      <c r="Q35" s="46">
        <v>63.2</v>
      </c>
      <c r="R35" s="47">
        <f t="shared" si="3"/>
        <v>63.2</v>
      </c>
      <c r="S35" s="28">
        <v>1</v>
      </c>
      <c r="T35" s="284"/>
      <c r="U35" s="293"/>
      <c r="V35" s="37" t="s">
        <v>451</v>
      </c>
      <c r="W35" s="28" t="s">
        <v>20</v>
      </c>
      <c r="X35" s="28" t="s">
        <v>12</v>
      </c>
      <c r="Y35" s="38">
        <v>63.2</v>
      </c>
      <c r="AD35" s="37"/>
      <c r="AG35" s="38"/>
      <c r="AL35" s="37"/>
      <c r="AO35" s="38"/>
      <c r="AP35" s="37"/>
      <c r="AS35" s="38"/>
      <c r="AW35" s="38"/>
      <c r="BA35" s="39"/>
    </row>
    <row r="36" spans="1:53" s="28" customFormat="1" x14ac:dyDescent="0.15">
      <c r="A36" s="51">
        <v>1973</v>
      </c>
      <c r="B36" s="293"/>
      <c r="C36" s="394" t="s">
        <v>632</v>
      </c>
      <c r="D36" s="394"/>
      <c r="E36" s="28">
        <v>365</v>
      </c>
      <c r="G36" s="65"/>
      <c r="I36" s="28">
        <v>20</v>
      </c>
      <c r="J36" s="72">
        <v>20</v>
      </c>
      <c r="K36" s="46">
        <f t="shared" si="1"/>
        <v>0</v>
      </c>
      <c r="L36" s="46">
        <f t="shared" si="1"/>
        <v>0</v>
      </c>
      <c r="M36" s="46">
        <f t="shared" si="1"/>
        <v>100</v>
      </c>
      <c r="N36" s="67">
        <f t="shared" si="2"/>
        <v>100</v>
      </c>
      <c r="O36" s="45"/>
      <c r="P36" s="46"/>
      <c r="Q36" s="46">
        <v>63.2</v>
      </c>
      <c r="R36" s="47">
        <f t="shared" si="3"/>
        <v>63.2</v>
      </c>
      <c r="S36" s="28">
        <v>1</v>
      </c>
      <c r="T36" s="284"/>
      <c r="U36" s="293"/>
      <c r="V36" s="37" t="s">
        <v>451</v>
      </c>
      <c r="W36" s="28" t="s">
        <v>20</v>
      </c>
      <c r="X36" s="28" t="s">
        <v>12</v>
      </c>
      <c r="Y36" s="38">
        <v>63.2</v>
      </c>
      <c r="AD36" s="37"/>
      <c r="AG36" s="38"/>
      <c r="AL36" s="37"/>
      <c r="AO36" s="38"/>
      <c r="AP36" s="37"/>
      <c r="AS36" s="38"/>
      <c r="AW36" s="38"/>
      <c r="BA36" s="39"/>
    </row>
    <row r="37" spans="1:53" s="28" customFormat="1" x14ac:dyDescent="0.15">
      <c r="A37" s="51">
        <v>1974</v>
      </c>
      <c r="B37" s="293"/>
      <c r="C37" s="394" t="s">
        <v>632</v>
      </c>
      <c r="D37" s="394"/>
      <c r="E37" s="28">
        <v>252</v>
      </c>
      <c r="G37" s="65"/>
      <c r="I37" s="28">
        <v>20</v>
      </c>
      <c r="J37" s="72">
        <v>20</v>
      </c>
      <c r="K37" s="46">
        <f t="shared" si="1"/>
        <v>0</v>
      </c>
      <c r="L37" s="46">
        <f t="shared" si="1"/>
        <v>0</v>
      </c>
      <c r="M37" s="46">
        <f t="shared" si="1"/>
        <v>100</v>
      </c>
      <c r="N37" s="67">
        <f t="shared" si="2"/>
        <v>100</v>
      </c>
      <c r="O37" s="45"/>
      <c r="P37" s="46"/>
      <c r="Q37" s="46">
        <v>63.2</v>
      </c>
      <c r="R37" s="47">
        <f t="shared" si="3"/>
        <v>63.2</v>
      </c>
      <c r="S37" s="28">
        <v>1</v>
      </c>
      <c r="T37" s="284"/>
      <c r="U37" s="293"/>
      <c r="V37" s="37" t="s">
        <v>451</v>
      </c>
      <c r="W37" s="28" t="s">
        <v>20</v>
      </c>
      <c r="X37" s="28" t="s">
        <v>12</v>
      </c>
      <c r="Y37" s="38">
        <v>63.2</v>
      </c>
      <c r="AD37" s="37"/>
      <c r="AG37" s="38"/>
      <c r="AL37" s="37"/>
      <c r="AO37" s="38"/>
      <c r="AP37" s="37"/>
      <c r="AS37" s="38"/>
      <c r="AW37" s="38"/>
      <c r="BA37" s="39"/>
    </row>
    <row r="38" spans="1:53" s="170" customFormat="1" x14ac:dyDescent="0.15">
      <c r="A38" s="215">
        <v>1974</v>
      </c>
      <c r="B38" s="281">
        <v>27282</v>
      </c>
      <c r="C38" s="395" t="s">
        <v>633</v>
      </c>
      <c r="D38" s="395"/>
      <c r="E38" s="170">
        <f>365-E37</f>
        <v>113</v>
      </c>
      <c r="F38" s="170">
        <v>3</v>
      </c>
      <c r="G38" s="232"/>
      <c r="I38" s="170">
        <v>20</v>
      </c>
      <c r="J38" s="240">
        <v>20</v>
      </c>
      <c r="K38" s="213">
        <f t="shared" si="1"/>
        <v>0</v>
      </c>
      <c r="L38" s="213">
        <f t="shared" si="1"/>
        <v>0</v>
      </c>
      <c r="M38" s="213">
        <f t="shared" si="1"/>
        <v>100</v>
      </c>
      <c r="N38" s="234">
        <f t="shared" si="2"/>
        <v>100</v>
      </c>
      <c r="O38" s="212"/>
      <c r="P38" s="213"/>
      <c r="Q38" s="213">
        <v>63.2</v>
      </c>
      <c r="R38" s="214">
        <f t="shared" si="3"/>
        <v>63.2</v>
      </c>
      <c r="S38" s="170">
        <v>1</v>
      </c>
      <c r="T38" s="283"/>
      <c r="U38" s="281">
        <v>27282</v>
      </c>
      <c r="V38" s="177" t="s">
        <v>451</v>
      </c>
      <c r="W38" s="170" t="s">
        <v>20</v>
      </c>
      <c r="X38" s="170" t="s">
        <v>12</v>
      </c>
      <c r="Y38" s="178">
        <v>63.2</v>
      </c>
      <c r="AD38" s="177"/>
      <c r="AG38" s="178"/>
      <c r="AL38" s="177"/>
      <c r="AO38" s="178"/>
      <c r="AP38" s="177"/>
      <c r="AS38" s="178"/>
      <c r="AW38" s="178"/>
      <c r="BA38" s="179"/>
    </row>
    <row r="39" spans="1:53" s="170" customFormat="1" x14ac:dyDescent="0.15">
      <c r="A39" s="215">
        <v>1975</v>
      </c>
      <c r="B39" s="281"/>
      <c r="C39" s="395" t="s">
        <v>633</v>
      </c>
      <c r="D39" s="395"/>
      <c r="E39" s="170">
        <v>345</v>
      </c>
      <c r="G39" s="232"/>
      <c r="I39" s="170">
        <v>20</v>
      </c>
      <c r="J39" s="240">
        <v>20</v>
      </c>
      <c r="K39" s="213">
        <f t="shared" si="1"/>
        <v>0</v>
      </c>
      <c r="L39" s="213">
        <f t="shared" si="1"/>
        <v>0</v>
      </c>
      <c r="M39" s="213">
        <f t="shared" si="1"/>
        <v>100</v>
      </c>
      <c r="N39" s="234">
        <f t="shared" si="2"/>
        <v>100</v>
      </c>
      <c r="O39" s="212"/>
      <c r="P39" s="213"/>
      <c r="Q39" s="213">
        <v>63.2</v>
      </c>
      <c r="R39" s="214">
        <f t="shared" si="3"/>
        <v>63.2</v>
      </c>
      <c r="S39" s="170">
        <v>1</v>
      </c>
      <c r="T39" s="283"/>
      <c r="U39" s="281"/>
      <c r="V39" s="177" t="s">
        <v>451</v>
      </c>
      <c r="W39" s="170" t="s">
        <v>20</v>
      </c>
      <c r="X39" s="170" t="s">
        <v>12</v>
      </c>
      <c r="Y39" s="178">
        <v>63.2</v>
      </c>
      <c r="AD39" s="177"/>
      <c r="AG39" s="178"/>
      <c r="AL39" s="177"/>
      <c r="AO39" s="178"/>
      <c r="AP39" s="177"/>
      <c r="AS39" s="178"/>
      <c r="AW39" s="178"/>
      <c r="BA39" s="179"/>
    </row>
    <row r="40" spans="1:53" s="28" customFormat="1" x14ac:dyDescent="0.15">
      <c r="A40" s="51">
        <v>1975</v>
      </c>
      <c r="B40" s="293">
        <v>27740</v>
      </c>
      <c r="C40" s="394" t="s">
        <v>634</v>
      </c>
      <c r="D40" s="394"/>
      <c r="E40" s="28">
        <f>365-E39</f>
        <v>20</v>
      </c>
      <c r="F40" s="28">
        <v>1</v>
      </c>
      <c r="G40" s="65">
        <v>19</v>
      </c>
      <c r="J40" s="72">
        <v>19</v>
      </c>
      <c r="K40" s="46">
        <f t="shared" si="1"/>
        <v>100</v>
      </c>
      <c r="L40" s="46">
        <f t="shared" si="1"/>
        <v>0</v>
      </c>
      <c r="M40" s="46">
        <f t="shared" si="1"/>
        <v>0</v>
      </c>
      <c r="N40" s="67">
        <f t="shared" si="2"/>
        <v>100</v>
      </c>
      <c r="O40" s="45">
        <v>63.2</v>
      </c>
      <c r="P40" s="46"/>
      <c r="Q40" s="46"/>
      <c r="R40" s="47">
        <f t="shared" si="3"/>
        <v>63.2</v>
      </c>
      <c r="S40" s="28">
        <v>1</v>
      </c>
      <c r="T40" s="284">
        <v>27727</v>
      </c>
      <c r="U40" s="293">
        <v>27740</v>
      </c>
      <c r="V40" s="37" t="s">
        <v>452</v>
      </c>
      <c r="W40" s="28" t="s">
        <v>74</v>
      </c>
      <c r="X40" s="28" t="s">
        <v>11</v>
      </c>
      <c r="Y40" s="38">
        <v>63.2</v>
      </c>
      <c r="AD40" s="37"/>
      <c r="AG40" s="38"/>
      <c r="AL40" s="37"/>
      <c r="AO40" s="38"/>
      <c r="AP40" s="37"/>
      <c r="AS40" s="38"/>
      <c r="AW40" s="38"/>
      <c r="BA40" s="39"/>
    </row>
    <row r="41" spans="1:53" s="28" customFormat="1" x14ac:dyDescent="0.15">
      <c r="A41" s="51">
        <v>1976</v>
      </c>
      <c r="B41" s="293"/>
      <c r="C41" s="394" t="s">
        <v>634</v>
      </c>
      <c r="D41" s="394"/>
      <c r="E41" s="28">
        <v>0</v>
      </c>
      <c r="G41" s="65">
        <v>19</v>
      </c>
      <c r="J41" s="72">
        <v>19</v>
      </c>
      <c r="K41" s="46">
        <f t="shared" si="1"/>
        <v>100</v>
      </c>
      <c r="L41" s="46">
        <f t="shared" si="1"/>
        <v>0</v>
      </c>
      <c r="M41" s="46">
        <f t="shared" si="1"/>
        <v>0</v>
      </c>
      <c r="N41" s="67">
        <f t="shared" si="2"/>
        <v>100</v>
      </c>
      <c r="O41" s="45">
        <v>63.2</v>
      </c>
      <c r="P41" s="46"/>
      <c r="Q41" s="46"/>
      <c r="R41" s="47">
        <f t="shared" si="3"/>
        <v>63.2</v>
      </c>
      <c r="S41" s="28">
        <v>1</v>
      </c>
      <c r="T41" s="284"/>
      <c r="U41" s="293"/>
      <c r="V41" s="37" t="s">
        <v>452</v>
      </c>
      <c r="W41" s="28" t="s">
        <v>74</v>
      </c>
      <c r="X41" s="28" t="s">
        <v>11</v>
      </c>
      <c r="Y41" s="38">
        <v>63.2</v>
      </c>
      <c r="AD41" s="37"/>
      <c r="AG41" s="38"/>
      <c r="AL41" s="37"/>
      <c r="AO41" s="38"/>
      <c r="AP41" s="37"/>
      <c r="AS41" s="38"/>
      <c r="AW41" s="38"/>
      <c r="BA41" s="39"/>
    </row>
    <row r="42" spans="1:53" s="28" customFormat="1" x14ac:dyDescent="0.15">
      <c r="A42" s="51">
        <v>1976</v>
      </c>
      <c r="B42" s="293"/>
      <c r="C42" s="394" t="s">
        <v>634</v>
      </c>
      <c r="D42" s="394"/>
      <c r="E42" s="28">
        <v>366</v>
      </c>
      <c r="G42" s="65">
        <v>19</v>
      </c>
      <c r="J42" s="72">
        <v>19</v>
      </c>
      <c r="K42" s="46">
        <f t="shared" si="1"/>
        <v>100</v>
      </c>
      <c r="L42" s="46">
        <f t="shared" si="1"/>
        <v>0</v>
      </c>
      <c r="M42" s="46">
        <f t="shared" si="1"/>
        <v>0</v>
      </c>
      <c r="N42" s="67">
        <f t="shared" si="2"/>
        <v>100</v>
      </c>
      <c r="O42" s="45">
        <v>63.2</v>
      </c>
      <c r="P42" s="46"/>
      <c r="Q42" s="46"/>
      <c r="R42" s="47">
        <f t="shared" si="3"/>
        <v>63.2</v>
      </c>
      <c r="S42" s="28">
        <v>1</v>
      </c>
      <c r="T42" s="284"/>
      <c r="U42" s="293"/>
      <c r="V42" s="37" t="s">
        <v>452</v>
      </c>
      <c r="W42" s="28" t="s">
        <v>74</v>
      </c>
      <c r="X42" s="28" t="s">
        <v>11</v>
      </c>
      <c r="Y42" s="38">
        <v>63.2</v>
      </c>
      <c r="AD42" s="37"/>
      <c r="AG42" s="38"/>
      <c r="AL42" s="37"/>
      <c r="AO42" s="38"/>
      <c r="AP42" s="37"/>
      <c r="AS42" s="38"/>
      <c r="AW42" s="38"/>
      <c r="BA42" s="39"/>
    </row>
    <row r="43" spans="1:53" s="28" customFormat="1" x14ac:dyDescent="0.15">
      <c r="A43" s="51">
        <v>1977</v>
      </c>
      <c r="B43" s="293"/>
      <c r="C43" s="394" t="s">
        <v>634</v>
      </c>
      <c r="D43" s="394"/>
      <c r="E43" s="28">
        <v>0</v>
      </c>
      <c r="G43" s="65">
        <v>19</v>
      </c>
      <c r="J43" s="72">
        <v>19</v>
      </c>
      <c r="K43" s="46">
        <f t="shared" si="1"/>
        <v>100</v>
      </c>
      <c r="L43" s="46">
        <f t="shared" si="1"/>
        <v>0</v>
      </c>
      <c r="M43" s="46">
        <f t="shared" si="1"/>
        <v>0</v>
      </c>
      <c r="N43" s="67">
        <f t="shared" si="2"/>
        <v>100</v>
      </c>
      <c r="O43" s="45">
        <v>63.2</v>
      </c>
      <c r="P43" s="46"/>
      <c r="Q43" s="46"/>
      <c r="R43" s="47">
        <f t="shared" si="3"/>
        <v>63.2</v>
      </c>
      <c r="S43" s="28">
        <v>1</v>
      </c>
      <c r="T43" s="284"/>
      <c r="U43" s="293"/>
      <c r="V43" s="37" t="s">
        <v>452</v>
      </c>
      <c r="W43" s="28" t="s">
        <v>74</v>
      </c>
      <c r="X43" s="28" t="s">
        <v>11</v>
      </c>
      <c r="Y43" s="38">
        <v>63.2</v>
      </c>
      <c r="AD43" s="37"/>
      <c r="AG43" s="38"/>
      <c r="AL43" s="37"/>
      <c r="AO43" s="38"/>
      <c r="AP43" s="37"/>
      <c r="AS43" s="38"/>
      <c r="AW43" s="38"/>
      <c r="BA43" s="39"/>
    </row>
    <row r="44" spans="1:53" s="28" customFormat="1" x14ac:dyDescent="0.15">
      <c r="A44" s="51">
        <v>1977</v>
      </c>
      <c r="B44" s="293"/>
      <c r="C44" s="394" t="s">
        <v>634</v>
      </c>
      <c r="D44" s="394"/>
      <c r="E44" s="28">
        <v>365</v>
      </c>
      <c r="G44" s="65">
        <v>19</v>
      </c>
      <c r="J44" s="72">
        <v>19</v>
      </c>
      <c r="K44" s="46">
        <f t="shared" si="1"/>
        <v>100</v>
      </c>
      <c r="L44" s="46">
        <f t="shared" si="1"/>
        <v>0</v>
      </c>
      <c r="M44" s="46">
        <f t="shared" si="1"/>
        <v>0</v>
      </c>
      <c r="N44" s="67">
        <f t="shared" si="2"/>
        <v>100</v>
      </c>
      <c r="O44" s="45">
        <v>63.2</v>
      </c>
      <c r="P44" s="46"/>
      <c r="Q44" s="46"/>
      <c r="R44" s="47">
        <f t="shared" si="3"/>
        <v>63.2</v>
      </c>
      <c r="S44" s="28">
        <v>1</v>
      </c>
      <c r="T44" s="284"/>
      <c r="U44" s="293"/>
      <c r="V44" s="37" t="s">
        <v>452</v>
      </c>
      <c r="W44" s="28" t="s">
        <v>74</v>
      </c>
      <c r="X44" s="28" t="s">
        <v>11</v>
      </c>
      <c r="Y44" s="38">
        <v>63.2</v>
      </c>
      <c r="AD44" s="37"/>
      <c r="AG44" s="38"/>
      <c r="AL44" s="37"/>
      <c r="AO44" s="38"/>
      <c r="AP44" s="37"/>
      <c r="AS44" s="38"/>
      <c r="AW44" s="38"/>
      <c r="BA44" s="39"/>
    </row>
    <row r="45" spans="1:53" s="28" customFormat="1" x14ac:dyDescent="0.15">
      <c r="A45" s="51">
        <v>1978</v>
      </c>
      <c r="B45" s="293"/>
      <c r="C45" s="394" t="s">
        <v>634</v>
      </c>
      <c r="D45" s="394"/>
      <c r="E45" s="28">
        <v>346</v>
      </c>
      <c r="G45" s="65">
        <v>19</v>
      </c>
      <c r="J45" s="72">
        <v>19</v>
      </c>
      <c r="K45" s="46">
        <f t="shared" si="1"/>
        <v>100</v>
      </c>
      <c r="L45" s="46">
        <f t="shared" si="1"/>
        <v>0</v>
      </c>
      <c r="M45" s="46">
        <f t="shared" si="1"/>
        <v>0</v>
      </c>
      <c r="N45" s="67">
        <f t="shared" si="2"/>
        <v>100</v>
      </c>
      <c r="O45" s="45">
        <v>63.2</v>
      </c>
      <c r="P45" s="46"/>
      <c r="Q45" s="46"/>
      <c r="R45" s="47">
        <f t="shared" si="3"/>
        <v>63.2</v>
      </c>
      <c r="S45" s="28">
        <v>1</v>
      </c>
      <c r="T45" s="284"/>
      <c r="U45" s="293"/>
      <c r="V45" s="37" t="s">
        <v>452</v>
      </c>
      <c r="W45" s="28" t="s">
        <v>74</v>
      </c>
      <c r="X45" s="28" t="s">
        <v>11</v>
      </c>
      <c r="Y45" s="38">
        <v>63.2</v>
      </c>
      <c r="AD45" s="37"/>
      <c r="AG45" s="38"/>
      <c r="AL45" s="37"/>
      <c r="AO45" s="38"/>
      <c r="AP45" s="37"/>
      <c r="AS45" s="38"/>
      <c r="AW45" s="38"/>
      <c r="BA45" s="39"/>
    </row>
    <row r="46" spans="1:53" s="170" customFormat="1" x14ac:dyDescent="0.15">
      <c r="A46" s="215">
        <v>1978</v>
      </c>
      <c r="B46" s="281">
        <v>28837</v>
      </c>
      <c r="C46" s="395" t="s">
        <v>635</v>
      </c>
      <c r="D46" s="395"/>
      <c r="E46" s="170">
        <f>365-E45</f>
        <v>19</v>
      </c>
      <c r="F46" s="170">
        <v>1</v>
      </c>
      <c r="G46" s="232">
        <v>19</v>
      </c>
      <c r="J46" s="240">
        <v>19</v>
      </c>
      <c r="K46" s="213">
        <f t="shared" si="1"/>
        <v>100</v>
      </c>
      <c r="L46" s="213">
        <f t="shared" si="1"/>
        <v>0</v>
      </c>
      <c r="M46" s="213">
        <f t="shared" si="1"/>
        <v>0</v>
      </c>
      <c r="N46" s="234">
        <f t="shared" si="2"/>
        <v>100</v>
      </c>
      <c r="O46" s="212">
        <v>55.4</v>
      </c>
      <c r="P46" s="213"/>
      <c r="Q46" s="213"/>
      <c r="R46" s="214">
        <f t="shared" si="3"/>
        <v>55.4</v>
      </c>
      <c r="S46" s="170">
        <v>1</v>
      </c>
      <c r="T46" s="283">
        <v>28819</v>
      </c>
      <c r="U46" s="281">
        <v>28837</v>
      </c>
      <c r="V46" s="177" t="s">
        <v>452</v>
      </c>
      <c r="W46" s="170" t="s">
        <v>74</v>
      </c>
      <c r="X46" s="170" t="s">
        <v>11</v>
      </c>
      <c r="Y46" s="178">
        <v>55.4</v>
      </c>
      <c r="AD46" s="177"/>
      <c r="AG46" s="178"/>
      <c r="AL46" s="177"/>
      <c r="AO46" s="178"/>
      <c r="AP46" s="177"/>
      <c r="AS46" s="178"/>
      <c r="AW46" s="178"/>
      <c r="BA46" s="179"/>
    </row>
    <row r="47" spans="1:53" s="170" customFormat="1" x14ac:dyDescent="0.15">
      <c r="A47" s="215">
        <v>1979</v>
      </c>
      <c r="B47" s="281"/>
      <c r="C47" s="395" t="s">
        <v>635</v>
      </c>
      <c r="D47" s="395"/>
      <c r="E47" s="170">
        <v>0</v>
      </c>
      <c r="G47" s="232">
        <v>19</v>
      </c>
      <c r="J47" s="240">
        <v>19</v>
      </c>
      <c r="K47" s="213">
        <f t="shared" si="1"/>
        <v>100</v>
      </c>
      <c r="L47" s="213">
        <f t="shared" si="1"/>
        <v>0</v>
      </c>
      <c r="M47" s="213">
        <f t="shared" si="1"/>
        <v>0</v>
      </c>
      <c r="N47" s="234">
        <f t="shared" si="2"/>
        <v>100</v>
      </c>
      <c r="O47" s="212">
        <v>55.4</v>
      </c>
      <c r="P47" s="213"/>
      <c r="Q47" s="213"/>
      <c r="R47" s="214">
        <f t="shared" si="3"/>
        <v>55.4</v>
      </c>
      <c r="S47" s="170">
        <v>1</v>
      </c>
      <c r="T47" s="283"/>
      <c r="U47" s="281"/>
      <c r="V47" s="177" t="s">
        <v>452</v>
      </c>
      <c r="W47" s="170" t="s">
        <v>74</v>
      </c>
      <c r="X47" s="170" t="s">
        <v>11</v>
      </c>
      <c r="Y47" s="178">
        <v>55.4</v>
      </c>
      <c r="AD47" s="177"/>
      <c r="AG47" s="178"/>
      <c r="AL47" s="177"/>
      <c r="AO47" s="178"/>
      <c r="AP47" s="177"/>
      <c r="AS47" s="178"/>
      <c r="AW47" s="178"/>
      <c r="BA47" s="179"/>
    </row>
    <row r="48" spans="1:53" s="170" customFormat="1" x14ac:dyDescent="0.15">
      <c r="A48" s="215">
        <v>1979</v>
      </c>
      <c r="B48" s="281"/>
      <c r="C48" s="395" t="s">
        <v>635</v>
      </c>
      <c r="D48" s="395"/>
      <c r="E48" s="170">
        <v>365</v>
      </c>
      <c r="G48" s="232">
        <v>19</v>
      </c>
      <c r="J48" s="240">
        <v>19</v>
      </c>
      <c r="K48" s="213">
        <f t="shared" si="1"/>
        <v>100</v>
      </c>
      <c r="L48" s="213">
        <f t="shared" si="1"/>
        <v>0</v>
      </c>
      <c r="M48" s="213">
        <f t="shared" si="1"/>
        <v>0</v>
      </c>
      <c r="N48" s="234">
        <f t="shared" si="2"/>
        <v>100</v>
      </c>
      <c r="O48" s="212">
        <v>55.4</v>
      </c>
      <c r="P48" s="213"/>
      <c r="Q48" s="213"/>
      <c r="R48" s="214">
        <f t="shared" si="3"/>
        <v>55.4</v>
      </c>
      <c r="S48" s="170">
        <v>1</v>
      </c>
      <c r="T48" s="283"/>
      <c r="U48" s="281"/>
      <c r="V48" s="177" t="s">
        <v>452</v>
      </c>
      <c r="W48" s="170" t="s">
        <v>74</v>
      </c>
      <c r="X48" s="170" t="s">
        <v>11</v>
      </c>
      <c r="Y48" s="178">
        <v>55.4</v>
      </c>
      <c r="AD48" s="177"/>
      <c r="AG48" s="178"/>
      <c r="AL48" s="177"/>
      <c r="AO48" s="178"/>
      <c r="AP48" s="177"/>
      <c r="AS48" s="178"/>
      <c r="AW48" s="178"/>
      <c r="BA48" s="179"/>
    </row>
    <row r="49" spans="1:53" s="170" customFormat="1" x14ac:dyDescent="0.15">
      <c r="A49" s="215">
        <v>1980</v>
      </c>
      <c r="B49" s="281"/>
      <c r="C49" s="395" t="s">
        <v>635</v>
      </c>
      <c r="D49" s="395"/>
      <c r="E49" s="170">
        <v>0</v>
      </c>
      <c r="G49" s="232">
        <v>19</v>
      </c>
      <c r="J49" s="240">
        <v>19</v>
      </c>
      <c r="K49" s="213">
        <f t="shared" si="1"/>
        <v>100</v>
      </c>
      <c r="L49" s="213">
        <f t="shared" si="1"/>
        <v>0</v>
      </c>
      <c r="M49" s="213">
        <f t="shared" si="1"/>
        <v>0</v>
      </c>
      <c r="N49" s="234">
        <f t="shared" si="2"/>
        <v>100</v>
      </c>
      <c r="O49" s="212">
        <v>55.4</v>
      </c>
      <c r="P49" s="213"/>
      <c r="Q49" s="213"/>
      <c r="R49" s="214">
        <f t="shared" si="3"/>
        <v>55.4</v>
      </c>
      <c r="S49" s="170">
        <v>1</v>
      </c>
      <c r="T49" s="283"/>
      <c r="U49" s="281"/>
      <c r="V49" s="177" t="s">
        <v>452</v>
      </c>
      <c r="W49" s="170" t="s">
        <v>74</v>
      </c>
      <c r="X49" s="170" t="s">
        <v>11</v>
      </c>
      <c r="Y49" s="178">
        <v>55.4</v>
      </c>
      <c r="AD49" s="177"/>
      <c r="AG49" s="178"/>
      <c r="AL49" s="177"/>
      <c r="AO49" s="178"/>
      <c r="AP49" s="177"/>
      <c r="AS49" s="178"/>
      <c r="AW49" s="178"/>
      <c r="BA49" s="179"/>
    </row>
    <row r="50" spans="1:53" s="170" customFormat="1" x14ac:dyDescent="0.15">
      <c r="A50" s="215">
        <v>1980</v>
      </c>
      <c r="B50" s="281"/>
      <c r="C50" s="395" t="s">
        <v>635</v>
      </c>
      <c r="D50" s="395"/>
      <c r="E50" s="170">
        <v>366</v>
      </c>
      <c r="G50" s="232">
        <v>19</v>
      </c>
      <c r="J50" s="240">
        <v>19</v>
      </c>
      <c r="K50" s="213">
        <f t="shared" si="1"/>
        <v>100</v>
      </c>
      <c r="L50" s="213">
        <f t="shared" si="1"/>
        <v>0</v>
      </c>
      <c r="M50" s="213">
        <f t="shared" si="1"/>
        <v>0</v>
      </c>
      <c r="N50" s="234">
        <f t="shared" si="2"/>
        <v>100</v>
      </c>
      <c r="O50" s="212">
        <v>55.4</v>
      </c>
      <c r="P50" s="213"/>
      <c r="Q50" s="213"/>
      <c r="R50" s="214">
        <f t="shared" si="3"/>
        <v>55.4</v>
      </c>
      <c r="S50" s="170">
        <v>1</v>
      </c>
      <c r="T50" s="283"/>
      <c r="U50" s="281"/>
      <c r="V50" s="177" t="s">
        <v>452</v>
      </c>
      <c r="W50" s="170" t="s">
        <v>74</v>
      </c>
      <c r="X50" s="170" t="s">
        <v>11</v>
      </c>
      <c r="Y50" s="178">
        <v>55.4</v>
      </c>
      <c r="AD50" s="177"/>
      <c r="AG50" s="178"/>
      <c r="AL50" s="177"/>
      <c r="AO50" s="178"/>
      <c r="AP50" s="177"/>
      <c r="AS50" s="178"/>
      <c r="AW50" s="178"/>
      <c r="BA50" s="179"/>
    </row>
    <row r="51" spans="1:53" s="170" customFormat="1" x14ac:dyDescent="0.15">
      <c r="A51" s="215">
        <v>1981</v>
      </c>
      <c r="B51" s="281"/>
      <c r="C51" s="395" t="s">
        <v>635</v>
      </c>
      <c r="D51" s="395"/>
      <c r="E51" s="170">
        <v>344</v>
      </c>
      <c r="G51" s="232">
        <v>19</v>
      </c>
      <c r="J51" s="240">
        <v>19</v>
      </c>
      <c r="K51" s="213">
        <f t="shared" si="1"/>
        <v>100</v>
      </c>
      <c r="L51" s="213">
        <f t="shared" si="1"/>
        <v>0</v>
      </c>
      <c r="M51" s="213">
        <f t="shared" si="1"/>
        <v>0</v>
      </c>
      <c r="N51" s="234">
        <f t="shared" si="2"/>
        <v>100</v>
      </c>
      <c r="O51" s="212">
        <v>55.4</v>
      </c>
      <c r="P51" s="213"/>
      <c r="Q51" s="213"/>
      <c r="R51" s="214">
        <f t="shared" si="3"/>
        <v>55.4</v>
      </c>
      <c r="S51" s="170">
        <v>1</v>
      </c>
      <c r="T51" s="283"/>
      <c r="U51" s="281"/>
      <c r="V51" s="177" t="s">
        <v>452</v>
      </c>
      <c r="W51" s="170" t="s">
        <v>74</v>
      </c>
      <c r="X51" s="170" t="s">
        <v>11</v>
      </c>
      <c r="Y51" s="178">
        <v>55.4</v>
      </c>
      <c r="AD51" s="177"/>
      <c r="AG51" s="178"/>
      <c r="AL51" s="177"/>
      <c r="AO51" s="178"/>
      <c r="AP51" s="177"/>
      <c r="AS51" s="178"/>
      <c r="AW51" s="178"/>
      <c r="BA51" s="179"/>
    </row>
    <row r="52" spans="1:53" s="28" customFormat="1" x14ac:dyDescent="0.15">
      <c r="A52" s="51">
        <v>1981</v>
      </c>
      <c r="B52" s="293">
        <v>29931</v>
      </c>
      <c r="C52" s="394" t="s">
        <v>636</v>
      </c>
      <c r="D52" s="394"/>
      <c r="E52" s="28">
        <f>365-E51</f>
        <v>21</v>
      </c>
      <c r="F52" s="28">
        <v>1</v>
      </c>
      <c r="G52" s="65">
        <v>19</v>
      </c>
      <c r="J52" s="72">
        <v>19</v>
      </c>
      <c r="K52" s="46">
        <f t="shared" si="1"/>
        <v>100</v>
      </c>
      <c r="L52" s="46">
        <f t="shared" si="1"/>
        <v>0</v>
      </c>
      <c r="M52" s="46">
        <f t="shared" si="1"/>
        <v>0</v>
      </c>
      <c r="N52" s="67">
        <f t="shared" si="2"/>
        <v>100</v>
      </c>
      <c r="O52" s="45">
        <v>51.1</v>
      </c>
      <c r="P52" s="46"/>
      <c r="Q52" s="46"/>
      <c r="R52" s="47">
        <f t="shared" si="3"/>
        <v>51.1</v>
      </c>
      <c r="S52" s="28">
        <v>1</v>
      </c>
      <c r="T52" s="284">
        <v>29918</v>
      </c>
      <c r="U52" s="293">
        <v>29931</v>
      </c>
      <c r="V52" s="37" t="s">
        <v>452</v>
      </c>
      <c r="W52" s="28" t="s">
        <v>74</v>
      </c>
      <c r="X52" s="28" t="s">
        <v>11</v>
      </c>
      <c r="Y52" s="38">
        <v>51.1</v>
      </c>
      <c r="AD52" s="37"/>
      <c r="AG52" s="38"/>
      <c r="AL52" s="37"/>
      <c r="AO52" s="38"/>
      <c r="AP52" s="37"/>
      <c r="AS52" s="38"/>
      <c r="AW52" s="38"/>
      <c r="BA52" s="39"/>
    </row>
    <row r="53" spans="1:53" s="28" customFormat="1" x14ac:dyDescent="0.15">
      <c r="A53" s="51">
        <v>1982</v>
      </c>
      <c r="B53" s="293"/>
      <c r="C53" s="394" t="s">
        <v>636</v>
      </c>
      <c r="D53" s="394"/>
      <c r="E53" s="28">
        <v>0</v>
      </c>
      <c r="G53" s="65">
        <v>19</v>
      </c>
      <c r="J53" s="72">
        <v>19</v>
      </c>
      <c r="K53" s="46">
        <f t="shared" si="1"/>
        <v>100</v>
      </c>
      <c r="L53" s="46">
        <f t="shared" si="1"/>
        <v>0</v>
      </c>
      <c r="M53" s="46">
        <f t="shared" si="1"/>
        <v>0</v>
      </c>
      <c r="N53" s="67">
        <f t="shared" si="2"/>
        <v>100</v>
      </c>
      <c r="O53" s="45">
        <v>51.1</v>
      </c>
      <c r="P53" s="46"/>
      <c r="Q53" s="46"/>
      <c r="R53" s="47">
        <f t="shared" si="3"/>
        <v>51.1</v>
      </c>
      <c r="S53" s="28">
        <v>1</v>
      </c>
      <c r="T53" s="284"/>
      <c r="U53" s="293"/>
      <c r="V53" s="37" t="s">
        <v>452</v>
      </c>
      <c r="W53" s="28" t="s">
        <v>74</v>
      </c>
      <c r="X53" s="28" t="s">
        <v>11</v>
      </c>
      <c r="Y53" s="38">
        <v>51.1</v>
      </c>
      <c r="AD53" s="37"/>
      <c r="AG53" s="38"/>
      <c r="AL53" s="37"/>
      <c r="AO53" s="38"/>
      <c r="AP53" s="37"/>
      <c r="AS53" s="38"/>
      <c r="AW53" s="38"/>
      <c r="BA53" s="39"/>
    </row>
    <row r="54" spans="1:53" s="28" customFormat="1" x14ac:dyDescent="0.15">
      <c r="A54" s="51">
        <v>1982</v>
      </c>
      <c r="B54" s="293"/>
      <c r="C54" s="394" t="s">
        <v>636</v>
      </c>
      <c r="D54" s="394"/>
      <c r="E54" s="28">
        <v>365</v>
      </c>
      <c r="G54" s="65">
        <v>19</v>
      </c>
      <c r="J54" s="72">
        <v>19</v>
      </c>
      <c r="K54" s="46">
        <f t="shared" si="1"/>
        <v>100</v>
      </c>
      <c r="L54" s="46">
        <f t="shared" si="1"/>
        <v>0</v>
      </c>
      <c r="M54" s="46">
        <f t="shared" si="1"/>
        <v>0</v>
      </c>
      <c r="N54" s="67">
        <f t="shared" si="2"/>
        <v>100</v>
      </c>
      <c r="O54" s="45">
        <v>51.1</v>
      </c>
      <c r="P54" s="46"/>
      <c r="Q54" s="46"/>
      <c r="R54" s="47">
        <f t="shared" si="3"/>
        <v>51.1</v>
      </c>
      <c r="S54" s="28">
        <v>1</v>
      </c>
      <c r="T54" s="284"/>
      <c r="U54" s="293"/>
      <c r="V54" s="37" t="s">
        <v>452</v>
      </c>
      <c r="W54" s="28" t="s">
        <v>74</v>
      </c>
      <c r="X54" s="28" t="s">
        <v>11</v>
      </c>
      <c r="Y54" s="38">
        <v>51.1</v>
      </c>
      <c r="AD54" s="37"/>
      <c r="AG54" s="38"/>
      <c r="AL54" s="37"/>
      <c r="AO54" s="38"/>
      <c r="AP54" s="37"/>
      <c r="AS54" s="38"/>
      <c r="AW54" s="38"/>
      <c r="BA54" s="39"/>
    </row>
    <row r="55" spans="1:53" s="28" customFormat="1" x14ac:dyDescent="0.15">
      <c r="A55" s="51">
        <v>1983</v>
      </c>
      <c r="B55" s="293"/>
      <c r="C55" s="394" t="s">
        <v>636</v>
      </c>
      <c r="D55" s="394"/>
      <c r="E55" s="28">
        <v>0</v>
      </c>
      <c r="G55" s="65">
        <v>19</v>
      </c>
      <c r="J55" s="72">
        <v>19</v>
      </c>
      <c r="K55" s="46">
        <f t="shared" si="1"/>
        <v>100</v>
      </c>
      <c r="L55" s="46">
        <f t="shared" si="1"/>
        <v>0</v>
      </c>
      <c r="M55" s="46">
        <f t="shared" si="1"/>
        <v>0</v>
      </c>
      <c r="N55" s="67">
        <f t="shared" si="2"/>
        <v>100</v>
      </c>
      <c r="O55" s="45">
        <v>51.1</v>
      </c>
      <c r="P55" s="46"/>
      <c r="Q55" s="46"/>
      <c r="R55" s="47">
        <f t="shared" si="3"/>
        <v>51.1</v>
      </c>
      <c r="S55" s="28">
        <v>1</v>
      </c>
      <c r="T55" s="284"/>
      <c r="U55" s="293"/>
      <c r="V55" s="37" t="s">
        <v>452</v>
      </c>
      <c r="W55" s="28" t="s">
        <v>74</v>
      </c>
      <c r="X55" s="28" t="s">
        <v>11</v>
      </c>
      <c r="Y55" s="38">
        <v>51.1</v>
      </c>
      <c r="AD55" s="37"/>
      <c r="AG55" s="38"/>
      <c r="AL55" s="37"/>
      <c r="AO55" s="38"/>
      <c r="AP55" s="37"/>
      <c r="AS55" s="38"/>
      <c r="AW55" s="38"/>
      <c r="BA55" s="39"/>
    </row>
    <row r="56" spans="1:53" s="28" customFormat="1" x14ac:dyDescent="0.15">
      <c r="A56" s="51">
        <v>1983</v>
      </c>
      <c r="B56" s="293"/>
      <c r="C56" s="394" t="s">
        <v>636</v>
      </c>
      <c r="D56" s="394"/>
      <c r="E56" s="28">
        <v>365</v>
      </c>
      <c r="G56" s="65">
        <v>19</v>
      </c>
      <c r="J56" s="72">
        <v>19</v>
      </c>
      <c r="K56" s="46">
        <f t="shared" si="1"/>
        <v>100</v>
      </c>
      <c r="L56" s="46">
        <f t="shared" si="1"/>
        <v>0</v>
      </c>
      <c r="M56" s="46">
        <f t="shared" si="1"/>
        <v>0</v>
      </c>
      <c r="N56" s="67">
        <f t="shared" si="2"/>
        <v>100</v>
      </c>
      <c r="O56" s="45">
        <v>51.1</v>
      </c>
      <c r="P56" s="46"/>
      <c r="Q56" s="46"/>
      <c r="R56" s="47">
        <f t="shared" si="3"/>
        <v>51.1</v>
      </c>
      <c r="S56" s="28">
        <v>1</v>
      </c>
      <c r="T56" s="284"/>
      <c r="U56" s="293"/>
      <c r="V56" s="37" t="s">
        <v>452</v>
      </c>
      <c r="W56" s="28" t="s">
        <v>74</v>
      </c>
      <c r="X56" s="28" t="s">
        <v>11</v>
      </c>
      <c r="Y56" s="38">
        <v>51.1</v>
      </c>
      <c r="AD56" s="37"/>
      <c r="AG56" s="38"/>
      <c r="AL56" s="37"/>
      <c r="AO56" s="38"/>
      <c r="AP56" s="37"/>
      <c r="AS56" s="38"/>
      <c r="AW56" s="38"/>
      <c r="BA56" s="39"/>
    </row>
    <row r="57" spans="1:53" s="28" customFormat="1" x14ac:dyDescent="0.15">
      <c r="A57" s="51">
        <v>1984</v>
      </c>
      <c r="B57" s="293"/>
      <c r="C57" s="394" t="s">
        <v>636</v>
      </c>
      <c r="D57" s="394"/>
      <c r="E57" s="28">
        <v>207</v>
      </c>
      <c r="G57" s="65">
        <v>19</v>
      </c>
      <c r="J57" s="72">
        <v>19</v>
      </c>
      <c r="K57" s="46">
        <f t="shared" si="1"/>
        <v>100</v>
      </c>
      <c r="L57" s="46">
        <f>H57/$J57*100</f>
        <v>0</v>
      </c>
      <c r="M57" s="46">
        <f>I57/$J57*100</f>
        <v>0</v>
      </c>
      <c r="N57" s="67">
        <f t="shared" si="2"/>
        <v>100</v>
      </c>
      <c r="O57" s="45">
        <v>51.1</v>
      </c>
      <c r="P57" s="46"/>
      <c r="Q57" s="46"/>
      <c r="R57" s="47">
        <f t="shared" si="3"/>
        <v>51.1</v>
      </c>
      <c r="S57" s="28">
        <v>1</v>
      </c>
      <c r="T57" s="284"/>
      <c r="U57" s="293"/>
      <c r="V57" s="37" t="s">
        <v>452</v>
      </c>
      <c r="W57" s="28" t="s">
        <v>74</v>
      </c>
      <c r="X57" s="28" t="s">
        <v>11</v>
      </c>
      <c r="Y57" s="38">
        <v>51.1</v>
      </c>
      <c r="AD57" s="37"/>
      <c r="AG57" s="38"/>
      <c r="AL57" s="37"/>
      <c r="AO57" s="38"/>
      <c r="AP57" s="37"/>
      <c r="AS57" s="38"/>
      <c r="AW57" s="38"/>
      <c r="BA57" s="39"/>
    </row>
    <row r="58" spans="1:53" s="170" customFormat="1" x14ac:dyDescent="0.15">
      <c r="A58" s="215">
        <v>1984</v>
      </c>
      <c r="B58" s="281">
        <v>30889</v>
      </c>
      <c r="C58" s="395" t="s">
        <v>637</v>
      </c>
      <c r="D58" s="395"/>
      <c r="E58" s="170">
        <f>366-E57</f>
        <v>159</v>
      </c>
      <c r="F58" s="170">
        <v>1</v>
      </c>
      <c r="G58" s="232"/>
      <c r="I58" s="170">
        <v>20</v>
      </c>
      <c r="J58" s="240">
        <v>20</v>
      </c>
      <c r="K58" s="213">
        <f t="shared" ref="K58:M118" si="4">G58/$J58*100</f>
        <v>0</v>
      </c>
      <c r="L58" s="213">
        <f t="shared" si="4"/>
        <v>0</v>
      </c>
      <c r="M58" s="213">
        <f t="shared" si="4"/>
        <v>100</v>
      </c>
      <c r="N58" s="234">
        <f t="shared" si="2"/>
        <v>100</v>
      </c>
      <c r="O58" s="212"/>
      <c r="P58" s="213"/>
      <c r="Q58" s="213">
        <v>60</v>
      </c>
      <c r="R58" s="214">
        <f t="shared" si="3"/>
        <v>60</v>
      </c>
      <c r="S58" s="170">
        <v>1</v>
      </c>
      <c r="T58" s="283">
        <v>30877</v>
      </c>
      <c r="U58" s="281">
        <v>30889</v>
      </c>
      <c r="V58" s="177" t="s">
        <v>451</v>
      </c>
      <c r="W58" s="170" t="s">
        <v>20</v>
      </c>
      <c r="X58" s="170" t="s">
        <v>12</v>
      </c>
      <c r="Y58" s="178">
        <v>60</v>
      </c>
      <c r="AD58" s="177"/>
      <c r="AG58" s="178"/>
      <c r="AL58" s="177"/>
      <c r="AO58" s="178"/>
      <c r="AP58" s="177"/>
      <c r="AS58" s="178"/>
      <c r="AW58" s="178"/>
      <c r="BA58" s="179"/>
    </row>
    <row r="59" spans="1:53" s="170" customFormat="1" x14ac:dyDescent="0.15">
      <c r="A59" s="215">
        <v>1985</v>
      </c>
      <c r="B59" s="281"/>
      <c r="C59" s="395" t="s">
        <v>637</v>
      </c>
      <c r="D59" s="395"/>
      <c r="E59" s="170">
        <v>0</v>
      </c>
      <c r="G59" s="232"/>
      <c r="I59" s="170">
        <v>20</v>
      </c>
      <c r="J59" s="240">
        <v>20</v>
      </c>
      <c r="K59" s="213">
        <f t="shared" si="4"/>
        <v>0</v>
      </c>
      <c r="L59" s="213">
        <f t="shared" si="4"/>
        <v>0</v>
      </c>
      <c r="M59" s="213">
        <f t="shared" si="4"/>
        <v>100</v>
      </c>
      <c r="N59" s="234">
        <f t="shared" si="2"/>
        <v>100</v>
      </c>
      <c r="O59" s="212"/>
      <c r="P59" s="213"/>
      <c r="Q59" s="213">
        <v>60</v>
      </c>
      <c r="R59" s="214">
        <f t="shared" si="3"/>
        <v>60</v>
      </c>
      <c r="S59" s="170">
        <v>1</v>
      </c>
      <c r="T59" s="283"/>
      <c r="U59" s="281"/>
      <c r="V59" s="177" t="s">
        <v>451</v>
      </c>
      <c r="W59" s="170" t="s">
        <v>20</v>
      </c>
      <c r="X59" s="170" t="s">
        <v>12</v>
      </c>
      <c r="Y59" s="178">
        <v>60</v>
      </c>
      <c r="AD59" s="177"/>
      <c r="AG59" s="178"/>
      <c r="AL59" s="177"/>
      <c r="AO59" s="178"/>
      <c r="AP59" s="177"/>
      <c r="AS59" s="178"/>
      <c r="AW59" s="178"/>
      <c r="BA59" s="179"/>
    </row>
    <row r="60" spans="1:53" s="170" customFormat="1" x14ac:dyDescent="0.15">
      <c r="A60" s="215">
        <v>1985</v>
      </c>
      <c r="B60" s="281"/>
      <c r="C60" s="395" t="s">
        <v>637</v>
      </c>
      <c r="D60" s="395"/>
      <c r="E60" s="170">
        <v>365</v>
      </c>
      <c r="G60" s="232"/>
      <c r="I60" s="170">
        <v>20</v>
      </c>
      <c r="J60" s="240">
        <v>20</v>
      </c>
      <c r="K60" s="213">
        <f t="shared" si="4"/>
        <v>0</v>
      </c>
      <c r="L60" s="213">
        <f t="shared" si="4"/>
        <v>0</v>
      </c>
      <c r="M60" s="213">
        <f t="shared" si="4"/>
        <v>100</v>
      </c>
      <c r="N60" s="234">
        <f t="shared" si="2"/>
        <v>100</v>
      </c>
      <c r="O60" s="212"/>
      <c r="P60" s="213"/>
      <c r="Q60" s="213">
        <v>60</v>
      </c>
      <c r="R60" s="214">
        <f t="shared" si="3"/>
        <v>60</v>
      </c>
      <c r="S60" s="170">
        <v>1</v>
      </c>
      <c r="T60" s="283"/>
      <c r="U60" s="281"/>
      <c r="V60" s="177" t="s">
        <v>451</v>
      </c>
      <c r="W60" s="170" t="s">
        <v>20</v>
      </c>
      <c r="X60" s="170" t="s">
        <v>12</v>
      </c>
      <c r="Y60" s="178">
        <v>60</v>
      </c>
      <c r="AD60" s="177"/>
      <c r="AG60" s="178"/>
      <c r="AL60" s="177"/>
      <c r="AO60" s="178"/>
      <c r="AP60" s="177"/>
      <c r="AS60" s="178"/>
      <c r="AW60" s="178"/>
      <c r="BA60" s="179"/>
    </row>
    <row r="61" spans="1:53" s="170" customFormat="1" x14ac:dyDescent="0.15">
      <c r="A61" s="215">
        <v>1986</v>
      </c>
      <c r="B61" s="281"/>
      <c r="C61" s="395" t="s">
        <v>637</v>
      </c>
      <c r="D61" s="395"/>
      <c r="E61" s="170">
        <v>0</v>
      </c>
      <c r="G61" s="232"/>
      <c r="I61" s="170">
        <v>20</v>
      </c>
      <c r="J61" s="240">
        <v>20</v>
      </c>
      <c r="K61" s="213">
        <f t="shared" si="4"/>
        <v>0</v>
      </c>
      <c r="L61" s="213">
        <f t="shared" si="4"/>
        <v>0</v>
      </c>
      <c r="M61" s="213">
        <f t="shared" si="4"/>
        <v>100</v>
      </c>
      <c r="N61" s="234">
        <f t="shared" si="2"/>
        <v>100</v>
      </c>
      <c r="O61" s="212"/>
      <c r="P61" s="213"/>
      <c r="Q61" s="213">
        <v>60</v>
      </c>
      <c r="R61" s="214">
        <f t="shared" si="3"/>
        <v>60</v>
      </c>
      <c r="S61" s="170">
        <v>1</v>
      </c>
      <c r="T61" s="283"/>
      <c r="U61" s="281"/>
      <c r="V61" s="177" t="s">
        <v>451</v>
      </c>
      <c r="W61" s="170" t="s">
        <v>20</v>
      </c>
      <c r="X61" s="170" t="s">
        <v>12</v>
      </c>
      <c r="Y61" s="178">
        <v>60</v>
      </c>
      <c r="AD61" s="177"/>
      <c r="AG61" s="178"/>
      <c r="AL61" s="177"/>
      <c r="AO61" s="178"/>
      <c r="AP61" s="177"/>
      <c r="AS61" s="178"/>
      <c r="AW61" s="178"/>
      <c r="BA61" s="179"/>
    </row>
    <row r="62" spans="1:53" s="170" customFormat="1" x14ac:dyDescent="0.15">
      <c r="A62" s="215">
        <v>1986</v>
      </c>
      <c r="B62" s="281"/>
      <c r="C62" s="395" t="s">
        <v>637</v>
      </c>
      <c r="D62" s="395"/>
      <c r="E62" s="170">
        <v>365</v>
      </c>
      <c r="G62" s="232"/>
      <c r="I62" s="170">
        <v>20</v>
      </c>
      <c r="J62" s="240">
        <v>20</v>
      </c>
      <c r="K62" s="213">
        <f t="shared" si="4"/>
        <v>0</v>
      </c>
      <c r="L62" s="213">
        <f t="shared" si="4"/>
        <v>0</v>
      </c>
      <c r="M62" s="213">
        <f t="shared" si="4"/>
        <v>100</v>
      </c>
      <c r="N62" s="234">
        <f t="shared" si="2"/>
        <v>100</v>
      </c>
      <c r="O62" s="212"/>
      <c r="P62" s="213"/>
      <c r="Q62" s="213">
        <v>60</v>
      </c>
      <c r="R62" s="214">
        <f t="shared" si="3"/>
        <v>60</v>
      </c>
      <c r="S62" s="170">
        <v>1</v>
      </c>
      <c r="T62" s="283"/>
      <c r="U62" s="281"/>
      <c r="V62" s="177" t="s">
        <v>451</v>
      </c>
      <c r="W62" s="170" t="s">
        <v>20</v>
      </c>
      <c r="X62" s="170" t="s">
        <v>12</v>
      </c>
      <c r="Y62" s="178">
        <v>60</v>
      </c>
      <c r="AD62" s="177"/>
      <c r="AG62" s="178"/>
      <c r="AL62" s="177"/>
      <c r="AO62" s="178"/>
      <c r="AP62" s="177"/>
      <c r="AS62" s="178"/>
      <c r="AW62" s="178"/>
      <c r="BA62" s="179"/>
    </row>
    <row r="63" spans="1:53" s="170" customFormat="1" x14ac:dyDescent="0.15">
      <c r="A63" s="215">
        <v>1987</v>
      </c>
      <c r="B63" s="281"/>
      <c r="C63" s="395" t="s">
        <v>637</v>
      </c>
      <c r="D63" s="395"/>
      <c r="E63" s="170">
        <v>230</v>
      </c>
      <c r="G63" s="232"/>
      <c r="I63" s="170">
        <v>20</v>
      </c>
      <c r="J63" s="240">
        <v>20</v>
      </c>
      <c r="K63" s="213">
        <f t="shared" si="4"/>
        <v>0</v>
      </c>
      <c r="L63" s="213">
        <f t="shared" si="4"/>
        <v>0</v>
      </c>
      <c r="M63" s="213">
        <f t="shared" si="4"/>
        <v>100</v>
      </c>
      <c r="N63" s="234">
        <f t="shared" si="2"/>
        <v>100</v>
      </c>
      <c r="O63" s="212"/>
      <c r="P63" s="213"/>
      <c r="Q63" s="213">
        <v>60</v>
      </c>
      <c r="R63" s="214">
        <f t="shared" si="3"/>
        <v>60</v>
      </c>
      <c r="S63" s="170">
        <v>1</v>
      </c>
      <c r="T63" s="283"/>
      <c r="U63" s="281"/>
      <c r="V63" s="177" t="s">
        <v>451</v>
      </c>
      <c r="W63" s="170" t="s">
        <v>20</v>
      </c>
      <c r="X63" s="170" t="s">
        <v>12</v>
      </c>
      <c r="Y63" s="178">
        <v>60</v>
      </c>
      <c r="AD63" s="177"/>
      <c r="AG63" s="178"/>
      <c r="AL63" s="177"/>
      <c r="AO63" s="178"/>
      <c r="AP63" s="177"/>
      <c r="AS63" s="178"/>
      <c r="AW63" s="178"/>
      <c r="BA63" s="179"/>
    </row>
    <row r="64" spans="1:53" s="28" customFormat="1" x14ac:dyDescent="0.15">
      <c r="A64" s="51">
        <v>1987</v>
      </c>
      <c r="B64" s="293">
        <v>32008</v>
      </c>
      <c r="C64" s="394" t="s">
        <v>638</v>
      </c>
      <c r="D64" s="394"/>
      <c r="E64" s="28">
        <f>365-E63</f>
        <v>135</v>
      </c>
      <c r="F64" s="28">
        <v>1</v>
      </c>
      <c r="G64" s="65"/>
      <c r="I64" s="28">
        <v>19</v>
      </c>
      <c r="J64" s="72">
        <v>19</v>
      </c>
      <c r="K64" s="46">
        <f t="shared" si="4"/>
        <v>0</v>
      </c>
      <c r="L64" s="46">
        <f t="shared" si="4"/>
        <v>0</v>
      </c>
      <c r="M64" s="46">
        <f t="shared" si="4"/>
        <v>100</v>
      </c>
      <c r="N64" s="67">
        <f t="shared" si="2"/>
        <v>100</v>
      </c>
      <c r="O64" s="45"/>
      <c r="P64" s="46"/>
      <c r="Q64" s="46">
        <v>58.8</v>
      </c>
      <c r="R64" s="47">
        <f t="shared" si="3"/>
        <v>58.8</v>
      </c>
      <c r="S64" s="28">
        <v>1</v>
      </c>
      <c r="T64" s="284">
        <v>32004</v>
      </c>
      <c r="U64" s="293">
        <v>32008</v>
      </c>
      <c r="V64" s="37" t="s">
        <v>451</v>
      </c>
      <c r="W64" s="28" t="s">
        <v>20</v>
      </c>
      <c r="X64" s="28" t="s">
        <v>12</v>
      </c>
      <c r="Y64" s="38">
        <v>58.8</v>
      </c>
      <c r="AD64" s="37"/>
      <c r="AG64" s="38"/>
      <c r="AL64" s="37"/>
      <c r="AO64" s="38"/>
      <c r="AP64" s="37"/>
      <c r="AS64" s="38"/>
      <c r="AW64" s="38"/>
      <c r="BA64" s="39"/>
    </row>
    <row r="65" spans="1:53" s="28" customFormat="1" x14ac:dyDescent="0.15">
      <c r="A65" s="51">
        <v>1988</v>
      </c>
      <c r="B65" s="293"/>
      <c r="C65" s="394" t="s">
        <v>638</v>
      </c>
      <c r="D65" s="394"/>
      <c r="E65" s="28">
        <v>0</v>
      </c>
      <c r="G65" s="65"/>
      <c r="I65" s="28">
        <v>19</v>
      </c>
      <c r="J65" s="72">
        <v>19</v>
      </c>
      <c r="K65" s="46">
        <f t="shared" si="4"/>
        <v>0</v>
      </c>
      <c r="L65" s="46">
        <f t="shared" si="4"/>
        <v>0</v>
      </c>
      <c r="M65" s="46">
        <f t="shared" si="4"/>
        <v>100</v>
      </c>
      <c r="N65" s="67">
        <f t="shared" si="2"/>
        <v>100</v>
      </c>
      <c r="O65" s="45"/>
      <c r="P65" s="46"/>
      <c r="Q65" s="46">
        <v>58.8</v>
      </c>
      <c r="R65" s="47">
        <f t="shared" si="3"/>
        <v>58.8</v>
      </c>
      <c r="S65" s="28">
        <v>1</v>
      </c>
      <c r="T65" s="284"/>
      <c r="U65" s="293"/>
      <c r="V65" s="37" t="s">
        <v>451</v>
      </c>
      <c r="W65" s="28" t="s">
        <v>20</v>
      </c>
      <c r="X65" s="28" t="s">
        <v>12</v>
      </c>
      <c r="Y65" s="38">
        <v>58.8</v>
      </c>
      <c r="AD65" s="37"/>
      <c r="AG65" s="38"/>
      <c r="AL65" s="37"/>
      <c r="AO65" s="38"/>
      <c r="AP65" s="37"/>
      <c r="AS65" s="38"/>
      <c r="AW65" s="38"/>
      <c r="BA65" s="39"/>
    </row>
    <row r="66" spans="1:53" s="28" customFormat="1" x14ac:dyDescent="0.15">
      <c r="A66" s="51">
        <v>1988</v>
      </c>
      <c r="B66" s="293"/>
      <c r="C66" s="394" t="s">
        <v>638</v>
      </c>
      <c r="D66" s="394"/>
      <c r="E66" s="28">
        <v>366</v>
      </c>
      <c r="G66" s="65"/>
      <c r="I66" s="28">
        <v>19</v>
      </c>
      <c r="J66" s="72">
        <v>19</v>
      </c>
      <c r="K66" s="46">
        <f t="shared" si="4"/>
        <v>0</v>
      </c>
      <c r="L66" s="46">
        <f t="shared" si="4"/>
        <v>0</v>
      </c>
      <c r="M66" s="46">
        <f t="shared" si="4"/>
        <v>100</v>
      </c>
      <c r="N66" s="67">
        <f t="shared" si="2"/>
        <v>100</v>
      </c>
      <c r="O66" s="45"/>
      <c r="P66" s="46"/>
      <c r="Q66" s="46">
        <v>58.8</v>
      </c>
      <c r="R66" s="47">
        <f t="shared" si="3"/>
        <v>58.8</v>
      </c>
      <c r="S66" s="28">
        <v>1</v>
      </c>
      <c r="T66" s="284"/>
      <c r="U66" s="293"/>
      <c r="V66" s="37" t="s">
        <v>451</v>
      </c>
      <c r="W66" s="28" t="s">
        <v>20</v>
      </c>
      <c r="X66" s="28" t="s">
        <v>12</v>
      </c>
      <c r="Y66" s="38">
        <v>58.8</v>
      </c>
      <c r="AD66" s="37"/>
      <c r="AG66" s="38"/>
      <c r="AL66" s="37"/>
      <c r="AO66" s="38"/>
      <c r="AP66" s="37"/>
      <c r="AS66" s="38"/>
      <c r="AW66" s="38"/>
      <c r="BA66" s="39"/>
    </row>
    <row r="67" spans="1:53" s="28" customFormat="1" x14ac:dyDescent="0.15">
      <c r="A67" s="51">
        <v>1989</v>
      </c>
      <c r="B67" s="293"/>
      <c r="C67" s="394" t="s">
        <v>638</v>
      </c>
      <c r="D67" s="394"/>
      <c r="E67" s="28">
        <v>222</v>
      </c>
      <c r="G67" s="65"/>
      <c r="I67" s="28">
        <v>19</v>
      </c>
      <c r="J67" s="72">
        <v>19</v>
      </c>
      <c r="K67" s="46">
        <f t="shared" si="4"/>
        <v>0</v>
      </c>
      <c r="L67" s="46">
        <f t="shared" si="4"/>
        <v>0</v>
      </c>
      <c r="M67" s="46">
        <f t="shared" si="4"/>
        <v>100</v>
      </c>
      <c r="N67" s="67">
        <f t="shared" si="2"/>
        <v>100</v>
      </c>
      <c r="O67" s="45"/>
      <c r="P67" s="46"/>
      <c r="Q67" s="46">
        <v>58.8</v>
      </c>
      <c r="R67" s="47">
        <f t="shared" si="3"/>
        <v>58.8</v>
      </c>
      <c r="S67" s="28">
        <v>1</v>
      </c>
      <c r="T67" s="284"/>
      <c r="U67" s="293"/>
      <c r="V67" s="37" t="s">
        <v>451</v>
      </c>
      <c r="W67" s="28" t="s">
        <v>20</v>
      </c>
      <c r="X67" s="28" t="s">
        <v>12</v>
      </c>
      <c r="Y67" s="38">
        <v>58.8</v>
      </c>
      <c r="AD67" s="37"/>
      <c r="AG67" s="38"/>
      <c r="AL67" s="37"/>
      <c r="AO67" s="38"/>
      <c r="AP67" s="37"/>
      <c r="AS67" s="38"/>
      <c r="AW67" s="38"/>
      <c r="BA67" s="39"/>
    </row>
    <row r="68" spans="1:53" s="53" customFormat="1" x14ac:dyDescent="0.15">
      <c r="A68" s="117">
        <v>1989</v>
      </c>
      <c r="B68" s="291">
        <v>32731</v>
      </c>
      <c r="C68" s="399" t="s">
        <v>639</v>
      </c>
      <c r="D68" s="399"/>
      <c r="E68" s="53">
        <f>365-E67</f>
        <v>143</v>
      </c>
      <c r="F68" s="53">
        <v>2</v>
      </c>
      <c r="G68" s="248"/>
      <c r="I68" s="53">
        <v>19</v>
      </c>
      <c r="J68" s="240">
        <v>19</v>
      </c>
      <c r="K68" s="213">
        <f t="shared" si="4"/>
        <v>0</v>
      </c>
      <c r="L68" s="213">
        <f t="shared" si="4"/>
        <v>0</v>
      </c>
      <c r="M68" s="213">
        <f t="shared" si="4"/>
        <v>100</v>
      </c>
      <c r="N68" s="234">
        <f t="shared" si="2"/>
        <v>100</v>
      </c>
      <c r="O68" s="224"/>
      <c r="P68" s="225"/>
      <c r="Q68" s="213">
        <v>58.8</v>
      </c>
      <c r="R68" s="214">
        <f t="shared" si="3"/>
        <v>58.8</v>
      </c>
      <c r="S68" s="53">
        <v>1</v>
      </c>
      <c r="T68" s="285"/>
      <c r="U68" s="291">
        <v>32731</v>
      </c>
      <c r="V68" s="177" t="s">
        <v>451</v>
      </c>
      <c r="W68" s="170" t="s">
        <v>20</v>
      </c>
      <c r="X68" s="170" t="s">
        <v>12</v>
      </c>
      <c r="Y68" s="178">
        <v>58.8</v>
      </c>
      <c r="AD68" s="54"/>
      <c r="AG68" s="55"/>
      <c r="AL68" s="54"/>
      <c r="AO68" s="55"/>
      <c r="AP68" s="54"/>
      <c r="AS68" s="55"/>
      <c r="AW68" s="55"/>
      <c r="BA68" s="56"/>
    </row>
    <row r="69" spans="1:53" s="170" customFormat="1" x14ac:dyDescent="0.15">
      <c r="A69" s="170">
        <v>1990</v>
      </c>
      <c r="B69" s="281"/>
      <c r="C69" s="429" t="s">
        <v>639</v>
      </c>
      <c r="D69" s="429"/>
      <c r="E69" s="170">
        <v>305</v>
      </c>
      <c r="G69" s="232">
        <v>0</v>
      </c>
      <c r="H69" s="170">
        <v>0</v>
      </c>
      <c r="I69" s="170">
        <v>19</v>
      </c>
      <c r="J69" s="258">
        <v>19</v>
      </c>
      <c r="K69" s="259">
        <f t="shared" si="4"/>
        <v>0</v>
      </c>
      <c r="L69" s="260">
        <f t="shared" si="4"/>
        <v>0</v>
      </c>
      <c r="M69" s="260">
        <f t="shared" si="4"/>
        <v>100</v>
      </c>
      <c r="N69" s="261">
        <f t="shared" si="2"/>
        <v>100</v>
      </c>
      <c r="O69" s="212"/>
      <c r="P69" s="213"/>
      <c r="Q69" s="260">
        <v>58.8</v>
      </c>
      <c r="R69" s="261">
        <f t="shared" si="3"/>
        <v>58.8</v>
      </c>
      <c r="S69" s="170">
        <v>1</v>
      </c>
      <c r="T69" s="283"/>
      <c r="U69" s="281"/>
      <c r="V69" s="262" t="s">
        <v>451</v>
      </c>
      <c r="W69" s="52" t="s">
        <v>20</v>
      </c>
      <c r="X69" s="52" t="s">
        <v>12</v>
      </c>
      <c r="Y69" s="263">
        <v>58.8</v>
      </c>
      <c r="AD69" s="177"/>
      <c r="AG69" s="178"/>
      <c r="AL69" s="177"/>
      <c r="AO69" s="178"/>
      <c r="AP69" s="177"/>
      <c r="AS69" s="178"/>
      <c r="AW69" s="178"/>
      <c r="BA69" s="179"/>
    </row>
    <row r="70" spans="1:53" s="28" customFormat="1" x14ac:dyDescent="0.15">
      <c r="A70" s="28">
        <v>1990</v>
      </c>
      <c r="B70" s="293">
        <v>33179</v>
      </c>
      <c r="C70" s="394" t="s">
        <v>640</v>
      </c>
      <c r="D70" s="394"/>
      <c r="E70" s="28">
        <f>365-E69</f>
        <v>60</v>
      </c>
      <c r="F70" s="28">
        <v>1</v>
      </c>
      <c r="G70" s="65">
        <v>20</v>
      </c>
      <c r="H70" s="28">
        <v>0</v>
      </c>
      <c r="I70" s="28">
        <v>0</v>
      </c>
      <c r="J70" s="72">
        <v>20</v>
      </c>
      <c r="K70" s="46">
        <f t="shared" si="4"/>
        <v>100</v>
      </c>
      <c r="L70" s="46">
        <f t="shared" si="4"/>
        <v>0</v>
      </c>
      <c r="M70" s="46">
        <f t="shared" si="4"/>
        <v>0</v>
      </c>
      <c r="N70" s="67">
        <f t="shared" si="2"/>
        <v>100</v>
      </c>
      <c r="O70" s="45">
        <v>70.099999999999994</v>
      </c>
      <c r="P70" s="46"/>
      <c r="Q70" s="46"/>
      <c r="R70" s="47">
        <f t="shared" si="3"/>
        <v>70.099999999999994</v>
      </c>
      <c r="S70" s="28">
        <v>1</v>
      </c>
      <c r="T70" s="284">
        <v>33173</v>
      </c>
      <c r="U70" s="293">
        <v>33179</v>
      </c>
      <c r="V70" s="37" t="s">
        <v>452</v>
      </c>
      <c r="W70" s="28" t="s">
        <v>74</v>
      </c>
      <c r="X70" s="28" t="s">
        <v>11</v>
      </c>
      <c r="Y70" s="38">
        <v>70.099999999999994</v>
      </c>
      <c r="AD70" s="37"/>
      <c r="AG70" s="38"/>
      <c r="AL70" s="37"/>
      <c r="AO70" s="38"/>
      <c r="AP70" s="37"/>
      <c r="AS70" s="38"/>
      <c r="AW70" s="38"/>
      <c r="BA70" s="39"/>
    </row>
    <row r="71" spans="1:53" s="28" customFormat="1" x14ac:dyDescent="0.15">
      <c r="A71" s="28">
        <v>1991</v>
      </c>
      <c r="B71" s="293"/>
      <c r="C71" s="394" t="s">
        <v>640</v>
      </c>
      <c r="D71" s="394"/>
      <c r="E71" s="28">
        <v>0</v>
      </c>
      <c r="G71" s="65">
        <v>20</v>
      </c>
      <c r="H71" s="28">
        <v>0</v>
      </c>
      <c r="I71" s="28">
        <v>0</v>
      </c>
      <c r="J71" s="72">
        <v>20</v>
      </c>
      <c r="K71" s="46">
        <f t="shared" si="4"/>
        <v>100</v>
      </c>
      <c r="L71" s="46">
        <f t="shared" si="4"/>
        <v>0</v>
      </c>
      <c r="M71" s="46">
        <f t="shared" si="4"/>
        <v>0</v>
      </c>
      <c r="N71" s="67">
        <f t="shared" si="2"/>
        <v>100</v>
      </c>
      <c r="O71" s="45">
        <v>70.099999999999994</v>
      </c>
      <c r="P71" s="46"/>
      <c r="Q71" s="46"/>
      <c r="R71" s="47">
        <f t="shared" si="3"/>
        <v>70.099999999999994</v>
      </c>
      <c r="S71" s="28">
        <v>1</v>
      </c>
      <c r="T71" s="284"/>
      <c r="U71" s="293"/>
      <c r="V71" s="37" t="s">
        <v>452</v>
      </c>
      <c r="W71" s="28" t="s">
        <v>74</v>
      </c>
      <c r="X71" s="28" t="s">
        <v>11</v>
      </c>
      <c r="Y71" s="38">
        <v>70.099999999999994</v>
      </c>
      <c r="AD71" s="37"/>
      <c r="AG71" s="38"/>
      <c r="AL71" s="37"/>
      <c r="AO71" s="38"/>
      <c r="AP71" s="37"/>
      <c r="AS71" s="38"/>
      <c r="AW71" s="38"/>
      <c r="BA71" s="39"/>
    </row>
    <row r="72" spans="1:53" s="28" customFormat="1" x14ac:dyDescent="0.15">
      <c r="A72" s="28">
        <v>1991</v>
      </c>
      <c r="B72" s="293"/>
      <c r="C72" s="394" t="s">
        <v>640</v>
      </c>
      <c r="D72" s="394"/>
      <c r="E72" s="28">
        <f>365-E71</f>
        <v>365</v>
      </c>
      <c r="G72" s="65">
        <v>20</v>
      </c>
      <c r="H72" s="28">
        <v>0</v>
      </c>
      <c r="I72" s="28">
        <v>0</v>
      </c>
      <c r="J72" s="72">
        <v>20</v>
      </c>
      <c r="K72" s="46">
        <f t="shared" si="4"/>
        <v>100</v>
      </c>
      <c r="L72" s="46">
        <f t="shared" si="4"/>
        <v>0</v>
      </c>
      <c r="M72" s="46">
        <f t="shared" si="4"/>
        <v>0</v>
      </c>
      <c r="N72" s="67">
        <f t="shared" si="2"/>
        <v>100</v>
      </c>
      <c r="O72" s="45">
        <v>70.099999999999994</v>
      </c>
      <c r="P72" s="46"/>
      <c r="Q72" s="46"/>
      <c r="R72" s="47">
        <f t="shared" si="3"/>
        <v>70.099999999999994</v>
      </c>
      <c r="S72" s="28">
        <v>1</v>
      </c>
      <c r="T72" s="284"/>
      <c r="U72" s="293"/>
      <c r="V72" s="37" t="s">
        <v>452</v>
      </c>
      <c r="W72" s="28" t="s">
        <v>74</v>
      </c>
      <c r="X72" s="28" t="s">
        <v>11</v>
      </c>
      <c r="Y72" s="38">
        <v>70.099999999999994</v>
      </c>
      <c r="AD72" s="37"/>
      <c r="AG72" s="38"/>
      <c r="AL72" s="37"/>
      <c r="AO72" s="38"/>
      <c r="AP72" s="37"/>
      <c r="AS72" s="38"/>
      <c r="AW72" s="38"/>
      <c r="BA72" s="39"/>
    </row>
    <row r="73" spans="1:53" s="28" customFormat="1" x14ac:dyDescent="0.15">
      <c r="A73" s="28">
        <v>1992</v>
      </c>
      <c r="B73" s="293"/>
      <c r="C73" s="394" t="s">
        <v>640</v>
      </c>
      <c r="D73" s="394"/>
      <c r="E73" s="28">
        <v>0</v>
      </c>
      <c r="G73" s="65">
        <v>20</v>
      </c>
      <c r="H73" s="28">
        <v>0</v>
      </c>
      <c r="I73" s="28">
        <v>0</v>
      </c>
      <c r="J73" s="72">
        <v>20</v>
      </c>
      <c r="K73" s="46">
        <f t="shared" si="4"/>
        <v>100</v>
      </c>
      <c r="L73" s="46">
        <f t="shared" si="4"/>
        <v>0</v>
      </c>
      <c r="M73" s="46">
        <f t="shared" si="4"/>
        <v>0</v>
      </c>
      <c r="N73" s="67">
        <f t="shared" ref="N73:N118" si="5">K73+L73+M73</f>
        <v>100</v>
      </c>
      <c r="O73" s="45">
        <v>70.099999999999994</v>
      </c>
      <c r="P73" s="46"/>
      <c r="Q73" s="46"/>
      <c r="R73" s="47">
        <f t="shared" ref="R73:R116" si="6">O73+P73+Q73</f>
        <v>70.099999999999994</v>
      </c>
      <c r="S73" s="28">
        <v>1</v>
      </c>
      <c r="T73" s="284"/>
      <c r="U73" s="293"/>
      <c r="V73" s="37" t="s">
        <v>452</v>
      </c>
      <c r="W73" s="28" t="s">
        <v>74</v>
      </c>
      <c r="X73" s="28" t="s">
        <v>11</v>
      </c>
      <c r="Y73" s="38">
        <v>70.099999999999994</v>
      </c>
      <c r="AD73" s="37"/>
      <c r="AG73" s="38"/>
      <c r="AL73" s="37"/>
      <c r="AO73" s="38"/>
      <c r="AP73" s="37"/>
      <c r="AS73" s="38"/>
      <c r="AW73" s="38"/>
      <c r="BA73" s="39"/>
    </row>
    <row r="74" spans="1:53" s="28" customFormat="1" x14ac:dyDescent="0.15">
      <c r="A74" s="28">
        <v>1992</v>
      </c>
      <c r="B74" s="293"/>
      <c r="C74" s="394" t="s">
        <v>640</v>
      </c>
      <c r="D74" s="394"/>
      <c r="E74" s="28">
        <v>366</v>
      </c>
      <c r="G74" s="65">
        <v>20</v>
      </c>
      <c r="H74" s="28">
        <v>0</v>
      </c>
      <c r="I74" s="28">
        <v>0</v>
      </c>
      <c r="J74" s="72">
        <v>20</v>
      </c>
      <c r="K74" s="46">
        <f t="shared" si="4"/>
        <v>100</v>
      </c>
      <c r="L74" s="46">
        <f t="shared" si="4"/>
        <v>0</v>
      </c>
      <c r="M74" s="46">
        <f t="shared" si="4"/>
        <v>0</v>
      </c>
      <c r="N74" s="67">
        <f t="shared" si="5"/>
        <v>100</v>
      </c>
      <c r="O74" s="45">
        <v>70.099999999999994</v>
      </c>
      <c r="P74" s="46"/>
      <c r="Q74" s="46"/>
      <c r="R74" s="47">
        <f t="shared" si="6"/>
        <v>70.099999999999994</v>
      </c>
      <c r="S74" s="28">
        <v>1</v>
      </c>
      <c r="T74" s="284"/>
      <c r="U74" s="293"/>
      <c r="V74" s="37" t="s">
        <v>452</v>
      </c>
      <c r="W74" s="28" t="s">
        <v>74</v>
      </c>
      <c r="X74" s="28" t="s">
        <v>11</v>
      </c>
      <c r="Y74" s="38">
        <v>70.099999999999994</v>
      </c>
      <c r="AD74" s="37"/>
      <c r="AG74" s="38"/>
      <c r="AL74" s="37"/>
      <c r="AO74" s="38"/>
      <c r="AP74" s="37"/>
      <c r="AS74" s="38"/>
      <c r="AW74" s="38"/>
      <c r="BA74" s="39"/>
    </row>
    <row r="75" spans="1:53" s="28" customFormat="1" x14ac:dyDescent="0.15">
      <c r="A75" s="28">
        <v>1993</v>
      </c>
      <c r="B75" s="293"/>
      <c r="C75" s="394" t="s">
        <v>640</v>
      </c>
      <c r="D75" s="394"/>
      <c r="E75" s="28">
        <v>331</v>
      </c>
      <c r="G75" s="65">
        <v>20</v>
      </c>
      <c r="H75" s="28">
        <v>0</v>
      </c>
      <c r="I75" s="28">
        <v>0</v>
      </c>
      <c r="J75" s="72">
        <v>20</v>
      </c>
      <c r="K75" s="46">
        <f t="shared" si="4"/>
        <v>100</v>
      </c>
      <c r="L75" s="46">
        <f t="shared" si="4"/>
        <v>0</v>
      </c>
      <c r="M75" s="46">
        <f t="shared" si="4"/>
        <v>0</v>
      </c>
      <c r="N75" s="67">
        <f t="shared" si="5"/>
        <v>100</v>
      </c>
      <c r="O75" s="45">
        <v>70.099999999999994</v>
      </c>
      <c r="P75" s="46"/>
      <c r="Q75" s="46"/>
      <c r="R75" s="47">
        <f t="shared" si="6"/>
        <v>70.099999999999994</v>
      </c>
      <c r="S75" s="28">
        <v>1</v>
      </c>
      <c r="T75" s="284"/>
      <c r="U75" s="293"/>
      <c r="V75" s="37" t="s">
        <v>452</v>
      </c>
      <c r="W75" s="28" t="s">
        <v>74</v>
      </c>
      <c r="X75" s="28" t="s">
        <v>11</v>
      </c>
      <c r="Y75" s="38">
        <v>70.099999999999994</v>
      </c>
      <c r="AD75" s="37"/>
      <c r="AG75" s="38"/>
      <c r="AL75" s="37"/>
      <c r="AO75" s="38"/>
      <c r="AP75" s="37"/>
      <c r="AS75" s="38"/>
      <c r="AW75" s="38"/>
      <c r="BA75" s="39"/>
    </row>
    <row r="76" spans="1:53" s="170" customFormat="1" x14ac:dyDescent="0.15">
      <c r="A76" s="170">
        <v>1993</v>
      </c>
      <c r="B76" s="281">
        <v>34301</v>
      </c>
      <c r="C76" s="395" t="s">
        <v>641</v>
      </c>
      <c r="D76" s="395"/>
      <c r="E76" s="170">
        <f>365-E75</f>
        <v>34</v>
      </c>
      <c r="F76" s="170">
        <v>1</v>
      </c>
      <c r="G76" s="232">
        <v>20</v>
      </c>
      <c r="H76" s="170">
        <v>0</v>
      </c>
      <c r="I76" s="170">
        <v>0</v>
      </c>
      <c r="J76" s="240">
        <v>20</v>
      </c>
      <c r="K76" s="213">
        <f t="shared" si="4"/>
        <v>100</v>
      </c>
      <c r="L76" s="213">
        <f t="shared" si="4"/>
        <v>0</v>
      </c>
      <c r="M76" s="213">
        <f t="shared" si="4"/>
        <v>0</v>
      </c>
      <c r="N76" s="234">
        <f t="shared" si="5"/>
        <v>100</v>
      </c>
      <c r="O76" s="212">
        <v>50.5</v>
      </c>
      <c r="P76" s="213"/>
      <c r="Q76" s="213"/>
      <c r="R76" s="214">
        <f t="shared" si="6"/>
        <v>50.5</v>
      </c>
      <c r="S76" s="170">
        <v>1</v>
      </c>
      <c r="T76" s="283">
        <v>34279</v>
      </c>
      <c r="U76" s="281">
        <v>34301</v>
      </c>
      <c r="V76" s="177" t="s">
        <v>452</v>
      </c>
      <c r="W76" s="170" t="s">
        <v>74</v>
      </c>
      <c r="X76" s="170" t="s">
        <v>11</v>
      </c>
      <c r="Y76" s="178">
        <v>50.5</v>
      </c>
      <c r="AD76" s="177"/>
      <c r="AG76" s="178"/>
      <c r="AL76" s="177"/>
      <c r="AO76" s="178"/>
      <c r="AP76" s="177"/>
      <c r="AS76" s="178"/>
      <c r="AW76" s="178"/>
      <c r="BA76" s="179"/>
    </row>
    <row r="77" spans="1:53" s="170" customFormat="1" x14ac:dyDescent="0.15">
      <c r="A77" s="170">
        <v>1994</v>
      </c>
      <c r="B77" s="281"/>
      <c r="C77" s="395" t="s">
        <v>641</v>
      </c>
      <c r="D77" s="395"/>
      <c r="E77" s="170">
        <v>0</v>
      </c>
      <c r="G77" s="232">
        <v>20</v>
      </c>
      <c r="H77" s="170">
        <v>0</v>
      </c>
      <c r="I77" s="170">
        <v>0</v>
      </c>
      <c r="J77" s="240">
        <v>20</v>
      </c>
      <c r="K77" s="213">
        <f t="shared" si="4"/>
        <v>100</v>
      </c>
      <c r="L77" s="213">
        <f t="shared" si="4"/>
        <v>0</v>
      </c>
      <c r="M77" s="213">
        <f t="shared" si="4"/>
        <v>0</v>
      </c>
      <c r="N77" s="234">
        <f t="shared" si="5"/>
        <v>100</v>
      </c>
      <c r="O77" s="212">
        <v>50.5</v>
      </c>
      <c r="P77" s="213"/>
      <c r="Q77" s="213"/>
      <c r="R77" s="214">
        <f t="shared" si="6"/>
        <v>50.5</v>
      </c>
      <c r="S77" s="170">
        <v>1</v>
      </c>
      <c r="T77" s="283"/>
      <c r="U77" s="281"/>
      <c r="V77" s="177" t="s">
        <v>452</v>
      </c>
      <c r="W77" s="170" t="s">
        <v>74</v>
      </c>
      <c r="X77" s="170" t="s">
        <v>11</v>
      </c>
      <c r="Y77" s="178">
        <v>50.5</v>
      </c>
      <c r="AD77" s="177"/>
      <c r="AG77" s="178"/>
      <c r="AL77" s="177"/>
      <c r="AO77" s="178"/>
      <c r="AP77" s="177"/>
      <c r="AS77" s="178"/>
      <c r="AW77" s="178"/>
      <c r="BA77" s="179"/>
    </row>
    <row r="78" spans="1:53" s="170" customFormat="1" x14ac:dyDescent="0.15">
      <c r="A78" s="170">
        <v>1994</v>
      </c>
      <c r="B78" s="281"/>
      <c r="C78" s="395" t="s">
        <v>641</v>
      </c>
      <c r="D78" s="395"/>
      <c r="E78" s="170">
        <f>365-E77</f>
        <v>365</v>
      </c>
      <c r="G78" s="232">
        <v>20</v>
      </c>
      <c r="H78" s="170">
        <v>0</v>
      </c>
      <c r="I78" s="170">
        <v>0</v>
      </c>
      <c r="J78" s="240">
        <v>20</v>
      </c>
      <c r="K78" s="213">
        <f t="shared" si="4"/>
        <v>100</v>
      </c>
      <c r="L78" s="213">
        <f t="shared" si="4"/>
        <v>0</v>
      </c>
      <c r="M78" s="213">
        <f t="shared" si="4"/>
        <v>0</v>
      </c>
      <c r="N78" s="234">
        <f t="shared" si="5"/>
        <v>100</v>
      </c>
      <c r="O78" s="212">
        <v>50.5</v>
      </c>
      <c r="P78" s="213"/>
      <c r="Q78" s="213"/>
      <c r="R78" s="214">
        <f t="shared" si="6"/>
        <v>50.5</v>
      </c>
      <c r="S78" s="170">
        <v>1</v>
      </c>
      <c r="T78" s="283"/>
      <c r="U78" s="281"/>
      <c r="V78" s="177" t="s">
        <v>452</v>
      </c>
      <c r="W78" s="170" t="s">
        <v>74</v>
      </c>
      <c r="X78" s="170" t="s">
        <v>11</v>
      </c>
      <c r="Y78" s="178">
        <v>50.5</v>
      </c>
      <c r="AD78" s="177"/>
      <c r="AG78" s="178"/>
      <c r="AL78" s="177"/>
      <c r="AO78" s="178"/>
      <c r="AP78" s="177"/>
      <c r="AS78" s="178"/>
      <c r="AW78" s="178"/>
      <c r="BA78" s="179"/>
    </row>
    <row r="79" spans="1:53" s="170" customFormat="1" x14ac:dyDescent="0.15">
      <c r="A79" s="170">
        <v>1995</v>
      </c>
      <c r="B79" s="281"/>
      <c r="C79" s="395" t="s">
        <v>641</v>
      </c>
      <c r="D79" s="395"/>
      <c r="E79" s="170">
        <v>0</v>
      </c>
      <c r="G79" s="232">
        <v>20</v>
      </c>
      <c r="H79" s="170">
        <v>0</v>
      </c>
      <c r="I79" s="170">
        <v>0</v>
      </c>
      <c r="J79" s="240">
        <v>20</v>
      </c>
      <c r="K79" s="213">
        <f t="shared" si="4"/>
        <v>100</v>
      </c>
      <c r="L79" s="213">
        <f t="shared" si="4"/>
        <v>0</v>
      </c>
      <c r="M79" s="213">
        <f t="shared" si="4"/>
        <v>0</v>
      </c>
      <c r="N79" s="234">
        <f t="shared" si="5"/>
        <v>100</v>
      </c>
      <c r="O79" s="212">
        <v>50.5</v>
      </c>
      <c r="P79" s="213"/>
      <c r="Q79" s="213"/>
      <c r="R79" s="214">
        <f t="shared" si="6"/>
        <v>50.5</v>
      </c>
      <c r="S79" s="170">
        <v>1</v>
      </c>
      <c r="T79" s="283"/>
      <c r="U79" s="281"/>
      <c r="V79" s="177" t="s">
        <v>452</v>
      </c>
      <c r="W79" s="170" t="s">
        <v>74</v>
      </c>
      <c r="X79" s="170" t="s">
        <v>11</v>
      </c>
      <c r="Y79" s="178">
        <v>50.5</v>
      </c>
      <c r="AD79" s="177"/>
      <c r="AG79" s="178"/>
      <c r="AL79" s="177"/>
      <c r="AO79" s="178"/>
      <c r="AP79" s="177"/>
      <c r="AS79" s="178"/>
      <c r="AW79" s="178"/>
      <c r="BA79" s="179"/>
    </row>
    <row r="80" spans="1:53" s="170" customFormat="1" x14ac:dyDescent="0.15">
      <c r="A80" s="170">
        <v>1995</v>
      </c>
      <c r="B80" s="281"/>
      <c r="C80" s="395" t="s">
        <v>641</v>
      </c>
      <c r="D80" s="395"/>
      <c r="E80" s="170">
        <f>365-E79</f>
        <v>365</v>
      </c>
      <c r="G80" s="232">
        <v>20</v>
      </c>
      <c r="H80" s="170">
        <v>0</v>
      </c>
      <c r="I80" s="170">
        <v>0</v>
      </c>
      <c r="J80" s="240">
        <v>20</v>
      </c>
      <c r="K80" s="213">
        <f t="shared" si="4"/>
        <v>100</v>
      </c>
      <c r="L80" s="213">
        <f t="shared" si="4"/>
        <v>0</v>
      </c>
      <c r="M80" s="213">
        <f t="shared" si="4"/>
        <v>0</v>
      </c>
      <c r="N80" s="234">
        <f t="shared" si="5"/>
        <v>100</v>
      </c>
      <c r="O80" s="212">
        <v>50.5</v>
      </c>
      <c r="P80" s="213"/>
      <c r="Q80" s="213"/>
      <c r="R80" s="214">
        <f t="shared" si="6"/>
        <v>50.5</v>
      </c>
      <c r="S80" s="170">
        <v>1</v>
      </c>
      <c r="T80" s="283"/>
      <c r="U80" s="281"/>
      <c r="V80" s="177" t="s">
        <v>452</v>
      </c>
      <c r="W80" s="170" t="s">
        <v>74</v>
      </c>
      <c r="X80" s="170" t="s">
        <v>11</v>
      </c>
      <c r="Y80" s="178">
        <v>50.5</v>
      </c>
      <c r="AD80" s="177"/>
      <c r="AG80" s="178"/>
      <c r="AL80" s="177"/>
      <c r="AO80" s="178"/>
      <c r="AP80" s="177"/>
      <c r="AS80" s="178"/>
      <c r="AW80" s="178"/>
      <c r="BA80" s="179"/>
    </row>
    <row r="81" spans="1:53" s="170" customFormat="1" x14ac:dyDescent="0.15">
      <c r="A81" s="170">
        <v>1996</v>
      </c>
      <c r="B81" s="281"/>
      <c r="C81" s="395" t="s">
        <v>641</v>
      </c>
      <c r="D81" s="395"/>
      <c r="E81" s="170">
        <v>60</v>
      </c>
      <c r="G81" s="232">
        <v>20</v>
      </c>
      <c r="H81" s="170">
        <v>0</v>
      </c>
      <c r="I81" s="170">
        <v>0</v>
      </c>
      <c r="J81" s="240">
        <v>20</v>
      </c>
      <c r="K81" s="213">
        <f t="shared" si="4"/>
        <v>100</v>
      </c>
      <c r="L81" s="213">
        <f t="shared" si="4"/>
        <v>0</v>
      </c>
      <c r="M81" s="213">
        <f t="shared" si="4"/>
        <v>0</v>
      </c>
      <c r="N81" s="234">
        <f t="shared" si="5"/>
        <v>100</v>
      </c>
      <c r="O81" s="212">
        <v>50.5</v>
      </c>
      <c r="P81" s="213"/>
      <c r="Q81" s="213"/>
      <c r="R81" s="214">
        <f t="shared" si="6"/>
        <v>50.5</v>
      </c>
      <c r="S81" s="170">
        <v>1</v>
      </c>
      <c r="T81" s="283"/>
      <c r="U81" s="281"/>
      <c r="V81" s="177" t="s">
        <v>452</v>
      </c>
      <c r="W81" s="170" t="s">
        <v>74</v>
      </c>
      <c r="X81" s="170" t="s">
        <v>11</v>
      </c>
      <c r="Y81" s="178">
        <v>50.5</v>
      </c>
      <c r="AD81" s="177"/>
      <c r="AG81" s="178"/>
      <c r="AL81" s="177"/>
      <c r="AO81" s="178"/>
      <c r="AP81" s="177"/>
      <c r="AS81" s="178"/>
      <c r="AW81" s="178"/>
      <c r="BA81" s="179"/>
    </row>
    <row r="82" spans="1:53" s="28" customFormat="1" x14ac:dyDescent="0.15">
      <c r="A82" s="28">
        <v>1996</v>
      </c>
      <c r="B82" s="293">
        <v>35125</v>
      </c>
      <c r="C82" s="394" t="s">
        <v>642</v>
      </c>
      <c r="D82" s="394"/>
      <c r="E82" s="28">
        <v>290</v>
      </c>
      <c r="F82" s="28">
        <v>7</v>
      </c>
      <c r="G82" s="65">
        <v>20</v>
      </c>
      <c r="H82" s="28">
        <v>0</v>
      </c>
      <c r="I82" s="28">
        <v>0</v>
      </c>
      <c r="J82" s="72">
        <v>20</v>
      </c>
      <c r="K82" s="46">
        <f>G82/$J82*100</f>
        <v>100</v>
      </c>
      <c r="L82" s="46">
        <f>H82/$J82*100</f>
        <v>0</v>
      </c>
      <c r="M82" s="46">
        <f>I82/$J82*100</f>
        <v>0</v>
      </c>
      <c r="N82" s="67">
        <f t="shared" si="5"/>
        <v>100</v>
      </c>
      <c r="O82" s="45">
        <v>50.4</v>
      </c>
      <c r="P82" s="46"/>
      <c r="Q82" s="46"/>
      <c r="R82" s="47">
        <f t="shared" si="6"/>
        <v>50.4</v>
      </c>
      <c r="S82" s="28">
        <v>2</v>
      </c>
      <c r="T82" s="284"/>
      <c r="U82" s="293">
        <v>35125</v>
      </c>
      <c r="V82" s="37" t="s">
        <v>452</v>
      </c>
      <c r="W82" s="28" t="s">
        <v>74</v>
      </c>
      <c r="X82" s="28" t="s">
        <v>11</v>
      </c>
      <c r="Y82" s="38">
        <v>43.4</v>
      </c>
      <c r="Z82" s="28" t="s">
        <v>450</v>
      </c>
      <c r="AA82" s="28" t="s">
        <v>327</v>
      </c>
      <c r="AB82" s="28" t="s">
        <v>11</v>
      </c>
      <c r="AC82" s="28">
        <v>7</v>
      </c>
      <c r="AD82" s="37"/>
      <c r="AG82" s="38"/>
      <c r="AL82" s="37"/>
      <c r="AO82" s="38"/>
      <c r="AP82" s="37"/>
      <c r="AS82" s="38"/>
      <c r="AW82" s="38"/>
      <c r="BA82" s="39"/>
    </row>
    <row r="83" spans="1:53" s="170" customFormat="1" x14ac:dyDescent="0.15">
      <c r="A83" s="170">
        <v>1996</v>
      </c>
      <c r="B83" s="281">
        <v>35415</v>
      </c>
      <c r="C83" s="395" t="s">
        <v>643</v>
      </c>
      <c r="D83" s="395"/>
      <c r="E83" s="170">
        <f>366-E82-E81</f>
        <v>16</v>
      </c>
      <c r="F83" s="170">
        <v>1</v>
      </c>
      <c r="G83" s="232">
        <v>20</v>
      </c>
      <c r="H83" s="170">
        <v>0</v>
      </c>
      <c r="I83" s="170">
        <v>0</v>
      </c>
      <c r="J83" s="240">
        <v>20</v>
      </c>
      <c r="K83" s="213">
        <f t="shared" si="4"/>
        <v>100</v>
      </c>
      <c r="L83" s="213">
        <f t="shared" si="4"/>
        <v>0</v>
      </c>
      <c r="M83" s="213">
        <f t="shared" si="4"/>
        <v>0</v>
      </c>
      <c r="N83" s="234">
        <f t="shared" si="5"/>
        <v>100</v>
      </c>
      <c r="O83" s="212">
        <v>50.9</v>
      </c>
      <c r="P83" s="213"/>
      <c r="Q83" s="213"/>
      <c r="R83" s="214">
        <f t="shared" si="6"/>
        <v>50.9</v>
      </c>
      <c r="S83" s="170">
        <v>2</v>
      </c>
      <c r="T83" s="283">
        <v>35350</v>
      </c>
      <c r="U83" s="281">
        <v>35415</v>
      </c>
      <c r="V83" s="177" t="s">
        <v>452</v>
      </c>
      <c r="W83" s="170" t="s">
        <v>74</v>
      </c>
      <c r="X83" s="170" t="s">
        <v>11</v>
      </c>
      <c r="Y83" s="178">
        <v>36.700000000000003</v>
      </c>
      <c r="Z83" s="170" t="s">
        <v>453</v>
      </c>
      <c r="AA83" s="170" t="s">
        <v>76</v>
      </c>
      <c r="AB83" s="170" t="s">
        <v>11</v>
      </c>
      <c r="AC83" s="170">
        <v>14.2</v>
      </c>
      <c r="AD83" s="177"/>
      <c r="AG83" s="178"/>
      <c r="AL83" s="177"/>
      <c r="AO83" s="178"/>
      <c r="AP83" s="177"/>
      <c r="AS83" s="178"/>
      <c r="AW83" s="178"/>
      <c r="BA83" s="179"/>
    </row>
    <row r="84" spans="1:53" s="170" customFormat="1" x14ac:dyDescent="0.15">
      <c r="A84" s="170">
        <v>1997</v>
      </c>
      <c r="B84" s="281"/>
      <c r="C84" s="395" t="s">
        <v>643</v>
      </c>
      <c r="D84" s="395"/>
      <c r="E84" s="170">
        <v>341</v>
      </c>
      <c r="G84" s="232">
        <v>20</v>
      </c>
      <c r="H84" s="170">
        <v>0</v>
      </c>
      <c r="I84" s="170">
        <v>0</v>
      </c>
      <c r="J84" s="240">
        <v>20</v>
      </c>
      <c r="K84" s="213">
        <f t="shared" si="4"/>
        <v>100</v>
      </c>
      <c r="L84" s="213">
        <f t="shared" si="4"/>
        <v>0</v>
      </c>
      <c r="M84" s="213">
        <f t="shared" si="4"/>
        <v>0</v>
      </c>
      <c r="N84" s="234">
        <f t="shared" si="5"/>
        <v>100</v>
      </c>
      <c r="O84" s="212">
        <v>50.9</v>
      </c>
      <c r="P84" s="213"/>
      <c r="Q84" s="213"/>
      <c r="R84" s="214">
        <f t="shared" si="6"/>
        <v>50.9</v>
      </c>
      <c r="S84" s="170">
        <v>2</v>
      </c>
      <c r="T84" s="283"/>
      <c r="U84" s="281"/>
      <c r="V84" s="177" t="s">
        <v>452</v>
      </c>
      <c r="W84" s="170" t="s">
        <v>74</v>
      </c>
      <c r="X84" s="170" t="s">
        <v>11</v>
      </c>
      <c r="Y84" s="178">
        <v>36.700000000000003</v>
      </c>
      <c r="Z84" s="170" t="s">
        <v>453</v>
      </c>
      <c r="AA84" s="170" t="s">
        <v>76</v>
      </c>
      <c r="AB84" s="170" t="s">
        <v>11</v>
      </c>
      <c r="AC84" s="170">
        <v>14.2</v>
      </c>
      <c r="AD84" s="177"/>
      <c r="AG84" s="178"/>
      <c r="AL84" s="177"/>
      <c r="AO84" s="178"/>
      <c r="AP84" s="177"/>
      <c r="AS84" s="178"/>
      <c r="AW84" s="178"/>
      <c r="BA84" s="179"/>
    </row>
    <row r="85" spans="1:53" s="28" customFormat="1" x14ac:dyDescent="0.15">
      <c r="A85" s="28">
        <v>1997</v>
      </c>
      <c r="B85" s="293">
        <v>35772</v>
      </c>
      <c r="C85" s="394" t="s">
        <v>644</v>
      </c>
      <c r="D85" s="394"/>
      <c r="E85" s="28">
        <f>365-E84</f>
        <v>24</v>
      </c>
      <c r="F85" s="28">
        <v>2</v>
      </c>
      <c r="G85" s="65">
        <v>20</v>
      </c>
      <c r="H85" s="28">
        <v>0</v>
      </c>
      <c r="I85" s="28">
        <v>0</v>
      </c>
      <c r="J85" s="72">
        <v>20</v>
      </c>
      <c r="K85" s="46">
        <f t="shared" si="4"/>
        <v>100</v>
      </c>
      <c r="L85" s="46">
        <f t="shared" si="4"/>
        <v>0</v>
      </c>
      <c r="M85" s="46">
        <f t="shared" si="4"/>
        <v>0</v>
      </c>
      <c r="N85" s="67">
        <f t="shared" si="5"/>
        <v>100</v>
      </c>
      <c r="O85" s="45">
        <v>50.9</v>
      </c>
      <c r="P85" s="46"/>
      <c r="Q85" s="46"/>
      <c r="R85" s="47">
        <f t="shared" si="6"/>
        <v>50.9</v>
      </c>
      <c r="S85" s="28">
        <v>2</v>
      </c>
      <c r="T85" s="284"/>
      <c r="U85" s="293">
        <v>35772</v>
      </c>
      <c r="V85" s="37" t="s">
        <v>452</v>
      </c>
      <c r="W85" s="28" t="s">
        <v>74</v>
      </c>
      <c r="X85" s="28" t="s">
        <v>11</v>
      </c>
      <c r="Y85" s="38">
        <v>36.700000000000003</v>
      </c>
      <c r="Z85" s="28" t="s">
        <v>453</v>
      </c>
      <c r="AA85" s="28" t="s">
        <v>76</v>
      </c>
      <c r="AB85" s="28" t="s">
        <v>11</v>
      </c>
      <c r="AC85" s="28">
        <v>14.2</v>
      </c>
      <c r="AD85" s="37"/>
      <c r="AG85" s="38"/>
      <c r="AL85" s="37"/>
      <c r="AO85" s="38"/>
      <c r="AP85" s="37"/>
      <c r="AS85" s="38"/>
      <c r="AW85" s="38"/>
      <c r="BA85" s="39"/>
    </row>
    <row r="86" spans="1:53" s="28" customFormat="1" x14ac:dyDescent="0.15">
      <c r="A86" s="28">
        <v>1998</v>
      </c>
      <c r="B86" s="293"/>
      <c r="C86" s="394" t="s">
        <v>644</v>
      </c>
      <c r="D86" s="394"/>
      <c r="E86" s="28">
        <v>242</v>
      </c>
      <c r="G86" s="65">
        <v>20</v>
      </c>
      <c r="H86" s="28">
        <v>0</v>
      </c>
      <c r="I86" s="28">
        <v>0</v>
      </c>
      <c r="J86" s="72">
        <v>20</v>
      </c>
      <c r="K86" s="46">
        <f t="shared" si="4"/>
        <v>100</v>
      </c>
      <c r="L86" s="46">
        <f t="shared" si="4"/>
        <v>0</v>
      </c>
      <c r="M86" s="46">
        <f t="shared" si="4"/>
        <v>0</v>
      </c>
      <c r="N86" s="67">
        <f t="shared" si="5"/>
        <v>100</v>
      </c>
      <c r="O86" s="45">
        <v>50.9</v>
      </c>
      <c r="P86" s="46"/>
      <c r="Q86" s="46"/>
      <c r="R86" s="47">
        <f t="shared" si="6"/>
        <v>50.9</v>
      </c>
      <c r="S86" s="28">
        <v>2</v>
      </c>
      <c r="T86" s="284"/>
      <c r="U86" s="293"/>
      <c r="V86" s="37" t="s">
        <v>452</v>
      </c>
      <c r="W86" s="28" t="s">
        <v>74</v>
      </c>
      <c r="X86" s="28" t="s">
        <v>11</v>
      </c>
      <c r="Y86" s="38">
        <v>36.700000000000003</v>
      </c>
      <c r="Z86" s="28" t="s">
        <v>453</v>
      </c>
      <c r="AA86" s="28" t="s">
        <v>76</v>
      </c>
      <c r="AB86" s="28" t="s">
        <v>11</v>
      </c>
      <c r="AC86" s="28">
        <v>14.2</v>
      </c>
      <c r="AD86" s="37"/>
      <c r="AG86" s="38"/>
      <c r="AL86" s="37"/>
      <c r="AO86" s="38"/>
      <c r="AP86" s="37"/>
      <c r="AS86" s="38"/>
      <c r="AW86" s="38"/>
      <c r="BA86" s="39"/>
    </row>
    <row r="87" spans="1:53" s="170" customFormat="1" x14ac:dyDescent="0.15">
      <c r="A87" s="170">
        <v>1998</v>
      </c>
      <c r="B87" s="281">
        <v>36038</v>
      </c>
      <c r="C87" s="395" t="s">
        <v>645</v>
      </c>
      <c r="D87" s="395"/>
      <c r="E87" s="170">
        <f>365-E86</f>
        <v>123</v>
      </c>
      <c r="F87" s="170">
        <v>4</v>
      </c>
      <c r="G87" s="232">
        <v>17</v>
      </c>
      <c r="H87" s="170">
        <v>0</v>
      </c>
      <c r="I87" s="170">
        <v>0</v>
      </c>
      <c r="J87" s="240">
        <v>18</v>
      </c>
      <c r="K87" s="213">
        <f t="shared" si="4"/>
        <v>94.444444444444443</v>
      </c>
      <c r="L87" s="213">
        <f t="shared" si="4"/>
        <v>0</v>
      </c>
      <c r="M87" s="213">
        <f t="shared" si="4"/>
        <v>0</v>
      </c>
      <c r="N87" s="234">
        <f t="shared" si="5"/>
        <v>94.444444444444443</v>
      </c>
      <c r="O87" s="212">
        <v>36.700000000000003</v>
      </c>
      <c r="P87" s="213"/>
      <c r="Q87" s="213"/>
      <c r="R87" s="214">
        <f t="shared" si="6"/>
        <v>36.700000000000003</v>
      </c>
      <c r="S87" s="170">
        <v>4</v>
      </c>
      <c r="T87" s="283"/>
      <c r="U87" s="281">
        <v>36038</v>
      </c>
      <c r="V87" s="177" t="s">
        <v>452</v>
      </c>
      <c r="W87" s="170" t="s">
        <v>74</v>
      </c>
      <c r="X87" s="170" t="s">
        <v>11</v>
      </c>
      <c r="Y87" s="178">
        <v>36.700000000000003</v>
      </c>
      <c r="AD87" s="177"/>
      <c r="AG87" s="178"/>
      <c r="AL87" s="177"/>
      <c r="AO87" s="178"/>
      <c r="AP87" s="177"/>
      <c r="AS87" s="178"/>
      <c r="AW87" s="178"/>
      <c r="BA87" s="179"/>
    </row>
    <row r="88" spans="1:53" s="170" customFormat="1" x14ac:dyDescent="0.15">
      <c r="A88" s="170">
        <v>1999</v>
      </c>
      <c r="B88" s="281"/>
      <c r="C88" s="395" t="s">
        <v>645</v>
      </c>
      <c r="D88" s="395"/>
      <c r="E88" s="170">
        <v>342</v>
      </c>
      <c r="G88" s="232">
        <v>17</v>
      </c>
      <c r="H88" s="170">
        <v>0</v>
      </c>
      <c r="I88" s="170">
        <v>0</v>
      </c>
      <c r="J88" s="240">
        <v>18</v>
      </c>
      <c r="K88" s="213">
        <f t="shared" si="4"/>
        <v>94.444444444444443</v>
      </c>
      <c r="L88" s="213">
        <f t="shared" si="4"/>
        <v>0</v>
      </c>
      <c r="M88" s="213">
        <f t="shared" si="4"/>
        <v>0</v>
      </c>
      <c r="N88" s="234">
        <f t="shared" si="5"/>
        <v>94.444444444444443</v>
      </c>
      <c r="O88" s="212">
        <v>36.700000000000003</v>
      </c>
      <c r="P88" s="213"/>
      <c r="Q88" s="213"/>
      <c r="R88" s="214">
        <f t="shared" si="6"/>
        <v>36.700000000000003</v>
      </c>
      <c r="S88" s="170">
        <v>4</v>
      </c>
      <c r="T88" s="283"/>
      <c r="U88" s="281"/>
      <c r="V88" s="177" t="s">
        <v>452</v>
      </c>
      <c r="W88" s="170" t="s">
        <v>74</v>
      </c>
      <c r="X88" s="170" t="s">
        <v>11</v>
      </c>
      <c r="Y88" s="178">
        <v>36.700000000000003</v>
      </c>
      <c r="AD88" s="177"/>
      <c r="AG88" s="178"/>
      <c r="AL88" s="177"/>
      <c r="AO88" s="178"/>
      <c r="AP88" s="177"/>
      <c r="AS88" s="178"/>
      <c r="AW88" s="178"/>
      <c r="BA88" s="179"/>
    </row>
    <row r="89" spans="1:53" s="28" customFormat="1" x14ac:dyDescent="0.15">
      <c r="A89" s="28">
        <v>1999</v>
      </c>
      <c r="B89" s="293">
        <v>36503</v>
      </c>
      <c r="C89" s="394" t="s">
        <v>646</v>
      </c>
      <c r="D89" s="394"/>
      <c r="E89" s="28">
        <f>365-E88</f>
        <v>23</v>
      </c>
      <c r="F89" s="28">
        <v>1</v>
      </c>
      <c r="G89" s="65">
        <v>0</v>
      </c>
      <c r="H89" s="28">
        <v>0</v>
      </c>
      <c r="I89" s="28">
        <v>20</v>
      </c>
      <c r="J89" s="72">
        <v>20</v>
      </c>
      <c r="K89" s="46">
        <f t="shared" si="4"/>
        <v>0</v>
      </c>
      <c r="L89" s="46">
        <f t="shared" si="4"/>
        <v>0</v>
      </c>
      <c r="M89" s="46">
        <f t="shared" si="4"/>
        <v>100</v>
      </c>
      <c r="N89" s="67">
        <f t="shared" si="5"/>
        <v>100</v>
      </c>
      <c r="O89" s="45"/>
      <c r="P89" s="46"/>
      <c r="Q89" s="46">
        <v>49.1</v>
      </c>
      <c r="R89" s="47">
        <f t="shared" si="6"/>
        <v>49.1</v>
      </c>
      <c r="S89" s="28">
        <v>5</v>
      </c>
      <c r="T89" s="284">
        <v>36491</v>
      </c>
      <c r="U89" s="293">
        <v>36503</v>
      </c>
      <c r="V89" s="37" t="s">
        <v>451</v>
      </c>
      <c r="W89" s="28" t="s">
        <v>20</v>
      </c>
      <c r="X89" s="28" t="s">
        <v>12</v>
      </c>
      <c r="Y89" s="38">
        <v>40.799999999999997</v>
      </c>
      <c r="Z89" s="28" t="s">
        <v>563</v>
      </c>
      <c r="AA89" s="28" t="s">
        <v>96</v>
      </c>
      <c r="AB89" s="28" t="s">
        <v>12</v>
      </c>
      <c r="AC89" s="28">
        <v>8.3000000000000007</v>
      </c>
      <c r="AD89" s="37"/>
      <c r="AG89" s="38"/>
      <c r="AL89" s="37"/>
      <c r="AO89" s="38"/>
      <c r="AP89" s="37"/>
      <c r="AS89" s="38"/>
      <c r="AW89" s="38"/>
      <c r="BA89" s="39"/>
    </row>
    <row r="90" spans="1:53" s="28" customFormat="1" x14ac:dyDescent="0.15">
      <c r="A90" s="28">
        <v>2000</v>
      </c>
      <c r="B90" s="293"/>
      <c r="C90" s="394" t="s">
        <v>646</v>
      </c>
      <c r="D90" s="394"/>
      <c r="E90" s="28">
        <v>0</v>
      </c>
      <c r="G90" s="65">
        <v>0</v>
      </c>
      <c r="H90" s="28">
        <v>0</v>
      </c>
      <c r="I90" s="28">
        <v>20</v>
      </c>
      <c r="J90" s="72">
        <v>20</v>
      </c>
      <c r="K90" s="46">
        <f t="shared" si="4"/>
        <v>0</v>
      </c>
      <c r="L90" s="46">
        <f t="shared" si="4"/>
        <v>0</v>
      </c>
      <c r="M90" s="46">
        <f t="shared" si="4"/>
        <v>100</v>
      </c>
      <c r="N90" s="67">
        <f t="shared" si="5"/>
        <v>100</v>
      </c>
      <c r="O90" s="45"/>
      <c r="P90" s="46"/>
      <c r="Q90" s="46">
        <v>49.1</v>
      </c>
      <c r="R90" s="47">
        <f t="shared" si="6"/>
        <v>49.1</v>
      </c>
      <c r="S90" s="28">
        <v>5</v>
      </c>
      <c r="T90" s="284"/>
      <c r="U90" s="293"/>
      <c r="V90" s="37" t="s">
        <v>451</v>
      </c>
      <c r="W90" s="28" t="s">
        <v>20</v>
      </c>
      <c r="X90" s="28" t="s">
        <v>12</v>
      </c>
      <c r="Y90" s="38">
        <v>40.799999999999997</v>
      </c>
      <c r="Z90" s="28" t="s">
        <v>563</v>
      </c>
      <c r="AA90" s="28" t="s">
        <v>96</v>
      </c>
      <c r="AB90" s="28" t="s">
        <v>12</v>
      </c>
      <c r="AC90" s="28">
        <v>8.3000000000000007</v>
      </c>
      <c r="AD90" s="37"/>
      <c r="AG90" s="38"/>
      <c r="AL90" s="37"/>
      <c r="AO90" s="38"/>
      <c r="AP90" s="37"/>
      <c r="AS90" s="38"/>
      <c r="AW90" s="38"/>
      <c r="BA90" s="39"/>
    </row>
    <row r="91" spans="1:53" s="28" customFormat="1" x14ac:dyDescent="0.15">
      <c r="A91" s="28">
        <v>2000</v>
      </c>
      <c r="B91" s="293"/>
      <c r="C91" s="394" t="s">
        <v>646</v>
      </c>
      <c r="D91" s="394"/>
      <c r="E91" s="28">
        <v>366</v>
      </c>
      <c r="G91" s="65">
        <v>0</v>
      </c>
      <c r="H91" s="28">
        <v>0</v>
      </c>
      <c r="I91" s="28">
        <v>20</v>
      </c>
      <c r="J91" s="72">
        <v>20</v>
      </c>
      <c r="K91" s="46">
        <f t="shared" si="4"/>
        <v>0</v>
      </c>
      <c r="L91" s="46">
        <f t="shared" si="4"/>
        <v>0</v>
      </c>
      <c r="M91" s="46">
        <f t="shared" si="4"/>
        <v>100</v>
      </c>
      <c r="N91" s="67">
        <f t="shared" si="5"/>
        <v>100</v>
      </c>
      <c r="O91" s="45"/>
      <c r="P91" s="46"/>
      <c r="Q91" s="46">
        <v>49.1</v>
      </c>
      <c r="R91" s="47">
        <f t="shared" si="6"/>
        <v>49.1</v>
      </c>
      <c r="S91" s="28">
        <v>5</v>
      </c>
      <c r="T91" s="284"/>
      <c r="U91" s="293"/>
      <c r="V91" s="37" t="s">
        <v>451</v>
      </c>
      <c r="W91" s="28" t="s">
        <v>20</v>
      </c>
      <c r="X91" s="28" t="s">
        <v>12</v>
      </c>
      <c r="Y91" s="38">
        <v>40.799999999999997</v>
      </c>
      <c r="Z91" s="28" t="s">
        <v>563</v>
      </c>
      <c r="AA91" s="28" t="s">
        <v>96</v>
      </c>
      <c r="AB91" s="28" t="s">
        <v>12</v>
      </c>
      <c r="AC91" s="28">
        <v>8.3000000000000007</v>
      </c>
      <c r="AD91" s="37"/>
      <c r="AG91" s="38"/>
      <c r="AL91" s="37"/>
      <c r="AO91" s="38"/>
      <c r="AP91" s="37"/>
      <c r="AS91" s="38"/>
      <c r="AW91" s="38"/>
      <c r="BA91" s="39"/>
    </row>
    <row r="92" spans="1:53" s="28" customFormat="1" x14ac:dyDescent="0.15">
      <c r="A92" s="28">
        <v>2001</v>
      </c>
      <c r="B92" s="293"/>
      <c r="C92" s="394" t="s">
        <v>646</v>
      </c>
      <c r="D92" s="394"/>
      <c r="E92" s="28">
        <v>0</v>
      </c>
      <c r="G92" s="65">
        <v>0</v>
      </c>
      <c r="H92" s="28">
        <v>0</v>
      </c>
      <c r="I92" s="28">
        <v>20</v>
      </c>
      <c r="J92" s="72">
        <v>20</v>
      </c>
      <c r="K92" s="46">
        <f t="shared" si="4"/>
        <v>0</v>
      </c>
      <c r="L92" s="46">
        <f t="shared" si="4"/>
        <v>0</v>
      </c>
      <c r="M92" s="46">
        <f t="shared" si="4"/>
        <v>100</v>
      </c>
      <c r="N92" s="67">
        <f t="shared" si="5"/>
        <v>100</v>
      </c>
      <c r="O92" s="45"/>
      <c r="P92" s="46"/>
      <c r="Q92" s="46">
        <v>49.1</v>
      </c>
      <c r="R92" s="47">
        <f t="shared" si="6"/>
        <v>49.1</v>
      </c>
      <c r="S92" s="28">
        <v>5</v>
      </c>
      <c r="T92" s="284"/>
      <c r="U92" s="293"/>
      <c r="V92" s="37" t="s">
        <v>451</v>
      </c>
      <c r="W92" s="28" t="s">
        <v>20</v>
      </c>
      <c r="X92" s="28" t="s">
        <v>12</v>
      </c>
      <c r="Y92" s="38">
        <v>40.799999999999997</v>
      </c>
      <c r="Z92" s="28" t="s">
        <v>563</v>
      </c>
      <c r="AA92" s="28" t="s">
        <v>96</v>
      </c>
      <c r="AB92" s="28" t="s">
        <v>12</v>
      </c>
      <c r="AC92" s="28">
        <v>8.3000000000000007</v>
      </c>
      <c r="AD92" s="37"/>
      <c r="AG92" s="38"/>
      <c r="AL92" s="37"/>
      <c r="AO92" s="38"/>
      <c r="AP92" s="37"/>
      <c r="AS92" s="38"/>
      <c r="AW92" s="38"/>
      <c r="BA92" s="39"/>
    </row>
    <row r="93" spans="1:53" s="28" customFormat="1" x14ac:dyDescent="0.15">
      <c r="A93" s="28">
        <v>2001</v>
      </c>
      <c r="B93" s="293"/>
      <c r="C93" s="394" t="s">
        <v>646</v>
      </c>
      <c r="D93" s="394"/>
      <c r="E93" s="28">
        <f>365-E92</f>
        <v>365</v>
      </c>
      <c r="G93" s="65">
        <v>0</v>
      </c>
      <c r="H93" s="28">
        <v>0</v>
      </c>
      <c r="I93" s="28">
        <v>20</v>
      </c>
      <c r="J93" s="72">
        <v>20</v>
      </c>
      <c r="K93" s="46">
        <f t="shared" si="4"/>
        <v>0</v>
      </c>
      <c r="L93" s="46">
        <f t="shared" si="4"/>
        <v>0</v>
      </c>
      <c r="M93" s="46">
        <f t="shared" si="4"/>
        <v>100</v>
      </c>
      <c r="N93" s="67">
        <f t="shared" si="5"/>
        <v>100</v>
      </c>
      <c r="O93" s="45"/>
      <c r="P93" s="46"/>
      <c r="Q93" s="46">
        <v>49.1</v>
      </c>
      <c r="R93" s="47">
        <f t="shared" si="6"/>
        <v>49.1</v>
      </c>
      <c r="S93" s="28">
        <v>5</v>
      </c>
      <c r="T93" s="284"/>
      <c r="U93" s="293"/>
      <c r="V93" s="37" t="s">
        <v>451</v>
      </c>
      <c r="W93" s="28" t="s">
        <v>20</v>
      </c>
      <c r="X93" s="28" t="s">
        <v>12</v>
      </c>
      <c r="Y93" s="38">
        <v>40.799999999999997</v>
      </c>
      <c r="Z93" s="28" t="s">
        <v>563</v>
      </c>
      <c r="AA93" s="28" t="s">
        <v>96</v>
      </c>
      <c r="AB93" s="28" t="s">
        <v>12</v>
      </c>
      <c r="AC93" s="28">
        <v>8.3000000000000007</v>
      </c>
      <c r="AD93" s="37"/>
      <c r="AG93" s="38"/>
      <c r="AL93" s="37"/>
      <c r="AO93" s="38"/>
      <c r="AP93" s="37"/>
      <c r="AS93" s="38"/>
      <c r="AW93" s="38"/>
      <c r="BA93" s="39"/>
    </row>
    <row r="94" spans="1:53" s="28" customFormat="1" x14ac:dyDescent="0.15">
      <c r="A94" s="28">
        <v>2002</v>
      </c>
      <c r="B94" s="293"/>
      <c r="C94" s="394" t="s">
        <v>646</v>
      </c>
      <c r="D94" s="394"/>
      <c r="E94" s="28">
        <v>226</v>
      </c>
      <c r="G94" s="65">
        <v>0</v>
      </c>
      <c r="H94" s="28">
        <v>0</v>
      </c>
      <c r="I94" s="28">
        <v>20</v>
      </c>
      <c r="J94" s="72">
        <v>20</v>
      </c>
      <c r="K94" s="46">
        <f t="shared" si="4"/>
        <v>0</v>
      </c>
      <c r="L94" s="46">
        <f t="shared" si="4"/>
        <v>0</v>
      </c>
      <c r="M94" s="46">
        <f t="shared" si="4"/>
        <v>100</v>
      </c>
      <c r="N94" s="67">
        <f t="shared" si="5"/>
        <v>100</v>
      </c>
      <c r="O94" s="45"/>
      <c r="P94" s="46"/>
      <c r="Q94" s="46">
        <v>49.1</v>
      </c>
      <c r="R94" s="47">
        <f t="shared" si="6"/>
        <v>49.1</v>
      </c>
      <c r="S94" s="28">
        <v>5</v>
      </c>
      <c r="T94" s="284"/>
      <c r="U94" s="293"/>
      <c r="V94" s="37" t="s">
        <v>451</v>
      </c>
      <c r="W94" s="28" t="s">
        <v>20</v>
      </c>
      <c r="X94" s="28" t="s">
        <v>12</v>
      </c>
      <c r="Y94" s="38">
        <v>40.799999999999997</v>
      </c>
      <c r="Z94" s="28" t="s">
        <v>563</v>
      </c>
      <c r="AA94" s="28" t="s">
        <v>96</v>
      </c>
      <c r="AB94" s="28" t="s">
        <v>12</v>
      </c>
      <c r="AC94" s="28">
        <v>8.3000000000000007</v>
      </c>
      <c r="AD94" s="37"/>
      <c r="AG94" s="38"/>
      <c r="AL94" s="37"/>
      <c r="AO94" s="38"/>
      <c r="AP94" s="37"/>
      <c r="AS94" s="38"/>
      <c r="AW94" s="38"/>
      <c r="BA94" s="39"/>
    </row>
    <row r="95" spans="1:53" s="170" customFormat="1" x14ac:dyDescent="0.15">
      <c r="A95" s="170">
        <v>2002</v>
      </c>
      <c r="B95" s="281">
        <v>37483</v>
      </c>
      <c r="C95" s="395" t="s">
        <v>647</v>
      </c>
      <c r="D95" s="395"/>
      <c r="E95" s="170">
        <f>365-E94</f>
        <v>139</v>
      </c>
      <c r="F95" s="170">
        <v>1</v>
      </c>
      <c r="G95" s="232">
        <v>0</v>
      </c>
      <c r="H95" s="170">
        <v>0</v>
      </c>
      <c r="I95" s="170">
        <v>20</v>
      </c>
      <c r="J95" s="240">
        <v>20</v>
      </c>
      <c r="K95" s="213">
        <f t="shared" si="4"/>
        <v>0</v>
      </c>
      <c r="L95" s="213">
        <f t="shared" si="4"/>
        <v>0</v>
      </c>
      <c r="M95" s="213">
        <f t="shared" si="4"/>
        <v>100</v>
      </c>
      <c r="N95" s="234">
        <f t="shared" si="5"/>
        <v>100</v>
      </c>
      <c r="O95" s="212"/>
      <c r="P95" s="213"/>
      <c r="Q95" s="213">
        <v>45</v>
      </c>
      <c r="R95" s="214">
        <f t="shared" si="6"/>
        <v>45</v>
      </c>
      <c r="S95" s="170">
        <v>5</v>
      </c>
      <c r="T95" s="283">
        <v>37464</v>
      </c>
      <c r="U95" s="281">
        <v>37483</v>
      </c>
      <c r="V95" s="177" t="s">
        <v>451</v>
      </c>
      <c r="W95" s="170" t="s">
        <v>20</v>
      </c>
      <c r="X95" s="170" t="s">
        <v>12</v>
      </c>
      <c r="Y95" s="178">
        <v>43.3</v>
      </c>
      <c r="Z95" s="170" t="s">
        <v>100</v>
      </c>
      <c r="AA95" s="170" t="s">
        <v>327</v>
      </c>
      <c r="AB95" s="170" t="s">
        <v>12</v>
      </c>
      <c r="AC95" s="170">
        <v>1.7</v>
      </c>
      <c r="AD95" s="177"/>
      <c r="AG95" s="178"/>
      <c r="AL95" s="177"/>
      <c r="AO95" s="178"/>
      <c r="AP95" s="177"/>
      <c r="AS95" s="178"/>
      <c r="AW95" s="178"/>
      <c r="BA95" s="179"/>
    </row>
    <row r="96" spans="1:53" s="170" customFormat="1" x14ac:dyDescent="0.15">
      <c r="A96" s="170">
        <v>2003</v>
      </c>
      <c r="B96" s="281"/>
      <c r="C96" s="395" t="s">
        <v>647</v>
      </c>
      <c r="D96" s="395"/>
      <c r="E96" s="170">
        <v>0</v>
      </c>
      <c r="G96" s="232">
        <v>0</v>
      </c>
      <c r="H96" s="170">
        <v>0</v>
      </c>
      <c r="I96" s="170">
        <v>20</v>
      </c>
      <c r="J96" s="240">
        <v>20</v>
      </c>
      <c r="K96" s="213">
        <f t="shared" si="4"/>
        <v>0</v>
      </c>
      <c r="L96" s="213">
        <f t="shared" si="4"/>
        <v>0</v>
      </c>
      <c r="M96" s="213">
        <f t="shared" si="4"/>
        <v>100</v>
      </c>
      <c r="N96" s="234">
        <f t="shared" si="5"/>
        <v>100</v>
      </c>
      <c r="O96" s="212"/>
      <c r="P96" s="213"/>
      <c r="Q96" s="213">
        <v>45</v>
      </c>
      <c r="R96" s="214">
        <f t="shared" si="6"/>
        <v>45</v>
      </c>
      <c r="S96" s="170">
        <v>5</v>
      </c>
      <c r="T96" s="283"/>
      <c r="U96" s="281"/>
      <c r="V96" s="177" t="s">
        <v>451</v>
      </c>
      <c r="W96" s="170" t="s">
        <v>20</v>
      </c>
      <c r="X96" s="170" t="s">
        <v>12</v>
      </c>
      <c r="Y96" s="178">
        <v>43.3</v>
      </c>
      <c r="Z96" s="170" t="s">
        <v>100</v>
      </c>
      <c r="AA96" s="170" t="s">
        <v>327</v>
      </c>
      <c r="AB96" s="170" t="s">
        <v>12</v>
      </c>
      <c r="AC96" s="170">
        <v>1.7</v>
      </c>
      <c r="AD96" s="177"/>
      <c r="AG96" s="178"/>
      <c r="AL96" s="177"/>
      <c r="AO96" s="178"/>
      <c r="AP96" s="177"/>
      <c r="AS96" s="178"/>
      <c r="AW96" s="178"/>
      <c r="BA96" s="179"/>
    </row>
    <row r="97" spans="1:53" s="170" customFormat="1" x14ac:dyDescent="0.15">
      <c r="A97" s="170">
        <v>2003</v>
      </c>
      <c r="B97" s="281"/>
      <c r="C97" s="395" t="s">
        <v>647</v>
      </c>
      <c r="D97" s="395"/>
      <c r="E97" s="170">
        <f>365-E96</f>
        <v>365</v>
      </c>
      <c r="G97" s="232">
        <v>0</v>
      </c>
      <c r="H97" s="170">
        <v>0</v>
      </c>
      <c r="I97" s="170">
        <v>20</v>
      </c>
      <c r="J97" s="240">
        <v>20</v>
      </c>
      <c r="K97" s="213">
        <f t="shared" si="4"/>
        <v>0</v>
      </c>
      <c r="L97" s="213">
        <f t="shared" si="4"/>
        <v>0</v>
      </c>
      <c r="M97" s="213">
        <f t="shared" si="4"/>
        <v>100</v>
      </c>
      <c r="N97" s="234">
        <f t="shared" si="5"/>
        <v>100</v>
      </c>
      <c r="O97" s="212"/>
      <c r="P97" s="213"/>
      <c r="Q97" s="213">
        <v>45</v>
      </c>
      <c r="R97" s="214">
        <f t="shared" si="6"/>
        <v>45</v>
      </c>
      <c r="S97" s="170">
        <v>5</v>
      </c>
      <c r="T97" s="283"/>
      <c r="U97" s="281"/>
      <c r="V97" s="177" t="s">
        <v>451</v>
      </c>
      <c r="W97" s="170" t="s">
        <v>20</v>
      </c>
      <c r="X97" s="170" t="s">
        <v>12</v>
      </c>
      <c r="Y97" s="178">
        <v>43.3</v>
      </c>
      <c r="Z97" s="170" t="s">
        <v>100</v>
      </c>
      <c r="AA97" s="170" t="s">
        <v>327</v>
      </c>
      <c r="AB97" s="170" t="s">
        <v>12</v>
      </c>
      <c r="AC97" s="170">
        <v>1.7</v>
      </c>
      <c r="AD97" s="177"/>
      <c r="AG97" s="178"/>
      <c r="AL97" s="177"/>
      <c r="AO97" s="178"/>
      <c r="AP97" s="177"/>
      <c r="AS97" s="178"/>
      <c r="AW97" s="178"/>
      <c r="BA97" s="179"/>
    </row>
    <row r="98" spans="1:53" s="170" customFormat="1" x14ac:dyDescent="0.15">
      <c r="A98" s="170">
        <v>2004</v>
      </c>
      <c r="B98" s="281"/>
      <c r="C98" s="395" t="s">
        <v>647</v>
      </c>
      <c r="D98" s="395"/>
      <c r="E98" s="170">
        <v>355</v>
      </c>
      <c r="G98" s="232">
        <v>0</v>
      </c>
      <c r="H98" s="170">
        <v>0</v>
      </c>
      <c r="I98" s="170">
        <v>20</v>
      </c>
      <c r="J98" s="240">
        <v>20</v>
      </c>
      <c r="K98" s="213">
        <f t="shared" si="4"/>
        <v>0</v>
      </c>
      <c r="L98" s="213">
        <f t="shared" si="4"/>
        <v>0</v>
      </c>
      <c r="M98" s="213">
        <f t="shared" si="4"/>
        <v>100</v>
      </c>
      <c r="N98" s="234">
        <f t="shared" si="5"/>
        <v>100</v>
      </c>
      <c r="O98" s="212"/>
      <c r="P98" s="213"/>
      <c r="Q98" s="213">
        <v>45</v>
      </c>
      <c r="R98" s="214">
        <f t="shared" si="6"/>
        <v>45</v>
      </c>
      <c r="S98" s="170">
        <v>5</v>
      </c>
      <c r="T98" s="283"/>
      <c r="U98" s="281"/>
      <c r="V98" s="177" t="s">
        <v>451</v>
      </c>
      <c r="W98" s="170" t="s">
        <v>20</v>
      </c>
      <c r="X98" s="170" t="s">
        <v>12</v>
      </c>
      <c r="Y98" s="178">
        <v>43.3</v>
      </c>
      <c r="Z98" s="170" t="s">
        <v>100</v>
      </c>
      <c r="AA98" s="170" t="s">
        <v>327</v>
      </c>
      <c r="AB98" s="170" t="s">
        <v>12</v>
      </c>
      <c r="AC98" s="170">
        <v>1.7</v>
      </c>
      <c r="AD98" s="177"/>
      <c r="AG98" s="178"/>
      <c r="AL98" s="177"/>
      <c r="AO98" s="178"/>
      <c r="AP98" s="177"/>
      <c r="AS98" s="178"/>
      <c r="AW98" s="178"/>
      <c r="BA98" s="179"/>
    </row>
    <row r="99" spans="1:53" s="170" customFormat="1" x14ac:dyDescent="0.15">
      <c r="A99" s="170">
        <v>2004</v>
      </c>
      <c r="B99" s="303">
        <v>38342</v>
      </c>
      <c r="C99" s="395" t="s">
        <v>647</v>
      </c>
      <c r="D99" s="395"/>
      <c r="E99" s="170">
        <f>366-E98</f>
        <v>11</v>
      </c>
      <c r="F99" s="243">
        <v>0</v>
      </c>
      <c r="G99" s="232">
        <v>0</v>
      </c>
      <c r="H99" s="170">
        <v>0</v>
      </c>
      <c r="I99" s="170">
        <v>19</v>
      </c>
      <c r="J99" s="240">
        <v>19</v>
      </c>
      <c r="K99" s="213">
        <f t="shared" si="4"/>
        <v>0</v>
      </c>
      <c r="L99" s="213">
        <f t="shared" si="4"/>
        <v>0</v>
      </c>
      <c r="M99" s="213">
        <f t="shared" si="4"/>
        <v>100</v>
      </c>
      <c r="N99" s="234">
        <f t="shared" si="5"/>
        <v>100</v>
      </c>
      <c r="O99" s="212"/>
      <c r="P99" s="213"/>
      <c r="Q99" s="213">
        <v>45</v>
      </c>
      <c r="R99" s="214">
        <f t="shared" si="6"/>
        <v>45</v>
      </c>
      <c r="S99" s="170">
        <v>5</v>
      </c>
      <c r="T99" s="283"/>
      <c r="U99" s="281"/>
      <c r="V99" s="177" t="s">
        <v>451</v>
      </c>
      <c r="W99" s="170" t="s">
        <v>20</v>
      </c>
      <c r="X99" s="170" t="s">
        <v>12</v>
      </c>
      <c r="Y99" s="178">
        <v>43.3</v>
      </c>
      <c r="Z99" s="170" t="s">
        <v>100</v>
      </c>
      <c r="AA99" s="170" t="s">
        <v>327</v>
      </c>
      <c r="AB99" s="170" t="s">
        <v>12</v>
      </c>
      <c r="AC99" s="170">
        <v>1.7</v>
      </c>
      <c r="AD99" s="177"/>
      <c r="AG99" s="178"/>
      <c r="AL99" s="177"/>
      <c r="AO99" s="178"/>
      <c r="AP99" s="177"/>
      <c r="AS99" s="178"/>
      <c r="AW99" s="178"/>
      <c r="BA99" s="179"/>
    </row>
    <row r="100" spans="1:53" s="170" customFormat="1" x14ac:dyDescent="0.15">
      <c r="A100" s="170">
        <v>2005</v>
      </c>
      <c r="B100" s="281"/>
      <c r="C100" s="395" t="s">
        <v>647</v>
      </c>
      <c r="D100" s="395"/>
      <c r="E100" s="170">
        <v>58</v>
      </c>
      <c r="G100" s="232">
        <v>0</v>
      </c>
      <c r="H100" s="170">
        <v>0</v>
      </c>
      <c r="I100" s="170">
        <v>19</v>
      </c>
      <c r="J100" s="240">
        <v>19</v>
      </c>
      <c r="K100" s="213">
        <f t="shared" si="4"/>
        <v>0</v>
      </c>
      <c r="L100" s="213">
        <f t="shared" si="4"/>
        <v>0</v>
      </c>
      <c r="M100" s="213">
        <f t="shared" si="4"/>
        <v>100</v>
      </c>
      <c r="N100" s="234">
        <f t="shared" si="5"/>
        <v>100</v>
      </c>
      <c r="O100" s="212"/>
      <c r="P100" s="213"/>
      <c r="Q100" s="213">
        <v>45</v>
      </c>
      <c r="R100" s="214">
        <f t="shared" si="6"/>
        <v>45</v>
      </c>
      <c r="S100" s="170">
        <v>5</v>
      </c>
      <c r="T100" s="283"/>
      <c r="U100" s="281"/>
      <c r="V100" s="177" t="s">
        <v>451</v>
      </c>
      <c r="W100" s="170" t="s">
        <v>20</v>
      </c>
      <c r="X100" s="170" t="s">
        <v>12</v>
      </c>
      <c r="Y100" s="178">
        <v>43.3</v>
      </c>
      <c r="Z100" s="170" t="s">
        <v>100</v>
      </c>
      <c r="AA100" s="170" t="s">
        <v>327</v>
      </c>
      <c r="AB100" s="170" t="s">
        <v>12</v>
      </c>
      <c r="AC100" s="170">
        <v>1.7</v>
      </c>
      <c r="AD100" s="177"/>
      <c r="AG100" s="178"/>
      <c r="AL100" s="177"/>
      <c r="AO100" s="178"/>
      <c r="AP100" s="177"/>
      <c r="AS100" s="178"/>
      <c r="AW100" s="178"/>
      <c r="BA100" s="179"/>
    </row>
    <row r="101" spans="1:53" s="170" customFormat="1" x14ac:dyDescent="0.15">
      <c r="A101" s="170">
        <v>2005</v>
      </c>
      <c r="B101" s="303">
        <v>38411</v>
      </c>
      <c r="C101" s="395" t="s">
        <v>647</v>
      </c>
      <c r="D101" s="395"/>
      <c r="E101" s="170">
        <v>233</v>
      </c>
      <c r="F101" s="243">
        <v>0</v>
      </c>
      <c r="G101" s="232">
        <v>0</v>
      </c>
      <c r="H101" s="170">
        <v>0</v>
      </c>
      <c r="I101" s="170">
        <v>18</v>
      </c>
      <c r="J101" s="240">
        <v>18</v>
      </c>
      <c r="K101" s="213">
        <f t="shared" si="4"/>
        <v>0</v>
      </c>
      <c r="L101" s="213">
        <f t="shared" si="4"/>
        <v>0</v>
      </c>
      <c r="M101" s="213">
        <f t="shared" si="4"/>
        <v>100</v>
      </c>
      <c r="N101" s="234">
        <f t="shared" si="5"/>
        <v>100</v>
      </c>
      <c r="O101" s="212"/>
      <c r="P101" s="213"/>
      <c r="Q101" s="213">
        <v>42.1</v>
      </c>
      <c r="R101" s="214">
        <f t="shared" si="6"/>
        <v>42.1</v>
      </c>
      <c r="S101" s="170">
        <v>5</v>
      </c>
      <c r="T101" s="283"/>
      <c r="U101" s="281"/>
      <c r="V101" s="177" t="s">
        <v>451</v>
      </c>
      <c r="W101" s="170" t="s">
        <v>20</v>
      </c>
      <c r="X101" s="170" t="s">
        <v>12</v>
      </c>
      <c r="Y101" s="178">
        <v>43.3</v>
      </c>
      <c r="Z101" s="170" t="s">
        <v>100</v>
      </c>
      <c r="AA101" s="170" t="s">
        <v>327</v>
      </c>
      <c r="AB101" s="170" t="s">
        <v>12</v>
      </c>
      <c r="AC101" s="170">
        <v>1.7</v>
      </c>
      <c r="AD101" s="177"/>
      <c r="AG101" s="178"/>
      <c r="AL101" s="177"/>
      <c r="AO101" s="178"/>
      <c r="AP101" s="177"/>
      <c r="AS101" s="178"/>
      <c r="AW101" s="178"/>
      <c r="BA101" s="179"/>
    </row>
    <row r="102" spans="1:53" s="28" customFormat="1" x14ac:dyDescent="0.15">
      <c r="A102" s="28">
        <v>2005</v>
      </c>
      <c r="B102" s="293">
        <v>38644</v>
      </c>
      <c r="C102" s="394" t="s">
        <v>648</v>
      </c>
      <c r="D102" s="394"/>
      <c r="E102" s="28">
        <f>365-E101-E100</f>
        <v>74</v>
      </c>
      <c r="F102" s="28">
        <v>1</v>
      </c>
      <c r="G102" s="65">
        <v>0</v>
      </c>
      <c r="H102" s="28">
        <v>0</v>
      </c>
      <c r="I102" s="28">
        <v>21</v>
      </c>
      <c r="J102" s="72">
        <v>21</v>
      </c>
      <c r="K102" s="46">
        <f t="shared" si="4"/>
        <v>0</v>
      </c>
      <c r="L102" s="46">
        <f t="shared" si="4"/>
        <v>0</v>
      </c>
      <c r="M102" s="46">
        <f t="shared" si="4"/>
        <v>100</v>
      </c>
      <c r="N102" s="67">
        <f t="shared" si="5"/>
        <v>100</v>
      </c>
      <c r="O102" s="45"/>
      <c r="P102" s="46"/>
      <c r="Q102" s="46">
        <v>42.1</v>
      </c>
      <c r="R102" s="47">
        <f t="shared" si="6"/>
        <v>42.1</v>
      </c>
      <c r="S102" s="28">
        <v>5</v>
      </c>
      <c r="T102" s="284">
        <v>38612</v>
      </c>
      <c r="U102" s="293">
        <v>38644</v>
      </c>
      <c r="V102" s="37" t="s">
        <v>451</v>
      </c>
      <c r="W102" s="28" t="s">
        <v>20</v>
      </c>
      <c r="X102" s="28" t="s">
        <v>12</v>
      </c>
      <c r="Y102" s="38">
        <v>41.3</v>
      </c>
      <c r="Z102" s="28" t="s">
        <v>100</v>
      </c>
      <c r="AA102" s="28" t="s">
        <v>327</v>
      </c>
      <c r="AB102" s="28" t="s">
        <v>12</v>
      </c>
      <c r="AC102" s="28">
        <v>0.8</v>
      </c>
      <c r="AD102" s="37"/>
      <c r="AG102" s="38"/>
      <c r="AL102" s="37"/>
      <c r="AO102" s="38"/>
      <c r="AP102" s="37"/>
      <c r="AS102" s="38"/>
      <c r="AW102" s="38"/>
      <c r="BA102" s="39"/>
    </row>
    <row r="103" spans="1:53" s="28" customFormat="1" x14ac:dyDescent="0.15">
      <c r="A103" s="28">
        <v>2006</v>
      </c>
      <c r="B103" s="293"/>
      <c r="C103" s="394" t="s">
        <v>648</v>
      </c>
      <c r="D103" s="394"/>
      <c r="E103" s="28">
        <v>0</v>
      </c>
      <c r="G103" s="65">
        <v>0</v>
      </c>
      <c r="H103" s="28">
        <v>0</v>
      </c>
      <c r="I103" s="28">
        <v>21</v>
      </c>
      <c r="J103" s="72">
        <v>21</v>
      </c>
      <c r="K103" s="46">
        <f t="shared" si="4"/>
        <v>0</v>
      </c>
      <c r="L103" s="46">
        <f t="shared" si="4"/>
        <v>0</v>
      </c>
      <c r="M103" s="46">
        <f t="shared" si="4"/>
        <v>100</v>
      </c>
      <c r="N103" s="67">
        <f t="shared" si="5"/>
        <v>100</v>
      </c>
      <c r="O103" s="45"/>
      <c r="P103" s="46"/>
      <c r="Q103" s="46">
        <v>42.1</v>
      </c>
      <c r="R103" s="47">
        <f t="shared" si="6"/>
        <v>42.1</v>
      </c>
      <c r="S103" s="28">
        <v>5</v>
      </c>
      <c r="T103" s="284"/>
      <c r="U103" s="293"/>
      <c r="V103" s="37" t="s">
        <v>451</v>
      </c>
      <c r="W103" s="28" t="s">
        <v>20</v>
      </c>
      <c r="X103" s="28" t="s">
        <v>12</v>
      </c>
      <c r="Y103" s="38">
        <v>41.3</v>
      </c>
      <c r="Z103" s="28" t="s">
        <v>100</v>
      </c>
      <c r="AA103" s="28" t="s">
        <v>327</v>
      </c>
      <c r="AB103" s="28" t="s">
        <v>12</v>
      </c>
      <c r="AC103" s="28">
        <v>0.8</v>
      </c>
      <c r="AD103" s="37"/>
      <c r="AG103" s="38"/>
      <c r="AL103" s="37"/>
      <c r="AO103" s="38"/>
      <c r="AP103" s="37"/>
      <c r="AS103" s="38"/>
      <c r="AW103" s="38"/>
      <c r="BA103" s="39"/>
    </row>
    <row r="104" spans="1:53" s="28" customFormat="1" x14ac:dyDescent="0.15">
      <c r="A104" s="28">
        <v>2006</v>
      </c>
      <c r="B104" s="293"/>
      <c r="C104" s="394" t="s">
        <v>648</v>
      </c>
      <c r="D104" s="394"/>
      <c r="E104" s="28">
        <v>365</v>
      </c>
      <c r="G104" s="65">
        <v>0</v>
      </c>
      <c r="H104" s="28">
        <v>0</v>
      </c>
      <c r="I104" s="28">
        <v>21</v>
      </c>
      <c r="J104" s="72">
        <v>21</v>
      </c>
      <c r="K104" s="46">
        <f t="shared" si="4"/>
        <v>0</v>
      </c>
      <c r="L104" s="46">
        <f t="shared" si="4"/>
        <v>0</v>
      </c>
      <c r="M104" s="46">
        <f t="shared" si="4"/>
        <v>100</v>
      </c>
      <c r="N104" s="67">
        <f t="shared" si="5"/>
        <v>100</v>
      </c>
      <c r="O104" s="45"/>
      <c r="P104" s="46"/>
      <c r="Q104" s="46">
        <v>42.1</v>
      </c>
      <c r="R104" s="47">
        <f t="shared" si="6"/>
        <v>42.1</v>
      </c>
      <c r="S104" s="28">
        <v>5</v>
      </c>
      <c r="T104" s="284"/>
      <c r="U104" s="293"/>
      <c r="V104" s="37" t="s">
        <v>451</v>
      </c>
      <c r="W104" s="28" t="s">
        <v>20</v>
      </c>
      <c r="X104" s="28" t="s">
        <v>12</v>
      </c>
      <c r="Y104" s="38">
        <v>41.3</v>
      </c>
      <c r="Z104" s="28" t="s">
        <v>100</v>
      </c>
      <c r="AA104" s="28" t="s">
        <v>327</v>
      </c>
      <c r="AB104" s="28" t="s">
        <v>12</v>
      </c>
      <c r="AC104" s="28">
        <v>0.8</v>
      </c>
      <c r="AD104" s="37"/>
      <c r="AG104" s="38"/>
      <c r="AL104" s="37"/>
      <c r="AO104" s="38"/>
      <c r="AP104" s="37"/>
      <c r="AS104" s="38"/>
      <c r="AW104" s="38"/>
      <c r="BA104" s="39"/>
    </row>
    <row r="105" spans="1:53" s="28" customFormat="1" x14ac:dyDescent="0.15">
      <c r="A105" s="28">
        <v>2007</v>
      </c>
      <c r="B105" s="293"/>
      <c r="C105" s="394" t="s">
        <v>648</v>
      </c>
      <c r="D105" s="394"/>
      <c r="E105" s="28">
        <v>0</v>
      </c>
      <c r="G105" s="65">
        <v>0</v>
      </c>
      <c r="H105" s="28">
        <v>0</v>
      </c>
      <c r="I105" s="28">
        <v>21</v>
      </c>
      <c r="J105" s="72">
        <v>21</v>
      </c>
      <c r="K105" s="46">
        <f t="shared" si="4"/>
        <v>0</v>
      </c>
      <c r="L105" s="46">
        <f t="shared" si="4"/>
        <v>0</v>
      </c>
      <c r="M105" s="46">
        <f t="shared" si="4"/>
        <v>100</v>
      </c>
      <c r="N105" s="67">
        <f t="shared" si="5"/>
        <v>100</v>
      </c>
      <c r="O105" s="45"/>
      <c r="P105" s="46"/>
      <c r="Q105" s="46">
        <v>42.1</v>
      </c>
      <c r="R105" s="47">
        <f t="shared" si="6"/>
        <v>42.1</v>
      </c>
      <c r="S105" s="28">
        <v>5</v>
      </c>
      <c r="T105" s="284"/>
      <c r="U105" s="293"/>
      <c r="V105" s="37" t="s">
        <v>451</v>
      </c>
      <c r="W105" s="28" t="s">
        <v>20</v>
      </c>
      <c r="X105" s="28" t="s">
        <v>12</v>
      </c>
      <c r="Y105" s="38">
        <v>41.3</v>
      </c>
      <c r="Z105" s="28" t="s">
        <v>100</v>
      </c>
      <c r="AA105" s="28" t="s">
        <v>327</v>
      </c>
      <c r="AB105" s="28" t="s">
        <v>12</v>
      </c>
      <c r="AC105" s="28">
        <v>0.8</v>
      </c>
      <c r="AD105" s="37"/>
      <c r="AG105" s="38"/>
      <c r="AL105" s="37"/>
      <c r="AO105" s="38"/>
      <c r="AP105" s="37"/>
      <c r="AS105" s="38"/>
      <c r="AW105" s="38"/>
      <c r="BA105" s="39"/>
    </row>
    <row r="106" spans="1:53" s="28" customFormat="1" x14ac:dyDescent="0.15">
      <c r="A106" s="28">
        <v>2007</v>
      </c>
      <c r="B106" s="293"/>
      <c r="C106" s="394" t="s">
        <v>648</v>
      </c>
      <c r="D106" s="394"/>
      <c r="E106" s="28">
        <v>365</v>
      </c>
      <c r="G106" s="65">
        <v>0</v>
      </c>
      <c r="H106" s="28">
        <v>0</v>
      </c>
      <c r="I106" s="28">
        <v>21</v>
      </c>
      <c r="J106" s="72">
        <v>21</v>
      </c>
      <c r="K106" s="46">
        <f t="shared" si="4"/>
        <v>0</v>
      </c>
      <c r="L106" s="46">
        <f t="shared" si="4"/>
        <v>0</v>
      </c>
      <c r="M106" s="46">
        <f t="shared" si="4"/>
        <v>100</v>
      </c>
      <c r="N106" s="67">
        <f t="shared" si="5"/>
        <v>100</v>
      </c>
      <c r="O106" s="45"/>
      <c r="P106" s="46"/>
      <c r="Q106" s="46">
        <v>42.1</v>
      </c>
      <c r="R106" s="47">
        <f t="shared" si="6"/>
        <v>42.1</v>
      </c>
      <c r="S106" s="28">
        <v>5</v>
      </c>
      <c r="T106" s="284"/>
      <c r="U106" s="293"/>
      <c r="V106" s="37" t="s">
        <v>451</v>
      </c>
      <c r="W106" s="28" t="s">
        <v>20</v>
      </c>
      <c r="X106" s="28" t="s">
        <v>12</v>
      </c>
      <c r="Y106" s="38">
        <v>41.3</v>
      </c>
      <c r="Z106" s="28" t="s">
        <v>100</v>
      </c>
      <c r="AA106" s="28" t="s">
        <v>327</v>
      </c>
      <c r="AB106" s="28" t="s">
        <v>12</v>
      </c>
      <c r="AC106" s="28">
        <v>0.8</v>
      </c>
      <c r="AD106" s="37"/>
      <c r="AG106" s="38"/>
      <c r="AL106" s="37"/>
      <c r="AO106" s="38"/>
      <c r="AP106" s="37"/>
      <c r="AS106" s="38"/>
      <c r="AW106" s="38"/>
      <c r="BA106" s="39"/>
    </row>
    <row r="107" spans="1:53" s="28" customFormat="1" x14ac:dyDescent="0.15">
      <c r="A107" s="28">
        <v>2008</v>
      </c>
      <c r="B107" s="293"/>
      <c r="C107" s="394" t="s">
        <v>648</v>
      </c>
      <c r="D107" s="394"/>
      <c r="E107" s="28">
        <v>323</v>
      </c>
      <c r="G107" s="65">
        <v>0</v>
      </c>
      <c r="H107" s="28">
        <v>0</v>
      </c>
      <c r="I107" s="28">
        <v>21</v>
      </c>
      <c r="J107" s="72">
        <v>21</v>
      </c>
      <c r="K107" s="46">
        <f t="shared" si="4"/>
        <v>0</v>
      </c>
      <c r="L107" s="46">
        <f t="shared" si="4"/>
        <v>0</v>
      </c>
      <c r="M107" s="46">
        <f t="shared" si="4"/>
        <v>100</v>
      </c>
      <c r="N107" s="67">
        <f t="shared" si="5"/>
        <v>100</v>
      </c>
      <c r="O107" s="45"/>
      <c r="P107" s="46"/>
      <c r="Q107" s="46">
        <v>42.1</v>
      </c>
      <c r="R107" s="47">
        <f t="shared" si="6"/>
        <v>42.1</v>
      </c>
      <c r="S107" s="28">
        <v>5</v>
      </c>
      <c r="T107" s="284"/>
      <c r="U107" s="293"/>
      <c r="V107" s="37" t="s">
        <v>451</v>
      </c>
      <c r="W107" s="28" t="s">
        <v>20</v>
      </c>
      <c r="X107" s="28" t="s">
        <v>12</v>
      </c>
      <c r="Y107" s="38">
        <v>41.3</v>
      </c>
      <c r="Z107" s="28" t="s">
        <v>100</v>
      </c>
      <c r="AA107" s="28" t="s">
        <v>327</v>
      </c>
      <c r="AB107" s="28" t="s">
        <v>12</v>
      </c>
      <c r="AC107" s="28">
        <v>0.8</v>
      </c>
      <c r="AD107" s="37"/>
      <c r="AG107" s="38"/>
      <c r="AL107" s="37"/>
      <c r="AO107" s="38"/>
      <c r="AP107" s="37"/>
      <c r="AS107" s="38"/>
      <c r="AW107" s="38"/>
      <c r="BA107" s="39"/>
    </row>
    <row r="108" spans="1:53" s="170" customFormat="1" x14ac:dyDescent="0.15">
      <c r="A108" s="170">
        <v>2008</v>
      </c>
      <c r="B108" s="281">
        <v>39771</v>
      </c>
      <c r="C108" s="395" t="s">
        <v>649</v>
      </c>
      <c r="D108" s="395"/>
      <c r="E108" s="170">
        <f>366-E107</f>
        <v>43</v>
      </c>
      <c r="F108" s="170">
        <v>1</v>
      </c>
      <c r="G108" s="232">
        <v>20</v>
      </c>
      <c r="H108" s="170">
        <v>0</v>
      </c>
      <c r="I108" s="170">
        <v>0</v>
      </c>
      <c r="J108" s="240">
        <v>20</v>
      </c>
      <c r="K108" s="213">
        <f t="shared" si="4"/>
        <v>100</v>
      </c>
      <c r="L108" s="213">
        <f t="shared" si="4"/>
        <v>0</v>
      </c>
      <c r="M108" s="213">
        <f t="shared" si="4"/>
        <v>0</v>
      </c>
      <c r="N108" s="234">
        <f t="shared" si="5"/>
        <v>100</v>
      </c>
      <c r="O108" s="212">
        <v>47.5</v>
      </c>
      <c r="P108" s="213"/>
      <c r="Q108" s="213"/>
      <c r="R108" s="214">
        <f t="shared" si="6"/>
        <v>47.5</v>
      </c>
      <c r="S108" s="170">
        <v>4</v>
      </c>
      <c r="T108" s="283">
        <v>39760</v>
      </c>
      <c r="U108" s="281">
        <v>39771</v>
      </c>
      <c r="V108" s="177" t="s">
        <v>452</v>
      </c>
      <c r="W108" s="170" t="s">
        <v>74</v>
      </c>
      <c r="X108" s="170" t="s">
        <v>11</v>
      </c>
      <c r="Y108" s="178">
        <v>47.5</v>
      </c>
      <c r="AD108" s="177"/>
      <c r="AG108" s="178"/>
      <c r="AL108" s="177"/>
      <c r="AO108" s="178"/>
      <c r="AP108" s="177"/>
      <c r="AS108" s="178"/>
      <c r="AW108" s="178"/>
      <c r="BA108" s="179"/>
    </row>
    <row r="109" spans="1:53" s="170" customFormat="1" x14ac:dyDescent="0.15">
      <c r="A109" s="170">
        <v>2009</v>
      </c>
      <c r="B109" s="281"/>
      <c r="C109" s="395" t="s">
        <v>649</v>
      </c>
      <c r="D109" s="395"/>
      <c r="E109" s="170">
        <v>0</v>
      </c>
      <c r="G109" s="232">
        <v>20</v>
      </c>
      <c r="H109" s="170">
        <v>0</v>
      </c>
      <c r="I109" s="170">
        <v>0</v>
      </c>
      <c r="J109" s="240">
        <v>20</v>
      </c>
      <c r="K109" s="213">
        <f t="shared" si="4"/>
        <v>100</v>
      </c>
      <c r="L109" s="213">
        <f t="shared" si="4"/>
        <v>0</v>
      </c>
      <c r="M109" s="213">
        <f t="shared" si="4"/>
        <v>0</v>
      </c>
      <c r="N109" s="234">
        <f t="shared" si="5"/>
        <v>100</v>
      </c>
      <c r="O109" s="212">
        <v>47.5</v>
      </c>
      <c r="P109" s="213"/>
      <c r="Q109" s="213"/>
      <c r="R109" s="214">
        <f t="shared" si="6"/>
        <v>47.5</v>
      </c>
      <c r="S109" s="170">
        <v>4</v>
      </c>
      <c r="T109" s="283"/>
      <c r="U109" s="281"/>
      <c r="V109" s="177" t="s">
        <v>452</v>
      </c>
      <c r="W109" s="170" t="s">
        <v>74</v>
      </c>
      <c r="X109" s="170" t="s">
        <v>11</v>
      </c>
      <c r="Y109" s="178">
        <v>47.5</v>
      </c>
      <c r="AD109" s="177"/>
      <c r="AG109" s="178"/>
      <c r="AL109" s="177"/>
      <c r="AO109" s="178"/>
      <c r="AP109" s="177"/>
      <c r="AS109" s="178"/>
      <c r="AW109" s="178"/>
      <c r="BA109" s="179"/>
    </row>
    <row r="110" spans="1:53" s="170" customFormat="1" x14ac:dyDescent="0.15">
      <c r="A110" s="170">
        <v>2009</v>
      </c>
      <c r="B110" s="281"/>
      <c r="C110" s="395" t="s">
        <v>649</v>
      </c>
      <c r="D110" s="395"/>
      <c r="E110" s="170">
        <v>365</v>
      </c>
      <c r="G110" s="232">
        <v>20</v>
      </c>
      <c r="H110" s="170">
        <v>0</v>
      </c>
      <c r="I110" s="170">
        <v>0</v>
      </c>
      <c r="J110" s="240">
        <v>20</v>
      </c>
      <c r="K110" s="213">
        <f t="shared" si="4"/>
        <v>100</v>
      </c>
      <c r="L110" s="213">
        <f t="shared" si="4"/>
        <v>0</v>
      </c>
      <c r="M110" s="213">
        <f t="shared" si="4"/>
        <v>0</v>
      </c>
      <c r="N110" s="234">
        <f t="shared" si="5"/>
        <v>100</v>
      </c>
      <c r="O110" s="212">
        <v>47.5</v>
      </c>
      <c r="P110" s="213"/>
      <c r="Q110" s="213"/>
      <c r="R110" s="214">
        <f t="shared" si="6"/>
        <v>47.5</v>
      </c>
      <c r="S110" s="170">
        <v>4</v>
      </c>
      <c r="T110" s="283"/>
      <c r="U110" s="281"/>
      <c r="V110" s="177" t="s">
        <v>452</v>
      </c>
      <c r="W110" s="170" t="s">
        <v>74</v>
      </c>
      <c r="X110" s="170" t="s">
        <v>11</v>
      </c>
      <c r="Y110" s="178">
        <v>47.5</v>
      </c>
      <c r="AD110" s="177"/>
      <c r="AG110" s="178"/>
      <c r="AL110" s="177"/>
      <c r="AO110" s="178"/>
      <c r="AP110" s="177"/>
      <c r="AS110" s="178"/>
      <c r="AW110" s="178"/>
      <c r="BA110" s="179"/>
    </row>
    <row r="111" spans="1:53" s="170" customFormat="1" x14ac:dyDescent="0.15">
      <c r="A111" s="170">
        <v>2010</v>
      </c>
      <c r="B111" s="281"/>
      <c r="C111" s="395" t="s">
        <v>649</v>
      </c>
      <c r="D111" s="395"/>
      <c r="E111" s="170">
        <v>0</v>
      </c>
      <c r="G111" s="232">
        <v>20</v>
      </c>
      <c r="H111" s="170">
        <v>0</v>
      </c>
      <c r="I111" s="170">
        <v>0</v>
      </c>
      <c r="J111" s="240">
        <v>20</v>
      </c>
      <c r="K111" s="213">
        <f t="shared" si="4"/>
        <v>100</v>
      </c>
      <c r="L111" s="213">
        <f t="shared" si="4"/>
        <v>0</v>
      </c>
      <c r="M111" s="213">
        <f t="shared" si="4"/>
        <v>0</v>
      </c>
      <c r="N111" s="234">
        <f t="shared" si="5"/>
        <v>100</v>
      </c>
      <c r="O111" s="212">
        <v>47.5</v>
      </c>
      <c r="P111" s="213"/>
      <c r="Q111" s="213"/>
      <c r="R111" s="214">
        <f t="shared" si="6"/>
        <v>47.5</v>
      </c>
      <c r="S111" s="170">
        <v>4</v>
      </c>
      <c r="T111" s="283"/>
      <c r="U111" s="281"/>
      <c r="V111" s="177" t="s">
        <v>452</v>
      </c>
      <c r="W111" s="170" t="s">
        <v>74</v>
      </c>
      <c r="X111" s="170" t="s">
        <v>11</v>
      </c>
      <c r="Y111" s="178">
        <v>47.5</v>
      </c>
      <c r="AD111" s="177"/>
      <c r="AG111" s="178"/>
      <c r="AL111" s="177"/>
      <c r="AO111" s="178"/>
      <c r="AP111" s="177"/>
      <c r="AS111" s="178"/>
      <c r="AW111" s="178"/>
      <c r="BA111" s="179"/>
    </row>
    <row r="112" spans="1:53" s="170" customFormat="1" x14ac:dyDescent="0.15">
      <c r="A112" s="170">
        <v>2010</v>
      </c>
      <c r="B112" s="281"/>
      <c r="C112" s="395" t="s">
        <v>649</v>
      </c>
      <c r="D112" s="395"/>
      <c r="E112" s="170">
        <v>365</v>
      </c>
      <c r="G112" s="232">
        <v>20</v>
      </c>
      <c r="H112" s="170">
        <v>0</v>
      </c>
      <c r="I112" s="170">
        <v>0</v>
      </c>
      <c r="J112" s="240">
        <v>20</v>
      </c>
      <c r="K112" s="213">
        <f t="shared" si="4"/>
        <v>100</v>
      </c>
      <c r="L112" s="213">
        <f t="shared" si="4"/>
        <v>0</v>
      </c>
      <c r="M112" s="213">
        <f t="shared" si="4"/>
        <v>0</v>
      </c>
      <c r="N112" s="234">
        <f t="shared" si="5"/>
        <v>100</v>
      </c>
      <c r="O112" s="212">
        <v>47.5</v>
      </c>
      <c r="P112" s="213"/>
      <c r="Q112" s="213"/>
      <c r="R112" s="214">
        <f t="shared" si="6"/>
        <v>47.5</v>
      </c>
      <c r="S112" s="170">
        <v>4</v>
      </c>
      <c r="T112" s="283"/>
      <c r="U112" s="281"/>
      <c r="V112" s="177" t="s">
        <v>452</v>
      </c>
      <c r="W112" s="170" t="s">
        <v>74</v>
      </c>
      <c r="X112" s="170" t="s">
        <v>11</v>
      </c>
      <c r="Y112" s="178">
        <v>47.5</v>
      </c>
      <c r="AD112" s="177"/>
      <c r="AG112" s="178"/>
      <c r="AL112" s="177"/>
      <c r="AO112" s="178"/>
      <c r="AP112" s="177"/>
      <c r="AS112" s="178"/>
      <c r="AW112" s="178"/>
      <c r="BA112" s="179"/>
    </row>
    <row r="113" spans="1:53" s="170" customFormat="1" x14ac:dyDescent="0.15">
      <c r="A113" s="170">
        <v>2011</v>
      </c>
      <c r="B113" s="281"/>
      <c r="C113" s="395" t="s">
        <v>649</v>
      </c>
      <c r="D113" s="395"/>
      <c r="E113" s="170">
        <v>347</v>
      </c>
      <c r="G113" s="232">
        <v>20</v>
      </c>
      <c r="H113" s="170">
        <v>0</v>
      </c>
      <c r="I113" s="170">
        <v>0</v>
      </c>
      <c r="J113" s="240">
        <v>20</v>
      </c>
      <c r="K113" s="213">
        <f t="shared" si="4"/>
        <v>100</v>
      </c>
      <c r="L113" s="213">
        <f t="shared" si="4"/>
        <v>0</v>
      </c>
      <c r="M113" s="213">
        <f t="shared" si="4"/>
        <v>0</v>
      </c>
      <c r="N113" s="234">
        <f t="shared" si="5"/>
        <v>100</v>
      </c>
      <c r="O113" s="212">
        <v>47.5</v>
      </c>
      <c r="P113" s="213"/>
      <c r="Q113" s="213"/>
      <c r="R113" s="214">
        <f t="shared" si="6"/>
        <v>47.5</v>
      </c>
      <c r="S113" s="170">
        <v>4</v>
      </c>
      <c r="T113" s="283"/>
      <c r="U113" s="281"/>
      <c r="V113" s="177" t="s">
        <v>452</v>
      </c>
      <c r="W113" s="170" t="s">
        <v>74</v>
      </c>
      <c r="X113" s="170" t="s">
        <v>11</v>
      </c>
      <c r="Y113" s="178">
        <v>47.5</v>
      </c>
      <c r="AD113" s="177"/>
      <c r="AG113" s="178"/>
      <c r="AL113" s="177"/>
      <c r="AO113" s="178"/>
      <c r="AP113" s="177"/>
      <c r="AS113" s="178"/>
      <c r="AW113" s="178"/>
      <c r="BA113" s="179"/>
    </row>
    <row r="114" spans="1:53" s="28" customFormat="1" x14ac:dyDescent="0.15">
      <c r="A114" s="28">
        <v>2011</v>
      </c>
      <c r="B114" s="293">
        <v>40891</v>
      </c>
      <c r="C114" s="394" t="s">
        <v>650</v>
      </c>
      <c r="D114" s="394"/>
      <c r="E114" s="28">
        <v>18</v>
      </c>
      <c r="F114" s="28">
        <v>1</v>
      </c>
      <c r="G114" s="65">
        <v>20</v>
      </c>
      <c r="H114" s="28">
        <v>0</v>
      </c>
      <c r="I114" s="28">
        <v>0</v>
      </c>
      <c r="J114" s="72">
        <v>20</v>
      </c>
      <c r="K114" s="46">
        <f t="shared" si="4"/>
        <v>100</v>
      </c>
      <c r="L114" s="46">
        <f t="shared" si="4"/>
        <v>0</v>
      </c>
      <c r="M114" s="46">
        <f t="shared" si="4"/>
        <v>0</v>
      </c>
      <c r="N114" s="67">
        <f t="shared" si="5"/>
        <v>100</v>
      </c>
      <c r="O114" s="45">
        <v>48.76</v>
      </c>
      <c r="P114" s="46"/>
      <c r="Q114" s="46"/>
      <c r="R114" s="47">
        <f t="shared" si="6"/>
        <v>48.76</v>
      </c>
      <c r="S114" s="28">
        <v>4</v>
      </c>
      <c r="T114" s="284">
        <v>40873</v>
      </c>
      <c r="U114" s="293">
        <v>40891</v>
      </c>
      <c r="V114" s="37" t="s">
        <v>452</v>
      </c>
      <c r="W114" s="28" t="s">
        <v>74</v>
      </c>
      <c r="X114" s="28" t="s">
        <v>11</v>
      </c>
      <c r="Y114" s="38">
        <v>48.8</v>
      </c>
      <c r="AD114" s="37"/>
      <c r="AG114" s="38"/>
      <c r="AL114" s="37"/>
      <c r="AO114" s="38"/>
      <c r="AP114" s="37"/>
      <c r="AS114" s="38"/>
      <c r="AW114" s="38"/>
      <c r="BA114" s="39"/>
    </row>
    <row r="115" spans="1:53" s="28" customFormat="1" x14ac:dyDescent="0.15">
      <c r="A115" s="28">
        <v>2012</v>
      </c>
      <c r="B115" s="293"/>
      <c r="C115" s="394" t="s">
        <v>650</v>
      </c>
      <c r="D115" s="394"/>
      <c r="E115" s="28">
        <v>0</v>
      </c>
      <c r="G115" s="65">
        <v>20</v>
      </c>
      <c r="H115" s="28">
        <v>0</v>
      </c>
      <c r="I115" s="28">
        <v>0</v>
      </c>
      <c r="J115" s="72">
        <v>20</v>
      </c>
      <c r="K115" s="46">
        <f t="shared" si="4"/>
        <v>100</v>
      </c>
      <c r="L115" s="46">
        <f t="shared" si="4"/>
        <v>0</v>
      </c>
      <c r="M115" s="46">
        <f t="shared" si="4"/>
        <v>0</v>
      </c>
      <c r="N115" s="67">
        <f t="shared" si="5"/>
        <v>100</v>
      </c>
      <c r="O115" s="45">
        <v>48.76</v>
      </c>
      <c r="P115" s="46"/>
      <c r="Q115" s="46"/>
      <c r="R115" s="47">
        <f t="shared" si="6"/>
        <v>48.76</v>
      </c>
      <c r="S115" s="28">
        <v>4</v>
      </c>
      <c r="T115" s="284"/>
      <c r="U115" s="293"/>
      <c r="V115" s="37" t="s">
        <v>452</v>
      </c>
      <c r="W115" s="28" t="s">
        <v>74</v>
      </c>
      <c r="X115" s="28" t="s">
        <v>11</v>
      </c>
      <c r="Y115" s="38">
        <v>48.8</v>
      </c>
      <c r="AD115" s="37"/>
      <c r="AG115" s="38"/>
      <c r="AL115" s="37"/>
      <c r="AO115" s="38"/>
      <c r="AP115" s="37"/>
      <c r="AS115" s="38"/>
      <c r="AW115" s="38"/>
      <c r="BA115" s="39"/>
    </row>
    <row r="116" spans="1:53" s="28" customFormat="1" x14ac:dyDescent="0.15">
      <c r="A116" s="28">
        <v>2012</v>
      </c>
      <c r="B116" s="293"/>
      <c r="C116" s="394" t="s">
        <v>650</v>
      </c>
      <c r="D116" s="394"/>
      <c r="E116" s="28">
        <v>366</v>
      </c>
      <c r="G116" s="65">
        <v>20</v>
      </c>
      <c r="H116" s="28">
        <v>0</v>
      </c>
      <c r="I116" s="28">
        <v>0</v>
      </c>
      <c r="J116" s="72">
        <v>20</v>
      </c>
      <c r="K116" s="46">
        <f t="shared" si="4"/>
        <v>100</v>
      </c>
      <c r="L116" s="46">
        <f t="shared" si="4"/>
        <v>0</v>
      </c>
      <c r="M116" s="46">
        <f t="shared" si="4"/>
        <v>0</v>
      </c>
      <c r="N116" s="67">
        <f t="shared" si="5"/>
        <v>100</v>
      </c>
      <c r="O116" s="45">
        <v>48.76</v>
      </c>
      <c r="P116" s="46"/>
      <c r="Q116" s="46"/>
      <c r="R116" s="47">
        <f t="shared" si="6"/>
        <v>48.76</v>
      </c>
      <c r="S116" s="28">
        <v>4</v>
      </c>
      <c r="T116" s="284"/>
      <c r="U116" s="293"/>
      <c r="V116" s="37" t="s">
        <v>452</v>
      </c>
      <c r="W116" s="28" t="s">
        <v>74</v>
      </c>
      <c r="X116" s="28" t="s">
        <v>11</v>
      </c>
      <c r="Y116" s="38">
        <v>48.8</v>
      </c>
      <c r="AD116" s="37"/>
      <c r="AG116" s="38"/>
      <c r="AL116" s="37"/>
      <c r="AO116" s="38"/>
      <c r="AP116" s="37"/>
      <c r="AS116" s="38"/>
      <c r="AW116" s="38"/>
      <c r="BA116" s="39"/>
    </row>
    <row r="117" spans="1:53" s="28" customFormat="1" x14ac:dyDescent="0.15">
      <c r="A117" s="28">
        <v>2013</v>
      </c>
      <c r="B117" s="293"/>
      <c r="C117" s="394" t="s">
        <v>650</v>
      </c>
      <c r="D117" s="394"/>
      <c r="E117" s="28">
        <v>0</v>
      </c>
      <c r="G117" s="65">
        <v>20</v>
      </c>
      <c r="H117" s="28">
        <v>0</v>
      </c>
      <c r="I117" s="28">
        <v>0</v>
      </c>
      <c r="J117" s="72">
        <v>20</v>
      </c>
      <c r="K117" s="46">
        <f t="shared" si="4"/>
        <v>100</v>
      </c>
      <c r="L117" s="46">
        <f t="shared" si="4"/>
        <v>0</v>
      </c>
      <c r="M117" s="46">
        <f t="shared" si="4"/>
        <v>0</v>
      </c>
      <c r="N117" s="67">
        <f t="shared" si="5"/>
        <v>100</v>
      </c>
      <c r="O117" s="45">
        <v>48.76</v>
      </c>
      <c r="P117" s="46"/>
      <c r="Q117" s="46"/>
      <c r="R117" s="47">
        <f>O117+P117+Q117</f>
        <v>48.76</v>
      </c>
      <c r="S117" s="28">
        <v>4</v>
      </c>
      <c r="T117" s="284"/>
      <c r="U117" s="293"/>
      <c r="V117" s="37" t="s">
        <v>452</v>
      </c>
      <c r="W117" s="28" t="s">
        <v>74</v>
      </c>
      <c r="X117" s="28" t="s">
        <v>11</v>
      </c>
      <c r="Y117" s="38">
        <v>48.8</v>
      </c>
      <c r="AD117" s="37"/>
      <c r="AG117" s="38"/>
      <c r="AL117" s="37"/>
      <c r="AO117" s="38"/>
      <c r="AP117" s="37"/>
      <c r="AS117" s="38"/>
      <c r="AW117" s="38"/>
      <c r="BA117" s="39"/>
    </row>
    <row r="118" spans="1:53" s="28" customFormat="1" x14ac:dyDescent="0.15">
      <c r="A118" s="28">
        <v>2013</v>
      </c>
      <c r="B118" s="293"/>
      <c r="C118" s="394" t="s">
        <v>650</v>
      </c>
      <c r="D118" s="394"/>
      <c r="E118" s="28">
        <v>365</v>
      </c>
      <c r="G118" s="65">
        <v>20</v>
      </c>
      <c r="H118" s="28">
        <v>0</v>
      </c>
      <c r="I118" s="28">
        <v>0</v>
      </c>
      <c r="J118" s="72">
        <v>20</v>
      </c>
      <c r="K118" s="46">
        <f t="shared" si="4"/>
        <v>100</v>
      </c>
      <c r="L118" s="46">
        <f t="shared" si="4"/>
        <v>0</v>
      </c>
      <c r="M118" s="46">
        <f t="shared" si="4"/>
        <v>0</v>
      </c>
      <c r="N118" s="67">
        <f t="shared" si="5"/>
        <v>100</v>
      </c>
      <c r="O118" s="45">
        <v>48.76</v>
      </c>
      <c r="P118" s="46"/>
      <c r="Q118" s="46"/>
      <c r="R118" s="47">
        <f>O118+P118+Q118</f>
        <v>48.76</v>
      </c>
      <c r="S118" s="28">
        <v>4</v>
      </c>
      <c r="T118" s="284"/>
      <c r="U118" s="293"/>
      <c r="V118" s="37" t="s">
        <v>452</v>
      </c>
      <c r="W118" s="28" t="s">
        <v>74</v>
      </c>
      <c r="X118" s="28" t="s">
        <v>11</v>
      </c>
      <c r="Y118" s="38">
        <v>48.8</v>
      </c>
      <c r="AD118" s="37"/>
      <c r="AG118" s="38"/>
      <c r="AL118" s="37"/>
      <c r="AO118" s="38"/>
      <c r="AP118" s="37"/>
      <c r="AS118" s="38"/>
      <c r="AW118" s="38"/>
      <c r="BA118" s="39"/>
    </row>
    <row r="119" spans="1:53" s="28" customFormat="1" x14ac:dyDescent="0.15">
      <c r="A119" s="28">
        <v>2014</v>
      </c>
      <c r="B119" s="293"/>
      <c r="C119" s="394" t="s">
        <v>650</v>
      </c>
      <c r="D119" s="394"/>
      <c r="E119" s="28">
        <v>241</v>
      </c>
      <c r="G119" s="65">
        <v>20</v>
      </c>
      <c r="H119" s="28">
        <v>0</v>
      </c>
      <c r="I119" s="28">
        <v>0</v>
      </c>
      <c r="J119" s="72">
        <v>20</v>
      </c>
      <c r="K119" s="46">
        <f t="shared" ref="K119:M121" si="7">G119/$J119*100</f>
        <v>100</v>
      </c>
      <c r="L119" s="46">
        <f t="shared" si="7"/>
        <v>0</v>
      </c>
      <c r="M119" s="46">
        <f t="shared" si="7"/>
        <v>0</v>
      </c>
      <c r="N119" s="67">
        <f>K119+L119+M119</f>
        <v>100</v>
      </c>
      <c r="O119" s="45">
        <v>48.76</v>
      </c>
      <c r="P119" s="46"/>
      <c r="Q119" s="46"/>
      <c r="R119" s="47">
        <f>O119+P119+Q119</f>
        <v>48.76</v>
      </c>
      <c r="S119" s="28">
        <v>4</v>
      </c>
      <c r="T119" s="284"/>
      <c r="U119" s="293"/>
      <c r="V119" s="37" t="s">
        <v>452</v>
      </c>
      <c r="W119" s="28" t="s">
        <v>74</v>
      </c>
      <c r="X119" s="28" t="s">
        <v>11</v>
      </c>
      <c r="Y119" s="38">
        <v>48.8</v>
      </c>
      <c r="AD119" s="37"/>
      <c r="AG119" s="38"/>
      <c r="AL119" s="37"/>
      <c r="AO119" s="38"/>
      <c r="AP119" s="37"/>
      <c r="AS119" s="38"/>
      <c r="AW119" s="38"/>
      <c r="BA119" s="39"/>
    </row>
    <row r="120" spans="1:53" s="28" customFormat="1" x14ac:dyDescent="0.15">
      <c r="A120" s="28">
        <v>2014</v>
      </c>
      <c r="B120" s="301">
        <v>41881</v>
      </c>
      <c r="C120" s="394" t="s">
        <v>650</v>
      </c>
      <c r="D120" s="394"/>
      <c r="E120" s="28">
        <v>39</v>
      </c>
      <c r="F120" s="83">
        <v>0</v>
      </c>
      <c r="G120" s="65">
        <v>19</v>
      </c>
      <c r="H120" s="28">
        <v>0</v>
      </c>
      <c r="I120" s="28">
        <v>0</v>
      </c>
      <c r="J120" s="72">
        <v>19</v>
      </c>
      <c r="K120" s="46">
        <f t="shared" si="7"/>
        <v>100</v>
      </c>
      <c r="L120" s="46">
        <f t="shared" si="7"/>
        <v>0</v>
      </c>
      <c r="M120" s="46">
        <f t="shared" si="7"/>
        <v>0</v>
      </c>
      <c r="N120" s="67">
        <f>K120+L120+M120</f>
        <v>100</v>
      </c>
      <c r="O120" s="45">
        <v>48.76</v>
      </c>
      <c r="P120" s="46"/>
      <c r="Q120" s="46"/>
      <c r="R120" s="47">
        <f>O120+P120+Q120</f>
        <v>48.76</v>
      </c>
      <c r="S120" s="28">
        <v>4</v>
      </c>
      <c r="T120" s="284"/>
      <c r="U120" s="293"/>
      <c r="V120" s="37" t="s">
        <v>452</v>
      </c>
      <c r="W120" s="28" t="s">
        <v>74</v>
      </c>
      <c r="X120" s="28" t="s">
        <v>11</v>
      </c>
      <c r="Y120" s="38">
        <v>48.8</v>
      </c>
      <c r="AD120" s="37"/>
      <c r="AG120" s="38"/>
      <c r="AL120" s="37"/>
      <c r="AO120" s="38"/>
      <c r="AP120" s="37"/>
      <c r="AS120" s="38"/>
      <c r="AW120" s="38"/>
      <c r="BA120" s="39"/>
    </row>
    <row r="121" spans="1:53" s="170" customFormat="1" x14ac:dyDescent="0.15">
      <c r="A121" s="170">
        <v>2014</v>
      </c>
      <c r="B121" s="281">
        <v>41920</v>
      </c>
      <c r="C121" s="395" t="s">
        <v>1297</v>
      </c>
      <c r="D121" s="395"/>
      <c r="E121" s="170">
        <v>85</v>
      </c>
      <c r="F121" s="170">
        <v>1</v>
      </c>
      <c r="G121" s="232">
        <v>20</v>
      </c>
      <c r="H121" s="170">
        <v>0</v>
      </c>
      <c r="I121" s="170">
        <v>0</v>
      </c>
      <c r="J121" s="240">
        <v>20</v>
      </c>
      <c r="K121" s="213">
        <f t="shared" si="7"/>
        <v>100</v>
      </c>
      <c r="L121" s="213">
        <f t="shared" si="7"/>
        <v>0</v>
      </c>
      <c r="M121" s="213">
        <f t="shared" si="7"/>
        <v>0</v>
      </c>
      <c r="N121" s="234">
        <f>K121+L121+M121</f>
        <v>100</v>
      </c>
      <c r="O121" s="212">
        <v>49.6</v>
      </c>
      <c r="P121" s="213"/>
      <c r="Q121" s="213"/>
      <c r="R121" s="214">
        <f>O121+P121+Q121</f>
        <v>49.6</v>
      </c>
      <c r="S121" s="170">
        <v>4</v>
      </c>
      <c r="T121" s="283">
        <v>41902</v>
      </c>
      <c r="U121" s="281">
        <v>41920</v>
      </c>
      <c r="V121" s="177" t="s">
        <v>452</v>
      </c>
      <c r="W121" s="170" t="s">
        <v>74</v>
      </c>
      <c r="X121" s="170" t="s">
        <v>11</v>
      </c>
      <c r="Y121" s="178">
        <v>49.6</v>
      </c>
      <c r="AD121" s="177"/>
      <c r="AG121" s="178"/>
      <c r="AL121" s="177"/>
      <c r="AO121" s="178"/>
      <c r="AP121" s="177"/>
      <c r="AS121" s="178"/>
      <c r="AW121" s="178"/>
      <c r="BA121" s="179"/>
    </row>
    <row r="122" spans="1:53" s="170" customFormat="1" x14ac:dyDescent="0.15">
      <c r="A122" s="170">
        <v>2015</v>
      </c>
      <c r="B122" s="281"/>
      <c r="C122" s="395" t="s">
        <v>1297</v>
      </c>
      <c r="D122" s="395"/>
      <c r="E122" s="170">
        <v>0</v>
      </c>
      <c r="G122" s="232">
        <v>20</v>
      </c>
      <c r="H122" s="170">
        <v>0</v>
      </c>
      <c r="I122" s="170">
        <v>0</v>
      </c>
      <c r="J122" s="240">
        <v>20</v>
      </c>
      <c r="K122" s="213">
        <f t="shared" ref="K122:K123" si="8">G122/$J122*100</f>
        <v>100</v>
      </c>
      <c r="L122" s="213">
        <f t="shared" ref="L122:L123" si="9">H122/$J122*100</f>
        <v>0</v>
      </c>
      <c r="M122" s="213">
        <f t="shared" ref="M122:M123" si="10">I122/$J122*100</f>
        <v>0</v>
      </c>
      <c r="N122" s="234">
        <f t="shared" ref="N122:N123" si="11">K122+L122+M122</f>
        <v>100</v>
      </c>
      <c r="O122" s="212">
        <v>49.6</v>
      </c>
      <c r="P122" s="213"/>
      <c r="Q122" s="213"/>
      <c r="R122" s="214">
        <f t="shared" ref="R122:R123" si="12">O122+P122+Q122</f>
        <v>49.6</v>
      </c>
      <c r="S122" s="170">
        <v>4</v>
      </c>
      <c r="T122" s="283"/>
      <c r="U122" s="281"/>
      <c r="V122" s="177" t="s">
        <v>452</v>
      </c>
      <c r="W122" s="170" t="s">
        <v>74</v>
      </c>
      <c r="X122" s="170" t="s">
        <v>11</v>
      </c>
      <c r="Y122" s="178">
        <v>49.6</v>
      </c>
      <c r="AD122" s="177"/>
      <c r="AG122" s="178"/>
      <c r="AL122" s="177"/>
      <c r="AO122" s="178"/>
      <c r="AP122" s="177"/>
      <c r="AS122" s="178"/>
      <c r="AW122" s="178"/>
      <c r="BA122" s="179"/>
    </row>
    <row r="123" spans="1:53" s="170" customFormat="1" x14ac:dyDescent="0.15">
      <c r="A123" s="170">
        <v>2015</v>
      </c>
      <c r="B123" s="281"/>
      <c r="C123" s="395" t="s">
        <v>1297</v>
      </c>
      <c r="D123" s="395"/>
      <c r="E123" s="170">
        <v>365</v>
      </c>
      <c r="G123" s="232">
        <v>20</v>
      </c>
      <c r="H123" s="170">
        <v>0</v>
      </c>
      <c r="I123" s="170">
        <v>0</v>
      </c>
      <c r="J123" s="240">
        <v>20</v>
      </c>
      <c r="K123" s="213">
        <f t="shared" si="8"/>
        <v>100</v>
      </c>
      <c r="L123" s="213">
        <f t="shared" si="9"/>
        <v>0</v>
      </c>
      <c r="M123" s="213">
        <f t="shared" si="10"/>
        <v>0</v>
      </c>
      <c r="N123" s="234">
        <f t="shared" si="11"/>
        <v>100</v>
      </c>
      <c r="O123" s="212">
        <v>49.6</v>
      </c>
      <c r="P123" s="213"/>
      <c r="Q123" s="213"/>
      <c r="R123" s="214">
        <f t="shared" si="12"/>
        <v>49.6</v>
      </c>
      <c r="S123" s="170">
        <v>4</v>
      </c>
      <c r="T123" s="283"/>
      <c r="U123" s="281"/>
      <c r="V123" s="177" t="s">
        <v>452</v>
      </c>
      <c r="W123" s="170" t="s">
        <v>74</v>
      </c>
      <c r="X123" s="170" t="s">
        <v>11</v>
      </c>
      <c r="Y123" s="178">
        <v>49.6</v>
      </c>
      <c r="AD123" s="177"/>
      <c r="AG123" s="178"/>
      <c r="AL123" s="177"/>
      <c r="AO123" s="178"/>
      <c r="AP123" s="177"/>
      <c r="AS123" s="178"/>
      <c r="AW123" s="178"/>
      <c r="BA123" s="179"/>
    </row>
    <row r="124" spans="1:53" s="170" customFormat="1" x14ac:dyDescent="0.15">
      <c r="A124" s="170">
        <v>2016</v>
      </c>
      <c r="B124" s="281"/>
      <c r="C124" s="395" t="s">
        <v>1297</v>
      </c>
      <c r="D124" s="395"/>
      <c r="E124" s="170">
        <v>352</v>
      </c>
      <c r="G124" s="232">
        <v>20</v>
      </c>
      <c r="H124" s="170">
        <v>0</v>
      </c>
      <c r="I124" s="170">
        <v>0</v>
      </c>
      <c r="J124" s="240">
        <v>20</v>
      </c>
      <c r="K124" s="213">
        <f t="shared" ref="K124:K125" si="13">G124/$J124*100</f>
        <v>100</v>
      </c>
      <c r="L124" s="213">
        <f t="shared" ref="L124:L125" si="14">H124/$J124*100</f>
        <v>0</v>
      </c>
      <c r="M124" s="213">
        <f t="shared" ref="M124:M125" si="15">I124/$J124*100</f>
        <v>0</v>
      </c>
      <c r="N124" s="234">
        <f t="shared" ref="N124:N125" si="16">K124+L124+M124</f>
        <v>100</v>
      </c>
      <c r="O124" s="212">
        <v>49.6</v>
      </c>
      <c r="P124" s="213"/>
      <c r="Q124" s="213"/>
      <c r="R124" s="214">
        <f t="shared" ref="R124:R125" si="17">O124+P124+Q124</f>
        <v>49.6</v>
      </c>
      <c r="S124" s="170">
        <v>4</v>
      </c>
      <c r="T124" s="283"/>
      <c r="U124" s="281"/>
      <c r="V124" s="177" t="s">
        <v>452</v>
      </c>
      <c r="W124" s="170" t="s">
        <v>74</v>
      </c>
      <c r="X124" s="170" t="s">
        <v>11</v>
      </c>
      <c r="Y124" s="178">
        <v>49.6</v>
      </c>
      <c r="AD124" s="177"/>
      <c r="AG124" s="178"/>
      <c r="AL124" s="177"/>
      <c r="AO124" s="178"/>
      <c r="AP124" s="177"/>
      <c r="AS124" s="178"/>
      <c r="AW124" s="178"/>
      <c r="BA124" s="179"/>
    </row>
    <row r="125" spans="1:53" s="28" customFormat="1" x14ac:dyDescent="0.15">
      <c r="A125" s="28">
        <v>2016</v>
      </c>
      <c r="B125" s="293">
        <v>42722</v>
      </c>
      <c r="C125" s="394" t="s">
        <v>1346</v>
      </c>
      <c r="D125" s="394"/>
      <c r="E125" s="28">
        <v>14</v>
      </c>
      <c r="F125" s="28">
        <v>2</v>
      </c>
      <c r="G125" s="65">
        <v>20</v>
      </c>
      <c r="H125" s="28">
        <v>0</v>
      </c>
      <c r="I125" s="28">
        <v>0</v>
      </c>
      <c r="J125" s="72">
        <v>20</v>
      </c>
      <c r="K125" s="46">
        <f t="shared" si="13"/>
        <v>100</v>
      </c>
      <c r="L125" s="46">
        <f t="shared" si="14"/>
        <v>0</v>
      </c>
      <c r="M125" s="46">
        <f t="shared" si="15"/>
        <v>0</v>
      </c>
      <c r="N125" s="67">
        <f t="shared" si="16"/>
        <v>100</v>
      </c>
      <c r="O125" s="45">
        <v>48.8</v>
      </c>
      <c r="P125" s="46"/>
      <c r="Q125" s="46"/>
      <c r="R125" s="47">
        <f t="shared" si="17"/>
        <v>48.8</v>
      </c>
      <c r="S125" s="28">
        <v>4</v>
      </c>
      <c r="T125" s="284"/>
      <c r="U125" s="293">
        <v>42722</v>
      </c>
      <c r="V125" s="37" t="s">
        <v>452</v>
      </c>
      <c r="W125" s="28" t="s">
        <v>74</v>
      </c>
      <c r="X125" s="28" t="s">
        <v>11</v>
      </c>
      <c r="Y125" s="38">
        <v>48.8</v>
      </c>
      <c r="AD125" s="37"/>
      <c r="AG125" s="38"/>
      <c r="AL125" s="37"/>
      <c r="AO125" s="38"/>
      <c r="AP125" s="37"/>
      <c r="AS125" s="38"/>
      <c r="AW125" s="38"/>
      <c r="BA125" s="39"/>
    </row>
    <row r="126" spans="1:53" s="28" customFormat="1" x14ac:dyDescent="0.15">
      <c r="A126" s="28">
        <v>2017</v>
      </c>
      <c r="B126" s="293"/>
      <c r="C126" s="394" t="s">
        <v>1346</v>
      </c>
      <c r="D126" s="394"/>
      <c r="E126" s="28">
        <v>298</v>
      </c>
      <c r="G126" s="65">
        <v>20</v>
      </c>
      <c r="H126" s="28">
        <v>0</v>
      </c>
      <c r="I126" s="28">
        <v>0</v>
      </c>
      <c r="J126" s="72">
        <v>20</v>
      </c>
      <c r="K126" s="46">
        <f t="shared" ref="K126:K127" si="18">G126/$J126*100</f>
        <v>100</v>
      </c>
      <c r="L126" s="46">
        <f t="shared" ref="L126:L127" si="19">H126/$J126*100</f>
        <v>0</v>
      </c>
      <c r="M126" s="46">
        <f t="shared" ref="M126:M127" si="20">I126/$J126*100</f>
        <v>0</v>
      </c>
      <c r="N126" s="67">
        <f t="shared" ref="N126:N127" si="21">K126+L126+M126</f>
        <v>100</v>
      </c>
      <c r="O126" s="45">
        <v>48.8</v>
      </c>
      <c r="P126" s="46"/>
      <c r="Q126" s="46"/>
      <c r="R126" s="47">
        <f t="shared" ref="R126:R127" si="22">O126+P126+Q126</f>
        <v>48.8</v>
      </c>
      <c r="S126" s="28">
        <v>4</v>
      </c>
      <c r="T126" s="284"/>
      <c r="U126" s="293"/>
      <c r="V126" s="37" t="s">
        <v>452</v>
      </c>
      <c r="W126" s="28" t="s">
        <v>74</v>
      </c>
      <c r="X126" s="28" t="s">
        <v>11</v>
      </c>
      <c r="Y126" s="38">
        <v>48.8</v>
      </c>
      <c r="AD126" s="37"/>
      <c r="AG126" s="38"/>
      <c r="AL126" s="37"/>
      <c r="AO126" s="38"/>
      <c r="AP126" s="37"/>
      <c r="AS126" s="38"/>
      <c r="AW126" s="38"/>
      <c r="BA126" s="39"/>
    </row>
    <row r="127" spans="1:53" s="170" customFormat="1" x14ac:dyDescent="0.15">
      <c r="A127" s="170">
        <v>2017</v>
      </c>
      <c r="B127" s="281">
        <v>43034</v>
      </c>
      <c r="C127" s="395" t="s">
        <v>1377</v>
      </c>
      <c r="D127" s="395"/>
      <c r="E127" s="170">
        <v>67</v>
      </c>
      <c r="F127" s="170">
        <v>1</v>
      </c>
      <c r="G127" s="232">
        <v>4</v>
      </c>
      <c r="H127" s="170">
        <v>0</v>
      </c>
      <c r="I127" s="170">
        <v>16</v>
      </c>
      <c r="J127" s="240">
        <v>20</v>
      </c>
      <c r="K127" s="213">
        <f t="shared" si="18"/>
        <v>20</v>
      </c>
      <c r="L127" s="213">
        <f t="shared" si="19"/>
        <v>0</v>
      </c>
      <c r="M127" s="213">
        <f t="shared" si="20"/>
        <v>80</v>
      </c>
      <c r="N127" s="234">
        <f t="shared" si="21"/>
        <v>100</v>
      </c>
      <c r="O127" s="212">
        <v>7.5</v>
      </c>
      <c r="P127" s="213"/>
      <c r="Q127" s="213">
        <v>38.299999999999997</v>
      </c>
      <c r="R127" s="214">
        <f t="shared" si="22"/>
        <v>45.8</v>
      </c>
      <c r="S127" s="170">
        <v>5</v>
      </c>
      <c r="T127" s="283">
        <v>43001</v>
      </c>
      <c r="U127" s="281">
        <v>43034</v>
      </c>
      <c r="V127" s="177" t="s">
        <v>451</v>
      </c>
      <c r="W127" s="170" t="s">
        <v>20</v>
      </c>
      <c r="X127" s="170" t="s">
        <v>12</v>
      </c>
      <c r="Y127" s="178">
        <v>38.299999999999997</v>
      </c>
      <c r="Z127" s="170" t="s">
        <v>453</v>
      </c>
      <c r="AA127" s="170" t="s">
        <v>76</v>
      </c>
      <c r="AB127" s="170" t="s">
        <v>11</v>
      </c>
      <c r="AC127" s="170">
        <v>7.5</v>
      </c>
      <c r="AD127" s="177"/>
      <c r="AG127" s="178"/>
      <c r="AL127" s="177"/>
      <c r="AO127" s="178"/>
      <c r="AP127" s="177"/>
      <c r="AS127" s="178"/>
      <c r="AW127" s="178"/>
      <c r="BA127" s="179"/>
    </row>
    <row r="128" spans="1:53" s="170" customFormat="1" x14ac:dyDescent="0.15">
      <c r="A128" s="170">
        <v>2018</v>
      </c>
      <c r="B128" s="281"/>
      <c r="C128" s="395" t="s">
        <v>1377</v>
      </c>
      <c r="D128" s="395"/>
      <c r="E128" s="170">
        <v>235</v>
      </c>
      <c r="G128" s="232">
        <v>4</v>
      </c>
      <c r="H128" s="170">
        <v>0</v>
      </c>
      <c r="I128" s="170">
        <v>16</v>
      </c>
      <c r="J128" s="240">
        <v>20</v>
      </c>
      <c r="K128" s="213">
        <f t="shared" ref="K128:K129" si="23">G128/$J128*100</f>
        <v>20</v>
      </c>
      <c r="L128" s="213">
        <f t="shared" ref="L128:L129" si="24">H128/$J128*100</f>
        <v>0</v>
      </c>
      <c r="M128" s="213">
        <f t="shared" ref="M128:M129" si="25">I128/$J128*100</f>
        <v>80</v>
      </c>
      <c r="N128" s="234">
        <f t="shared" ref="N128:N129" si="26">K128+L128+M128</f>
        <v>100</v>
      </c>
      <c r="O128" s="212">
        <v>7.5</v>
      </c>
      <c r="P128" s="213"/>
      <c r="Q128" s="213">
        <v>38.299999999999997</v>
      </c>
      <c r="R128" s="214">
        <f t="shared" ref="R128:R129" si="27">O128+P128+Q128</f>
        <v>45.8</v>
      </c>
      <c r="S128" s="170">
        <v>5</v>
      </c>
      <c r="T128" s="283"/>
      <c r="U128" s="281"/>
      <c r="V128" s="177" t="s">
        <v>451</v>
      </c>
      <c r="W128" s="170" t="s">
        <v>20</v>
      </c>
      <c r="X128" s="170" t="s">
        <v>12</v>
      </c>
      <c r="Y128" s="178">
        <v>38.299999999999997</v>
      </c>
      <c r="Z128" s="170" t="s">
        <v>453</v>
      </c>
      <c r="AA128" s="170" t="s">
        <v>76</v>
      </c>
      <c r="AB128" s="170" t="s">
        <v>11</v>
      </c>
      <c r="AC128" s="170">
        <v>7.5</v>
      </c>
      <c r="AD128" s="177"/>
      <c r="AG128" s="178"/>
      <c r="AL128" s="177"/>
      <c r="AO128" s="178"/>
      <c r="AP128" s="177"/>
      <c r="AS128" s="178"/>
      <c r="AW128" s="178"/>
      <c r="BA128" s="179"/>
    </row>
    <row r="129" spans="1:53" s="170" customFormat="1" x14ac:dyDescent="0.15">
      <c r="A129" s="170">
        <v>2018</v>
      </c>
      <c r="B129" s="303">
        <v>43336</v>
      </c>
      <c r="C129" s="395" t="s">
        <v>1377</v>
      </c>
      <c r="D129" s="395"/>
      <c r="E129" s="170">
        <v>130</v>
      </c>
      <c r="F129" s="243">
        <v>0</v>
      </c>
      <c r="G129" s="232">
        <v>4</v>
      </c>
      <c r="H129" s="170">
        <v>0</v>
      </c>
      <c r="I129" s="170">
        <v>15</v>
      </c>
      <c r="J129" s="240">
        <v>19</v>
      </c>
      <c r="K129" s="213">
        <f t="shared" si="23"/>
        <v>21.052631578947366</v>
      </c>
      <c r="L129" s="213">
        <f t="shared" si="24"/>
        <v>0</v>
      </c>
      <c r="M129" s="213">
        <f t="shared" si="25"/>
        <v>78.94736842105263</v>
      </c>
      <c r="N129" s="234">
        <f t="shared" si="26"/>
        <v>100</v>
      </c>
      <c r="O129" s="212">
        <v>7.5</v>
      </c>
      <c r="P129" s="213"/>
      <c r="Q129" s="213">
        <v>38.299999999999997</v>
      </c>
      <c r="R129" s="214">
        <f t="shared" si="27"/>
        <v>45.8</v>
      </c>
      <c r="S129" s="170">
        <v>5</v>
      </c>
      <c r="T129" s="283"/>
      <c r="U129" s="281"/>
      <c r="V129" s="177" t="s">
        <v>451</v>
      </c>
      <c r="W129" s="170" t="s">
        <v>20</v>
      </c>
      <c r="X129" s="170" t="s">
        <v>12</v>
      </c>
      <c r="Y129" s="178">
        <v>38.299999999999997</v>
      </c>
      <c r="Z129" s="170" t="s">
        <v>453</v>
      </c>
      <c r="AA129" s="170" t="s">
        <v>76</v>
      </c>
      <c r="AB129" s="170" t="s">
        <v>11</v>
      </c>
      <c r="AC129" s="170">
        <v>7.5</v>
      </c>
      <c r="AD129" s="177"/>
      <c r="AG129" s="178"/>
      <c r="AL129" s="177"/>
      <c r="AO129" s="178"/>
      <c r="AP129" s="177"/>
      <c r="AS129" s="178"/>
      <c r="AW129" s="178"/>
      <c r="BA129" s="179"/>
    </row>
    <row r="130" spans="1:53" s="170" customFormat="1" x14ac:dyDescent="0.15">
      <c r="A130" s="170">
        <v>2019</v>
      </c>
      <c r="B130" s="303"/>
      <c r="C130" s="395" t="s">
        <v>1377</v>
      </c>
      <c r="D130" s="395"/>
      <c r="E130" s="170">
        <v>177</v>
      </c>
      <c r="F130" s="243"/>
      <c r="G130" s="232">
        <v>4</v>
      </c>
      <c r="H130" s="170">
        <v>0</v>
      </c>
      <c r="I130" s="170">
        <v>15</v>
      </c>
      <c r="J130" s="240">
        <v>19</v>
      </c>
      <c r="K130" s="213">
        <f t="shared" ref="K130:K139" si="28">G130/$J130*100</f>
        <v>21.052631578947366</v>
      </c>
      <c r="L130" s="213">
        <f t="shared" ref="L130:L139" si="29">H130/$J130*100</f>
        <v>0</v>
      </c>
      <c r="M130" s="213">
        <f t="shared" ref="M130:M139" si="30">I130/$J130*100</f>
        <v>78.94736842105263</v>
      </c>
      <c r="N130" s="234">
        <f t="shared" ref="N130:N139" si="31">K130+L130+M130</f>
        <v>100</v>
      </c>
      <c r="O130" s="212">
        <v>7.5</v>
      </c>
      <c r="P130" s="213"/>
      <c r="Q130" s="213">
        <v>38.299999999999997</v>
      </c>
      <c r="R130" s="214">
        <f t="shared" ref="R130:R134" si="32">O130+P130+Q130</f>
        <v>45.8</v>
      </c>
      <c r="S130" s="170">
        <v>5</v>
      </c>
      <c r="T130" s="283"/>
      <c r="U130" s="281"/>
      <c r="V130" s="177" t="s">
        <v>451</v>
      </c>
      <c r="W130" s="170" t="s">
        <v>20</v>
      </c>
      <c r="X130" s="170" t="s">
        <v>12</v>
      </c>
      <c r="Y130" s="178">
        <v>38.299999999999997</v>
      </c>
      <c r="Z130" s="170" t="s">
        <v>453</v>
      </c>
      <c r="AA130" s="170" t="s">
        <v>76</v>
      </c>
      <c r="AB130" s="170" t="s">
        <v>11</v>
      </c>
      <c r="AC130" s="170">
        <v>7.5</v>
      </c>
      <c r="AD130" s="177"/>
      <c r="AG130" s="178"/>
      <c r="AL130" s="177"/>
      <c r="AO130" s="178"/>
      <c r="AP130" s="177"/>
      <c r="AS130" s="178"/>
      <c r="AW130" s="178"/>
      <c r="BA130" s="179"/>
    </row>
    <row r="131" spans="1:53" s="170" customFormat="1" x14ac:dyDescent="0.15">
      <c r="A131" s="170">
        <v>2019</v>
      </c>
      <c r="B131" s="303">
        <v>43643</v>
      </c>
      <c r="C131" s="395" t="s">
        <v>1377</v>
      </c>
      <c r="D131" s="395"/>
      <c r="E131" s="170">
        <v>188</v>
      </c>
      <c r="F131" s="246">
        <v>0</v>
      </c>
      <c r="G131" s="170">
        <v>4</v>
      </c>
      <c r="H131" s="170">
        <v>0</v>
      </c>
      <c r="I131" s="170">
        <v>16</v>
      </c>
      <c r="J131" s="240">
        <v>20</v>
      </c>
      <c r="K131" s="213">
        <f t="shared" si="28"/>
        <v>20</v>
      </c>
      <c r="L131" s="213">
        <f t="shared" si="29"/>
        <v>0</v>
      </c>
      <c r="M131" s="213">
        <f t="shared" si="30"/>
        <v>80</v>
      </c>
      <c r="N131" s="234">
        <f t="shared" si="31"/>
        <v>100</v>
      </c>
      <c r="O131" s="212">
        <v>7.5</v>
      </c>
      <c r="P131" s="213"/>
      <c r="Q131" s="213">
        <v>38.299999999999997</v>
      </c>
      <c r="R131" s="214">
        <f t="shared" si="32"/>
        <v>45.8</v>
      </c>
      <c r="S131" s="170">
        <v>5</v>
      </c>
      <c r="T131" s="283"/>
      <c r="U131" s="281"/>
      <c r="V131" s="177" t="s">
        <v>451</v>
      </c>
      <c r="W131" s="170" t="s">
        <v>20</v>
      </c>
      <c r="X131" s="170" t="s">
        <v>12</v>
      </c>
      <c r="Y131" s="178">
        <v>38.299999999999997</v>
      </c>
      <c r="Z131" s="170" t="s">
        <v>453</v>
      </c>
      <c r="AA131" s="170" t="s">
        <v>76</v>
      </c>
      <c r="AB131" s="170" t="s">
        <v>11</v>
      </c>
      <c r="AC131" s="170">
        <v>7.5</v>
      </c>
      <c r="AD131" s="177"/>
      <c r="AG131" s="178"/>
      <c r="AK131" s="178"/>
      <c r="AO131" s="178"/>
      <c r="AS131" s="178"/>
      <c r="AW131" s="178"/>
      <c r="BA131" s="179"/>
    </row>
    <row r="132" spans="1:53" s="170" customFormat="1" x14ac:dyDescent="0.15">
      <c r="A132" s="170">
        <v>2020</v>
      </c>
      <c r="B132" s="303"/>
      <c r="C132" s="395" t="s">
        <v>1377</v>
      </c>
      <c r="D132" s="395"/>
      <c r="E132" s="170">
        <v>183</v>
      </c>
      <c r="F132" s="246"/>
      <c r="G132" s="170">
        <v>4</v>
      </c>
      <c r="H132" s="170">
        <v>0</v>
      </c>
      <c r="I132" s="170">
        <v>16</v>
      </c>
      <c r="J132" s="240">
        <v>20</v>
      </c>
      <c r="K132" s="213">
        <f t="shared" si="28"/>
        <v>20</v>
      </c>
      <c r="L132" s="213">
        <f t="shared" si="29"/>
        <v>0</v>
      </c>
      <c r="M132" s="213">
        <f t="shared" si="30"/>
        <v>80</v>
      </c>
      <c r="N132" s="214">
        <f t="shared" si="31"/>
        <v>100</v>
      </c>
      <c r="O132" s="213">
        <v>7.5</v>
      </c>
      <c r="P132" s="213"/>
      <c r="Q132" s="213">
        <v>38.299999999999997</v>
      </c>
      <c r="R132" s="214">
        <f t="shared" si="32"/>
        <v>45.8</v>
      </c>
      <c r="S132" s="189">
        <v>5</v>
      </c>
      <c r="T132" s="283"/>
      <c r="U132" s="296"/>
      <c r="V132" s="170" t="s">
        <v>451</v>
      </c>
      <c r="W132" s="170" t="s">
        <v>20</v>
      </c>
      <c r="X132" s="170" t="s">
        <v>12</v>
      </c>
      <c r="Y132" s="178">
        <v>38.299999999999997</v>
      </c>
      <c r="Z132" s="170" t="s">
        <v>453</v>
      </c>
      <c r="AA132" s="170" t="s">
        <v>76</v>
      </c>
      <c r="AB132" s="170" t="s">
        <v>11</v>
      </c>
      <c r="AC132" s="178">
        <v>7.5</v>
      </c>
      <c r="AG132" s="178"/>
      <c r="AK132" s="178"/>
      <c r="AO132" s="178"/>
      <c r="AS132" s="178"/>
      <c r="AW132" s="178"/>
      <c r="BA132" s="179"/>
    </row>
    <row r="133" spans="1:53" s="170" customFormat="1" x14ac:dyDescent="0.15">
      <c r="A133" s="170">
        <v>2020</v>
      </c>
      <c r="B133" s="303">
        <v>44014</v>
      </c>
      <c r="C133" s="395" t="s">
        <v>1377</v>
      </c>
      <c r="D133" s="395"/>
      <c r="E133" s="170">
        <v>20</v>
      </c>
      <c r="F133" s="246">
        <v>0</v>
      </c>
      <c r="G133" s="170">
        <v>4</v>
      </c>
      <c r="H133" s="170">
        <v>0</v>
      </c>
      <c r="I133" s="170">
        <v>15</v>
      </c>
      <c r="J133" s="240">
        <v>19</v>
      </c>
      <c r="K133" s="213">
        <f t="shared" si="28"/>
        <v>21.052631578947366</v>
      </c>
      <c r="L133" s="213">
        <f t="shared" si="29"/>
        <v>0</v>
      </c>
      <c r="M133" s="213">
        <f t="shared" si="30"/>
        <v>78.94736842105263</v>
      </c>
      <c r="N133" s="214">
        <f t="shared" si="31"/>
        <v>100</v>
      </c>
      <c r="O133" s="213">
        <v>7.5</v>
      </c>
      <c r="P133" s="213"/>
      <c r="Q133" s="213">
        <v>38.299999999999997</v>
      </c>
      <c r="R133" s="214">
        <f t="shared" si="32"/>
        <v>45.8</v>
      </c>
      <c r="S133" s="189">
        <v>5</v>
      </c>
      <c r="T133" s="283"/>
      <c r="U133" s="296"/>
      <c r="V133" s="170" t="s">
        <v>451</v>
      </c>
      <c r="W133" s="170" t="s">
        <v>20</v>
      </c>
      <c r="X133" s="170" t="s">
        <v>12</v>
      </c>
      <c r="Y133" s="178">
        <v>38.299999999999997</v>
      </c>
      <c r="Z133" s="170" t="s">
        <v>453</v>
      </c>
      <c r="AA133" s="170" t="s">
        <v>76</v>
      </c>
      <c r="AB133" s="170" t="s">
        <v>11</v>
      </c>
      <c r="AC133" s="178">
        <v>7.5</v>
      </c>
      <c r="AG133" s="178"/>
      <c r="AK133" s="178"/>
      <c r="AO133" s="178"/>
      <c r="AS133" s="178"/>
      <c r="AW133" s="178"/>
      <c r="BA133" s="179"/>
    </row>
    <row r="134" spans="1:53" s="170" customFormat="1" x14ac:dyDescent="0.15">
      <c r="A134" s="170">
        <v>2020</v>
      </c>
      <c r="B134" s="303">
        <v>44034</v>
      </c>
      <c r="C134" s="395" t="s">
        <v>1377</v>
      </c>
      <c r="D134" s="395"/>
      <c r="E134" s="170">
        <v>107</v>
      </c>
      <c r="F134" s="246">
        <v>0</v>
      </c>
      <c r="G134" s="170">
        <v>4</v>
      </c>
      <c r="H134" s="170">
        <v>0</v>
      </c>
      <c r="I134" s="170">
        <v>14</v>
      </c>
      <c r="J134" s="240">
        <v>18</v>
      </c>
      <c r="K134" s="213">
        <f>G134/$J134*100</f>
        <v>22.222222222222221</v>
      </c>
      <c r="L134" s="213">
        <f t="shared" si="29"/>
        <v>0</v>
      </c>
      <c r="M134" s="213">
        <f t="shared" si="30"/>
        <v>77.777777777777786</v>
      </c>
      <c r="N134" s="214">
        <f t="shared" si="31"/>
        <v>100</v>
      </c>
      <c r="O134" s="213">
        <v>7.5</v>
      </c>
      <c r="P134" s="213"/>
      <c r="Q134" s="213">
        <v>38.299999999999997</v>
      </c>
      <c r="R134" s="214">
        <f t="shared" si="32"/>
        <v>45.8</v>
      </c>
      <c r="S134" s="189">
        <v>5</v>
      </c>
      <c r="T134" s="283"/>
      <c r="U134" s="296"/>
      <c r="V134" s="170" t="s">
        <v>451</v>
      </c>
      <c r="W134" s="170" t="s">
        <v>20</v>
      </c>
      <c r="X134" s="170" t="s">
        <v>12</v>
      </c>
      <c r="Y134" s="178">
        <v>38.299999999999997</v>
      </c>
      <c r="Z134" s="170" t="s">
        <v>453</v>
      </c>
      <c r="AA134" s="170" t="s">
        <v>76</v>
      </c>
      <c r="AB134" s="170" t="s">
        <v>11</v>
      </c>
      <c r="AC134" s="178">
        <v>7.5</v>
      </c>
      <c r="AG134" s="178"/>
      <c r="AK134" s="178"/>
      <c r="AO134" s="178"/>
      <c r="AS134" s="178"/>
      <c r="AW134" s="178"/>
      <c r="BA134" s="179"/>
    </row>
    <row r="135" spans="1:53" s="28" customFormat="1" x14ac:dyDescent="0.15">
      <c r="A135" s="28">
        <v>2020</v>
      </c>
      <c r="B135" s="293">
        <v>44141</v>
      </c>
      <c r="C135" s="394" t="s">
        <v>1467</v>
      </c>
      <c r="D135" s="394"/>
      <c r="E135" s="28">
        <v>56</v>
      </c>
      <c r="F135" s="39">
        <v>1</v>
      </c>
      <c r="G135" s="28">
        <v>0</v>
      </c>
      <c r="H135" s="28">
        <v>0</v>
      </c>
      <c r="I135" s="28">
        <v>20</v>
      </c>
      <c r="J135" s="72">
        <v>20</v>
      </c>
      <c r="K135" s="46">
        <f t="shared" si="28"/>
        <v>0</v>
      </c>
      <c r="L135" s="46">
        <f t="shared" si="29"/>
        <v>0</v>
      </c>
      <c r="M135" s="46">
        <f t="shared" si="30"/>
        <v>100</v>
      </c>
      <c r="N135" s="47">
        <f t="shared" si="31"/>
        <v>100</v>
      </c>
      <c r="O135" s="46"/>
      <c r="P135" s="46"/>
      <c r="Q135" s="46">
        <v>54.2</v>
      </c>
      <c r="R135" s="47">
        <v>54.2</v>
      </c>
      <c r="S135" s="36">
        <v>1</v>
      </c>
      <c r="T135" s="284">
        <v>44121</v>
      </c>
      <c r="U135" s="290">
        <v>44141</v>
      </c>
      <c r="V135" s="28" t="s">
        <v>451</v>
      </c>
      <c r="W135" s="28" t="s">
        <v>20</v>
      </c>
      <c r="X135" s="28" t="s">
        <v>12</v>
      </c>
      <c r="Y135" s="38">
        <v>54.2</v>
      </c>
      <c r="AC135" s="38"/>
      <c r="AG135" s="38"/>
      <c r="AK135" s="38"/>
      <c r="AO135" s="38"/>
      <c r="AS135" s="38"/>
      <c r="AW135" s="38"/>
      <c r="BA135" s="39"/>
    </row>
    <row r="136" spans="1:53" s="28" customFormat="1" x14ac:dyDescent="0.15">
      <c r="A136" s="28">
        <v>2021</v>
      </c>
      <c r="B136" s="293"/>
      <c r="C136" s="394" t="s">
        <v>1467</v>
      </c>
      <c r="D136" s="394"/>
      <c r="E136" s="28">
        <v>0</v>
      </c>
      <c r="F136" s="39"/>
      <c r="G136" s="28">
        <v>0</v>
      </c>
      <c r="H136" s="28">
        <v>0</v>
      </c>
      <c r="I136" s="28">
        <v>20</v>
      </c>
      <c r="J136" s="72">
        <v>20</v>
      </c>
      <c r="K136" s="46">
        <f t="shared" si="28"/>
        <v>0</v>
      </c>
      <c r="L136" s="46">
        <f t="shared" si="29"/>
        <v>0</v>
      </c>
      <c r="M136" s="46">
        <f t="shared" si="30"/>
        <v>100</v>
      </c>
      <c r="N136" s="47">
        <f t="shared" si="31"/>
        <v>100</v>
      </c>
      <c r="O136" s="46"/>
      <c r="P136" s="46"/>
      <c r="Q136" s="46">
        <v>54.2</v>
      </c>
      <c r="R136" s="47">
        <v>54.2</v>
      </c>
      <c r="S136" s="36">
        <v>1</v>
      </c>
      <c r="T136" s="284"/>
      <c r="U136" s="290"/>
      <c r="V136" s="28" t="s">
        <v>451</v>
      </c>
      <c r="W136" s="28" t="s">
        <v>20</v>
      </c>
      <c r="X136" s="28" t="s">
        <v>12</v>
      </c>
      <c r="Y136" s="38">
        <v>54.2</v>
      </c>
      <c r="AC136" s="38"/>
      <c r="AG136" s="38"/>
      <c r="AK136" s="38"/>
      <c r="AO136" s="38"/>
      <c r="AS136" s="38"/>
      <c r="AW136" s="38"/>
      <c r="BA136" s="39"/>
    </row>
    <row r="137" spans="1:53" s="28" customFormat="1" x14ac:dyDescent="0.15">
      <c r="A137" s="28">
        <v>2021</v>
      </c>
      <c r="B137" s="293"/>
      <c r="C137" s="394" t="s">
        <v>1467</v>
      </c>
      <c r="D137" s="394"/>
      <c r="E137" s="28">
        <v>365</v>
      </c>
      <c r="F137" s="39"/>
      <c r="G137" s="28">
        <v>0</v>
      </c>
      <c r="H137" s="28">
        <v>0</v>
      </c>
      <c r="I137" s="28">
        <v>20</v>
      </c>
      <c r="J137" s="72">
        <v>20</v>
      </c>
      <c r="K137" s="46">
        <f t="shared" si="28"/>
        <v>0</v>
      </c>
      <c r="L137" s="46">
        <f t="shared" si="29"/>
        <v>0</v>
      </c>
      <c r="M137" s="46">
        <f t="shared" si="30"/>
        <v>100</v>
      </c>
      <c r="N137" s="47">
        <f t="shared" si="31"/>
        <v>100</v>
      </c>
      <c r="O137" s="46"/>
      <c r="P137" s="46"/>
      <c r="Q137" s="46">
        <v>54.2</v>
      </c>
      <c r="R137" s="47">
        <v>54.2</v>
      </c>
      <c r="S137" s="36">
        <v>1</v>
      </c>
      <c r="T137" s="284"/>
      <c r="U137" s="290"/>
      <c r="V137" s="28" t="s">
        <v>451</v>
      </c>
      <c r="W137" s="28" t="s">
        <v>20</v>
      </c>
      <c r="X137" s="28" t="s">
        <v>12</v>
      </c>
      <c r="Y137" s="38">
        <v>54.2</v>
      </c>
      <c r="AC137" s="38"/>
      <c r="AG137" s="38"/>
      <c r="AK137" s="38"/>
      <c r="AO137" s="38"/>
      <c r="AS137" s="38"/>
      <c r="AW137" s="38"/>
      <c r="BA137" s="39"/>
    </row>
    <row r="138" spans="1:53" s="28" customFormat="1" x14ac:dyDescent="0.15">
      <c r="A138" s="28">
        <v>2022</v>
      </c>
      <c r="B138" s="293"/>
      <c r="C138" s="394" t="s">
        <v>1467</v>
      </c>
      <c r="D138" s="394"/>
      <c r="E138" s="28">
        <v>0</v>
      </c>
      <c r="F138" s="39"/>
      <c r="G138" s="28">
        <v>0</v>
      </c>
      <c r="H138" s="28">
        <v>0</v>
      </c>
      <c r="I138" s="28">
        <v>20</v>
      </c>
      <c r="J138" s="72">
        <v>20</v>
      </c>
      <c r="K138" s="46">
        <f t="shared" si="28"/>
        <v>0</v>
      </c>
      <c r="L138" s="46">
        <f t="shared" si="29"/>
        <v>0</v>
      </c>
      <c r="M138" s="46">
        <f t="shared" si="30"/>
        <v>100</v>
      </c>
      <c r="N138" s="47">
        <f t="shared" si="31"/>
        <v>100</v>
      </c>
      <c r="O138" s="46"/>
      <c r="P138" s="46"/>
      <c r="Q138" s="46">
        <v>54.2</v>
      </c>
      <c r="R138" s="47">
        <v>54.2</v>
      </c>
      <c r="S138" s="36">
        <v>1</v>
      </c>
      <c r="T138" s="284"/>
      <c r="U138" s="290"/>
      <c r="V138" s="28" t="s">
        <v>451</v>
      </c>
      <c r="W138" s="28" t="s">
        <v>20</v>
      </c>
      <c r="X138" s="28" t="s">
        <v>12</v>
      </c>
      <c r="Y138" s="38">
        <v>54.2</v>
      </c>
      <c r="AC138" s="38"/>
      <c r="AG138" s="38"/>
      <c r="AK138" s="38"/>
      <c r="AO138" s="38"/>
      <c r="AS138" s="38"/>
      <c r="AW138" s="38"/>
      <c r="BA138" s="39"/>
    </row>
    <row r="139" spans="1:53" s="28" customFormat="1" x14ac:dyDescent="0.15">
      <c r="A139" s="28">
        <v>2022</v>
      </c>
      <c r="B139" s="298"/>
      <c r="C139" s="394" t="s">
        <v>1467</v>
      </c>
      <c r="D139" s="394"/>
      <c r="E139" s="28">
        <v>365</v>
      </c>
      <c r="F139" s="361"/>
      <c r="G139" s="28">
        <v>0</v>
      </c>
      <c r="H139" s="28">
        <v>0</v>
      </c>
      <c r="I139" s="28">
        <v>20</v>
      </c>
      <c r="J139" s="72">
        <v>20</v>
      </c>
      <c r="K139" s="46">
        <f t="shared" si="28"/>
        <v>0</v>
      </c>
      <c r="L139" s="46">
        <f t="shared" si="29"/>
        <v>0</v>
      </c>
      <c r="M139" s="46">
        <f t="shared" si="30"/>
        <v>100</v>
      </c>
      <c r="N139" s="47">
        <f t="shared" si="31"/>
        <v>100</v>
      </c>
      <c r="O139" s="46"/>
      <c r="P139" s="46"/>
      <c r="Q139" s="46">
        <v>54.2</v>
      </c>
      <c r="R139" s="47">
        <v>54.2</v>
      </c>
      <c r="S139" s="36">
        <v>1</v>
      </c>
      <c r="T139" s="284"/>
      <c r="U139" s="290"/>
      <c r="V139" s="28" t="s">
        <v>451</v>
      </c>
      <c r="W139" s="28" t="s">
        <v>20</v>
      </c>
      <c r="X139" s="28" t="s">
        <v>12</v>
      </c>
      <c r="Y139" s="38">
        <v>54.2</v>
      </c>
      <c r="AC139" s="38"/>
      <c r="AG139" s="38"/>
      <c r="AK139" s="38"/>
      <c r="AO139" s="38"/>
      <c r="AS139" s="38"/>
      <c r="AW139" s="38"/>
      <c r="BA139" s="39"/>
    </row>
    <row r="142" spans="1:53" ht="18" customHeight="1" x14ac:dyDescent="0.15">
      <c r="B142" s="15" t="s">
        <v>1262</v>
      </c>
      <c r="H142" s="4"/>
      <c r="O142" s="16"/>
    </row>
    <row r="143" spans="1:53" ht="9" customHeight="1" x14ac:dyDescent="0.15">
      <c r="H143" s="4"/>
    </row>
    <row r="144" spans="1:53" s="194" customFormat="1" ht="9" customHeight="1" x14ac:dyDescent="0.15">
      <c r="A144" s="192"/>
      <c r="B144" s="193" t="s">
        <v>1213</v>
      </c>
      <c r="C144" s="193"/>
      <c r="D144" s="193"/>
      <c r="E144" s="193"/>
      <c r="F144" s="193"/>
      <c r="G144" s="193" t="s">
        <v>1214</v>
      </c>
      <c r="H144" s="193"/>
      <c r="I144" s="193"/>
      <c r="J144" s="193"/>
      <c r="K144" s="193"/>
      <c r="L144" s="193"/>
      <c r="M144" s="193"/>
      <c r="N144" s="193"/>
      <c r="R144" s="386" t="s">
        <v>1215</v>
      </c>
      <c r="S144" s="386"/>
      <c r="T144" s="386"/>
      <c r="U144" s="386"/>
      <c r="V144" s="386"/>
      <c r="W144" s="386"/>
      <c r="X144" s="195"/>
      <c r="Y144" s="195"/>
      <c r="AA144" s="195"/>
      <c r="AB144" s="195"/>
      <c r="AC144" s="195"/>
      <c r="AD144" s="195"/>
    </row>
    <row r="145" spans="1:30" s="199" customFormat="1" ht="9" customHeight="1" x14ac:dyDescent="0.15">
      <c r="A145" s="196"/>
      <c r="B145" s="197" t="s">
        <v>1217</v>
      </c>
      <c r="C145" s="198"/>
      <c r="D145" s="198"/>
      <c r="E145" s="198"/>
      <c r="F145" s="198"/>
      <c r="G145" s="197" t="s">
        <v>1216</v>
      </c>
      <c r="H145" s="198"/>
      <c r="I145" s="198"/>
      <c r="J145" s="198"/>
      <c r="K145" s="198"/>
      <c r="L145" s="198"/>
      <c r="M145" s="198"/>
      <c r="N145" s="198"/>
      <c r="R145" s="200" t="s">
        <v>1218</v>
      </c>
      <c r="S145" s="201"/>
      <c r="T145" s="202"/>
      <c r="U145" s="202"/>
      <c r="V145" s="202"/>
      <c r="W145" s="200" t="s">
        <v>1219</v>
      </c>
      <c r="X145" s="202"/>
      <c r="Y145" s="202"/>
      <c r="AA145" s="202"/>
      <c r="AB145" s="202"/>
      <c r="AC145" s="202"/>
      <c r="AD145" s="202"/>
    </row>
    <row r="146" spans="1:30" s="185" customFormat="1" ht="12" customHeight="1" x14ac:dyDescent="0.15">
      <c r="A146" s="203" t="s">
        <v>3</v>
      </c>
      <c r="B146" s="204" t="s">
        <v>8</v>
      </c>
      <c r="C146" s="204" t="s">
        <v>9</v>
      </c>
      <c r="D146" s="204" t="s">
        <v>10</v>
      </c>
      <c r="E146" s="205" t="s">
        <v>1193</v>
      </c>
      <c r="F146" s="204"/>
      <c r="G146" s="185" t="s">
        <v>3</v>
      </c>
      <c r="H146" s="387" t="s">
        <v>0</v>
      </c>
      <c r="I146" s="387"/>
      <c r="J146" s="387" t="s">
        <v>1</v>
      </c>
      <c r="K146" s="387"/>
      <c r="L146" s="387" t="s">
        <v>2</v>
      </c>
      <c r="M146" s="387"/>
      <c r="N146" s="388" t="s">
        <v>1193</v>
      </c>
      <c r="O146" s="388"/>
      <c r="P146" s="206"/>
      <c r="Q146" s="206"/>
      <c r="R146" s="207" t="s">
        <v>3</v>
      </c>
      <c r="S146" s="208" t="s">
        <v>135</v>
      </c>
      <c r="T146" s="206" t="s">
        <v>133</v>
      </c>
      <c r="U146" s="204" t="s">
        <v>134</v>
      </c>
      <c r="V146" s="206"/>
      <c r="W146" s="209" t="s">
        <v>26</v>
      </c>
    </row>
    <row r="147" spans="1:30" s="139" customFormat="1" x14ac:dyDescent="0.15">
      <c r="A147" s="139">
        <v>1959</v>
      </c>
      <c r="B147" s="142">
        <f>(K6*($E6/365)) + (K7*($E7/365))</f>
        <v>0</v>
      </c>
      <c r="C147" s="142">
        <f>(L6*($E6/365)) + (L7*($E7/365))</f>
        <v>0</v>
      </c>
      <c r="D147" s="142">
        <f>(M6*($E6/365)) + (M7*($E7/365))</f>
        <v>100</v>
      </c>
      <c r="E147" s="143">
        <f>B147+C147+D147</f>
        <v>100</v>
      </c>
      <c r="G147" s="139">
        <v>1959</v>
      </c>
      <c r="H147" s="396">
        <f>(O6/$R6*100*($E6/365))+(O7/$R7*100*($E7/365))</f>
        <v>0</v>
      </c>
      <c r="I147" s="396"/>
      <c r="J147" s="396">
        <f>(P6/$R6*100*($E6/365))+(P7/$R7*100*($E7/365))</f>
        <v>0</v>
      </c>
      <c r="K147" s="396"/>
      <c r="L147" s="396">
        <f>(Q6/$R6*100*($E6/365))+(Q7/$R7*100*($E7/365))</f>
        <v>100</v>
      </c>
      <c r="M147" s="396"/>
      <c r="N147" s="400">
        <f>H147+J147+L147</f>
        <v>100</v>
      </c>
      <c r="O147" s="400"/>
      <c r="R147" s="139">
        <v>1959</v>
      </c>
      <c r="S147" s="142">
        <f>(O6*($E6/365)) + (O7*($E7/365))</f>
        <v>0</v>
      </c>
      <c r="T147" s="142">
        <f>(P6*($E6/365)) + (P7*($E7/365))</f>
        <v>0</v>
      </c>
      <c r="U147" s="142">
        <f>(Q6*($E6/365)) + (Q7*($E7/365))</f>
        <v>51.3</v>
      </c>
      <c r="V147" s="142"/>
      <c r="W147" s="142">
        <f>S147+T147+U147</f>
        <v>51.3</v>
      </c>
    </row>
    <row r="148" spans="1:30" x14ac:dyDescent="0.15">
      <c r="A148" s="1">
        <v>1960</v>
      </c>
      <c r="B148" s="5">
        <f>(K8*($E8/366))+(K9*($E9/366))</f>
        <v>5.4644808743169397</v>
      </c>
      <c r="C148" s="5">
        <f>(L8*($E8/366))+(L9*($E9/366))</f>
        <v>0</v>
      </c>
      <c r="D148" s="5">
        <f>(M8*($E8/366))+(M9*($E9/366))</f>
        <v>94.535519125683066</v>
      </c>
      <c r="E148" s="17">
        <f>B148+C148+D148</f>
        <v>100</v>
      </c>
      <c r="G148" s="1">
        <v>1960</v>
      </c>
      <c r="H148" s="392">
        <f>(O8/$R8*100*($E8/366))+(O9/$R9*100*($E9/366))</f>
        <v>5.4644808743169397</v>
      </c>
      <c r="I148" s="392"/>
      <c r="J148" s="392">
        <f>(P8/$R8*100*($E8/366))+(P9/$R9*100*($E9/366))</f>
        <v>0</v>
      </c>
      <c r="K148" s="392"/>
      <c r="L148" s="392">
        <f>(Q8/$R8*100*($E8/366))+(Q9/$R9*100*($E9/366))</f>
        <v>94.535519125683066</v>
      </c>
      <c r="M148" s="392"/>
      <c r="N148" s="363">
        <f>H148+J148+L148</f>
        <v>100</v>
      </c>
      <c r="O148" s="363"/>
      <c r="R148" s="1">
        <v>1960</v>
      </c>
      <c r="S148" s="5">
        <f>(O8*($E8/366))+(O9*($E9/366))</f>
        <v>3.1420765027322402</v>
      </c>
      <c r="T148" s="5">
        <f>(P8*($E8/366))+(P9*($E9/366))</f>
        <v>0</v>
      </c>
      <c r="U148" s="5">
        <f>(Q8*($E8/366))+(Q9*($E9/366))</f>
        <v>48.496721311475412</v>
      </c>
      <c r="V148" s="5"/>
      <c r="W148" s="5">
        <f>S148+T148+U148</f>
        <v>51.638797814207649</v>
      </c>
    </row>
    <row r="149" spans="1:30" x14ac:dyDescent="0.15">
      <c r="A149" s="1">
        <v>1961</v>
      </c>
      <c r="B149" s="5">
        <f>(K10*($E10/365))+(K11*($E11/365))</f>
        <v>100</v>
      </c>
      <c r="C149" s="5">
        <f>(L10*($E10/365))+(L11*($E11/365))</f>
        <v>0</v>
      </c>
      <c r="D149" s="5">
        <f>(M10*($E10/365))+(M11*($E11/365))</f>
        <v>0</v>
      </c>
      <c r="E149" s="17">
        <f t="shared" ref="E149:E201" si="33">B149+C149+D149</f>
        <v>100</v>
      </c>
      <c r="G149" s="1">
        <v>1961</v>
      </c>
      <c r="H149" s="392">
        <f>(O10/$R10*100*($E10/365))+(O11/$R11*100*($E11/365))</f>
        <v>100</v>
      </c>
      <c r="I149" s="392"/>
      <c r="J149" s="392">
        <f>(P10/$R10*100*($E10/365))+(P11/$R11*100*($E11/365))</f>
        <v>0</v>
      </c>
      <c r="K149" s="392"/>
      <c r="L149" s="392">
        <f>(Q10/$R10*100*($E10/365))+(Q11/$R11*100*($E11/365))</f>
        <v>0</v>
      </c>
      <c r="M149" s="392"/>
      <c r="N149" s="363">
        <f t="shared" ref="N149:N199" si="34">H149+J149+L149</f>
        <v>100</v>
      </c>
      <c r="O149" s="363"/>
      <c r="R149" s="1">
        <v>1961</v>
      </c>
      <c r="S149" s="5">
        <f>(O10*($E10/365))+(O11*($E11/365))</f>
        <v>57.5</v>
      </c>
      <c r="T149" s="5">
        <f>(P10*($E10/365))+(P11*($E11/365))</f>
        <v>0</v>
      </c>
      <c r="U149" s="5">
        <f>(Q10*($E10/365))+(Q11*($E11/365))</f>
        <v>0</v>
      </c>
      <c r="V149" s="5"/>
      <c r="W149" s="5">
        <f t="shared" ref="W149:W201" si="35">S149+T149+U149</f>
        <v>57.5</v>
      </c>
    </row>
    <row r="150" spans="1:30" x14ac:dyDescent="0.15">
      <c r="A150" s="1">
        <v>1962</v>
      </c>
      <c r="B150" s="5">
        <f>(K12*($E12/365))+(K13*($E13/365))</f>
        <v>100</v>
      </c>
      <c r="C150" s="5">
        <f>(L12*($E12/365))+(L13*($E13/365))</f>
        <v>0</v>
      </c>
      <c r="D150" s="5">
        <f>(M12*($E12/365))+(M13*($E13/365))</f>
        <v>0</v>
      </c>
      <c r="E150" s="17">
        <f t="shared" si="33"/>
        <v>100</v>
      </c>
      <c r="G150" s="1">
        <v>1962</v>
      </c>
      <c r="H150" s="392">
        <f>(O12/$R12*100*($E12/365))+(O13/$R13*100*($E13/365))</f>
        <v>100</v>
      </c>
      <c r="I150" s="392"/>
      <c r="J150" s="392">
        <f>(P12/$R12*100*($E12/365))+(P13/$R13*100*($E13/365))</f>
        <v>0</v>
      </c>
      <c r="K150" s="392"/>
      <c r="L150" s="392">
        <f>(Q12/$R12*100*($E12/365))+(Q13/$R13*100*($E13/365))</f>
        <v>0</v>
      </c>
      <c r="M150" s="392"/>
      <c r="N150" s="363">
        <f t="shared" si="34"/>
        <v>100</v>
      </c>
      <c r="O150" s="363"/>
      <c r="R150" s="1">
        <v>1962</v>
      </c>
      <c r="S150" s="5">
        <f>(O12*($E12/365))+(O13*($E13/365))</f>
        <v>57.5</v>
      </c>
      <c r="T150" s="5">
        <f>(P12*($E12/365))+(P13*($E13/365))</f>
        <v>0</v>
      </c>
      <c r="U150" s="5">
        <f>(Q12*($E12/365))+(Q13*($E13/365))</f>
        <v>0</v>
      </c>
      <c r="V150" s="5"/>
      <c r="W150" s="5">
        <f t="shared" si="35"/>
        <v>57.5</v>
      </c>
    </row>
    <row r="151" spans="1:30" x14ac:dyDescent="0.15">
      <c r="A151" s="1">
        <v>1963</v>
      </c>
      <c r="B151" s="5">
        <f>(K14*($E14/365))+(K15*($E15/365))</f>
        <v>100.00000000000001</v>
      </c>
      <c r="C151" s="5">
        <f>(L14*($E14/365))+(L15*($E15/365))</f>
        <v>0</v>
      </c>
      <c r="D151" s="5">
        <f>(M14*($E14/365))+(M15*($E15/365))</f>
        <v>0</v>
      </c>
      <c r="E151" s="17">
        <f t="shared" si="33"/>
        <v>100.00000000000001</v>
      </c>
      <c r="G151" s="1">
        <v>1963</v>
      </c>
      <c r="H151" s="392">
        <f>(O14/$R14*100*($E14/365))+(O15/$R15*100*($E15/365))</f>
        <v>100.00000000000001</v>
      </c>
      <c r="I151" s="392"/>
      <c r="J151" s="392">
        <f>(P14/$R14*100*($E14/365))+(P15/$R15*100*($E15/365))</f>
        <v>0</v>
      </c>
      <c r="K151" s="392"/>
      <c r="L151" s="392">
        <f>(Q14/$R14*100*($E14/365))+(Q15/$R15*100*($E15/365))</f>
        <v>0</v>
      </c>
      <c r="M151" s="392"/>
      <c r="N151" s="363">
        <f t="shared" si="34"/>
        <v>100.00000000000001</v>
      </c>
      <c r="O151" s="363"/>
      <c r="R151" s="1">
        <v>1963</v>
      </c>
      <c r="S151" s="5">
        <f>(O14*($E14/365))+(O15*($E15/365))</f>
        <v>57.460547945205484</v>
      </c>
      <c r="T151" s="5">
        <f>(P14*($E14/365))+(P15*($E15/365))</f>
        <v>0</v>
      </c>
      <c r="U151" s="5">
        <f>(Q14*($E14/365))+(Q15*($E15/365))</f>
        <v>0</v>
      </c>
      <c r="V151" s="5"/>
      <c r="W151" s="5">
        <f t="shared" si="35"/>
        <v>57.460547945205484</v>
      </c>
    </row>
    <row r="152" spans="1:30" x14ac:dyDescent="0.15">
      <c r="A152" s="1">
        <v>1964</v>
      </c>
      <c r="B152" s="5">
        <f>(K16*($E16/366))+(K17*($E17/366))</f>
        <v>100</v>
      </c>
      <c r="C152" s="5">
        <f>(L16*($E16/366))+(L17*($E17/366))</f>
        <v>0</v>
      </c>
      <c r="D152" s="5">
        <f>(M16*($E16/366))+(M17*($E17/366))</f>
        <v>0</v>
      </c>
      <c r="E152" s="17">
        <f t="shared" si="33"/>
        <v>100</v>
      </c>
      <c r="G152" s="1">
        <v>1964</v>
      </c>
      <c r="H152" s="392">
        <f>(O16/$R16*100*($E16/366))+(O17/$R17*100*($E17/366))</f>
        <v>100</v>
      </c>
      <c r="I152" s="392"/>
      <c r="J152" s="392">
        <f>(P16/$R16*100*($E16/366))+(P17/$R17*100*($E17/366))</f>
        <v>0</v>
      </c>
      <c r="K152" s="392"/>
      <c r="L152" s="392">
        <f>(Q16/$R16*100*($E16/366))+(Q17/$R17*100*($E17/366))</f>
        <v>0</v>
      </c>
      <c r="M152" s="392"/>
      <c r="N152" s="363">
        <f t="shared" si="34"/>
        <v>100</v>
      </c>
      <c r="O152" s="363"/>
      <c r="R152" s="1">
        <v>1964</v>
      </c>
      <c r="S152" s="5">
        <f>(O16*($E16/366))+(O17*($E17/366))</f>
        <v>56.3</v>
      </c>
      <c r="T152" s="5">
        <f>(P16*($E16/366))+(P17*($E17/366))</f>
        <v>0</v>
      </c>
      <c r="U152" s="5">
        <f>(Q16*($E16/366))+(Q17*($E17/366))</f>
        <v>0</v>
      </c>
      <c r="V152" s="5"/>
      <c r="W152" s="5">
        <f t="shared" si="35"/>
        <v>56.3</v>
      </c>
    </row>
    <row r="153" spans="1:30" x14ac:dyDescent="0.15">
      <c r="A153" s="1">
        <v>1965</v>
      </c>
      <c r="B153" s="5">
        <f>(K18*($E18/365))+(K19*($E19/365))</f>
        <v>100</v>
      </c>
      <c r="C153" s="5">
        <f>(L18*($E18/365))+(L19*($E19/365))</f>
        <v>0</v>
      </c>
      <c r="D153" s="5">
        <f>(M18*($E18/365))+(M19*($E19/365))</f>
        <v>0</v>
      </c>
      <c r="E153" s="17">
        <f t="shared" si="33"/>
        <v>100</v>
      </c>
      <c r="G153" s="1">
        <v>1965</v>
      </c>
      <c r="H153" s="392">
        <f>(O18/$R18*100*($E18/365))+(O19/$R19*100*($E19/365))</f>
        <v>100</v>
      </c>
      <c r="I153" s="392"/>
      <c r="J153" s="392">
        <f>(P18/$R18*100*($E18/365))+(P19/$R19*100*($E19/365))</f>
        <v>0</v>
      </c>
      <c r="K153" s="392"/>
      <c r="L153" s="392">
        <f>(Q18/$R18*100*($E18/365))+(Q19/$R19*100*($E19/365))</f>
        <v>0</v>
      </c>
      <c r="M153" s="392"/>
      <c r="N153" s="363">
        <f t="shared" si="34"/>
        <v>100</v>
      </c>
      <c r="O153" s="363"/>
      <c r="R153" s="1">
        <v>1965</v>
      </c>
      <c r="S153" s="5">
        <f>(O18*($E18/365))+(O19*($E19/365))</f>
        <v>56.3</v>
      </c>
      <c r="T153" s="5">
        <f>(P18*($E18/365))+(P19*($E19/365))</f>
        <v>0</v>
      </c>
      <c r="U153" s="5">
        <f>(Q18*($E18/365))+(Q19*($E19/365))</f>
        <v>0</v>
      </c>
      <c r="V153" s="5"/>
      <c r="W153" s="5">
        <f t="shared" si="35"/>
        <v>56.3</v>
      </c>
    </row>
    <row r="154" spans="1:30" x14ac:dyDescent="0.15">
      <c r="A154" s="1">
        <v>1966</v>
      </c>
      <c r="B154" s="5">
        <f>(K20*($E20/365))+(K21*($E21/365))</f>
        <v>100</v>
      </c>
      <c r="C154" s="5">
        <f>(L20*($E20/365))+(L21*($E21/365))</f>
        <v>0</v>
      </c>
      <c r="D154" s="5">
        <f>(M20*($E20/365))+(M21*($E21/365))</f>
        <v>0</v>
      </c>
      <c r="E154" s="17">
        <f t="shared" si="33"/>
        <v>100</v>
      </c>
      <c r="G154" s="1">
        <v>1966</v>
      </c>
      <c r="H154" s="392">
        <f>(O20/$R20*100*($E20/365))+(O21/$R21*100*($E21/365))</f>
        <v>100</v>
      </c>
      <c r="I154" s="392"/>
      <c r="J154" s="392">
        <f>(P20/$R20*100*($E20/365))+(P21/$R21*100*($E21/365))</f>
        <v>0</v>
      </c>
      <c r="K154" s="392"/>
      <c r="L154" s="392">
        <f>(Q20/$R20*100*($E20/365))+(Q21/$R21*100*($E21/365))</f>
        <v>0</v>
      </c>
      <c r="M154" s="392"/>
      <c r="N154" s="363">
        <f t="shared" si="34"/>
        <v>100</v>
      </c>
      <c r="O154" s="363"/>
      <c r="R154" s="1">
        <v>1966</v>
      </c>
      <c r="S154" s="5">
        <f>(O20*($E20/365))+(O21*($E21/365))</f>
        <v>56.228767123287668</v>
      </c>
      <c r="T154" s="5">
        <f>(P20*($E20/365))+(P21*($E21/365))</f>
        <v>0</v>
      </c>
      <c r="U154" s="5">
        <f>(Q20*($E20/365))+(Q21*($E21/365))</f>
        <v>0</v>
      </c>
      <c r="V154" s="5"/>
      <c r="W154" s="5">
        <f t="shared" si="35"/>
        <v>56.228767123287668</v>
      </c>
    </row>
    <row r="155" spans="1:30" x14ac:dyDescent="0.15">
      <c r="A155" s="1">
        <v>1967</v>
      </c>
      <c r="B155" s="5">
        <f>(K22*($E22/365))+(K23*($E23/365))</f>
        <v>100</v>
      </c>
      <c r="C155" s="5">
        <f>(L22*($E22/365))+(L23*($E23/365))</f>
        <v>0</v>
      </c>
      <c r="D155" s="5">
        <f>(M22*($E22/365))+(M23*($E23/365))</f>
        <v>0</v>
      </c>
      <c r="E155" s="17">
        <f t="shared" si="33"/>
        <v>100</v>
      </c>
      <c r="G155" s="1">
        <v>1967</v>
      </c>
      <c r="H155" s="392">
        <f>(O22/$R22*100*($E22/365))+(O23/$R23*100*($E23/365))</f>
        <v>100</v>
      </c>
      <c r="I155" s="392"/>
      <c r="J155" s="392">
        <f>(P22/$R22*100*($E22/365))+(P23/$R23*100*($E23/365))</f>
        <v>0</v>
      </c>
      <c r="K155" s="392"/>
      <c r="L155" s="392">
        <f>(Q22/$R22*100*($E22/365))+(Q23/$R23*100*($E23/365))</f>
        <v>0</v>
      </c>
      <c r="M155" s="392"/>
      <c r="N155" s="363">
        <f t="shared" si="34"/>
        <v>100</v>
      </c>
      <c r="O155" s="363"/>
      <c r="R155" s="1">
        <v>1967</v>
      </c>
      <c r="S155" s="5">
        <f>(O22*($E22/365))+(O23*($E23/365))</f>
        <v>55</v>
      </c>
      <c r="T155" s="5">
        <f>(P22*($E22/365))+(P23*($E23/365))</f>
        <v>0</v>
      </c>
      <c r="U155" s="5">
        <f>(Q22*($E22/365))+(Q23*($E23/365))</f>
        <v>0</v>
      </c>
      <c r="V155" s="5"/>
      <c r="W155" s="5">
        <f t="shared" si="35"/>
        <v>55</v>
      </c>
    </row>
    <row r="156" spans="1:30" x14ac:dyDescent="0.15">
      <c r="A156" s="1">
        <v>1968</v>
      </c>
      <c r="B156" s="5">
        <f>(K24*($E24/366))+(K25*($E25/366))</f>
        <v>100</v>
      </c>
      <c r="C156" s="5">
        <f>(L24*($E24/366))+(L25*($E25/366))</f>
        <v>0</v>
      </c>
      <c r="D156" s="5">
        <f>(M24*($E24/366))+(M25*($E25/366))</f>
        <v>0</v>
      </c>
      <c r="E156" s="17">
        <f t="shared" si="33"/>
        <v>100</v>
      </c>
      <c r="G156" s="1">
        <v>1968</v>
      </c>
      <c r="H156" s="392">
        <f>(O24/$R24*100*($E24/366))+(O25/$R25*100*($E25/366))</f>
        <v>100</v>
      </c>
      <c r="I156" s="392"/>
      <c r="J156" s="392">
        <f>(P24/$R24*100*($E24/366))+(P25/$R25*100*($E25/366))</f>
        <v>0</v>
      </c>
      <c r="K156" s="392"/>
      <c r="L156" s="392">
        <f>(Q24/$R24*100*($E24/366))+(Q25/$R25*100*($E25/366))</f>
        <v>0</v>
      </c>
      <c r="M156" s="392"/>
      <c r="N156" s="363">
        <f t="shared" si="34"/>
        <v>100</v>
      </c>
      <c r="O156" s="363"/>
      <c r="R156" s="1">
        <v>1968</v>
      </c>
      <c r="S156" s="5">
        <f>(O24*($E24/366))+(O25*($E25/366))</f>
        <v>55</v>
      </c>
      <c r="T156" s="5">
        <f>(P24*($E24/366))+(P25*($E25/366))</f>
        <v>0</v>
      </c>
      <c r="U156" s="5">
        <f>(Q24*($E24/366))+(Q25*($E25/366))</f>
        <v>0</v>
      </c>
      <c r="V156" s="5"/>
      <c r="W156" s="5">
        <f t="shared" si="35"/>
        <v>55</v>
      </c>
    </row>
    <row r="157" spans="1:30" x14ac:dyDescent="0.15">
      <c r="A157" s="1">
        <v>1969</v>
      </c>
      <c r="B157" s="5">
        <f>(K26*($E26/365))+(K27*($E27/365))</f>
        <v>100</v>
      </c>
      <c r="C157" s="5">
        <f>(L26*($E26/365))+(L27*($E27/365))</f>
        <v>0</v>
      </c>
      <c r="D157" s="5">
        <f>(M26*($E26/365))+(M27*($E27/365))</f>
        <v>0</v>
      </c>
      <c r="E157" s="17">
        <f t="shared" si="33"/>
        <v>100</v>
      </c>
      <c r="G157" s="1">
        <v>1969</v>
      </c>
      <c r="H157" s="392">
        <f>(O26/$R26*100*($E26/365))+(O27/$R27*100*($E27/365))</f>
        <v>100</v>
      </c>
      <c r="I157" s="392"/>
      <c r="J157" s="392">
        <f>(P26/$R26*100*($E26/365))+(P27/$R27*100*($E27/365))</f>
        <v>0</v>
      </c>
      <c r="K157" s="392"/>
      <c r="L157" s="392">
        <f>(Q26/$R26*100*($E26/365))+(Q27/$R27*100*($E27/365))</f>
        <v>0</v>
      </c>
      <c r="M157" s="392"/>
      <c r="N157" s="363">
        <f t="shared" si="34"/>
        <v>100</v>
      </c>
      <c r="O157" s="363"/>
      <c r="R157" s="1">
        <v>1969</v>
      </c>
      <c r="S157" s="5">
        <f>(O26*($E26/365))+(O27*($E27/365))</f>
        <v>54.961643835616435</v>
      </c>
      <c r="T157" s="5">
        <f>(P26*($E26/365))+(P27*($E27/365))</f>
        <v>0</v>
      </c>
      <c r="U157" s="5">
        <f>(Q26*($E26/365))+(Q27*($E27/365))</f>
        <v>0</v>
      </c>
      <c r="V157" s="5"/>
      <c r="W157" s="5">
        <f t="shared" si="35"/>
        <v>54.961643835616435</v>
      </c>
    </row>
    <row r="158" spans="1:30" x14ac:dyDescent="0.15">
      <c r="A158" s="1">
        <v>1970</v>
      </c>
      <c r="B158" s="5">
        <f>(K28*($E28/365))+(K29*($E29/365))</f>
        <v>100</v>
      </c>
      <c r="C158" s="5">
        <f>(L28*($E28/365))+(L29*($E29/365))</f>
        <v>0</v>
      </c>
      <c r="D158" s="5">
        <f>(M28*($E28/365))+(M29*($E29/365))</f>
        <v>0</v>
      </c>
      <c r="E158" s="17">
        <f t="shared" si="33"/>
        <v>100</v>
      </c>
      <c r="G158" s="1">
        <v>1970</v>
      </c>
      <c r="H158" s="392">
        <f>(O28/$R28*100*($E28/365))+(O29/$R29*100*($E29/365))</f>
        <v>100</v>
      </c>
      <c r="I158" s="392"/>
      <c r="J158" s="392">
        <f>(P28/$R28*100*($E28/365))+(P29/$R29*100*($E29/365))</f>
        <v>0</v>
      </c>
      <c r="K158" s="392"/>
      <c r="L158" s="392">
        <f>(Q28/$R28*100*($E28/365))+(Q29/$R29*100*($E29/365))</f>
        <v>0</v>
      </c>
      <c r="M158" s="392"/>
      <c r="N158" s="363">
        <f t="shared" si="34"/>
        <v>100</v>
      </c>
      <c r="O158" s="363"/>
      <c r="R158" s="1">
        <v>1970</v>
      </c>
      <c r="S158" s="5">
        <f>(O28*($E28/365))+(O29*($E29/365))</f>
        <v>53.6</v>
      </c>
      <c r="T158" s="5">
        <f>(P28*($E28/365))+(P29*($E29/365))</f>
        <v>0</v>
      </c>
      <c r="U158" s="5">
        <f>(Q28*($E28/365))+(Q29*($E29/365))</f>
        <v>0</v>
      </c>
      <c r="V158" s="5"/>
      <c r="W158" s="5">
        <f t="shared" si="35"/>
        <v>53.6</v>
      </c>
    </row>
    <row r="159" spans="1:30" x14ac:dyDescent="0.15">
      <c r="A159" s="1">
        <v>1971</v>
      </c>
      <c r="B159" s="5">
        <f>(K30*($E30/365))+(K31*($E31/365))</f>
        <v>100</v>
      </c>
      <c r="C159" s="5">
        <f>(L30*($E30/365))+(L31*($E31/365))</f>
        <v>0</v>
      </c>
      <c r="D159" s="5">
        <f>(M30*($E30/365))+(M31*($E31/365))</f>
        <v>0</v>
      </c>
      <c r="E159" s="17">
        <f t="shared" si="33"/>
        <v>100</v>
      </c>
      <c r="G159" s="1">
        <v>1971</v>
      </c>
      <c r="H159" s="392">
        <f>(O30/$R30*100*($E30/365))+(O31/$R31*100*($E31/365))</f>
        <v>100</v>
      </c>
      <c r="I159" s="392"/>
      <c r="J159" s="392">
        <f>(P30/$R30*100*($E30/365))+(P31/$R31*100*($E31/365))</f>
        <v>0</v>
      </c>
      <c r="K159" s="392"/>
      <c r="L159" s="392">
        <f>(Q30/$R30*100*($E30/365))+(Q31/$R31*100*($E31/365))</f>
        <v>0</v>
      </c>
      <c r="M159" s="392"/>
      <c r="N159" s="363">
        <f t="shared" si="34"/>
        <v>100</v>
      </c>
      <c r="O159" s="363"/>
      <c r="R159" s="1">
        <v>1971</v>
      </c>
      <c r="S159" s="5">
        <f>(O30*($E30/365))+(O31*($E31/365))</f>
        <v>53.6</v>
      </c>
      <c r="T159" s="5">
        <f>(P30*($E30/365))+(P31*($E31/365))</f>
        <v>0</v>
      </c>
      <c r="U159" s="5">
        <f>(Q30*($E30/365))+(Q31*($E31/365))</f>
        <v>0</v>
      </c>
      <c r="V159" s="5"/>
      <c r="W159" s="5">
        <f t="shared" si="35"/>
        <v>53.6</v>
      </c>
    </row>
    <row r="160" spans="1:30" x14ac:dyDescent="0.15">
      <c r="A160" s="1">
        <v>1972</v>
      </c>
      <c r="B160" s="5">
        <f>(K32*($E32/366))+(K33*($E33/366))+(K34*($E34/366))</f>
        <v>93.442622950819668</v>
      </c>
      <c r="C160" s="5">
        <f>(L32*($E32/366))+(L33*($E33/366))+(L34*($E34/366))</f>
        <v>0</v>
      </c>
      <c r="D160" s="5">
        <f>(M32*($E32/366))+(M33*($E33/366))+(M34*($E34/366))</f>
        <v>6.557377049180328</v>
      </c>
      <c r="E160" s="17">
        <f t="shared" si="33"/>
        <v>100</v>
      </c>
      <c r="G160" s="1">
        <v>1972</v>
      </c>
      <c r="H160" s="392">
        <f>(O32/$R32*100*($E32/366))+(O33/$R33*100*($E33/366))+(O34/$R34*100*($E34/366))</f>
        <v>93.442622950819668</v>
      </c>
      <c r="I160" s="392"/>
      <c r="J160" s="392">
        <f>(P32/$R32*100*($E32/366))+(P33/$R33*100*($E33/366))+(P34/$R34*100*($E34/366))</f>
        <v>0</v>
      </c>
      <c r="K160" s="392"/>
      <c r="L160" s="392">
        <f>(Q32/$R32*100*($E32/366))+(Q33/$R33*100*($E33/366))+(Q34/$R34*100*($E34/366))</f>
        <v>6.557377049180328</v>
      </c>
      <c r="M160" s="392"/>
      <c r="N160" s="363">
        <f t="shared" si="34"/>
        <v>100</v>
      </c>
      <c r="O160" s="363"/>
      <c r="R160" s="1">
        <v>1972</v>
      </c>
      <c r="S160" s="5">
        <f>(O32*($E32/366))+(O33*($E33/366))+(O34*($E34/366))</f>
        <v>50.085245901639354</v>
      </c>
      <c r="T160" s="5">
        <f>(P32*($E32/366))+(P33*($E33/366))+(P34*($E34/366))</f>
        <v>0</v>
      </c>
      <c r="U160" s="5">
        <f>(Q32*($E32/366))+(Q33*($E33/366))+(Q34*($E34/366))</f>
        <v>4.1442622950819672</v>
      </c>
      <c r="V160" s="5"/>
      <c r="W160" s="5">
        <f t="shared" si="35"/>
        <v>54.229508196721319</v>
      </c>
    </row>
    <row r="161" spans="1:23" x14ac:dyDescent="0.15">
      <c r="A161" s="1">
        <v>1973</v>
      </c>
      <c r="B161" s="5">
        <f>(K35*($E35/365))+(K36*($E36/365))</f>
        <v>0</v>
      </c>
      <c r="C161" s="5">
        <f>(L35*($E35/365))+(L36*($E36/365))</f>
        <v>0</v>
      </c>
      <c r="D161" s="5">
        <f>(M35*($E35/365))+(M36*($E36/365))</f>
        <v>100</v>
      </c>
      <c r="E161" s="17">
        <f t="shared" si="33"/>
        <v>100</v>
      </c>
      <c r="G161" s="1">
        <v>1973</v>
      </c>
      <c r="H161" s="392">
        <f>(O35/$R35*100*($E35/365))+(O36/$R36*100*($E36/365))</f>
        <v>0</v>
      </c>
      <c r="I161" s="392"/>
      <c r="J161" s="392">
        <f>(P35/$R35*100*($E35/365))+(P36/$R36*100*($E36/365))</f>
        <v>0</v>
      </c>
      <c r="K161" s="392"/>
      <c r="L161" s="392">
        <f>(Q35/$R35*100*($E35/365))+(Q36/$R36*100*($E36/365))</f>
        <v>100</v>
      </c>
      <c r="M161" s="392"/>
      <c r="N161" s="363">
        <f t="shared" si="34"/>
        <v>100</v>
      </c>
      <c r="O161" s="363"/>
      <c r="R161" s="1">
        <v>1973</v>
      </c>
      <c r="S161" s="5">
        <f>(O35*($E35/365))+(O36*($E36/365))</f>
        <v>0</v>
      </c>
      <c r="T161" s="5">
        <f>(P35*($E35/365))+(P36*($E36/365))</f>
        <v>0</v>
      </c>
      <c r="U161" s="5">
        <f>(Q35*($E35/365))+(Q36*($E36/365))</f>
        <v>63.2</v>
      </c>
      <c r="V161" s="5"/>
      <c r="W161" s="5">
        <f t="shared" si="35"/>
        <v>63.2</v>
      </c>
    </row>
    <row r="162" spans="1:23" x14ac:dyDescent="0.15">
      <c r="A162" s="1">
        <v>1974</v>
      </c>
      <c r="B162" s="5">
        <f>(K37*($E37/365))+(K38*($E38/365))</f>
        <v>0</v>
      </c>
      <c r="C162" s="5">
        <f>(L37*($E37/365))+(L38*($E38/365))</f>
        <v>0</v>
      </c>
      <c r="D162" s="5">
        <f>(M37*($E37/365))+(M38*($E38/365))</f>
        <v>100</v>
      </c>
      <c r="E162" s="17">
        <f t="shared" si="33"/>
        <v>100</v>
      </c>
      <c r="G162" s="1">
        <v>1974</v>
      </c>
      <c r="H162" s="392">
        <f>(O37/$R37*100*($E37/365))+(O38/$R38*100*($E38/365))</f>
        <v>0</v>
      </c>
      <c r="I162" s="392"/>
      <c r="J162" s="392">
        <f>(P37/$R37*100*($E37/365))+(P38/$R38*100*($E38/365))</f>
        <v>0</v>
      </c>
      <c r="K162" s="392"/>
      <c r="L162" s="392">
        <f>(Q37/$R37*100*($E37/365))+(Q38/$R38*100*($E38/365))</f>
        <v>100</v>
      </c>
      <c r="M162" s="392"/>
      <c r="N162" s="363">
        <f t="shared" si="34"/>
        <v>100</v>
      </c>
      <c r="O162" s="363"/>
      <c r="R162" s="1">
        <v>1974</v>
      </c>
      <c r="S162" s="5">
        <f>(O37*($E37/365))+(O38*($E38/365))</f>
        <v>0</v>
      </c>
      <c r="T162" s="5">
        <f>(P37*($E37/365))+(P38*($E38/365))</f>
        <v>0</v>
      </c>
      <c r="U162" s="5">
        <f>(Q37*($E37/365))+(Q38*($E38/365))</f>
        <v>63.2</v>
      </c>
      <c r="V162" s="5"/>
      <c r="W162" s="5">
        <f t="shared" si="35"/>
        <v>63.2</v>
      </c>
    </row>
    <row r="163" spans="1:23" x14ac:dyDescent="0.15">
      <c r="A163" s="1">
        <v>1975</v>
      </c>
      <c r="B163" s="5">
        <f>(K39*($E39/365))+(K40*($E40/365))</f>
        <v>5.4794520547945202</v>
      </c>
      <c r="C163" s="5">
        <f>(L39*($E39/365))+(L40*($E40/365))</f>
        <v>0</v>
      </c>
      <c r="D163" s="5">
        <f>(M39*($E39/365))+(M40*($E40/365))</f>
        <v>94.520547945205479</v>
      </c>
      <c r="E163" s="17">
        <f t="shared" si="33"/>
        <v>100</v>
      </c>
      <c r="G163" s="1">
        <v>1975</v>
      </c>
      <c r="H163" s="392">
        <f>(O39/$R39*100*($E39/365))+(O40/$R40*100*($E40/365))</f>
        <v>5.4794520547945202</v>
      </c>
      <c r="I163" s="392"/>
      <c r="J163" s="392">
        <f>(P39/$R39*100*($E39/365))+(P40/$R40*100*($E40/365))</f>
        <v>0</v>
      </c>
      <c r="K163" s="392"/>
      <c r="L163" s="392">
        <f>(Q39/$R39*100*($E39/365))+(Q40/$R40*100*($E40/365))</f>
        <v>94.520547945205479</v>
      </c>
      <c r="M163" s="392"/>
      <c r="N163" s="363">
        <f t="shared" si="34"/>
        <v>100</v>
      </c>
      <c r="O163" s="363"/>
      <c r="R163" s="1">
        <v>1975</v>
      </c>
      <c r="S163" s="5">
        <f>(O39*($E39/365))+(O40*($E40/365))</f>
        <v>3.463013698630137</v>
      </c>
      <c r="T163" s="5">
        <f>(P39*($E39/365))+(P40*($E40/365))</f>
        <v>0</v>
      </c>
      <c r="U163" s="5">
        <f>(Q39*($E39/365))+(Q40*($E40/365))</f>
        <v>59.736986301369868</v>
      </c>
      <c r="V163" s="5"/>
      <c r="W163" s="5">
        <f t="shared" si="35"/>
        <v>63.2</v>
      </c>
    </row>
    <row r="164" spans="1:23" x14ac:dyDescent="0.15">
      <c r="A164" s="1">
        <v>1976</v>
      </c>
      <c r="B164" s="5">
        <f>(K41*($E41/366))+(K42*($E42/366))</f>
        <v>100</v>
      </c>
      <c r="C164" s="5">
        <f>(L41*($E41/366))+(L42*($E42/366))</f>
        <v>0</v>
      </c>
      <c r="D164" s="5">
        <f>(M41*($E41/366))+(M42*($E42/366))</f>
        <v>0</v>
      </c>
      <c r="E164" s="17">
        <f t="shared" si="33"/>
        <v>100</v>
      </c>
      <c r="G164" s="1">
        <v>1976</v>
      </c>
      <c r="H164" s="392">
        <f>(O41/$R41*100*($E41/366))+(O42/$R42*100*($E42/366))</f>
        <v>100</v>
      </c>
      <c r="I164" s="392"/>
      <c r="J164" s="392">
        <f>(P41/$R41*100*($E41/366))+(P42/$R42*100*($E42/366))</f>
        <v>0</v>
      </c>
      <c r="K164" s="392"/>
      <c r="L164" s="392">
        <f>(Q41/$R41*100*($E41/366))+(Q42/$R42*100*($E42/366))</f>
        <v>0</v>
      </c>
      <c r="M164" s="392"/>
      <c r="N164" s="363">
        <f t="shared" si="34"/>
        <v>100</v>
      </c>
      <c r="O164" s="363"/>
      <c r="R164" s="1">
        <v>1976</v>
      </c>
      <c r="S164" s="5">
        <f>(O41*($E41/366))+(O42*($E42/366))</f>
        <v>63.2</v>
      </c>
      <c r="T164" s="5">
        <f>(P41*($E41/366))+(P42*($E42/366))</f>
        <v>0</v>
      </c>
      <c r="U164" s="5">
        <f>(Q41*($E41/366))+(Q42*($E42/366))</f>
        <v>0</v>
      </c>
      <c r="V164" s="5"/>
      <c r="W164" s="5">
        <f t="shared" si="35"/>
        <v>63.2</v>
      </c>
    </row>
    <row r="165" spans="1:23" x14ac:dyDescent="0.15">
      <c r="A165" s="1">
        <v>1977</v>
      </c>
      <c r="B165" s="5">
        <f>(K43*($E43/365))+(K44*($E44/365))</f>
        <v>100</v>
      </c>
      <c r="C165" s="5">
        <f>(L43*($E43/365))+(L44*($E44/365))</f>
        <v>0</v>
      </c>
      <c r="D165" s="5">
        <f>(M43*($E43/365))+(M44*($E44/365))</f>
        <v>0</v>
      </c>
      <c r="E165" s="17">
        <f t="shared" si="33"/>
        <v>100</v>
      </c>
      <c r="G165" s="1">
        <v>1977</v>
      </c>
      <c r="H165" s="392">
        <f>(O43/$R43*100*($E43/365))+(O44/$R44*100*($E44/365))</f>
        <v>100</v>
      </c>
      <c r="I165" s="392"/>
      <c r="J165" s="392">
        <f>(P43/$R43*100*($E43/365))+(P44/$R44*100*($E44/365))</f>
        <v>0</v>
      </c>
      <c r="K165" s="392"/>
      <c r="L165" s="392">
        <f>(Q43/$R43*100*($E43/365))+(Q44/$R44*100*($E44/365))</f>
        <v>0</v>
      </c>
      <c r="M165" s="392"/>
      <c r="N165" s="363">
        <f t="shared" si="34"/>
        <v>100</v>
      </c>
      <c r="O165" s="363"/>
      <c r="R165" s="1">
        <v>1977</v>
      </c>
      <c r="S165" s="5">
        <f>(O43*($E43/365))+(O44*($E44/365))</f>
        <v>63.2</v>
      </c>
      <c r="T165" s="5">
        <f>(P43*($E43/365))+(P44*($E44/365))</f>
        <v>0</v>
      </c>
      <c r="U165" s="5">
        <f>(Q43*($E43/365))+(Q44*($E44/365))</f>
        <v>0</v>
      </c>
      <c r="V165" s="5"/>
      <c r="W165" s="5">
        <f t="shared" si="35"/>
        <v>63.2</v>
      </c>
    </row>
    <row r="166" spans="1:23" x14ac:dyDescent="0.15">
      <c r="A166" s="1">
        <v>1978</v>
      </c>
      <c r="B166" s="5">
        <f>(K45*($E45/365))+(K46*($E46/365))</f>
        <v>100</v>
      </c>
      <c r="C166" s="5">
        <f>(L45*($E45/365))+(L46*($E46/365))</f>
        <v>0</v>
      </c>
      <c r="D166" s="5">
        <f>(M45*($E45/365))+(M46*($E46/365))</f>
        <v>0</v>
      </c>
      <c r="E166" s="17">
        <f t="shared" si="33"/>
        <v>100</v>
      </c>
      <c r="G166" s="1">
        <v>1978</v>
      </c>
      <c r="H166" s="392">
        <f>(O45/$R45*100*($E45/365))+(O46/$R46*100*($E46/365))</f>
        <v>100</v>
      </c>
      <c r="I166" s="392"/>
      <c r="J166" s="392">
        <f>(P45/$R45*100*($E45/365))+(P46/$R46*100*($E46/365))</f>
        <v>0</v>
      </c>
      <c r="K166" s="392"/>
      <c r="L166" s="392">
        <f>(Q45/$R45*100*($E45/365))+(Q46/$R46*100*($E46/365))</f>
        <v>0</v>
      </c>
      <c r="M166" s="392"/>
      <c r="N166" s="363">
        <f t="shared" si="34"/>
        <v>100</v>
      </c>
      <c r="O166" s="363"/>
      <c r="R166" s="1">
        <v>1978</v>
      </c>
      <c r="S166" s="5">
        <f>(O45*($E45/365))+(O46*($E46/365))</f>
        <v>62.793972602739728</v>
      </c>
      <c r="T166" s="5">
        <f>(P45*($E45/365))+(P46*($E46/365))</f>
        <v>0</v>
      </c>
      <c r="U166" s="5">
        <f>(Q45*($E45/365))+(Q46*($E46/365))</f>
        <v>0</v>
      </c>
      <c r="V166" s="5"/>
      <c r="W166" s="5">
        <f t="shared" si="35"/>
        <v>62.793972602739728</v>
      </c>
    </row>
    <row r="167" spans="1:23" x14ac:dyDescent="0.15">
      <c r="A167" s="1">
        <v>1979</v>
      </c>
      <c r="B167" s="5">
        <f>(K47*($E47/365))+(K48*($E48/365))</f>
        <v>100</v>
      </c>
      <c r="C167" s="5">
        <f>(L47*($E47/365))+(L48*($E48/365))</f>
        <v>0</v>
      </c>
      <c r="D167" s="5">
        <f>(M47*($E47/365))+(M48*($E48/365))</f>
        <v>0</v>
      </c>
      <c r="E167" s="17">
        <f t="shared" si="33"/>
        <v>100</v>
      </c>
      <c r="G167" s="1">
        <v>1979</v>
      </c>
      <c r="H167" s="392">
        <f>(O47/$R47*100*($E47/365))+(O48/$R48*100*($E48/365))</f>
        <v>100</v>
      </c>
      <c r="I167" s="392"/>
      <c r="J167" s="392">
        <f>(P47/$R47*100*($E47/365))+(P48/$R48*100*($E48/365))</f>
        <v>0</v>
      </c>
      <c r="K167" s="392"/>
      <c r="L167" s="392">
        <f>(Q47/$R47*100*($E47/365))+(Q48/$R48*100*($E48/365))</f>
        <v>0</v>
      </c>
      <c r="M167" s="392"/>
      <c r="N167" s="363">
        <f t="shared" si="34"/>
        <v>100</v>
      </c>
      <c r="O167" s="363"/>
      <c r="R167" s="1">
        <v>1979</v>
      </c>
      <c r="S167" s="5">
        <f>(O47*($E47/365))+(O48*($E48/365))</f>
        <v>55.4</v>
      </c>
      <c r="T167" s="5">
        <f>(P47*($E47/365))+(P48*($E48/365))</f>
        <v>0</v>
      </c>
      <c r="U167" s="5">
        <f>(Q47*($E47/365))+(Q48*($E48/365))</f>
        <v>0</v>
      </c>
      <c r="V167" s="5"/>
      <c r="W167" s="5">
        <f t="shared" si="35"/>
        <v>55.4</v>
      </c>
    </row>
    <row r="168" spans="1:23" x14ac:dyDescent="0.15">
      <c r="A168" s="1">
        <v>1980</v>
      </c>
      <c r="B168" s="5">
        <f>(K49*($E49/366))+(K50*($E50/366))</f>
        <v>100</v>
      </c>
      <c r="C168" s="5">
        <f>(L49*($E49/366))+(L50*($E50/366))</f>
        <v>0</v>
      </c>
      <c r="D168" s="5">
        <f>(M49*($E49/366))+(M50*($E50/366))</f>
        <v>0</v>
      </c>
      <c r="E168" s="17">
        <f t="shared" si="33"/>
        <v>100</v>
      </c>
      <c r="G168" s="1">
        <v>1980</v>
      </c>
      <c r="H168" s="392">
        <f>(O49/$R49*100*($E49/366))+(O50/$R50*100*($E50/366))</f>
        <v>100</v>
      </c>
      <c r="I168" s="392"/>
      <c r="J168" s="392">
        <f>(P49/$R49*100*($E49/366))+(P50/$R50*100*($E50/366))</f>
        <v>0</v>
      </c>
      <c r="K168" s="392"/>
      <c r="L168" s="392">
        <f>(Q49/$R49*100*($E49/366))+(Q50/$R50*100*($E50/366))</f>
        <v>0</v>
      </c>
      <c r="M168" s="392"/>
      <c r="N168" s="363">
        <f t="shared" si="34"/>
        <v>100</v>
      </c>
      <c r="O168" s="363"/>
      <c r="R168" s="1">
        <v>1980</v>
      </c>
      <c r="S168" s="5">
        <f>(O49*($E49/366))+(O50*($E50/366))</f>
        <v>55.4</v>
      </c>
      <c r="T168" s="5">
        <f>(P49*($E49/366))+(P50*($E50/366))</f>
        <v>0</v>
      </c>
      <c r="U168" s="5">
        <f>(Q49*($E49/366))+(Q50*($E50/366))</f>
        <v>0</v>
      </c>
      <c r="V168" s="5"/>
      <c r="W168" s="5">
        <f t="shared" si="35"/>
        <v>55.4</v>
      </c>
    </row>
    <row r="169" spans="1:23" x14ac:dyDescent="0.15">
      <c r="A169" s="1">
        <v>1981</v>
      </c>
      <c r="B169" s="5">
        <f>(K51*($E51/365))+(K52*($E52/365))</f>
        <v>100</v>
      </c>
      <c r="C169" s="5">
        <f>(L51*($E51/365))+(L52*($E52/365))</f>
        <v>0</v>
      </c>
      <c r="D169" s="5">
        <f>(M51*($E51/365))+(M52*($E52/365))</f>
        <v>0</v>
      </c>
      <c r="E169" s="17">
        <f t="shared" si="33"/>
        <v>100</v>
      </c>
      <c r="G169" s="1">
        <v>1981</v>
      </c>
      <c r="H169" s="392">
        <f>(O51/$R51*100*($E51/365))+(O52/$R52*100*($E52/365))</f>
        <v>100</v>
      </c>
      <c r="I169" s="392"/>
      <c r="J169" s="392">
        <f>(P51/$R51*100*($E51/365))+(P52/$R52*100*($E52/365))</f>
        <v>0</v>
      </c>
      <c r="K169" s="392"/>
      <c r="L169" s="392">
        <f>(Q51/$R51*100*($E51/365))+(Q52/$R52*100*($E52/365))</f>
        <v>0</v>
      </c>
      <c r="M169" s="392"/>
      <c r="N169" s="363">
        <f t="shared" si="34"/>
        <v>100</v>
      </c>
      <c r="O169" s="363"/>
      <c r="R169" s="1">
        <v>1981</v>
      </c>
      <c r="S169" s="5">
        <f>(O51*($E51/365))+(O52*($E52/365))</f>
        <v>55.152602739726028</v>
      </c>
      <c r="T169" s="5">
        <f>(P51*($E51/365))+(P52*($E52/365))</f>
        <v>0</v>
      </c>
      <c r="U169" s="5">
        <f>(Q51*($E51/365))+(Q52*($E52/365))</f>
        <v>0</v>
      </c>
      <c r="V169" s="5"/>
      <c r="W169" s="5">
        <f t="shared" si="35"/>
        <v>55.152602739726028</v>
      </c>
    </row>
    <row r="170" spans="1:23" x14ac:dyDescent="0.15">
      <c r="A170" s="1">
        <v>1982</v>
      </c>
      <c r="B170" s="5">
        <f>(K53*($E53/365))+(K54*($E54/365))</f>
        <v>100</v>
      </c>
      <c r="C170" s="5">
        <f>(L53*($E53/365))+(L54*($E54/365))</f>
        <v>0</v>
      </c>
      <c r="D170" s="5">
        <f>(M53*($E53/365))+(M54*($E54/365))</f>
        <v>0</v>
      </c>
      <c r="E170" s="17">
        <f t="shared" si="33"/>
        <v>100</v>
      </c>
      <c r="G170" s="1">
        <v>1982</v>
      </c>
      <c r="H170" s="392">
        <f>(O53/$R53*100*($E53/365))+(O54/$R54*100*($E54/365))</f>
        <v>100</v>
      </c>
      <c r="I170" s="392"/>
      <c r="J170" s="392">
        <f>(P53/$R53*100*($E53/365))+(P54/$R54*100*($E54/365))</f>
        <v>0</v>
      </c>
      <c r="K170" s="392"/>
      <c r="L170" s="392">
        <f>(Q53/$R53*100*($E53/365))+(Q54/$R54*100*($E54/365))</f>
        <v>0</v>
      </c>
      <c r="M170" s="392"/>
      <c r="N170" s="363">
        <f t="shared" si="34"/>
        <v>100</v>
      </c>
      <c r="O170" s="363"/>
      <c r="R170" s="1">
        <v>1982</v>
      </c>
      <c r="S170" s="5">
        <f>(O53*($E53/365))+(O54*($E54/365))</f>
        <v>51.1</v>
      </c>
      <c r="T170" s="5">
        <f>(P53*($E53/365))+(P54*($E54/365))</f>
        <v>0</v>
      </c>
      <c r="U170" s="5">
        <f>(Q53*($E53/365))+(Q54*($E54/365))</f>
        <v>0</v>
      </c>
      <c r="V170" s="5"/>
      <c r="W170" s="5">
        <f t="shared" si="35"/>
        <v>51.1</v>
      </c>
    </row>
    <row r="171" spans="1:23" x14ac:dyDescent="0.15">
      <c r="A171" s="1">
        <v>1983</v>
      </c>
      <c r="B171" s="5">
        <f>(K55*($E55/365))+(K56*($E56/365))</f>
        <v>100</v>
      </c>
      <c r="C171" s="5">
        <f>(L55*($E55/365))+(L56*($E56/365))</f>
        <v>0</v>
      </c>
      <c r="D171" s="5">
        <f>(M55*($E55/365))+(M56*($E56/365))</f>
        <v>0</v>
      </c>
      <c r="E171" s="17">
        <f t="shared" si="33"/>
        <v>100</v>
      </c>
      <c r="G171" s="1">
        <v>1983</v>
      </c>
      <c r="H171" s="392">
        <f>(O55/$R55*100*($E55/365))+(O56/$R56*100*($E56/365))</f>
        <v>100</v>
      </c>
      <c r="I171" s="392"/>
      <c r="J171" s="392">
        <f>(P55/$R55*100*($E55/365))+(P56/$R56*100*($E56/365))</f>
        <v>0</v>
      </c>
      <c r="K171" s="392"/>
      <c r="L171" s="392">
        <f>(Q55/$R55*100*($E55/365))+(Q56/$R56*100*($E56/365))</f>
        <v>0</v>
      </c>
      <c r="M171" s="392"/>
      <c r="N171" s="363">
        <f t="shared" si="34"/>
        <v>100</v>
      </c>
      <c r="O171" s="363"/>
      <c r="R171" s="1">
        <v>1983</v>
      </c>
      <c r="S171" s="5">
        <f>(O55*($E55/365))+(O56*($E56/365))</f>
        <v>51.1</v>
      </c>
      <c r="T171" s="5">
        <f>(P55*($E55/365))+(P56*($E56/365))</f>
        <v>0</v>
      </c>
      <c r="U171" s="5">
        <f>(Q55*($E55/365))+(Q56*($E56/365))</f>
        <v>0</v>
      </c>
      <c r="V171" s="5"/>
      <c r="W171" s="5">
        <f t="shared" si="35"/>
        <v>51.1</v>
      </c>
    </row>
    <row r="172" spans="1:23" x14ac:dyDescent="0.15">
      <c r="A172" s="1">
        <v>1984</v>
      </c>
      <c r="B172" s="5">
        <f>(K57*($E57/366))+(K58*($E58/366))</f>
        <v>56.557377049180324</v>
      </c>
      <c r="C172" s="5">
        <f>(L57*($E57/366))+(L58*($E58/366))</f>
        <v>0</v>
      </c>
      <c r="D172" s="5">
        <f>(M57*($E57/366))+(M58*($E58/366))</f>
        <v>43.442622950819668</v>
      </c>
      <c r="E172" s="17">
        <f t="shared" si="33"/>
        <v>100</v>
      </c>
      <c r="G172" s="1">
        <v>1984</v>
      </c>
      <c r="H172" s="392">
        <f>(O57/$R57*100*($E57/366))+(O58/$R58*100*($E58/366))</f>
        <v>56.557377049180324</v>
      </c>
      <c r="I172" s="392"/>
      <c r="J172" s="392">
        <f>(P57/$R57*100*($E57/366))+(P58/$R58*100*($E58/366))</f>
        <v>0</v>
      </c>
      <c r="K172" s="392"/>
      <c r="L172" s="392">
        <f>(Q57/$R57*100*($E57/366))+(Q58/$R58*100*($E58/366))</f>
        <v>43.442622950819668</v>
      </c>
      <c r="M172" s="392"/>
      <c r="N172" s="363">
        <f t="shared" si="34"/>
        <v>100</v>
      </c>
      <c r="O172" s="363"/>
      <c r="R172" s="1">
        <v>1984</v>
      </c>
      <c r="S172" s="5">
        <f>(O57*($E57/366))+(O58*($E58/366))</f>
        <v>28.900819672131146</v>
      </c>
      <c r="T172" s="5">
        <f>(P57*($E57/366))+(P58*($E58/366))</f>
        <v>0</v>
      </c>
      <c r="U172" s="5">
        <f>(Q57*($E57/366))+(Q58*($E58/366))</f>
        <v>26.065573770491802</v>
      </c>
      <c r="V172" s="5"/>
      <c r="W172" s="5">
        <f t="shared" si="35"/>
        <v>54.966393442622945</v>
      </c>
    </row>
    <row r="173" spans="1:23" x14ac:dyDescent="0.15">
      <c r="A173" s="1">
        <v>1985</v>
      </c>
      <c r="B173" s="5">
        <f>(K59*($E59/365))+(K60*($E60/365))</f>
        <v>0</v>
      </c>
      <c r="C173" s="5">
        <f>(L59*($E59/365))+(L60*($E60/365))</f>
        <v>0</v>
      </c>
      <c r="D173" s="5">
        <f>(M59*($E59/365))+(M60*($E60/365))</f>
        <v>100</v>
      </c>
      <c r="E173" s="17">
        <f t="shared" si="33"/>
        <v>100</v>
      </c>
      <c r="G173" s="1">
        <v>1985</v>
      </c>
      <c r="H173" s="392">
        <f>(O59/$R59*100*($E59/365))+(O60/$R60*100*($E60/365))</f>
        <v>0</v>
      </c>
      <c r="I173" s="392"/>
      <c r="J173" s="392">
        <f>(P59/$R59*100*($E59/365))+(P60/$R60*100*($E60/365))</f>
        <v>0</v>
      </c>
      <c r="K173" s="392"/>
      <c r="L173" s="392">
        <f>(Q59/$R59*100*($E59/365))+(Q60/$R60*100*($E60/365))</f>
        <v>100</v>
      </c>
      <c r="M173" s="392"/>
      <c r="N173" s="363">
        <f t="shared" si="34"/>
        <v>100</v>
      </c>
      <c r="O173" s="363"/>
      <c r="R173" s="1">
        <v>1985</v>
      </c>
      <c r="S173" s="5">
        <f>(O59*($E59/365))+(O60*($E60/365))</f>
        <v>0</v>
      </c>
      <c r="T173" s="5">
        <f>(P59*($E59/365))+(P60*($E60/365))</f>
        <v>0</v>
      </c>
      <c r="U173" s="5">
        <f>(Q59*($E59/365))+(Q60*($E60/365))</f>
        <v>60</v>
      </c>
      <c r="V173" s="5"/>
      <c r="W173" s="5">
        <f t="shared" si="35"/>
        <v>60</v>
      </c>
    </row>
    <row r="174" spans="1:23" x14ac:dyDescent="0.15">
      <c r="A174" s="1">
        <v>1986</v>
      </c>
      <c r="B174" s="5">
        <f>(K61*($E61/365))+(K62*($E62/365))</f>
        <v>0</v>
      </c>
      <c r="C174" s="5">
        <f>(L61*($E61/365))+(L62*($E62/365))</f>
        <v>0</v>
      </c>
      <c r="D174" s="5">
        <f>(M61*($E61/365))+(M62*($E62/365))</f>
        <v>100</v>
      </c>
      <c r="E174" s="17">
        <f t="shared" si="33"/>
        <v>100</v>
      </c>
      <c r="G174" s="1">
        <v>1986</v>
      </c>
      <c r="H174" s="392">
        <f>(O61/$R61*100*($E61/365))+(O62/$R62*100*($E62/365))</f>
        <v>0</v>
      </c>
      <c r="I174" s="392"/>
      <c r="J174" s="392">
        <f>(P61/$R61*100*($E61/365))+(P62/$R62*100*($E62/365))</f>
        <v>0</v>
      </c>
      <c r="K174" s="392"/>
      <c r="L174" s="392">
        <f>(Q61/$R61*100*($E61/365))+(Q62/$R62*100*($E62/365))</f>
        <v>100</v>
      </c>
      <c r="M174" s="392"/>
      <c r="N174" s="363">
        <f t="shared" si="34"/>
        <v>100</v>
      </c>
      <c r="O174" s="363"/>
      <c r="R174" s="1">
        <v>1986</v>
      </c>
      <c r="S174" s="5">
        <f>(O61*($E61/365))+(O62*($E62/365))</f>
        <v>0</v>
      </c>
      <c r="T174" s="5">
        <f>(P61*($E61/365))+(P62*($E62/365))</f>
        <v>0</v>
      </c>
      <c r="U174" s="5">
        <f>(Q61*($E61/365))+(Q62*($E62/365))</f>
        <v>60</v>
      </c>
      <c r="V174" s="5"/>
      <c r="W174" s="5">
        <f t="shared" si="35"/>
        <v>60</v>
      </c>
    </row>
    <row r="175" spans="1:23" x14ac:dyDescent="0.15">
      <c r="A175" s="1">
        <v>1987</v>
      </c>
      <c r="B175" s="5">
        <f>(K63*($E63/365))+(K64*($E64/365))</f>
        <v>0</v>
      </c>
      <c r="C175" s="5">
        <f>(L63*($E63/365))+(L64*($E64/365))</f>
        <v>0</v>
      </c>
      <c r="D175" s="5">
        <f>(M63*($E63/365))+(M64*($E64/365))</f>
        <v>100</v>
      </c>
      <c r="E175" s="17">
        <f t="shared" si="33"/>
        <v>100</v>
      </c>
      <c r="G175" s="1">
        <v>1987</v>
      </c>
      <c r="H175" s="392">
        <f>(O63/$R63*100*($E63/365))+(O64/$R64*100*($E64/365))</f>
        <v>0</v>
      </c>
      <c r="I175" s="392"/>
      <c r="J175" s="392">
        <f>(P63/$R63*100*($E63/365))+(P64/$R64*100*($E64/365))</f>
        <v>0</v>
      </c>
      <c r="K175" s="392"/>
      <c r="L175" s="392">
        <f>(Q63/$R63*100*($E63/365))+(Q64/$R64*100*($E64/365))</f>
        <v>100</v>
      </c>
      <c r="M175" s="392"/>
      <c r="N175" s="363">
        <f t="shared" si="34"/>
        <v>100</v>
      </c>
      <c r="O175" s="363"/>
      <c r="R175" s="1">
        <v>1987</v>
      </c>
      <c r="S175" s="5">
        <f>(O63*($E63/365))+(O64*($E64/365))</f>
        <v>0</v>
      </c>
      <c r="T175" s="5">
        <f>(P63*($E63/365))+(P64*($E64/365))</f>
        <v>0</v>
      </c>
      <c r="U175" s="5">
        <f>(Q63*($E63/365))+(Q64*($E64/365))</f>
        <v>59.556164383561637</v>
      </c>
      <c r="V175" s="5"/>
      <c r="W175" s="5">
        <f t="shared" si="35"/>
        <v>59.556164383561637</v>
      </c>
    </row>
    <row r="176" spans="1:23" x14ac:dyDescent="0.15">
      <c r="A176" s="1">
        <v>1988</v>
      </c>
      <c r="B176" s="5">
        <f>(K65*($E65/366))+(K66*($E66/366))</f>
        <v>0</v>
      </c>
      <c r="C176" s="5">
        <f>(L65*($E65/366))+(L66*($E66/366))</f>
        <v>0</v>
      </c>
      <c r="D176" s="5">
        <f>(M65*($E65/366))+(M66*($E66/366))</f>
        <v>100</v>
      </c>
      <c r="E176" s="17">
        <f t="shared" si="33"/>
        <v>100</v>
      </c>
      <c r="G176" s="1">
        <v>1988</v>
      </c>
      <c r="H176" s="392">
        <f>(O65/$R65*100*($E65/366))+(O66/$R66*100*($E66/366))</f>
        <v>0</v>
      </c>
      <c r="I176" s="392"/>
      <c r="J176" s="392">
        <f>(P65/$R65*100*($E65/366))+(P66/$R66*100*($E66/366))</f>
        <v>0</v>
      </c>
      <c r="K176" s="392"/>
      <c r="L176" s="392">
        <f>(Q65/$R65*100*($E65/366))+(Q66/$R66*100*($E66/366))</f>
        <v>100</v>
      </c>
      <c r="M176" s="392"/>
      <c r="N176" s="363">
        <f t="shared" si="34"/>
        <v>100</v>
      </c>
      <c r="O176" s="363"/>
      <c r="R176" s="1">
        <v>1988</v>
      </c>
      <c r="S176" s="5">
        <f>(O65*($E65/366))+(O66*($E66/366))</f>
        <v>0</v>
      </c>
      <c r="T176" s="5">
        <f>(P65*($E65/366))+(P66*($E66/366))</f>
        <v>0</v>
      </c>
      <c r="U176" s="5">
        <f>(Q65*($E65/366))+(Q66*($E66/366))</f>
        <v>58.8</v>
      </c>
      <c r="V176" s="5"/>
      <c r="W176" s="5">
        <f t="shared" si="35"/>
        <v>58.8</v>
      </c>
    </row>
    <row r="177" spans="1:23" x14ac:dyDescent="0.15">
      <c r="A177" s="1">
        <v>1989</v>
      </c>
      <c r="B177" s="5">
        <f>(K67*($E67/365))+(K68*($E68/365))</f>
        <v>0</v>
      </c>
      <c r="C177" s="5">
        <f>(L67*($E67/365))+(L68*($E68/365))</f>
        <v>0</v>
      </c>
      <c r="D177" s="5">
        <f>(M67*($E67/365))+(M68*($E68/365))</f>
        <v>100</v>
      </c>
      <c r="E177" s="17">
        <f t="shared" si="33"/>
        <v>100</v>
      </c>
      <c r="G177" s="1">
        <v>1989</v>
      </c>
      <c r="H177" s="392">
        <f>(O67/$R67*100*($E67/365))+(O68/$R68*100*($E68/365))</f>
        <v>0</v>
      </c>
      <c r="I177" s="392"/>
      <c r="J177" s="392">
        <f>(P67/$R67*100*($E67/365))+(P68/$R68*100*($E68/365))</f>
        <v>0</v>
      </c>
      <c r="K177" s="392"/>
      <c r="L177" s="392">
        <f>(Q67/$R67*100*($E67/365))+(Q68/$R68*100*($E68/365))</f>
        <v>100</v>
      </c>
      <c r="M177" s="392"/>
      <c r="N177" s="363">
        <f t="shared" si="34"/>
        <v>100</v>
      </c>
      <c r="O177" s="363"/>
      <c r="R177" s="1">
        <v>1989</v>
      </c>
      <c r="S177" s="5">
        <f>(O67*($E67/365))+(O68*($E68/365))</f>
        <v>0</v>
      </c>
      <c r="T177" s="5">
        <f>(P67*($E67/365))+(P68*($E68/365))</f>
        <v>0</v>
      </c>
      <c r="U177" s="5">
        <f>(Q67*($E67/365))+(Q68*($E68/365))</f>
        <v>58.800000000000004</v>
      </c>
      <c r="V177" s="5"/>
      <c r="W177" s="5">
        <f t="shared" si="35"/>
        <v>58.800000000000004</v>
      </c>
    </row>
    <row r="178" spans="1:23" x14ac:dyDescent="0.15">
      <c r="A178" s="1">
        <v>1990</v>
      </c>
      <c r="B178" s="5">
        <f>(K69*($E69/365))+(K70*($E70/365))</f>
        <v>16.43835616438356</v>
      </c>
      <c r="C178" s="5">
        <f>(L69*($E69/365))+(L70*($E70/365))</f>
        <v>0</v>
      </c>
      <c r="D178" s="5">
        <f>(M69*($E69/365))+(M70*($E70/365))</f>
        <v>83.561643835616437</v>
      </c>
      <c r="E178" s="17">
        <f t="shared" si="33"/>
        <v>100</v>
      </c>
      <c r="G178" s="1">
        <v>1990</v>
      </c>
      <c r="H178" s="392">
        <f>(O69/$R69*100*($E69/365))+(O70/$R70*100*($E70/365))</f>
        <v>16.43835616438356</v>
      </c>
      <c r="I178" s="392"/>
      <c r="J178" s="392">
        <f>(P69/$R69*100*($E69/365))+(P70/$R70*100*($E70/365))</f>
        <v>0</v>
      </c>
      <c r="K178" s="392"/>
      <c r="L178" s="392">
        <f>(Q69/$R69*100*($E69/365))+(Q70/$R70*100*($E70/365))</f>
        <v>83.561643835616437</v>
      </c>
      <c r="M178" s="392"/>
      <c r="N178" s="363">
        <f t="shared" si="34"/>
        <v>100</v>
      </c>
      <c r="O178" s="363"/>
      <c r="R178" s="1">
        <v>1990</v>
      </c>
      <c r="S178" s="5">
        <f>(O69*($E69/365))+(O70*($E70/365))</f>
        <v>11.523287671232875</v>
      </c>
      <c r="T178" s="5">
        <f>(P69*($E69/365))+(P70*($E70/365))</f>
        <v>0</v>
      </c>
      <c r="U178" s="5">
        <f>(Q69*($E69/365))+(Q70*($E70/365))</f>
        <v>49.134246575342466</v>
      </c>
      <c r="V178" s="5"/>
      <c r="W178" s="5">
        <f t="shared" si="35"/>
        <v>60.657534246575338</v>
      </c>
    </row>
    <row r="179" spans="1:23" x14ac:dyDescent="0.15">
      <c r="A179" s="1">
        <v>1991</v>
      </c>
      <c r="B179" s="5">
        <f>(K71*($E71/365))+(K72*($E72/365))</f>
        <v>100</v>
      </c>
      <c r="C179" s="5">
        <f>(L71*($E71/365))+(L72*($E72/365))</f>
        <v>0</v>
      </c>
      <c r="D179" s="5">
        <f>(M71*($E71/365))+(M72*($E72/365))</f>
        <v>0</v>
      </c>
      <c r="E179" s="17">
        <f t="shared" si="33"/>
        <v>100</v>
      </c>
      <c r="G179" s="1">
        <v>1991</v>
      </c>
      <c r="H179" s="392">
        <f>(O71/$R71*100*($E71/365))+(O72/$R72*100*($E72/365))</f>
        <v>100</v>
      </c>
      <c r="I179" s="392"/>
      <c r="J179" s="392">
        <f>(P71/$R71*100*($E71/365))+(P72/$R72*100*($E72/365))</f>
        <v>0</v>
      </c>
      <c r="K179" s="392"/>
      <c r="L179" s="392">
        <f>(Q71/$R71*100*($E71/365))+(Q72/$R72*100*($E72/365))</f>
        <v>0</v>
      </c>
      <c r="M179" s="392"/>
      <c r="N179" s="363">
        <f t="shared" si="34"/>
        <v>100</v>
      </c>
      <c r="O179" s="363"/>
      <c r="R179" s="1">
        <v>1991</v>
      </c>
      <c r="S179" s="5">
        <f>(O71*($E71/365))+(O72*($E72/365))</f>
        <v>70.099999999999994</v>
      </c>
      <c r="T179" s="5">
        <f>(P71*($E71/365))+(P72*($E72/365))</f>
        <v>0</v>
      </c>
      <c r="U179" s="5">
        <f>(Q71*($E71/365))+(Q72*($E72/365))</f>
        <v>0</v>
      </c>
      <c r="V179" s="5"/>
      <c r="W179" s="5">
        <f t="shared" si="35"/>
        <v>70.099999999999994</v>
      </c>
    </row>
    <row r="180" spans="1:23" x14ac:dyDescent="0.15">
      <c r="A180" s="1">
        <v>1992</v>
      </c>
      <c r="B180" s="5">
        <f>(K73*($E73/366))+(K74*($E74/366))</f>
        <v>100</v>
      </c>
      <c r="C180" s="5">
        <f>(L73*($E73/366))+(L74*($E74/366))</f>
        <v>0</v>
      </c>
      <c r="D180" s="5">
        <f>(M73*($E73/366))+(M74*($E74/366))</f>
        <v>0</v>
      </c>
      <c r="E180" s="17">
        <f t="shared" si="33"/>
        <v>100</v>
      </c>
      <c r="G180" s="1">
        <v>1992</v>
      </c>
      <c r="H180" s="392">
        <f>(O73/$R73*100*($E73/366))+(O74/$R74*100*($E74/366))</f>
        <v>100</v>
      </c>
      <c r="I180" s="392"/>
      <c r="J180" s="392">
        <f>(P73/$R73*100*($E73/366))+(P74/$R74*100*($E74/366))</f>
        <v>0</v>
      </c>
      <c r="K180" s="392"/>
      <c r="L180" s="392">
        <f>(Q73/$R73*100*($E73/366))+(Q74/$R74*100*($E74/366))</f>
        <v>0</v>
      </c>
      <c r="M180" s="392"/>
      <c r="N180" s="363">
        <f t="shared" si="34"/>
        <v>100</v>
      </c>
      <c r="O180" s="363"/>
      <c r="R180" s="1">
        <v>1992</v>
      </c>
      <c r="S180" s="5">
        <f>(O73*($E73/366))+(O74*($E74/366))</f>
        <v>70.099999999999994</v>
      </c>
      <c r="T180" s="5">
        <f>(P73*($E73/366))+(P74*($E74/366))</f>
        <v>0</v>
      </c>
      <c r="U180" s="5">
        <f>(Q73*($E73/366))+(Q74*($E74/366))</f>
        <v>0</v>
      </c>
      <c r="V180" s="5"/>
      <c r="W180" s="5">
        <f t="shared" si="35"/>
        <v>70.099999999999994</v>
      </c>
    </row>
    <row r="181" spans="1:23" x14ac:dyDescent="0.15">
      <c r="A181" s="1">
        <v>1993</v>
      </c>
      <c r="B181" s="5">
        <f>(K75*($E75/365))+(K76*($E76/365))</f>
        <v>100.00000000000001</v>
      </c>
      <c r="C181" s="5">
        <f>(L75*($E75/365))+(L76*($E76/365))</f>
        <v>0</v>
      </c>
      <c r="D181" s="5">
        <f>(M75*($E75/365))+(M76*($E76/365))</f>
        <v>0</v>
      </c>
      <c r="E181" s="17">
        <f t="shared" si="33"/>
        <v>100.00000000000001</v>
      </c>
      <c r="G181" s="1">
        <v>1993</v>
      </c>
      <c r="H181" s="392">
        <f>(O75/$R75*100*($E75/365))+(O76/$R76*100*($E76/365))</f>
        <v>100.00000000000001</v>
      </c>
      <c r="I181" s="392"/>
      <c r="J181" s="392">
        <f>(P75/$R75*100*($E75/365))+(P76/$R76*100*($E76/365))</f>
        <v>0</v>
      </c>
      <c r="K181" s="392"/>
      <c r="L181" s="392">
        <f>(Q75/$R75*100*($E75/365))+(Q76/$R76*100*($E76/365))</f>
        <v>0</v>
      </c>
      <c r="M181" s="392"/>
      <c r="N181" s="363">
        <f t="shared" si="34"/>
        <v>100.00000000000001</v>
      </c>
      <c r="O181" s="363"/>
      <c r="R181" s="1">
        <v>1993</v>
      </c>
      <c r="S181" s="5">
        <f>(O75*($E75/365))+(O76*($E76/365))</f>
        <v>68.27424657534246</v>
      </c>
      <c r="T181" s="5">
        <f>(P75*($E75/365))+(P76*($E76/365))</f>
        <v>0</v>
      </c>
      <c r="U181" s="5">
        <f>(Q75*($E75/365))+(Q76*($E76/365))</f>
        <v>0</v>
      </c>
      <c r="V181" s="5"/>
      <c r="W181" s="5">
        <f t="shared" si="35"/>
        <v>68.27424657534246</v>
      </c>
    </row>
    <row r="182" spans="1:23" x14ac:dyDescent="0.15">
      <c r="A182" s="1">
        <v>1994</v>
      </c>
      <c r="B182" s="5">
        <f>(K77*($E77/365))+(K78*($E78/365))</f>
        <v>100</v>
      </c>
      <c r="C182" s="5">
        <f>(L77*($E77/365))+(L78*($E78/365))</f>
        <v>0</v>
      </c>
      <c r="D182" s="5">
        <f>(M77*($E77/365))+(M78*($E78/365))</f>
        <v>0</v>
      </c>
      <c r="E182" s="17">
        <f t="shared" si="33"/>
        <v>100</v>
      </c>
      <c r="G182" s="1">
        <v>1994</v>
      </c>
      <c r="H182" s="392">
        <f>(O77/$R77*100*($E77/365))+(O78/$R78*100*($E78/365))</f>
        <v>100</v>
      </c>
      <c r="I182" s="392"/>
      <c r="J182" s="392">
        <f>(P77/$R77*100*($E77/365))+(P78/$R78*100*($E78/365))</f>
        <v>0</v>
      </c>
      <c r="K182" s="392"/>
      <c r="L182" s="392">
        <f>(Q77/$R77*100*($E77/365))+(Q78/$R78*100*($E78/365))</f>
        <v>0</v>
      </c>
      <c r="M182" s="392"/>
      <c r="N182" s="363">
        <f t="shared" si="34"/>
        <v>100</v>
      </c>
      <c r="O182" s="363"/>
      <c r="R182" s="1">
        <v>1994</v>
      </c>
      <c r="S182" s="5">
        <f>(O77*($E77/365))+(O78*($E78/365))</f>
        <v>50.5</v>
      </c>
      <c r="T182" s="5">
        <f>(P77*($E77/365))+(P78*($E78/365))</f>
        <v>0</v>
      </c>
      <c r="U182" s="5">
        <f>(Q77*($E77/365))+(Q78*($E78/365))</f>
        <v>0</v>
      </c>
      <c r="V182" s="5"/>
      <c r="W182" s="5">
        <f t="shared" si="35"/>
        <v>50.5</v>
      </c>
    </row>
    <row r="183" spans="1:23" x14ac:dyDescent="0.15">
      <c r="A183" s="1">
        <v>1995</v>
      </c>
      <c r="B183" s="5">
        <f>(K79*($E79/365))+(K80*($E80/365))</f>
        <v>100</v>
      </c>
      <c r="C183" s="5">
        <f>(L79*($E79/365))+(L80*($E80/365))</f>
        <v>0</v>
      </c>
      <c r="D183" s="5">
        <f>(M79*($E79/365))+(M80*($E80/365))</f>
        <v>0</v>
      </c>
      <c r="E183" s="17">
        <f t="shared" si="33"/>
        <v>100</v>
      </c>
      <c r="G183" s="1">
        <v>1995</v>
      </c>
      <c r="H183" s="392">
        <f>(O79/$R79*100*($E79/365))+(O80/$R80*100*($E80/365))</f>
        <v>100</v>
      </c>
      <c r="I183" s="392"/>
      <c r="J183" s="392">
        <f>(P79/$R79*100*($E79/365))+(P80/$R80*100*($E80/365))</f>
        <v>0</v>
      </c>
      <c r="K183" s="392"/>
      <c r="L183" s="392">
        <f>(Q79/$R79*100*($E79/365))+(Q80/$R80*100*($E80/365))</f>
        <v>0</v>
      </c>
      <c r="M183" s="392"/>
      <c r="N183" s="363">
        <f t="shared" si="34"/>
        <v>100</v>
      </c>
      <c r="O183" s="363"/>
      <c r="R183" s="1">
        <v>1995</v>
      </c>
      <c r="S183" s="5">
        <f>(O79*($E79/365))+(O80*($E80/365))</f>
        <v>50.5</v>
      </c>
      <c r="T183" s="5">
        <f>(P79*($E79/365))+(P80*($E80/365))</f>
        <v>0</v>
      </c>
      <c r="U183" s="5">
        <f>(Q79*($E79/365))+(Q80*($E80/365))</f>
        <v>0</v>
      </c>
      <c r="V183" s="5"/>
      <c r="W183" s="5">
        <f t="shared" si="35"/>
        <v>50.5</v>
      </c>
    </row>
    <row r="184" spans="1:23" x14ac:dyDescent="0.15">
      <c r="A184" s="1">
        <v>1996</v>
      </c>
      <c r="B184" s="5">
        <f>(K81*($E81/366))+(K83*($E83/366))+(K82*(E82/366))</f>
        <v>100</v>
      </c>
      <c r="C184" s="5">
        <f>(L81*($E81/366))+(L83*($E83/366))+(L82*(F82/366))</f>
        <v>0</v>
      </c>
      <c r="D184" s="5">
        <f>(M81*($E81/366))+(M83*($E83/366))+(M82*(G82/366))</f>
        <v>0</v>
      </c>
      <c r="E184" s="17">
        <f t="shared" si="33"/>
        <v>100</v>
      </c>
      <c r="G184" s="1">
        <v>1996</v>
      </c>
      <c r="H184" s="392">
        <f>(O81/$R81*100*($E81/366))+(O83/$R83*100*($E83/366))+(O82/$R82*100*(E82/366))</f>
        <v>100</v>
      </c>
      <c r="I184" s="392"/>
      <c r="J184" s="392">
        <f>(P81/$R81*100*($E81/366))+(P83/$R83*100*($E83/366))</f>
        <v>0</v>
      </c>
      <c r="K184" s="392"/>
      <c r="L184" s="392">
        <f>(Q81/$R81*100*($E81/366))+(Q83/$R83*100*($E83/366))</f>
        <v>0</v>
      </c>
      <c r="M184" s="392"/>
      <c r="N184" s="363">
        <f t="shared" si="34"/>
        <v>100</v>
      </c>
      <c r="O184" s="363"/>
      <c r="R184" s="1">
        <v>1996</v>
      </c>
      <c r="S184" s="5">
        <f>(O81*($E81/366))+(O83*($E83/366))+(O82*(E82/366))</f>
        <v>50.43825136612022</v>
      </c>
      <c r="T184" s="5">
        <f>(P81*($E81/366))+(P83*($E83/366))</f>
        <v>0</v>
      </c>
      <c r="U184" s="5">
        <f>(Q81*($E81/366))+(Q83*($E83/366))</f>
        <v>0</v>
      </c>
      <c r="V184" s="5"/>
      <c r="W184" s="5">
        <f t="shared" si="35"/>
        <v>50.43825136612022</v>
      </c>
    </row>
    <row r="185" spans="1:23" x14ac:dyDescent="0.15">
      <c r="A185" s="1">
        <v>1997</v>
      </c>
      <c r="B185" s="5">
        <f>(K84*($E84/365))+(K85*($E85/365))</f>
        <v>100</v>
      </c>
      <c r="C185" s="5">
        <f>(L84*($E84/365))+(L85*($E85/365))</f>
        <v>0</v>
      </c>
      <c r="D185" s="5">
        <f>(M84*($E84/365))+(M85*($E85/365))</f>
        <v>0</v>
      </c>
      <c r="E185" s="17">
        <f t="shared" si="33"/>
        <v>100</v>
      </c>
      <c r="G185" s="1">
        <v>1997</v>
      </c>
      <c r="H185" s="392">
        <f>(O84/$R84*100*($E84/365))+(O85/$R85*100*($E85/365))</f>
        <v>100</v>
      </c>
      <c r="I185" s="392"/>
      <c r="J185" s="392">
        <f>(P84/$R84*100*($E84/365))+(P85/$R85*100*($E85/365))</f>
        <v>0</v>
      </c>
      <c r="K185" s="392"/>
      <c r="L185" s="392">
        <f>(Q84/$R84*100*($E84/365))+(Q85/$R85*100*($E85/365))</f>
        <v>0</v>
      </c>
      <c r="M185" s="392"/>
      <c r="N185" s="363">
        <f t="shared" si="34"/>
        <v>100</v>
      </c>
      <c r="O185" s="363"/>
      <c r="R185" s="1">
        <v>1997</v>
      </c>
      <c r="S185" s="5">
        <f>(O84*($E84/365))+(O85*($E85/365))</f>
        <v>50.900000000000006</v>
      </c>
      <c r="T185" s="5">
        <f>(P84*($E84/365))+(P85*($E85/365))</f>
        <v>0</v>
      </c>
      <c r="U185" s="5">
        <f>(Q84*($E84/365))+(Q85*($E85/365))</f>
        <v>0</v>
      </c>
      <c r="V185" s="5"/>
      <c r="W185" s="5">
        <f t="shared" si="35"/>
        <v>50.900000000000006</v>
      </c>
    </row>
    <row r="186" spans="1:23" x14ac:dyDescent="0.15">
      <c r="A186" s="1">
        <v>1998</v>
      </c>
      <c r="B186" s="5">
        <f>(K86*($E86/365))+(K87*($E87/365))</f>
        <v>98.12785388127854</v>
      </c>
      <c r="C186" s="5">
        <f>(L86*($E86/365))+(L87*($E87/365))</f>
        <v>0</v>
      </c>
      <c r="D186" s="5">
        <f>(M86*($E86/365))+(M87*($E87/365))</f>
        <v>0</v>
      </c>
      <c r="E186" s="17">
        <f t="shared" si="33"/>
        <v>98.12785388127854</v>
      </c>
      <c r="G186" s="1">
        <v>1998</v>
      </c>
      <c r="H186" s="392">
        <f>(O86/$R86*100*($E86/365))+(O87/$R87*100*($E87/365))</f>
        <v>100</v>
      </c>
      <c r="I186" s="392"/>
      <c r="J186" s="392">
        <f>(P86/$R86*100*($E86/365))+(P87/$R87*100*($E87/365))</f>
        <v>0</v>
      </c>
      <c r="K186" s="392"/>
      <c r="L186" s="392">
        <f>(Q86/$R86*100*($E86/365))+(Q87/$R87*100*($E87/365))</f>
        <v>0</v>
      </c>
      <c r="M186" s="392"/>
      <c r="N186" s="363">
        <f t="shared" si="34"/>
        <v>100</v>
      </c>
      <c r="O186" s="363"/>
      <c r="R186" s="1">
        <v>1998</v>
      </c>
      <c r="S186" s="5">
        <f>(O86*($E86/365))+(O87*($E87/365))</f>
        <v>46.114794520547953</v>
      </c>
      <c r="T186" s="5">
        <f>(P86*($E86/365))+(P87*($E87/365))</f>
        <v>0</v>
      </c>
      <c r="U186" s="5">
        <f>(Q86*($E86/365))+(Q87*($E87/365))</f>
        <v>0</v>
      </c>
      <c r="V186" s="5"/>
      <c r="W186" s="5">
        <f t="shared" si="35"/>
        <v>46.114794520547953</v>
      </c>
    </row>
    <row r="187" spans="1:23" x14ac:dyDescent="0.15">
      <c r="A187" s="1">
        <v>1999</v>
      </c>
      <c r="B187" s="5">
        <f>(K88*($E88/365))+(K89*($E89/365))</f>
        <v>88.493150684931507</v>
      </c>
      <c r="C187" s="5">
        <f>(L88*($E88/365))+(L89*($E89/365))</f>
        <v>0</v>
      </c>
      <c r="D187" s="5">
        <f>(M88*($E88/365))+(M89*($E89/365))</f>
        <v>6.3013698630136989</v>
      </c>
      <c r="E187" s="17">
        <f t="shared" si="33"/>
        <v>94.794520547945211</v>
      </c>
      <c r="G187" s="1">
        <v>1999</v>
      </c>
      <c r="H187" s="392">
        <f>(O88/$R88*100*($E88/365))+(O89/$R89*100*($E89/365))</f>
        <v>93.69863013698631</v>
      </c>
      <c r="I187" s="392"/>
      <c r="J187" s="392">
        <f>(P88/$R88*100*($E88/365))+(P89/$R89*100*($E89/365))</f>
        <v>0</v>
      </c>
      <c r="K187" s="392"/>
      <c r="L187" s="392">
        <f>(Q88/$R88*100*($E88/365))+(Q89/$R89*100*($E89/365))</f>
        <v>6.3013698630136989</v>
      </c>
      <c r="M187" s="392"/>
      <c r="N187" s="363">
        <f t="shared" si="34"/>
        <v>100.00000000000001</v>
      </c>
      <c r="O187" s="363"/>
      <c r="R187" s="1">
        <v>1999</v>
      </c>
      <c r="S187" s="5">
        <f>(O88*($E88/365))+(O89*($E89/365))</f>
        <v>34.387397260273978</v>
      </c>
      <c r="T187" s="5">
        <f>(P88*($E88/365))+(P89*($E89/365))</f>
        <v>0</v>
      </c>
      <c r="U187" s="5">
        <f>(Q88*($E88/365))+(Q89*($E89/365))</f>
        <v>3.0939726027397265</v>
      </c>
      <c r="V187" s="5"/>
      <c r="W187" s="5">
        <f t="shared" si="35"/>
        <v>37.481369863013704</v>
      </c>
    </row>
    <row r="188" spans="1:23" x14ac:dyDescent="0.15">
      <c r="A188" s="1">
        <v>2000</v>
      </c>
      <c r="B188" s="5">
        <f>(K90*($E90/366))+(K91*($E91/366))</f>
        <v>0</v>
      </c>
      <c r="C188" s="5">
        <f>(L90*($E90/366))+(L91*($E91/366))</f>
        <v>0</v>
      </c>
      <c r="D188" s="5">
        <f>(M90*($E90/366))+(M91*($E91/366))</f>
        <v>100</v>
      </c>
      <c r="E188" s="17">
        <f t="shared" si="33"/>
        <v>100</v>
      </c>
      <c r="G188" s="1">
        <v>2000</v>
      </c>
      <c r="H188" s="392">
        <f>(O90/$R90*100*($E90/366))+(O91/$R91*100*($E91/366))</f>
        <v>0</v>
      </c>
      <c r="I188" s="392"/>
      <c r="J188" s="392">
        <f>(P90/$R90*100*($E90/366))+(P91/$R91*100*($E91/366))</f>
        <v>0</v>
      </c>
      <c r="K188" s="392"/>
      <c r="L188" s="392">
        <f>(Q90/$R90*100*($E90/366))+(Q91/$R91*100*($E91/366))</f>
        <v>100</v>
      </c>
      <c r="M188" s="392"/>
      <c r="N188" s="363">
        <f t="shared" si="34"/>
        <v>100</v>
      </c>
      <c r="O188" s="363"/>
      <c r="R188" s="1">
        <v>2000</v>
      </c>
      <c r="S188" s="5">
        <f>(O90*($E90/366))+(O91*($E91/366))</f>
        <v>0</v>
      </c>
      <c r="T188" s="5">
        <f>(P90*($E90/366))+(P91*($E91/366))</f>
        <v>0</v>
      </c>
      <c r="U188" s="5">
        <f>(Q90*($E90/366))+(Q91*($E91/366))</f>
        <v>49.1</v>
      </c>
      <c r="V188" s="5"/>
      <c r="W188" s="5">
        <f t="shared" si="35"/>
        <v>49.1</v>
      </c>
    </row>
    <row r="189" spans="1:23" x14ac:dyDescent="0.15">
      <c r="A189" s="1">
        <v>2001</v>
      </c>
      <c r="B189" s="5">
        <f>(K92*($E92/365))+(K93*($E93/365))</f>
        <v>0</v>
      </c>
      <c r="C189" s="5">
        <f>(L92*($E92/365))+(L93*($E93/365))</f>
        <v>0</v>
      </c>
      <c r="D189" s="5">
        <f>(M92*($E92/365))+(M93*($E93/365))</f>
        <v>100</v>
      </c>
      <c r="E189" s="17">
        <f t="shared" si="33"/>
        <v>100</v>
      </c>
      <c r="G189" s="1">
        <v>2001</v>
      </c>
      <c r="H189" s="392">
        <f>(O92/$R92*100*($E92/365))+(O93/$R93*100*($E93/365))</f>
        <v>0</v>
      </c>
      <c r="I189" s="392"/>
      <c r="J189" s="392">
        <f>(P92/$R92*100*($E92/365))+(P93/$R93*100*($E93/365))</f>
        <v>0</v>
      </c>
      <c r="K189" s="392"/>
      <c r="L189" s="392">
        <f>(Q92/$R92*100*($E92/365))+(Q93/$R93*100*($E93/365))</f>
        <v>100</v>
      </c>
      <c r="M189" s="392"/>
      <c r="N189" s="363">
        <f t="shared" si="34"/>
        <v>100</v>
      </c>
      <c r="O189" s="363"/>
      <c r="R189" s="1">
        <v>2001</v>
      </c>
      <c r="S189" s="5">
        <f>(O92*($E92/365))+(O93*($E93/365))</f>
        <v>0</v>
      </c>
      <c r="T189" s="5">
        <f>(P92*($E92/365))+(P93*($E93/365))</f>
        <v>0</v>
      </c>
      <c r="U189" s="5">
        <f>(Q92*($E92/365))+(Q93*($E93/365))</f>
        <v>49.1</v>
      </c>
      <c r="V189" s="5"/>
      <c r="W189" s="5">
        <f t="shared" si="35"/>
        <v>49.1</v>
      </c>
    </row>
    <row r="190" spans="1:23" x14ac:dyDescent="0.15">
      <c r="A190" s="1">
        <v>2002</v>
      </c>
      <c r="B190" s="5">
        <f>(K94*($E94/365))+(K95*($E95/365))</f>
        <v>0</v>
      </c>
      <c r="C190" s="5">
        <f>(L94*($E94/365))+(L95*($E95/365))</f>
        <v>0</v>
      </c>
      <c r="D190" s="5">
        <f>(M94*($E94/365))+(M95*($E95/365))</f>
        <v>100</v>
      </c>
      <c r="E190" s="17">
        <f t="shared" si="33"/>
        <v>100</v>
      </c>
      <c r="G190" s="1">
        <v>2002</v>
      </c>
      <c r="H190" s="392">
        <f>(O94/$R94*100*($E94/365))+(O95/$R95*100*($E95/365))</f>
        <v>0</v>
      </c>
      <c r="I190" s="392"/>
      <c r="J190" s="392">
        <f>(P94/$R94*100*($E94/365))+(P95/$R95*100*($E95/365))</f>
        <v>0</v>
      </c>
      <c r="K190" s="392"/>
      <c r="L190" s="392">
        <f>(Q94/$R94*100*($E94/365))+(Q95/$R95*100*($E95/365))</f>
        <v>100</v>
      </c>
      <c r="M190" s="392"/>
      <c r="N190" s="363">
        <f t="shared" si="34"/>
        <v>100</v>
      </c>
      <c r="O190" s="363"/>
      <c r="R190" s="1">
        <v>2002</v>
      </c>
      <c r="S190" s="5">
        <f>(O94*($E94/365))+(O95*($E95/365))</f>
        <v>0</v>
      </c>
      <c r="T190" s="5">
        <f>(P94*($E94/365))+(P95*($E95/365))</f>
        <v>0</v>
      </c>
      <c r="U190" s="5">
        <f>(Q94*($E94/365))+(Q95*($E95/365))</f>
        <v>47.538630136986299</v>
      </c>
      <c r="V190" s="5"/>
      <c r="W190" s="5">
        <f t="shared" si="35"/>
        <v>47.538630136986299</v>
      </c>
    </row>
    <row r="191" spans="1:23" x14ac:dyDescent="0.15">
      <c r="A191" s="1">
        <v>2003</v>
      </c>
      <c r="B191" s="5">
        <f>(K96*($E96/365))+(K97*($E97/365))</f>
        <v>0</v>
      </c>
      <c r="C191" s="5">
        <f>(L96*($E96/365))+(L97*($E97/365))</f>
        <v>0</v>
      </c>
      <c r="D191" s="5">
        <f>(M96*($E96/365))+(M97*($E97/365))</f>
        <v>100</v>
      </c>
      <c r="E191" s="17">
        <f t="shared" si="33"/>
        <v>100</v>
      </c>
      <c r="G191" s="1">
        <v>2003</v>
      </c>
      <c r="H191" s="392">
        <f>(O96/$R96*100*($E96/365))+(O97/$R97*100*($E97/365))</f>
        <v>0</v>
      </c>
      <c r="I191" s="392"/>
      <c r="J191" s="392">
        <f>(P96/$R96*100*($E96/365))+(P97/$R97*100*($E97/365))</f>
        <v>0</v>
      </c>
      <c r="K191" s="392"/>
      <c r="L191" s="392">
        <f>(Q96/$R96*100*($E96/365))+(Q97/$R97*100*($E97/365))</f>
        <v>100</v>
      </c>
      <c r="M191" s="392"/>
      <c r="N191" s="363">
        <f t="shared" si="34"/>
        <v>100</v>
      </c>
      <c r="O191" s="363"/>
      <c r="R191" s="1">
        <v>2003</v>
      </c>
      <c r="S191" s="5">
        <f>(O96*($E96/365))+(O97*($E97/365))</f>
        <v>0</v>
      </c>
      <c r="T191" s="5">
        <f>(P96*($E96/365))+(P97*($E97/365))</f>
        <v>0</v>
      </c>
      <c r="U191" s="5">
        <f>(Q96*($E96/365))+(Q97*($E97/365))</f>
        <v>45</v>
      </c>
      <c r="V191" s="5"/>
      <c r="W191" s="5">
        <f t="shared" si="35"/>
        <v>45</v>
      </c>
    </row>
    <row r="192" spans="1:23" x14ac:dyDescent="0.15">
      <c r="A192" s="1">
        <v>2004</v>
      </c>
      <c r="B192" s="5">
        <f>(K98*($E98/366))+(K99*($E99/366))</f>
        <v>0</v>
      </c>
      <c r="C192" s="5">
        <f>(L98*($E98/366))+(L99*($E99/366))</f>
        <v>0</v>
      </c>
      <c r="D192" s="5">
        <f>(M98*($E98/366))+(M99*($E99/366))</f>
        <v>100</v>
      </c>
      <c r="E192" s="17">
        <f t="shared" si="33"/>
        <v>100</v>
      </c>
      <c r="G192" s="1">
        <v>2004</v>
      </c>
      <c r="H192" s="392">
        <f>(O98/$R98*100*($E98/366))+(O99/$R99*100*($E99/366))</f>
        <v>0</v>
      </c>
      <c r="I192" s="392"/>
      <c r="J192" s="392">
        <f>(P98/$R98*100*($E98/366))+(P99/$R99*100*($E99/366))</f>
        <v>0</v>
      </c>
      <c r="K192" s="392"/>
      <c r="L192" s="392">
        <f>(Q98/$R98*100*($E98/366))+(Q99/$R99*100*($E99/366))</f>
        <v>100</v>
      </c>
      <c r="M192" s="392"/>
      <c r="N192" s="363">
        <f t="shared" si="34"/>
        <v>100</v>
      </c>
      <c r="O192" s="363"/>
      <c r="R192" s="1">
        <v>2004</v>
      </c>
      <c r="S192" s="5">
        <f>(O98*($E98/366))+(O99*($E99/366))</f>
        <v>0</v>
      </c>
      <c r="T192" s="5">
        <f>(P98*($E98/366))+(P99*($E99/366))</f>
        <v>0</v>
      </c>
      <c r="U192" s="5">
        <f>(Q98*($E98/366))+(Q99*($E99/366))</f>
        <v>44.999999999999993</v>
      </c>
      <c r="V192" s="5"/>
      <c r="W192" s="5">
        <f t="shared" si="35"/>
        <v>44.999999999999993</v>
      </c>
    </row>
    <row r="193" spans="1:23" x14ac:dyDescent="0.15">
      <c r="A193" s="1">
        <v>2005</v>
      </c>
      <c r="B193" s="5">
        <f>(K100*($E100/365))+(K101*($E101/365))+(K102*($E102/365))</f>
        <v>0</v>
      </c>
      <c r="C193" s="5">
        <f>(L100*($E100/365))+(L101*($E101/365))+(L102*($E102/365))</f>
        <v>0</v>
      </c>
      <c r="D193" s="5">
        <f>(M100*($E100/365))+(M101*($E101/365))+(M102*($E102/365))</f>
        <v>100</v>
      </c>
      <c r="E193" s="17">
        <f t="shared" si="33"/>
        <v>100</v>
      </c>
      <c r="G193" s="1">
        <v>2005</v>
      </c>
      <c r="H193" s="392">
        <f>(O100/$R100*100*($E100/365))+(O101/$R101*100*($E101/365))+(O102/$R102*100*($E102/365))</f>
        <v>0</v>
      </c>
      <c r="I193" s="392"/>
      <c r="J193" s="392">
        <f>(P100/$R100*100*($E100/365))+(P101/$R101*100*($E101/365))+(P102/$R102*100*($E102/365))</f>
        <v>0</v>
      </c>
      <c r="K193" s="392"/>
      <c r="L193" s="392">
        <f>(Q100/$R100*100*($E100/365))+(Q101/$R101*100*($E101/365))+(Q102/$R102*100*($E102/365))</f>
        <v>100</v>
      </c>
      <c r="M193" s="392"/>
      <c r="N193" s="363">
        <f t="shared" si="34"/>
        <v>100</v>
      </c>
      <c r="O193" s="363"/>
      <c r="R193" s="1">
        <v>2005</v>
      </c>
      <c r="S193" s="5">
        <f>(O100*($E100/365))+(O101*($E101/365))+(O102*($E102/365))</f>
        <v>0</v>
      </c>
      <c r="T193" s="5">
        <f>(P100*($E100/365))+(P101*($E101/365))+(P102*($E102/365))</f>
        <v>0</v>
      </c>
      <c r="U193" s="5">
        <f>(Q100*($E100/365))+(Q101*($E101/365))+(Q102*($E102/365))</f>
        <v>42.560821917808219</v>
      </c>
      <c r="V193" s="5"/>
      <c r="W193" s="5">
        <f t="shared" si="35"/>
        <v>42.560821917808219</v>
      </c>
    </row>
    <row r="194" spans="1:23" x14ac:dyDescent="0.15">
      <c r="A194" s="1">
        <v>2006</v>
      </c>
      <c r="B194" s="5">
        <f>(K103*($E103/365))+(K104*($E104/365))</f>
        <v>0</v>
      </c>
      <c r="C194" s="5">
        <f>(L103*($E103/365))+(L104*($E104/365))</f>
        <v>0</v>
      </c>
      <c r="D194" s="5">
        <f>(M103*($E103/365))+(M104*($E104/365))</f>
        <v>100</v>
      </c>
      <c r="E194" s="17">
        <f t="shared" si="33"/>
        <v>100</v>
      </c>
      <c r="G194" s="1">
        <v>2006</v>
      </c>
      <c r="H194" s="392">
        <f>(O103/$R103*100*($E103/365))+(O104/$R104*100*($E104/365))</f>
        <v>0</v>
      </c>
      <c r="I194" s="392"/>
      <c r="J194" s="392">
        <f>(P103/$R103*100*($E103/365))+(P104/$R104*100*($E104/365))</f>
        <v>0</v>
      </c>
      <c r="K194" s="392"/>
      <c r="L194" s="392">
        <f>(Q103/$R103*100*($E103/365))+(Q104/$R104*100*($E104/365))</f>
        <v>100</v>
      </c>
      <c r="M194" s="392"/>
      <c r="N194" s="363">
        <f t="shared" si="34"/>
        <v>100</v>
      </c>
      <c r="O194" s="363"/>
      <c r="R194" s="1">
        <v>2006</v>
      </c>
      <c r="S194" s="5">
        <f>(O103*($E103/365))+(O104*($E104/365))</f>
        <v>0</v>
      </c>
      <c r="T194" s="5">
        <f>(P103*($E103/365))+(P104*($E104/365))</f>
        <v>0</v>
      </c>
      <c r="U194" s="5">
        <f>(Q103*($E103/365))+(Q104*($E104/365))</f>
        <v>42.1</v>
      </c>
      <c r="V194" s="5"/>
      <c r="W194" s="5">
        <f t="shared" si="35"/>
        <v>42.1</v>
      </c>
    </row>
    <row r="195" spans="1:23" x14ac:dyDescent="0.15">
      <c r="A195" s="1">
        <v>2007</v>
      </c>
      <c r="B195" s="5">
        <f>(K105*($E105/365))+(K106*($E106/365))</f>
        <v>0</v>
      </c>
      <c r="C195" s="5">
        <f>(L105*($E105/365))+(L106*($E106/365))</f>
        <v>0</v>
      </c>
      <c r="D195" s="5">
        <f>(M105*($E105/365))+(M106*($E106/365))</f>
        <v>100</v>
      </c>
      <c r="E195" s="17">
        <f t="shared" si="33"/>
        <v>100</v>
      </c>
      <c r="G195" s="1">
        <v>2007</v>
      </c>
      <c r="H195" s="392">
        <f>(O105/$R105*100*($E105/365))+(O106/$R106*100*($E106/365))</f>
        <v>0</v>
      </c>
      <c r="I195" s="392"/>
      <c r="J195" s="392">
        <f>(P105/$R105*100*($E105/365))+(P106/$R106*100*($E106/365))</f>
        <v>0</v>
      </c>
      <c r="K195" s="392"/>
      <c r="L195" s="392">
        <f>(Q105/$R105*100*($E105/365))+(Q106/$R106*100*($E106/365))</f>
        <v>100</v>
      </c>
      <c r="M195" s="392"/>
      <c r="N195" s="363">
        <f t="shared" si="34"/>
        <v>100</v>
      </c>
      <c r="O195" s="363"/>
      <c r="R195" s="1">
        <v>2007</v>
      </c>
      <c r="S195" s="5">
        <f>(O105*($E105/365))+(O106*($E106/365))</f>
        <v>0</v>
      </c>
      <c r="T195" s="5">
        <f>(P105*($E105/365))+(P106*($E106/365))</f>
        <v>0</v>
      </c>
      <c r="U195" s="5">
        <f>(Q105*($E105/365))+(Q106*($E106/365))</f>
        <v>42.1</v>
      </c>
      <c r="V195" s="5"/>
      <c r="W195" s="5">
        <f t="shared" si="35"/>
        <v>42.1</v>
      </c>
    </row>
    <row r="196" spans="1:23" x14ac:dyDescent="0.15">
      <c r="A196" s="1">
        <v>2008</v>
      </c>
      <c r="B196" s="5">
        <f>(K107*($E107/366))+(K108*($E108/366))</f>
        <v>11.748633879781421</v>
      </c>
      <c r="C196" s="5">
        <f>(L107*($E107/366))+(L108*($E108/366))</f>
        <v>0</v>
      </c>
      <c r="D196" s="5">
        <f>(M107*($E107/366))+(M108*($E108/366))</f>
        <v>88.251366120218577</v>
      </c>
      <c r="E196" s="17">
        <f t="shared" si="33"/>
        <v>100</v>
      </c>
      <c r="G196" s="1">
        <v>2008</v>
      </c>
      <c r="H196" s="392">
        <f>(O107/$R107*100*($E107/366))+(O108/$R108*100*($E108/366))</f>
        <v>11.748633879781421</v>
      </c>
      <c r="I196" s="392"/>
      <c r="J196" s="392">
        <f>(P107/$R107*100*($E107/366))+(P108/$R108*100*($E108/366))</f>
        <v>0</v>
      </c>
      <c r="K196" s="392"/>
      <c r="L196" s="392">
        <f>(Q107/$R107*100*($E107/366))+(Q108/$R108*100*($E108/366))</f>
        <v>88.251366120218577</v>
      </c>
      <c r="M196" s="392"/>
      <c r="N196" s="363">
        <f t="shared" si="34"/>
        <v>100</v>
      </c>
      <c r="O196" s="363"/>
      <c r="R196" s="1">
        <v>2008</v>
      </c>
      <c r="S196" s="5">
        <f>(O107*($E107/366))+(O108*($E108/366))</f>
        <v>5.5806010928961749</v>
      </c>
      <c r="T196" s="5">
        <f>(P107*($E107/366))+(P108*($E108/366))</f>
        <v>0</v>
      </c>
      <c r="U196" s="5">
        <f>(Q107*($E107/366))+(Q108*($E108/366))</f>
        <v>37.153825136612021</v>
      </c>
      <c r="V196" s="5"/>
      <c r="W196" s="5">
        <f t="shared" si="35"/>
        <v>42.734426229508195</v>
      </c>
    </row>
    <row r="197" spans="1:23" x14ac:dyDescent="0.15">
      <c r="A197" s="1">
        <v>2009</v>
      </c>
      <c r="B197" s="5">
        <f>(K109*($E109/365))+(K110*($E110/365))</f>
        <v>100</v>
      </c>
      <c r="C197" s="5">
        <f>(L109*($E109/365))+(L110*($E110/365))</f>
        <v>0</v>
      </c>
      <c r="D197" s="5">
        <f>(M109*($E109/365))+(M110*($E110/365))</f>
        <v>0</v>
      </c>
      <c r="E197" s="17">
        <f t="shared" si="33"/>
        <v>100</v>
      </c>
      <c r="G197" s="1">
        <v>2009</v>
      </c>
      <c r="H197" s="392">
        <f>(O109/$R109*100*($E109/365))+(O110/$R110*100*($E110/365))</f>
        <v>100</v>
      </c>
      <c r="I197" s="392"/>
      <c r="J197" s="392">
        <f>(P109/$R109*100*($E109/365))+(P110/$R110*100*($E110/365))</f>
        <v>0</v>
      </c>
      <c r="K197" s="392"/>
      <c r="L197" s="392">
        <f>(Q109/$R109*100*($E109/365))+(Q110/$R110*100*($E110/365))</f>
        <v>0</v>
      </c>
      <c r="M197" s="392"/>
      <c r="N197" s="363">
        <f t="shared" si="34"/>
        <v>100</v>
      </c>
      <c r="O197" s="363"/>
      <c r="R197" s="1">
        <v>2009</v>
      </c>
      <c r="S197" s="5">
        <f>(O109*($E109/365))+(O110*($E110/365))</f>
        <v>47.5</v>
      </c>
      <c r="T197" s="5">
        <f>(P109*($E109/365))+(P110*($E110/365))</f>
        <v>0</v>
      </c>
      <c r="U197" s="5">
        <f>(Q109*($E109/365))+(Q110*($E110/365))</f>
        <v>0</v>
      </c>
      <c r="V197" s="5"/>
      <c r="W197" s="5">
        <f t="shared" si="35"/>
        <v>47.5</v>
      </c>
    </row>
    <row r="198" spans="1:23" x14ac:dyDescent="0.15">
      <c r="A198" s="1">
        <v>2010</v>
      </c>
      <c r="B198" s="5">
        <f>(K111*($E111/365))+(K112*($E112/365))</f>
        <v>100</v>
      </c>
      <c r="C198" s="5">
        <f>(L111*($E111/365))+(L112*($E112/365))</f>
        <v>0</v>
      </c>
      <c r="D198" s="5">
        <f>(M111*($E111/365))+(M112*($E112/365))</f>
        <v>0</v>
      </c>
      <c r="E198" s="17">
        <f t="shared" si="33"/>
        <v>100</v>
      </c>
      <c r="G198" s="1">
        <v>2010</v>
      </c>
      <c r="H198" s="392">
        <f>(O111/$R111*100*($E111/365))+(O112/$R112*100*($E112/365))</f>
        <v>100</v>
      </c>
      <c r="I198" s="392"/>
      <c r="J198" s="392">
        <f>(P111/$R111*100*($E111/365))+(P112/$R112*100*($E112/365))</f>
        <v>0</v>
      </c>
      <c r="K198" s="392"/>
      <c r="L198" s="392">
        <f>(Q111/$R111*100*($E111/365))+(Q112/$R112*100*($E112/365))</f>
        <v>0</v>
      </c>
      <c r="M198" s="392"/>
      <c r="N198" s="363">
        <f t="shared" si="34"/>
        <v>100</v>
      </c>
      <c r="O198" s="363"/>
      <c r="R198" s="1">
        <v>2010</v>
      </c>
      <c r="S198" s="5">
        <f>(O111*($E111/365))+(O112*($E112/365))</f>
        <v>47.5</v>
      </c>
      <c r="T198" s="5">
        <f>(P111*($E111/365))+(P112*($E112/365))</f>
        <v>0</v>
      </c>
      <c r="U198" s="5">
        <f>(Q111*($E111/365))+(Q112*($E112/365))</f>
        <v>0</v>
      </c>
      <c r="V198" s="5"/>
      <c r="W198" s="5">
        <f t="shared" si="35"/>
        <v>47.5</v>
      </c>
    </row>
    <row r="199" spans="1:23" x14ac:dyDescent="0.15">
      <c r="A199" s="1">
        <v>2011</v>
      </c>
      <c r="B199" s="5">
        <f>(K113*($E113/365))+(K114*($E114/365))</f>
        <v>100</v>
      </c>
      <c r="C199" s="5">
        <f>(L113*($E113/365))+(L114*($E114/365))</f>
        <v>0</v>
      </c>
      <c r="D199" s="5">
        <f>(M113*($E113/365))+(M114*($E114/365))</f>
        <v>0</v>
      </c>
      <c r="E199" s="17">
        <f t="shared" si="33"/>
        <v>100</v>
      </c>
      <c r="G199" s="1">
        <v>2011</v>
      </c>
      <c r="H199" s="392">
        <f>(O113/$R113*100*($E113/365))+(O114/$R114*100*($E114/365))</f>
        <v>100</v>
      </c>
      <c r="I199" s="392"/>
      <c r="J199" s="392">
        <f>(P113/$R113*100*($E113/365))+(P114/$R114*100*($E114/365))</f>
        <v>0</v>
      </c>
      <c r="K199" s="392"/>
      <c r="L199" s="392">
        <f>(Q113/$R113*100*($E113/365))+(Q114/$R114*100*($E114/365))</f>
        <v>0</v>
      </c>
      <c r="M199" s="392"/>
      <c r="N199" s="363">
        <f t="shared" si="34"/>
        <v>100</v>
      </c>
      <c r="O199" s="363"/>
      <c r="R199" s="1">
        <v>2011</v>
      </c>
      <c r="S199" s="5">
        <f>(O113*($E113/365))+(O114*($E114/365))</f>
        <v>47.562136986301368</v>
      </c>
      <c r="T199" s="5">
        <f>(P113*($E113/365))+(P114*($E114/365))</f>
        <v>0</v>
      </c>
      <c r="U199" s="5">
        <f>(Q113*($E113/365))+(Q114*($E114/365))</f>
        <v>0</v>
      </c>
      <c r="V199" s="5"/>
      <c r="W199" s="5">
        <f t="shared" si="35"/>
        <v>47.562136986301368</v>
      </c>
    </row>
    <row r="200" spans="1:23" x14ac:dyDescent="0.15">
      <c r="A200" s="1">
        <v>2012</v>
      </c>
      <c r="B200" s="5">
        <f>(K115*($E115/366))+(K116*($E116/366))</f>
        <v>100</v>
      </c>
      <c r="C200" s="5">
        <f>(L115*($E115/366))+(L116*($E116/366))</f>
        <v>0</v>
      </c>
      <c r="D200" s="5">
        <f>(M115*($E115/366))+(M116*($E116/366))</f>
        <v>0</v>
      </c>
      <c r="E200" s="17">
        <f t="shared" si="33"/>
        <v>100</v>
      </c>
      <c r="G200" s="1">
        <v>2012</v>
      </c>
      <c r="H200" s="392">
        <f>(O115/$R115*100*($E115/366))+(O116/$R116*100*($E116/366))</f>
        <v>100</v>
      </c>
      <c r="I200" s="392"/>
      <c r="J200" s="392">
        <f>(P115/$R115*100*($E115/366))+(P116/$R116*100*($E116/366))</f>
        <v>0</v>
      </c>
      <c r="K200" s="392"/>
      <c r="L200" s="392">
        <f>(Q115/$R115*100*($E115/366))+(Q116/$R116*100*($E116/366))</f>
        <v>0</v>
      </c>
      <c r="M200" s="392"/>
      <c r="N200" s="363">
        <f>H200+J200+L200</f>
        <v>100</v>
      </c>
      <c r="O200" s="363"/>
      <c r="R200" s="1">
        <v>2012</v>
      </c>
      <c r="S200" s="5">
        <f>(O115*($E115/366))+(O116*($E116/366))</f>
        <v>48.76</v>
      </c>
      <c r="T200" s="5">
        <f>(P115*($E115/366))+(P116*($E116/366))</f>
        <v>0</v>
      </c>
      <c r="U200" s="5">
        <f>(Q115*($E115/366))+(Q116*($E116/366))</f>
        <v>0</v>
      </c>
      <c r="V200" s="5"/>
      <c r="W200" s="5">
        <f t="shared" si="35"/>
        <v>48.76</v>
      </c>
    </row>
    <row r="201" spans="1:23" x14ac:dyDescent="0.15">
      <c r="A201" s="1">
        <v>2013</v>
      </c>
      <c r="B201" s="5">
        <f>(K117*($E117/365))+(K118*($E118/365))</f>
        <v>100</v>
      </c>
      <c r="C201" s="5">
        <f>(L117*($E117/365))+(L118*($E118/365))</f>
        <v>0</v>
      </c>
      <c r="D201" s="5">
        <f>(M117*($E117/365))+(M118*($E118/365))</f>
        <v>0</v>
      </c>
      <c r="E201" s="17">
        <f t="shared" si="33"/>
        <v>100</v>
      </c>
      <c r="G201" s="1">
        <v>2013</v>
      </c>
      <c r="H201" s="392">
        <f>(O117/$R117*100*($E117/365))+(O118/$R118*100*($E118/365))</f>
        <v>100</v>
      </c>
      <c r="I201" s="392"/>
      <c r="J201" s="392">
        <f>(P117/$R117*100*($E117/365))+(P118/$R118*100*($E118/365))</f>
        <v>0</v>
      </c>
      <c r="K201" s="392"/>
      <c r="L201" s="392">
        <f>(Q117/$R117*100*($E117/365))+(Q118/$R118*100*($E118/365))</f>
        <v>0</v>
      </c>
      <c r="M201" s="392"/>
      <c r="N201" s="363">
        <f>H201+J201+L201</f>
        <v>100</v>
      </c>
      <c r="O201" s="363"/>
      <c r="R201" s="1">
        <v>2013</v>
      </c>
      <c r="S201" s="5">
        <f>(O117*($E117/365))+(O118*($E118/365))</f>
        <v>48.76</v>
      </c>
      <c r="T201" s="5">
        <f>(P117*($E117/365))+(P118*($E118/365))</f>
        <v>0</v>
      </c>
      <c r="U201" s="5">
        <f>(Q117*($E117/365))+(Q118*($E118/365))</f>
        <v>0</v>
      </c>
      <c r="W201" s="5">
        <f t="shared" si="35"/>
        <v>48.76</v>
      </c>
    </row>
    <row r="202" spans="1:23" x14ac:dyDescent="0.15">
      <c r="A202" s="1">
        <v>2014</v>
      </c>
      <c r="B202" s="5">
        <f>(K119*($E119/365))+(K120*($E120/365))+(K121*($E121/365))</f>
        <v>100</v>
      </c>
      <c r="C202" s="5">
        <f>(L119*($E119/365))+(L120*($E120/365))+(L121*($E121/365))</f>
        <v>0</v>
      </c>
      <c r="D202" s="5">
        <f>(M119*($E119/365))+(M120*($E120/365))+(M121*($E121/365))</f>
        <v>0</v>
      </c>
      <c r="E202" s="17">
        <f>B202+C202+D202</f>
        <v>100</v>
      </c>
      <c r="G202" s="1">
        <v>2014</v>
      </c>
      <c r="H202" s="392">
        <f>(O119/$R119*100*($E119/365))+(O120/$R120*100*($E120/365))+(O121/$R121*100*($E121/365))</f>
        <v>100</v>
      </c>
      <c r="I202" s="392"/>
      <c r="J202" s="392">
        <f>(P119/$R119*100*($E119/365))+(P120/$R120*100*($E120/365))+(P121/$R121*100*($E121/365))</f>
        <v>0</v>
      </c>
      <c r="K202" s="392"/>
      <c r="L202" s="392">
        <f>(Q119/$R119*100*($E119/365))+(Q120/$R120*100*($E120/365))+(Q121/$R121*100*($E121/365))</f>
        <v>0</v>
      </c>
      <c r="M202" s="392"/>
      <c r="N202" s="363">
        <f>H202+J202+L202</f>
        <v>100</v>
      </c>
      <c r="O202" s="363"/>
      <c r="R202" s="1">
        <v>2014</v>
      </c>
      <c r="S202" s="5">
        <f>(O119*($E119/365))+(O120*($E120/365))+(O121*($E121/365))</f>
        <v>48.955616438356159</v>
      </c>
      <c r="T202" s="5">
        <f>(P119*($E119/365))+(P120*($E120/365))+(P121*($E121/365))</f>
        <v>0</v>
      </c>
      <c r="U202" s="5">
        <f>(Q119*($E119/365))+(Q120*($E120/365))+(Q121*($E121/365))</f>
        <v>0</v>
      </c>
      <c r="W202" s="5">
        <f>S202+T202+U202</f>
        <v>48.955616438356159</v>
      </c>
    </row>
    <row r="203" spans="1:23" x14ac:dyDescent="0.15">
      <c r="A203" s="1">
        <v>2015</v>
      </c>
      <c r="B203" s="5">
        <f>(K122*($E122/365))+(K123*($E123/365))</f>
        <v>100</v>
      </c>
      <c r="C203" s="5">
        <f>(L122*($E122/365))+(L123*($E123/365))</f>
        <v>0</v>
      </c>
      <c r="D203" s="5">
        <f>(M122*($E122/365))+(M123*($E123/365))</f>
        <v>0</v>
      </c>
      <c r="E203" s="17">
        <f>B203+C203+D203</f>
        <v>100</v>
      </c>
      <c r="G203" s="1">
        <v>2015</v>
      </c>
      <c r="H203" s="392">
        <f>(O122/$R122*100*($E122/365))+(O123/$R123*100*($E123/365))</f>
        <v>100</v>
      </c>
      <c r="I203" s="392"/>
      <c r="J203" s="392">
        <f>(P122/$R122*100*($E122/365))+(P123/$R123*100*($E123/365))</f>
        <v>0</v>
      </c>
      <c r="K203" s="392"/>
      <c r="L203" s="392">
        <f>(Q122/$R122*100*($E122/365))+(Q123/$R123*100*($E123/365))</f>
        <v>0</v>
      </c>
      <c r="M203" s="392"/>
      <c r="N203" s="363">
        <f>H203+J203+L203</f>
        <v>100</v>
      </c>
      <c r="O203" s="363"/>
      <c r="R203" s="1">
        <v>2015</v>
      </c>
      <c r="S203" s="5">
        <f>(O122*($E122/365))+(O123*($E123/365))</f>
        <v>49.6</v>
      </c>
      <c r="T203" s="5">
        <f>(P122*($E122/365))+(P123*($E123/365))</f>
        <v>0</v>
      </c>
      <c r="U203" s="5">
        <f>(Q122*($E122/365))+(Q123*($E123/365))</f>
        <v>0</v>
      </c>
      <c r="W203" s="5">
        <f>S203+T203+U203</f>
        <v>49.6</v>
      </c>
    </row>
    <row r="204" spans="1:23" x14ac:dyDescent="0.15">
      <c r="A204" s="1">
        <v>2016</v>
      </c>
      <c r="B204" s="5">
        <f>(K124*($E124/366))+(K125*($E125/366))</f>
        <v>100</v>
      </c>
      <c r="C204" s="5">
        <f>(L124*($E124/366))+(L125*($E125/366))</f>
        <v>0</v>
      </c>
      <c r="D204" s="5">
        <f>(M124*($E124/366))+(M125*($E125/366))</f>
        <v>0</v>
      </c>
      <c r="E204" s="17">
        <f t="shared" ref="E204" si="36">B204+C204+D204</f>
        <v>100</v>
      </c>
      <c r="G204" s="1">
        <v>2016</v>
      </c>
      <c r="H204" s="392">
        <f>(O124/$R124*100*($E124/366))+(O125/$R125*100*($E125/366))</f>
        <v>100</v>
      </c>
      <c r="I204" s="392"/>
      <c r="J204" s="392">
        <f>(P124/$R124*100*($E124/366))+(P125/$R125*100*($E125/366))</f>
        <v>0</v>
      </c>
      <c r="K204" s="392"/>
      <c r="L204" s="392">
        <f>(Q124/$R124*100*($E124/366))+(Q125/$R125*100*($E125/366))</f>
        <v>0</v>
      </c>
      <c r="M204" s="392"/>
      <c r="N204" s="363">
        <f t="shared" ref="N204" si="37">H204+J204+L204</f>
        <v>100</v>
      </c>
      <c r="O204" s="363"/>
      <c r="R204" s="1">
        <v>2016</v>
      </c>
      <c r="S204" s="5">
        <f>(O124*($E124/366))+(O125*($E125/366))</f>
        <v>49.569398907103825</v>
      </c>
      <c r="T204" s="5">
        <f>(P124*($E124/366))+(P125*($E125/366))</f>
        <v>0</v>
      </c>
      <c r="U204" s="5">
        <f>(Q124*($E124/366))+(Q125*($E125/366))</f>
        <v>0</v>
      </c>
      <c r="W204" s="5">
        <f t="shared" ref="W204" si="38">S204+T204+U204</f>
        <v>49.569398907103825</v>
      </c>
    </row>
    <row r="205" spans="1:23" x14ac:dyDescent="0.15">
      <c r="A205" s="1">
        <v>2017</v>
      </c>
      <c r="B205" s="5">
        <f>(K126*($E126/365))+(K127*($E127/365))</f>
        <v>85.315068493150676</v>
      </c>
      <c r="C205" s="5">
        <f t="shared" ref="C205:D205" si="39">(L126*($E126/365))+(L127*($E127/365))</f>
        <v>0</v>
      </c>
      <c r="D205" s="5">
        <f t="shared" si="39"/>
        <v>14.684931506849315</v>
      </c>
      <c r="E205" s="17">
        <f t="shared" ref="E205" si="40">B205+C205+D205</f>
        <v>99.999999999999986</v>
      </c>
      <c r="G205" s="1">
        <v>2017</v>
      </c>
      <c r="H205" s="392">
        <f>(O126/$R126*100*($E126/365))+(O127/$R127*100*($E127/365))</f>
        <v>84.649757731650411</v>
      </c>
      <c r="I205" s="392"/>
      <c r="J205" s="392">
        <f>(P126/$R126*100*($E126/365))+(P127/$R127*100*($E127/365))</f>
        <v>0</v>
      </c>
      <c r="K205" s="392"/>
      <c r="L205" s="392">
        <f>(Q126/$R126*100*($E126/365))+(Q127/$R127*100*($E127/365))</f>
        <v>15.350242268349584</v>
      </c>
      <c r="M205" s="392"/>
      <c r="N205" s="363">
        <f t="shared" ref="N205" si="41">H205+J205+L205</f>
        <v>100</v>
      </c>
      <c r="O205" s="363"/>
      <c r="R205" s="1">
        <v>2017</v>
      </c>
      <c r="S205" s="5">
        <f>(O126*($E126/365))+(O127*($E127/365))</f>
        <v>41.218904109589033</v>
      </c>
      <c r="T205" s="5">
        <f t="shared" ref="T205:U205" si="42">(P126*($E126/365))+(P127*($E127/365))</f>
        <v>0</v>
      </c>
      <c r="U205" s="5">
        <f t="shared" si="42"/>
        <v>7.0304109589041088</v>
      </c>
      <c r="W205" s="5">
        <f t="shared" ref="W205" si="43">S205+T205+U205</f>
        <v>48.249315068493139</v>
      </c>
    </row>
    <row r="206" spans="1:23" x14ac:dyDescent="0.15">
      <c r="A206" s="1">
        <v>2018</v>
      </c>
      <c r="B206" s="5">
        <f>(K128*($E128/365))+(K129*($E129/365))</f>
        <v>20.374909877433307</v>
      </c>
      <c r="C206" s="5">
        <f>(L128*($E128/365))+(L129*($E129/365))</f>
        <v>0</v>
      </c>
      <c r="D206" s="5">
        <f>(M128*($E128/365))+(M129*($E129/365))</f>
        <v>79.625090122566689</v>
      </c>
      <c r="E206" s="17">
        <f t="shared" ref="E206" si="44">B206+C206+D206</f>
        <v>100</v>
      </c>
      <c r="G206" s="1">
        <v>2018</v>
      </c>
      <c r="H206" s="392">
        <f>(O128/$R128*100*($E128/365))+(O129/$R129*100*($E129/365))</f>
        <v>16.375545851528386</v>
      </c>
      <c r="I206" s="392"/>
      <c r="J206" s="392">
        <f>(P128/$R128*100*($E128/365))+(P129/$R129*100*($E129/365))</f>
        <v>0</v>
      </c>
      <c r="K206" s="392"/>
      <c r="L206" s="392">
        <f>(Q128/$R128*100*($E128/365))+(Q129/$R129*100*($E129/365))</f>
        <v>83.624454148471614</v>
      </c>
      <c r="M206" s="392"/>
      <c r="N206" s="363">
        <f t="shared" ref="N206" si="45">H206+J206+L206</f>
        <v>100</v>
      </c>
      <c r="O206" s="363"/>
      <c r="R206" s="1">
        <v>2018</v>
      </c>
      <c r="S206" s="5">
        <f>(O128*($E128/365))+(O129*($E129/365))</f>
        <v>7.5</v>
      </c>
      <c r="T206" s="5">
        <f>(P128*($E128/365))+(P129*($E129/365))</f>
        <v>0</v>
      </c>
      <c r="U206" s="5">
        <f>(Q128*($E128/365))+(Q129*($E129/365))</f>
        <v>38.299999999999997</v>
      </c>
      <c r="W206" s="5">
        <f t="shared" ref="W206" si="46">S206+T206+U206</f>
        <v>45.8</v>
      </c>
    </row>
    <row r="207" spans="1:23" x14ac:dyDescent="0.15">
      <c r="A207" s="1">
        <v>2019</v>
      </c>
      <c r="B207" s="5">
        <f>(K130*($E130/365))+(K131*($E131/365))</f>
        <v>20.510454217736118</v>
      </c>
      <c r="C207" s="5">
        <f>(L130*($E130/365))+(L131*($E131/365))</f>
        <v>0</v>
      </c>
      <c r="D207" s="5">
        <f>(M130*($E130/365))+(M131*($E131/365))</f>
        <v>79.489545782263889</v>
      </c>
      <c r="E207" s="17">
        <f t="shared" ref="E207:E208" si="47">B207+C207+D207</f>
        <v>100</v>
      </c>
      <c r="G207" s="1">
        <v>2019</v>
      </c>
      <c r="H207" s="392">
        <f>(O130/$R130*100*($E130/365))+(O131/$R131*100*($E131/365))</f>
        <v>16.375545851528386</v>
      </c>
      <c r="I207" s="392"/>
      <c r="J207" s="392">
        <f>(P130/$R130*100*($E130/365))+(P131/$R131*100*($E131/365))</f>
        <v>0</v>
      </c>
      <c r="K207" s="392"/>
      <c r="L207" s="392">
        <f>(Q130/$R130*100*($E130/365))+(Q131/$R131*100*($E131/365))</f>
        <v>83.624454148471614</v>
      </c>
      <c r="M207" s="392"/>
      <c r="N207" s="363">
        <f t="shared" ref="N207" si="48">H207+J207+L207</f>
        <v>100</v>
      </c>
      <c r="O207" s="363"/>
      <c r="R207" s="1">
        <v>2019</v>
      </c>
      <c r="S207" s="5">
        <f>(O130*($E130/365))+(O131*($E131/365))</f>
        <v>7.5</v>
      </c>
      <c r="T207" s="5">
        <f>(P130*($E130/365))+(P131*($E131/365))</f>
        <v>0</v>
      </c>
      <c r="U207" s="5">
        <f>(Q130*($E130/365))+(Q131*($E131/365))</f>
        <v>38.299999999999997</v>
      </c>
      <c r="W207" s="5">
        <f t="shared" ref="W207:W208" si="49">S207+T207+U207</f>
        <v>45.8</v>
      </c>
    </row>
    <row r="208" spans="1:23" x14ac:dyDescent="0.15">
      <c r="A208" s="1">
        <v>2020</v>
      </c>
      <c r="B208" s="5">
        <f>(K132*($E132/366))+(K133*($E133/366))+ (K134*($E134/366)) + (K135*($E135/366))</f>
        <v>17.647077621193237</v>
      </c>
      <c r="C208" s="5">
        <f>(L132*($E132/366))+(L133*($E133/366))+ (L134*($E134/366)) + (L135*($E135/366))</f>
        <v>0</v>
      </c>
      <c r="D208" s="5">
        <f>(M132*($E132/366))+(M133*($E133/366))+ (M134*($E134/366)) + (M135*($E135/366))</f>
        <v>82.352922378806767</v>
      </c>
      <c r="E208" s="17">
        <f t="shared" si="47"/>
        <v>100</v>
      </c>
      <c r="G208" s="1">
        <v>2020</v>
      </c>
      <c r="H208" s="392">
        <f>(O132/$R132*100*($E132/366))+(O133/$R133*100*($E133/366)) + (O134/$R134*100*($E134/366)) + (O135/$R135*100*($E135/366))</f>
        <v>13.869997852387431</v>
      </c>
      <c r="I208" s="392"/>
      <c r="J208" s="392">
        <f>(P132/$R132*100*($E132/366))+(P133/$R133*100*($E133/366)) + (P134/$R134*100*($E134/366)) + (P135/$R135*100*($E135/366))</f>
        <v>0</v>
      </c>
      <c r="K208" s="392"/>
      <c r="L208" s="392">
        <f>(Q132/$R132*100*($E132/366))+(Q133/$R133*100*($E133/366)) + (Q134/$R134*100*($E134/366)) + (Q135/$R135*100*($E135/366))</f>
        <v>86.130002147612572</v>
      </c>
      <c r="M208" s="392"/>
      <c r="N208" s="363">
        <f t="shared" ref="N208" si="50">H208+J208+L208</f>
        <v>100</v>
      </c>
      <c r="O208" s="363"/>
      <c r="R208" s="1">
        <v>2020</v>
      </c>
      <c r="S208" s="5">
        <f>(O132*($E132/366))+(O133*($E133/366)) + (O134*($E134/366)) + (O135*($E135/366))</f>
        <v>6.3524590163934427</v>
      </c>
      <c r="T208" s="5">
        <f>(P132*($E132/366))+(P133*($E133/366)) + (P134*($E134/366)) + (P135*($E135/366))</f>
        <v>0</v>
      </c>
      <c r="U208" s="5">
        <f>(Q132*($E132/366))+(Q133*($E133/366)) + (Q134*($E134/366)) + (Q135*($E135/366))</f>
        <v>40.732786885245901</v>
      </c>
      <c r="W208" s="5">
        <f t="shared" si="49"/>
        <v>47.08524590163934</v>
      </c>
    </row>
    <row r="209" spans="1:23" x14ac:dyDescent="0.15">
      <c r="A209" s="1">
        <v>2021</v>
      </c>
      <c r="B209" s="5">
        <f>(K136*($E136/365))+(K137*($E137/365))</f>
        <v>0</v>
      </c>
      <c r="C209" s="5">
        <f>(L136*($E136/365))+(L137*($E137/365))</f>
        <v>0</v>
      </c>
      <c r="D209" s="5">
        <f>(M136*($E136/365))+(M137*($E137/365))</f>
        <v>100</v>
      </c>
      <c r="E209" s="17">
        <f t="shared" ref="E209" si="51">B209+C209+D209</f>
        <v>100</v>
      </c>
      <c r="G209" s="1">
        <v>2021</v>
      </c>
      <c r="H209" s="392">
        <f>(O136/$R136*100*($E136/365))+(O137/$R137*100*($E137/365))</f>
        <v>0</v>
      </c>
      <c r="I209" s="392"/>
      <c r="J209" s="392">
        <f>(P136/$R136*100*($E136/365))+(P137/$R137*100*($E137/365))</f>
        <v>0</v>
      </c>
      <c r="K209" s="392"/>
      <c r="L209" s="392">
        <f>(Q136/$R136*100*($E136/365))+(Q137/$R137*100*($E137/365))</f>
        <v>100</v>
      </c>
      <c r="M209" s="392"/>
      <c r="N209" s="363">
        <f t="shared" ref="N209" si="52">H209+J209+L209</f>
        <v>100</v>
      </c>
      <c r="O209" s="363"/>
      <c r="R209" s="1">
        <v>2021</v>
      </c>
      <c r="S209" s="5">
        <f>(O136*($E136/365))+(O137*($E137/365))</f>
        <v>0</v>
      </c>
      <c r="T209" s="5">
        <f>(P136*($E136/365))+(P137*($E137/365))</f>
        <v>0</v>
      </c>
      <c r="U209" s="5">
        <f>(Q136*($E136/365))+(Q137*($E137/365))</f>
        <v>54.2</v>
      </c>
      <c r="W209" s="5">
        <f t="shared" ref="W209" si="53">S209+T209+U209</f>
        <v>54.2</v>
      </c>
    </row>
    <row r="210" spans="1:23" x14ac:dyDescent="0.15">
      <c r="A210" s="1">
        <v>2022</v>
      </c>
      <c r="B210" s="5">
        <f>(K139*($E139/365))+(K138*($E138/365))</f>
        <v>0</v>
      </c>
      <c r="C210" s="5">
        <f>(L139*($E139/365))+(L138*($E138/365))</f>
        <v>0</v>
      </c>
      <c r="D210" s="5">
        <f>(M139*($E139/365))+(M138*($E138/365))</f>
        <v>100</v>
      </c>
      <c r="E210" s="17">
        <f t="shared" ref="E210" si="54">B210+C210+D210</f>
        <v>100</v>
      </c>
      <c r="G210" s="1">
        <v>2022</v>
      </c>
      <c r="H210" s="392">
        <f>(O139/$R139*100*($E139/365))+(O138/$R138*100*($E138/365))</f>
        <v>0</v>
      </c>
      <c r="I210" s="392"/>
      <c r="J210" s="392">
        <f>(P139/$R139*100*($E139/365))+(P138/$R138*100*($E138/365))</f>
        <v>0</v>
      </c>
      <c r="K210" s="392"/>
      <c r="L210" s="392">
        <f>(Q139/$R139*100*($E139/365))+(Q138/$R138*100*($E138/365))</f>
        <v>100</v>
      </c>
      <c r="M210" s="392"/>
      <c r="N210" s="363">
        <f t="shared" ref="N210" si="55">H210+J210+L210</f>
        <v>100</v>
      </c>
      <c r="O210" s="363"/>
      <c r="R210" s="1">
        <v>2022</v>
      </c>
      <c r="S210" s="5">
        <f>(O139*($E139/365))+(O138*($E138/365))</f>
        <v>0</v>
      </c>
      <c r="T210" s="5">
        <f>(P139*($E139/365))+(P138*($E138/365))</f>
        <v>0</v>
      </c>
      <c r="U210" s="5">
        <f>(Q139*($E139/365))+(Q138*($E138/365))</f>
        <v>54.2</v>
      </c>
      <c r="W210" s="5">
        <f t="shared" ref="W210" si="56">S210+T210+U210</f>
        <v>54.2</v>
      </c>
    </row>
  </sheetData>
  <mergeCells count="416">
    <mergeCell ref="L200:M200"/>
    <mergeCell ref="C120:D120"/>
    <mergeCell ref="H207:I207"/>
    <mergeCell ref="J207:K207"/>
    <mergeCell ref="L207:M207"/>
    <mergeCell ref="N207:O207"/>
    <mergeCell ref="H206:I206"/>
    <mergeCell ref="J206:K206"/>
    <mergeCell ref="L206:M206"/>
    <mergeCell ref="N206:O206"/>
    <mergeCell ref="N159:O159"/>
    <mergeCell ref="L172:M172"/>
    <mergeCell ref="L169:M169"/>
    <mergeCell ref="L173:M173"/>
    <mergeCell ref="L170:M170"/>
    <mergeCell ref="H171:I171"/>
    <mergeCell ref="J171:K171"/>
    <mergeCell ref="L171:M171"/>
    <mergeCell ref="H203:I203"/>
    <mergeCell ref="J203:K203"/>
    <mergeCell ref="L203:M203"/>
    <mergeCell ref="N203:O203"/>
    <mergeCell ref="N202:O202"/>
    <mergeCell ref="H200:I200"/>
    <mergeCell ref="J200:K200"/>
    <mergeCell ref="C124:D124"/>
    <mergeCell ref="J199:K199"/>
    <mergeCell ref="H199:I199"/>
    <mergeCell ref="C119:D119"/>
    <mergeCell ref="H202:I202"/>
    <mergeCell ref="J202:K202"/>
    <mergeCell ref="L202:M202"/>
    <mergeCell ref="L198:M198"/>
    <mergeCell ref="L199:M199"/>
    <mergeCell ref="L189:M189"/>
    <mergeCell ref="L194:M194"/>
    <mergeCell ref="L178:M178"/>
    <mergeCell ref="L179:M179"/>
    <mergeCell ref="L180:M180"/>
    <mergeCell ref="L181:M181"/>
    <mergeCell ref="L190:M190"/>
    <mergeCell ref="L182:M182"/>
    <mergeCell ref="J196:K196"/>
    <mergeCell ref="L188:M188"/>
    <mergeCell ref="L191:M191"/>
    <mergeCell ref="L192:M192"/>
    <mergeCell ref="L193:M193"/>
    <mergeCell ref="C128:D128"/>
    <mergeCell ref="C121:D121"/>
    <mergeCell ref="J194:K194"/>
    <mergeCell ref="J195:K195"/>
    <mergeCell ref="H195:I195"/>
    <mergeCell ref="H177:I177"/>
    <mergeCell ref="H178:I178"/>
    <mergeCell ref="H179:I179"/>
    <mergeCell ref="H180:I180"/>
    <mergeCell ref="H181:I181"/>
    <mergeCell ref="H182:I182"/>
    <mergeCell ref="H174:I174"/>
    <mergeCell ref="H175:I175"/>
    <mergeCell ref="H176:I176"/>
    <mergeCell ref="J184:K184"/>
    <mergeCell ref="J185:K185"/>
    <mergeCell ref="H172:I172"/>
    <mergeCell ref="J172:K172"/>
    <mergeCell ref="H173:I173"/>
    <mergeCell ref="H169:I169"/>
    <mergeCell ref="C122:D122"/>
    <mergeCell ref="C123:D123"/>
    <mergeCell ref="H167:I167"/>
    <mergeCell ref="J189:K189"/>
    <mergeCell ref="J190:K190"/>
    <mergeCell ref="H196:I196"/>
    <mergeCell ref="H197:I197"/>
    <mergeCell ref="J168:K168"/>
    <mergeCell ref="L168:M168"/>
    <mergeCell ref="H165:I165"/>
    <mergeCell ref="J177:K177"/>
    <mergeCell ref="J178:K178"/>
    <mergeCell ref="J179:K179"/>
    <mergeCell ref="N167:O167"/>
    <mergeCell ref="N168:O168"/>
    <mergeCell ref="J192:K192"/>
    <mergeCell ref="J193:K193"/>
    <mergeCell ref="J165:K165"/>
    <mergeCell ref="L165:M165"/>
    <mergeCell ref="H166:I166"/>
    <mergeCell ref="J166:K166"/>
    <mergeCell ref="L166:M166"/>
    <mergeCell ref="L186:M186"/>
    <mergeCell ref="L195:M195"/>
    <mergeCell ref="L196:M196"/>
    <mergeCell ref="J197:K197"/>
    <mergeCell ref="N193:O193"/>
    <mergeCell ref="N190:O190"/>
    <mergeCell ref="N191:O191"/>
    <mergeCell ref="AP4:AS4"/>
    <mergeCell ref="AH4:AK4"/>
    <mergeCell ref="AL4:AO4"/>
    <mergeCell ref="H168:I168"/>
    <mergeCell ref="H185:I185"/>
    <mergeCell ref="H186:I186"/>
    <mergeCell ref="H187:I187"/>
    <mergeCell ref="H188:I188"/>
    <mergeCell ref="AT4:AW4"/>
    <mergeCell ref="J183:K183"/>
    <mergeCell ref="N158:O158"/>
    <mergeCell ref="N157:O157"/>
    <mergeCell ref="J186:K186"/>
    <mergeCell ref="J187:K187"/>
    <mergeCell ref="J167:K167"/>
    <mergeCell ref="L167:M167"/>
    <mergeCell ref="J188:K188"/>
    <mergeCell ref="AX4:BA4"/>
    <mergeCell ref="R144:W144"/>
    <mergeCell ref="L175:M175"/>
    <mergeCell ref="L176:M176"/>
    <mergeCell ref="L177:M177"/>
    <mergeCell ref="J180:K180"/>
    <mergeCell ref="J181:K181"/>
    <mergeCell ref="J182:K182"/>
    <mergeCell ref="L146:M146"/>
    <mergeCell ref="N146:O146"/>
    <mergeCell ref="N149:O149"/>
    <mergeCell ref="N150:O150"/>
    <mergeCell ref="N151:O151"/>
    <mergeCell ref="N152:O152"/>
    <mergeCell ref="N153:O153"/>
    <mergeCell ref="N154:O154"/>
    <mergeCell ref="J174:K174"/>
    <mergeCell ref="J175:K175"/>
    <mergeCell ref="J176:K176"/>
    <mergeCell ref="J173:K173"/>
    <mergeCell ref="J154:K154"/>
    <mergeCell ref="N172:O172"/>
    <mergeCell ref="N155:O155"/>
    <mergeCell ref="N156:O156"/>
    <mergeCell ref="J191:K191"/>
    <mergeCell ref="N174:O174"/>
    <mergeCell ref="N175:O175"/>
    <mergeCell ref="N176:O176"/>
    <mergeCell ref="N171:O171"/>
    <mergeCell ref="N169:O169"/>
    <mergeCell ref="L183:M183"/>
    <mergeCell ref="L184:M184"/>
    <mergeCell ref="L185:M185"/>
    <mergeCell ref="N177:O177"/>
    <mergeCell ref="N178:O178"/>
    <mergeCell ref="N179:O179"/>
    <mergeCell ref="N180:O180"/>
    <mergeCell ref="N181:O181"/>
    <mergeCell ref="G3:M3"/>
    <mergeCell ref="O3:Q3"/>
    <mergeCell ref="H148:I148"/>
    <mergeCell ref="J148:K148"/>
    <mergeCell ref="L148:M148"/>
    <mergeCell ref="N148:O148"/>
    <mergeCell ref="H147:I147"/>
    <mergeCell ref="J147:K147"/>
    <mergeCell ref="N173:O173"/>
    <mergeCell ref="N170:O170"/>
    <mergeCell ref="N161:O161"/>
    <mergeCell ref="J169:K169"/>
    <mergeCell ref="H170:I170"/>
    <mergeCell ref="J170:K170"/>
    <mergeCell ref="N160:O160"/>
    <mergeCell ref="H163:I163"/>
    <mergeCell ref="J163:K163"/>
    <mergeCell ref="L163:M163"/>
    <mergeCell ref="H164:I164"/>
    <mergeCell ref="J164:K164"/>
    <mergeCell ref="L164:M164"/>
    <mergeCell ref="H161:I161"/>
    <mergeCell ref="J161:K161"/>
    <mergeCell ref="L161:M161"/>
    <mergeCell ref="A4:A5"/>
    <mergeCell ref="B4:B5"/>
    <mergeCell ref="C4:D5"/>
    <mergeCell ref="E4:E5"/>
    <mergeCell ref="H146:I146"/>
    <mergeCell ref="J146:K146"/>
    <mergeCell ref="C116:D116"/>
    <mergeCell ref="C82:D82"/>
    <mergeCell ref="F4:F5"/>
    <mergeCell ref="G4:J4"/>
    <mergeCell ref="C19:D19"/>
    <mergeCell ref="C20:D20"/>
    <mergeCell ref="C11:D11"/>
    <mergeCell ref="C12:D12"/>
    <mergeCell ref="C9:D9"/>
    <mergeCell ref="C10:D10"/>
    <mergeCell ref="C13:D13"/>
    <mergeCell ref="C14:D14"/>
    <mergeCell ref="C15:D15"/>
    <mergeCell ref="C16:D16"/>
    <mergeCell ref="C17:D17"/>
    <mergeCell ref="C18:D18"/>
    <mergeCell ref="C21:D21"/>
    <mergeCell ref="C22:D22"/>
    <mergeCell ref="C8:D8"/>
    <mergeCell ref="K4:N4"/>
    <mergeCell ref="O4:R4"/>
    <mergeCell ref="S4:S5"/>
    <mergeCell ref="T4:T5"/>
    <mergeCell ref="Z4:AC4"/>
    <mergeCell ref="AD4:AG4"/>
    <mergeCell ref="C7:D7"/>
    <mergeCell ref="C6:D6"/>
    <mergeCell ref="U4:U5"/>
    <mergeCell ref="V4:Y4"/>
    <mergeCell ref="C23:D23"/>
    <mergeCell ref="C24:D24"/>
    <mergeCell ref="C27:D27"/>
    <mergeCell ref="C28:D28"/>
    <mergeCell ref="C25:D25"/>
    <mergeCell ref="C26:D26"/>
    <mergeCell ref="C29:D29"/>
    <mergeCell ref="C30:D30"/>
    <mergeCell ref="C33:D33"/>
    <mergeCell ref="C34:D34"/>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83:D83"/>
    <mergeCell ref="C79:D79"/>
    <mergeCell ref="C80:D80"/>
    <mergeCell ref="C84:D84"/>
    <mergeCell ref="C85:D85"/>
    <mergeCell ref="C88:D88"/>
    <mergeCell ref="C89:D89"/>
    <mergeCell ref="C86:D86"/>
    <mergeCell ref="C87:D87"/>
    <mergeCell ref="C90:D90"/>
    <mergeCell ref="C91:D91"/>
    <mergeCell ref="C94:D94"/>
    <mergeCell ref="C95:D95"/>
    <mergeCell ref="C92:D92"/>
    <mergeCell ref="C93:D93"/>
    <mergeCell ref="C96:D96"/>
    <mergeCell ref="C97:D97"/>
    <mergeCell ref="C100:D100"/>
    <mergeCell ref="C101:D101"/>
    <mergeCell ref="C98:D98"/>
    <mergeCell ref="C99:D99"/>
    <mergeCell ref="C102:D102"/>
    <mergeCell ref="C103:D103"/>
    <mergeCell ref="C112:D112"/>
    <mergeCell ref="C113:D113"/>
    <mergeCell ref="C104:D104"/>
    <mergeCell ref="C105:D105"/>
    <mergeCell ref="C114:D114"/>
    <mergeCell ref="C115:D115"/>
    <mergeCell ref="C106:D106"/>
    <mergeCell ref="C107:D107"/>
    <mergeCell ref="C108:D108"/>
    <mergeCell ref="C109:D109"/>
    <mergeCell ref="C110:D110"/>
    <mergeCell ref="C111:D111"/>
    <mergeCell ref="C127:D127"/>
    <mergeCell ref="C130:D130"/>
    <mergeCell ref="C131:D131"/>
    <mergeCell ref="H152:I152"/>
    <mergeCell ref="J152:K152"/>
    <mergeCell ref="L152:M152"/>
    <mergeCell ref="H156:I156"/>
    <mergeCell ref="J156:K156"/>
    <mergeCell ref="L156:M156"/>
    <mergeCell ref="H153:I153"/>
    <mergeCell ref="J153:K153"/>
    <mergeCell ref="L153:M153"/>
    <mergeCell ref="H154:I154"/>
    <mergeCell ref="C136:D136"/>
    <mergeCell ref="C137:D137"/>
    <mergeCell ref="C138:D138"/>
    <mergeCell ref="C139:D139"/>
    <mergeCell ref="C129:D129"/>
    <mergeCell ref="C117:D117"/>
    <mergeCell ref="C118:D118"/>
    <mergeCell ref="L147:M147"/>
    <mergeCell ref="N147:O147"/>
    <mergeCell ref="N185:O185"/>
    <mergeCell ref="N186:O186"/>
    <mergeCell ref="N187:O187"/>
    <mergeCell ref="N188:O188"/>
    <mergeCell ref="N189:O189"/>
    <mergeCell ref="C126:D126"/>
    <mergeCell ref="N162:O162"/>
    <mergeCell ref="N163:O163"/>
    <mergeCell ref="N164:O164"/>
    <mergeCell ref="N165:O165"/>
    <mergeCell ref="N166:O166"/>
    <mergeCell ref="J155:K155"/>
    <mergeCell ref="L155:M155"/>
    <mergeCell ref="C132:D132"/>
    <mergeCell ref="C134:D134"/>
    <mergeCell ref="C135:D135"/>
    <mergeCell ref="C125:D125"/>
    <mergeCell ref="H160:I160"/>
    <mergeCell ref="J160:K160"/>
    <mergeCell ref="L160:M160"/>
    <mergeCell ref="H190:I190"/>
    <mergeCell ref="H191:I191"/>
    <mergeCell ref="N204:O204"/>
    <mergeCell ref="N194:O194"/>
    <mergeCell ref="N195:O195"/>
    <mergeCell ref="N196:O196"/>
    <mergeCell ref="N182:O182"/>
    <mergeCell ref="N183:O183"/>
    <mergeCell ref="N184:O184"/>
    <mergeCell ref="N201:O201"/>
    <mergeCell ref="H201:I201"/>
    <mergeCell ref="J201:K201"/>
    <mergeCell ref="L201:M201"/>
    <mergeCell ref="N197:O197"/>
    <mergeCell ref="N198:O198"/>
    <mergeCell ref="N199:O199"/>
    <mergeCell ref="N200:O200"/>
    <mergeCell ref="H192:I192"/>
    <mergeCell ref="H193:I193"/>
    <mergeCell ref="H194:I194"/>
    <mergeCell ref="H183:I183"/>
    <mergeCell ref="H184:I184"/>
    <mergeCell ref="L197:M197"/>
    <mergeCell ref="N192:O192"/>
    <mergeCell ref="H204:I204"/>
    <mergeCell ref="J204:K204"/>
    <mergeCell ref="L204:M204"/>
    <mergeCell ref="H151:I151"/>
    <mergeCell ref="J151:K151"/>
    <mergeCell ref="L151:M151"/>
    <mergeCell ref="L154:M154"/>
    <mergeCell ref="H159:I159"/>
    <mergeCell ref="J159:K159"/>
    <mergeCell ref="L159:M159"/>
    <mergeCell ref="H157:I157"/>
    <mergeCell ref="J157:K157"/>
    <mergeCell ref="L157:M157"/>
    <mergeCell ref="H158:I158"/>
    <mergeCell ref="J158:K158"/>
    <mergeCell ref="L158:M158"/>
    <mergeCell ref="H162:I162"/>
    <mergeCell ref="J162:K162"/>
    <mergeCell ref="L162:M162"/>
    <mergeCell ref="L187:M187"/>
    <mergeCell ref="L174:M174"/>
    <mergeCell ref="J198:K198"/>
    <mergeCell ref="H198:I198"/>
    <mergeCell ref="H189:I189"/>
    <mergeCell ref="H210:I210"/>
    <mergeCell ref="J210:K210"/>
    <mergeCell ref="L210:M210"/>
    <mergeCell ref="N210:O210"/>
    <mergeCell ref="H209:I209"/>
    <mergeCell ref="J209:K209"/>
    <mergeCell ref="L209:M209"/>
    <mergeCell ref="N209:O209"/>
    <mergeCell ref="C133:D133"/>
    <mergeCell ref="H208:I208"/>
    <mergeCell ref="J208:K208"/>
    <mergeCell ref="L208:M208"/>
    <mergeCell ref="N208:O208"/>
    <mergeCell ref="H205:I205"/>
    <mergeCell ref="J205:K205"/>
    <mergeCell ref="L205:M205"/>
    <mergeCell ref="N205:O205"/>
    <mergeCell ref="H149:I149"/>
    <mergeCell ref="J149:K149"/>
    <mergeCell ref="L149:M149"/>
    <mergeCell ref="H150:I150"/>
    <mergeCell ref="J150:K150"/>
    <mergeCell ref="L150:M150"/>
    <mergeCell ref="H155:I155"/>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BA207"/>
  <sheetViews>
    <sheetView zoomScale="127" zoomScaleNormal="120" workbookViewId="0">
      <pane xSplit="1" ySplit="5" topLeftCell="AJ129" activePane="bottomRight" state="frozen"/>
      <selection pane="topRight" activeCell="B1" sqref="B1"/>
      <selection pane="bottomLeft" activeCell="A6" sqref="A6"/>
      <selection pane="bottomRight" activeCell="AJ129" sqref="AJ129"/>
    </sheetView>
  </sheetViews>
  <sheetFormatPr baseColWidth="10" defaultColWidth="10.6640625" defaultRowHeight="11" x14ac:dyDescent="0.15"/>
  <cols>
    <col min="1" max="1" width="5.83203125" style="1" customWidth="1"/>
    <col min="2" max="3" width="7.83203125" style="1" customWidth="1"/>
    <col min="4" max="4" width="8.33203125" style="1" customWidth="1"/>
    <col min="5" max="6" width="7.83203125" style="1" customWidth="1"/>
    <col min="7" max="18" width="4.5" style="1" customWidth="1"/>
    <col min="19" max="21" width="7.83203125" style="1" customWidth="1"/>
    <col min="22" max="33" width="5.6640625" style="1" customWidth="1"/>
    <col min="34" max="34" width="5.6640625" style="22" customWidth="1"/>
    <col min="35" max="45" width="5.6640625" style="1" customWidth="1"/>
    <col min="46" max="53" width="5.5" style="1" customWidth="1"/>
    <col min="54" max="16384" width="10.6640625" style="1"/>
  </cols>
  <sheetData>
    <row r="1" spans="1:53" ht="15" customHeight="1" x14ac:dyDescent="0.15">
      <c r="B1" s="15" t="s">
        <v>14</v>
      </c>
    </row>
    <row r="2" spans="1:53" ht="15" customHeight="1" x14ac:dyDescent="0.15">
      <c r="B2" s="15" t="s">
        <v>65</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139" customFormat="1" x14ac:dyDescent="0.15">
      <c r="A6" s="145">
        <v>1959</v>
      </c>
      <c r="B6" s="294"/>
      <c r="C6" s="398" t="s">
        <v>610</v>
      </c>
      <c r="D6" s="398"/>
      <c r="E6" s="139">
        <v>0</v>
      </c>
      <c r="G6" s="147"/>
      <c r="I6" s="139">
        <v>15</v>
      </c>
      <c r="J6" s="153">
        <v>15</v>
      </c>
      <c r="K6" s="133">
        <f t="shared" ref="K6:M8" si="0">G6/$J6*100</f>
        <v>0</v>
      </c>
      <c r="L6" s="133">
        <f t="shared" si="0"/>
        <v>0</v>
      </c>
      <c r="M6" s="133">
        <f t="shared" si="0"/>
        <v>100</v>
      </c>
      <c r="N6" s="149">
        <f>K6+L6+M6</f>
        <v>100</v>
      </c>
      <c r="O6" s="132"/>
      <c r="P6" s="133"/>
      <c r="Q6" s="133">
        <v>52</v>
      </c>
      <c r="R6" s="134">
        <f>O6+P6+Q6</f>
        <v>52</v>
      </c>
      <c r="S6" s="139">
        <v>1</v>
      </c>
      <c r="T6" s="306"/>
      <c r="U6" s="294"/>
      <c r="V6" s="138" t="s">
        <v>480</v>
      </c>
      <c r="W6" s="139" t="s">
        <v>20</v>
      </c>
      <c r="X6" s="139" t="s">
        <v>12</v>
      </c>
      <c r="Y6" s="140">
        <v>52</v>
      </c>
      <c r="AD6" s="138"/>
      <c r="AG6" s="140"/>
      <c r="AH6" s="157"/>
      <c r="AL6" s="138"/>
      <c r="AO6" s="140"/>
      <c r="AP6" s="138"/>
      <c r="AS6" s="140"/>
      <c r="AW6" s="140"/>
      <c r="BA6" s="141"/>
    </row>
    <row r="7" spans="1:53" s="139" customFormat="1" x14ac:dyDescent="0.15">
      <c r="A7" s="145">
        <v>1959</v>
      </c>
      <c r="B7" s="294"/>
      <c r="C7" s="398" t="s">
        <v>610</v>
      </c>
      <c r="D7" s="398"/>
      <c r="E7" s="139">
        <v>365</v>
      </c>
      <c r="G7" s="147"/>
      <c r="I7" s="139">
        <v>15</v>
      </c>
      <c r="J7" s="153">
        <v>15</v>
      </c>
      <c r="K7" s="133">
        <f t="shared" si="0"/>
        <v>0</v>
      </c>
      <c r="L7" s="133">
        <f t="shared" si="0"/>
        <v>0</v>
      </c>
      <c r="M7" s="133">
        <f t="shared" si="0"/>
        <v>100</v>
      </c>
      <c r="N7" s="149">
        <f>K7+L7+M7</f>
        <v>100</v>
      </c>
      <c r="O7" s="132"/>
      <c r="P7" s="133"/>
      <c r="Q7" s="133">
        <v>52</v>
      </c>
      <c r="R7" s="134">
        <f>O7+P7+Q7</f>
        <v>52</v>
      </c>
      <c r="S7" s="139">
        <v>1</v>
      </c>
      <c r="T7" s="306"/>
      <c r="U7" s="294"/>
      <c r="V7" s="138" t="s">
        <v>480</v>
      </c>
      <c r="W7" s="139" t="s">
        <v>20</v>
      </c>
      <c r="X7" s="139" t="s">
        <v>12</v>
      </c>
      <c r="Y7" s="140">
        <v>52</v>
      </c>
      <c r="AD7" s="138"/>
      <c r="AG7" s="140"/>
      <c r="AH7" s="157"/>
      <c r="AL7" s="138"/>
      <c r="AO7" s="140"/>
      <c r="AP7" s="138"/>
      <c r="AS7" s="140"/>
      <c r="AW7" s="140"/>
      <c r="BA7" s="141"/>
    </row>
    <row r="8" spans="1:53" s="28" customFormat="1" x14ac:dyDescent="0.15">
      <c r="A8" s="51">
        <v>1960</v>
      </c>
      <c r="B8" s="293"/>
      <c r="C8" s="394" t="s">
        <v>610</v>
      </c>
      <c r="D8" s="394"/>
      <c r="E8" s="28">
        <v>0</v>
      </c>
      <c r="G8" s="65"/>
      <c r="I8" s="28">
        <v>15</v>
      </c>
      <c r="J8" s="72">
        <v>15</v>
      </c>
      <c r="K8" s="46">
        <f t="shared" si="0"/>
        <v>0</v>
      </c>
      <c r="L8" s="46">
        <f t="shared" si="0"/>
        <v>0</v>
      </c>
      <c r="M8" s="46">
        <f t="shared" si="0"/>
        <v>100</v>
      </c>
      <c r="N8" s="67">
        <f>K8+L8+M8</f>
        <v>100</v>
      </c>
      <c r="O8" s="45"/>
      <c r="P8" s="46"/>
      <c r="Q8" s="46">
        <v>52</v>
      </c>
      <c r="R8" s="47">
        <f>O8+P8+Q8</f>
        <v>52</v>
      </c>
      <c r="S8" s="28">
        <v>1</v>
      </c>
      <c r="T8" s="284"/>
      <c r="U8" s="293"/>
      <c r="V8" s="37" t="s">
        <v>480</v>
      </c>
      <c r="W8" s="28" t="s">
        <v>20</v>
      </c>
      <c r="X8" s="28" t="s">
        <v>12</v>
      </c>
      <c r="Y8" s="38">
        <v>52</v>
      </c>
      <c r="AD8" s="37"/>
      <c r="AG8" s="38"/>
      <c r="AH8" s="93"/>
      <c r="AL8" s="37"/>
      <c r="AO8" s="38"/>
      <c r="AP8" s="37"/>
      <c r="AS8" s="38"/>
      <c r="AW8" s="38"/>
      <c r="BA8" s="39"/>
    </row>
    <row r="9" spans="1:53" s="28" customFormat="1" x14ac:dyDescent="0.15">
      <c r="A9" s="51">
        <v>1960</v>
      </c>
      <c r="B9" s="293"/>
      <c r="C9" s="394" t="s">
        <v>610</v>
      </c>
      <c r="D9" s="394"/>
      <c r="E9" s="28">
        <v>366</v>
      </c>
      <c r="G9" s="65"/>
      <c r="I9" s="28">
        <v>15</v>
      </c>
      <c r="J9" s="72">
        <v>15</v>
      </c>
      <c r="K9" s="46">
        <f t="shared" ref="K9:M24" si="1">G9/$J9*100</f>
        <v>0</v>
      </c>
      <c r="L9" s="46">
        <f t="shared" si="1"/>
        <v>0</v>
      </c>
      <c r="M9" s="46">
        <f t="shared" si="1"/>
        <v>100</v>
      </c>
      <c r="N9" s="67">
        <f t="shared" ref="N9:N62" si="2">K9+L9+M9</f>
        <v>100</v>
      </c>
      <c r="O9" s="45"/>
      <c r="P9" s="46"/>
      <c r="Q9" s="46">
        <v>52</v>
      </c>
      <c r="R9" s="47">
        <f t="shared" ref="R9:R72" si="3">O9+P9+Q9</f>
        <v>52</v>
      </c>
      <c r="S9" s="28">
        <v>1</v>
      </c>
      <c r="T9" s="284"/>
      <c r="U9" s="293"/>
      <c r="V9" s="37" t="s">
        <v>480</v>
      </c>
      <c r="W9" s="28" t="s">
        <v>20</v>
      </c>
      <c r="X9" s="28" t="s">
        <v>12</v>
      </c>
      <c r="Y9" s="38">
        <v>52</v>
      </c>
      <c r="AD9" s="37"/>
      <c r="AG9" s="38"/>
      <c r="AH9" s="93"/>
      <c r="AL9" s="37"/>
      <c r="AO9" s="38"/>
      <c r="AP9" s="37"/>
      <c r="AS9" s="38"/>
      <c r="AW9" s="38"/>
      <c r="BA9" s="39"/>
    </row>
    <row r="10" spans="1:53" s="28" customFormat="1" x14ac:dyDescent="0.15">
      <c r="A10" s="51">
        <v>1961</v>
      </c>
      <c r="B10" s="293"/>
      <c r="C10" s="394" t="s">
        <v>610</v>
      </c>
      <c r="D10" s="394"/>
      <c r="E10" s="28">
        <v>253</v>
      </c>
      <c r="G10" s="65"/>
      <c r="I10" s="28">
        <v>15</v>
      </c>
      <c r="J10" s="72">
        <v>15</v>
      </c>
      <c r="K10" s="46">
        <f t="shared" si="1"/>
        <v>0</v>
      </c>
      <c r="L10" s="46">
        <f t="shared" si="1"/>
        <v>0</v>
      </c>
      <c r="M10" s="46">
        <f t="shared" si="1"/>
        <v>100</v>
      </c>
      <c r="N10" s="67">
        <f t="shared" si="2"/>
        <v>100</v>
      </c>
      <c r="O10" s="45"/>
      <c r="P10" s="46"/>
      <c r="Q10" s="46">
        <v>52</v>
      </c>
      <c r="R10" s="47">
        <f t="shared" si="3"/>
        <v>52</v>
      </c>
      <c r="S10" s="28">
        <v>1</v>
      </c>
      <c r="T10" s="284"/>
      <c r="U10" s="293"/>
      <c r="V10" s="37" t="s">
        <v>480</v>
      </c>
      <c r="W10" s="28" t="s">
        <v>20</v>
      </c>
      <c r="X10" s="28" t="s">
        <v>12</v>
      </c>
      <c r="Y10" s="38">
        <v>52</v>
      </c>
      <c r="AD10" s="37"/>
      <c r="AG10" s="38"/>
      <c r="AH10" s="93"/>
      <c r="AL10" s="37"/>
      <c r="AO10" s="38"/>
      <c r="AP10" s="37"/>
      <c r="AS10" s="38"/>
      <c r="AW10" s="38"/>
      <c r="BA10" s="39"/>
    </row>
    <row r="11" spans="1:53" s="170" customFormat="1" x14ac:dyDescent="0.15">
      <c r="A11" s="215">
        <v>1961</v>
      </c>
      <c r="B11" s="281">
        <v>22535</v>
      </c>
      <c r="C11" s="395" t="s">
        <v>611</v>
      </c>
      <c r="D11" s="395"/>
      <c r="E11" s="170">
        <f>365-E10</f>
        <v>112</v>
      </c>
      <c r="F11" s="170">
        <v>1</v>
      </c>
      <c r="G11" s="232"/>
      <c r="I11" s="170">
        <v>15</v>
      </c>
      <c r="J11" s="240">
        <v>15</v>
      </c>
      <c r="K11" s="213">
        <f t="shared" si="1"/>
        <v>0</v>
      </c>
      <c r="L11" s="213">
        <f t="shared" si="1"/>
        <v>0</v>
      </c>
      <c r="M11" s="213">
        <f t="shared" si="1"/>
        <v>100</v>
      </c>
      <c r="N11" s="234">
        <f t="shared" si="2"/>
        <v>100</v>
      </c>
      <c r="O11" s="212"/>
      <c r="P11" s="213"/>
      <c r="Q11" s="213">
        <v>49.3</v>
      </c>
      <c r="R11" s="214">
        <f t="shared" si="3"/>
        <v>49.3</v>
      </c>
      <c r="S11" s="170">
        <v>4</v>
      </c>
      <c r="T11" s="283">
        <v>22535</v>
      </c>
      <c r="U11" s="281">
        <v>22535</v>
      </c>
      <c r="V11" s="177" t="s">
        <v>480</v>
      </c>
      <c r="W11" s="170" t="s">
        <v>20</v>
      </c>
      <c r="X11" s="170" t="s">
        <v>12</v>
      </c>
      <c r="Y11" s="178">
        <v>49.3</v>
      </c>
      <c r="AD11" s="177"/>
      <c r="AG11" s="178"/>
      <c r="AH11" s="252"/>
      <c r="AL11" s="177"/>
      <c r="AO11" s="178"/>
      <c r="AP11" s="177"/>
      <c r="AS11" s="178"/>
      <c r="AW11" s="178"/>
      <c r="BA11" s="179"/>
    </row>
    <row r="12" spans="1:53" s="170" customFormat="1" x14ac:dyDescent="0.15">
      <c r="A12" s="215">
        <v>1962</v>
      </c>
      <c r="B12" s="281"/>
      <c r="C12" s="395" t="s">
        <v>611</v>
      </c>
      <c r="D12" s="395"/>
      <c r="E12" s="170">
        <v>0</v>
      </c>
      <c r="G12" s="232"/>
      <c r="I12" s="170">
        <v>15</v>
      </c>
      <c r="J12" s="240">
        <v>15</v>
      </c>
      <c r="K12" s="213">
        <f t="shared" si="1"/>
        <v>0</v>
      </c>
      <c r="L12" s="213">
        <f t="shared" si="1"/>
        <v>0</v>
      </c>
      <c r="M12" s="213">
        <f t="shared" si="1"/>
        <v>100</v>
      </c>
      <c r="N12" s="234">
        <f t="shared" si="2"/>
        <v>100</v>
      </c>
      <c r="O12" s="212"/>
      <c r="P12" s="213"/>
      <c r="Q12" s="213">
        <v>49.3</v>
      </c>
      <c r="R12" s="214">
        <f t="shared" si="3"/>
        <v>49.3</v>
      </c>
      <c r="S12" s="170">
        <v>4</v>
      </c>
      <c r="T12" s="283"/>
      <c r="U12" s="281"/>
      <c r="V12" s="177" t="s">
        <v>480</v>
      </c>
      <c r="W12" s="170" t="s">
        <v>20</v>
      </c>
      <c r="X12" s="170" t="s">
        <v>12</v>
      </c>
      <c r="Y12" s="178">
        <v>49.3</v>
      </c>
      <c r="AD12" s="177"/>
      <c r="AG12" s="178"/>
      <c r="AH12" s="252"/>
      <c r="AL12" s="177"/>
      <c r="AO12" s="178"/>
      <c r="AP12" s="177"/>
      <c r="AS12" s="178"/>
      <c r="AW12" s="178"/>
      <c r="BA12" s="179"/>
    </row>
    <row r="13" spans="1:53" s="170" customFormat="1" x14ac:dyDescent="0.15">
      <c r="A13" s="215">
        <v>1962</v>
      </c>
      <c r="B13" s="281"/>
      <c r="C13" s="395" t="s">
        <v>611</v>
      </c>
      <c r="D13" s="395"/>
      <c r="E13" s="170">
        <v>365</v>
      </c>
      <c r="G13" s="232"/>
      <c r="I13" s="170">
        <v>15</v>
      </c>
      <c r="J13" s="240">
        <v>15</v>
      </c>
      <c r="K13" s="213">
        <f t="shared" si="1"/>
        <v>0</v>
      </c>
      <c r="L13" s="213">
        <f t="shared" si="1"/>
        <v>0</v>
      </c>
      <c r="M13" s="213">
        <f t="shared" si="1"/>
        <v>100</v>
      </c>
      <c r="N13" s="234">
        <f t="shared" si="2"/>
        <v>100</v>
      </c>
      <c r="O13" s="212"/>
      <c r="P13" s="213"/>
      <c r="Q13" s="213">
        <v>49.3</v>
      </c>
      <c r="R13" s="214">
        <f t="shared" si="3"/>
        <v>49.3</v>
      </c>
      <c r="S13" s="170">
        <v>4</v>
      </c>
      <c r="T13" s="283"/>
      <c r="U13" s="281"/>
      <c r="V13" s="177" t="s">
        <v>480</v>
      </c>
      <c r="W13" s="170" t="s">
        <v>20</v>
      </c>
      <c r="X13" s="170" t="s">
        <v>12</v>
      </c>
      <c r="Y13" s="178">
        <v>49.3</v>
      </c>
      <c r="AD13" s="177"/>
      <c r="AG13" s="178"/>
      <c r="AH13" s="252"/>
      <c r="AL13" s="177"/>
      <c r="AO13" s="178"/>
      <c r="AP13" s="177"/>
      <c r="AS13" s="178"/>
      <c r="AW13" s="178"/>
      <c r="BA13" s="179"/>
    </row>
    <row r="14" spans="1:53" s="170" customFormat="1" x14ac:dyDescent="0.15">
      <c r="A14" s="215">
        <v>1963</v>
      </c>
      <c r="B14" s="281"/>
      <c r="C14" s="395" t="s">
        <v>611</v>
      </c>
      <c r="D14" s="395"/>
      <c r="E14" s="170">
        <v>238</v>
      </c>
      <c r="G14" s="232"/>
      <c r="I14" s="170">
        <v>15</v>
      </c>
      <c r="J14" s="240">
        <v>15</v>
      </c>
      <c r="K14" s="213">
        <f t="shared" si="1"/>
        <v>0</v>
      </c>
      <c r="L14" s="213">
        <f t="shared" si="1"/>
        <v>0</v>
      </c>
      <c r="M14" s="213">
        <f t="shared" si="1"/>
        <v>100</v>
      </c>
      <c r="N14" s="234">
        <f t="shared" si="2"/>
        <v>100</v>
      </c>
      <c r="O14" s="212"/>
      <c r="P14" s="213"/>
      <c r="Q14" s="213">
        <v>49.3</v>
      </c>
      <c r="R14" s="214">
        <f t="shared" si="3"/>
        <v>49.3</v>
      </c>
      <c r="S14" s="170">
        <v>4</v>
      </c>
      <c r="T14" s="283"/>
      <c r="U14" s="281"/>
      <c r="V14" s="177" t="s">
        <v>480</v>
      </c>
      <c r="W14" s="170" t="s">
        <v>20</v>
      </c>
      <c r="X14" s="170" t="s">
        <v>12</v>
      </c>
      <c r="Y14" s="178">
        <v>49.3</v>
      </c>
      <c r="AD14" s="177"/>
      <c r="AG14" s="178"/>
      <c r="AH14" s="252"/>
      <c r="AL14" s="177"/>
      <c r="AO14" s="178"/>
      <c r="AP14" s="177"/>
      <c r="AS14" s="178"/>
      <c r="AW14" s="178"/>
      <c r="BA14" s="179"/>
    </row>
    <row r="15" spans="1:53" s="28" customFormat="1" x14ac:dyDescent="0.15">
      <c r="A15" s="51">
        <v>1963</v>
      </c>
      <c r="B15" s="293">
        <v>23250</v>
      </c>
      <c r="C15" s="394" t="s">
        <v>612</v>
      </c>
      <c r="D15" s="394"/>
      <c r="E15" s="28">
        <v>28</v>
      </c>
      <c r="F15" s="28">
        <v>5</v>
      </c>
      <c r="G15" s="65">
        <v>8</v>
      </c>
      <c r="H15" s="28">
        <v>7</v>
      </c>
      <c r="J15" s="72">
        <v>15</v>
      </c>
      <c r="K15" s="46">
        <f t="shared" si="1"/>
        <v>53.333333333333336</v>
      </c>
      <c r="L15" s="46">
        <f t="shared" si="1"/>
        <v>46.666666666666664</v>
      </c>
      <c r="M15" s="46">
        <f t="shared" si="1"/>
        <v>0</v>
      </c>
      <c r="N15" s="67">
        <f t="shared" si="2"/>
        <v>100</v>
      </c>
      <c r="O15" s="45">
        <v>28.6</v>
      </c>
      <c r="P15" s="46">
        <v>20.7</v>
      </c>
      <c r="Q15" s="46"/>
      <c r="R15" s="47">
        <f t="shared" si="3"/>
        <v>49.3</v>
      </c>
      <c r="S15" s="28">
        <v>5</v>
      </c>
      <c r="T15" s="284"/>
      <c r="U15" s="293">
        <v>23250</v>
      </c>
      <c r="V15" s="37" t="s">
        <v>481</v>
      </c>
      <c r="W15" s="28" t="s">
        <v>74</v>
      </c>
      <c r="X15" s="28" t="s">
        <v>11</v>
      </c>
      <c r="Y15" s="38">
        <v>19.3</v>
      </c>
      <c r="Z15" s="37" t="s">
        <v>83</v>
      </c>
      <c r="AA15" s="28" t="s">
        <v>869</v>
      </c>
      <c r="AB15" s="28" t="s">
        <v>18</v>
      </c>
      <c r="AC15" s="28">
        <v>10.7</v>
      </c>
      <c r="AD15" s="37" t="s">
        <v>264</v>
      </c>
      <c r="AE15" s="28" t="s">
        <v>17</v>
      </c>
      <c r="AF15" s="28" t="s">
        <v>18</v>
      </c>
      <c r="AG15" s="38">
        <v>10</v>
      </c>
      <c r="AH15" s="28" t="s">
        <v>404</v>
      </c>
      <c r="AI15" s="28" t="s">
        <v>22</v>
      </c>
      <c r="AJ15" s="28" t="s">
        <v>11</v>
      </c>
      <c r="AK15" s="28">
        <v>9.3000000000000007</v>
      </c>
      <c r="AL15" s="37"/>
      <c r="AO15" s="38"/>
      <c r="AP15" s="37"/>
      <c r="AS15" s="38"/>
      <c r="AW15" s="38"/>
      <c r="BA15" s="39"/>
    </row>
    <row r="16" spans="1:53" s="170" customFormat="1" x14ac:dyDescent="0.15">
      <c r="A16" s="215">
        <v>1963</v>
      </c>
      <c r="B16" s="281">
        <v>23278</v>
      </c>
      <c r="C16" s="395" t="s">
        <v>613</v>
      </c>
      <c r="D16" s="395"/>
      <c r="E16" s="170">
        <f>365-E15-E14</f>
        <v>99</v>
      </c>
      <c r="F16" s="170">
        <v>5</v>
      </c>
      <c r="G16" s="232"/>
      <c r="I16" s="170">
        <v>15</v>
      </c>
      <c r="J16" s="240">
        <v>15</v>
      </c>
      <c r="K16" s="213">
        <f t="shared" si="1"/>
        <v>0</v>
      </c>
      <c r="L16" s="213">
        <f t="shared" si="1"/>
        <v>0</v>
      </c>
      <c r="M16" s="213">
        <f t="shared" si="1"/>
        <v>100</v>
      </c>
      <c r="N16" s="234">
        <f t="shared" si="2"/>
        <v>100</v>
      </c>
      <c r="O16" s="212"/>
      <c r="P16" s="213"/>
      <c r="Q16" s="213">
        <v>49.3</v>
      </c>
      <c r="R16" s="214">
        <f t="shared" si="3"/>
        <v>49.3</v>
      </c>
      <c r="S16" s="170">
        <v>4</v>
      </c>
      <c r="T16" s="283"/>
      <c r="U16" s="281">
        <v>23278</v>
      </c>
      <c r="V16" s="177" t="s">
        <v>480</v>
      </c>
      <c r="W16" s="170" t="s">
        <v>20</v>
      </c>
      <c r="X16" s="170" t="s">
        <v>12</v>
      </c>
      <c r="Y16" s="178">
        <v>49.3</v>
      </c>
      <c r="AD16" s="177"/>
      <c r="AG16" s="178"/>
      <c r="AL16" s="177"/>
      <c r="AO16" s="178"/>
      <c r="AP16" s="177"/>
      <c r="AS16" s="178"/>
      <c r="AW16" s="178"/>
      <c r="BA16" s="179"/>
    </row>
    <row r="17" spans="1:53" s="170" customFormat="1" x14ac:dyDescent="0.15">
      <c r="A17" s="215">
        <v>1964</v>
      </c>
      <c r="B17" s="281"/>
      <c r="C17" s="395" t="s">
        <v>613</v>
      </c>
      <c r="D17" s="395"/>
      <c r="E17" s="170">
        <v>0</v>
      </c>
      <c r="G17" s="232"/>
      <c r="I17" s="170">
        <v>15</v>
      </c>
      <c r="J17" s="240">
        <v>15</v>
      </c>
      <c r="K17" s="213">
        <f t="shared" si="1"/>
        <v>0</v>
      </c>
      <c r="L17" s="213">
        <f t="shared" si="1"/>
        <v>0</v>
      </c>
      <c r="M17" s="213">
        <f t="shared" si="1"/>
        <v>100</v>
      </c>
      <c r="N17" s="234">
        <f t="shared" si="2"/>
        <v>100</v>
      </c>
      <c r="O17" s="212"/>
      <c r="P17" s="213"/>
      <c r="Q17" s="213">
        <v>49.3</v>
      </c>
      <c r="R17" s="214">
        <f t="shared" si="3"/>
        <v>49.3</v>
      </c>
      <c r="S17" s="170">
        <v>4</v>
      </c>
      <c r="T17" s="283"/>
      <c r="U17" s="281"/>
      <c r="V17" s="177" t="s">
        <v>480</v>
      </c>
      <c r="W17" s="170" t="s">
        <v>20</v>
      </c>
      <c r="X17" s="170" t="s">
        <v>12</v>
      </c>
      <c r="Y17" s="178">
        <v>49.3</v>
      </c>
      <c r="AD17" s="177"/>
      <c r="AG17" s="178"/>
      <c r="AL17" s="177"/>
      <c r="AO17" s="178"/>
      <c r="AP17" s="177"/>
      <c r="AS17" s="178"/>
      <c r="AW17" s="178"/>
      <c r="BA17" s="179"/>
    </row>
    <row r="18" spans="1:53" s="170" customFormat="1" x14ac:dyDescent="0.15">
      <c r="A18" s="215">
        <v>1964</v>
      </c>
      <c r="B18" s="281"/>
      <c r="C18" s="395" t="s">
        <v>613</v>
      </c>
      <c r="D18" s="395"/>
      <c r="E18" s="170">
        <v>366</v>
      </c>
      <c r="G18" s="232"/>
      <c r="I18" s="170">
        <v>15</v>
      </c>
      <c r="J18" s="240">
        <v>15</v>
      </c>
      <c r="K18" s="213">
        <f t="shared" si="1"/>
        <v>0</v>
      </c>
      <c r="L18" s="213">
        <f t="shared" si="1"/>
        <v>0</v>
      </c>
      <c r="M18" s="213">
        <f t="shared" si="1"/>
        <v>100</v>
      </c>
      <c r="N18" s="234">
        <f t="shared" si="2"/>
        <v>100</v>
      </c>
      <c r="O18" s="212"/>
      <c r="P18" s="213"/>
      <c r="Q18" s="213">
        <v>49.3</v>
      </c>
      <c r="R18" s="214">
        <f t="shared" si="3"/>
        <v>49.3</v>
      </c>
      <c r="S18" s="170">
        <v>4</v>
      </c>
      <c r="T18" s="283"/>
      <c r="U18" s="281"/>
      <c r="V18" s="177" t="s">
        <v>480</v>
      </c>
      <c r="W18" s="170" t="s">
        <v>20</v>
      </c>
      <c r="X18" s="170" t="s">
        <v>12</v>
      </c>
      <c r="Y18" s="178">
        <v>49.3</v>
      </c>
      <c r="AD18" s="177"/>
      <c r="AG18" s="178"/>
      <c r="AL18" s="177"/>
      <c r="AO18" s="178"/>
      <c r="AP18" s="177"/>
      <c r="AS18" s="178"/>
      <c r="AW18" s="178"/>
      <c r="BA18" s="179"/>
    </row>
    <row r="19" spans="1:53" s="170" customFormat="1" x14ac:dyDescent="0.15">
      <c r="A19" s="215">
        <v>1965</v>
      </c>
      <c r="B19" s="281"/>
      <c r="C19" s="395" t="s">
        <v>613</v>
      </c>
      <c r="D19" s="395"/>
      <c r="E19" s="170">
        <v>283</v>
      </c>
      <c r="G19" s="232"/>
      <c r="I19" s="170">
        <v>15</v>
      </c>
      <c r="J19" s="240">
        <v>15</v>
      </c>
      <c r="K19" s="213">
        <f t="shared" si="1"/>
        <v>0</v>
      </c>
      <c r="L19" s="213">
        <f t="shared" si="1"/>
        <v>0</v>
      </c>
      <c r="M19" s="213">
        <f t="shared" si="1"/>
        <v>100</v>
      </c>
      <c r="N19" s="234">
        <f t="shared" si="2"/>
        <v>100</v>
      </c>
      <c r="O19" s="212"/>
      <c r="P19" s="213"/>
      <c r="Q19" s="213">
        <v>49.3</v>
      </c>
      <c r="R19" s="214">
        <f t="shared" si="3"/>
        <v>49.3</v>
      </c>
      <c r="S19" s="170">
        <v>4</v>
      </c>
      <c r="T19" s="283"/>
      <c r="U19" s="281"/>
      <c r="V19" s="177" t="s">
        <v>480</v>
      </c>
      <c r="W19" s="170" t="s">
        <v>20</v>
      </c>
      <c r="X19" s="170" t="s">
        <v>12</v>
      </c>
      <c r="Y19" s="178">
        <v>49.3</v>
      </c>
      <c r="AD19" s="177"/>
      <c r="AG19" s="178"/>
      <c r="AL19" s="177"/>
      <c r="AO19" s="178"/>
      <c r="AP19" s="177"/>
      <c r="AS19" s="178"/>
      <c r="AW19" s="178"/>
      <c r="BA19" s="179"/>
    </row>
    <row r="20" spans="1:53" s="28" customFormat="1" x14ac:dyDescent="0.15">
      <c r="A20" s="51">
        <v>1965</v>
      </c>
      <c r="B20" s="293">
        <v>24026</v>
      </c>
      <c r="C20" s="394" t="s">
        <v>614</v>
      </c>
      <c r="D20" s="394"/>
      <c r="E20" s="28">
        <f>365-E19</f>
        <v>82</v>
      </c>
      <c r="F20" s="28">
        <v>1</v>
      </c>
      <c r="G20" s="65">
        <v>9</v>
      </c>
      <c r="H20" s="28">
        <v>6</v>
      </c>
      <c r="J20" s="72">
        <v>15</v>
      </c>
      <c r="K20" s="46">
        <f t="shared" si="1"/>
        <v>60</v>
      </c>
      <c r="L20" s="46">
        <f t="shared" si="1"/>
        <v>40</v>
      </c>
      <c r="M20" s="46">
        <f t="shared" si="1"/>
        <v>0</v>
      </c>
      <c r="N20" s="67">
        <f t="shared" si="2"/>
        <v>100</v>
      </c>
      <c r="O20" s="45">
        <v>32.700000000000003</v>
      </c>
      <c r="P20" s="46">
        <v>20.7</v>
      </c>
      <c r="Q20" s="46"/>
      <c r="R20" s="47">
        <f t="shared" si="3"/>
        <v>53.400000000000006</v>
      </c>
      <c r="S20" s="28">
        <v>2</v>
      </c>
      <c r="T20" s="284">
        <v>23997</v>
      </c>
      <c r="U20" s="293">
        <v>24026</v>
      </c>
      <c r="V20" s="28" t="s">
        <v>481</v>
      </c>
      <c r="W20" s="28" t="s">
        <v>74</v>
      </c>
      <c r="X20" s="28" t="s">
        <v>11</v>
      </c>
      <c r="Y20" s="28">
        <v>20.7</v>
      </c>
      <c r="Z20" s="37" t="s">
        <v>83</v>
      </c>
      <c r="AA20" s="28" t="s">
        <v>869</v>
      </c>
      <c r="AB20" s="28" t="s">
        <v>18</v>
      </c>
      <c r="AC20" s="28">
        <v>12</v>
      </c>
      <c r="AD20" s="37" t="s">
        <v>264</v>
      </c>
      <c r="AE20" s="28" t="s">
        <v>17</v>
      </c>
      <c r="AF20" s="28" t="s">
        <v>18</v>
      </c>
      <c r="AG20" s="38">
        <v>8.6999999999999993</v>
      </c>
      <c r="AH20" s="28" t="s">
        <v>404</v>
      </c>
      <c r="AI20" s="28" t="s">
        <v>22</v>
      </c>
      <c r="AJ20" s="28" t="s">
        <v>11</v>
      </c>
      <c r="AK20" s="28">
        <v>12</v>
      </c>
      <c r="AL20" s="37"/>
      <c r="AO20" s="38"/>
      <c r="AP20" s="37"/>
      <c r="AS20" s="38"/>
      <c r="AW20" s="38"/>
      <c r="BA20" s="39"/>
    </row>
    <row r="21" spans="1:53" s="28" customFormat="1" x14ac:dyDescent="0.15">
      <c r="A21" s="51">
        <v>1966</v>
      </c>
      <c r="B21" s="293"/>
      <c r="C21" s="394" t="s">
        <v>614</v>
      </c>
      <c r="D21" s="394"/>
      <c r="E21" s="28">
        <v>0</v>
      </c>
      <c r="G21" s="65">
        <v>9</v>
      </c>
      <c r="H21" s="28">
        <v>6</v>
      </c>
      <c r="J21" s="72">
        <v>15</v>
      </c>
      <c r="K21" s="46">
        <f t="shared" si="1"/>
        <v>60</v>
      </c>
      <c r="L21" s="46">
        <f t="shared" si="1"/>
        <v>40</v>
      </c>
      <c r="M21" s="46">
        <f t="shared" si="1"/>
        <v>0</v>
      </c>
      <c r="N21" s="67">
        <f t="shared" si="2"/>
        <v>100</v>
      </c>
      <c r="O21" s="45">
        <v>32.700000000000003</v>
      </c>
      <c r="P21" s="46">
        <v>20.7</v>
      </c>
      <c r="Q21" s="46"/>
      <c r="R21" s="47">
        <f t="shared" si="3"/>
        <v>53.400000000000006</v>
      </c>
      <c r="S21" s="28">
        <v>2</v>
      </c>
      <c r="T21" s="284"/>
      <c r="U21" s="293"/>
      <c r="V21" s="28" t="s">
        <v>481</v>
      </c>
      <c r="W21" s="28" t="s">
        <v>74</v>
      </c>
      <c r="X21" s="28" t="s">
        <v>11</v>
      </c>
      <c r="Y21" s="28">
        <v>20.7</v>
      </c>
      <c r="Z21" s="37" t="s">
        <v>83</v>
      </c>
      <c r="AA21" s="28" t="s">
        <v>869</v>
      </c>
      <c r="AB21" s="28" t="s">
        <v>18</v>
      </c>
      <c r="AC21" s="28">
        <v>12</v>
      </c>
      <c r="AD21" s="37" t="s">
        <v>264</v>
      </c>
      <c r="AE21" s="28" t="s">
        <v>17</v>
      </c>
      <c r="AF21" s="28" t="s">
        <v>18</v>
      </c>
      <c r="AG21" s="38">
        <v>8.6999999999999993</v>
      </c>
      <c r="AH21" s="28" t="s">
        <v>404</v>
      </c>
      <c r="AI21" s="28" t="s">
        <v>22</v>
      </c>
      <c r="AJ21" s="28" t="s">
        <v>11</v>
      </c>
      <c r="AK21" s="28">
        <v>12</v>
      </c>
      <c r="AL21" s="37"/>
      <c r="AO21" s="38"/>
      <c r="AP21" s="37"/>
      <c r="AS21" s="38"/>
      <c r="AW21" s="38"/>
      <c r="BA21" s="39"/>
    </row>
    <row r="22" spans="1:53" s="28" customFormat="1" x14ac:dyDescent="0.15">
      <c r="A22" s="51">
        <v>1966</v>
      </c>
      <c r="B22" s="293"/>
      <c r="C22" s="394" t="s">
        <v>614</v>
      </c>
      <c r="D22" s="394"/>
      <c r="E22" s="28">
        <v>365</v>
      </c>
      <c r="G22" s="65">
        <v>9</v>
      </c>
      <c r="H22" s="28">
        <v>6</v>
      </c>
      <c r="J22" s="72">
        <v>15</v>
      </c>
      <c r="K22" s="46">
        <f t="shared" si="1"/>
        <v>60</v>
      </c>
      <c r="L22" s="46">
        <f t="shared" si="1"/>
        <v>40</v>
      </c>
      <c r="M22" s="46">
        <f t="shared" si="1"/>
        <v>0</v>
      </c>
      <c r="N22" s="67">
        <f t="shared" si="2"/>
        <v>100</v>
      </c>
      <c r="O22" s="45">
        <v>32.700000000000003</v>
      </c>
      <c r="P22" s="46">
        <v>20.7</v>
      </c>
      <c r="Q22" s="46"/>
      <c r="R22" s="47">
        <f t="shared" si="3"/>
        <v>53.400000000000006</v>
      </c>
      <c r="S22" s="28">
        <v>2</v>
      </c>
      <c r="T22" s="284"/>
      <c r="U22" s="293"/>
      <c r="V22" s="28" t="s">
        <v>481</v>
      </c>
      <c r="W22" s="28" t="s">
        <v>74</v>
      </c>
      <c r="X22" s="28" t="s">
        <v>11</v>
      </c>
      <c r="Y22" s="28">
        <v>20.7</v>
      </c>
      <c r="Z22" s="37" t="s">
        <v>83</v>
      </c>
      <c r="AA22" s="28" t="s">
        <v>869</v>
      </c>
      <c r="AB22" s="28" t="s">
        <v>18</v>
      </c>
      <c r="AC22" s="28">
        <v>12</v>
      </c>
      <c r="AD22" s="37" t="s">
        <v>264</v>
      </c>
      <c r="AE22" s="28" t="s">
        <v>17</v>
      </c>
      <c r="AF22" s="28" t="s">
        <v>18</v>
      </c>
      <c r="AG22" s="38">
        <v>8.6999999999999993</v>
      </c>
      <c r="AH22" s="28" t="s">
        <v>404</v>
      </c>
      <c r="AI22" s="28" t="s">
        <v>22</v>
      </c>
      <c r="AJ22" s="28" t="s">
        <v>11</v>
      </c>
      <c r="AK22" s="28">
        <v>12</v>
      </c>
      <c r="AL22" s="37"/>
      <c r="AO22" s="38"/>
      <c r="AP22" s="37"/>
      <c r="AS22" s="38"/>
      <c r="AW22" s="38"/>
      <c r="BA22" s="39"/>
    </row>
    <row r="23" spans="1:53" s="28" customFormat="1" x14ac:dyDescent="0.15">
      <c r="A23" s="51">
        <v>1967</v>
      </c>
      <c r="B23" s="293"/>
      <c r="C23" s="394" t="s">
        <v>614</v>
      </c>
      <c r="D23" s="394"/>
      <c r="E23" s="28">
        <v>0</v>
      </c>
      <c r="G23" s="65">
        <v>9</v>
      </c>
      <c r="H23" s="28">
        <v>6</v>
      </c>
      <c r="J23" s="72">
        <v>15</v>
      </c>
      <c r="K23" s="46">
        <f t="shared" si="1"/>
        <v>60</v>
      </c>
      <c r="L23" s="46">
        <f t="shared" si="1"/>
        <v>40</v>
      </c>
      <c r="M23" s="46">
        <f t="shared" si="1"/>
        <v>0</v>
      </c>
      <c r="N23" s="67">
        <f t="shared" si="2"/>
        <v>100</v>
      </c>
      <c r="O23" s="45">
        <v>32.700000000000003</v>
      </c>
      <c r="P23" s="46">
        <v>20.7</v>
      </c>
      <c r="Q23" s="46"/>
      <c r="R23" s="47">
        <f t="shared" si="3"/>
        <v>53.400000000000006</v>
      </c>
      <c r="S23" s="28">
        <v>2</v>
      </c>
      <c r="T23" s="284"/>
      <c r="U23" s="293"/>
      <c r="V23" s="28" t="s">
        <v>481</v>
      </c>
      <c r="W23" s="28" t="s">
        <v>74</v>
      </c>
      <c r="X23" s="28" t="s">
        <v>11</v>
      </c>
      <c r="Y23" s="28">
        <v>20.7</v>
      </c>
      <c r="Z23" s="37" t="s">
        <v>83</v>
      </c>
      <c r="AA23" s="28" t="s">
        <v>869</v>
      </c>
      <c r="AB23" s="28" t="s">
        <v>18</v>
      </c>
      <c r="AC23" s="28">
        <v>12</v>
      </c>
      <c r="AD23" s="37" t="s">
        <v>264</v>
      </c>
      <c r="AE23" s="28" t="s">
        <v>17</v>
      </c>
      <c r="AF23" s="28" t="s">
        <v>18</v>
      </c>
      <c r="AG23" s="38">
        <v>8.6999999999999993</v>
      </c>
      <c r="AH23" s="28" t="s">
        <v>404</v>
      </c>
      <c r="AI23" s="28" t="s">
        <v>22</v>
      </c>
      <c r="AJ23" s="28" t="s">
        <v>11</v>
      </c>
      <c r="AK23" s="28">
        <v>12</v>
      </c>
      <c r="AL23" s="37"/>
      <c r="AO23" s="38"/>
      <c r="AP23" s="37"/>
      <c r="AS23" s="38"/>
      <c r="AW23" s="38"/>
      <c r="BA23" s="39"/>
    </row>
    <row r="24" spans="1:53" s="28" customFormat="1" x14ac:dyDescent="0.15">
      <c r="A24" s="51">
        <v>1967</v>
      </c>
      <c r="B24" s="293"/>
      <c r="C24" s="394" t="s">
        <v>614</v>
      </c>
      <c r="D24" s="394"/>
      <c r="E24" s="28">
        <v>365</v>
      </c>
      <c r="G24" s="65">
        <v>9</v>
      </c>
      <c r="H24" s="28">
        <v>6</v>
      </c>
      <c r="J24" s="72">
        <v>15</v>
      </c>
      <c r="K24" s="46">
        <f t="shared" si="1"/>
        <v>60</v>
      </c>
      <c r="L24" s="46">
        <f t="shared" si="1"/>
        <v>40</v>
      </c>
      <c r="M24" s="46">
        <f t="shared" si="1"/>
        <v>0</v>
      </c>
      <c r="N24" s="67">
        <f t="shared" si="2"/>
        <v>100</v>
      </c>
      <c r="O24" s="45">
        <v>32.700000000000003</v>
      </c>
      <c r="P24" s="46">
        <v>20.7</v>
      </c>
      <c r="Q24" s="46"/>
      <c r="R24" s="47">
        <f t="shared" si="3"/>
        <v>53.400000000000006</v>
      </c>
      <c r="S24" s="28">
        <v>2</v>
      </c>
      <c r="T24" s="284"/>
      <c r="U24" s="293"/>
      <c r="V24" s="28" t="s">
        <v>481</v>
      </c>
      <c r="W24" s="28" t="s">
        <v>74</v>
      </c>
      <c r="X24" s="28" t="s">
        <v>11</v>
      </c>
      <c r="Y24" s="28">
        <v>20.7</v>
      </c>
      <c r="Z24" s="37" t="s">
        <v>83</v>
      </c>
      <c r="AA24" s="28" t="s">
        <v>869</v>
      </c>
      <c r="AB24" s="28" t="s">
        <v>18</v>
      </c>
      <c r="AC24" s="28">
        <v>12</v>
      </c>
      <c r="AD24" s="37" t="s">
        <v>264</v>
      </c>
      <c r="AE24" s="28" t="s">
        <v>17</v>
      </c>
      <c r="AF24" s="28" t="s">
        <v>18</v>
      </c>
      <c r="AG24" s="38">
        <v>8.6999999999999993</v>
      </c>
      <c r="AH24" s="28" t="s">
        <v>404</v>
      </c>
      <c r="AI24" s="28" t="s">
        <v>22</v>
      </c>
      <c r="AJ24" s="28" t="s">
        <v>11</v>
      </c>
      <c r="AK24" s="28">
        <v>12</v>
      </c>
      <c r="AL24" s="37"/>
      <c r="AO24" s="38"/>
      <c r="AP24" s="37"/>
      <c r="AS24" s="38"/>
      <c r="AW24" s="38"/>
      <c r="BA24" s="39"/>
    </row>
    <row r="25" spans="1:53" s="28" customFormat="1" x14ac:dyDescent="0.15">
      <c r="A25" s="51">
        <v>1968</v>
      </c>
      <c r="B25" s="293"/>
      <c r="C25" s="394" t="s">
        <v>614</v>
      </c>
      <c r="D25" s="394"/>
      <c r="E25" s="28">
        <v>0</v>
      </c>
      <c r="G25" s="65">
        <v>9</v>
      </c>
      <c r="H25" s="28">
        <v>6</v>
      </c>
      <c r="J25" s="72">
        <v>15</v>
      </c>
      <c r="K25" s="46">
        <f t="shared" ref="K25:M89" si="4">G25/$J25*100</f>
        <v>60</v>
      </c>
      <c r="L25" s="46">
        <f t="shared" si="4"/>
        <v>40</v>
      </c>
      <c r="M25" s="46">
        <f t="shared" si="4"/>
        <v>0</v>
      </c>
      <c r="N25" s="67">
        <f t="shared" si="2"/>
        <v>100</v>
      </c>
      <c r="O25" s="45">
        <v>32.700000000000003</v>
      </c>
      <c r="P25" s="46">
        <v>20.7</v>
      </c>
      <c r="Q25" s="46"/>
      <c r="R25" s="47">
        <f t="shared" si="3"/>
        <v>53.400000000000006</v>
      </c>
      <c r="S25" s="28">
        <v>2</v>
      </c>
      <c r="T25" s="284"/>
      <c r="U25" s="293"/>
      <c r="V25" s="28" t="s">
        <v>481</v>
      </c>
      <c r="W25" s="28" t="s">
        <v>74</v>
      </c>
      <c r="X25" s="28" t="s">
        <v>11</v>
      </c>
      <c r="Y25" s="28">
        <v>20.7</v>
      </c>
      <c r="Z25" s="37" t="s">
        <v>83</v>
      </c>
      <c r="AA25" s="28" t="s">
        <v>869</v>
      </c>
      <c r="AB25" s="28" t="s">
        <v>18</v>
      </c>
      <c r="AC25" s="28">
        <v>12</v>
      </c>
      <c r="AD25" s="37" t="s">
        <v>264</v>
      </c>
      <c r="AE25" s="28" t="s">
        <v>17</v>
      </c>
      <c r="AF25" s="28" t="s">
        <v>18</v>
      </c>
      <c r="AG25" s="38">
        <v>8.6999999999999993</v>
      </c>
      <c r="AH25" s="28" t="s">
        <v>404</v>
      </c>
      <c r="AI25" s="28" t="s">
        <v>22</v>
      </c>
      <c r="AJ25" s="28" t="s">
        <v>11</v>
      </c>
      <c r="AK25" s="28">
        <v>12</v>
      </c>
      <c r="AL25" s="37"/>
      <c r="AO25" s="38"/>
      <c r="AP25" s="37"/>
      <c r="AS25" s="38"/>
      <c r="AW25" s="38"/>
      <c r="BA25" s="39"/>
    </row>
    <row r="26" spans="1:53" s="28" customFormat="1" x14ac:dyDescent="0.15">
      <c r="A26" s="51">
        <v>1968</v>
      </c>
      <c r="B26" s="293"/>
      <c r="C26" s="394" t="s">
        <v>614</v>
      </c>
      <c r="D26" s="394"/>
      <c r="E26" s="28">
        <v>366</v>
      </c>
      <c r="G26" s="65">
        <v>9</v>
      </c>
      <c r="H26" s="28">
        <v>6</v>
      </c>
      <c r="J26" s="72">
        <v>15</v>
      </c>
      <c r="K26" s="46">
        <f t="shared" si="4"/>
        <v>60</v>
      </c>
      <c r="L26" s="46">
        <f t="shared" si="4"/>
        <v>40</v>
      </c>
      <c r="M26" s="46">
        <f t="shared" si="4"/>
        <v>0</v>
      </c>
      <c r="N26" s="67">
        <f t="shared" si="2"/>
        <v>100</v>
      </c>
      <c r="O26" s="45">
        <v>32.700000000000003</v>
      </c>
      <c r="P26" s="46">
        <v>20.7</v>
      </c>
      <c r="Q26" s="46"/>
      <c r="R26" s="47">
        <f t="shared" si="3"/>
        <v>53.400000000000006</v>
      </c>
      <c r="S26" s="28">
        <v>2</v>
      </c>
      <c r="T26" s="284"/>
      <c r="U26" s="293"/>
      <c r="V26" s="28" t="s">
        <v>481</v>
      </c>
      <c r="W26" s="28" t="s">
        <v>74</v>
      </c>
      <c r="X26" s="28" t="s">
        <v>11</v>
      </c>
      <c r="Y26" s="28">
        <v>20.7</v>
      </c>
      <c r="Z26" s="37" t="s">
        <v>83</v>
      </c>
      <c r="AA26" s="28" t="s">
        <v>869</v>
      </c>
      <c r="AB26" s="28" t="s">
        <v>18</v>
      </c>
      <c r="AC26" s="28">
        <v>12</v>
      </c>
      <c r="AD26" s="37" t="s">
        <v>264</v>
      </c>
      <c r="AE26" s="28" t="s">
        <v>17</v>
      </c>
      <c r="AF26" s="28" t="s">
        <v>18</v>
      </c>
      <c r="AG26" s="38">
        <v>8.6999999999999993</v>
      </c>
      <c r="AH26" s="28" t="s">
        <v>404</v>
      </c>
      <c r="AI26" s="28" t="s">
        <v>22</v>
      </c>
      <c r="AJ26" s="28" t="s">
        <v>11</v>
      </c>
      <c r="AK26" s="28">
        <v>12</v>
      </c>
      <c r="AL26" s="37"/>
      <c r="AO26" s="38"/>
      <c r="AP26" s="37"/>
      <c r="AS26" s="38"/>
      <c r="AW26" s="38"/>
      <c r="BA26" s="39"/>
    </row>
    <row r="27" spans="1:53" s="28" customFormat="1" x14ac:dyDescent="0.15">
      <c r="A27" s="51">
        <v>1969</v>
      </c>
      <c r="B27" s="293"/>
      <c r="C27" s="394" t="s">
        <v>614</v>
      </c>
      <c r="D27" s="394"/>
      <c r="E27" s="28">
        <v>249</v>
      </c>
      <c r="G27" s="65">
        <v>9</v>
      </c>
      <c r="H27" s="28">
        <v>6</v>
      </c>
      <c r="J27" s="72">
        <v>15</v>
      </c>
      <c r="K27" s="46">
        <f t="shared" si="4"/>
        <v>60</v>
      </c>
      <c r="L27" s="46">
        <f t="shared" si="4"/>
        <v>40</v>
      </c>
      <c r="M27" s="46">
        <f t="shared" si="4"/>
        <v>0</v>
      </c>
      <c r="N27" s="67">
        <f t="shared" si="2"/>
        <v>100</v>
      </c>
      <c r="O27" s="45">
        <v>32.700000000000003</v>
      </c>
      <c r="P27" s="46">
        <v>20.7</v>
      </c>
      <c r="Q27" s="46"/>
      <c r="R27" s="47">
        <f t="shared" si="3"/>
        <v>53.400000000000006</v>
      </c>
      <c r="S27" s="28">
        <v>2</v>
      </c>
      <c r="T27" s="284"/>
      <c r="U27" s="293"/>
      <c r="V27" s="28" t="s">
        <v>481</v>
      </c>
      <c r="W27" s="28" t="s">
        <v>74</v>
      </c>
      <c r="X27" s="28" t="s">
        <v>11</v>
      </c>
      <c r="Y27" s="28">
        <v>20.7</v>
      </c>
      <c r="Z27" s="37" t="s">
        <v>83</v>
      </c>
      <c r="AA27" s="28" t="s">
        <v>869</v>
      </c>
      <c r="AB27" s="28" t="s">
        <v>18</v>
      </c>
      <c r="AC27" s="28">
        <v>12</v>
      </c>
      <c r="AD27" s="37" t="s">
        <v>264</v>
      </c>
      <c r="AE27" s="28" t="s">
        <v>17</v>
      </c>
      <c r="AF27" s="28" t="s">
        <v>18</v>
      </c>
      <c r="AG27" s="38">
        <v>8.6999999999999993</v>
      </c>
      <c r="AH27" s="28" t="s">
        <v>404</v>
      </c>
      <c r="AI27" s="28" t="s">
        <v>22</v>
      </c>
      <c r="AJ27" s="28" t="s">
        <v>11</v>
      </c>
      <c r="AK27" s="28">
        <v>12</v>
      </c>
      <c r="AL27" s="37"/>
      <c r="AO27" s="38"/>
      <c r="AP27" s="37"/>
      <c r="AS27" s="38"/>
      <c r="AW27" s="38"/>
      <c r="BA27" s="39"/>
    </row>
    <row r="28" spans="1:53" s="170" customFormat="1" x14ac:dyDescent="0.15">
      <c r="A28" s="215">
        <v>1969</v>
      </c>
      <c r="B28" s="281">
        <v>25453</v>
      </c>
      <c r="C28" s="395" t="s">
        <v>615</v>
      </c>
      <c r="D28" s="395"/>
      <c r="E28" s="170">
        <f>365-E27</f>
        <v>116</v>
      </c>
      <c r="F28" s="170">
        <v>1</v>
      </c>
      <c r="G28" s="232">
        <v>9</v>
      </c>
      <c r="H28" s="170">
        <v>6</v>
      </c>
      <c r="J28" s="240">
        <v>15</v>
      </c>
      <c r="K28" s="213">
        <f t="shared" si="4"/>
        <v>60</v>
      </c>
      <c r="L28" s="213">
        <f t="shared" si="4"/>
        <v>40</v>
      </c>
      <c r="M28" s="213">
        <f t="shared" si="4"/>
        <v>0</v>
      </c>
      <c r="N28" s="234">
        <f t="shared" si="2"/>
        <v>100</v>
      </c>
      <c r="O28" s="212">
        <v>28</v>
      </c>
      <c r="P28" s="213">
        <v>22.6</v>
      </c>
      <c r="Q28" s="213"/>
      <c r="R28" s="214">
        <f t="shared" si="3"/>
        <v>50.6</v>
      </c>
      <c r="S28" s="170">
        <v>2</v>
      </c>
      <c r="T28" s="283">
        <v>25453</v>
      </c>
      <c r="U28" s="281">
        <v>25453</v>
      </c>
      <c r="V28" s="170" t="s">
        <v>481</v>
      </c>
      <c r="W28" s="170" t="s">
        <v>74</v>
      </c>
      <c r="X28" s="170" t="s">
        <v>11</v>
      </c>
      <c r="Y28" s="170">
        <v>19.3</v>
      </c>
      <c r="Z28" s="177" t="s">
        <v>83</v>
      </c>
      <c r="AA28" s="170" t="s">
        <v>869</v>
      </c>
      <c r="AB28" s="170" t="s">
        <v>18</v>
      </c>
      <c r="AC28" s="170">
        <v>13.3</v>
      </c>
      <c r="AD28" s="177" t="s">
        <v>264</v>
      </c>
      <c r="AE28" s="170" t="s">
        <v>17</v>
      </c>
      <c r="AF28" s="170" t="s">
        <v>18</v>
      </c>
      <c r="AG28" s="178">
        <v>9.3000000000000007</v>
      </c>
      <c r="AH28" s="170" t="s">
        <v>404</v>
      </c>
      <c r="AI28" s="170" t="s">
        <v>22</v>
      </c>
      <c r="AJ28" s="170" t="s">
        <v>11</v>
      </c>
      <c r="AK28" s="170">
        <v>8.6999999999999993</v>
      </c>
      <c r="AL28" s="177"/>
      <c r="AO28" s="178"/>
      <c r="AP28" s="177"/>
      <c r="AS28" s="178"/>
      <c r="AW28" s="178"/>
      <c r="BA28" s="179"/>
    </row>
    <row r="29" spans="1:53" s="170" customFormat="1" x14ac:dyDescent="0.15">
      <c r="A29" s="215">
        <v>1970</v>
      </c>
      <c r="B29" s="281"/>
      <c r="C29" s="395" t="s">
        <v>615</v>
      </c>
      <c r="D29" s="395"/>
      <c r="E29" s="170">
        <v>0</v>
      </c>
      <c r="G29" s="232">
        <v>9</v>
      </c>
      <c r="H29" s="170">
        <v>6</v>
      </c>
      <c r="J29" s="240">
        <v>15</v>
      </c>
      <c r="K29" s="213">
        <f t="shared" si="4"/>
        <v>60</v>
      </c>
      <c r="L29" s="213">
        <f t="shared" si="4"/>
        <v>40</v>
      </c>
      <c r="M29" s="213">
        <f t="shared" si="4"/>
        <v>0</v>
      </c>
      <c r="N29" s="234">
        <f t="shared" si="2"/>
        <v>100</v>
      </c>
      <c r="O29" s="212">
        <v>28</v>
      </c>
      <c r="P29" s="213">
        <v>22.6</v>
      </c>
      <c r="Q29" s="213"/>
      <c r="R29" s="214">
        <f t="shared" si="3"/>
        <v>50.6</v>
      </c>
      <c r="S29" s="170">
        <v>2</v>
      </c>
      <c r="T29" s="283"/>
      <c r="U29" s="281"/>
      <c r="V29" s="170" t="s">
        <v>481</v>
      </c>
      <c r="W29" s="170" t="s">
        <v>74</v>
      </c>
      <c r="X29" s="170" t="s">
        <v>11</v>
      </c>
      <c r="Y29" s="170">
        <v>19.3</v>
      </c>
      <c r="Z29" s="177" t="s">
        <v>83</v>
      </c>
      <c r="AA29" s="170" t="s">
        <v>869</v>
      </c>
      <c r="AB29" s="170" t="s">
        <v>18</v>
      </c>
      <c r="AC29" s="170">
        <v>13.3</v>
      </c>
      <c r="AD29" s="177" t="s">
        <v>264</v>
      </c>
      <c r="AE29" s="170" t="s">
        <v>17</v>
      </c>
      <c r="AF29" s="170" t="s">
        <v>18</v>
      </c>
      <c r="AG29" s="178">
        <v>9.3000000000000007</v>
      </c>
      <c r="AH29" s="170" t="s">
        <v>404</v>
      </c>
      <c r="AI29" s="170" t="s">
        <v>22</v>
      </c>
      <c r="AJ29" s="170" t="s">
        <v>11</v>
      </c>
      <c r="AK29" s="170">
        <v>8.6999999999999993</v>
      </c>
      <c r="AL29" s="177"/>
      <c r="AO29" s="178"/>
      <c r="AP29" s="177"/>
      <c r="AS29" s="178"/>
      <c r="AW29" s="178"/>
      <c r="BA29" s="179"/>
    </row>
    <row r="30" spans="1:53" s="170" customFormat="1" x14ac:dyDescent="0.15">
      <c r="A30" s="215">
        <v>1970</v>
      </c>
      <c r="B30" s="281"/>
      <c r="C30" s="395" t="s">
        <v>615</v>
      </c>
      <c r="D30" s="395"/>
      <c r="E30" s="170">
        <v>365</v>
      </c>
      <c r="G30" s="232">
        <v>9</v>
      </c>
      <c r="H30" s="170">
        <v>6</v>
      </c>
      <c r="J30" s="240">
        <v>15</v>
      </c>
      <c r="K30" s="213">
        <f t="shared" si="4"/>
        <v>60</v>
      </c>
      <c r="L30" s="213">
        <f t="shared" si="4"/>
        <v>40</v>
      </c>
      <c r="M30" s="213">
        <f t="shared" si="4"/>
        <v>0</v>
      </c>
      <c r="N30" s="234">
        <f t="shared" si="2"/>
        <v>100</v>
      </c>
      <c r="O30" s="212">
        <v>28</v>
      </c>
      <c r="P30" s="213">
        <v>22.6</v>
      </c>
      <c r="Q30" s="213"/>
      <c r="R30" s="214">
        <f t="shared" si="3"/>
        <v>50.6</v>
      </c>
      <c r="S30" s="170">
        <v>2</v>
      </c>
      <c r="T30" s="283"/>
      <c r="U30" s="281"/>
      <c r="V30" s="170" t="s">
        <v>481</v>
      </c>
      <c r="W30" s="170" t="s">
        <v>74</v>
      </c>
      <c r="X30" s="170" t="s">
        <v>11</v>
      </c>
      <c r="Y30" s="170">
        <v>19.3</v>
      </c>
      <c r="Z30" s="177" t="s">
        <v>83</v>
      </c>
      <c r="AA30" s="170" t="s">
        <v>869</v>
      </c>
      <c r="AB30" s="170" t="s">
        <v>18</v>
      </c>
      <c r="AC30" s="170">
        <v>13.3</v>
      </c>
      <c r="AD30" s="177" t="s">
        <v>264</v>
      </c>
      <c r="AE30" s="170" t="s">
        <v>17</v>
      </c>
      <c r="AF30" s="170" t="s">
        <v>18</v>
      </c>
      <c r="AG30" s="178">
        <v>9.3000000000000007</v>
      </c>
      <c r="AH30" s="170" t="s">
        <v>404</v>
      </c>
      <c r="AI30" s="170" t="s">
        <v>22</v>
      </c>
      <c r="AJ30" s="170" t="s">
        <v>11</v>
      </c>
      <c r="AK30" s="170">
        <v>8.6999999999999993</v>
      </c>
      <c r="AL30" s="177"/>
      <c r="AO30" s="178"/>
      <c r="AP30" s="177"/>
      <c r="AS30" s="178"/>
      <c r="AW30" s="178"/>
      <c r="BA30" s="179"/>
    </row>
    <row r="31" spans="1:53" s="170" customFormat="1" x14ac:dyDescent="0.15">
      <c r="A31" s="215">
        <v>1971</v>
      </c>
      <c r="B31" s="281"/>
      <c r="C31" s="395" t="s">
        <v>615</v>
      </c>
      <c r="D31" s="395"/>
      <c r="E31" s="170">
        <v>71</v>
      </c>
      <c r="G31" s="232">
        <v>9</v>
      </c>
      <c r="H31" s="170">
        <v>6</v>
      </c>
      <c r="J31" s="240">
        <v>15</v>
      </c>
      <c r="K31" s="213">
        <f t="shared" si="4"/>
        <v>60</v>
      </c>
      <c r="L31" s="213">
        <f t="shared" si="4"/>
        <v>40</v>
      </c>
      <c r="M31" s="213">
        <f t="shared" si="4"/>
        <v>0</v>
      </c>
      <c r="N31" s="234">
        <f t="shared" si="2"/>
        <v>100</v>
      </c>
      <c r="O31" s="212">
        <v>28</v>
      </c>
      <c r="P31" s="213">
        <v>22.6</v>
      </c>
      <c r="Q31" s="213"/>
      <c r="R31" s="214">
        <f t="shared" si="3"/>
        <v>50.6</v>
      </c>
      <c r="S31" s="170">
        <v>2</v>
      </c>
      <c r="T31" s="283"/>
      <c r="U31" s="281"/>
      <c r="V31" s="170" t="s">
        <v>481</v>
      </c>
      <c r="W31" s="170" t="s">
        <v>74</v>
      </c>
      <c r="X31" s="170" t="s">
        <v>11</v>
      </c>
      <c r="Y31" s="170">
        <v>19.3</v>
      </c>
      <c r="Z31" s="177" t="s">
        <v>83</v>
      </c>
      <c r="AA31" s="170" t="s">
        <v>869</v>
      </c>
      <c r="AB31" s="170" t="s">
        <v>18</v>
      </c>
      <c r="AC31" s="170">
        <v>13.3</v>
      </c>
      <c r="AD31" s="177" t="s">
        <v>264</v>
      </c>
      <c r="AE31" s="170" t="s">
        <v>17</v>
      </c>
      <c r="AF31" s="170" t="s">
        <v>18</v>
      </c>
      <c r="AG31" s="178">
        <v>9.3000000000000007</v>
      </c>
      <c r="AH31" s="170" t="s">
        <v>404</v>
      </c>
      <c r="AI31" s="170" t="s">
        <v>22</v>
      </c>
      <c r="AJ31" s="170" t="s">
        <v>11</v>
      </c>
      <c r="AK31" s="170">
        <v>8.6999999999999993</v>
      </c>
      <c r="AL31" s="177"/>
      <c r="AO31" s="178"/>
      <c r="AP31" s="177"/>
      <c r="AS31" s="178"/>
      <c r="AW31" s="178"/>
      <c r="BA31" s="179"/>
    </row>
    <row r="32" spans="1:53" s="28" customFormat="1" x14ac:dyDescent="0.15">
      <c r="A32" s="51">
        <v>1971</v>
      </c>
      <c r="B32" s="293">
        <v>26005</v>
      </c>
      <c r="C32" s="394" t="s">
        <v>616</v>
      </c>
      <c r="D32" s="394"/>
      <c r="E32" s="28">
        <f>365-E31</f>
        <v>294</v>
      </c>
      <c r="F32" s="28">
        <v>4</v>
      </c>
      <c r="G32" s="65"/>
      <c r="I32" s="28">
        <v>15</v>
      </c>
      <c r="J32" s="72">
        <v>15</v>
      </c>
      <c r="K32" s="46">
        <f t="shared" si="4"/>
        <v>0</v>
      </c>
      <c r="L32" s="46">
        <f t="shared" si="4"/>
        <v>0</v>
      </c>
      <c r="M32" s="46">
        <f t="shared" si="4"/>
        <v>100</v>
      </c>
      <c r="N32" s="67">
        <f t="shared" si="2"/>
        <v>100</v>
      </c>
      <c r="O32" s="45"/>
      <c r="P32" s="46"/>
      <c r="Q32" s="46">
        <v>49.3</v>
      </c>
      <c r="R32" s="47">
        <f t="shared" si="3"/>
        <v>49.3</v>
      </c>
      <c r="S32" s="28">
        <v>4</v>
      </c>
      <c r="T32" s="284"/>
      <c r="U32" s="293">
        <v>26005</v>
      </c>
      <c r="V32" s="37" t="s">
        <v>480</v>
      </c>
      <c r="W32" s="28" t="s">
        <v>20</v>
      </c>
      <c r="X32" s="28" t="s">
        <v>12</v>
      </c>
      <c r="Y32" s="38">
        <v>49.3</v>
      </c>
      <c r="AD32" s="37"/>
      <c r="AG32" s="38"/>
      <c r="AH32" s="93"/>
      <c r="AL32" s="37"/>
      <c r="AO32" s="38"/>
      <c r="AP32" s="37"/>
      <c r="AS32" s="38"/>
      <c r="AW32" s="38"/>
      <c r="BA32" s="39"/>
    </row>
    <row r="33" spans="1:53" s="28" customFormat="1" x14ac:dyDescent="0.15">
      <c r="A33" s="51">
        <v>1972</v>
      </c>
      <c r="B33" s="293"/>
      <c r="C33" s="394" t="s">
        <v>616</v>
      </c>
      <c r="D33" s="394"/>
      <c r="E33" s="28">
        <v>291</v>
      </c>
      <c r="G33" s="65"/>
      <c r="I33" s="28">
        <v>15</v>
      </c>
      <c r="J33" s="72">
        <v>15</v>
      </c>
      <c r="K33" s="46">
        <f t="shared" si="4"/>
        <v>0</v>
      </c>
      <c r="L33" s="46">
        <f t="shared" si="4"/>
        <v>0</v>
      </c>
      <c r="M33" s="46">
        <f t="shared" si="4"/>
        <v>100</v>
      </c>
      <c r="N33" s="67">
        <f t="shared" si="2"/>
        <v>100</v>
      </c>
      <c r="O33" s="45"/>
      <c r="P33" s="46"/>
      <c r="Q33" s="46">
        <v>49.3</v>
      </c>
      <c r="R33" s="47">
        <f t="shared" si="3"/>
        <v>49.3</v>
      </c>
      <c r="S33" s="28">
        <v>4</v>
      </c>
      <c r="T33" s="284"/>
      <c r="U33" s="293"/>
      <c r="V33" s="37" t="s">
        <v>480</v>
      </c>
      <c r="W33" s="28" t="s">
        <v>20</v>
      </c>
      <c r="X33" s="28" t="s">
        <v>12</v>
      </c>
      <c r="Y33" s="38">
        <v>49.3</v>
      </c>
      <c r="AD33" s="37"/>
      <c r="AG33" s="38"/>
      <c r="AH33" s="93"/>
      <c r="AL33" s="37"/>
      <c r="AO33" s="38"/>
      <c r="AP33" s="37"/>
      <c r="AS33" s="38"/>
      <c r="AW33" s="38"/>
      <c r="BA33" s="39"/>
    </row>
    <row r="34" spans="1:53" s="170" customFormat="1" x14ac:dyDescent="0.15">
      <c r="A34" s="215">
        <v>1972</v>
      </c>
      <c r="B34" s="281">
        <v>26590</v>
      </c>
      <c r="C34" s="395" t="s">
        <v>617</v>
      </c>
      <c r="D34" s="395"/>
      <c r="E34" s="170">
        <f>366-E33</f>
        <v>75</v>
      </c>
      <c r="F34" s="170">
        <v>2</v>
      </c>
      <c r="G34" s="232">
        <v>5</v>
      </c>
      <c r="H34" s="170">
        <v>10</v>
      </c>
      <c r="J34" s="240">
        <v>15</v>
      </c>
      <c r="K34" s="213">
        <f t="shared" si="4"/>
        <v>33.333333333333329</v>
      </c>
      <c r="L34" s="213">
        <f t="shared" si="4"/>
        <v>66.666666666666657</v>
      </c>
      <c r="M34" s="213">
        <f t="shared" si="4"/>
        <v>0</v>
      </c>
      <c r="N34" s="234">
        <f t="shared" si="2"/>
        <v>99.999999999999986</v>
      </c>
      <c r="O34" s="212">
        <v>8.6999999999999993</v>
      </c>
      <c r="P34" s="213">
        <v>22.6</v>
      </c>
      <c r="Q34" s="213"/>
      <c r="R34" s="214">
        <f t="shared" si="3"/>
        <v>31.3</v>
      </c>
      <c r="S34" s="170">
        <v>5</v>
      </c>
      <c r="T34" s="283"/>
      <c r="U34" s="281">
        <v>26590</v>
      </c>
      <c r="V34" s="177" t="s">
        <v>83</v>
      </c>
      <c r="W34" s="170" t="s">
        <v>869</v>
      </c>
      <c r="X34" s="170" t="s">
        <v>18</v>
      </c>
      <c r="Y34" s="178">
        <v>13.3</v>
      </c>
      <c r="Z34" s="177" t="s">
        <v>264</v>
      </c>
      <c r="AA34" s="170" t="s">
        <v>17</v>
      </c>
      <c r="AB34" s="170" t="s">
        <v>18</v>
      </c>
      <c r="AC34" s="170">
        <v>9.3000000000000007</v>
      </c>
      <c r="AD34" s="177" t="s">
        <v>404</v>
      </c>
      <c r="AE34" s="170" t="s">
        <v>22</v>
      </c>
      <c r="AF34" s="170" t="s">
        <v>11</v>
      </c>
      <c r="AG34" s="178">
        <v>8.6999999999999993</v>
      </c>
      <c r="AH34" s="252"/>
      <c r="AL34" s="177"/>
      <c r="AO34" s="178"/>
      <c r="AP34" s="177"/>
      <c r="AS34" s="178"/>
      <c r="AW34" s="178"/>
      <c r="BA34" s="179"/>
    </row>
    <row r="35" spans="1:53" s="170" customFormat="1" x14ac:dyDescent="0.15">
      <c r="A35" s="215">
        <v>1973</v>
      </c>
      <c r="B35" s="281"/>
      <c r="C35" s="395" t="s">
        <v>617</v>
      </c>
      <c r="D35" s="395"/>
      <c r="E35" s="170">
        <v>288</v>
      </c>
      <c r="G35" s="232">
        <v>5</v>
      </c>
      <c r="H35" s="170">
        <v>10</v>
      </c>
      <c r="J35" s="240">
        <v>15</v>
      </c>
      <c r="K35" s="213">
        <f t="shared" si="4"/>
        <v>33.333333333333329</v>
      </c>
      <c r="L35" s="213">
        <f t="shared" si="4"/>
        <v>66.666666666666657</v>
      </c>
      <c r="M35" s="213">
        <f t="shared" si="4"/>
        <v>0</v>
      </c>
      <c r="N35" s="234">
        <f t="shared" si="2"/>
        <v>99.999999999999986</v>
      </c>
      <c r="O35" s="212">
        <v>8.6999999999999993</v>
      </c>
      <c r="P35" s="213">
        <v>22.6</v>
      </c>
      <c r="Q35" s="213"/>
      <c r="R35" s="214">
        <f t="shared" si="3"/>
        <v>31.3</v>
      </c>
      <c r="S35" s="170">
        <v>5</v>
      </c>
      <c r="T35" s="283"/>
      <c r="U35" s="281"/>
      <c r="V35" s="177" t="s">
        <v>83</v>
      </c>
      <c r="W35" s="170" t="s">
        <v>869</v>
      </c>
      <c r="X35" s="170" t="s">
        <v>18</v>
      </c>
      <c r="Y35" s="178">
        <v>13.3</v>
      </c>
      <c r="Z35" s="177" t="s">
        <v>264</v>
      </c>
      <c r="AA35" s="170" t="s">
        <v>17</v>
      </c>
      <c r="AB35" s="170" t="s">
        <v>18</v>
      </c>
      <c r="AC35" s="170">
        <v>9.3000000000000007</v>
      </c>
      <c r="AD35" s="177" t="s">
        <v>404</v>
      </c>
      <c r="AE35" s="170" t="s">
        <v>22</v>
      </c>
      <c r="AF35" s="170" t="s">
        <v>11</v>
      </c>
      <c r="AG35" s="178">
        <v>8.6999999999999993</v>
      </c>
      <c r="AH35" s="252"/>
      <c r="AL35" s="177"/>
      <c r="AO35" s="178"/>
      <c r="AP35" s="177"/>
      <c r="AS35" s="178"/>
      <c r="AW35" s="178"/>
      <c r="BA35" s="179"/>
    </row>
    <row r="36" spans="1:53" s="28" customFormat="1" x14ac:dyDescent="0.15">
      <c r="A36" s="51">
        <v>1973</v>
      </c>
      <c r="B36" s="293">
        <v>26953</v>
      </c>
      <c r="C36" s="394" t="s">
        <v>618</v>
      </c>
      <c r="D36" s="394"/>
      <c r="E36" s="28">
        <f>365-E35</f>
        <v>77</v>
      </c>
      <c r="F36" s="28">
        <v>1</v>
      </c>
      <c r="G36" s="65"/>
      <c r="I36" s="28">
        <v>15</v>
      </c>
      <c r="J36" s="72">
        <v>15</v>
      </c>
      <c r="K36" s="46">
        <f t="shared" si="4"/>
        <v>0</v>
      </c>
      <c r="L36" s="46">
        <f t="shared" si="4"/>
        <v>0</v>
      </c>
      <c r="M36" s="46">
        <f t="shared" si="4"/>
        <v>100</v>
      </c>
      <c r="N36" s="67">
        <f t="shared" si="2"/>
        <v>100</v>
      </c>
      <c r="O36" s="45"/>
      <c r="P36" s="46"/>
      <c r="Q36" s="46">
        <v>40</v>
      </c>
      <c r="R36" s="47">
        <f t="shared" si="3"/>
        <v>40</v>
      </c>
      <c r="S36" s="28">
        <v>4</v>
      </c>
      <c r="T36" s="284">
        <v>26916</v>
      </c>
      <c r="U36" s="293">
        <v>26953</v>
      </c>
      <c r="V36" s="37" t="s">
        <v>480</v>
      </c>
      <c r="W36" s="28" t="s">
        <v>20</v>
      </c>
      <c r="X36" s="28" t="s">
        <v>12</v>
      </c>
      <c r="Y36" s="38">
        <v>40</v>
      </c>
      <c r="AD36" s="37"/>
      <c r="AG36" s="38"/>
      <c r="AH36" s="93"/>
      <c r="AL36" s="37"/>
      <c r="AO36" s="38"/>
      <c r="AP36" s="37"/>
      <c r="AS36" s="38"/>
      <c r="AW36" s="38"/>
      <c r="BA36" s="39"/>
    </row>
    <row r="37" spans="1:53" s="28" customFormat="1" x14ac:dyDescent="0.15">
      <c r="A37" s="51">
        <v>1974</v>
      </c>
      <c r="B37" s="293"/>
      <c r="C37" s="394" t="s">
        <v>618</v>
      </c>
      <c r="D37" s="394"/>
      <c r="E37" s="28">
        <v>0</v>
      </c>
      <c r="G37" s="65"/>
      <c r="I37" s="28">
        <v>15</v>
      </c>
      <c r="J37" s="72">
        <v>15</v>
      </c>
      <c r="K37" s="46">
        <f t="shared" si="4"/>
        <v>0</v>
      </c>
      <c r="L37" s="46">
        <f t="shared" si="4"/>
        <v>0</v>
      </c>
      <c r="M37" s="46">
        <f t="shared" si="4"/>
        <v>100</v>
      </c>
      <c r="N37" s="67">
        <f t="shared" si="2"/>
        <v>100</v>
      </c>
      <c r="O37" s="45"/>
      <c r="P37" s="46"/>
      <c r="Q37" s="46">
        <v>40</v>
      </c>
      <c r="R37" s="47">
        <f t="shared" si="3"/>
        <v>40</v>
      </c>
      <c r="S37" s="28">
        <v>4</v>
      </c>
      <c r="T37" s="284"/>
      <c r="U37" s="293"/>
      <c r="V37" s="37" t="s">
        <v>480</v>
      </c>
      <c r="W37" s="28" t="s">
        <v>20</v>
      </c>
      <c r="X37" s="28" t="s">
        <v>12</v>
      </c>
      <c r="Y37" s="38">
        <v>40</v>
      </c>
      <c r="AD37" s="37"/>
      <c r="AG37" s="38"/>
      <c r="AH37" s="93"/>
      <c r="AL37" s="37"/>
      <c r="AO37" s="38"/>
      <c r="AP37" s="37"/>
      <c r="AS37" s="38"/>
      <c r="AW37" s="38"/>
      <c r="BA37" s="39"/>
    </row>
    <row r="38" spans="1:53" s="28" customFormat="1" x14ac:dyDescent="0.15">
      <c r="A38" s="51">
        <v>1974</v>
      </c>
      <c r="B38" s="293"/>
      <c r="C38" s="394" t="s">
        <v>618</v>
      </c>
      <c r="D38" s="394"/>
      <c r="E38" s="28">
        <v>365</v>
      </c>
      <c r="G38" s="65"/>
      <c r="I38" s="28">
        <v>15</v>
      </c>
      <c r="J38" s="72">
        <v>15</v>
      </c>
      <c r="K38" s="46">
        <f t="shared" si="4"/>
        <v>0</v>
      </c>
      <c r="L38" s="46">
        <f t="shared" si="4"/>
        <v>0</v>
      </c>
      <c r="M38" s="46">
        <f t="shared" si="4"/>
        <v>100</v>
      </c>
      <c r="N38" s="67">
        <f t="shared" si="2"/>
        <v>100</v>
      </c>
      <c r="O38" s="45"/>
      <c r="P38" s="46"/>
      <c r="Q38" s="46">
        <v>40</v>
      </c>
      <c r="R38" s="47">
        <f t="shared" si="3"/>
        <v>40</v>
      </c>
      <c r="S38" s="28">
        <v>4</v>
      </c>
      <c r="T38" s="284"/>
      <c r="U38" s="293"/>
      <c r="V38" s="37" t="s">
        <v>480</v>
      </c>
      <c r="W38" s="28" t="s">
        <v>20</v>
      </c>
      <c r="X38" s="28" t="s">
        <v>12</v>
      </c>
      <c r="Y38" s="38">
        <v>40</v>
      </c>
      <c r="AD38" s="37"/>
      <c r="AG38" s="38"/>
      <c r="AH38" s="93"/>
      <c r="AL38" s="37"/>
      <c r="AO38" s="38"/>
      <c r="AP38" s="37"/>
      <c r="AS38" s="38"/>
      <c r="AW38" s="38"/>
      <c r="BA38" s="39"/>
    </row>
    <row r="39" spans="1:53" s="28" customFormat="1" x14ac:dyDescent="0.15">
      <c r="A39" s="51">
        <v>1975</v>
      </c>
      <c r="B39" s="293"/>
      <c r="C39" s="394" t="s">
        <v>618</v>
      </c>
      <c r="D39" s="394"/>
      <c r="E39" s="28">
        <v>0</v>
      </c>
      <c r="G39" s="65"/>
      <c r="I39" s="28">
        <v>15</v>
      </c>
      <c r="J39" s="72">
        <v>15</v>
      </c>
      <c r="K39" s="46">
        <f t="shared" si="4"/>
        <v>0</v>
      </c>
      <c r="L39" s="46">
        <f t="shared" si="4"/>
        <v>0</v>
      </c>
      <c r="M39" s="46">
        <f t="shared" si="4"/>
        <v>100</v>
      </c>
      <c r="N39" s="67">
        <f t="shared" si="2"/>
        <v>100</v>
      </c>
      <c r="O39" s="45"/>
      <c r="P39" s="46"/>
      <c r="Q39" s="46">
        <v>40</v>
      </c>
      <c r="R39" s="47">
        <f t="shared" si="3"/>
        <v>40</v>
      </c>
      <c r="S39" s="28">
        <v>4</v>
      </c>
      <c r="T39" s="284"/>
      <c r="U39" s="293"/>
      <c r="V39" s="37" t="s">
        <v>480</v>
      </c>
      <c r="W39" s="28" t="s">
        <v>20</v>
      </c>
      <c r="X39" s="28" t="s">
        <v>12</v>
      </c>
      <c r="Y39" s="38">
        <v>40</v>
      </c>
      <c r="AD39" s="37"/>
      <c r="AG39" s="38"/>
      <c r="AH39" s="93"/>
      <c r="AL39" s="37"/>
      <c r="AO39" s="38"/>
      <c r="AP39" s="37"/>
      <c r="AS39" s="38"/>
      <c r="AW39" s="38"/>
      <c r="BA39" s="39"/>
    </row>
    <row r="40" spans="1:53" s="28" customFormat="1" x14ac:dyDescent="0.15">
      <c r="A40" s="51">
        <v>1975</v>
      </c>
      <c r="B40" s="293"/>
      <c r="C40" s="394" t="s">
        <v>618</v>
      </c>
      <c r="D40" s="394"/>
      <c r="E40" s="28">
        <v>365</v>
      </c>
      <c r="G40" s="65"/>
      <c r="I40" s="28">
        <v>15</v>
      </c>
      <c r="J40" s="72">
        <v>15</v>
      </c>
      <c r="K40" s="46">
        <f t="shared" si="4"/>
        <v>0</v>
      </c>
      <c r="L40" s="46">
        <f t="shared" si="4"/>
        <v>0</v>
      </c>
      <c r="M40" s="46">
        <f t="shared" si="4"/>
        <v>100</v>
      </c>
      <c r="N40" s="67">
        <f t="shared" si="2"/>
        <v>100</v>
      </c>
      <c r="O40" s="45"/>
      <c r="P40" s="46"/>
      <c r="Q40" s="46">
        <v>40</v>
      </c>
      <c r="R40" s="47">
        <f t="shared" si="3"/>
        <v>40</v>
      </c>
      <c r="S40" s="28">
        <v>4</v>
      </c>
      <c r="T40" s="284"/>
      <c r="U40" s="293"/>
      <c r="V40" s="37" t="s">
        <v>480</v>
      </c>
      <c r="W40" s="28" t="s">
        <v>20</v>
      </c>
      <c r="X40" s="28" t="s">
        <v>12</v>
      </c>
      <c r="Y40" s="38">
        <v>40</v>
      </c>
      <c r="AD40" s="37"/>
      <c r="AG40" s="38"/>
      <c r="AH40" s="93"/>
      <c r="AL40" s="37"/>
      <c r="AO40" s="38"/>
      <c r="AP40" s="37"/>
      <c r="AS40" s="38"/>
      <c r="AW40" s="38"/>
      <c r="BA40" s="39"/>
    </row>
    <row r="41" spans="1:53" s="28" customFormat="1" x14ac:dyDescent="0.15">
      <c r="A41" s="51">
        <v>1976</v>
      </c>
      <c r="B41" s="293"/>
      <c r="C41" s="394" t="s">
        <v>618</v>
      </c>
      <c r="D41" s="394"/>
      <c r="E41" s="28">
        <v>11</v>
      </c>
      <c r="G41" s="65"/>
      <c r="I41" s="28">
        <v>15</v>
      </c>
      <c r="J41" s="72">
        <v>15</v>
      </c>
      <c r="K41" s="46">
        <f t="shared" si="4"/>
        <v>0</v>
      </c>
      <c r="L41" s="46">
        <f t="shared" si="4"/>
        <v>0</v>
      </c>
      <c r="M41" s="46">
        <f t="shared" si="4"/>
        <v>100</v>
      </c>
      <c r="N41" s="67">
        <f t="shared" si="2"/>
        <v>100</v>
      </c>
      <c r="O41" s="45"/>
      <c r="P41" s="46"/>
      <c r="Q41" s="46">
        <v>40</v>
      </c>
      <c r="R41" s="47">
        <f t="shared" si="3"/>
        <v>40</v>
      </c>
      <c r="S41" s="28">
        <v>4</v>
      </c>
      <c r="T41" s="284"/>
      <c r="U41" s="293"/>
      <c r="V41" s="37" t="s">
        <v>480</v>
      </c>
      <c r="W41" s="28" t="s">
        <v>20</v>
      </c>
      <c r="X41" s="28" t="s">
        <v>12</v>
      </c>
      <c r="Y41" s="38">
        <v>40</v>
      </c>
      <c r="AD41" s="37"/>
      <c r="AG41" s="38"/>
      <c r="AH41" s="93"/>
      <c r="AL41" s="37"/>
      <c r="AO41" s="38"/>
      <c r="AP41" s="37"/>
      <c r="AS41" s="38"/>
      <c r="AW41" s="38"/>
      <c r="BA41" s="39"/>
    </row>
    <row r="42" spans="1:53" s="170" customFormat="1" x14ac:dyDescent="0.15">
      <c r="A42" s="215">
        <v>1976</v>
      </c>
      <c r="B42" s="281">
        <v>27771</v>
      </c>
      <c r="C42" s="395" t="s">
        <v>619</v>
      </c>
      <c r="D42" s="395"/>
      <c r="E42" s="170">
        <f>366-E41</f>
        <v>355</v>
      </c>
      <c r="F42" s="170">
        <v>2</v>
      </c>
      <c r="G42" s="232"/>
      <c r="I42" s="170">
        <v>16</v>
      </c>
      <c r="J42" s="240">
        <v>16</v>
      </c>
      <c r="K42" s="213">
        <f t="shared" si="4"/>
        <v>0</v>
      </c>
      <c r="L42" s="213">
        <f t="shared" si="4"/>
        <v>0</v>
      </c>
      <c r="M42" s="213">
        <f t="shared" si="4"/>
        <v>100</v>
      </c>
      <c r="N42" s="234">
        <f t="shared" si="2"/>
        <v>100</v>
      </c>
      <c r="O42" s="212"/>
      <c r="P42" s="213"/>
      <c r="Q42" s="213">
        <v>40</v>
      </c>
      <c r="R42" s="214">
        <f t="shared" si="3"/>
        <v>40</v>
      </c>
      <c r="S42" s="170">
        <v>4</v>
      </c>
      <c r="T42" s="283"/>
      <c r="U42" s="281">
        <v>27771</v>
      </c>
      <c r="V42" s="177" t="s">
        <v>480</v>
      </c>
      <c r="W42" s="170" t="s">
        <v>20</v>
      </c>
      <c r="X42" s="170" t="s">
        <v>12</v>
      </c>
      <c r="Y42" s="178">
        <v>40</v>
      </c>
      <c r="AD42" s="177"/>
      <c r="AG42" s="178"/>
      <c r="AH42" s="252"/>
      <c r="AL42" s="177"/>
      <c r="AO42" s="178"/>
      <c r="AP42" s="177"/>
      <c r="AS42" s="178"/>
      <c r="AW42" s="178"/>
      <c r="BA42" s="179"/>
    </row>
    <row r="43" spans="1:53" s="170" customFormat="1" x14ac:dyDescent="0.15">
      <c r="A43" s="215">
        <v>1977</v>
      </c>
      <c r="B43" s="281"/>
      <c r="C43" s="395" t="s">
        <v>619</v>
      </c>
      <c r="D43" s="395"/>
      <c r="E43" s="170">
        <v>254</v>
      </c>
      <c r="G43" s="232"/>
      <c r="I43" s="170">
        <v>16</v>
      </c>
      <c r="J43" s="240">
        <v>16</v>
      </c>
      <c r="K43" s="213">
        <f t="shared" si="4"/>
        <v>0</v>
      </c>
      <c r="L43" s="213">
        <f t="shared" si="4"/>
        <v>0</v>
      </c>
      <c r="M43" s="213">
        <f t="shared" si="4"/>
        <v>100</v>
      </c>
      <c r="N43" s="234">
        <f t="shared" si="2"/>
        <v>100</v>
      </c>
      <c r="O43" s="212"/>
      <c r="P43" s="213"/>
      <c r="Q43" s="213">
        <v>40</v>
      </c>
      <c r="R43" s="214">
        <f t="shared" si="3"/>
        <v>40</v>
      </c>
      <c r="S43" s="170">
        <v>4</v>
      </c>
      <c r="T43" s="283"/>
      <c r="U43" s="281"/>
      <c r="V43" s="177" t="s">
        <v>480</v>
      </c>
      <c r="W43" s="170" t="s">
        <v>20</v>
      </c>
      <c r="X43" s="170" t="s">
        <v>12</v>
      </c>
      <c r="Y43" s="178">
        <v>40</v>
      </c>
      <c r="AD43" s="177"/>
      <c r="AG43" s="178"/>
      <c r="AH43" s="252"/>
      <c r="AL43" s="177"/>
      <c r="AO43" s="178"/>
      <c r="AP43" s="177"/>
      <c r="AS43" s="178"/>
      <c r="AW43" s="178"/>
      <c r="BA43" s="179"/>
    </row>
    <row r="44" spans="1:53" s="28" customFormat="1" x14ac:dyDescent="0.15">
      <c r="A44" s="51">
        <v>1977</v>
      </c>
      <c r="B44" s="293">
        <v>28380</v>
      </c>
      <c r="C44" s="394" t="s">
        <v>620</v>
      </c>
      <c r="D44" s="394"/>
      <c r="E44" s="28">
        <f>365-E43</f>
        <v>111</v>
      </c>
      <c r="F44" s="28">
        <v>1</v>
      </c>
      <c r="G44" s="65"/>
      <c r="I44" s="28">
        <v>16</v>
      </c>
      <c r="J44" s="72">
        <v>16</v>
      </c>
      <c r="K44" s="46">
        <f t="shared" si="4"/>
        <v>0</v>
      </c>
      <c r="L44" s="46">
        <f t="shared" si="4"/>
        <v>0</v>
      </c>
      <c r="M44" s="46">
        <f t="shared" si="4"/>
        <v>100</v>
      </c>
      <c r="N44" s="67">
        <f t="shared" si="2"/>
        <v>100</v>
      </c>
      <c r="O44" s="45"/>
      <c r="P44" s="46"/>
      <c r="Q44" s="46">
        <v>49</v>
      </c>
      <c r="R44" s="47">
        <f t="shared" si="3"/>
        <v>49</v>
      </c>
      <c r="S44" s="28">
        <v>4</v>
      </c>
      <c r="T44" s="284">
        <v>28379</v>
      </c>
      <c r="U44" s="293">
        <v>28380</v>
      </c>
      <c r="V44" s="37" t="s">
        <v>480</v>
      </c>
      <c r="W44" s="28" t="s">
        <v>20</v>
      </c>
      <c r="X44" s="28" t="s">
        <v>12</v>
      </c>
      <c r="Y44" s="38">
        <v>49</v>
      </c>
      <c r="AD44" s="37"/>
      <c r="AG44" s="38"/>
      <c r="AH44" s="93"/>
      <c r="AL44" s="37"/>
      <c r="AO44" s="38"/>
      <c r="AP44" s="37"/>
      <c r="AS44" s="38"/>
      <c r="AW44" s="38"/>
      <c r="BA44" s="39"/>
    </row>
    <row r="45" spans="1:53" s="28" customFormat="1" x14ac:dyDescent="0.15">
      <c r="A45" s="51">
        <v>1978</v>
      </c>
      <c r="B45" s="293"/>
      <c r="C45" s="394" t="s">
        <v>620</v>
      </c>
      <c r="D45" s="394"/>
      <c r="E45" s="28">
        <v>0</v>
      </c>
      <c r="G45" s="65"/>
      <c r="I45" s="28">
        <v>16</v>
      </c>
      <c r="J45" s="72">
        <v>16</v>
      </c>
      <c r="K45" s="46">
        <f t="shared" si="4"/>
        <v>0</v>
      </c>
      <c r="L45" s="46">
        <f t="shared" si="4"/>
        <v>0</v>
      </c>
      <c r="M45" s="46">
        <f t="shared" si="4"/>
        <v>100</v>
      </c>
      <c r="N45" s="67">
        <f t="shared" si="2"/>
        <v>100</v>
      </c>
      <c r="O45" s="45"/>
      <c r="P45" s="46"/>
      <c r="Q45" s="46">
        <v>49</v>
      </c>
      <c r="R45" s="47">
        <f t="shared" si="3"/>
        <v>49</v>
      </c>
      <c r="S45" s="28">
        <v>4</v>
      </c>
      <c r="T45" s="284"/>
      <c r="U45" s="293"/>
      <c r="V45" s="37" t="s">
        <v>480</v>
      </c>
      <c r="W45" s="28" t="s">
        <v>20</v>
      </c>
      <c r="X45" s="28" t="s">
        <v>12</v>
      </c>
      <c r="Y45" s="38">
        <v>49</v>
      </c>
      <c r="AD45" s="37"/>
      <c r="AG45" s="38"/>
      <c r="AH45" s="93"/>
      <c r="AL45" s="37"/>
      <c r="AO45" s="38"/>
      <c r="AP45" s="37"/>
      <c r="AS45" s="38"/>
      <c r="AW45" s="38"/>
      <c r="BA45" s="39"/>
    </row>
    <row r="46" spans="1:53" s="28" customFormat="1" x14ac:dyDescent="0.15">
      <c r="A46" s="51">
        <v>1978</v>
      </c>
      <c r="B46" s="293"/>
      <c r="C46" s="394" t="s">
        <v>620</v>
      </c>
      <c r="D46" s="394"/>
      <c r="E46" s="28">
        <v>365</v>
      </c>
      <c r="G46" s="65"/>
      <c r="I46" s="28">
        <v>16</v>
      </c>
      <c r="J46" s="72">
        <v>16</v>
      </c>
      <c r="K46" s="46">
        <f t="shared" si="4"/>
        <v>0</v>
      </c>
      <c r="L46" s="46">
        <f t="shared" si="4"/>
        <v>0</v>
      </c>
      <c r="M46" s="46">
        <f t="shared" si="4"/>
        <v>100</v>
      </c>
      <c r="N46" s="67">
        <f t="shared" si="2"/>
        <v>100</v>
      </c>
      <c r="O46" s="45"/>
      <c r="P46" s="46"/>
      <c r="Q46" s="46">
        <v>49</v>
      </c>
      <c r="R46" s="47">
        <f t="shared" si="3"/>
        <v>49</v>
      </c>
      <c r="S46" s="28">
        <v>4</v>
      </c>
      <c r="T46" s="284"/>
      <c r="U46" s="293"/>
      <c r="V46" s="37" t="s">
        <v>480</v>
      </c>
      <c r="W46" s="28" t="s">
        <v>20</v>
      </c>
      <c r="X46" s="28" t="s">
        <v>12</v>
      </c>
      <c r="Y46" s="38">
        <v>49</v>
      </c>
      <c r="AD46" s="37"/>
      <c r="AG46" s="38"/>
      <c r="AH46" s="93"/>
      <c r="AL46" s="37"/>
      <c r="AO46" s="38"/>
      <c r="AP46" s="37"/>
      <c r="AS46" s="38"/>
      <c r="AW46" s="38"/>
      <c r="BA46" s="39"/>
    </row>
    <row r="47" spans="1:53" s="28" customFormat="1" x14ac:dyDescent="0.15">
      <c r="A47" s="51">
        <v>1979</v>
      </c>
      <c r="B47" s="293"/>
      <c r="C47" s="394" t="s">
        <v>620</v>
      </c>
      <c r="D47" s="394"/>
      <c r="E47" s="28">
        <v>0</v>
      </c>
      <c r="G47" s="65"/>
      <c r="I47" s="28">
        <v>16</v>
      </c>
      <c r="J47" s="72">
        <v>16</v>
      </c>
      <c r="K47" s="46">
        <f t="shared" si="4"/>
        <v>0</v>
      </c>
      <c r="L47" s="46">
        <f t="shared" si="4"/>
        <v>0</v>
      </c>
      <c r="M47" s="46">
        <f t="shared" si="4"/>
        <v>100</v>
      </c>
      <c r="N47" s="67">
        <f t="shared" si="2"/>
        <v>100</v>
      </c>
      <c r="O47" s="45"/>
      <c r="P47" s="46"/>
      <c r="Q47" s="46">
        <v>49</v>
      </c>
      <c r="R47" s="47">
        <f t="shared" si="3"/>
        <v>49</v>
      </c>
      <c r="S47" s="28">
        <v>4</v>
      </c>
      <c r="T47" s="284"/>
      <c r="U47" s="293"/>
      <c r="V47" s="37" t="s">
        <v>480</v>
      </c>
      <c r="W47" s="28" t="s">
        <v>20</v>
      </c>
      <c r="X47" s="28" t="s">
        <v>12</v>
      </c>
      <c r="Y47" s="38">
        <v>49</v>
      </c>
      <c r="AD47" s="37"/>
      <c r="AG47" s="38"/>
      <c r="AH47" s="93"/>
      <c r="AL47" s="37"/>
      <c r="AO47" s="38"/>
      <c r="AP47" s="37"/>
      <c r="AS47" s="38"/>
      <c r="AW47" s="38"/>
      <c r="BA47" s="39"/>
    </row>
    <row r="48" spans="1:53" s="28" customFormat="1" x14ac:dyDescent="0.15">
      <c r="A48" s="51">
        <v>1979</v>
      </c>
      <c r="B48" s="293"/>
      <c r="C48" s="394" t="s">
        <v>620</v>
      </c>
      <c r="D48" s="394"/>
      <c r="E48" s="28">
        <v>365</v>
      </c>
      <c r="G48" s="65"/>
      <c r="I48" s="28">
        <v>16</v>
      </c>
      <c r="J48" s="72">
        <v>16</v>
      </c>
      <c r="K48" s="46">
        <f t="shared" si="4"/>
        <v>0</v>
      </c>
      <c r="L48" s="46">
        <f t="shared" si="4"/>
        <v>0</v>
      </c>
      <c r="M48" s="46">
        <f t="shared" si="4"/>
        <v>100</v>
      </c>
      <c r="N48" s="67">
        <f t="shared" si="2"/>
        <v>100</v>
      </c>
      <c r="O48" s="45"/>
      <c r="P48" s="46"/>
      <c r="Q48" s="46">
        <v>49</v>
      </c>
      <c r="R48" s="47">
        <f t="shared" si="3"/>
        <v>49</v>
      </c>
      <c r="S48" s="28">
        <v>4</v>
      </c>
      <c r="T48" s="284"/>
      <c r="U48" s="293"/>
      <c r="V48" s="37" t="s">
        <v>480</v>
      </c>
      <c r="W48" s="28" t="s">
        <v>20</v>
      </c>
      <c r="X48" s="28" t="s">
        <v>12</v>
      </c>
      <c r="Y48" s="38">
        <v>49</v>
      </c>
      <c r="AD48" s="37"/>
      <c r="AG48" s="38"/>
      <c r="AH48" s="93"/>
      <c r="AL48" s="37"/>
      <c r="AO48" s="38"/>
      <c r="AP48" s="37"/>
      <c r="AS48" s="38"/>
      <c r="AW48" s="38"/>
      <c r="BA48" s="39"/>
    </row>
    <row r="49" spans="1:53" s="28" customFormat="1" x14ac:dyDescent="0.15">
      <c r="A49" s="51">
        <v>1980</v>
      </c>
      <c r="B49" s="293"/>
      <c r="C49" s="394" t="s">
        <v>620</v>
      </c>
      <c r="D49" s="394"/>
      <c r="E49" s="28">
        <v>0</v>
      </c>
      <c r="G49" s="65"/>
      <c r="I49" s="28">
        <v>16</v>
      </c>
      <c r="J49" s="72">
        <v>16</v>
      </c>
      <c r="K49" s="46">
        <f t="shared" si="4"/>
        <v>0</v>
      </c>
      <c r="L49" s="46">
        <f t="shared" si="4"/>
        <v>0</v>
      </c>
      <c r="M49" s="46">
        <f t="shared" si="4"/>
        <v>100</v>
      </c>
      <c r="N49" s="67">
        <f t="shared" si="2"/>
        <v>100</v>
      </c>
      <c r="O49" s="45"/>
      <c r="P49" s="46"/>
      <c r="Q49" s="46">
        <v>49</v>
      </c>
      <c r="R49" s="47">
        <f t="shared" si="3"/>
        <v>49</v>
      </c>
      <c r="S49" s="28">
        <v>4</v>
      </c>
      <c r="T49" s="284"/>
      <c r="U49" s="293"/>
      <c r="V49" s="37" t="s">
        <v>480</v>
      </c>
      <c r="W49" s="28" t="s">
        <v>20</v>
      </c>
      <c r="X49" s="28" t="s">
        <v>12</v>
      </c>
      <c r="Y49" s="38">
        <v>49</v>
      </c>
      <c r="AD49" s="37"/>
      <c r="AG49" s="38"/>
      <c r="AH49" s="93"/>
      <c r="AL49" s="37"/>
      <c r="AO49" s="38"/>
      <c r="AP49" s="37"/>
      <c r="AS49" s="38"/>
      <c r="AW49" s="38"/>
      <c r="BA49" s="39"/>
    </row>
    <row r="50" spans="1:53" s="28" customFormat="1" x14ac:dyDescent="0.15">
      <c r="A50" s="51">
        <v>1980</v>
      </c>
      <c r="B50" s="293"/>
      <c r="C50" s="394" t="s">
        <v>620</v>
      </c>
      <c r="D50" s="394"/>
      <c r="E50" s="28">
        <v>366</v>
      </c>
      <c r="G50" s="65"/>
      <c r="I50" s="28">
        <v>16</v>
      </c>
      <c r="J50" s="72">
        <v>16</v>
      </c>
      <c r="K50" s="46">
        <f t="shared" si="4"/>
        <v>0</v>
      </c>
      <c r="L50" s="46">
        <f t="shared" si="4"/>
        <v>0</v>
      </c>
      <c r="M50" s="46">
        <f t="shared" si="4"/>
        <v>100</v>
      </c>
      <c r="N50" s="67">
        <f t="shared" si="2"/>
        <v>100</v>
      </c>
      <c r="O50" s="45"/>
      <c r="P50" s="46"/>
      <c r="Q50" s="46">
        <v>49</v>
      </c>
      <c r="R50" s="47">
        <f t="shared" si="3"/>
        <v>49</v>
      </c>
      <c r="S50" s="28">
        <v>4</v>
      </c>
      <c r="T50" s="284"/>
      <c r="U50" s="293"/>
      <c r="V50" s="37" t="s">
        <v>480</v>
      </c>
      <c r="W50" s="28" t="s">
        <v>20</v>
      </c>
      <c r="X50" s="28" t="s">
        <v>12</v>
      </c>
      <c r="Y50" s="38">
        <v>49</v>
      </c>
      <c r="AD50" s="37"/>
      <c r="AG50" s="38"/>
      <c r="AH50" s="93"/>
      <c r="AL50" s="37"/>
      <c r="AO50" s="38"/>
      <c r="AP50" s="37"/>
      <c r="AS50" s="38"/>
      <c r="AW50" s="38"/>
      <c r="BA50" s="39"/>
    </row>
    <row r="51" spans="1:53" s="28" customFormat="1" x14ac:dyDescent="0.15">
      <c r="A51" s="51">
        <v>1981</v>
      </c>
      <c r="B51" s="293"/>
      <c r="C51" s="394" t="s">
        <v>620</v>
      </c>
      <c r="D51" s="394"/>
      <c r="E51" s="28">
        <v>34</v>
      </c>
      <c r="G51" s="65"/>
      <c r="I51" s="28">
        <v>16</v>
      </c>
      <c r="J51" s="72">
        <v>16</v>
      </c>
      <c r="K51" s="46">
        <f t="shared" si="4"/>
        <v>0</v>
      </c>
      <c r="L51" s="46">
        <f t="shared" si="4"/>
        <v>0</v>
      </c>
      <c r="M51" s="46">
        <f t="shared" si="4"/>
        <v>100</v>
      </c>
      <c r="N51" s="67">
        <f t="shared" si="2"/>
        <v>100</v>
      </c>
      <c r="O51" s="45"/>
      <c r="P51" s="46"/>
      <c r="Q51" s="46">
        <v>49</v>
      </c>
      <c r="R51" s="47">
        <f t="shared" si="3"/>
        <v>49</v>
      </c>
      <c r="S51" s="28">
        <v>4</v>
      </c>
      <c r="T51" s="284"/>
      <c r="U51" s="293"/>
      <c r="V51" s="37" t="s">
        <v>480</v>
      </c>
      <c r="W51" s="28" t="s">
        <v>20</v>
      </c>
      <c r="X51" s="28" t="s">
        <v>12</v>
      </c>
      <c r="Y51" s="38">
        <v>49</v>
      </c>
      <c r="AD51" s="37"/>
      <c r="AG51" s="38"/>
      <c r="AH51" s="93"/>
      <c r="AL51" s="37"/>
      <c r="AO51" s="38"/>
      <c r="AP51" s="37"/>
      <c r="AS51" s="38"/>
      <c r="AW51" s="38"/>
      <c r="BA51" s="39"/>
    </row>
    <row r="52" spans="1:53" s="170" customFormat="1" x14ac:dyDescent="0.15">
      <c r="A52" s="215">
        <v>1981</v>
      </c>
      <c r="B52" s="281">
        <v>29621</v>
      </c>
      <c r="C52" s="395" t="s">
        <v>621</v>
      </c>
      <c r="D52" s="395"/>
      <c r="E52" s="170">
        <v>252</v>
      </c>
      <c r="F52" s="170">
        <v>3</v>
      </c>
      <c r="G52" s="232"/>
      <c r="I52" s="170">
        <v>17</v>
      </c>
      <c r="J52" s="240">
        <v>17</v>
      </c>
      <c r="K52" s="213">
        <f t="shared" si="4"/>
        <v>0</v>
      </c>
      <c r="L52" s="213">
        <f t="shared" si="4"/>
        <v>0</v>
      </c>
      <c r="M52" s="213">
        <f t="shared" si="4"/>
        <v>100</v>
      </c>
      <c r="N52" s="234">
        <f t="shared" si="2"/>
        <v>100</v>
      </c>
      <c r="O52" s="212"/>
      <c r="P52" s="213"/>
      <c r="Q52" s="213">
        <v>49</v>
      </c>
      <c r="R52" s="214">
        <f t="shared" si="3"/>
        <v>49</v>
      </c>
      <c r="S52" s="170">
        <v>4</v>
      </c>
      <c r="T52" s="283"/>
      <c r="U52" s="281">
        <v>29621</v>
      </c>
      <c r="V52" s="177" t="s">
        <v>480</v>
      </c>
      <c r="W52" s="170" t="s">
        <v>20</v>
      </c>
      <c r="X52" s="170" t="s">
        <v>12</v>
      </c>
      <c r="Y52" s="178">
        <v>49</v>
      </c>
      <c r="AD52" s="177"/>
      <c r="AG52" s="178"/>
      <c r="AH52" s="252"/>
      <c r="AL52" s="177"/>
      <c r="AO52" s="178"/>
      <c r="AP52" s="177"/>
      <c r="AS52" s="178"/>
      <c r="AW52" s="178"/>
      <c r="BA52" s="179"/>
    </row>
    <row r="53" spans="1:53" s="28" customFormat="1" x14ac:dyDescent="0.15">
      <c r="A53" s="51">
        <v>1981</v>
      </c>
      <c r="B53" s="293">
        <v>29873</v>
      </c>
      <c r="C53" s="394" t="s">
        <v>622</v>
      </c>
      <c r="D53" s="394"/>
      <c r="E53" s="28">
        <f>365-E52-E51</f>
        <v>79</v>
      </c>
      <c r="F53" s="28">
        <v>1</v>
      </c>
      <c r="G53" s="65">
        <v>17</v>
      </c>
      <c r="J53" s="72">
        <v>17</v>
      </c>
      <c r="K53" s="46">
        <f t="shared" si="4"/>
        <v>100</v>
      </c>
      <c r="L53" s="46">
        <f t="shared" si="4"/>
        <v>0</v>
      </c>
      <c r="M53" s="46">
        <f t="shared" si="4"/>
        <v>0</v>
      </c>
      <c r="N53" s="67">
        <f t="shared" si="2"/>
        <v>100</v>
      </c>
      <c r="O53" s="45">
        <v>34.799999999999997</v>
      </c>
      <c r="P53" s="46"/>
      <c r="Q53" s="46"/>
      <c r="R53" s="47">
        <f t="shared" si="3"/>
        <v>34.799999999999997</v>
      </c>
      <c r="S53" s="28">
        <v>4</v>
      </c>
      <c r="T53" s="284">
        <v>29843</v>
      </c>
      <c r="U53" s="293">
        <v>29873</v>
      </c>
      <c r="V53" s="37" t="s">
        <v>481</v>
      </c>
      <c r="W53" s="28" t="s">
        <v>74</v>
      </c>
      <c r="X53" s="28" t="s">
        <v>11</v>
      </c>
      <c r="Y53" s="38">
        <v>34.799999999999997</v>
      </c>
      <c r="AD53" s="37"/>
      <c r="AG53" s="38"/>
      <c r="AH53" s="93"/>
      <c r="AL53" s="37"/>
      <c r="AO53" s="38"/>
      <c r="AP53" s="37"/>
      <c r="AS53" s="38"/>
      <c r="AW53" s="38"/>
      <c r="BA53" s="39"/>
    </row>
    <row r="54" spans="1:53" s="28" customFormat="1" x14ac:dyDescent="0.15">
      <c r="A54" s="51">
        <v>1982</v>
      </c>
      <c r="B54" s="293"/>
      <c r="C54" s="394" t="s">
        <v>622</v>
      </c>
      <c r="D54" s="394"/>
      <c r="E54" s="28">
        <v>0</v>
      </c>
      <c r="G54" s="65">
        <v>17</v>
      </c>
      <c r="J54" s="72">
        <v>17</v>
      </c>
      <c r="K54" s="46">
        <f t="shared" si="4"/>
        <v>100</v>
      </c>
      <c r="L54" s="46">
        <f t="shared" si="4"/>
        <v>0</v>
      </c>
      <c r="M54" s="46">
        <f t="shared" si="4"/>
        <v>0</v>
      </c>
      <c r="N54" s="67">
        <f t="shared" si="2"/>
        <v>100</v>
      </c>
      <c r="O54" s="45">
        <v>34.799999999999997</v>
      </c>
      <c r="P54" s="46"/>
      <c r="Q54" s="46"/>
      <c r="R54" s="47">
        <f t="shared" si="3"/>
        <v>34.799999999999997</v>
      </c>
      <c r="S54" s="28">
        <v>4</v>
      </c>
      <c r="T54" s="284"/>
      <c r="U54" s="293"/>
      <c r="V54" s="37" t="s">
        <v>481</v>
      </c>
      <c r="W54" s="28" t="s">
        <v>74</v>
      </c>
      <c r="X54" s="28" t="s">
        <v>11</v>
      </c>
      <c r="Y54" s="38">
        <v>34.799999999999997</v>
      </c>
      <c r="AD54" s="37"/>
      <c r="AG54" s="38"/>
      <c r="AH54" s="93"/>
      <c r="AL54" s="37"/>
      <c r="AO54" s="38"/>
      <c r="AP54" s="37"/>
      <c r="AS54" s="38"/>
      <c r="AW54" s="38"/>
      <c r="BA54" s="39"/>
    </row>
    <row r="55" spans="1:53" s="28" customFormat="1" x14ac:dyDescent="0.15">
      <c r="A55" s="51">
        <v>1982</v>
      </c>
      <c r="B55" s="293"/>
      <c r="C55" s="394" t="s">
        <v>622</v>
      </c>
      <c r="D55" s="394"/>
      <c r="E55" s="28">
        <v>365</v>
      </c>
      <c r="G55" s="65">
        <v>17</v>
      </c>
      <c r="J55" s="72">
        <v>17</v>
      </c>
      <c r="K55" s="46">
        <f t="shared" si="4"/>
        <v>100</v>
      </c>
      <c r="L55" s="46">
        <f t="shared" si="4"/>
        <v>0</v>
      </c>
      <c r="M55" s="46">
        <f t="shared" si="4"/>
        <v>0</v>
      </c>
      <c r="N55" s="67">
        <f t="shared" si="2"/>
        <v>100</v>
      </c>
      <c r="O55" s="45">
        <v>34.799999999999997</v>
      </c>
      <c r="P55" s="46"/>
      <c r="Q55" s="46"/>
      <c r="R55" s="47">
        <f t="shared" si="3"/>
        <v>34.799999999999997</v>
      </c>
      <c r="S55" s="28">
        <v>4</v>
      </c>
      <c r="T55" s="284"/>
      <c r="U55" s="293"/>
      <c r="V55" s="37" t="s">
        <v>481</v>
      </c>
      <c r="W55" s="28" t="s">
        <v>74</v>
      </c>
      <c r="X55" s="28" t="s">
        <v>11</v>
      </c>
      <c r="Y55" s="38">
        <v>34.799999999999997</v>
      </c>
      <c r="AD55" s="37"/>
      <c r="AG55" s="38"/>
      <c r="AH55" s="93"/>
      <c r="AL55" s="37"/>
      <c r="AO55" s="38"/>
      <c r="AP55" s="37"/>
      <c r="AS55" s="38"/>
      <c r="AW55" s="38"/>
      <c r="BA55" s="39"/>
    </row>
    <row r="56" spans="1:53" s="28" customFormat="1" x14ac:dyDescent="0.15">
      <c r="A56" s="51">
        <v>1983</v>
      </c>
      <c r="B56" s="293"/>
      <c r="C56" s="394" t="s">
        <v>622</v>
      </c>
      <c r="D56" s="394"/>
      <c r="E56" s="28">
        <v>158</v>
      </c>
      <c r="G56" s="65">
        <v>17</v>
      </c>
      <c r="J56" s="72">
        <v>17</v>
      </c>
      <c r="K56" s="46">
        <f t="shared" si="4"/>
        <v>100</v>
      </c>
      <c r="L56" s="46">
        <f t="shared" si="4"/>
        <v>0</v>
      </c>
      <c r="M56" s="46">
        <f t="shared" si="4"/>
        <v>0</v>
      </c>
      <c r="N56" s="67">
        <f t="shared" si="2"/>
        <v>100</v>
      </c>
      <c r="O56" s="45">
        <v>34.799999999999997</v>
      </c>
      <c r="P56" s="46"/>
      <c r="Q56" s="46"/>
      <c r="R56" s="47">
        <f t="shared" si="3"/>
        <v>34.799999999999997</v>
      </c>
      <c r="S56" s="28">
        <v>4</v>
      </c>
      <c r="T56" s="284"/>
      <c r="U56" s="293"/>
      <c r="V56" s="37" t="s">
        <v>481</v>
      </c>
      <c r="W56" s="28" t="s">
        <v>74</v>
      </c>
      <c r="X56" s="28" t="s">
        <v>11</v>
      </c>
      <c r="Y56" s="38">
        <v>34.799999999999997</v>
      </c>
      <c r="AD56" s="37"/>
      <c r="AG56" s="38"/>
      <c r="AH56" s="93"/>
      <c r="AL56" s="37"/>
      <c r="AO56" s="38"/>
      <c r="AP56" s="37"/>
      <c r="AS56" s="38"/>
      <c r="AW56" s="38"/>
      <c r="BA56" s="39"/>
    </row>
    <row r="57" spans="1:53" s="170" customFormat="1" x14ac:dyDescent="0.15">
      <c r="A57" s="215">
        <v>1983</v>
      </c>
      <c r="B57" s="281">
        <v>30475</v>
      </c>
      <c r="C57" s="395" t="s">
        <v>623</v>
      </c>
      <c r="D57" s="395"/>
      <c r="E57" s="170">
        <f>365-E56</f>
        <v>207</v>
      </c>
      <c r="F57" s="170">
        <v>2</v>
      </c>
      <c r="G57" s="232">
        <v>12</v>
      </c>
      <c r="H57" s="170">
        <v>6</v>
      </c>
      <c r="J57" s="240">
        <v>18</v>
      </c>
      <c r="K57" s="213">
        <f t="shared" si="4"/>
        <v>66.666666666666657</v>
      </c>
      <c r="L57" s="213">
        <f t="shared" si="4"/>
        <v>33.333333333333329</v>
      </c>
      <c r="M57" s="213">
        <f t="shared" si="4"/>
        <v>0</v>
      </c>
      <c r="N57" s="234">
        <f t="shared" si="2"/>
        <v>99.999999999999986</v>
      </c>
      <c r="O57" s="212">
        <v>34.799999999999997</v>
      </c>
      <c r="P57" s="213">
        <v>16.799999999999997</v>
      </c>
      <c r="Q57" s="213"/>
      <c r="R57" s="214">
        <f t="shared" si="3"/>
        <v>51.599999999999994</v>
      </c>
      <c r="S57" s="170">
        <v>2</v>
      </c>
      <c r="T57" s="283"/>
      <c r="U57" s="281">
        <v>30475</v>
      </c>
      <c r="V57" s="177" t="s">
        <v>481</v>
      </c>
      <c r="W57" s="170" t="s">
        <v>74</v>
      </c>
      <c r="X57" s="170" t="s">
        <v>11</v>
      </c>
      <c r="Y57" s="178">
        <v>34.799999999999997</v>
      </c>
      <c r="Z57" s="177" t="s">
        <v>83</v>
      </c>
      <c r="AA57" s="170" t="s">
        <v>869</v>
      </c>
      <c r="AB57" s="170" t="s">
        <v>18</v>
      </c>
      <c r="AC57" s="170">
        <v>7.1</v>
      </c>
      <c r="AD57" s="177" t="s">
        <v>264</v>
      </c>
      <c r="AE57" s="170" t="s">
        <v>17</v>
      </c>
      <c r="AF57" s="170" t="s">
        <v>18</v>
      </c>
      <c r="AG57" s="178">
        <v>9.6999999999999993</v>
      </c>
      <c r="AH57" s="252"/>
      <c r="AL57" s="177"/>
      <c r="AO57" s="178"/>
      <c r="AP57" s="177"/>
      <c r="AS57" s="178"/>
      <c r="AW57" s="178"/>
      <c r="BA57" s="179"/>
    </row>
    <row r="58" spans="1:53" s="170" customFormat="1" x14ac:dyDescent="0.15">
      <c r="A58" s="215">
        <v>1984</v>
      </c>
      <c r="B58" s="281"/>
      <c r="C58" s="395" t="s">
        <v>623</v>
      </c>
      <c r="D58" s="395"/>
      <c r="E58" s="170">
        <v>0</v>
      </c>
      <c r="G58" s="232">
        <v>12</v>
      </c>
      <c r="H58" s="170">
        <v>6</v>
      </c>
      <c r="J58" s="240">
        <v>18</v>
      </c>
      <c r="K58" s="213">
        <f t="shared" si="4"/>
        <v>66.666666666666657</v>
      </c>
      <c r="L58" s="213">
        <f t="shared" si="4"/>
        <v>33.333333333333329</v>
      </c>
      <c r="M58" s="213">
        <f t="shared" si="4"/>
        <v>0</v>
      </c>
      <c r="N58" s="234">
        <f t="shared" si="2"/>
        <v>99.999999999999986</v>
      </c>
      <c r="O58" s="212">
        <v>34.799999999999997</v>
      </c>
      <c r="P58" s="213">
        <v>16.799999999999997</v>
      </c>
      <c r="Q58" s="213"/>
      <c r="R58" s="214">
        <f t="shared" si="3"/>
        <v>51.599999999999994</v>
      </c>
      <c r="S58" s="170">
        <v>2</v>
      </c>
      <c r="T58" s="283"/>
      <c r="U58" s="281"/>
      <c r="V58" s="177" t="s">
        <v>481</v>
      </c>
      <c r="W58" s="170" t="s">
        <v>74</v>
      </c>
      <c r="X58" s="170" t="s">
        <v>11</v>
      </c>
      <c r="Y58" s="178">
        <v>34.799999999999997</v>
      </c>
      <c r="Z58" s="177" t="s">
        <v>83</v>
      </c>
      <c r="AA58" s="170" t="s">
        <v>869</v>
      </c>
      <c r="AB58" s="170" t="s">
        <v>18</v>
      </c>
      <c r="AC58" s="170">
        <v>7.1</v>
      </c>
      <c r="AD58" s="177" t="s">
        <v>264</v>
      </c>
      <c r="AE58" s="170" t="s">
        <v>17</v>
      </c>
      <c r="AF58" s="170" t="s">
        <v>18</v>
      </c>
      <c r="AG58" s="178">
        <v>9.6999999999999993</v>
      </c>
      <c r="AH58" s="252"/>
      <c r="AL58" s="177"/>
      <c r="AO58" s="178"/>
      <c r="AP58" s="177"/>
      <c r="AS58" s="178"/>
      <c r="AW58" s="178"/>
      <c r="BA58" s="179"/>
    </row>
    <row r="59" spans="1:53" s="170" customFormat="1" x14ac:dyDescent="0.15">
      <c r="A59" s="215">
        <v>1984</v>
      </c>
      <c r="B59" s="281"/>
      <c r="C59" s="395" t="s">
        <v>623</v>
      </c>
      <c r="D59" s="395"/>
      <c r="E59" s="170">
        <v>366</v>
      </c>
      <c r="G59" s="232">
        <v>12</v>
      </c>
      <c r="H59" s="170">
        <v>6</v>
      </c>
      <c r="J59" s="240">
        <v>18</v>
      </c>
      <c r="K59" s="213">
        <f t="shared" si="4"/>
        <v>66.666666666666657</v>
      </c>
      <c r="L59" s="213">
        <f t="shared" si="4"/>
        <v>33.333333333333329</v>
      </c>
      <c r="M59" s="213">
        <f t="shared" si="4"/>
        <v>0</v>
      </c>
      <c r="N59" s="234">
        <f t="shared" si="2"/>
        <v>99.999999999999986</v>
      </c>
      <c r="O59" s="212">
        <v>34.799999999999997</v>
      </c>
      <c r="P59" s="213">
        <v>16.799999999999997</v>
      </c>
      <c r="Q59" s="213"/>
      <c r="R59" s="214">
        <f t="shared" si="3"/>
        <v>51.599999999999994</v>
      </c>
      <c r="S59" s="170">
        <v>2</v>
      </c>
      <c r="T59" s="283"/>
      <c r="U59" s="281"/>
      <c r="V59" s="177" t="s">
        <v>481</v>
      </c>
      <c r="W59" s="170" t="s">
        <v>74</v>
      </c>
      <c r="X59" s="170" t="s">
        <v>11</v>
      </c>
      <c r="Y59" s="178">
        <v>34.799999999999997</v>
      </c>
      <c r="Z59" s="177" t="s">
        <v>83</v>
      </c>
      <c r="AA59" s="170" t="s">
        <v>869</v>
      </c>
      <c r="AB59" s="170" t="s">
        <v>18</v>
      </c>
      <c r="AC59" s="170">
        <v>7.1</v>
      </c>
      <c r="AD59" s="177" t="s">
        <v>264</v>
      </c>
      <c r="AE59" s="170" t="s">
        <v>17</v>
      </c>
      <c r="AF59" s="170" t="s">
        <v>18</v>
      </c>
      <c r="AG59" s="178">
        <v>9.6999999999999993</v>
      </c>
      <c r="AH59" s="252"/>
      <c r="AL59" s="177"/>
      <c r="AO59" s="178"/>
      <c r="AP59" s="177"/>
      <c r="AS59" s="178"/>
      <c r="AW59" s="178"/>
      <c r="BA59" s="179"/>
    </row>
    <row r="60" spans="1:53" s="170" customFormat="1" ht="8.25" customHeight="1" x14ac:dyDescent="0.15">
      <c r="A60" s="215">
        <v>1985</v>
      </c>
      <c r="B60" s="281"/>
      <c r="C60" s="395" t="s">
        <v>623</v>
      </c>
      <c r="D60" s="395"/>
      <c r="E60" s="170">
        <v>329</v>
      </c>
      <c r="G60" s="232">
        <v>12</v>
      </c>
      <c r="H60" s="170">
        <v>6</v>
      </c>
      <c r="J60" s="240">
        <v>18</v>
      </c>
      <c r="K60" s="213">
        <f t="shared" si="4"/>
        <v>66.666666666666657</v>
      </c>
      <c r="L60" s="213">
        <f t="shared" si="4"/>
        <v>33.333333333333329</v>
      </c>
      <c r="M60" s="213">
        <f t="shared" si="4"/>
        <v>0</v>
      </c>
      <c r="N60" s="234">
        <f t="shared" si="2"/>
        <v>99.999999999999986</v>
      </c>
      <c r="O60" s="212">
        <v>34.799999999999997</v>
      </c>
      <c r="P60" s="213">
        <v>16.799999999999997</v>
      </c>
      <c r="Q60" s="213"/>
      <c r="R60" s="214">
        <f t="shared" si="3"/>
        <v>51.599999999999994</v>
      </c>
      <c r="S60" s="170">
        <v>2</v>
      </c>
      <c r="T60" s="283"/>
      <c r="U60" s="281"/>
      <c r="V60" s="177" t="s">
        <v>481</v>
      </c>
      <c r="W60" s="170" t="s">
        <v>74</v>
      </c>
      <c r="X60" s="170" t="s">
        <v>11</v>
      </c>
      <c r="Y60" s="178">
        <v>34.799999999999997</v>
      </c>
      <c r="Z60" s="177" t="s">
        <v>83</v>
      </c>
      <c r="AA60" s="170" t="s">
        <v>869</v>
      </c>
      <c r="AB60" s="170" t="s">
        <v>18</v>
      </c>
      <c r="AC60" s="170">
        <v>7.1</v>
      </c>
      <c r="AD60" s="177" t="s">
        <v>264</v>
      </c>
      <c r="AE60" s="170" t="s">
        <v>17</v>
      </c>
      <c r="AF60" s="170" t="s">
        <v>18</v>
      </c>
      <c r="AG60" s="178">
        <v>9.6999999999999993</v>
      </c>
      <c r="AH60" s="252"/>
      <c r="AL60" s="177"/>
      <c r="AO60" s="178"/>
      <c r="AP60" s="177"/>
      <c r="AS60" s="178"/>
      <c r="AW60" s="178"/>
      <c r="BA60" s="179"/>
    </row>
    <row r="61" spans="1:53" s="28" customFormat="1" x14ac:dyDescent="0.15">
      <c r="A61" s="51">
        <v>1985</v>
      </c>
      <c r="B61" s="293">
        <v>31377</v>
      </c>
      <c r="C61" s="394" t="s">
        <v>624</v>
      </c>
      <c r="D61" s="394"/>
      <c r="E61" s="28">
        <f>365-E60</f>
        <v>36</v>
      </c>
      <c r="F61" s="28">
        <v>1</v>
      </c>
      <c r="G61" s="65">
        <v>11</v>
      </c>
      <c r="H61" s="28">
        <v>7</v>
      </c>
      <c r="J61" s="72">
        <v>18</v>
      </c>
      <c r="K61" s="46">
        <f t="shared" si="4"/>
        <v>61.111111111111114</v>
      </c>
      <c r="L61" s="46">
        <f t="shared" si="4"/>
        <v>38.888888888888893</v>
      </c>
      <c r="M61" s="46">
        <f t="shared" si="4"/>
        <v>0</v>
      </c>
      <c r="N61" s="67">
        <f t="shared" si="2"/>
        <v>100</v>
      </c>
      <c r="O61" s="45">
        <v>31.8</v>
      </c>
      <c r="P61" s="46">
        <v>17.799999999999997</v>
      </c>
      <c r="Q61" s="46"/>
      <c r="R61" s="47">
        <f t="shared" si="3"/>
        <v>49.599999999999994</v>
      </c>
      <c r="S61" s="28">
        <v>5</v>
      </c>
      <c r="T61" s="284">
        <v>31298</v>
      </c>
      <c r="U61" s="293">
        <v>31377</v>
      </c>
      <c r="V61" s="37" t="s">
        <v>481</v>
      </c>
      <c r="W61" s="28" t="s">
        <v>74</v>
      </c>
      <c r="X61" s="28" t="s">
        <v>11</v>
      </c>
      <c r="Y61" s="38">
        <v>31.8</v>
      </c>
      <c r="Z61" s="37" t="s">
        <v>83</v>
      </c>
      <c r="AA61" s="28" t="s">
        <v>869</v>
      </c>
      <c r="AB61" s="28" t="s">
        <v>18</v>
      </c>
      <c r="AC61" s="28">
        <v>7.6</v>
      </c>
      <c r="AD61" s="37" t="s">
        <v>264</v>
      </c>
      <c r="AE61" s="28" t="s">
        <v>17</v>
      </c>
      <c r="AF61" s="28" t="s">
        <v>18</v>
      </c>
      <c r="AG61" s="38">
        <v>10.199999999999999</v>
      </c>
      <c r="AH61" s="93"/>
      <c r="AL61" s="37"/>
      <c r="AO61" s="38"/>
      <c r="AP61" s="37"/>
      <c r="AS61" s="38"/>
      <c r="AW61" s="38"/>
      <c r="BA61" s="39"/>
    </row>
    <row r="62" spans="1:53" s="28" customFormat="1" x14ac:dyDescent="0.15">
      <c r="A62" s="51">
        <v>1986</v>
      </c>
      <c r="B62" s="293"/>
      <c r="C62" s="394" t="s">
        <v>624</v>
      </c>
      <c r="D62" s="394"/>
      <c r="E62" s="28">
        <v>128</v>
      </c>
      <c r="G62" s="65">
        <v>11</v>
      </c>
      <c r="H62" s="28">
        <v>7</v>
      </c>
      <c r="J62" s="72">
        <v>18</v>
      </c>
      <c r="K62" s="46">
        <f t="shared" si="4"/>
        <v>61.111111111111114</v>
      </c>
      <c r="L62" s="46">
        <f t="shared" si="4"/>
        <v>38.888888888888893</v>
      </c>
      <c r="M62" s="46">
        <f t="shared" si="4"/>
        <v>0</v>
      </c>
      <c r="N62" s="67">
        <f t="shared" si="2"/>
        <v>100</v>
      </c>
      <c r="O62" s="45">
        <v>31.8</v>
      </c>
      <c r="P62" s="46">
        <v>17.799999999999997</v>
      </c>
      <c r="Q62" s="46"/>
      <c r="R62" s="47">
        <f t="shared" si="3"/>
        <v>49.599999999999994</v>
      </c>
      <c r="S62" s="28">
        <v>5</v>
      </c>
      <c r="T62" s="284"/>
      <c r="U62" s="293"/>
      <c r="V62" s="37" t="s">
        <v>481</v>
      </c>
      <c r="W62" s="28" t="s">
        <v>74</v>
      </c>
      <c r="X62" s="28" t="s">
        <v>11</v>
      </c>
      <c r="Y62" s="38">
        <v>31.8</v>
      </c>
      <c r="Z62" s="37" t="s">
        <v>83</v>
      </c>
      <c r="AA62" s="28" t="s">
        <v>869</v>
      </c>
      <c r="AB62" s="28" t="s">
        <v>18</v>
      </c>
      <c r="AC62" s="28">
        <v>7.6</v>
      </c>
      <c r="AD62" s="37" t="s">
        <v>264</v>
      </c>
      <c r="AE62" s="28" t="s">
        <v>17</v>
      </c>
      <c r="AF62" s="28" t="s">
        <v>18</v>
      </c>
      <c r="AG62" s="38">
        <v>10.199999999999999</v>
      </c>
      <c r="AH62" s="93"/>
      <c r="AL62" s="37"/>
      <c r="AO62" s="38"/>
      <c r="AP62" s="37"/>
      <c r="AS62" s="38"/>
      <c r="AW62" s="38"/>
      <c r="BA62" s="39"/>
    </row>
    <row r="63" spans="1:53" s="170" customFormat="1" x14ac:dyDescent="0.15">
      <c r="A63" s="215">
        <v>1986</v>
      </c>
      <c r="B63" s="281">
        <v>31541</v>
      </c>
      <c r="C63" s="395" t="s">
        <v>625</v>
      </c>
      <c r="D63" s="395"/>
      <c r="E63" s="170">
        <f>365-E62</f>
        <v>237</v>
      </c>
      <c r="F63" s="170">
        <v>1</v>
      </c>
      <c r="G63" s="232"/>
      <c r="I63" s="170">
        <v>18</v>
      </c>
      <c r="J63" s="240">
        <v>18</v>
      </c>
      <c r="K63" s="213">
        <f t="shared" si="4"/>
        <v>0</v>
      </c>
      <c r="L63" s="213">
        <f t="shared" si="4"/>
        <v>0</v>
      </c>
      <c r="M63" s="213">
        <f t="shared" si="4"/>
        <v>100</v>
      </c>
      <c r="N63" s="234">
        <f>K63+L63+M63</f>
        <v>100</v>
      </c>
      <c r="O63" s="212"/>
      <c r="P63" s="213"/>
      <c r="Q63" s="213">
        <v>45.2</v>
      </c>
      <c r="R63" s="214">
        <f t="shared" si="3"/>
        <v>45.2</v>
      </c>
      <c r="S63" s="170">
        <v>4</v>
      </c>
      <c r="T63" s="283"/>
      <c r="U63" s="281">
        <v>31541</v>
      </c>
      <c r="V63" s="177" t="s">
        <v>480</v>
      </c>
      <c r="W63" s="170" t="s">
        <v>20</v>
      </c>
      <c r="X63" s="170" t="s">
        <v>12</v>
      </c>
      <c r="Y63" s="178">
        <v>45.2</v>
      </c>
      <c r="AD63" s="177"/>
      <c r="AG63" s="178"/>
      <c r="AH63" s="252"/>
      <c r="AL63" s="177"/>
      <c r="AO63" s="178"/>
      <c r="AP63" s="177"/>
      <c r="AS63" s="178"/>
      <c r="AW63" s="178"/>
      <c r="BA63" s="179"/>
    </row>
    <row r="64" spans="1:53" s="170" customFormat="1" x14ac:dyDescent="0.15">
      <c r="A64" s="215">
        <v>1987</v>
      </c>
      <c r="B64" s="281"/>
      <c r="C64" s="395" t="s">
        <v>625</v>
      </c>
      <c r="D64" s="395"/>
      <c r="E64" s="170">
        <v>0</v>
      </c>
      <c r="G64" s="232"/>
      <c r="I64" s="170">
        <v>18</v>
      </c>
      <c r="J64" s="240">
        <v>18</v>
      </c>
      <c r="K64" s="213">
        <f t="shared" si="4"/>
        <v>0</v>
      </c>
      <c r="L64" s="213">
        <f t="shared" si="4"/>
        <v>0</v>
      </c>
      <c r="M64" s="213">
        <f t="shared" si="4"/>
        <v>100</v>
      </c>
      <c r="N64" s="234">
        <f t="shared" ref="N64:N115" si="5">K64+L64+M64</f>
        <v>100</v>
      </c>
      <c r="O64" s="212"/>
      <c r="P64" s="213"/>
      <c r="Q64" s="213">
        <v>45.2</v>
      </c>
      <c r="R64" s="214">
        <f t="shared" si="3"/>
        <v>45.2</v>
      </c>
      <c r="S64" s="170">
        <v>4</v>
      </c>
      <c r="T64" s="283"/>
      <c r="U64" s="281"/>
      <c r="V64" s="177" t="s">
        <v>480</v>
      </c>
      <c r="W64" s="170" t="s">
        <v>20</v>
      </c>
      <c r="X64" s="170" t="s">
        <v>12</v>
      </c>
      <c r="Y64" s="178">
        <v>45.2</v>
      </c>
      <c r="AD64" s="177"/>
      <c r="AG64" s="178"/>
      <c r="AH64" s="252"/>
      <c r="AL64" s="177"/>
      <c r="AO64" s="178"/>
      <c r="AP64" s="177"/>
      <c r="AS64" s="178"/>
      <c r="AW64" s="178"/>
      <c r="BA64" s="179"/>
    </row>
    <row r="65" spans="1:53" s="170" customFormat="1" x14ac:dyDescent="0.15">
      <c r="A65" s="215">
        <v>1987</v>
      </c>
      <c r="B65" s="281"/>
      <c r="C65" s="395" t="s">
        <v>625</v>
      </c>
      <c r="D65" s="395"/>
      <c r="E65" s="170">
        <v>365</v>
      </c>
      <c r="G65" s="232"/>
      <c r="I65" s="170">
        <v>18</v>
      </c>
      <c r="J65" s="240">
        <v>18</v>
      </c>
      <c r="K65" s="213">
        <f t="shared" si="4"/>
        <v>0</v>
      </c>
      <c r="L65" s="213">
        <f t="shared" si="4"/>
        <v>0</v>
      </c>
      <c r="M65" s="213">
        <f t="shared" si="4"/>
        <v>100</v>
      </c>
      <c r="N65" s="234">
        <f t="shared" si="5"/>
        <v>100</v>
      </c>
      <c r="O65" s="212"/>
      <c r="P65" s="213"/>
      <c r="Q65" s="213">
        <v>45.2</v>
      </c>
      <c r="R65" s="214">
        <f t="shared" si="3"/>
        <v>45.2</v>
      </c>
      <c r="S65" s="170">
        <v>4</v>
      </c>
      <c r="T65" s="283"/>
      <c r="U65" s="281"/>
      <c r="V65" s="177" t="s">
        <v>480</v>
      </c>
      <c r="W65" s="170" t="s">
        <v>20</v>
      </c>
      <c r="X65" s="170" t="s">
        <v>12</v>
      </c>
      <c r="Y65" s="178">
        <v>45.2</v>
      </c>
      <c r="AD65" s="177"/>
      <c r="AG65" s="178"/>
      <c r="AH65" s="252"/>
      <c r="AL65" s="177"/>
      <c r="AO65" s="178"/>
      <c r="AP65" s="177"/>
      <c r="AS65" s="178"/>
      <c r="AW65" s="178"/>
      <c r="BA65" s="179"/>
    </row>
    <row r="66" spans="1:53" s="170" customFormat="1" x14ac:dyDescent="0.15">
      <c r="A66" s="215">
        <v>1988</v>
      </c>
      <c r="B66" s="281"/>
      <c r="C66" s="395" t="s">
        <v>625</v>
      </c>
      <c r="D66" s="395"/>
      <c r="E66" s="170">
        <v>0</v>
      </c>
      <c r="G66" s="232"/>
      <c r="I66" s="170">
        <v>18</v>
      </c>
      <c r="J66" s="240">
        <v>18</v>
      </c>
      <c r="K66" s="213">
        <f t="shared" si="4"/>
        <v>0</v>
      </c>
      <c r="L66" s="213">
        <f t="shared" si="4"/>
        <v>0</v>
      </c>
      <c r="M66" s="213">
        <f t="shared" si="4"/>
        <v>100</v>
      </c>
      <c r="N66" s="234">
        <f t="shared" si="5"/>
        <v>100</v>
      </c>
      <c r="O66" s="212"/>
      <c r="P66" s="213"/>
      <c r="Q66" s="213">
        <v>45.2</v>
      </c>
      <c r="R66" s="214">
        <f t="shared" si="3"/>
        <v>45.2</v>
      </c>
      <c r="S66" s="170">
        <v>4</v>
      </c>
      <c r="T66" s="283"/>
      <c r="U66" s="281"/>
      <c r="V66" s="177" t="s">
        <v>480</v>
      </c>
      <c r="W66" s="170" t="s">
        <v>20</v>
      </c>
      <c r="X66" s="170" t="s">
        <v>12</v>
      </c>
      <c r="Y66" s="178">
        <v>45.2</v>
      </c>
      <c r="AD66" s="177"/>
      <c r="AG66" s="178"/>
      <c r="AH66" s="252"/>
      <c r="AL66" s="177"/>
      <c r="AO66" s="178"/>
      <c r="AP66" s="177"/>
      <c r="AS66" s="178"/>
      <c r="AW66" s="178"/>
      <c r="BA66" s="179"/>
    </row>
    <row r="67" spans="1:53" s="170" customFormat="1" x14ac:dyDescent="0.15">
      <c r="A67" s="215">
        <v>1988</v>
      </c>
      <c r="B67" s="281"/>
      <c r="C67" s="395" t="s">
        <v>625</v>
      </c>
      <c r="D67" s="395"/>
      <c r="E67" s="170">
        <v>366</v>
      </c>
      <c r="G67" s="232"/>
      <c r="I67" s="170">
        <v>18</v>
      </c>
      <c r="J67" s="240">
        <v>18</v>
      </c>
      <c r="K67" s="213">
        <f t="shared" si="4"/>
        <v>0</v>
      </c>
      <c r="L67" s="213">
        <f t="shared" si="4"/>
        <v>0</v>
      </c>
      <c r="M67" s="213">
        <f t="shared" si="4"/>
        <v>100</v>
      </c>
      <c r="N67" s="234">
        <f t="shared" si="5"/>
        <v>100</v>
      </c>
      <c r="O67" s="212"/>
      <c r="P67" s="213"/>
      <c r="Q67" s="213">
        <v>45.2</v>
      </c>
      <c r="R67" s="214">
        <f t="shared" si="3"/>
        <v>45.2</v>
      </c>
      <c r="S67" s="170">
        <v>4</v>
      </c>
      <c r="T67" s="283"/>
      <c r="U67" s="281"/>
      <c r="V67" s="177" t="s">
        <v>480</v>
      </c>
      <c r="W67" s="170" t="s">
        <v>20</v>
      </c>
      <c r="X67" s="170" t="s">
        <v>12</v>
      </c>
      <c r="Y67" s="178">
        <v>45.2</v>
      </c>
      <c r="AD67" s="177"/>
      <c r="AG67" s="178"/>
      <c r="AH67" s="252"/>
      <c r="AL67" s="177"/>
      <c r="AO67" s="178"/>
      <c r="AP67" s="177"/>
      <c r="AS67" s="178"/>
      <c r="AW67" s="178"/>
      <c r="BA67" s="179"/>
    </row>
    <row r="68" spans="1:53" s="170" customFormat="1" x14ac:dyDescent="0.15">
      <c r="A68" s="215">
        <v>1989</v>
      </c>
      <c r="B68" s="281"/>
      <c r="C68" s="395" t="s">
        <v>625</v>
      </c>
      <c r="D68" s="395"/>
      <c r="E68" s="170">
        <v>288</v>
      </c>
      <c r="G68" s="232"/>
      <c r="I68" s="170">
        <v>18</v>
      </c>
      <c r="J68" s="240">
        <v>18</v>
      </c>
      <c r="K68" s="213">
        <f t="shared" si="4"/>
        <v>0</v>
      </c>
      <c r="L68" s="213">
        <f t="shared" si="4"/>
        <v>0</v>
      </c>
      <c r="M68" s="213">
        <f t="shared" si="4"/>
        <v>100</v>
      </c>
      <c r="N68" s="234">
        <f t="shared" si="5"/>
        <v>100</v>
      </c>
      <c r="O68" s="212"/>
      <c r="P68" s="213"/>
      <c r="Q68" s="213">
        <v>45.2</v>
      </c>
      <c r="R68" s="214">
        <f t="shared" si="3"/>
        <v>45.2</v>
      </c>
      <c r="S68" s="170">
        <v>4</v>
      </c>
      <c r="T68" s="283"/>
      <c r="U68" s="281"/>
      <c r="V68" s="177" t="s">
        <v>480</v>
      </c>
      <c r="W68" s="170" t="s">
        <v>20</v>
      </c>
      <c r="X68" s="170" t="s">
        <v>12</v>
      </c>
      <c r="Y68" s="178">
        <v>45.2</v>
      </c>
      <c r="AD68" s="177"/>
      <c r="AG68" s="178"/>
      <c r="AH68" s="252"/>
      <c r="AL68" s="177"/>
      <c r="AO68" s="178"/>
      <c r="AP68" s="177"/>
      <c r="AS68" s="178"/>
      <c r="AW68" s="178"/>
      <c r="BA68" s="179"/>
    </row>
    <row r="69" spans="1:53" s="73" customFormat="1" x14ac:dyDescent="0.15">
      <c r="A69" s="91">
        <v>1989</v>
      </c>
      <c r="B69" s="300">
        <v>32797</v>
      </c>
      <c r="C69" s="426" t="s">
        <v>814</v>
      </c>
      <c r="D69" s="426"/>
      <c r="E69" s="73">
        <f>365-E68</f>
        <v>77</v>
      </c>
      <c r="F69" s="73">
        <v>1</v>
      </c>
      <c r="G69" s="74">
        <v>8</v>
      </c>
      <c r="H69" s="73">
        <v>10</v>
      </c>
      <c r="J69" s="75">
        <v>18</v>
      </c>
      <c r="K69" s="76">
        <f t="shared" si="4"/>
        <v>44.444444444444443</v>
      </c>
      <c r="L69" s="76">
        <f t="shared" si="4"/>
        <v>55.555555555555557</v>
      </c>
      <c r="M69" s="76">
        <f t="shared" si="4"/>
        <v>0</v>
      </c>
      <c r="N69" s="77">
        <f t="shared" si="5"/>
        <v>100</v>
      </c>
      <c r="O69" s="78">
        <v>22.4</v>
      </c>
      <c r="P69" s="76">
        <v>15.2</v>
      </c>
      <c r="Q69" s="76"/>
      <c r="R69" s="79">
        <f t="shared" si="3"/>
        <v>37.599999999999994</v>
      </c>
      <c r="S69" s="73">
        <v>5</v>
      </c>
      <c r="T69" s="302">
        <v>32761</v>
      </c>
      <c r="U69" s="300">
        <v>32797</v>
      </c>
      <c r="V69" s="80" t="s">
        <v>481</v>
      </c>
      <c r="W69" s="73" t="s">
        <v>74</v>
      </c>
      <c r="X69" s="73" t="s">
        <v>11</v>
      </c>
      <c r="Y69" s="81">
        <v>22.4</v>
      </c>
      <c r="Z69" s="80" t="s">
        <v>83</v>
      </c>
      <c r="AA69" s="73" t="s">
        <v>869</v>
      </c>
      <c r="AB69" s="73" t="s">
        <v>18</v>
      </c>
      <c r="AC69" s="73">
        <v>6.7</v>
      </c>
      <c r="AD69" s="80" t="s">
        <v>264</v>
      </c>
      <c r="AE69" s="73" t="s">
        <v>17</v>
      </c>
      <c r="AF69" s="73" t="s">
        <v>18</v>
      </c>
      <c r="AG69" s="81">
        <v>8.5</v>
      </c>
      <c r="AH69" s="112"/>
      <c r="AL69" s="80"/>
      <c r="AO69" s="81"/>
      <c r="AP69" s="80"/>
      <c r="AS69" s="81"/>
      <c r="AW69" s="81"/>
      <c r="BA69" s="82"/>
    </row>
    <row r="70" spans="1:53" s="28" customFormat="1" x14ac:dyDescent="0.15">
      <c r="A70" s="28">
        <v>1990</v>
      </c>
      <c r="B70" s="293"/>
      <c r="C70" s="394" t="s">
        <v>814</v>
      </c>
      <c r="D70" s="394"/>
      <c r="E70" s="28">
        <v>306</v>
      </c>
      <c r="G70" s="65">
        <v>8</v>
      </c>
      <c r="H70" s="28">
        <v>10</v>
      </c>
      <c r="J70" s="72">
        <v>18</v>
      </c>
      <c r="K70" s="45">
        <f t="shared" si="4"/>
        <v>44.444444444444443</v>
      </c>
      <c r="L70" s="46">
        <f t="shared" si="4"/>
        <v>55.555555555555557</v>
      </c>
      <c r="M70" s="28">
        <f t="shared" si="4"/>
        <v>0</v>
      </c>
      <c r="N70" s="47">
        <f t="shared" si="5"/>
        <v>100</v>
      </c>
      <c r="O70" s="45">
        <v>22.4</v>
      </c>
      <c r="P70" s="46">
        <v>15.2</v>
      </c>
      <c r="Q70" s="46"/>
      <c r="R70" s="47">
        <f t="shared" si="3"/>
        <v>37.599999999999994</v>
      </c>
      <c r="S70" s="28">
        <v>5</v>
      </c>
      <c r="T70" s="284"/>
      <c r="U70" s="293"/>
      <c r="V70" s="37" t="s">
        <v>481</v>
      </c>
      <c r="W70" s="28" t="s">
        <v>74</v>
      </c>
      <c r="X70" s="28" t="s">
        <v>11</v>
      </c>
      <c r="Y70" s="38">
        <v>22.4</v>
      </c>
      <c r="Z70" s="37" t="s">
        <v>83</v>
      </c>
      <c r="AA70" s="28" t="s">
        <v>869</v>
      </c>
      <c r="AB70" s="28" t="s">
        <v>18</v>
      </c>
      <c r="AC70" s="28">
        <v>6.7</v>
      </c>
      <c r="AD70" s="37" t="s">
        <v>264</v>
      </c>
      <c r="AE70" s="28" t="s">
        <v>17</v>
      </c>
      <c r="AF70" s="28" t="s">
        <v>18</v>
      </c>
      <c r="AG70" s="38">
        <v>8.5</v>
      </c>
      <c r="AH70" s="93"/>
      <c r="AL70" s="37"/>
      <c r="AO70" s="38"/>
      <c r="AP70" s="37"/>
      <c r="AS70" s="38"/>
      <c r="AW70" s="38"/>
      <c r="BA70" s="39"/>
    </row>
    <row r="71" spans="1:53" s="170" customFormat="1" x14ac:dyDescent="0.15">
      <c r="A71" s="170">
        <v>1990</v>
      </c>
      <c r="B71" s="281">
        <v>33180</v>
      </c>
      <c r="C71" s="395" t="s">
        <v>815</v>
      </c>
      <c r="D71" s="395"/>
      <c r="E71" s="170">
        <f>365-E70</f>
        <v>59</v>
      </c>
      <c r="F71" s="170">
        <v>5</v>
      </c>
      <c r="G71" s="232"/>
      <c r="I71" s="170">
        <v>19</v>
      </c>
      <c r="J71" s="240">
        <v>19</v>
      </c>
      <c r="K71" s="213">
        <f t="shared" si="4"/>
        <v>0</v>
      </c>
      <c r="L71" s="213">
        <f t="shared" si="4"/>
        <v>0</v>
      </c>
      <c r="M71" s="213">
        <f t="shared" si="4"/>
        <v>100</v>
      </c>
      <c r="N71" s="234">
        <f t="shared" si="5"/>
        <v>100</v>
      </c>
      <c r="O71" s="212"/>
      <c r="P71" s="213"/>
      <c r="Q71" s="213">
        <v>38.200000000000003</v>
      </c>
      <c r="R71" s="214">
        <f t="shared" si="3"/>
        <v>38.200000000000003</v>
      </c>
      <c r="S71" s="170">
        <v>4</v>
      </c>
      <c r="T71" s="283"/>
      <c r="U71" s="281">
        <v>33180</v>
      </c>
      <c r="V71" s="177" t="s">
        <v>480</v>
      </c>
      <c r="W71" s="170" t="s">
        <v>20</v>
      </c>
      <c r="X71" s="170" t="s">
        <v>12</v>
      </c>
      <c r="Y71" s="178">
        <v>38.200000000000003</v>
      </c>
      <c r="AD71" s="177"/>
      <c r="AG71" s="178"/>
      <c r="AH71" s="252"/>
      <c r="AL71" s="177"/>
      <c r="AO71" s="178"/>
      <c r="AP71" s="177"/>
      <c r="AS71" s="178"/>
      <c r="AW71" s="178"/>
      <c r="BA71" s="179"/>
    </row>
    <row r="72" spans="1:53" s="170" customFormat="1" x14ac:dyDescent="0.15">
      <c r="A72" s="170">
        <v>1991</v>
      </c>
      <c r="B72" s="281"/>
      <c r="C72" s="395" t="s">
        <v>815</v>
      </c>
      <c r="D72" s="395"/>
      <c r="E72" s="170">
        <v>0</v>
      </c>
      <c r="G72" s="232"/>
      <c r="I72" s="170">
        <v>19</v>
      </c>
      <c r="J72" s="240">
        <v>19</v>
      </c>
      <c r="K72" s="213">
        <f t="shared" si="4"/>
        <v>0</v>
      </c>
      <c r="L72" s="213">
        <f t="shared" si="4"/>
        <v>0</v>
      </c>
      <c r="M72" s="213">
        <f t="shared" si="4"/>
        <v>100</v>
      </c>
      <c r="N72" s="234">
        <f t="shared" si="5"/>
        <v>100</v>
      </c>
      <c r="O72" s="212"/>
      <c r="P72" s="213"/>
      <c r="Q72" s="213">
        <v>38.200000000000003</v>
      </c>
      <c r="R72" s="214">
        <f t="shared" si="3"/>
        <v>38.200000000000003</v>
      </c>
      <c r="S72" s="170">
        <v>4</v>
      </c>
      <c r="T72" s="283"/>
      <c r="U72" s="281"/>
      <c r="V72" s="177" t="s">
        <v>480</v>
      </c>
      <c r="W72" s="170" t="s">
        <v>20</v>
      </c>
      <c r="X72" s="170" t="s">
        <v>12</v>
      </c>
      <c r="Y72" s="178">
        <v>38.200000000000003</v>
      </c>
      <c r="AD72" s="177"/>
      <c r="AG72" s="178"/>
      <c r="AH72" s="252"/>
      <c r="AL72" s="177"/>
      <c r="AO72" s="178"/>
      <c r="AP72" s="177"/>
      <c r="AS72" s="178"/>
      <c r="AW72" s="178"/>
      <c r="BA72" s="179"/>
    </row>
    <row r="73" spans="1:53" s="170" customFormat="1" x14ac:dyDescent="0.15">
      <c r="A73" s="170">
        <v>1991</v>
      </c>
      <c r="B73" s="281"/>
      <c r="C73" s="395" t="s">
        <v>815</v>
      </c>
      <c r="D73" s="395"/>
      <c r="E73" s="170">
        <f>365-E72</f>
        <v>365</v>
      </c>
      <c r="G73" s="232"/>
      <c r="I73" s="170">
        <v>19</v>
      </c>
      <c r="J73" s="240">
        <v>19</v>
      </c>
      <c r="K73" s="213">
        <f t="shared" si="4"/>
        <v>0</v>
      </c>
      <c r="L73" s="213">
        <f t="shared" si="4"/>
        <v>0</v>
      </c>
      <c r="M73" s="213">
        <f t="shared" si="4"/>
        <v>100</v>
      </c>
      <c r="N73" s="234">
        <f t="shared" si="5"/>
        <v>100</v>
      </c>
      <c r="O73" s="212"/>
      <c r="P73" s="213"/>
      <c r="Q73" s="213">
        <v>38.200000000000003</v>
      </c>
      <c r="R73" s="214">
        <f t="shared" ref="R73:R117" si="6">O73+P73+Q73</f>
        <v>38.200000000000003</v>
      </c>
      <c r="S73" s="170">
        <v>4</v>
      </c>
      <c r="T73" s="283"/>
      <c r="U73" s="281"/>
      <c r="V73" s="177" t="s">
        <v>480</v>
      </c>
      <c r="W73" s="170" t="s">
        <v>20</v>
      </c>
      <c r="X73" s="170" t="s">
        <v>12</v>
      </c>
      <c r="Y73" s="178">
        <v>38.200000000000003</v>
      </c>
      <c r="AD73" s="177"/>
      <c r="AG73" s="178"/>
      <c r="AH73" s="252"/>
      <c r="AL73" s="177"/>
      <c r="AO73" s="178"/>
      <c r="AP73" s="177"/>
      <c r="AS73" s="178"/>
      <c r="AW73" s="178"/>
      <c r="BA73" s="179"/>
    </row>
    <row r="74" spans="1:53" s="170" customFormat="1" x14ac:dyDescent="0.15">
      <c r="A74" s="170">
        <v>1992</v>
      </c>
      <c r="B74" s="281"/>
      <c r="C74" s="395" t="s">
        <v>815</v>
      </c>
      <c r="D74" s="395"/>
      <c r="E74" s="170">
        <v>0</v>
      </c>
      <c r="G74" s="232"/>
      <c r="I74" s="170">
        <v>19</v>
      </c>
      <c r="J74" s="240">
        <v>19</v>
      </c>
      <c r="K74" s="213">
        <f t="shared" si="4"/>
        <v>0</v>
      </c>
      <c r="L74" s="213">
        <f t="shared" si="4"/>
        <v>0</v>
      </c>
      <c r="M74" s="213">
        <f t="shared" si="4"/>
        <v>100</v>
      </c>
      <c r="N74" s="234">
        <f t="shared" si="5"/>
        <v>100</v>
      </c>
      <c r="O74" s="212"/>
      <c r="P74" s="213"/>
      <c r="Q74" s="213">
        <v>38.200000000000003</v>
      </c>
      <c r="R74" s="214">
        <f t="shared" si="6"/>
        <v>38.200000000000003</v>
      </c>
      <c r="S74" s="170">
        <v>4</v>
      </c>
      <c r="T74" s="283"/>
      <c r="U74" s="281"/>
      <c r="V74" s="177" t="s">
        <v>480</v>
      </c>
      <c r="W74" s="170" t="s">
        <v>20</v>
      </c>
      <c r="X74" s="170" t="s">
        <v>12</v>
      </c>
      <c r="Y74" s="178">
        <v>38.200000000000003</v>
      </c>
      <c r="AD74" s="177"/>
      <c r="AG74" s="178"/>
      <c r="AH74" s="252"/>
      <c r="AL74" s="177"/>
      <c r="AO74" s="178"/>
      <c r="AP74" s="177"/>
      <c r="AS74" s="178"/>
      <c r="AW74" s="178"/>
      <c r="BA74" s="179"/>
    </row>
    <row r="75" spans="1:53" s="170" customFormat="1" x14ac:dyDescent="0.15">
      <c r="A75" s="170">
        <v>1992</v>
      </c>
      <c r="B75" s="281"/>
      <c r="C75" s="395" t="s">
        <v>815</v>
      </c>
      <c r="D75" s="395"/>
      <c r="E75" s="170">
        <v>366</v>
      </c>
      <c r="G75" s="232"/>
      <c r="I75" s="170">
        <v>19</v>
      </c>
      <c r="J75" s="240">
        <v>19</v>
      </c>
      <c r="K75" s="213">
        <f t="shared" si="4"/>
        <v>0</v>
      </c>
      <c r="L75" s="213">
        <f t="shared" si="4"/>
        <v>0</v>
      </c>
      <c r="M75" s="213">
        <f t="shared" si="4"/>
        <v>100</v>
      </c>
      <c r="N75" s="234">
        <f t="shared" si="5"/>
        <v>100</v>
      </c>
      <c r="O75" s="212"/>
      <c r="P75" s="213"/>
      <c r="Q75" s="213">
        <v>38.200000000000003</v>
      </c>
      <c r="R75" s="214">
        <f t="shared" si="6"/>
        <v>38.200000000000003</v>
      </c>
      <c r="S75" s="170">
        <v>4</v>
      </c>
      <c r="T75" s="283"/>
      <c r="U75" s="281"/>
      <c r="V75" s="177" t="s">
        <v>480</v>
      </c>
      <c r="W75" s="170" t="s">
        <v>20</v>
      </c>
      <c r="X75" s="170" t="s">
        <v>12</v>
      </c>
      <c r="Y75" s="178">
        <v>38.200000000000003</v>
      </c>
      <c r="AD75" s="177"/>
      <c r="AG75" s="178"/>
      <c r="AH75" s="252"/>
      <c r="AL75" s="177"/>
      <c r="AO75" s="178"/>
      <c r="AP75" s="177"/>
      <c r="AS75" s="178"/>
      <c r="AW75" s="178"/>
      <c r="BA75" s="179"/>
    </row>
    <row r="76" spans="1:53" s="170" customFormat="1" x14ac:dyDescent="0.15">
      <c r="A76" s="170">
        <v>1993</v>
      </c>
      <c r="B76" s="281"/>
      <c r="C76" s="395" t="s">
        <v>815</v>
      </c>
      <c r="D76" s="395"/>
      <c r="E76" s="170">
        <v>256</v>
      </c>
      <c r="G76" s="232"/>
      <c r="I76" s="170">
        <v>19</v>
      </c>
      <c r="J76" s="240">
        <v>19</v>
      </c>
      <c r="K76" s="213">
        <f t="shared" si="4"/>
        <v>0</v>
      </c>
      <c r="L76" s="213">
        <f t="shared" si="4"/>
        <v>0</v>
      </c>
      <c r="M76" s="213">
        <f t="shared" si="4"/>
        <v>100</v>
      </c>
      <c r="N76" s="234">
        <f t="shared" si="5"/>
        <v>100</v>
      </c>
      <c r="O76" s="212"/>
      <c r="P76" s="213"/>
      <c r="Q76" s="213">
        <v>38.200000000000003</v>
      </c>
      <c r="R76" s="214">
        <f t="shared" si="6"/>
        <v>38.200000000000003</v>
      </c>
      <c r="S76" s="170">
        <v>4</v>
      </c>
      <c r="T76" s="283"/>
      <c r="U76" s="281"/>
      <c r="V76" s="177" t="s">
        <v>480</v>
      </c>
      <c r="W76" s="170" t="s">
        <v>20</v>
      </c>
      <c r="X76" s="170" t="s">
        <v>12</v>
      </c>
      <c r="Y76" s="178">
        <v>38.200000000000003</v>
      </c>
      <c r="AD76" s="177"/>
      <c r="AG76" s="178"/>
      <c r="AH76" s="252"/>
      <c r="AL76" s="177"/>
      <c r="AO76" s="178"/>
      <c r="AP76" s="177"/>
      <c r="AS76" s="178"/>
      <c r="AW76" s="178"/>
      <c r="BA76" s="179"/>
    </row>
    <row r="77" spans="1:53" s="28" customFormat="1" x14ac:dyDescent="0.15">
      <c r="A77" s="28">
        <v>1993</v>
      </c>
      <c r="B77" s="293">
        <v>34226</v>
      </c>
      <c r="C77" s="394" t="s">
        <v>1353</v>
      </c>
      <c r="D77" s="394"/>
      <c r="E77" s="28">
        <f>365-E76</f>
        <v>109</v>
      </c>
      <c r="F77" s="28">
        <v>1</v>
      </c>
      <c r="G77" s="65"/>
      <c r="I77" s="28">
        <v>19</v>
      </c>
      <c r="J77" s="72">
        <v>19</v>
      </c>
      <c r="K77" s="46">
        <f t="shared" si="4"/>
        <v>0</v>
      </c>
      <c r="L77" s="46">
        <f t="shared" si="4"/>
        <v>0</v>
      </c>
      <c r="M77" s="46">
        <f t="shared" si="4"/>
        <v>100</v>
      </c>
      <c r="N77" s="67">
        <f t="shared" si="5"/>
        <v>100</v>
      </c>
      <c r="O77" s="45"/>
      <c r="P77" s="46"/>
      <c r="Q77" s="46">
        <v>40.6</v>
      </c>
      <c r="R77" s="47">
        <f t="shared" si="6"/>
        <v>40.6</v>
      </c>
      <c r="S77" s="28">
        <v>4</v>
      </c>
      <c r="T77" s="284">
        <v>34224</v>
      </c>
      <c r="U77" s="293">
        <v>34226</v>
      </c>
      <c r="V77" s="37" t="s">
        <v>480</v>
      </c>
      <c r="W77" s="28" t="s">
        <v>20</v>
      </c>
      <c r="X77" s="28" t="s">
        <v>12</v>
      </c>
      <c r="Y77" s="38">
        <v>40.6</v>
      </c>
      <c r="AD77" s="37"/>
      <c r="AG77" s="38"/>
      <c r="AH77" s="93"/>
      <c r="AL77" s="37"/>
      <c r="AO77" s="38"/>
      <c r="AP77" s="37"/>
      <c r="AS77" s="38"/>
      <c r="AW77" s="38"/>
      <c r="BA77" s="39"/>
    </row>
    <row r="78" spans="1:53" s="28" customFormat="1" x14ac:dyDescent="0.15">
      <c r="A78" s="28">
        <v>1994</v>
      </c>
      <c r="B78" s="293"/>
      <c r="C78" s="394" t="s">
        <v>1353</v>
      </c>
      <c r="D78" s="394"/>
      <c r="E78" s="28">
        <v>0</v>
      </c>
      <c r="G78" s="65"/>
      <c r="I78" s="28">
        <v>18</v>
      </c>
      <c r="J78" s="72">
        <v>18</v>
      </c>
      <c r="K78" s="46">
        <f t="shared" si="4"/>
        <v>0</v>
      </c>
      <c r="L78" s="46">
        <f t="shared" si="4"/>
        <v>0</v>
      </c>
      <c r="M78" s="46">
        <f t="shared" si="4"/>
        <v>100</v>
      </c>
      <c r="N78" s="67">
        <f t="shared" si="5"/>
        <v>100</v>
      </c>
      <c r="O78" s="45"/>
      <c r="P78" s="46"/>
      <c r="Q78" s="46">
        <v>40.6</v>
      </c>
      <c r="R78" s="47">
        <f t="shared" si="6"/>
        <v>40.6</v>
      </c>
      <c r="S78" s="28">
        <v>4</v>
      </c>
      <c r="T78" s="284"/>
      <c r="U78" s="293"/>
      <c r="V78" s="37" t="s">
        <v>480</v>
      </c>
      <c r="W78" s="28" t="s">
        <v>20</v>
      </c>
      <c r="X78" s="28" t="s">
        <v>12</v>
      </c>
      <c r="Y78" s="38">
        <v>40.6</v>
      </c>
      <c r="AD78" s="37"/>
      <c r="AG78" s="38"/>
      <c r="AH78" s="93"/>
      <c r="AL78" s="37"/>
      <c r="AO78" s="38"/>
      <c r="AP78" s="37"/>
      <c r="AS78" s="38"/>
      <c r="AW78" s="38"/>
      <c r="BA78" s="39"/>
    </row>
    <row r="79" spans="1:53" s="28" customFormat="1" x14ac:dyDescent="0.15">
      <c r="A79" s="28">
        <v>1994</v>
      </c>
      <c r="B79" s="293"/>
      <c r="C79" s="394" t="s">
        <v>1353</v>
      </c>
      <c r="D79" s="394"/>
      <c r="E79" s="28">
        <f>365-E78</f>
        <v>365</v>
      </c>
      <c r="G79" s="65"/>
      <c r="I79" s="28">
        <v>18</v>
      </c>
      <c r="J79" s="72">
        <v>18</v>
      </c>
      <c r="K79" s="46">
        <f t="shared" si="4"/>
        <v>0</v>
      </c>
      <c r="L79" s="46">
        <f t="shared" si="4"/>
        <v>0</v>
      </c>
      <c r="M79" s="46">
        <f t="shared" si="4"/>
        <v>100</v>
      </c>
      <c r="N79" s="67">
        <f t="shared" si="5"/>
        <v>100</v>
      </c>
      <c r="O79" s="45"/>
      <c r="P79" s="46"/>
      <c r="Q79" s="46">
        <v>40.6</v>
      </c>
      <c r="R79" s="47">
        <f t="shared" si="6"/>
        <v>40.6</v>
      </c>
      <c r="S79" s="28">
        <v>4</v>
      </c>
      <c r="T79" s="284"/>
      <c r="U79" s="293"/>
      <c r="V79" s="37" t="s">
        <v>480</v>
      </c>
      <c r="W79" s="28" t="s">
        <v>20</v>
      </c>
      <c r="X79" s="28" t="s">
        <v>12</v>
      </c>
      <c r="Y79" s="38">
        <v>40.6</v>
      </c>
      <c r="AD79" s="37"/>
      <c r="AG79" s="38"/>
      <c r="AH79" s="93"/>
      <c r="AL79" s="37"/>
      <c r="AO79" s="38"/>
      <c r="AP79" s="37"/>
      <c r="AS79" s="38"/>
      <c r="AW79" s="38"/>
      <c r="BA79" s="39"/>
    </row>
    <row r="80" spans="1:53" s="28" customFormat="1" x14ac:dyDescent="0.15">
      <c r="A80" s="28">
        <v>1995</v>
      </c>
      <c r="B80" s="293"/>
      <c r="C80" s="394" t="s">
        <v>1353</v>
      </c>
      <c r="D80" s="394"/>
      <c r="E80" s="28">
        <v>0</v>
      </c>
      <c r="G80" s="65"/>
      <c r="I80" s="28">
        <v>18</v>
      </c>
      <c r="J80" s="72">
        <v>18</v>
      </c>
      <c r="K80" s="46">
        <f t="shared" si="4"/>
        <v>0</v>
      </c>
      <c r="L80" s="46">
        <f t="shared" si="4"/>
        <v>0</v>
      </c>
      <c r="M80" s="46">
        <f t="shared" si="4"/>
        <v>100</v>
      </c>
      <c r="N80" s="67">
        <f t="shared" si="5"/>
        <v>100</v>
      </c>
      <c r="O80" s="45"/>
      <c r="P80" s="46"/>
      <c r="Q80" s="46">
        <v>40.6</v>
      </c>
      <c r="R80" s="47">
        <f t="shared" si="6"/>
        <v>40.6</v>
      </c>
      <c r="S80" s="28">
        <v>4</v>
      </c>
      <c r="T80" s="284"/>
      <c r="U80" s="293"/>
      <c r="V80" s="37" t="s">
        <v>480</v>
      </c>
      <c r="W80" s="28" t="s">
        <v>20</v>
      </c>
      <c r="X80" s="28" t="s">
        <v>12</v>
      </c>
      <c r="Y80" s="38">
        <v>40.6</v>
      </c>
      <c r="AD80" s="37"/>
      <c r="AG80" s="38"/>
      <c r="AH80" s="93"/>
      <c r="AL80" s="37"/>
      <c r="AO80" s="38"/>
      <c r="AP80" s="37"/>
      <c r="AS80" s="38"/>
      <c r="AW80" s="38"/>
      <c r="BA80" s="39"/>
    </row>
    <row r="81" spans="1:53" s="28" customFormat="1" x14ac:dyDescent="0.15">
      <c r="A81" s="28">
        <v>1995</v>
      </c>
      <c r="B81" s="293"/>
      <c r="C81" s="394" t="s">
        <v>1353</v>
      </c>
      <c r="D81" s="394"/>
      <c r="E81" s="28">
        <f>365-E80</f>
        <v>365</v>
      </c>
      <c r="G81" s="65"/>
      <c r="I81" s="28">
        <v>18</v>
      </c>
      <c r="J81" s="72">
        <v>18</v>
      </c>
      <c r="K81" s="46">
        <f t="shared" si="4"/>
        <v>0</v>
      </c>
      <c r="L81" s="46">
        <f t="shared" si="4"/>
        <v>0</v>
      </c>
      <c r="M81" s="46">
        <f t="shared" si="4"/>
        <v>100</v>
      </c>
      <c r="N81" s="67">
        <f t="shared" si="5"/>
        <v>100</v>
      </c>
      <c r="O81" s="45"/>
      <c r="P81" s="46"/>
      <c r="Q81" s="46">
        <v>40.6</v>
      </c>
      <c r="R81" s="47">
        <f t="shared" si="6"/>
        <v>40.6</v>
      </c>
      <c r="S81" s="28">
        <v>4</v>
      </c>
      <c r="T81" s="284"/>
      <c r="U81" s="293"/>
      <c r="V81" s="37" t="s">
        <v>480</v>
      </c>
      <c r="W81" s="28" t="s">
        <v>20</v>
      </c>
      <c r="X81" s="28" t="s">
        <v>12</v>
      </c>
      <c r="Y81" s="38">
        <v>40.6</v>
      </c>
      <c r="AD81" s="37"/>
      <c r="AG81" s="38"/>
      <c r="AH81" s="93"/>
      <c r="AL81" s="37"/>
      <c r="AO81" s="38"/>
      <c r="AP81" s="37"/>
      <c r="AS81" s="38"/>
      <c r="AW81" s="38"/>
      <c r="BA81" s="39"/>
    </row>
    <row r="82" spans="1:53" s="28" customFormat="1" x14ac:dyDescent="0.15">
      <c r="A82" s="28">
        <v>1996</v>
      </c>
      <c r="B82" s="293"/>
      <c r="C82" s="394" t="s">
        <v>1353</v>
      </c>
      <c r="D82" s="394"/>
      <c r="E82" s="28">
        <v>298</v>
      </c>
      <c r="F82" s="83"/>
      <c r="G82" s="65"/>
      <c r="I82" s="28">
        <v>18</v>
      </c>
      <c r="J82" s="72">
        <v>18</v>
      </c>
      <c r="K82" s="46">
        <f t="shared" si="4"/>
        <v>0</v>
      </c>
      <c r="L82" s="46">
        <f t="shared" si="4"/>
        <v>0</v>
      </c>
      <c r="M82" s="46">
        <f t="shared" si="4"/>
        <v>100</v>
      </c>
      <c r="N82" s="67">
        <f t="shared" si="5"/>
        <v>100</v>
      </c>
      <c r="O82" s="45"/>
      <c r="P82" s="46"/>
      <c r="Q82" s="46">
        <v>40.6</v>
      </c>
      <c r="R82" s="47">
        <f t="shared" si="6"/>
        <v>40.6</v>
      </c>
      <c r="S82" s="28">
        <v>4</v>
      </c>
      <c r="T82" s="284"/>
      <c r="U82" s="293"/>
      <c r="V82" s="37" t="s">
        <v>480</v>
      </c>
      <c r="W82" s="28" t="s">
        <v>20</v>
      </c>
      <c r="X82" s="28" t="s">
        <v>12</v>
      </c>
      <c r="Y82" s="38">
        <v>40.6</v>
      </c>
      <c r="AD82" s="37"/>
      <c r="AG82" s="38"/>
      <c r="AH82" s="93"/>
      <c r="AL82" s="37"/>
      <c r="AO82" s="38"/>
      <c r="AP82" s="37"/>
      <c r="AS82" s="38"/>
      <c r="AW82" s="38"/>
      <c r="BA82" s="39"/>
    </row>
    <row r="83" spans="1:53" s="170" customFormat="1" x14ac:dyDescent="0.15">
      <c r="A83" s="170">
        <v>1996</v>
      </c>
      <c r="B83" s="281">
        <v>35363</v>
      </c>
      <c r="C83" s="395" t="s">
        <v>817</v>
      </c>
      <c r="D83" s="395"/>
      <c r="E83" s="170">
        <f>366-E82</f>
        <v>68</v>
      </c>
      <c r="F83" s="170">
        <v>2</v>
      </c>
      <c r="G83" s="232"/>
      <c r="I83" s="170">
        <v>19</v>
      </c>
      <c r="J83" s="240">
        <v>19</v>
      </c>
      <c r="K83" s="213">
        <f t="shared" si="4"/>
        <v>0</v>
      </c>
      <c r="L83" s="213">
        <f t="shared" si="4"/>
        <v>0</v>
      </c>
      <c r="M83" s="213">
        <f t="shared" si="4"/>
        <v>100</v>
      </c>
      <c r="N83" s="234">
        <f t="shared" si="5"/>
        <v>100</v>
      </c>
      <c r="O83" s="212"/>
      <c r="P83" s="213"/>
      <c r="Q83" s="213">
        <v>40.6</v>
      </c>
      <c r="R83" s="214">
        <f t="shared" si="6"/>
        <v>40.6</v>
      </c>
      <c r="S83" s="170">
        <v>4</v>
      </c>
      <c r="T83" s="283"/>
      <c r="U83" s="281">
        <v>35363</v>
      </c>
      <c r="V83" s="177" t="s">
        <v>480</v>
      </c>
      <c r="W83" s="170" t="s">
        <v>20</v>
      </c>
      <c r="X83" s="170" t="s">
        <v>12</v>
      </c>
      <c r="Y83" s="178">
        <v>40.6</v>
      </c>
      <c r="AD83" s="177"/>
      <c r="AG83" s="178"/>
      <c r="AH83" s="252"/>
      <c r="AL83" s="177"/>
      <c r="AO83" s="178"/>
      <c r="AP83" s="177"/>
      <c r="AS83" s="178"/>
      <c r="AW83" s="178"/>
      <c r="BA83" s="179"/>
    </row>
    <row r="84" spans="1:53" s="170" customFormat="1" x14ac:dyDescent="0.15">
      <c r="A84" s="170">
        <v>1997</v>
      </c>
      <c r="B84" s="281"/>
      <c r="C84" s="395" t="s">
        <v>817</v>
      </c>
      <c r="D84" s="395"/>
      <c r="E84" s="170">
        <v>289</v>
      </c>
      <c r="G84" s="232"/>
      <c r="I84" s="170">
        <v>19</v>
      </c>
      <c r="J84" s="240">
        <v>19</v>
      </c>
      <c r="K84" s="213">
        <f t="shared" si="4"/>
        <v>0</v>
      </c>
      <c r="L84" s="213">
        <f t="shared" si="4"/>
        <v>0</v>
      </c>
      <c r="M84" s="213">
        <f t="shared" si="4"/>
        <v>100</v>
      </c>
      <c r="N84" s="234">
        <f t="shared" si="5"/>
        <v>100</v>
      </c>
      <c r="O84" s="212"/>
      <c r="P84" s="213"/>
      <c r="Q84" s="213">
        <v>40.6</v>
      </c>
      <c r="R84" s="214">
        <f t="shared" si="6"/>
        <v>40.6</v>
      </c>
      <c r="S84" s="170">
        <v>4</v>
      </c>
      <c r="T84" s="283"/>
      <c r="U84" s="281"/>
      <c r="V84" s="177" t="s">
        <v>480</v>
      </c>
      <c r="W84" s="170" t="s">
        <v>20</v>
      </c>
      <c r="X84" s="170" t="s">
        <v>12</v>
      </c>
      <c r="Y84" s="178">
        <v>40.6</v>
      </c>
      <c r="AD84" s="177"/>
      <c r="AG84" s="178"/>
      <c r="AH84" s="252"/>
      <c r="AL84" s="177"/>
      <c r="AO84" s="178"/>
      <c r="AP84" s="177"/>
      <c r="AS84" s="178"/>
      <c r="AW84" s="178"/>
      <c r="BA84" s="179"/>
    </row>
    <row r="85" spans="1:53" s="28" customFormat="1" x14ac:dyDescent="0.15">
      <c r="A85" s="28">
        <v>1997</v>
      </c>
      <c r="B85" s="293">
        <v>35720</v>
      </c>
      <c r="C85" s="394" t="s">
        <v>816</v>
      </c>
      <c r="D85" s="394"/>
      <c r="E85" s="28">
        <f>365-E84</f>
        <v>76</v>
      </c>
      <c r="F85" s="28">
        <v>1</v>
      </c>
      <c r="G85" s="65">
        <v>4</v>
      </c>
      <c r="H85" s="28">
        <v>15</v>
      </c>
      <c r="J85" s="72">
        <v>19</v>
      </c>
      <c r="K85" s="46">
        <f t="shared" si="4"/>
        <v>21.052631578947366</v>
      </c>
      <c r="L85" s="46">
        <f t="shared" si="4"/>
        <v>78.94736842105263</v>
      </c>
      <c r="M85" s="46">
        <f t="shared" si="4"/>
        <v>0</v>
      </c>
      <c r="N85" s="67">
        <f t="shared" si="5"/>
        <v>100</v>
      </c>
      <c r="O85" s="45">
        <v>3.6</v>
      </c>
      <c r="P85" s="46">
        <v>21.9</v>
      </c>
      <c r="Q85" s="46"/>
      <c r="R85" s="47">
        <f t="shared" si="6"/>
        <v>25.5</v>
      </c>
      <c r="S85" s="28">
        <v>5</v>
      </c>
      <c r="T85" s="284">
        <v>35688</v>
      </c>
      <c r="U85" s="293">
        <v>35720</v>
      </c>
      <c r="V85" s="37" t="s">
        <v>264</v>
      </c>
      <c r="W85" s="28" t="s">
        <v>17</v>
      </c>
      <c r="X85" s="28" t="s">
        <v>18</v>
      </c>
      <c r="Y85" s="38">
        <v>15.2</v>
      </c>
      <c r="Z85" s="37" t="s">
        <v>83</v>
      </c>
      <c r="AA85" s="28" t="s">
        <v>869</v>
      </c>
      <c r="AB85" s="28" t="s">
        <v>18</v>
      </c>
      <c r="AC85" s="28">
        <v>6.7</v>
      </c>
      <c r="AD85" s="37" t="s">
        <v>404</v>
      </c>
      <c r="AE85" s="28" t="s">
        <v>22</v>
      </c>
      <c r="AF85" s="28" t="s">
        <v>11</v>
      </c>
      <c r="AG85" s="38">
        <v>3.6</v>
      </c>
      <c r="AH85" s="93"/>
      <c r="AL85" s="37"/>
      <c r="AO85" s="38"/>
      <c r="AP85" s="37"/>
      <c r="AS85" s="38"/>
      <c r="AW85" s="38"/>
      <c r="BA85" s="39"/>
    </row>
    <row r="86" spans="1:53" s="28" customFormat="1" x14ac:dyDescent="0.15">
      <c r="A86" s="28">
        <v>1998</v>
      </c>
      <c r="B86" s="293"/>
      <c r="C86" s="394" t="s">
        <v>816</v>
      </c>
      <c r="D86" s="394"/>
      <c r="E86" s="28">
        <v>0</v>
      </c>
      <c r="G86" s="65">
        <v>4</v>
      </c>
      <c r="H86" s="28">
        <v>15</v>
      </c>
      <c r="J86" s="72">
        <v>19</v>
      </c>
      <c r="K86" s="46">
        <f t="shared" si="4"/>
        <v>21.052631578947366</v>
      </c>
      <c r="L86" s="46">
        <f t="shared" si="4"/>
        <v>78.94736842105263</v>
      </c>
      <c r="M86" s="46">
        <f t="shared" si="4"/>
        <v>0</v>
      </c>
      <c r="N86" s="67">
        <f t="shared" si="5"/>
        <v>100</v>
      </c>
      <c r="O86" s="45">
        <v>3.6</v>
      </c>
      <c r="P86" s="46">
        <v>21.9</v>
      </c>
      <c r="Q86" s="46"/>
      <c r="R86" s="47">
        <f t="shared" si="6"/>
        <v>25.5</v>
      </c>
      <c r="S86" s="28">
        <v>5</v>
      </c>
      <c r="T86" s="284"/>
      <c r="U86" s="293"/>
      <c r="V86" s="37" t="s">
        <v>264</v>
      </c>
      <c r="W86" s="28" t="s">
        <v>17</v>
      </c>
      <c r="X86" s="28" t="s">
        <v>18</v>
      </c>
      <c r="Y86" s="38">
        <v>15.2</v>
      </c>
      <c r="Z86" s="37" t="s">
        <v>83</v>
      </c>
      <c r="AA86" s="28" t="s">
        <v>869</v>
      </c>
      <c r="AB86" s="28" t="s">
        <v>18</v>
      </c>
      <c r="AC86" s="28">
        <v>6.7</v>
      </c>
      <c r="AD86" s="37" t="s">
        <v>404</v>
      </c>
      <c r="AE86" s="28" t="s">
        <v>22</v>
      </c>
      <c r="AF86" s="28" t="s">
        <v>11</v>
      </c>
      <c r="AG86" s="38">
        <v>3.6</v>
      </c>
      <c r="AH86" s="93"/>
      <c r="AL86" s="37"/>
      <c r="AO86" s="38"/>
      <c r="AP86" s="37"/>
      <c r="AS86" s="38"/>
      <c r="AW86" s="38"/>
      <c r="BA86" s="39"/>
    </row>
    <row r="87" spans="1:53" s="28" customFormat="1" x14ac:dyDescent="0.15">
      <c r="A87" s="28">
        <v>1998</v>
      </c>
      <c r="B87" s="293"/>
      <c r="C87" s="394" t="s">
        <v>816</v>
      </c>
      <c r="D87" s="394"/>
      <c r="E87" s="28">
        <f>365-E86</f>
        <v>365</v>
      </c>
      <c r="G87" s="65">
        <v>4</v>
      </c>
      <c r="H87" s="28">
        <v>15</v>
      </c>
      <c r="J87" s="72">
        <v>19</v>
      </c>
      <c r="K87" s="46">
        <f t="shared" si="4"/>
        <v>21.052631578947366</v>
      </c>
      <c r="L87" s="46">
        <f t="shared" si="4"/>
        <v>78.94736842105263</v>
      </c>
      <c r="M87" s="46">
        <f t="shared" si="4"/>
        <v>0</v>
      </c>
      <c r="N87" s="67">
        <f t="shared" si="5"/>
        <v>100</v>
      </c>
      <c r="O87" s="45">
        <v>3.6</v>
      </c>
      <c r="P87" s="46">
        <v>21.9</v>
      </c>
      <c r="Q87" s="46"/>
      <c r="R87" s="47">
        <f t="shared" si="6"/>
        <v>25.5</v>
      </c>
      <c r="S87" s="28">
        <v>5</v>
      </c>
      <c r="T87" s="284"/>
      <c r="U87" s="293"/>
      <c r="V87" s="37" t="s">
        <v>264</v>
      </c>
      <c r="W87" s="28" t="s">
        <v>17</v>
      </c>
      <c r="X87" s="28" t="s">
        <v>18</v>
      </c>
      <c r="Y87" s="38">
        <v>15.2</v>
      </c>
      <c r="Z87" s="37" t="s">
        <v>83</v>
      </c>
      <c r="AA87" s="28" t="s">
        <v>869</v>
      </c>
      <c r="AB87" s="28" t="s">
        <v>18</v>
      </c>
      <c r="AC87" s="28">
        <v>6.7</v>
      </c>
      <c r="AD87" s="37" t="s">
        <v>404</v>
      </c>
      <c r="AE87" s="28" t="s">
        <v>22</v>
      </c>
      <c r="AF87" s="28" t="s">
        <v>11</v>
      </c>
      <c r="AG87" s="38">
        <v>3.6</v>
      </c>
      <c r="AH87" s="93"/>
      <c r="AL87" s="37"/>
      <c r="AO87" s="38"/>
      <c r="AP87" s="37"/>
      <c r="AS87" s="38"/>
      <c r="AW87" s="38"/>
      <c r="BA87" s="39"/>
    </row>
    <row r="88" spans="1:53" s="28" customFormat="1" x14ac:dyDescent="0.15">
      <c r="A88" s="28">
        <v>1999</v>
      </c>
      <c r="B88" s="293"/>
      <c r="C88" s="394" t="s">
        <v>816</v>
      </c>
      <c r="D88" s="394"/>
      <c r="E88" s="28">
        <v>0</v>
      </c>
      <c r="G88" s="65">
        <v>4</v>
      </c>
      <c r="H88" s="28">
        <v>15</v>
      </c>
      <c r="J88" s="72">
        <v>19</v>
      </c>
      <c r="K88" s="46">
        <f t="shared" si="4"/>
        <v>21.052631578947366</v>
      </c>
      <c r="L88" s="46">
        <f t="shared" si="4"/>
        <v>78.94736842105263</v>
      </c>
      <c r="M88" s="46">
        <f t="shared" si="4"/>
        <v>0</v>
      </c>
      <c r="N88" s="67">
        <f t="shared" si="5"/>
        <v>100</v>
      </c>
      <c r="O88" s="45">
        <v>3.6</v>
      </c>
      <c r="P88" s="46">
        <v>21.9</v>
      </c>
      <c r="Q88" s="46"/>
      <c r="R88" s="47">
        <f t="shared" si="6"/>
        <v>25.5</v>
      </c>
      <c r="S88" s="28">
        <v>5</v>
      </c>
      <c r="T88" s="284"/>
      <c r="U88" s="293"/>
      <c r="V88" s="37" t="s">
        <v>264</v>
      </c>
      <c r="W88" s="28" t="s">
        <v>17</v>
      </c>
      <c r="X88" s="28" t="s">
        <v>18</v>
      </c>
      <c r="Y88" s="38">
        <v>15.2</v>
      </c>
      <c r="Z88" s="37" t="s">
        <v>83</v>
      </c>
      <c r="AA88" s="28" t="s">
        <v>869</v>
      </c>
      <c r="AB88" s="28" t="s">
        <v>18</v>
      </c>
      <c r="AC88" s="28">
        <v>6.7</v>
      </c>
      <c r="AD88" s="37" t="s">
        <v>404</v>
      </c>
      <c r="AE88" s="28" t="s">
        <v>22</v>
      </c>
      <c r="AF88" s="28" t="s">
        <v>11</v>
      </c>
      <c r="AG88" s="38">
        <v>3.6</v>
      </c>
      <c r="AH88" s="93"/>
      <c r="AL88" s="37"/>
      <c r="AO88" s="38"/>
      <c r="AP88" s="37"/>
      <c r="AS88" s="38"/>
      <c r="AW88" s="38"/>
      <c r="BA88" s="39"/>
    </row>
    <row r="89" spans="1:53" s="28" customFormat="1" x14ac:dyDescent="0.15">
      <c r="A89" s="28">
        <v>1999</v>
      </c>
      <c r="B89" s="293"/>
      <c r="C89" s="394" t="s">
        <v>816</v>
      </c>
      <c r="D89" s="394"/>
      <c r="E89" s="28">
        <f>365-E88</f>
        <v>365</v>
      </c>
      <c r="G89" s="65">
        <v>4</v>
      </c>
      <c r="H89" s="28">
        <v>15</v>
      </c>
      <c r="J89" s="72">
        <v>19</v>
      </c>
      <c r="K89" s="46">
        <f t="shared" si="4"/>
        <v>21.052631578947366</v>
      </c>
      <c r="L89" s="46">
        <f t="shared" si="4"/>
        <v>78.94736842105263</v>
      </c>
      <c r="M89" s="46">
        <f t="shared" si="4"/>
        <v>0</v>
      </c>
      <c r="N89" s="67">
        <f t="shared" si="5"/>
        <v>100</v>
      </c>
      <c r="O89" s="45">
        <v>3.6</v>
      </c>
      <c r="P89" s="46">
        <v>21.9</v>
      </c>
      <c r="Q89" s="46"/>
      <c r="R89" s="47">
        <f t="shared" si="6"/>
        <v>25.5</v>
      </c>
      <c r="S89" s="28">
        <v>5</v>
      </c>
      <c r="T89" s="284"/>
      <c r="U89" s="293"/>
      <c r="V89" s="37" t="s">
        <v>264</v>
      </c>
      <c r="W89" s="28" t="s">
        <v>17</v>
      </c>
      <c r="X89" s="28" t="s">
        <v>18</v>
      </c>
      <c r="Y89" s="38">
        <v>15.2</v>
      </c>
      <c r="Z89" s="37" t="s">
        <v>83</v>
      </c>
      <c r="AA89" s="28" t="s">
        <v>869</v>
      </c>
      <c r="AB89" s="28" t="s">
        <v>18</v>
      </c>
      <c r="AC89" s="28">
        <v>6.7</v>
      </c>
      <c r="AD89" s="37" t="s">
        <v>404</v>
      </c>
      <c r="AE89" s="28" t="s">
        <v>22</v>
      </c>
      <c r="AF89" s="28" t="s">
        <v>11</v>
      </c>
      <c r="AG89" s="38">
        <v>3.6</v>
      </c>
      <c r="AH89" s="93"/>
      <c r="AL89" s="37"/>
      <c r="AO89" s="38"/>
      <c r="AP89" s="37"/>
      <c r="AS89" s="38"/>
      <c r="AW89" s="38"/>
      <c r="BA89" s="39"/>
    </row>
    <row r="90" spans="1:53" s="28" customFormat="1" x14ac:dyDescent="0.15">
      <c r="A90" s="28">
        <v>2000</v>
      </c>
      <c r="B90" s="293"/>
      <c r="C90" s="394" t="s">
        <v>816</v>
      </c>
      <c r="D90" s="394"/>
      <c r="E90" s="28">
        <v>76</v>
      </c>
      <c r="G90" s="65">
        <v>4</v>
      </c>
      <c r="H90" s="28">
        <v>15</v>
      </c>
      <c r="J90" s="72">
        <v>19</v>
      </c>
      <c r="K90" s="46">
        <f t="shared" ref="K90:M115" si="7">G90/$J90*100</f>
        <v>21.052631578947366</v>
      </c>
      <c r="L90" s="46">
        <f t="shared" si="7"/>
        <v>78.94736842105263</v>
      </c>
      <c r="M90" s="46">
        <f t="shared" si="7"/>
        <v>0</v>
      </c>
      <c r="N90" s="67">
        <f t="shared" si="5"/>
        <v>100</v>
      </c>
      <c r="O90" s="45">
        <v>3.6</v>
      </c>
      <c r="P90" s="46">
        <v>21.9</v>
      </c>
      <c r="Q90" s="46"/>
      <c r="R90" s="47">
        <f t="shared" si="6"/>
        <v>25.5</v>
      </c>
      <c r="S90" s="28">
        <v>5</v>
      </c>
      <c r="T90" s="284"/>
      <c r="U90" s="293"/>
      <c r="V90" s="37" t="s">
        <v>264</v>
      </c>
      <c r="W90" s="28" t="s">
        <v>17</v>
      </c>
      <c r="X90" s="28" t="s">
        <v>18</v>
      </c>
      <c r="Y90" s="38">
        <v>15.2</v>
      </c>
      <c r="Z90" s="37" t="s">
        <v>83</v>
      </c>
      <c r="AA90" s="28" t="s">
        <v>869</v>
      </c>
      <c r="AB90" s="28" t="s">
        <v>18</v>
      </c>
      <c r="AC90" s="28">
        <v>6.7</v>
      </c>
      <c r="AD90" s="37" t="s">
        <v>404</v>
      </c>
      <c r="AE90" s="28" t="s">
        <v>22</v>
      </c>
      <c r="AF90" s="28" t="s">
        <v>11</v>
      </c>
      <c r="AG90" s="38">
        <v>3.6</v>
      </c>
      <c r="AH90" s="93"/>
      <c r="AL90" s="37"/>
      <c r="AO90" s="38"/>
      <c r="AP90" s="37"/>
      <c r="AS90" s="38"/>
      <c r="AW90" s="38"/>
      <c r="BA90" s="39"/>
    </row>
    <row r="91" spans="1:53" s="170" customFormat="1" x14ac:dyDescent="0.15">
      <c r="A91" s="170">
        <v>2000</v>
      </c>
      <c r="B91" s="281">
        <v>36602</v>
      </c>
      <c r="C91" s="395" t="s">
        <v>818</v>
      </c>
      <c r="D91" s="395"/>
      <c r="E91" s="170">
        <f>366-E90</f>
        <v>290</v>
      </c>
      <c r="F91" s="170">
        <v>5</v>
      </c>
      <c r="G91" s="232"/>
      <c r="I91" s="170">
        <v>19</v>
      </c>
      <c r="J91" s="240">
        <v>19</v>
      </c>
      <c r="K91" s="213">
        <f t="shared" si="7"/>
        <v>0</v>
      </c>
      <c r="L91" s="213">
        <f t="shared" si="7"/>
        <v>0</v>
      </c>
      <c r="M91" s="213">
        <f t="shared" si="7"/>
        <v>100</v>
      </c>
      <c r="N91" s="234">
        <f t="shared" si="5"/>
        <v>100</v>
      </c>
      <c r="O91" s="212"/>
      <c r="P91" s="213"/>
      <c r="Q91" s="213">
        <v>39.4</v>
      </c>
      <c r="R91" s="214">
        <f t="shared" si="6"/>
        <v>39.4</v>
      </c>
      <c r="S91" s="170">
        <v>4</v>
      </c>
      <c r="T91" s="283"/>
      <c r="U91" s="281">
        <v>36602</v>
      </c>
      <c r="V91" s="177" t="s">
        <v>480</v>
      </c>
      <c r="W91" s="170" t="s">
        <v>20</v>
      </c>
      <c r="X91" s="170" t="s">
        <v>12</v>
      </c>
      <c r="Y91" s="178">
        <v>39.4</v>
      </c>
      <c r="Z91" s="177"/>
      <c r="AD91" s="177"/>
      <c r="AG91" s="178"/>
      <c r="AH91" s="252"/>
      <c r="AL91" s="177"/>
      <c r="AO91" s="178"/>
      <c r="AP91" s="177"/>
      <c r="AS91" s="178"/>
      <c r="AW91" s="178"/>
      <c r="BA91" s="179"/>
    </row>
    <row r="92" spans="1:53" s="170" customFormat="1" x14ac:dyDescent="0.15">
      <c r="A92" s="170">
        <v>2001</v>
      </c>
      <c r="B92" s="281"/>
      <c r="C92" s="395" t="s">
        <v>818</v>
      </c>
      <c r="D92" s="395"/>
      <c r="E92" s="170">
        <v>291</v>
      </c>
      <c r="G92" s="232"/>
      <c r="I92" s="170">
        <v>19</v>
      </c>
      <c r="J92" s="240">
        <v>19</v>
      </c>
      <c r="K92" s="213">
        <f t="shared" si="7"/>
        <v>0</v>
      </c>
      <c r="L92" s="213">
        <f t="shared" si="7"/>
        <v>0</v>
      </c>
      <c r="M92" s="213">
        <f t="shared" si="7"/>
        <v>100</v>
      </c>
      <c r="N92" s="234">
        <f t="shared" si="5"/>
        <v>100</v>
      </c>
      <c r="O92" s="212"/>
      <c r="P92" s="213"/>
      <c r="Q92" s="213">
        <v>39.4</v>
      </c>
      <c r="R92" s="214">
        <f t="shared" si="6"/>
        <v>39.4</v>
      </c>
      <c r="S92" s="170">
        <v>4</v>
      </c>
      <c r="T92" s="283"/>
      <c r="U92" s="281"/>
      <c r="V92" s="177" t="s">
        <v>480</v>
      </c>
      <c r="W92" s="170" t="s">
        <v>20</v>
      </c>
      <c r="X92" s="170" t="s">
        <v>12</v>
      </c>
      <c r="Y92" s="178">
        <v>39.4</v>
      </c>
      <c r="Z92" s="177"/>
      <c r="AD92" s="177"/>
      <c r="AG92" s="178"/>
      <c r="AH92" s="252"/>
      <c r="AL92" s="177"/>
      <c r="AO92" s="178"/>
      <c r="AP92" s="177"/>
      <c r="AS92" s="178"/>
      <c r="AW92" s="178"/>
      <c r="BA92" s="179"/>
    </row>
    <row r="93" spans="1:53" s="28" customFormat="1" x14ac:dyDescent="0.15">
      <c r="A93" s="28">
        <v>2001</v>
      </c>
      <c r="B93" s="293">
        <v>37183</v>
      </c>
      <c r="C93" s="394" t="s">
        <v>821</v>
      </c>
      <c r="D93" s="394"/>
      <c r="E93" s="28">
        <f>365-E92</f>
        <v>74</v>
      </c>
      <c r="F93" s="28">
        <v>1</v>
      </c>
      <c r="G93" s="65">
        <v>13</v>
      </c>
      <c r="H93" s="28">
        <v>6</v>
      </c>
      <c r="J93" s="72">
        <v>19</v>
      </c>
      <c r="K93" s="46">
        <f t="shared" si="7"/>
        <v>68.421052631578945</v>
      </c>
      <c r="L93" s="46">
        <f t="shared" si="7"/>
        <v>31.578947368421051</v>
      </c>
      <c r="M93" s="46">
        <f t="shared" si="7"/>
        <v>0</v>
      </c>
      <c r="N93" s="67">
        <f t="shared" si="5"/>
        <v>100</v>
      </c>
      <c r="O93" s="45">
        <v>24.2</v>
      </c>
      <c r="P93" s="46">
        <v>13.3</v>
      </c>
      <c r="Q93" s="46"/>
      <c r="R93" s="47">
        <f t="shared" si="6"/>
        <v>37.5</v>
      </c>
      <c r="S93" s="28">
        <v>5</v>
      </c>
      <c r="T93" s="284">
        <v>37144</v>
      </c>
      <c r="U93" s="293">
        <v>37183</v>
      </c>
      <c r="V93" s="37" t="s">
        <v>264</v>
      </c>
      <c r="W93" s="28" t="s">
        <v>17</v>
      </c>
      <c r="X93" s="28" t="s">
        <v>18</v>
      </c>
      <c r="Y93" s="38">
        <v>13.3</v>
      </c>
      <c r="Z93" s="37" t="s">
        <v>481</v>
      </c>
      <c r="AA93" s="28" t="s">
        <v>74</v>
      </c>
      <c r="AB93" s="28" t="s">
        <v>11</v>
      </c>
      <c r="AC93" s="28">
        <v>23</v>
      </c>
      <c r="AD93" s="37" t="s">
        <v>404</v>
      </c>
      <c r="AE93" s="28" t="s">
        <v>22</v>
      </c>
      <c r="AF93" s="28" t="s">
        <v>11</v>
      </c>
      <c r="AG93" s="38">
        <v>1.2</v>
      </c>
      <c r="AH93" s="93"/>
      <c r="AL93" s="37"/>
      <c r="AO93" s="38"/>
      <c r="AP93" s="37"/>
      <c r="AS93" s="38"/>
      <c r="AW93" s="38"/>
      <c r="BA93" s="39"/>
    </row>
    <row r="94" spans="1:53" s="28" customFormat="1" x14ac:dyDescent="0.15">
      <c r="A94" s="28">
        <v>2002</v>
      </c>
      <c r="B94" s="293"/>
      <c r="C94" s="394" t="s">
        <v>821</v>
      </c>
      <c r="D94" s="394"/>
      <c r="E94" s="28">
        <v>0</v>
      </c>
      <c r="G94" s="65">
        <v>13</v>
      </c>
      <c r="H94" s="28">
        <v>6</v>
      </c>
      <c r="J94" s="72">
        <v>19</v>
      </c>
      <c r="K94" s="46">
        <f t="shared" si="7"/>
        <v>68.421052631578945</v>
      </c>
      <c r="L94" s="46">
        <f t="shared" si="7"/>
        <v>31.578947368421051</v>
      </c>
      <c r="M94" s="46">
        <f t="shared" si="7"/>
        <v>0</v>
      </c>
      <c r="N94" s="67">
        <f t="shared" si="5"/>
        <v>100</v>
      </c>
      <c r="O94" s="45">
        <v>24.2</v>
      </c>
      <c r="P94" s="46">
        <v>13.3</v>
      </c>
      <c r="Q94" s="46"/>
      <c r="R94" s="47">
        <f t="shared" si="6"/>
        <v>37.5</v>
      </c>
      <c r="S94" s="28">
        <v>5</v>
      </c>
      <c r="T94" s="284"/>
      <c r="U94" s="293"/>
      <c r="V94" s="37" t="s">
        <v>264</v>
      </c>
      <c r="W94" s="28" t="s">
        <v>17</v>
      </c>
      <c r="X94" s="28" t="s">
        <v>18</v>
      </c>
      <c r="Y94" s="38">
        <v>13.3</v>
      </c>
      <c r="Z94" s="37" t="s">
        <v>481</v>
      </c>
      <c r="AA94" s="28" t="s">
        <v>74</v>
      </c>
      <c r="AB94" s="28" t="s">
        <v>11</v>
      </c>
      <c r="AC94" s="28">
        <v>23</v>
      </c>
      <c r="AD94" s="37" t="s">
        <v>404</v>
      </c>
      <c r="AE94" s="28" t="s">
        <v>22</v>
      </c>
      <c r="AF94" s="28" t="s">
        <v>11</v>
      </c>
      <c r="AG94" s="38">
        <v>1.2</v>
      </c>
      <c r="AH94" s="93"/>
      <c r="AL94" s="37"/>
      <c r="AO94" s="38"/>
      <c r="AP94" s="37"/>
      <c r="AS94" s="38"/>
      <c r="AW94" s="38"/>
      <c r="BA94" s="39"/>
    </row>
    <row r="95" spans="1:53" s="28" customFormat="1" x14ac:dyDescent="0.15">
      <c r="A95" s="28">
        <v>2002</v>
      </c>
      <c r="B95" s="293"/>
      <c r="C95" s="394" t="s">
        <v>821</v>
      </c>
      <c r="D95" s="394"/>
      <c r="E95" s="28">
        <f>365-E94</f>
        <v>365</v>
      </c>
      <c r="G95" s="65">
        <v>13</v>
      </c>
      <c r="H95" s="28">
        <v>6</v>
      </c>
      <c r="J95" s="72">
        <v>19</v>
      </c>
      <c r="K95" s="46">
        <f t="shared" si="7"/>
        <v>68.421052631578945</v>
      </c>
      <c r="L95" s="46">
        <f t="shared" si="7"/>
        <v>31.578947368421051</v>
      </c>
      <c r="M95" s="46">
        <f t="shared" si="7"/>
        <v>0</v>
      </c>
      <c r="N95" s="67">
        <f t="shared" si="5"/>
        <v>100</v>
      </c>
      <c r="O95" s="45">
        <v>24.2</v>
      </c>
      <c r="P95" s="46">
        <v>13.3</v>
      </c>
      <c r="Q95" s="46"/>
      <c r="R95" s="47">
        <f t="shared" si="6"/>
        <v>37.5</v>
      </c>
      <c r="S95" s="28">
        <v>5</v>
      </c>
      <c r="T95" s="284"/>
      <c r="U95" s="293"/>
      <c r="V95" s="37" t="s">
        <v>264</v>
      </c>
      <c r="W95" s="28" t="s">
        <v>17</v>
      </c>
      <c r="X95" s="28" t="s">
        <v>18</v>
      </c>
      <c r="Y95" s="38">
        <v>13.3</v>
      </c>
      <c r="Z95" s="37" t="s">
        <v>481</v>
      </c>
      <c r="AA95" s="28" t="s">
        <v>74</v>
      </c>
      <c r="AB95" s="28" t="s">
        <v>11</v>
      </c>
      <c r="AC95" s="28">
        <v>23</v>
      </c>
      <c r="AD95" s="37" t="s">
        <v>404</v>
      </c>
      <c r="AE95" s="28" t="s">
        <v>22</v>
      </c>
      <c r="AF95" s="28" t="s">
        <v>11</v>
      </c>
      <c r="AG95" s="38">
        <v>1.2</v>
      </c>
      <c r="AH95" s="93"/>
      <c r="AL95" s="37"/>
      <c r="AO95" s="38"/>
      <c r="AP95" s="37"/>
      <c r="AS95" s="38"/>
      <c r="AW95" s="38"/>
      <c r="BA95" s="39"/>
    </row>
    <row r="96" spans="1:53" s="28" customFormat="1" x14ac:dyDescent="0.15">
      <c r="A96" s="28">
        <v>2003</v>
      </c>
      <c r="B96" s="293"/>
      <c r="C96" s="394" t="s">
        <v>821</v>
      </c>
      <c r="D96" s="394"/>
      <c r="E96" s="28">
        <v>0</v>
      </c>
      <c r="G96" s="65">
        <v>13</v>
      </c>
      <c r="H96" s="28">
        <v>6</v>
      </c>
      <c r="J96" s="72">
        <v>19</v>
      </c>
      <c r="K96" s="46">
        <f t="shared" si="7"/>
        <v>68.421052631578945</v>
      </c>
      <c r="L96" s="46">
        <f t="shared" si="7"/>
        <v>31.578947368421051</v>
      </c>
      <c r="M96" s="46">
        <f t="shared" si="7"/>
        <v>0</v>
      </c>
      <c r="N96" s="67">
        <f t="shared" si="5"/>
        <v>100</v>
      </c>
      <c r="O96" s="45">
        <v>24.2</v>
      </c>
      <c r="P96" s="46">
        <v>13.3</v>
      </c>
      <c r="Q96" s="46"/>
      <c r="R96" s="47">
        <f t="shared" si="6"/>
        <v>37.5</v>
      </c>
      <c r="S96" s="28">
        <v>5</v>
      </c>
      <c r="T96" s="284"/>
      <c r="U96" s="293"/>
      <c r="V96" s="37" t="s">
        <v>264</v>
      </c>
      <c r="W96" s="28" t="s">
        <v>17</v>
      </c>
      <c r="X96" s="28" t="s">
        <v>18</v>
      </c>
      <c r="Y96" s="38">
        <v>13.3</v>
      </c>
      <c r="Z96" s="37" t="s">
        <v>481</v>
      </c>
      <c r="AA96" s="28" t="s">
        <v>74</v>
      </c>
      <c r="AB96" s="28" t="s">
        <v>11</v>
      </c>
      <c r="AC96" s="28">
        <v>23</v>
      </c>
      <c r="AD96" s="37" t="s">
        <v>404</v>
      </c>
      <c r="AE96" s="28" t="s">
        <v>22</v>
      </c>
      <c r="AF96" s="28" t="s">
        <v>11</v>
      </c>
      <c r="AG96" s="38">
        <v>1.2</v>
      </c>
      <c r="AH96" s="93"/>
      <c r="AL96" s="37"/>
      <c r="AO96" s="38"/>
      <c r="AP96" s="37"/>
      <c r="AS96" s="38"/>
      <c r="AW96" s="38"/>
      <c r="BA96" s="39"/>
    </row>
    <row r="97" spans="1:53" s="28" customFormat="1" x14ac:dyDescent="0.15">
      <c r="A97" s="28">
        <v>2003</v>
      </c>
      <c r="B97" s="293"/>
      <c r="C97" s="394" t="s">
        <v>821</v>
      </c>
      <c r="D97" s="394"/>
      <c r="E97" s="28">
        <f>365-E96</f>
        <v>365</v>
      </c>
      <c r="G97" s="65">
        <v>13</v>
      </c>
      <c r="H97" s="28">
        <v>6</v>
      </c>
      <c r="J97" s="72">
        <v>19</v>
      </c>
      <c r="K97" s="46">
        <f t="shared" si="7"/>
        <v>68.421052631578945</v>
      </c>
      <c r="L97" s="46">
        <f t="shared" si="7"/>
        <v>31.578947368421051</v>
      </c>
      <c r="M97" s="46">
        <f t="shared" si="7"/>
        <v>0</v>
      </c>
      <c r="N97" s="67">
        <f t="shared" si="5"/>
        <v>100</v>
      </c>
      <c r="O97" s="45">
        <v>24.2</v>
      </c>
      <c r="P97" s="46">
        <v>13.3</v>
      </c>
      <c r="Q97" s="46"/>
      <c r="R97" s="47">
        <f t="shared" si="6"/>
        <v>37.5</v>
      </c>
      <c r="S97" s="28">
        <v>5</v>
      </c>
      <c r="T97" s="284"/>
      <c r="U97" s="293"/>
      <c r="V97" s="37" t="s">
        <v>264</v>
      </c>
      <c r="W97" s="28" t="s">
        <v>17</v>
      </c>
      <c r="X97" s="28" t="s">
        <v>18</v>
      </c>
      <c r="Y97" s="38">
        <v>13.3</v>
      </c>
      <c r="Z97" s="37" t="s">
        <v>481</v>
      </c>
      <c r="AA97" s="28" t="s">
        <v>74</v>
      </c>
      <c r="AB97" s="28" t="s">
        <v>11</v>
      </c>
      <c r="AC97" s="28">
        <v>23</v>
      </c>
      <c r="AD97" s="37" t="s">
        <v>404</v>
      </c>
      <c r="AE97" s="28" t="s">
        <v>22</v>
      </c>
      <c r="AF97" s="28" t="s">
        <v>11</v>
      </c>
      <c r="AG97" s="38">
        <v>1.2</v>
      </c>
      <c r="AH97" s="93"/>
      <c r="AL97" s="37"/>
      <c r="AO97" s="38"/>
      <c r="AP97" s="37"/>
      <c r="AS97" s="38"/>
      <c r="AW97" s="38"/>
      <c r="BA97" s="39"/>
    </row>
    <row r="98" spans="1:53" s="28" customFormat="1" x14ac:dyDescent="0.15">
      <c r="A98" s="28">
        <v>2004</v>
      </c>
      <c r="B98" s="293"/>
      <c r="C98" s="394" t="s">
        <v>821</v>
      </c>
      <c r="D98" s="394"/>
      <c r="E98" s="28">
        <v>0</v>
      </c>
      <c r="G98" s="65">
        <v>13</v>
      </c>
      <c r="H98" s="28">
        <v>6</v>
      </c>
      <c r="J98" s="72">
        <v>19</v>
      </c>
      <c r="K98" s="46">
        <f t="shared" si="7"/>
        <v>68.421052631578945</v>
      </c>
      <c r="L98" s="46">
        <f t="shared" si="7"/>
        <v>31.578947368421051</v>
      </c>
      <c r="M98" s="46">
        <f t="shared" si="7"/>
        <v>0</v>
      </c>
      <c r="N98" s="67">
        <f t="shared" si="5"/>
        <v>100</v>
      </c>
      <c r="O98" s="45">
        <v>24.2</v>
      </c>
      <c r="P98" s="46">
        <v>13.3</v>
      </c>
      <c r="Q98" s="46"/>
      <c r="R98" s="47">
        <f t="shared" si="6"/>
        <v>37.5</v>
      </c>
      <c r="S98" s="28">
        <v>5</v>
      </c>
      <c r="T98" s="284"/>
      <c r="U98" s="293"/>
      <c r="V98" s="37" t="s">
        <v>264</v>
      </c>
      <c r="W98" s="28" t="s">
        <v>17</v>
      </c>
      <c r="X98" s="28" t="s">
        <v>18</v>
      </c>
      <c r="Y98" s="38">
        <v>13.3</v>
      </c>
      <c r="Z98" s="37" t="s">
        <v>481</v>
      </c>
      <c r="AA98" s="28" t="s">
        <v>74</v>
      </c>
      <c r="AB98" s="28" t="s">
        <v>11</v>
      </c>
      <c r="AC98" s="28">
        <v>23</v>
      </c>
      <c r="AD98" s="37" t="s">
        <v>404</v>
      </c>
      <c r="AE98" s="28" t="s">
        <v>22</v>
      </c>
      <c r="AF98" s="28" t="s">
        <v>11</v>
      </c>
      <c r="AG98" s="38">
        <v>1.2</v>
      </c>
      <c r="AH98" s="93"/>
      <c r="AL98" s="37"/>
      <c r="AO98" s="38"/>
      <c r="AP98" s="37"/>
      <c r="AS98" s="38"/>
      <c r="AW98" s="38"/>
      <c r="BA98" s="39"/>
    </row>
    <row r="99" spans="1:53" s="28" customFormat="1" x14ac:dyDescent="0.15">
      <c r="A99" s="28">
        <v>2004</v>
      </c>
      <c r="B99" s="293"/>
      <c r="C99" s="394" t="s">
        <v>821</v>
      </c>
      <c r="D99" s="394"/>
      <c r="E99" s="28">
        <v>366</v>
      </c>
      <c r="G99" s="65">
        <v>13</v>
      </c>
      <c r="H99" s="28">
        <v>6</v>
      </c>
      <c r="J99" s="72">
        <v>19</v>
      </c>
      <c r="K99" s="46">
        <f t="shared" si="7"/>
        <v>68.421052631578945</v>
      </c>
      <c r="L99" s="46">
        <f t="shared" si="7"/>
        <v>31.578947368421051</v>
      </c>
      <c r="M99" s="46">
        <f t="shared" si="7"/>
        <v>0</v>
      </c>
      <c r="N99" s="67">
        <f t="shared" si="5"/>
        <v>100</v>
      </c>
      <c r="O99" s="45">
        <v>24.2</v>
      </c>
      <c r="P99" s="46">
        <v>13.3</v>
      </c>
      <c r="Q99" s="46"/>
      <c r="R99" s="47">
        <f t="shared" si="6"/>
        <v>37.5</v>
      </c>
      <c r="S99" s="28">
        <v>5</v>
      </c>
      <c r="T99" s="284"/>
      <c r="U99" s="293"/>
      <c r="V99" s="37" t="s">
        <v>264</v>
      </c>
      <c r="W99" s="28" t="s">
        <v>17</v>
      </c>
      <c r="X99" s="28" t="s">
        <v>18</v>
      </c>
      <c r="Y99" s="38">
        <v>13.3</v>
      </c>
      <c r="Z99" s="37" t="s">
        <v>481</v>
      </c>
      <c r="AA99" s="28" t="s">
        <v>74</v>
      </c>
      <c r="AB99" s="28" t="s">
        <v>11</v>
      </c>
      <c r="AC99" s="28">
        <v>23</v>
      </c>
      <c r="AD99" s="37" t="s">
        <v>404</v>
      </c>
      <c r="AE99" s="28" t="s">
        <v>22</v>
      </c>
      <c r="AF99" s="28" t="s">
        <v>11</v>
      </c>
      <c r="AG99" s="38">
        <v>1.2</v>
      </c>
      <c r="AH99" s="93"/>
      <c r="AL99" s="37"/>
      <c r="AO99" s="38"/>
      <c r="AP99" s="37"/>
      <c r="AS99" s="38"/>
      <c r="AW99" s="38"/>
      <c r="BA99" s="39"/>
    </row>
    <row r="100" spans="1:53" s="28" customFormat="1" x14ac:dyDescent="0.15">
      <c r="A100" s="28">
        <v>2005</v>
      </c>
      <c r="B100" s="293"/>
      <c r="C100" s="394" t="s">
        <v>821</v>
      </c>
      <c r="D100" s="394"/>
      <c r="E100" s="28">
        <f>365-E101</f>
        <v>289</v>
      </c>
      <c r="G100" s="65">
        <v>13</v>
      </c>
      <c r="H100" s="28">
        <v>6</v>
      </c>
      <c r="J100" s="72">
        <v>19</v>
      </c>
      <c r="K100" s="46">
        <f t="shared" si="7"/>
        <v>68.421052631578945</v>
      </c>
      <c r="L100" s="46">
        <f t="shared" si="7"/>
        <v>31.578947368421051</v>
      </c>
      <c r="M100" s="46">
        <f t="shared" si="7"/>
        <v>0</v>
      </c>
      <c r="N100" s="67">
        <f t="shared" si="5"/>
        <v>100</v>
      </c>
      <c r="O100" s="45">
        <v>24.2</v>
      </c>
      <c r="P100" s="46">
        <v>13.3</v>
      </c>
      <c r="Q100" s="46"/>
      <c r="R100" s="47">
        <f t="shared" si="6"/>
        <v>37.5</v>
      </c>
      <c r="S100" s="28">
        <v>5</v>
      </c>
      <c r="T100" s="284"/>
      <c r="U100" s="293"/>
      <c r="V100" s="37" t="s">
        <v>264</v>
      </c>
      <c r="W100" s="28" t="s">
        <v>17</v>
      </c>
      <c r="X100" s="28" t="s">
        <v>18</v>
      </c>
      <c r="Y100" s="38">
        <v>13.3</v>
      </c>
      <c r="Z100" s="37" t="s">
        <v>481</v>
      </c>
      <c r="AA100" s="28" t="s">
        <v>74</v>
      </c>
      <c r="AB100" s="28" t="s">
        <v>11</v>
      </c>
      <c r="AC100" s="28">
        <v>23</v>
      </c>
      <c r="AD100" s="37" t="s">
        <v>404</v>
      </c>
      <c r="AE100" s="28" t="s">
        <v>22</v>
      </c>
      <c r="AF100" s="28" t="s">
        <v>11</v>
      </c>
      <c r="AG100" s="38">
        <v>1.2</v>
      </c>
      <c r="AH100" s="93"/>
      <c r="AL100" s="37"/>
      <c r="AO100" s="38"/>
      <c r="AP100" s="37"/>
      <c r="AS100" s="38"/>
      <c r="AW100" s="38"/>
      <c r="BA100" s="39"/>
    </row>
    <row r="101" spans="1:53" s="170" customFormat="1" x14ac:dyDescent="0.15">
      <c r="A101" s="170">
        <v>2005</v>
      </c>
      <c r="B101" s="281">
        <v>38642</v>
      </c>
      <c r="C101" s="395" t="s">
        <v>819</v>
      </c>
      <c r="D101" s="395"/>
      <c r="E101" s="170">
        <v>76</v>
      </c>
      <c r="F101" s="170">
        <v>1</v>
      </c>
      <c r="G101" s="232"/>
      <c r="H101" s="170">
        <v>4</v>
      </c>
      <c r="I101" s="170">
        <v>15</v>
      </c>
      <c r="J101" s="240">
        <v>19</v>
      </c>
      <c r="K101" s="213">
        <f t="shared" si="7"/>
        <v>0</v>
      </c>
      <c r="L101" s="213">
        <f t="shared" si="7"/>
        <v>21.052631578947366</v>
      </c>
      <c r="M101" s="213">
        <f t="shared" si="7"/>
        <v>78.94736842105263</v>
      </c>
      <c r="N101" s="234">
        <f t="shared" si="5"/>
        <v>100</v>
      </c>
      <c r="O101" s="212"/>
      <c r="P101" s="213">
        <v>6.5</v>
      </c>
      <c r="Q101" s="213">
        <v>45</v>
      </c>
      <c r="R101" s="214">
        <f t="shared" si="6"/>
        <v>51.5</v>
      </c>
      <c r="S101" s="170">
        <v>2</v>
      </c>
      <c r="T101" s="283">
        <v>38607</v>
      </c>
      <c r="U101" s="281">
        <v>38642</v>
      </c>
      <c r="V101" s="177" t="s">
        <v>480</v>
      </c>
      <c r="W101" s="170" t="s">
        <v>20</v>
      </c>
      <c r="X101" s="170" t="s">
        <v>12</v>
      </c>
      <c r="Y101" s="178">
        <v>36.1</v>
      </c>
      <c r="Z101" s="177" t="s">
        <v>83</v>
      </c>
      <c r="AA101" s="170" t="s">
        <v>869</v>
      </c>
      <c r="AB101" s="170" t="s">
        <v>18</v>
      </c>
      <c r="AC101" s="170">
        <v>6.5</v>
      </c>
      <c r="AD101" s="177" t="s">
        <v>482</v>
      </c>
      <c r="AE101" s="170" t="s">
        <v>115</v>
      </c>
      <c r="AF101" s="170" t="s">
        <v>12</v>
      </c>
      <c r="AG101" s="178">
        <v>8.9</v>
      </c>
      <c r="AH101" s="252"/>
      <c r="AL101" s="177"/>
      <c r="AO101" s="178"/>
      <c r="AP101" s="177"/>
      <c r="AS101" s="178"/>
      <c r="AW101" s="178"/>
      <c r="BA101" s="179"/>
    </row>
    <row r="102" spans="1:53" s="170" customFormat="1" x14ac:dyDescent="0.15">
      <c r="A102" s="170">
        <v>2006</v>
      </c>
      <c r="B102" s="281"/>
      <c r="C102" s="395" t="s">
        <v>819</v>
      </c>
      <c r="D102" s="395"/>
      <c r="E102" s="170">
        <v>0</v>
      </c>
      <c r="G102" s="232"/>
      <c r="H102" s="170">
        <v>4</v>
      </c>
      <c r="I102" s="170">
        <v>15</v>
      </c>
      <c r="J102" s="240">
        <v>19</v>
      </c>
      <c r="K102" s="213">
        <f t="shared" si="7"/>
        <v>0</v>
      </c>
      <c r="L102" s="213">
        <f t="shared" si="7"/>
        <v>21.052631578947366</v>
      </c>
      <c r="M102" s="213">
        <f t="shared" si="7"/>
        <v>78.94736842105263</v>
      </c>
      <c r="N102" s="234">
        <f t="shared" si="5"/>
        <v>100</v>
      </c>
      <c r="O102" s="212"/>
      <c r="P102" s="213">
        <v>6.5</v>
      </c>
      <c r="Q102" s="213">
        <v>45</v>
      </c>
      <c r="R102" s="214">
        <f t="shared" si="6"/>
        <v>51.5</v>
      </c>
      <c r="S102" s="170">
        <v>2</v>
      </c>
      <c r="T102" s="283"/>
      <c r="U102" s="281"/>
      <c r="V102" s="177" t="s">
        <v>480</v>
      </c>
      <c r="W102" s="170" t="s">
        <v>20</v>
      </c>
      <c r="X102" s="170" t="s">
        <v>12</v>
      </c>
      <c r="Y102" s="178">
        <v>36.1</v>
      </c>
      <c r="Z102" s="177" t="s">
        <v>83</v>
      </c>
      <c r="AA102" s="170" t="s">
        <v>869</v>
      </c>
      <c r="AB102" s="170" t="s">
        <v>18</v>
      </c>
      <c r="AC102" s="170">
        <v>6.5</v>
      </c>
      <c r="AD102" s="177" t="s">
        <v>482</v>
      </c>
      <c r="AE102" s="170" t="s">
        <v>115</v>
      </c>
      <c r="AF102" s="170" t="s">
        <v>12</v>
      </c>
      <c r="AG102" s="178">
        <v>8.9</v>
      </c>
      <c r="AH102" s="252"/>
      <c r="AL102" s="177"/>
      <c r="AO102" s="178"/>
      <c r="AP102" s="177"/>
      <c r="AS102" s="178"/>
      <c r="AW102" s="178"/>
      <c r="BA102" s="179"/>
    </row>
    <row r="103" spans="1:53" s="170" customFormat="1" x14ac:dyDescent="0.15">
      <c r="A103" s="170">
        <v>2006</v>
      </c>
      <c r="B103" s="281"/>
      <c r="C103" s="395" t="s">
        <v>819</v>
      </c>
      <c r="D103" s="395"/>
      <c r="E103" s="170">
        <v>365</v>
      </c>
      <c r="G103" s="232"/>
      <c r="H103" s="170">
        <v>4</v>
      </c>
      <c r="I103" s="170">
        <v>15</v>
      </c>
      <c r="J103" s="240">
        <v>19</v>
      </c>
      <c r="K103" s="213">
        <f t="shared" si="7"/>
        <v>0</v>
      </c>
      <c r="L103" s="213">
        <f t="shared" si="7"/>
        <v>21.052631578947366</v>
      </c>
      <c r="M103" s="213">
        <f t="shared" si="7"/>
        <v>78.94736842105263</v>
      </c>
      <c r="N103" s="234">
        <f t="shared" si="5"/>
        <v>100</v>
      </c>
      <c r="O103" s="212"/>
      <c r="P103" s="213">
        <v>6.5</v>
      </c>
      <c r="Q103" s="213">
        <v>45</v>
      </c>
      <c r="R103" s="214">
        <f t="shared" si="6"/>
        <v>51.5</v>
      </c>
      <c r="S103" s="170">
        <v>2</v>
      </c>
      <c r="T103" s="283"/>
      <c r="U103" s="281"/>
      <c r="V103" s="177" t="s">
        <v>480</v>
      </c>
      <c r="W103" s="170" t="s">
        <v>20</v>
      </c>
      <c r="X103" s="170" t="s">
        <v>12</v>
      </c>
      <c r="Y103" s="178">
        <v>36.1</v>
      </c>
      <c r="Z103" s="177" t="s">
        <v>83</v>
      </c>
      <c r="AA103" s="170" t="s">
        <v>869</v>
      </c>
      <c r="AB103" s="170" t="s">
        <v>18</v>
      </c>
      <c r="AC103" s="170">
        <v>6.5</v>
      </c>
      <c r="AD103" s="177" t="s">
        <v>482</v>
      </c>
      <c r="AE103" s="170" t="s">
        <v>115</v>
      </c>
      <c r="AF103" s="170" t="s">
        <v>12</v>
      </c>
      <c r="AG103" s="178">
        <v>8.9</v>
      </c>
      <c r="AH103" s="252"/>
      <c r="AL103" s="177"/>
      <c r="AO103" s="178"/>
      <c r="AP103" s="177"/>
      <c r="AS103" s="178"/>
      <c r="AW103" s="178"/>
      <c r="BA103" s="179"/>
    </row>
    <row r="104" spans="1:53" s="170" customFormat="1" x14ac:dyDescent="0.15">
      <c r="A104" s="170">
        <v>2007</v>
      </c>
      <c r="B104" s="281"/>
      <c r="C104" s="395" t="s">
        <v>819</v>
      </c>
      <c r="D104" s="395"/>
      <c r="E104" s="170">
        <v>0</v>
      </c>
      <c r="G104" s="232"/>
      <c r="H104" s="170">
        <v>4</v>
      </c>
      <c r="I104" s="170">
        <v>15</v>
      </c>
      <c r="J104" s="240">
        <v>19</v>
      </c>
      <c r="K104" s="213">
        <f t="shared" si="7"/>
        <v>0</v>
      </c>
      <c r="L104" s="213">
        <f t="shared" si="7"/>
        <v>21.052631578947366</v>
      </c>
      <c r="M104" s="213">
        <f t="shared" si="7"/>
        <v>78.94736842105263</v>
      </c>
      <c r="N104" s="234">
        <f t="shared" si="5"/>
        <v>100</v>
      </c>
      <c r="O104" s="212"/>
      <c r="P104" s="213">
        <v>6.5</v>
      </c>
      <c r="Q104" s="213">
        <v>45</v>
      </c>
      <c r="R104" s="214">
        <f t="shared" si="6"/>
        <v>51.5</v>
      </c>
      <c r="S104" s="170">
        <v>2</v>
      </c>
      <c r="T104" s="283"/>
      <c r="U104" s="281"/>
      <c r="V104" s="177" t="s">
        <v>480</v>
      </c>
      <c r="W104" s="170" t="s">
        <v>20</v>
      </c>
      <c r="X104" s="170" t="s">
        <v>12</v>
      </c>
      <c r="Y104" s="178">
        <v>36.1</v>
      </c>
      <c r="Z104" s="177" t="s">
        <v>83</v>
      </c>
      <c r="AA104" s="170" t="s">
        <v>869</v>
      </c>
      <c r="AB104" s="170" t="s">
        <v>18</v>
      </c>
      <c r="AC104" s="170">
        <v>6.5</v>
      </c>
      <c r="AD104" s="177" t="s">
        <v>482</v>
      </c>
      <c r="AE104" s="170" t="s">
        <v>115</v>
      </c>
      <c r="AF104" s="170" t="s">
        <v>12</v>
      </c>
      <c r="AG104" s="178">
        <v>8.9</v>
      </c>
      <c r="AH104" s="252"/>
      <c r="AL104" s="177"/>
      <c r="AO104" s="178"/>
      <c r="AP104" s="177"/>
      <c r="AS104" s="178"/>
      <c r="AW104" s="178"/>
      <c r="BA104" s="179"/>
    </row>
    <row r="105" spans="1:53" s="170" customFormat="1" x14ac:dyDescent="0.15">
      <c r="A105" s="170">
        <v>2007</v>
      </c>
      <c r="B105" s="281"/>
      <c r="C105" s="395" t="s">
        <v>819</v>
      </c>
      <c r="D105" s="395"/>
      <c r="E105" s="170">
        <v>365</v>
      </c>
      <c r="G105" s="232"/>
      <c r="H105" s="170">
        <v>4</v>
      </c>
      <c r="I105" s="170">
        <v>15</v>
      </c>
      <c r="J105" s="240">
        <v>19</v>
      </c>
      <c r="K105" s="213">
        <f t="shared" si="7"/>
        <v>0</v>
      </c>
      <c r="L105" s="213">
        <f t="shared" si="7"/>
        <v>21.052631578947366</v>
      </c>
      <c r="M105" s="213">
        <f t="shared" si="7"/>
        <v>78.94736842105263</v>
      </c>
      <c r="N105" s="234">
        <f t="shared" si="5"/>
        <v>100</v>
      </c>
      <c r="O105" s="212"/>
      <c r="P105" s="213">
        <v>6.5</v>
      </c>
      <c r="Q105" s="213">
        <v>45</v>
      </c>
      <c r="R105" s="214">
        <f t="shared" si="6"/>
        <v>51.5</v>
      </c>
      <c r="S105" s="170">
        <v>2</v>
      </c>
      <c r="T105" s="283"/>
      <c r="U105" s="281"/>
      <c r="V105" s="177" t="s">
        <v>480</v>
      </c>
      <c r="W105" s="170" t="s">
        <v>20</v>
      </c>
      <c r="X105" s="170" t="s">
        <v>12</v>
      </c>
      <c r="Y105" s="178">
        <v>36.1</v>
      </c>
      <c r="Z105" s="177" t="s">
        <v>83</v>
      </c>
      <c r="AA105" s="170" t="s">
        <v>869</v>
      </c>
      <c r="AB105" s="170" t="s">
        <v>18</v>
      </c>
      <c r="AC105" s="170">
        <v>6.5</v>
      </c>
      <c r="AD105" s="177" t="s">
        <v>482</v>
      </c>
      <c r="AE105" s="170" t="s">
        <v>115</v>
      </c>
      <c r="AF105" s="170" t="s">
        <v>12</v>
      </c>
      <c r="AG105" s="178">
        <v>8.9</v>
      </c>
      <c r="AH105" s="252"/>
      <c r="AL105" s="177"/>
      <c r="AO105" s="178"/>
      <c r="AP105" s="177"/>
      <c r="AS105" s="178"/>
      <c r="AW105" s="178"/>
      <c r="BA105" s="179"/>
    </row>
    <row r="106" spans="1:53" s="170" customFormat="1" x14ac:dyDescent="0.15">
      <c r="A106" s="170">
        <v>2008</v>
      </c>
      <c r="B106" s="281"/>
      <c r="C106" s="395" t="s">
        <v>819</v>
      </c>
      <c r="D106" s="395"/>
      <c r="E106" s="170">
        <v>0</v>
      </c>
      <c r="G106" s="232"/>
      <c r="H106" s="170">
        <v>4</v>
      </c>
      <c r="I106" s="170">
        <v>15</v>
      </c>
      <c r="J106" s="240">
        <v>19</v>
      </c>
      <c r="K106" s="213">
        <f t="shared" si="7"/>
        <v>0</v>
      </c>
      <c r="L106" s="213">
        <f t="shared" si="7"/>
        <v>21.052631578947366</v>
      </c>
      <c r="M106" s="213">
        <f t="shared" si="7"/>
        <v>78.94736842105263</v>
      </c>
      <c r="N106" s="234">
        <f t="shared" si="5"/>
        <v>100</v>
      </c>
      <c r="O106" s="212"/>
      <c r="P106" s="213">
        <v>6.5</v>
      </c>
      <c r="Q106" s="213">
        <v>45</v>
      </c>
      <c r="R106" s="214">
        <f t="shared" si="6"/>
        <v>51.5</v>
      </c>
      <c r="S106" s="170">
        <v>2</v>
      </c>
      <c r="T106" s="283"/>
      <c r="U106" s="281"/>
      <c r="V106" s="177" t="s">
        <v>480</v>
      </c>
      <c r="W106" s="170" t="s">
        <v>20</v>
      </c>
      <c r="X106" s="170" t="s">
        <v>12</v>
      </c>
      <c r="Y106" s="178">
        <v>36.1</v>
      </c>
      <c r="Z106" s="177" t="s">
        <v>83</v>
      </c>
      <c r="AA106" s="170" t="s">
        <v>869</v>
      </c>
      <c r="AB106" s="170" t="s">
        <v>18</v>
      </c>
      <c r="AC106" s="170">
        <v>6.5</v>
      </c>
      <c r="AD106" s="177" t="s">
        <v>482</v>
      </c>
      <c r="AE106" s="170" t="s">
        <v>115</v>
      </c>
      <c r="AF106" s="170" t="s">
        <v>12</v>
      </c>
      <c r="AG106" s="178">
        <v>8.9</v>
      </c>
      <c r="AH106" s="252"/>
      <c r="AL106" s="177"/>
      <c r="AO106" s="178"/>
      <c r="AP106" s="177"/>
      <c r="AS106" s="178"/>
      <c r="AW106" s="178"/>
      <c r="BA106" s="179"/>
    </row>
    <row r="107" spans="1:53" s="170" customFormat="1" x14ac:dyDescent="0.15">
      <c r="A107" s="170">
        <v>2008</v>
      </c>
      <c r="B107" s="281"/>
      <c r="C107" s="395" t="s">
        <v>819</v>
      </c>
      <c r="D107" s="395"/>
      <c r="E107" s="170">
        <v>366</v>
      </c>
      <c r="G107" s="232"/>
      <c r="H107" s="170">
        <v>4</v>
      </c>
      <c r="I107" s="170">
        <v>15</v>
      </c>
      <c r="J107" s="240">
        <v>19</v>
      </c>
      <c r="K107" s="213">
        <f t="shared" si="7"/>
        <v>0</v>
      </c>
      <c r="L107" s="213">
        <f t="shared" si="7"/>
        <v>21.052631578947366</v>
      </c>
      <c r="M107" s="213">
        <f t="shared" si="7"/>
        <v>78.94736842105263</v>
      </c>
      <c r="N107" s="234">
        <f t="shared" si="5"/>
        <v>100</v>
      </c>
      <c r="O107" s="212"/>
      <c r="P107" s="213">
        <v>6.5</v>
      </c>
      <c r="Q107" s="213">
        <v>45</v>
      </c>
      <c r="R107" s="214">
        <f t="shared" si="6"/>
        <v>51.5</v>
      </c>
      <c r="S107" s="170">
        <v>2</v>
      </c>
      <c r="T107" s="283"/>
      <c r="U107" s="281"/>
      <c r="V107" s="177" t="s">
        <v>480</v>
      </c>
      <c r="W107" s="170" t="s">
        <v>20</v>
      </c>
      <c r="X107" s="170" t="s">
        <v>12</v>
      </c>
      <c r="Y107" s="178">
        <v>36.1</v>
      </c>
      <c r="Z107" s="177" t="s">
        <v>83</v>
      </c>
      <c r="AA107" s="170" t="s">
        <v>869</v>
      </c>
      <c r="AB107" s="170" t="s">
        <v>18</v>
      </c>
      <c r="AC107" s="170">
        <v>6.5</v>
      </c>
      <c r="AD107" s="177" t="s">
        <v>482</v>
      </c>
      <c r="AE107" s="170" t="s">
        <v>115</v>
      </c>
      <c r="AF107" s="170" t="s">
        <v>12</v>
      </c>
      <c r="AG107" s="178">
        <v>8.9</v>
      </c>
      <c r="AH107" s="252"/>
      <c r="AL107" s="177"/>
      <c r="AO107" s="178"/>
      <c r="AP107" s="177"/>
      <c r="AS107" s="178"/>
      <c r="AW107" s="178"/>
      <c r="BA107" s="179"/>
    </row>
    <row r="108" spans="1:53" s="170" customFormat="1" x14ac:dyDescent="0.15">
      <c r="A108" s="170">
        <v>2009</v>
      </c>
      <c r="B108" s="281"/>
      <c r="C108" s="395" t="s">
        <v>819</v>
      </c>
      <c r="D108" s="395"/>
      <c r="E108" s="170">
        <v>292</v>
      </c>
      <c r="G108" s="232"/>
      <c r="H108" s="170">
        <v>4</v>
      </c>
      <c r="I108" s="170">
        <v>15</v>
      </c>
      <c r="J108" s="240">
        <v>19</v>
      </c>
      <c r="K108" s="213">
        <f t="shared" si="7"/>
        <v>0</v>
      </c>
      <c r="L108" s="213">
        <f t="shared" si="7"/>
        <v>21.052631578947366</v>
      </c>
      <c r="M108" s="213">
        <f t="shared" si="7"/>
        <v>78.94736842105263</v>
      </c>
      <c r="N108" s="234">
        <f t="shared" si="5"/>
        <v>100</v>
      </c>
      <c r="O108" s="212"/>
      <c r="P108" s="213">
        <v>6.5</v>
      </c>
      <c r="Q108" s="213">
        <v>45</v>
      </c>
      <c r="R108" s="214">
        <f t="shared" si="6"/>
        <v>51.5</v>
      </c>
      <c r="S108" s="170">
        <v>2</v>
      </c>
      <c r="T108" s="283"/>
      <c r="U108" s="281"/>
      <c r="V108" s="177" t="s">
        <v>480</v>
      </c>
      <c r="W108" s="170" t="s">
        <v>20</v>
      </c>
      <c r="X108" s="170" t="s">
        <v>12</v>
      </c>
      <c r="Y108" s="178">
        <v>36.1</v>
      </c>
      <c r="Z108" s="177" t="s">
        <v>83</v>
      </c>
      <c r="AA108" s="170" t="s">
        <v>869</v>
      </c>
      <c r="AB108" s="170" t="s">
        <v>18</v>
      </c>
      <c r="AC108" s="170">
        <v>6.5</v>
      </c>
      <c r="AD108" s="177" t="s">
        <v>482</v>
      </c>
      <c r="AE108" s="170" t="s">
        <v>115</v>
      </c>
      <c r="AF108" s="170" t="s">
        <v>12</v>
      </c>
      <c r="AG108" s="178">
        <v>8.9</v>
      </c>
      <c r="AH108" s="252"/>
      <c r="AL108" s="177"/>
      <c r="AO108" s="178"/>
      <c r="AP108" s="177"/>
      <c r="AS108" s="178"/>
      <c r="AW108" s="178"/>
      <c r="BA108" s="179"/>
    </row>
    <row r="109" spans="1:53" s="28" customFormat="1" x14ac:dyDescent="0.15">
      <c r="A109" s="28">
        <v>2009</v>
      </c>
      <c r="B109" s="293">
        <v>40106</v>
      </c>
      <c r="C109" s="394" t="s">
        <v>820</v>
      </c>
      <c r="D109" s="394"/>
      <c r="E109" s="28">
        <v>73</v>
      </c>
      <c r="F109" s="28">
        <v>1</v>
      </c>
      <c r="G109" s="65"/>
      <c r="H109" s="28">
        <v>4</v>
      </c>
      <c r="I109" s="28">
        <v>16</v>
      </c>
      <c r="J109" s="72">
        <v>20</v>
      </c>
      <c r="K109" s="46">
        <f t="shared" si="7"/>
        <v>0</v>
      </c>
      <c r="L109" s="46">
        <f t="shared" si="7"/>
        <v>20</v>
      </c>
      <c r="M109" s="46">
        <f t="shared" si="7"/>
        <v>80</v>
      </c>
      <c r="N109" s="67">
        <f t="shared" si="5"/>
        <v>100</v>
      </c>
      <c r="O109" s="45"/>
      <c r="P109" s="46">
        <v>6.5</v>
      </c>
      <c r="Q109" s="46">
        <v>44.4</v>
      </c>
      <c r="R109" s="47">
        <f t="shared" si="6"/>
        <v>50.9</v>
      </c>
      <c r="S109" s="28">
        <v>2</v>
      </c>
      <c r="T109" s="284">
        <v>40070</v>
      </c>
      <c r="U109" s="293">
        <v>40106</v>
      </c>
      <c r="V109" s="37" t="s">
        <v>480</v>
      </c>
      <c r="W109" s="28" t="s">
        <v>20</v>
      </c>
      <c r="X109" s="28" t="s">
        <v>12</v>
      </c>
      <c r="Y109" s="38">
        <v>37.9</v>
      </c>
      <c r="Z109" s="37" t="s">
        <v>83</v>
      </c>
      <c r="AA109" s="28" t="s">
        <v>869</v>
      </c>
      <c r="AB109" s="28" t="s">
        <v>18</v>
      </c>
      <c r="AC109" s="28">
        <v>6.5</v>
      </c>
      <c r="AD109" s="37" t="s">
        <v>482</v>
      </c>
      <c r="AE109" s="28" t="s">
        <v>115</v>
      </c>
      <c r="AF109" s="28" t="s">
        <v>12</v>
      </c>
      <c r="AG109" s="38">
        <v>6.5</v>
      </c>
      <c r="AH109" s="93"/>
      <c r="AL109" s="37"/>
      <c r="AO109" s="38"/>
      <c r="AP109" s="37"/>
      <c r="AS109" s="38"/>
      <c r="AW109" s="38"/>
      <c r="BA109" s="39"/>
    </row>
    <row r="110" spans="1:53" s="28" customFormat="1" x14ac:dyDescent="0.15">
      <c r="A110" s="28">
        <v>2010</v>
      </c>
      <c r="B110" s="293"/>
      <c r="C110" s="394" t="s">
        <v>820</v>
      </c>
      <c r="D110" s="394"/>
      <c r="E110" s="28">
        <v>0</v>
      </c>
      <c r="G110" s="65"/>
      <c r="H110" s="28">
        <v>4</v>
      </c>
      <c r="I110" s="28">
        <v>16</v>
      </c>
      <c r="J110" s="72">
        <v>20</v>
      </c>
      <c r="K110" s="46">
        <f t="shared" si="7"/>
        <v>0</v>
      </c>
      <c r="L110" s="46">
        <f t="shared" si="7"/>
        <v>20</v>
      </c>
      <c r="M110" s="46">
        <f t="shared" si="7"/>
        <v>80</v>
      </c>
      <c r="N110" s="67">
        <f t="shared" si="5"/>
        <v>100</v>
      </c>
      <c r="O110" s="45"/>
      <c r="P110" s="46">
        <v>6.5</v>
      </c>
      <c r="Q110" s="46">
        <v>44.4</v>
      </c>
      <c r="R110" s="47">
        <f t="shared" si="6"/>
        <v>50.9</v>
      </c>
      <c r="S110" s="28">
        <v>2</v>
      </c>
      <c r="T110" s="284"/>
      <c r="U110" s="293"/>
      <c r="V110" s="37" t="s">
        <v>480</v>
      </c>
      <c r="W110" s="28" t="s">
        <v>20</v>
      </c>
      <c r="X110" s="28" t="s">
        <v>12</v>
      </c>
      <c r="Y110" s="38">
        <v>37.9</v>
      </c>
      <c r="Z110" s="37" t="s">
        <v>83</v>
      </c>
      <c r="AA110" s="28" t="s">
        <v>869</v>
      </c>
      <c r="AB110" s="28" t="s">
        <v>18</v>
      </c>
      <c r="AC110" s="28">
        <v>6.5</v>
      </c>
      <c r="AD110" s="37" t="s">
        <v>482</v>
      </c>
      <c r="AE110" s="28" t="s">
        <v>115</v>
      </c>
      <c r="AF110" s="28" t="s">
        <v>12</v>
      </c>
      <c r="AG110" s="38">
        <v>6.5</v>
      </c>
      <c r="AH110" s="93"/>
      <c r="AL110" s="37"/>
      <c r="AO110" s="38"/>
      <c r="AP110" s="37"/>
      <c r="AS110" s="38"/>
      <c r="AW110" s="38"/>
      <c r="BA110" s="39"/>
    </row>
    <row r="111" spans="1:53" s="28" customFormat="1" x14ac:dyDescent="0.15">
      <c r="A111" s="28">
        <v>2010</v>
      </c>
      <c r="B111" s="293"/>
      <c r="C111" s="394" t="s">
        <v>820</v>
      </c>
      <c r="D111" s="394"/>
      <c r="E111" s="28">
        <v>365</v>
      </c>
      <c r="G111" s="65"/>
      <c r="H111" s="28">
        <v>4</v>
      </c>
      <c r="I111" s="28">
        <v>16</v>
      </c>
      <c r="J111" s="72">
        <v>20</v>
      </c>
      <c r="K111" s="46">
        <f t="shared" si="7"/>
        <v>0</v>
      </c>
      <c r="L111" s="46">
        <f t="shared" si="7"/>
        <v>20</v>
      </c>
      <c r="M111" s="46">
        <f t="shared" si="7"/>
        <v>80</v>
      </c>
      <c r="N111" s="67">
        <f t="shared" si="5"/>
        <v>100</v>
      </c>
      <c r="O111" s="45"/>
      <c r="P111" s="46">
        <v>6.5</v>
      </c>
      <c r="Q111" s="46">
        <v>44.4</v>
      </c>
      <c r="R111" s="47">
        <f t="shared" si="6"/>
        <v>50.9</v>
      </c>
      <c r="S111" s="28">
        <v>2</v>
      </c>
      <c r="T111" s="284"/>
      <c r="U111" s="293"/>
      <c r="V111" s="37" t="s">
        <v>480</v>
      </c>
      <c r="W111" s="28" t="s">
        <v>20</v>
      </c>
      <c r="X111" s="28" t="s">
        <v>12</v>
      </c>
      <c r="Y111" s="38">
        <v>37.9</v>
      </c>
      <c r="Z111" s="37" t="s">
        <v>83</v>
      </c>
      <c r="AA111" s="28" t="s">
        <v>869</v>
      </c>
      <c r="AB111" s="28" t="s">
        <v>18</v>
      </c>
      <c r="AC111" s="28">
        <v>6.5</v>
      </c>
      <c r="AD111" s="37" t="s">
        <v>482</v>
      </c>
      <c r="AE111" s="28" t="s">
        <v>115</v>
      </c>
      <c r="AF111" s="28" t="s">
        <v>12</v>
      </c>
      <c r="AG111" s="38">
        <v>6.5</v>
      </c>
      <c r="AH111" s="93"/>
      <c r="AL111" s="37"/>
      <c r="AO111" s="38"/>
      <c r="AP111" s="37"/>
      <c r="AS111" s="38"/>
      <c r="AW111" s="38"/>
      <c r="BA111" s="39"/>
    </row>
    <row r="112" spans="1:53" s="28" customFormat="1" x14ac:dyDescent="0.15">
      <c r="A112" s="28">
        <v>2011</v>
      </c>
      <c r="B112" s="293"/>
      <c r="C112" s="394" t="s">
        <v>820</v>
      </c>
      <c r="D112" s="394"/>
      <c r="E112" s="28">
        <v>0</v>
      </c>
      <c r="G112" s="65"/>
      <c r="H112" s="28">
        <v>4</v>
      </c>
      <c r="I112" s="28">
        <v>16</v>
      </c>
      <c r="J112" s="72">
        <v>20</v>
      </c>
      <c r="K112" s="46">
        <f t="shared" si="7"/>
        <v>0</v>
      </c>
      <c r="L112" s="46">
        <f t="shared" si="7"/>
        <v>20</v>
      </c>
      <c r="M112" s="46">
        <f t="shared" si="7"/>
        <v>80</v>
      </c>
      <c r="N112" s="67">
        <f t="shared" si="5"/>
        <v>100</v>
      </c>
      <c r="O112" s="45"/>
      <c r="P112" s="46">
        <v>6.5</v>
      </c>
      <c r="Q112" s="46">
        <v>44.4</v>
      </c>
      <c r="R112" s="47">
        <f t="shared" si="6"/>
        <v>50.9</v>
      </c>
      <c r="S112" s="28">
        <v>2</v>
      </c>
      <c r="T112" s="284"/>
      <c r="U112" s="293"/>
      <c r="V112" s="37" t="s">
        <v>480</v>
      </c>
      <c r="W112" s="28" t="s">
        <v>20</v>
      </c>
      <c r="X112" s="28" t="s">
        <v>12</v>
      </c>
      <c r="Y112" s="38">
        <v>37.9</v>
      </c>
      <c r="Z112" s="37" t="s">
        <v>83</v>
      </c>
      <c r="AA112" s="28" t="s">
        <v>869</v>
      </c>
      <c r="AB112" s="28" t="s">
        <v>18</v>
      </c>
      <c r="AC112" s="28">
        <v>6.5</v>
      </c>
      <c r="AD112" s="37" t="s">
        <v>482</v>
      </c>
      <c r="AE112" s="28" t="s">
        <v>115</v>
      </c>
      <c r="AF112" s="28" t="s">
        <v>12</v>
      </c>
      <c r="AG112" s="38">
        <v>6.5</v>
      </c>
      <c r="AH112" s="93"/>
      <c r="AL112" s="37"/>
      <c r="AO112" s="38"/>
      <c r="AP112" s="37"/>
      <c r="AS112" s="38"/>
      <c r="AW112" s="38"/>
      <c r="BA112" s="39"/>
    </row>
    <row r="113" spans="1:53" s="28" customFormat="1" x14ac:dyDescent="0.15">
      <c r="A113" s="28">
        <v>2011</v>
      </c>
      <c r="B113" s="293"/>
      <c r="C113" s="394" t="s">
        <v>820</v>
      </c>
      <c r="D113" s="394"/>
      <c r="E113" s="28">
        <v>365</v>
      </c>
      <c r="G113" s="65"/>
      <c r="H113" s="28">
        <v>4</v>
      </c>
      <c r="I113" s="28">
        <v>16</v>
      </c>
      <c r="J113" s="72">
        <v>20</v>
      </c>
      <c r="K113" s="46">
        <f t="shared" si="7"/>
        <v>0</v>
      </c>
      <c r="L113" s="46">
        <f t="shared" si="7"/>
        <v>20</v>
      </c>
      <c r="M113" s="46">
        <f t="shared" si="7"/>
        <v>80</v>
      </c>
      <c r="N113" s="67">
        <f t="shared" si="5"/>
        <v>100</v>
      </c>
      <c r="O113" s="45"/>
      <c r="P113" s="46">
        <v>6.5</v>
      </c>
      <c r="Q113" s="46">
        <v>44.4</v>
      </c>
      <c r="R113" s="47">
        <f t="shared" si="6"/>
        <v>50.9</v>
      </c>
      <c r="S113" s="28">
        <v>2</v>
      </c>
      <c r="T113" s="284"/>
      <c r="U113" s="293"/>
      <c r="V113" s="37" t="s">
        <v>480</v>
      </c>
      <c r="W113" s="28" t="s">
        <v>20</v>
      </c>
      <c r="X113" s="28" t="s">
        <v>12</v>
      </c>
      <c r="Y113" s="38">
        <v>37.9</v>
      </c>
      <c r="Z113" s="37" t="s">
        <v>83</v>
      </c>
      <c r="AA113" s="28" t="s">
        <v>869</v>
      </c>
      <c r="AB113" s="28" t="s">
        <v>18</v>
      </c>
      <c r="AC113" s="28">
        <v>6.5</v>
      </c>
      <c r="AD113" s="37" t="s">
        <v>482</v>
      </c>
      <c r="AE113" s="28" t="s">
        <v>115</v>
      </c>
      <c r="AF113" s="28" t="s">
        <v>12</v>
      </c>
      <c r="AG113" s="38">
        <v>6.5</v>
      </c>
      <c r="AH113" s="93"/>
      <c r="AL113" s="37"/>
      <c r="AO113" s="38"/>
      <c r="AP113" s="37"/>
      <c r="AS113" s="38"/>
      <c r="AW113" s="38"/>
      <c r="BA113" s="39"/>
    </row>
    <row r="114" spans="1:53" s="28" customFormat="1" x14ac:dyDescent="0.15">
      <c r="A114" s="28">
        <v>2012</v>
      </c>
      <c r="B114" s="293"/>
      <c r="C114" s="394" t="s">
        <v>820</v>
      </c>
      <c r="D114" s="394"/>
      <c r="E114" s="28">
        <v>0</v>
      </c>
      <c r="G114" s="65"/>
      <c r="H114" s="28">
        <v>4</v>
      </c>
      <c r="I114" s="28">
        <v>16</v>
      </c>
      <c r="J114" s="72">
        <v>20</v>
      </c>
      <c r="K114" s="46">
        <f t="shared" si="7"/>
        <v>0</v>
      </c>
      <c r="L114" s="46">
        <f t="shared" si="7"/>
        <v>20</v>
      </c>
      <c r="M114" s="46">
        <f t="shared" si="7"/>
        <v>80</v>
      </c>
      <c r="N114" s="67">
        <f t="shared" si="5"/>
        <v>100</v>
      </c>
      <c r="O114" s="45"/>
      <c r="P114" s="46">
        <v>6.5</v>
      </c>
      <c r="Q114" s="46">
        <v>44.4</v>
      </c>
      <c r="R114" s="47">
        <f t="shared" si="6"/>
        <v>50.9</v>
      </c>
      <c r="S114" s="28">
        <v>2</v>
      </c>
      <c r="T114" s="284"/>
      <c r="U114" s="293"/>
      <c r="V114" s="37" t="s">
        <v>480</v>
      </c>
      <c r="W114" s="28" t="s">
        <v>20</v>
      </c>
      <c r="X114" s="28" t="s">
        <v>12</v>
      </c>
      <c r="Y114" s="38">
        <v>37.9</v>
      </c>
      <c r="Z114" s="37" t="s">
        <v>83</v>
      </c>
      <c r="AA114" s="28" t="s">
        <v>869</v>
      </c>
      <c r="AB114" s="28" t="s">
        <v>18</v>
      </c>
      <c r="AC114" s="28">
        <v>6.5</v>
      </c>
      <c r="AD114" s="37" t="s">
        <v>482</v>
      </c>
      <c r="AE114" s="28" t="s">
        <v>115</v>
      </c>
      <c r="AF114" s="28" t="s">
        <v>12</v>
      </c>
      <c r="AG114" s="38">
        <v>6.5</v>
      </c>
      <c r="AH114" s="93"/>
      <c r="AL114" s="37"/>
      <c r="AO114" s="38"/>
      <c r="AP114" s="37"/>
      <c r="AS114" s="38"/>
      <c r="AW114" s="38"/>
      <c r="BA114" s="39"/>
    </row>
    <row r="115" spans="1:53" s="28" customFormat="1" x14ac:dyDescent="0.15">
      <c r="A115" s="28">
        <v>2012</v>
      </c>
      <c r="B115" s="301"/>
      <c r="C115" s="394" t="s">
        <v>820</v>
      </c>
      <c r="D115" s="394"/>
      <c r="E115" s="28">
        <v>366</v>
      </c>
      <c r="F115" s="83"/>
      <c r="G115" s="65"/>
      <c r="H115" s="28">
        <v>4</v>
      </c>
      <c r="I115" s="28">
        <v>16</v>
      </c>
      <c r="J115" s="72">
        <v>20</v>
      </c>
      <c r="K115" s="46">
        <f>G115/$J115*100</f>
        <v>0</v>
      </c>
      <c r="L115" s="46">
        <f t="shared" si="7"/>
        <v>20</v>
      </c>
      <c r="M115" s="46">
        <f t="shared" si="7"/>
        <v>80</v>
      </c>
      <c r="N115" s="67">
        <f t="shared" si="5"/>
        <v>100</v>
      </c>
      <c r="O115" s="45"/>
      <c r="P115" s="46">
        <v>6.5</v>
      </c>
      <c r="Q115" s="46">
        <v>44.4</v>
      </c>
      <c r="R115" s="47">
        <f t="shared" si="6"/>
        <v>50.9</v>
      </c>
      <c r="S115" s="28">
        <v>2</v>
      </c>
      <c r="T115" s="284"/>
      <c r="U115" s="293"/>
      <c r="V115" s="37" t="s">
        <v>480</v>
      </c>
      <c r="W115" s="28" t="s">
        <v>20</v>
      </c>
      <c r="X115" s="28" t="s">
        <v>12</v>
      </c>
      <c r="Y115" s="38">
        <v>37.9</v>
      </c>
      <c r="Z115" s="37" t="s">
        <v>83</v>
      </c>
      <c r="AA115" s="28" t="s">
        <v>869</v>
      </c>
      <c r="AB115" s="28" t="s">
        <v>18</v>
      </c>
      <c r="AC115" s="28">
        <v>6.5</v>
      </c>
      <c r="AD115" s="37" t="s">
        <v>482</v>
      </c>
      <c r="AE115" s="28" t="s">
        <v>115</v>
      </c>
      <c r="AF115" s="28" t="s">
        <v>12</v>
      </c>
      <c r="AG115" s="38">
        <v>6.5</v>
      </c>
      <c r="AH115" s="93"/>
      <c r="AL115" s="37"/>
      <c r="AO115" s="38"/>
      <c r="AP115" s="37"/>
      <c r="AS115" s="38"/>
      <c r="AW115" s="38"/>
      <c r="BA115" s="39"/>
    </row>
    <row r="116" spans="1:53" s="28" customFormat="1" x14ac:dyDescent="0.15">
      <c r="A116" s="28">
        <v>2013</v>
      </c>
      <c r="B116" s="301"/>
      <c r="C116" s="394" t="s">
        <v>820</v>
      </c>
      <c r="D116" s="394"/>
      <c r="E116" s="28">
        <v>288</v>
      </c>
      <c r="F116" s="83"/>
      <c r="G116" s="65"/>
      <c r="H116" s="28">
        <v>4</v>
      </c>
      <c r="I116" s="28">
        <v>16</v>
      </c>
      <c r="J116" s="72">
        <v>20</v>
      </c>
      <c r="K116" s="46">
        <f t="shared" ref="K116:K127" si="8">G116/$J116*100</f>
        <v>0</v>
      </c>
      <c r="L116" s="46">
        <f t="shared" ref="L116:L127" si="9">H116/$J116*100</f>
        <v>20</v>
      </c>
      <c r="M116" s="46">
        <f t="shared" ref="M116:M127" si="10">I116/$J116*100</f>
        <v>80</v>
      </c>
      <c r="N116" s="67">
        <f t="shared" ref="N116:N127" si="11">K116+L116+M116</f>
        <v>100</v>
      </c>
      <c r="O116" s="45"/>
      <c r="P116" s="46">
        <v>6.5</v>
      </c>
      <c r="Q116" s="46">
        <v>44.4</v>
      </c>
      <c r="R116" s="47">
        <f t="shared" si="6"/>
        <v>50.9</v>
      </c>
      <c r="S116" s="28">
        <v>2</v>
      </c>
      <c r="T116" s="284"/>
      <c r="U116" s="293"/>
      <c r="V116" s="37" t="s">
        <v>480</v>
      </c>
      <c r="W116" s="28" t="s">
        <v>20</v>
      </c>
      <c r="X116" s="28" t="s">
        <v>12</v>
      </c>
      <c r="Y116" s="38">
        <v>37.9</v>
      </c>
      <c r="Z116" s="37" t="s">
        <v>83</v>
      </c>
      <c r="AA116" s="28" t="s">
        <v>869</v>
      </c>
      <c r="AB116" s="28" t="s">
        <v>18</v>
      </c>
      <c r="AC116" s="28">
        <v>6.5</v>
      </c>
      <c r="AD116" s="37" t="s">
        <v>482</v>
      </c>
      <c r="AE116" s="28" t="s">
        <v>115</v>
      </c>
      <c r="AF116" s="28" t="s">
        <v>12</v>
      </c>
      <c r="AG116" s="38">
        <v>6.5</v>
      </c>
      <c r="AH116" s="93"/>
      <c r="AL116" s="37"/>
      <c r="AO116" s="38"/>
      <c r="AP116" s="37"/>
      <c r="AS116" s="38"/>
      <c r="AW116" s="38"/>
      <c r="BA116" s="39"/>
    </row>
    <row r="117" spans="1:53" s="170" customFormat="1" x14ac:dyDescent="0.15">
      <c r="A117" s="170">
        <v>2013</v>
      </c>
      <c r="B117" s="281">
        <v>41563</v>
      </c>
      <c r="C117" s="395" t="s">
        <v>1243</v>
      </c>
      <c r="D117" s="395"/>
      <c r="E117" s="170">
        <f>365-E116</f>
        <v>77</v>
      </c>
      <c r="F117" s="170">
        <v>1</v>
      </c>
      <c r="G117" s="232">
        <v>18</v>
      </c>
      <c r="J117" s="240">
        <v>18</v>
      </c>
      <c r="K117" s="213">
        <f t="shared" si="8"/>
        <v>100</v>
      </c>
      <c r="L117" s="213">
        <f t="shared" si="9"/>
        <v>0</v>
      </c>
      <c r="M117" s="213">
        <f t="shared" si="10"/>
        <v>0</v>
      </c>
      <c r="N117" s="234">
        <f t="shared" si="11"/>
        <v>100</v>
      </c>
      <c r="O117" s="212">
        <v>45.6</v>
      </c>
      <c r="P117" s="213"/>
      <c r="Q117" s="213"/>
      <c r="R117" s="214">
        <f t="shared" si="6"/>
        <v>45.6</v>
      </c>
      <c r="S117" s="170">
        <v>5</v>
      </c>
      <c r="T117" s="283">
        <v>41526</v>
      </c>
      <c r="U117" s="281">
        <v>41563</v>
      </c>
      <c r="V117" s="177" t="s">
        <v>481</v>
      </c>
      <c r="W117" s="170" t="s">
        <v>74</v>
      </c>
      <c r="X117" s="170" t="s">
        <v>11</v>
      </c>
      <c r="Y117" s="178">
        <v>28.4</v>
      </c>
      <c r="Z117" s="177" t="s">
        <v>1244</v>
      </c>
      <c r="AA117" s="170" t="s">
        <v>27</v>
      </c>
      <c r="AB117" s="170" t="s">
        <v>11</v>
      </c>
      <c r="AC117" s="170">
        <v>17.2</v>
      </c>
      <c r="AD117" s="177"/>
      <c r="AG117" s="178"/>
      <c r="AH117" s="252"/>
      <c r="AL117" s="177"/>
      <c r="AO117" s="178"/>
      <c r="AP117" s="177"/>
      <c r="AS117" s="178"/>
      <c r="AW117" s="178"/>
      <c r="BA117" s="179"/>
    </row>
    <row r="118" spans="1:53" s="170" customFormat="1" x14ac:dyDescent="0.15">
      <c r="A118" s="170">
        <v>2014</v>
      </c>
      <c r="B118" s="281"/>
      <c r="C118" s="395" t="s">
        <v>1243</v>
      </c>
      <c r="D118" s="395"/>
      <c r="E118" s="170">
        <v>0</v>
      </c>
      <c r="G118" s="232">
        <v>18</v>
      </c>
      <c r="J118" s="240">
        <v>18</v>
      </c>
      <c r="K118" s="213">
        <f t="shared" si="8"/>
        <v>100</v>
      </c>
      <c r="L118" s="213">
        <f t="shared" si="9"/>
        <v>0</v>
      </c>
      <c r="M118" s="213">
        <f t="shared" si="10"/>
        <v>0</v>
      </c>
      <c r="N118" s="234">
        <f t="shared" si="11"/>
        <v>100</v>
      </c>
      <c r="O118" s="212">
        <v>45.6</v>
      </c>
      <c r="P118" s="213"/>
      <c r="Q118" s="213"/>
      <c r="R118" s="214">
        <f>O118+P118+Q118</f>
        <v>45.6</v>
      </c>
      <c r="S118" s="170">
        <v>5</v>
      </c>
      <c r="T118" s="283"/>
      <c r="U118" s="281"/>
      <c r="V118" s="177" t="s">
        <v>481</v>
      </c>
      <c r="W118" s="170" t="s">
        <v>74</v>
      </c>
      <c r="X118" s="170" t="s">
        <v>11</v>
      </c>
      <c r="Y118" s="178">
        <v>28.4</v>
      </c>
      <c r="Z118" s="177" t="s">
        <v>1244</v>
      </c>
      <c r="AA118" s="170" t="s">
        <v>27</v>
      </c>
      <c r="AB118" s="170" t="s">
        <v>11</v>
      </c>
      <c r="AC118" s="170">
        <v>17.2</v>
      </c>
      <c r="AD118" s="177"/>
      <c r="AG118" s="178"/>
      <c r="AH118" s="252"/>
      <c r="AL118" s="177"/>
      <c r="AO118" s="178"/>
      <c r="AP118" s="177"/>
      <c r="AS118" s="178"/>
      <c r="AW118" s="178"/>
      <c r="BA118" s="179"/>
    </row>
    <row r="119" spans="1:53" s="170" customFormat="1" x14ac:dyDescent="0.15">
      <c r="A119" s="170">
        <v>2014</v>
      </c>
      <c r="B119" s="281"/>
      <c r="C119" s="395" t="s">
        <v>1243</v>
      </c>
      <c r="D119" s="395"/>
      <c r="E119" s="170">
        <v>365</v>
      </c>
      <c r="G119" s="232">
        <v>18</v>
      </c>
      <c r="J119" s="240">
        <v>18</v>
      </c>
      <c r="K119" s="213">
        <f t="shared" si="8"/>
        <v>100</v>
      </c>
      <c r="L119" s="213">
        <f t="shared" si="9"/>
        <v>0</v>
      </c>
      <c r="M119" s="213">
        <f t="shared" si="10"/>
        <v>0</v>
      </c>
      <c r="N119" s="234">
        <f t="shared" si="11"/>
        <v>100</v>
      </c>
      <c r="O119" s="212">
        <v>45.6</v>
      </c>
      <c r="P119" s="213"/>
      <c r="Q119" s="213"/>
      <c r="R119" s="214">
        <f>O119+P119+Q119</f>
        <v>45.6</v>
      </c>
      <c r="S119" s="170">
        <v>5</v>
      </c>
      <c r="T119" s="283"/>
      <c r="U119" s="281"/>
      <c r="V119" s="177" t="s">
        <v>481</v>
      </c>
      <c r="W119" s="170" t="s">
        <v>74</v>
      </c>
      <c r="X119" s="170" t="s">
        <v>11</v>
      </c>
      <c r="Y119" s="178">
        <v>28.4</v>
      </c>
      <c r="Z119" s="177" t="s">
        <v>1244</v>
      </c>
      <c r="AA119" s="170" t="s">
        <v>27</v>
      </c>
      <c r="AB119" s="170" t="s">
        <v>11</v>
      </c>
      <c r="AC119" s="170">
        <v>17.2</v>
      </c>
      <c r="AD119" s="177"/>
      <c r="AG119" s="178"/>
      <c r="AH119" s="252"/>
      <c r="AL119" s="177"/>
      <c r="AO119" s="178"/>
      <c r="AP119" s="177"/>
      <c r="AS119" s="178"/>
      <c r="AW119" s="178"/>
      <c r="BA119" s="179"/>
    </row>
    <row r="120" spans="1:53" s="170" customFormat="1" x14ac:dyDescent="0.15">
      <c r="A120" s="170">
        <v>2015</v>
      </c>
      <c r="B120" s="281"/>
      <c r="C120" s="395" t="s">
        <v>1243</v>
      </c>
      <c r="D120" s="395"/>
      <c r="E120" s="170">
        <v>349</v>
      </c>
      <c r="G120" s="232">
        <v>18</v>
      </c>
      <c r="J120" s="240">
        <v>18</v>
      </c>
      <c r="K120" s="213">
        <f t="shared" si="8"/>
        <v>100</v>
      </c>
      <c r="L120" s="213">
        <f t="shared" si="9"/>
        <v>0</v>
      </c>
      <c r="M120" s="213">
        <f t="shared" si="10"/>
        <v>0</v>
      </c>
      <c r="N120" s="234">
        <f t="shared" si="11"/>
        <v>100</v>
      </c>
      <c r="O120" s="212">
        <v>45.6</v>
      </c>
      <c r="P120" s="213"/>
      <c r="Q120" s="213"/>
      <c r="R120" s="214">
        <f t="shared" ref="R120:R121" si="12">O120+P120+Q120</f>
        <v>45.6</v>
      </c>
      <c r="S120" s="170">
        <v>5</v>
      </c>
      <c r="T120" s="283"/>
      <c r="U120" s="281"/>
      <c r="V120" s="177" t="s">
        <v>481</v>
      </c>
      <c r="W120" s="170" t="s">
        <v>74</v>
      </c>
      <c r="X120" s="170" t="s">
        <v>11</v>
      </c>
      <c r="Y120" s="178">
        <v>28.4</v>
      </c>
      <c r="Z120" s="177" t="s">
        <v>1244</v>
      </c>
      <c r="AA120" s="170" t="s">
        <v>27</v>
      </c>
      <c r="AB120" s="170" t="s">
        <v>11</v>
      </c>
      <c r="AC120" s="170">
        <v>17.2</v>
      </c>
      <c r="AD120" s="177"/>
      <c r="AG120" s="178"/>
      <c r="AH120" s="252"/>
      <c r="AL120" s="177"/>
      <c r="AO120" s="178"/>
      <c r="AP120" s="177"/>
      <c r="AS120" s="178"/>
      <c r="AW120" s="178"/>
      <c r="BA120" s="179"/>
    </row>
    <row r="121" spans="1:53" s="170" customFormat="1" x14ac:dyDescent="0.15">
      <c r="A121" s="170">
        <v>2015</v>
      </c>
      <c r="B121" s="299">
        <v>42354</v>
      </c>
      <c r="C121" s="395" t="s">
        <v>1243</v>
      </c>
      <c r="D121" s="395"/>
      <c r="E121" s="170">
        <v>16</v>
      </c>
      <c r="F121" s="191">
        <v>0</v>
      </c>
      <c r="G121" s="232">
        <v>19</v>
      </c>
      <c r="J121" s="240">
        <v>19</v>
      </c>
      <c r="K121" s="213">
        <f t="shared" si="8"/>
        <v>100</v>
      </c>
      <c r="L121" s="213">
        <f t="shared" si="9"/>
        <v>0</v>
      </c>
      <c r="M121" s="213">
        <f t="shared" si="10"/>
        <v>0</v>
      </c>
      <c r="N121" s="234">
        <f t="shared" si="11"/>
        <v>100</v>
      </c>
      <c r="O121" s="212">
        <v>45.6</v>
      </c>
      <c r="P121" s="213"/>
      <c r="Q121" s="213"/>
      <c r="R121" s="214">
        <f t="shared" si="12"/>
        <v>45.6</v>
      </c>
      <c r="S121" s="170">
        <v>5</v>
      </c>
      <c r="T121" s="283"/>
      <c r="U121" s="281"/>
      <c r="V121" s="177" t="s">
        <v>481</v>
      </c>
      <c r="W121" s="170" t="s">
        <v>74</v>
      </c>
      <c r="X121" s="170" t="s">
        <v>11</v>
      </c>
      <c r="Y121" s="178">
        <v>28.4</v>
      </c>
      <c r="Z121" s="177" t="s">
        <v>1244</v>
      </c>
      <c r="AA121" s="170" t="s">
        <v>27</v>
      </c>
      <c r="AB121" s="170" t="s">
        <v>11</v>
      </c>
      <c r="AC121" s="170">
        <v>17.2</v>
      </c>
      <c r="AD121" s="177"/>
      <c r="AG121" s="178"/>
      <c r="AH121" s="252"/>
      <c r="AL121" s="177"/>
      <c r="AO121" s="178"/>
      <c r="AP121" s="177"/>
      <c r="AS121" s="178"/>
      <c r="AW121" s="178"/>
      <c r="BA121" s="179"/>
    </row>
    <row r="122" spans="1:53" s="170" customFormat="1" x14ac:dyDescent="0.15">
      <c r="A122" s="170">
        <v>2016</v>
      </c>
      <c r="B122" s="299"/>
      <c r="C122" s="395" t="s">
        <v>1243</v>
      </c>
      <c r="D122" s="395"/>
      <c r="E122" s="170">
        <v>0</v>
      </c>
      <c r="F122" s="191"/>
      <c r="G122" s="232">
        <v>19</v>
      </c>
      <c r="J122" s="240">
        <v>19</v>
      </c>
      <c r="K122" s="213">
        <f t="shared" si="8"/>
        <v>100</v>
      </c>
      <c r="L122" s="213">
        <f t="shared" si="9"/>
        <v>0</v>
      </c>
      <c r="M122" s="213">
        <f t="shared" si="10"/>
        <v>0</v>
      </c>
      <c r="N122" s="234">
        <f t="shared" si="11"/>
        <v>100</v>
      </c>
      <c r="O122" s="212">
        <v>45.6</v>
      </c>
      <c r="P122" s="213"/>
      <c r="Q122" s="213"/>
      <c r="R122" s="214">
        <f t="shared" ref="R122" si="13">O122+P122+Q122</f>
        <v>45.6</v>
      </c>
      <c r="S122" s="170">
        <v>5</v>
      </c>
      <c r="T122" s="283"/>
      <c r="U122" s="281"/>
      <c r="V122" s="177" t="s">
        <v>481</v>
      </c>
      <c r="W122" s="170" t="s">
        <v>74</v>
      </c>
      <c r="X122" s="170" t="s">
        <v>11</v>
      </c>
      <c r="Y122" s="178">
        <v>28.4</v>
      </c>
      <c r="Z122" s="177" t="s">
        <v>1244</v>
      </c>
      <c r="AA122" s="170" t="s">
        <v>27</v>
      </c>
      <c r="AB122" s="170" t="s">
        <v>11</v>
      </c>
      <c r="AC122" s="170">
        <v>17.2</v>
      </c>
      <c r="AD122" s="177"/>
      <c r="AG122" s="178"/>
      <c r="AH122" s="252"/>
      <c r="AL122" s="177"/>
      <c r="AO122" s="178"/>
      <c r="AP122" s="177"/>
      <c r="AS122" s="178"/>
      <c r="AW122" s="178"/>
      <c r="BA122" s="179"/>
    </row>
    <row r="123" spans="1:53" s="170" customFormat="1" x14ac:dyDescent="0.15">
      <c r="A123" s="170">
        <v>2016</v>
      </c>
      <c r="B123" s="299"/>
      <c r="C123" s="395" t="s">
        <v>1243</v>
      </c>
      <c r="D123" s="395"/>
      <c r="E123" s="170">
        <v>366</v>
      </c>
      <c r="F123" s="191"/>
      <c r="G123" s="232">
        <v>19</v>
      </c>
      <c r="J123" s="240">
        <v>19</v>
      </c>
      <c r="K123" s="213">
        <f t="shared" si="8"/>
        <v>100</v>
      </c>
      <c r="L123" s="213">
        <f t="shared" si="9"/>
        <v>0</v>
      </c>
      <c r="M123" s="213">
        <f t="shared" si="10"/>
        <v>0</v>
      </c>
      <c r="N123" s="234">
        <f t="shared" si="11"/>
        <v>100</v>
      </c>
      <c r="O123" s="212">
        <v>45.6</v>
      </c>
      <c r="P123" s="213"/>
      <c r="Q123" s="213"/>
      <c r="R123" s="214">
        <f t="shared" ref="R123:R133" si="14">O123+P123+Q123</f>
        <v>45.6</v>
      </c>
      <c r="S123" s="170">
        <v>5</v>
      </c>
      <c r="T123" s="283"/>
      <c r="U123" s="281"/>
      <c r="V123" s="177" t="s">
        <v>481</v>
      </c>
      <c r="W123" s="170" t="s">
        <v>74</v>
      </c>
      <c r="X123" s="170" t="s">
        <v>11</v>
      </c>
      <c r="Y123" s="178">
        <v>28.4</v>
      </c>
      <c r="Z123" s="177" t="s">
        <v>1244</v>
      </c>
      <c r="AA123" s="170" t="s">
        <v>27</v>
      </c>
      <c r="AB123" s="170" t="s">
        <v>11</v>
      </c>
      <c r="AC123" s="170">
        <v>17.2</v>
      </c>
      <c r="AD123" s="177"/>
      <c r="AG123" s="178"/>
      <c r="AH123" s="252"/>
      <c r="AL123" s="177"/>
      <c r="AO123" s="178"/>
      <c r="AP123" s="177"/>
      <c r="AS123" s="178"/>
      <c r="AW123" s="178"/>
      <c r="BA123" s="179"/>
    </row>
    <row r="124" spans="1:53" s="170" customFormat="1" x14ac:dyDescent="0.15">
      <c r="A124" s="170">
        <v>2017</v>
      </c>
      <c r="B124" s="299"/>
      <c r="C124" s="395" t="s">
        <v>1243</v>
      </c>
      <c r="D124" s="395"/>
      <c r="E124" s="170">
        <v>253</v>
      </c>
      <c r="F124" s="191"/>
      <c r="G124" s="232">
        <v>19</v>
      </c>
      <c r="J124" s="240">
        <v>19</v>
      </c>
      <c r="K124" s="213">
        <f t="shared" si="8"/>
        <v>100</v>
      </c>
      <c r="L124" s="213">
        <f t="shared" si="9"/>
        <v>0</v>
      </c>
      <c r="M124" s="213">
        <f t="shared" si="10"/>
        <v>0</v>
      </c>
      <c r="N124" s="234">
        <f t="shared" si="11"/>
        <v>100</v>
      </c>
      <c r="O124" s="212">
        <v>45.6</v>
      </c>
      <c r="P124" s="213"/>
      <c r="Q124" s="213"/>
      <c r="R124" s="214">
        <f t="shared" si="14"/>
        <v>45.6</v>
      </c>
      <c r="S124" s="170">
        <v>5</v>
      </c>
      <c r="T124" s="283"/>
      <c r="U124" s="281"/>
      <c r="V124" s="177" t="s">
        <v>481</v>
      </c>
      <c r="W124" s="170" t="s">
        <v>74</v>
      </c>
      <c r="X124" s="170" t="s">
        <v>11</v>
      </c>
      <c r="Y124" s="178">
        <v>28.4</v>
      </c>
      <c r="Z124" s="177" t="s">
        <v>1244</v>
      </c>
      <c r="AA124" s="170" t="s">
        <v>27</v>
      </c>
      <c r="AB124" s="170" t="s">
        <v>11</v>
      </c>
      <c r="AC124" s="170">
        <v>17.2</v>
      </c>
      <c r="AD124" s="177"/>
      <c r="AG124" s="178"/>
      <c r="AH124" s="252"/>
      <c r="AL124" s="177"/>
      <c r="AO124" s="178"/>
      <c r="AP124" s="177"/>
      <c r="AS124" s="178"/>
      <c r="AW124" s="178"/>
      <c r="BA124" s="179"/>
    </row>
    <row r="125" spans="1:53" s="28" customFormat="1" x14ac:dyDescent="0.15">
      <c r="A125" s="28">
        <v>2017</v>
      </c>
      <c r="B125" s="293">
        <v>42989</v>
      </c>
      <c r="C125" s="394" t="s">
        <v>1378</v>
      </c>
      <c r="D125" s="394"/>
      <c r="E125" s="28">
        <v>112</v>
      </c>
      <c r="F125" s="28">
        <v>1</v>
      </c>
      <c r="G125" s="65">
        <v>19</v>
      </c>
      <c r="J125" s="72">
        <v>19</v>
      </c>
      <c r="K125" s="46">
        <f t="shared" si="8"/>
        <v>100</v>
      </c>
      <c r="L125" s="46">
        <f t="shared" si="9"/>
        <v>0</v>
      </c>
      <c r="M125" s="46">
        <f t="shared" si="10"/>
        <v>0</v>
      </c>
      <c r="N125" s="67">
        <f t="shared" si="11"/>
        <v>100</v>
      </c>
      <c r="O125" s="45">
        <v>42.6</v>
      </c>
      <c r="P125" s="46"/>
      <c r="Q125" s="46"/>
      <c r="R125" s="47">
        <f t="shared" si="14"/>
        <v>42.6</v>
      </c>
      <c r="S125" s="28">
        <v>5</v>
      </c>
      <c r="T125" s="284">
        <v>42989</v>
      </c>
      <c r="U125" s="293">
        <v>42989</v>
      </c>
      <c r="V125" s="37" t="s">
        <v>481</v>
      </c>
      <c r="W125" s="28" t="s">
        <v>74</v>
      </c>
      <c r="X125" s="28" t="s">
        <v>11</v>
      </c>
      <c r="Y125" s="38">
        <v>26.6</v>
      </c>
      <c r="Z125" s="37" t="s">
        <v>1244</v>
      </c>
      <c r="AA125" s="28" t="s">
        <v>27</v>
      </c>
      <c r="AB125" s="28" t="s">
        <v>11</v>
      </c>
      <c r="AC125" s="28">
        <v>16</v>
      </c>
      <c r="AD125" s="37"/>
      <c r="AG125" s="38"/>
      <c r="AH125" s="93"/>
      <c r="AL125" s="37"/>
      <c r="AO125" s="38"/>
      <c r="AP125" s="37"/>
      <c r="AS125" s="38"/>
      <c r="AW125" s="38"/>
      <c r="BA125" s="39"/>
    </row>
    <row r="126" spans="1:53" s="28" customFormat="1" x14ac:dyDescent="0.15">
      <c r="A126" s="28">
        <v>2018</v>
      </c>
      <c r="B126" s="293"/>
      <c r="C126" s="394" t="s">
        <v>1378</v>
      </c>
      <c r="D126" s="394"/>
      <c r="E126" s="28">
        <v>16</v>
      </c>
      <c r="G126" s="65">
        <v>19</v>
      </c>
      <c r="J126" s="72">
        <v>19</v>
      </c>
      <c r="K126" s="46">
        <f t="shared" si="8"/>
        <v>100</v>
      </c>
      <c r="L126" s="46">
        <f t="shared" si="9"/>
        <v>0</v>
      </c>
      <c r="M126" s="46">
        <f t="shared" si="10"/>
        <v>0</v>
      </c>
      <c r="N126" s="67">
        <f t="shared" si="11"/>
        <v>100</v>
      </c>
      <c r="O126" s="45">
        <v>42.6</v>
      </c>
      <c r="P126" s="46"/>
      <c r="Q126" s="46"/>
      <c r="R126" s="47">
        <f t="shared" si="14"/>
        <v>42.6</v>
      </c>
      <c r="S126" s="28">
        <v>5</v>
      </c>
      <c r="T126" s="284"/>
      <c r="U126" s="293"/>
      <c r="V126" s="37" t="s">
        <v>481</v>
      </c>
      <c r="W126" s="28" t="s">
        <v>74</v>
      </c>
      <c r="X126" s="28" t="s">
        <v>11</v>
      </c>
      <c r="Y126" s="38">
        <v>26.6</v>
      </c>
      <c r="Z126" s="37" t="s">
        <v>1244</v>
      </c>
      <c r="AA126" s="28" t="s">
        <v>27</v>
      </c>
      <c r="AB126" s="28" t="s">
        <v>11</v>
      </c>
      <c r="AC126" s="28">
        <v>16</v>
      </c>
      <c r="AD126" s="37"/>
      <c r="AG126" s="38"/>
      <c r="AH126" s="93"/>
      <c r="AL126" s="37"/>
      <c r="AO126" s="38"/>
      <c r="AP126" s="37"/>
      <c r="AS126" s="38"/>
      <c r="AW126" s="38"/>
      <c r="BA126" s="39"/>
    </row>
    <row r="127" spans="1:53" s="170" customFormat="1" x14ac:dyDescent="0.15">
      <c r="A127" s="170">
        <v>2018</v>
      </c>
      <c r="B127" s="281">
        <v>43117</v>
      </c>
      <c r="C127" s="395" t="s">
        <v>1398</v>
      </c>
      <c r="D127" s="395"/>
      <c r="E127" s="170">
        <v>349</v>
      </c>
      <c r="F127" s="170">
        <v>7</v>
      </c>
      <c r="G127" s="232">
        <v>20</v>
      </c>
      <c r="J127" s="240">
        <v>20</v>
      </c>
      <c r="K127" s="213">
        <f t="shared" si="8"/>
        <v>100</v>
      </c>
      <c r="L127" s="213">
        <f t="shared" si="9"/>
        <v>0</v>
      </c>
      <c r="M127" s="213">
        <f t="shared" si="10"/>
        <v>0</v>
      </c>
      <c r="N127" s="234">
        <f t="shared" si="11"/>
        <v>100</v>
      </c>
      <c r="O127" s="212">
        <v>52.1</v>
      </c>
      <c r="P127" s="213"/>
      <c r="Q127" s="213"/>
      <c r="R127" s="214">
        <f t="shared" si="14"/>
        <v>52.1</v>
      </c>
      <c r="S127" s="170">
        <v>3</v>
      </c>
      <c r="T127" s="283"/>
      <c r="U127" s="281">
        <v>43117</v>
      </c>
      <c r="V127" s="177" t="s">
        <v>481</v>
      </c>
      <c r="W127" s="170" t="s">
        <v>74</v>
      </c>
      <c r="X127" s="170" t="s">
        <v>11</v>
      </c>
      <c r="Y127" s="178">
        <v>26.6</v>
      </c>
      <c r="Z127" s="177" t="s">
        <v>1244</v>
      </c>
      <c r="AA127" s="170" t="s">
        <v>27</v>
      </c>
      <c r="AB127" s="170" t="s">
        <v>11</v>
      </c>
      <c r="AC127" s="170">
        <v>16</v>
      </c>
      <c r="AD127" s="177" t="s">
        <v>404</v>
      </c>
      <c r="AE127" s="170" t="s">
        <v>22</v>
      </c>
      <c r="AF127" s="170" t="s">
        <v>11</v>
      </c>
      <c r="AG127" s="178">
        <v>4.7</v>
      </c>
      <c r="AH127" s="252"/>
      <c r="AL127" s="177"/>
      <c r="AO127" s="178"/>
      <c r="AP127" s="177"/>
      <c r="AS127" s="178"/>
      <c r="AW127" s="178"/>
      <c r="BA127" s="179"/>
    </row>
    <row r="128" spans="1:53" s="170" customFormat="1" x14ac:dyDescent="0.15">
      <c r="A128" s="170">
        <v>2019</v>
      </c>
      <c r="B128" s="281"/>
      <c r="C128" s="395" t="s">
        <v>1398</v>
      </c>
      <c r="D128" s="395"/>
      <c r="E128" s="170">
        <v>22</v>
      </c>
      <c r="G128" s="232">
        <v>20</v>
      </c>
      <c r="J128" s="240">
        <v>20</v>
      </c>
      <c r="K128" s="213">
        <f t="shared" ref="K128" si="15">G128/$J128*100</f>
        <v>100</v>
      </c>
      <c r="L128" s="213">
        <f t="shared" ref="L128" si="16">H128/$J128*100</f>
        <v>0</v>
      </c>
      <c r="M128" s="213">
        <f t="shared" ref="M128" si="17">I128/$J128*100</f>
        <v>0</v>
      </c>
      <c r="N128" s="234">
        <f t="shared" ref="N128" si="18">K128+L128+M128</f>
        <v>100</v>
      </c>
      <c r="O128" s="212">
        <v>52.1</v>
      </c>
      <c r="P128" s="213"/>
      <c r="Q128" s="213"/>
      <c r="R128" s="214">
        <f t="shared" si="14"/>
        <v>52.1</v>
      </c>
      <c r="S128" s="170">
        <v>3</v>
      </c>
      <c r="T128" s="283"/>
      <c r="U128" s="281"/>
      <c r="V128" s="177" t="s">
        <v>481</v>
      </c>
      <c r="W128" s="170" t="s">
        <v>74</v>
      </c>
      <c r="X128" s="170" t="s">
        <v>11</v>
      </c>
      <c r="Y128" s="178">
        <v>26.6</v>
      </c>
      <c r="Z128" s="177" t="s">
        <v>1244</v>
      </c>
      <c r="AA128" s="170" t="s">
        <v>27</v>
      </c>
      <c r="AB128" s="170" t="s">
        <v>11</v>
      </c>
      <c r="AC128" s="170">
        <v>16</v>
      </c>
      <c r="AD128" s="177" t="s">
        <v>404</v>
      </c>
      <c r="AE128" s="170" t="s">
        <v>22</v>
      </c>
      <c r="AF128" s="170" t="s">
        <v>11</v>
      </c>
      <c r="AG128" s="178">
        <v>4.7</v>
      </c>
      <c r="AH128" s="252"/>
      <c r="AL128" s="177"/>
      <c r="AO128" s="178"/>
      <c r="AP128" s="177"/>
      <c r="AS128" s="178"/>
      <c r="AW128" s="178"/>
      <c r="BA128" s="179"/>
    </row>
    <row r="129" spans="1:53" s="170" customFormat="1" x14ac:dyDescent="0.15">
      <c r="A129" s="170">
        <v>2019</v>
      </c>
      <c r="B129" s="281">
        <v>43487</v>
      </c>
      <c r="C129" s="395" t="s">
        <v>1398</v>
      </c>
      <c r="D129" s="395"/>
      <c r="E129" s="170">
        <v>343</v>
      </c>
      <c r="F129" s="170">
        <v>7</v>
      </c>
      <c r="G129" s="232">
        <v>19</v>
      </c>
      <c r="H129" s="170">
        <v>3</v>
      </c>
      <c r="J129" s="240">
        <v>22</v>
      </c>
      <c r="K129" s="213">
        <f t="shared" ref="K129:K137" si="19">G129/$J129*100</f>
        <v>86.36363636363636</v>
      </c>
      <c r="L129" s="213">
        <f t="shared" ref="L129:L137" si="20">H129/$J129*100</f>
        <v>13.636363636363635</v>
      </c>
      <c r="M129" s="213">
        <f t="shared" ref="M129:M137" si="21">I129/$J129*100</f>
        <v>0</v>
      </c>
      <c r="N129" s="234">
        <f t="shared" ref="N129:N137" si="22">K129+L129+M129</f>
        <v>100</v>
      </c>
      <c r="O129" s="212">
        <v>52.1</v>
      </c>
      <c r="P129" s="213">
        <v>4.7</v>
      </c>
      <c r="Q129" s="213"/>
      <c r="R129" s="214">
        <f t="shared" si="14"/>
        <v>56.800000000000004</v>
      </c>
      <c r="S129" s="170">
        <v>3</v>
      </c>
      <c r="T129" s="283"/>
      <c r="U129" s="281"/>
      <c r="V129" s="177" t="s">
        <v>481</v>
      </c>
      <c r="W129" s="170" t="s">
        <v>74</v>
      </c>
      <c r="X129" s="170" t="s">
        <v>11</v>
      </c>
      <c r="Y129" s="178">
        <v>26.6</v>
      </c>
      <c r="Z129" s="177" t="s">
        <v>1244</v>
      </c>
      <c r="AA129" s="170" t="s">
        <v>27</v>
      </c>
      <c r="AB129" s="170" t="s">
        <v>11</v>
      </c>
      <c r="AC129" s="170">
        <v>16</v>
      </c>
      <c r="AD129" s="177" t="s">
        <v>404</v>
      </c>
      <c r="AE129" s="170" t="s">
        <v>22</v>
      </c>
      <c r="AF129" s="170" t="s">
        <v>11</v>
      </c>
      <c r="AG129" s="178">
        <v>4.7</v>
      </c>
      <c r="AH129" s="252" t="s">
        <v>264</v>
      </c>
      <c r="AI129" s="170" t="s">
        <v>17</v>
      </c>
      <c r="AJ129" s="170" t="s">
        <v>18</v>
      </c>
      <c r="AK129" s="170">
        <v>4.7</v>
      </c>
      <c r="AL129" s="177"/>
      <c r="AO129" s="178"/>
      <c r="AP129" s="177"/>
      <c r="AS129" s="178"/>
      <c r="AW129" s="178"/>
      <c r="BA129" s="179"/>
    </row>
    <row r="130" spans="1:53" s="170" customFormat="1" x14ac:dyDescent="0.15">
      <c r="A130" s="170">
        <v>2020</v>
      </c>
      <c r="B130" s="281"/>
      <c r="C130" s="395" t="s">
        <v>1398</v>
      </c>
      <c r="D130" s="395"/>
      <c r="E130" s="170">
        <v>23</v>
      </c>
      <c r="G130" s="232">
        <v>19</v>
      </c>
      <c r="H130" s="170">
        <v>3</v>
      </c>
      <c r="J130" s="240">
        <v>22</v>
      </c>
      <c r="K130" s="213">
        <f t="shared" si="19"/>
        <v>86.36363636363636</v>
      </c>
      <c r="L130" s="213">
        <f t="shared" si="20"/>
        <v>13.636363636363635</v>
      </c>
      <c r="M130" s="213">
        <f t="shared" si="21"/>
        <v>0</v>
      </c>
      <c r="N130" s="234">
        <f t="shared" si="22"/>
        <v>100</v>
      </c>
      <c r="O130" s="212">
        <v>52.1</v>
      </c>
      <c r="P130" s="213">
        <v>4.7</v>
      </c>
      <c r="Q130" s="213"/>
      <c r="R130" s="214">
        <f t="shared" si="14"/>
        <v>56.800000000000004</v>
      </c>
      <c r="S130" s="170">
        <v>3</v>
      </c>
      <c r="T130" s="283"/>
      <c r="U130" s="281"/>
      <c r="V130" s="177" t="s">
        <v>481</v>
      </c>
      <c r="W130" s="170" t="s">
        <v>74</v>
      </c>
      <c r="X130" s="170" t="s">
        <v>11</v>
      </c>
      <c r="Y130" s="178">
        <v>26.6</v>
      </c>
      <c r="Z130" s="177" t="s">
        <v>1244</v>
      </c>
      <c r="AA130" s="170" t="s">
        <v>27</v>
      </c>
      <c r="AB130" s="170" t="s">
        <v>11</v>
      </c>
      <c r="AC130" s="170">
        <v>16</v>
      </c>
      <c r="AD130" s="177" t="s">
        <v>404</v>
      </c>
      <c r="AE130" s="170" t="s">
        <v>22</v>
      </c>
      <c r="AF130" s="170" t="s">
        <v>11</v>
      </c>
      <c r="AG130" s="178">
        <v>4.7</v>
      </c>
      <c r="AH130" s="252" t="s">
        <v>264</v>
      </c>
      <c r="AI130" s="170" t="s">
        <v>17</v>
      </c>
      <c r="AJ130" s="170" t="s">
        <v>18</v>
      </c>
      <c r="AK130" s="170">
        <v>4.7</v>
      </c>
      <c r="AL130" s="177"/>
      <c r="AO130" s="178"/>
      <c r="AP130" s="177"/>
      <c r="AS130" s="178"/>
      <c r="AW130" s="178"/>
      <c r="BA130" s="179"/>
    </row>
    <row r="131" spans="1:53" s="28" customFormat="1" x14ac:dyDescent="0.15">
      <c r="A131" s="28">
        <v>2020</v>
      </c>
      <c r="B131" s="293">
        <v>43854</v>
      </c>
      <c r="C131" s="394" t="s">
        <v>1477</v>
      </c>
      <c r="D131" s="394"/>
      <c r="E131" s="28">
        <v>343</v>
      </c>
      <c r="F131" s="28">
        <v>4</v>
      </c>
      <c r="G131" s="65">
        <v>16</v>
      </c>
      <c r="H131" s="28">
        <v>4</v>
      </c>
      <c r="J131" s="72">
        <v>20</v>
      </c>
      <c r="K131" s="46">
        <f t="shared" si="19"/>
        <v>80</v>
      </c>
      <c r="L131" s="46">
        <f t="shared" si="20"/>
        <v>20</v>
      </c>
      <c r="M131" s="46">
        <f t="shared" si="21"/>
        <v>0</v>
      </c>
      <c r="N131" s="67">
        <f t="shared" si="22"/>
        <v>100</v>
      </c>
      <c r="O131" s="45">
        <v>31.3</v>
      </c>
      <c r="P131" s="46">
        <v>4.7</v>
      </c>
      <c r="Q131" s="46"/>
      <c r="R131" s="47">
        <f t="shared" si="14"/>
        <v>36</v>
      </c>
      <c r="S131" s="28">
        <v>5</v>
      </c>
      <c r="T131" s="284"/>
      <c r="U131" s="293">
        <v>43854</v>
      </c>
      <c r="V131" s="37" t="s">
        <v>481</v>
      </c>
      <c r="W131" s="28" t="s">
        <v>74</v>
      </c>
      <c r="X131" s="28" t="s">
        <v>11</v>
      </c>
      <c r="Y131" s="38">
        <v>26.6</v>
      </c>
      <c r="Z131" s="37" t="s">
        <v>404</v>
      </c>
      <c r="AA131" s="28" t="s">
        <v>22</v>
      </c>
      <c r="AB131" s="28" t="s">
        <v>11</v>
      </c>
      <c r="AC131" s="28">
        <v>4.7</v>
      </c>
      <c r="AD131" s="37" t="s">
        <v>264</v>
      </c>
      <c r="AE131" s="28" t="s">
        <v>17</v>
      </c>
      <c r="AF131" s="28" t="s">
        <v>18</v>
      </c>
      <c r="AG131" s="38">
        <v>4.7</v>
      </c>
      <c r="AH131" s="93"/>
      <c r="AL131" s="37"/>
      <c r="AO131" s="38"/>
      <c r="AP131" s="37"/>
      <c r="AS131" s="38"/>
      <c r="AW131" s="38"/>
      <c r="BA131" s="39"/>
    </row>
    <row r="132" spans="1:53" s="28" customFormat="1" x14ac:dyDescent="0.15">
      <c r="A132" s="28">
        <v>2021</v>
      </c>
      <c r="B132" s="293"/>
      <c r="C132" s="394" t="s">
        <v>1477</v>
      </c>
      <c r="D132" s="394"/>
      <c r="E132" s="28">
        <v>263</v>
      </c>
      <c r="G132" s="65">
        <v>16</v>
      </c>
      <c r="H132" s="28">
        <v>4</v>
      </c>
      <c r="J132" s="72">
        <v>20</v>
      </c>
      <c r="K132" s="46">
        <f t="shared" si="19"/>
        <v>80</v>
      </c>
      <c r="L132" s="46">
        <f t="shared" si="20"/>
        <v>20</v>
      </c>
      <c r="M132" s="46">
        <f t="shared" si="21"/>
        <v>0</v>
      </c>
      <c r="N132" s="67">
        <f t="shared" si="22"/>
        <v>100</v>
      </c>
      <c r="O132" s="45">
        <v>31.3</v>
      </c>
      <c r="P132" s="46">
        <v>4.7</v>
      </c>
      <c r="Q132" s="46"/>
      <c r="R132" s="47">
        <f t="shared" si="14"/>
        <v>36</v>
      </c>
      <c r="S132" s="28">
        <v>5</v>
      </c>
      <c r="T132" s="284"/>
      <c r="U132" s="293"/>
      <c r="V132" s="37" t="s">
        <v>481</v>
      </c>
      <c r="W132" s="28" t="s">
        <v>74</v>
      </c>
      <c r="X132" s="28" t="s">
        <v>11</v>
      </c>
      <c r="Y132" s="38">
        <v>26.6</v>
      </c>
      <c r="Z132" s="37" t="s">
        <v>404</v>
      </c>
      <c r="AA132" s="28" t="s">
        <v>22</v>
      </c>
      <c r="AB132" s="28" t="s">
        <v>11</v>
      </c>
      <c r="AC132" s="28">
        <v>4.7</v>
      </c>
      <c r="AD132" s="37" t="s">
        <v>264</v>
      </c>
      <c r="AE132" s="28" t="s">
        <v>17</v>
      </c>
      <c r="AF132" s="28" t="s">
        <v>18</v>
      </c>
      <c r="AG132" s="38">
        <v>4.7</v>
      </c>
      <c r="AH132" s="93"/>
      <c r="AL132" s="37"/>
      <c r="AO132" s="38"/>
      <c r="AP132" s="37"/>
      <c r="AS132" s="38"/>
      <c r="AW132" s="38"/>
      <c r="BA132" s="39"/>
    </row>
    <row r="133" spans="1:53" s="28" customFormat="1" x14ac:dyDescent="0.15">
      <c r="A133" s="28">
        <v>2021</v>
      </c>
      <c r="B133" s="298">
        <v>44459</v>
      </c>
      <c r="C133" s="394" t="s">
        <v>1477</v>
      </c>
      <c r="D133" s="394"/>
      <c r="E133" s="28">
        <v>24</v>
      </c>
      <c r="F133" s="69">
        <v>0</v>
      </c>
      <c r="G133" s="65">
        <v>16</v>
      </c>
      <c r="H133" s="28">
        <v>3</v>
      </c>
      <c r="J133" s="72">
        <v>19</v>
      </c>
      <c r="K133" s="46">
        <f t="shared" si="19"/>
        <v>84.210526315789465</v>
      </c>
      <c r="L133" s="46">
        <f t="shared" si="20"/>
        <v>15.789473684210526</v>
      </c>
      <c r="M133" s="46">
        <f t="shared" si="21"/>
        <v>0</v>
      </c>
      <c r="N133" s="67">
        <f t="shared" si="22"/>
        <v>99.999999999999986</v>
      </c>
      <c r="O133" s="45">
        <v>31.3</v>
      </c>
      <c r="P133" s="46">
        <v>4.7</v>
      </c>
      <c r="Q133" s="46"/>
      <c r="R133" s="47">
        <f t="shared" si="14"/>
        <v>36</v>
      </c>
      <c r="S133" s="28">
        <v>5</v>
      </c>
      <c r="T133" s="284"/>
      <c r="U133" s="293"/>
      <c r="V133" s="37" t="s">
        <v>481</v>
      </c>
      <c r="W133" s="28" t="s">
        <v>74</v>
      </c>
      <c r="X133" s="28" t="s">
        <v>11</v>
      </c>
      <c r="Y133" s="38">
        <v>26.6</v>
      </c>
      <c r="Z133" s="37" t="s">
        <v>404</v>
      </c>
      <c r="AA133" s="28" t="s">
        <v>22</v>
      </c>
      <c r="AB133" s="28" t="s">
        <v>11</v>
      </c>
      <c r="AC133" s="28">
        <v>4.7</v>
      </c>
      <c r="AD133" s="37" t="s">
        <v>264</v>
      </c>
      <c r="AE133" s="28" t="s">
        <v>17</v>
      </c>
      <c r="AF133" s="28" t="s">
        <v>18</v>
      </c>
      <c r="AG133" s="38">
        <v>4.7</v>
      </c>
      <c r="AH133" s="93"/>
      <c r="AL133" s="37"/>
      <c r="AO133" s="38"/>
      <c r="AP133" s="37"/>
      <c r="AS133" s="38"/>
      <c r="AW133" s="38"/>
      <c r="BA133" s="39"/>
    </row>
    <row r="134" spans="1:53" s="170" customFormat="1" x14ac:dyDescent="0.15">
      <c r="A134" s="170">
        <v>2021</v>
      </c>
      <c r="B134" s="281">
        <v>44483</v>
      </c>
      <c r="C134" s="395" t="s">
        <v>1494</v>
      </c>
      <c r="D134" s="395"/>
      <c r="E134" s="170">
        <v>78</v>
      </c>
      <c r="F134" s="170">
        <v>1</v>
      </c>
      <c r="G134" s="232"/>
      <c r="H134" s="170">
        <v>8</v>
      </c>
      <c r="I134" s="170">
        <v>11</v>
      </c>
      <c r="J134" s="240">
        <v>19</v>
      </c>
      <c r="K134" s="213">
        <f t="shared" si="19"/>
        <v>0</v>
      </c>
      <c r="L134" s="213">
        <f t="shared" si="20"/>
        <v>42.105263157894733</v>
      </c>
      <c r="M134" s="213">
        <f t="shared" si="21"/>
        <v>57.894736842105267</v>
      </c>
      <c r="N134" s="234">
        <f t="shared" si="22"/>
        <v>100</v>
      </c>
      <c r="O134" s="212"/>
      <c r="P134" s="213">
        <v>16.600000000000001</v>
      </c>
      <c r="Q134" s="213">
        <v>28.4</v>
      </c>
      <c r="R134" s="214">
        <f>O134+P134+Q134</f>
        <v>45</v>
      </c>
      <c r="S134" s="170">
        <v>5</v>
      </c>
      <c r="T134" s="283">
        <v>44452</v>
      </c>
      <c r="U134" s="281">
        <v>44483</v>
      </c>
      <c r="V134" s="177" t="s">
        <v>480</v>
      </c>
      <c r="W134" s="170" t="s">
        <v>20</v>
      </c>
      <c r="X134" s="170" t="s">
        <v>12</v>
      </c>
      <c r="Y134" s="178">
        <v>28.4</v>
      </c>
      <c r="Z134" s="177" t="s">
        <v>83</v>
      </c>
      <c r="AA134" s="170" t="s">
        <v>869</v>
      </c>
      <c r="AB134" s="170" t="s">
        <v>18</v>
      </c>
      <c r="AC134" s="170">
        <v>16.600000000000001</v>
      </c>
      <c r="AD134" s="177"/>
      <c r="AG134" s="178"/>
      <c r="AH134" s="252"/>
      <c r="AL134" s="177"/>
      <c r="AO134" s="178"/>
      <c r="AP134" s="177"/>
      <c r="AS134" s="178"/>
      <c r="AW134" s="178"/>
      <c r="BA134" s="179"/>
    </row>
    <row r="135" spans="1:53" s="170" customFormat="1" x14ac:dyDescent="0.15">
      <c r="A135" s="170">
        <v>2022</v>
      </c>
      <c r="B135" s="281"/>
      <c r="C135" s="395" t="s">
        <v>1494</v>
      </c>
      <c r="D135" s="395"/>
      <c r="E135" s="170">
        <v>63</v>
      </c>
      <c r="G135" s="232"/>
      <c r="H135" s="170">
        <v>8</v>
      </c>
      <c r="I135" s="170">
        <v>11</v>
      </c>
      <c r="J135" s="240">
        <v>19</v>
      </c>
      <c r="K135" s="213">
        <f t="shared" si="19"/>
        <v>0</v>
      </c>
      <c r="L135" s="213">
        <f t="shared" si="20"/>
        <v>42.105263157894733</v>
      </c>
      <c r="M135" s="213">
        <f t="shared" si="21"/>
        <v>57.894736842105267</v>
      </c>
      <c r="N135" s="234">
        <f t="shared" si="22"/>
        <v>100</v>
      </c>
      <c r="O135" s="212"/>
      <c r="P135" s="213">
        <v>16.600000000000001</v>
      </c>
      <c r="Q135" s="213">
        <v>28.4</v>
      </c>
      <c r="R135" s="214">
        <f>O135+P135+Q135</f>
        <v>45</v>
      </c>
      <c r="S135" s="170">
        <v>5</v>
      </c>
      <c r="T135" s="283"/>
      <c r="U135" s="281"/>
      <c r="V135" s="177" t="s">
        <v>480</v>
      </c>
      <c r="W135" s="170" t="s">
        <v>20</v>
      </c>
      <c r="X135" s="170" t="s">
        <v>12</v>
      </c>
      <c r="Y135" s="178">
        <v>28.4</v>
      </c>
      <c r="Z135" s="177" t="s">
        <v>83</v>
      </c>
      <c r="AA135" s="170" t="s">
        <v>869</v>
      </c>
      <c r="AB135" s="170" t="s">
        <v>18</v>
      </c>
      <c r="AC135" s="170">
        <v>16.600000000000001</v>
      </c>
      <c r="AD135" s="177"/>
      <c r="AG135" s="178"/>
      <c r="AH135" s="252"/>
      <c r="AL135" s="177"/>
      <c r="AO135" s="178"/>
      <c r="AP135" s="177"/>
      <c r="AS135" s="178"/>
      <c r="AW135" s="178"/>
      <c r="BA135" s="179"/>
    </row>
    <row r="136" spans="1:53" s="170" customFormat="1" x14ac:dyDescent="0.15">
      <c r="A136" s="170">
        <v>2022</v>
      </c>
      <c r="B136" s="299">
        <v>44624</v>
      </c>
      <c r="C136" s="395" t="s">
        <v>1494</v>
      </c>
      <c r="D136" s="395"/>
      <c r="E136" s="170">
        <v>3</v>
      </c>
      <c r="F136" s="191">
        <v>0</v>
      </c>
      <c r="G136" s="232"/>
      <c r="H136" s="170">
        <v>8</v>
      </c>
      <c r="I136" s="170">
        <v>10</v>
      </c>
      <c r="J136" s="240">
        <v>18</v>
      </c>
      <c r="K136" s="213">
        <f t="shared" si="19"/>
        <v>0</v>
      </c>
      <c r="L136" s="213">
        <f t="shared" si="20"/>
        <v>44.444444444444443</v>
      </c>
      <c r="M136" s="213">
        <f t="shared" si="21"/>
        <v>55.555555555555557</v>
      </c>
      <c r="N136" s="234">
        <f t="shared" si="22"/>
        <v>100</v>
      </c>
      <c r="O136" s="212"/>
      <c r="P136" s="213">
        <v>16.600000000000001</v>
      </c>
      <c r="Q136" s="213">
        <v>28.4</v>
      </c>
      <c r="R136" s="214">
        <f>O136+P136+Q136</f>
        <v>45</v>
      </c>
      <c r="S136" s="170">
        <v>5</v>
      </c>
      <c r="T136" s="283"/>
      <c r="U136" s="281"/>
      <c r="V136" s="177" t="s">
        <v>480</v>
      </c>
      <c r="W136" s="170" t="s">
        <v>20</v>
      </c>
      <c r="X136" s="170" t="s">
        <v>12</v>
      </c>
      <c r="Y136" s="178">
        <v>28.4</v>
      </c>
      <c r="Z136" s="177" t="s">
        <v>83</v>
      </c>
      <c r="AA136" s="170" t="s">
        <v>869</v>
      </c>
      <c r="AB136" s="170" t="s">
        <v>18</v>
      </c>
      <c r="AC136" s="170">
        <v>16.600000000000001</v>
      </c>
      <c r="AD136" s="177"/>
      <c r="AG136" s="178"/>
      <c r="AH136" s="252"/>
      <c r="AL136" s="177"/>
      <c r="AO136" s="178"/>
      <c r="AP136" s="177"/>
      <c r="AS136" s="178"/>
      <c r="AW136" s="178"/>
      <c r="BA136" s="179"/>
    </row>
    <row r="137" spans="1:53" s="170" customFormat="1" x14ac:dyDescent="0.15">
      <c r="A137" s="170">
        <v>2022</v>
      </c>
      <c r="B137" s="299">
        <v>44627</v>
      </c>
      <c r="C137" s="395" t="s">
        <v>1494</v>
      </c>
      <c r="D137" s="395"/>
      <c r="E137" s="170">
        <v>299</v>
      </c>
      <c r="F137" s="191">
        <v>0</v>
      </c>
      <c r="G137" s="232"/>
      <c r="H137" s="170">
        <v>8</v>
      </c>
      <c r="I137" s="170">
        <v>11</v>
      </c>
      <c r="J137" s="240">
        <v>19</v>
      </c>
      <c r="K137" s="213">
        <f t="shared" si="19"/>
        <v>0</v>
      </c>
      <c r="L137" s="213">
        <f t="shared" si="20"/>
        <v>42.105263157894733</v>
      </c>
      <c r="M137" s="213">
        <f t="shared" si="21"/>
        <v>57.894736842105267</v>
      </c>
      <c r="N137" s="234">
        <f t="shared" si="22"/>
        <v>100</v>
      </c>
      <c r="O137" s="212"/>
      <c r="P137" s="213">
        <v>16.600000000000001</v>
      </c>
      <c r="Q137" s="213">
        <v>28.4</v>
      </c>
      <c r="R137" s="214">
        <f>O137+P137+Q137</f>
        <v>45</v>
      </c>
      <c r="S137" s="170">
        <v>5</v>
      </c>
      <c r="T137" s="283"/>
      <c r="U137" s="281"/>
      <c r="V137" s="177" t="s">
        <v>480</v>
      </c>
      <c r="W137" s="170" t="s">
        <v>20</v>
      </c>
      <c r="X137" s="170" t="s">
        <v>12</v>
      </c>
      <c r="Y137" s="178">
        <v>28.4</v>
      </c>
      <c r="Z137" s="177" t="s">
        <v>83</v>
      </c>
      <c r="AA137" s="170" t="s">
        <v>869</v>
      </c>
      <c r="AB137" s="170" t="s">
        <v>18</v>
      </c>
      <c r="AC137" s="170">
        <v>16.600000000000001</v>
      </c>
      <c r="AD137" s="177"/>
      <c r="AG137" s="178"/>
      <c r="AH137" s="252"/>
      <c r="AL137" s="177"/>
      <c r="AO137" s="178"/>
      <c r="AP137" s="177"/>
      <c r="AS137" s="178"/>
      <c r="AW137" s="178"/>
      <c r="BA137" s="179"/>
    </row>
    <row r="138" spans="1:53" x14ac:dyDescent="0.15">
      <c r="B138" s="352"/>
      <c r="F138" s="353"/>
      <c r="J138" s="25"/>
      <c r="K138" s="11"/>
      <c r="L138" s="11"/>
      <c r="M138" s="11"/>
      <c r="N138" s="19"/>
      <c r="O138" s="11"/>
      <c r="P138" s="11"/>
      <c r="Q138" s="11"/>
      <c r="R138" s="19"/>
      <c r="T138" s="337"/>
      <c r="U138" s="337"/>
    </row>
    <row r="139" spans="1:53" ht="18" customHeight="1" x14ac:dyDescent="0.15">
      <c r="B139" s="15" t="s">
        <v>1262</v>
      </c>
      <c r="H139" s="4"/>
      <c r="AH139" s="1"/>
    </row>
    <row r="140" spans="1:53" ht="9" customHeight="1" x14ac:dyDescent="0.15">
      <c r="H140" s="4"/>
      <c r="AH140" s="1"/>
    </row>
    <row r="141" spans="1:53" s="194" customFormat="1" ht="9" customHeight="1" x14ac:dyDescent="0.15">
      <c r="A141" s="192"/>
      <c r="B141" s="193" t="s">
        <v>1213</v>
      </c>
      <c r="C141" s="193"/>
      <c r="D141" s="193"/>
      <c r="E141" s="193"/>
      <c r="F141" s="193"/>
      <c r="G141" s="193" t="s">
        <v>1214</v>
      </c>
      <c r="H141" s="193"/>
      <c r="I141" s="193"/>
      <c r="J141" s="193"/>
      <c r="K141" s="193"/>
      <c r="L141" s="193"/>
      <c r="M141" s="193"/>
      <c r="N141" s="193"/>
      <c r="R141" s="386" t="s">
        <v>1215</v>
      </c>
      <c r="S141" s="386"/>
      <c r="T141" s="386"/>
      <c r="U141" s="386"/>
      <c r="V141" s="386"/>
      <c r="W141" s="386"/>
      <c r="X141" s="195"/>
      <c r="Y141" s="195"/>
      <c r="AA141" s="195"/>
      <c r="AB141" s="195"/>
      <c r="AC141" s="195"/>
      <c r="AD141" s="195"/>
    </row>
    <row r="142" spans="1:53" s="199" customFormat="1" ht="9" customHeight="1" x14ac:dyDescent="0.15">
      <c r="A142" s="196"/>
      <c r="B142" s="197" t="s">
        <v>1217</v>
      </c>
      <c r="C142" s="198"/>
      <c r="D142" s="198"/>
      <c r="E142" s="198"/>
      <c r="F142" s="198"/>
      <c r="G142" s="197" t="s">
        <v>1216</v>
      </c>
      <c r="H142" s="198"/>
      <c r="I142" s="198"/>
      <c r="J142" s="198"/>
      <c r="K142" s="198"/>
      <c r="L142" s="198"/>
      <c r="M142" s="198"/>
      <c r="N142" s="198"/>
      <c r="R142" s="200" t="s">
        <v>1218</v>
      </c>
      <c r="S142" s="201"/>
      <c r="T142" s="202"/>
      <c r="U142" s="202"/>
      <c r="V142" s="202"/>
      <c r="W142" s="200" t="s">
        <v>1219</v>
      </c>
      <c r="X142" s="202"/>
      <c r="Y142" s="202"/>
      <c r="AA142" s="202"/>
      <c r="AB142" s="202"/>
      <c r="AC142" s="202"/>
      <c r="AD142" s="202"/>
    </row>
    <row r="143" spans="1:53" s="185" customFormat="1" ht="12" customHeight="1" x14ac:dyDescent="0.15">
      <c r="A143" s="203" t="s">
        <v>3</v>
      </c>
      <c r="B143" s="204" t="s">
        <v>8</v>
      </c>
      <c r="C143" s="204" t="s">
        <v>9</v>
      </c>
      <c r="D143" s="204" t="s">
        <v>10</v>
      </c>
      <c r="E143" s="205" t="s">
        <v>1193</v>
      </c>
      <c r="F143" s="204"/>
      <c r="G143" s="185" t="s">
        <v>3</v>
      </c>
      <c r="H143" s="387" t="s">
        <v>0</v>
      </c>
      <c r="I143" s="387"/>
      <c r="J143" s="387" t="s">
        <v>1</v>
      </c>
      <c r="K143" s="387"/>
      <c r="L143" s="387" t="s">
        <v>2</v>
      </c>
      <c r="M143" s="387"/>
      <c r="N143" s="388" t="s">
        <v>1193</v>
      </c>
      <c r="O143" s="388"/>
      <c r="P143" s="206"/>
      <c r="Q143" s="206"/>
      <c r="R143" s="207" t="s">
        <v>3</v>
      </c>
      <c r="S143" s="208" t="s">
        <v>135</v>
      </c>
      <c r="T143" s="206" t="s">
        <v>133</v>
      </c>
      <c r="U143" s="204" t="s">
        <v>134</v>
      </c>
      <c r="V143" s="206"/>
      <c r="W143" s="209" t="s">
        <v>26</v>
      </c>
    </row>
    <row r="144" spans="1:53" s="139" customFormat="1" x14ac:dyDescent="0.15">
      <c r="A144" s="139">
        <v>1959</v>
      </c>
      <c r="B144" s="142">
        <f>(K6*($E6/365)) + (K7*($E7/365))</f>
        <v>0</v>
      </c>
      <c r="C144" s="142">
        <f>(L6*($E6/365)) + (L7*($E7/365))</f>
        <v>0</v>
      </c>
      <c r="D144" s="142">
        <f>(M6*($E6/365)) + (M7*($E7/365))</f>
        <v>100</v>
      </c>
      <c r="E144" s="143">
        <f>B144+C144+D144</f>
        <v>100</v>
      </c>
      <c r="G144" s="139">
        <v>1959</v>
      </c>
      <c r="H144" s="396">
        <f>(O6/$R6*100*($E6/365))+(O7/$R7*100*($E7/365))</f>
        <v>0</v>
      </c>
      <c r="I144" s="396"/>
      <c r="J144" s="396">
        <f>(P6/$R6*100*($E6/365))+(P7/$R7*100*($E7/365))</f>
        <v>0</v>
      </c>
      <c r="K144" s="396"/>
      <c r="L144" s="396">
        <f>(Q6/$R6*100*($E6/365))+(Q7/$R7*100*($E7/365))</f>
        <v>100</v>
      </c>
      <c r="M144" s="396"/>
      <c r="N144" s="400">
        <f>H144+J144+L144</f>
        <v>100</v>
      </c>
      <c r="O144" s="400"/>
      <c r="R144" s="139">
        <v>1959</v>
      </c>
      <c r="S144" s="142">
        <f>(O6*($E6/365)) + (O7*($E7/365))</f>
        <v>0</v>
      </c>
      <c r="T144" s="142">
        <f>(P6*($E6/365)) + (P7*($E7/365))</f>
        <v>0</v>
      </c>
      <c r="U144" s="142">
        <f>(Q6*($E6/365)) + (Q7*($E7/365))</f>
        <v>52</v>
      </c>
      <c r="V144" s="142"/>
      <c r="W144" s="142">
        <f>S144+T144+U144</f>
        <v>52</v>
      </c>
      <c r="AH144" s="157"/>
    </row>
    <row r="145" spans="1:23" x14ac:dyDescent="0.15">
      <c r="A145" s="1">
        <v>1960</v>
      </c>
      <c r="B145" s="5">
        <f>(K8*($E8/366))+(K9*($E9/366))</f>
        <v>0</v>
      </c>
      <c r="C145" s="5">
        <f>(L8*($E8/366))+(L9*($E9/366))</f>
        <v>0</v>
      </c>
      <c r="D145" s="5">
        <f>(M8*($E8/366))+(M9*($E9/366))</f>
        <v>100</v>
      </c>
      <c r="E145" s="17">
        <f>B145+C145+D145</f>
        <v>100</v>
      </c>
      <c r="G145" s="1">
        <v>1960</v>
      </c>
      <c r="H145" s="392">
        <f>(O8/$R8*100*($E8/366))+(O9/$R9*100*($E9/366))</f>
        <v>0</v>
      </c>
      <c r="I145" s="392"/>
      <c r="J145" s="392">
        <f>(P8/$R8*100*($E8/366))+(P9/$R9*100*($E9/366))</f>
        <v>0</v>
      </c>
      <c r="K145" s="392"/>
      <c r="L145" s="392">
        <f>(Q8/$R8*100*($E8/366))+(Q9/$R9*100*($E9/366))</f>
        <v>100</v>
      </c>
      <c r="M145" s="392"/>
      <c r="N145" s="363">
        <f t="shared" ref="N145:N176" si="23">H145+J145+L145</f>
        <v>100</v>
      </c>
      <c r="O145" s="363"/>
      <c r="R145" s="1">
        <v>1960</v>
      </c>
      <c r="S145" s="5">
        <f>(O8*($E8/366))+(O9*($E9/366))</f>
        <v>0</v>
      </c>
      <c r="T145" s="5">
        <f>(P8*($E8/366))+(P9*($E9/366))</f>
        <v>0</v>
      </c>
      <c r="U145" s="5">
        <f>(Q8*($E8/366))+(Q9*($E9/366))</f>
        <v>52</v>
      </c>
      <c r="V145" s="5"/>
      <c r="W145" s="5">
        <f>S145+T145+U145</f>
        <v>52</v>
      </c>
    </row>
    <row r="146" spans="1:23" x14ac:dyDescent="0.15">
      <c r="A146" s="1">
        <v>1961</v>
      </c>
      <c r="B146" s="5">
        <f>(K10*($E10/365))+(K11*($E11/365))</f>
        <v>0</v>
      </c>
      <c r="C146" s="5">
        <f>(L10*($E10/365))+(L11*($E11/365))</f>
        <v>0</v>
      </c>
      <c r="D146" s="5">
        <f>(M10*($E10/365))+(M11*($E11/365))</f>
        <v>100</v>
      </c>
      <c r="E146" s="17">
        <f t="shared" ref="E146:E198" si="24">B146+C146+D146</f>
        <v>100</v>
      </c>
      <c r="G146" s="1">
        <v>1961</v>
      </c>
      <c r="H146" s="392">
        <f>(O10/$R10*100*($E10/365))+(O11/$R11*100*($E11/365))</f>
        <v>0</v>
      </c>
      <c r="I146" s="392"/>
      <c r="J146" s="392">
        <f>(P10/$R10*100*($E10/365))+(P11/$R11*100*($E11/365))</f>
        <v>0</v>
      </c>
      <c r="K146" s="392"/>
      <c r="L146" s="392">
        <f>(Q10/$R10*100*($E10/365))+(Q11/$R11*100*($E11/365))</f>
        <v>100</v>
      </c>
      <c r="M146" s="392"/>
      <c r="N146" s="363">
        <f t="shared" si="23"/>
        <v>100</v>
      </c>
      <c r="O146" s="363"/>
      <c r="R146" s="1">
        <v>1961</v>
      </c>
      <c r="S146" s="5">
        <f>(O10*($E10/365))+(O11*($E11/365))</f>
        <v>0</v>
      </c>
      <c r="T146" s="5">
        <f>(P10*($E10/365))+(P11*($E11/365))</f>
        <v>0</v>
      </c>
      <c r="U146" s="5">
        <f>(Q10*($E10/365))+(Q11*($E11/365))</f>
        <v>51.171506849315072</v>
      </c>
      <c r="V146" s="5"/>
      <c r="W146" s="5">
        <f t="shared" ref="W146:W198" si="25">S146+T146+U146</f>
        <v>51.171506849315072</v>
      </c>
    </row>
    <row r="147" spans="1:23" x14ac:dyDescent="0.15">
      <c r="A147" s="1">
        <v>1962</v>
      </c>
      <c r="B147" s="5">
        <f>(K12*($E12/365))+(K13*($E13/365))</f>
        <v>0</v>
      </c>
      <c r="C147" s="5">
        <f>(L12*($E12/365))+(L13*($E13/365))</f>
        <v>0</v>
      </c>
      <c r="D147" s="5">
        <f>(M12*($E12/365))+(M13*($E13/365))</f>
        <v>100</v>
      </c>
      <c r="E147" s="17">
        <f t="shared" si="24"/>
        <v>100</v>
      </c>
      <c r="G147" s="1">
        <v>1962</v>
      </c>
      <c r="H147" s="392">
        <f>(O12/$R12*100*($E12/365))+(O13/$R13*100*($E13/365))</f>
        <v>0</v>
      </c>
      <c r="I147" s="392"/>
      <c r="J147" s="392">
        <f>(P12/$R12*100*($E12/365))+(P13/$R13*100*($E13/365))</f>
        <v>0</v>
      </c>
      <c r="K147" s="392"/>
      <c r="L147" s="392">
        <f>(Q12/$R12*100*($E12/365))+(Q13/$R13*100*($E13/365))</f>
        <v>100</v>
      </c>
      <c r="M147" s="392"/>
      <c r="N147" s="363">
        <f t="shared" si="23"/>
        <v>100</v>
      </c>
      <c r="O147" s="363"/>
      <c r="R147" s="1">
        <v>1962</v>
      </c>
      <c r="S147" s="5">
        <f>(O12*($E12/365))+(O13*($E13/365))</f>
        <v>0</v>
      </c>
      <c r="T147" s="5">
        <f>(P12*($E12/365))+(P13*($E13/365))</f>
        <v>0</v>
      </c>
      <c r="U147" s="5">
        <f>(Q12*($E12/365))+(Q13*($E13/365))</f>
        <v>49.3</v>
      </c>
      <c r="V147" s="5"/>
      <c r="W147" s="5">
        <f t="shared" si="25"/>
        <v>49.3</v>
      </c>
    </row>
    <row r="148" spans="1:23" x14ac:dyDescent="0.15">
      <c r="A148" s="1">
        <v>1963</v>
      </c>
      <c r="B148" s="5">
        <f>(K14*($E14/365))+(K15*($E15/365))+(K16*($E16/365))</f>
        <v>4.0913242009132427</v>
      </c>
      <c r="C148" s="5">
        <f>(L14*($E14/365))+(L15*($E15/365))+(L16*($E16/365))</f>
        <v>3.5799086757990866</v>
      </c>
      <c r="D148" s="5">
        <f>(M14*($E14/365))+(M15*($E15/365))+(M16*($E16/365))</f>
        <v>92.328767123287662</v>
      </c>
      <c r="E148" s="17">
        <f t="shared" si="24"/>
        <v>99.999999999999986</v>
      </c>
      <c r="G148" s="1">
        <v>1963</v>
      </c>
      <c r="H148" s="392">
        <f>(O14/$R14*100*($E14/365))+(O15/$R15*100*($E15/365))+(O16/$R16*100*($E16/365))</f>
        <v>4.4502486870988367</v>
      </c>
      <c r="I148" s="392"/>
      <c r="J148" s="392">
        <f>(P14/$R14*100*($E14/365))+(P15/$R15*100*($E15/365))+(P16/$R16*100*($E16/365))</f>
        <v>3.2209841896134934</v>
      </c>
      <c r="K148" s="392"/>
      <c r="L148" s="392">
        <f>(Q14/$R14*100*($E14/365))+(Q15/$R15*100*($E15/365))+(Q16/$R16*100*($E16/365))</f>
        <v>92.328767123287662</v>
      </c>
      <c r="M148" s="392"/>
      <c r="N148" s="363">
        <f t="shared" si="23"/>
        <v>99.999999999999986</v>
      </c>
      <c r="O148" s="363"/>
      <c r="R148" s="1">
        <v>1963</v>
      </c>
      <c r="S148" s="5">
        <f>(O14*($E14/365))+(O15*($E15/365))+(O16*($E16/365))</f>
        <v>2.1939726027397262</v>
      </c>
      <c r="T148" s="5">
        <f>(P14*($E14/365))+(P15*($E15/365))+(P16*($E16/365))</f>
        <v>1.5879452054794521</v>
      </c>
      <c r="U148" s="5">
        <f>(Q14*($E14/365))+(Q15*($E15/365))+(Q16*($E16/365))</f>
        <v>45.51808219178082</v>
      </c>
      <c r="V148" s="5"/>
      <c r="W148" s="5">
        <f t="shared" si="25"/>
        <v>49.3</v>
      </c>
    </row>
    <row r="149" spans="1:23" x14ac:dyDescent="0.15">
      <c r="A149" s="1">
        <v>1964</v>
      </c>
      <c r="B149" s="5">
        <f>(K17*($E17/366))+(K18*($E18/366))</f>
        <v>0</v>
      </c>
      <c r="C149" s="5">
        <f>(L17*($E17/366))+(L18*($E18/366))</f>
        <v>0</v>
      </c>
      <c r="D149" s="5">
        <f>(M17*($E17/366))+(M18*($E18/366))</f>
        <v>100</v>
      </c>
      <c r="E149" s="17">
        <f t="shared" si="24"/>
        <v>100</v>
      </c>
      <c r="G149" s="1">
        <v>1964</v>
      </c>
      <c r="H149" s="392">
        <f>(O17/$R17*100*($E17/366))+(O18/$R18*100*($E18/366))</f>
        <v>0</v>
      </c>
      <c r="I149" s="392"/>
      <c r="J149" s="392">
        <f>(P17/$R17*100*($E17/366))+(P18/$R18*100*($E18/366))</f>
        <v>0</v>
      </c>
      <c r="K149" s="392"/>
      <c r="L149" s="392">
        <f>(Q17/$R17*100*($E17/366))+(Q18/$R18*100*($E18/366))</f>
        <v>100</v>
      </c>
      <c r="M149" s="392"/>
      <c r="N149" s="363">
        <f t="shared" si="23"/>
        <v>100</v>
      </c>
      <c r="O149" s="363"/>
      <c r="R149" s="1">
        <v>1964</v>
      </c>
      <c r="S149" s="5">
        <f>(O17*($E17/366))+(O18*($E18/366))</f>
        <v>0</v>
      </c>
      <c r="T149" s="5">
        <f>(P17*($E17/366))+(P18*($E18/366))</f>
        <v>0</v>
      </c>
      <c r="U149" s="5">
        <f>(Q17*($E17/366))+(Q18*($E18/366))</f>
        <v>49.3</v>
      </c>
      <c r="V149" s="5"/>
      <c r="W149" s="5">
        <f t="shared" si="25"/>
        <v>49.3</v>
      </c>
    </row>
    <row r="150" spans="1:23" x14ac:dyDescent="0.15">
      <c r="A150" s="1">
        <v>1965</v>
      </c>
      <c r="B150" s="5">
        <f>(K19*($E19/365))+(K20*($E20/365))</f>
        <v>13.479452054794519</v>
      </c>
      <c r="C150" s="5">
        <f>(L19*($E19/365))+(L20*($E20/365))</f>
        <v>8.9863013698630141</v>
      </c>
      <c r="D150" s="5">
        <f>(M19*($E19/365))+(M20*($E20/365))</f>
        <v>77.534246575342465</v>
      </c>
      <c r="E150" s="17">
        <f t="shared" si="24"/>
        <v>100</v>
      </c>
      <c r="G150" s="1">
        <v>1965</v>
      </c>
      <c r="H150" s="392">
        <f>(O19/$R19*100*($E19/365))+(O20/$R20*100*($E20/365))</f>
        <v>13.757118670155455</v>
      </c>
      <c r="I150" s="392"/>
      <c r="J150" s="392">
        <f>(P19/$R19*100*($E19/365))+(P20/$R20*100*($E20/365))</f>
        <v>8.708634754502075</v>
      </c>
      <c r="K150" s="392"/>
      <c r="L150" s="392">
        <f>(Q19/$R19*100*($E19/365))+(Q20/$R20*100*($E20/365))</f>
        <v>77.534246575342465</v>
      </c>
      <c r="M150" s="392"/>
      <c r="N150" s="363">
        <f t="shared" si="23"/>
        <v>100</v>
      </c>
      <c r="O150" s="363"/>
      <c r="R150" s="1">
        <v>1965</v>
      </c>
      <c r="S150" s="5">
        <f>(O19*($E19/365))+(O20*($E20/365))</f>
        <v>7.3463013698630144</v>
      </c>
      <c r="T150" s="5">
        <f>(P19*($E19/365))+(P20*($E20/365))</f>
        <v>4.6504109589041089</v>
      </c>
      <c r="U150" s="5">
        <f>(Q19*($E19/365))+(Q20*($E20/365))</f>
        <v>38.224383561643833</v>
      </c>
      <c r="V150" s="5"/>
      <c r="W150" s="5">
        <f t="shared" si="25"/>
        <v>50.221095890410957</v>
      </c>
    </row>
    <row r="151" spans="1:23" x14ac:dyDescent="0.15">
      <c r="A151" s="1">
        <v>1966</v>
      </c>
      <c r="B151" s="5">
        <f>(K21*($E21/365))+(K22*($E22/365))</f>
        <v>60</v>
      </c>
      <c r="C151" s="5">
        <f>(L21*($E21/365))+(L22*($E22/365))</f>
        <v>40</v>
      </c>
      <c r="D151" s="5">
        <f>(M21*($E21/365))+(M22*($E22/365))</f>
        <v>0</v>
      </c>
      <c r="E151" s="17">
        <f t="shared" si="24"/>
        <v>100</v>
      </c>
      <c r="G151" s="1">
        <v>1966</v>
      </c>
      <c r="H151" s="392">
        <f>(O21/$R21*100*($E21/365))+(O22/$R22*100*($E22/365))</f>
        <v>61.235955056179769</v>
      </c>
      <c r="I151" s="392"/>
      <c r="J151" s="392">
        <f>(P21/$R21*100*($E21/365))+(P22/$R22*100*($E22/365))</f>
        <v>38.764044943820217</v>
      </c>
      <c r="K151" s="392"/>
      <c r="L151" s="392">
        <f>(Q21/$R21*100*($E21/365))+(Q22/$R22*100*($E22/365))</f>
        <v>0</v>
      </c>
      <c r="M151" s="392"/>
      <c r="N151" s="363">
        <f t="shared" si="23"/>
        <v>99.999999999999986</v>
      </c>
      <c r="O151" s="363"/>
      <c r="R151" s="1">
        <v>1966</v>
      </c>
      <c r="S151" s="5">
        <f>(O21*($E21/365))+(O22*($E22/365))</f>
        <v>32.700000000000003</v>
      </c>
      <c r="T151" s="5">
        <f>(P21*($E21/365))+(P22*($E22/365))</f>
        <v>20.7</v>
      </c>
      <c r="U151" s="5">
        <f>(Q21*($E21/365))+(Q22*($E22/365))</f>
        <v>0</v>
      </c>
      <c r="V151" s="5"/>
      <c r="W151" s="5">
        <f t="shared" si="25"/>
        <v>53.400000000000006</v>
      </c>
    </row>
    <row r="152" spans="1:23" x14ac:dyDescent="0.15">
      <c r="A152" s="1">
        <v>1967</v>
      </c>
      <c r="B152" s="5">
        <f>(K23*($E23/365))+(K24*($E24/365))</f>
        <v>60</v>
      </c>
      <c r="C152" s="5">
        <f>(L23*($E23/365))+(L24*($E24/365))</f>
        <v>40</v>
      </c>
      <c r="D152" s="5">
        <f>(M23*($E23/365))+(M24*($E24/365))</f>
        <v>0</v>
      </c>
      <c r="E152" s="17">
        <f t="shared" si="24"/>
        <v>100</v>
      </c>
      <c r="G152" s="1">
        <v>1967</v>
      </c>
      <c r="H152" s="392">
        <f>(O23/$R23*100*($E23/365))+(O24/$R24*100*($E24/365))</f>
        <v>61.235955056179769</v>
      </c>
      <c r="I152" s="392"/>
      <c r="J152" s="392">
        <f>(P23/$R23*100*($E23/365))+(P24/$R24*100*($E24/365))</f>
        <v>38.764044943820217</v>
      </c>
      <c r="K152" s="392"/>
      <c r="L152" s="392">
        <f>(Q23/$R23*100*($E23/365))+(Q24/$R24*100*($E24/365))</f>
        <v>0</v>
      </c>
      <c r="M152" s="392"/>
      <c r="N152" s="363">
        <f t="shared" si="23"/>
        <v>99.999999999999986</v>
      </c>
      <c r="O152" s="363"/>
      <c r="R152" s="1">
        <v>1967</v>
      </c>
      <c r="S152" s="5">
        <f>(O23*($E23/365))+(O24*($E24/365))</f>
        <v>32.700000000000003</v>
      </c>
      <c r="T152" s="5">
        <f>(P23*($E23/365))+(P24*($E24/365))</f>
        <v>20.7</v>
      </c>
      <c r="U152" s="5">
        <f>(Q23*($E23/365))+(Q24*($E24/365))</f>
        <v>0</v>
      </c>
      <c r="V152" s="5"/>
      <c r="W152" s="5">
        <f t="shared" si="25"/>
        <v>53.400000000000006</v>
      </c>
    </row>
    <row r="153" spans="1:23" x14ac:dyDescent="0.15">
      <c r="A153" s="1">
        <v>1968</v>
      </c>
      <c r="B153" s="5">
        <f>(K25*($E25/366))+(K26*($E26/366))</f>
        <v>60</v>
      </c>
      <c r="C153" s="5">
        <f>(L25*($E25/366))+(L26*($E26/366))</f>
        <v>40</v>
      </c>
      <c r="D153" s="5">
        <f>(M25*($E25/366))+(M26*($E26/366))</f>
        <v>0</v>
      </c>
      <c r="E153" s="17">
        <f t="shared" si="24"/>
        <v>100</v>
      </c>
      <c r="G153" s="1">
        <v>1968</v>
      </c>
      <c r="H153" s="392">
        <f>(O25/$R25*100*($E25/366))+(O26/$R26*100*($E26/366))</f>
        <v>61.235955056179769</v>
      </c>
      <c r="I153" s="392"/>
      <c r="J153" s="392">
        <f>(P25/$R25*100*($E25/366))+(P26/$R26*100*($E26/366))</f>
        <v>38.764044943820217</v>
      </c>
      <c r="K153" s="392"/>
      <c r="L153" s="392">
        <f>(Q25/$R25*100*($E25/366))+(Q26/$R26*100*($E26/366))</f>
        <v>0</v>
      </c>
      <c r="M153" s="392"/>
      <c r="N153" s="363">
        <f t="shared" si="23"/>
        <v>99.999999999999986</v>
      </c>
      <c r="O153" s="363"/>
      <c r="R153" s="1">
        <v>1968</v>
      </c>
      <c r="S153" s="5">
        <f>(O25*($E25/366))+(O26*($E26/366))</f>
        <v>32.700000000000003</v>
      </c>
      <c r="T153" s="5">
        <f>(P25*($E25/366))+(P26*($E26/366))</f>
        <v>20.7</v>
      </c>
      <c r="U153" s="5">
        <f>(Q25*($E25/366))+(Q26*($E26/366))</f>
        <v>0</v>
      </c>
      <c r="V153" s="5"/>
      <c r="W153" s="5">
        <f t="shared" si="25"/>
        <v>53.400000000000006</v>
      </c>
    </row>
    <row r="154" spans="1:23" x14ac:dyDescent="0.15">
      <c r="A154" s="1">
        <v>1969</v>
      </c>
      <c r="B154" s="5">
        <f>(K27*($E27/365))+(K28*($E28/365))</f>
        <v>60</v>
      </c>
      <c r="C154" s="5">
        <f>(L27*($E27/365))+(L28*($E28/365))</f>
        <v>40</v>
      </c>
      <c r="D154" s="5">
        <f>(M27*($E27/365))+(M28*($E28/365))</f>
        <v>0</v>
      </c>
      <c r="E154" s="17">
        <f t="shared" si="24"/>
        <v>100</v>
      </c>
      <c r="G154" s="1">
        <v>1969</v>
      </c>
      <c r="H154" s="392">
        <f>(O27/$R27*100*($E27/365))+(O28/$R28*100*($E28/365))</f>
        <v>59.360890797272802</v>
      </c>
      <c r="I154" s="392"/>
      <c r="J154" s="392">
        <f>(P27/$R27*100*($E27/365))+(P28/$R28*100*($E28/365))</f>
        <v>40.639109202727191</v>
      </c>
      <c r="K154" s="392"/>
      <c r="L154" s="392">
        <f>(Q27/$R27*100*($E27/365))+(Q28/$R28*100*($E28/365))</f>
        <v>0</v>
      </c>
      <c r="M154" s="392"/>
      <c r="N154" s="363">
        <f t="shared" si="23"/>
        <v>100</v>
      </c>
      <c r="O154" s="363"/>
      <c r="R154" s="1">
        <v>1969</v>
      </c>
      <c r="S154" s="5">
        <f>(O27*($E27/365))+(O28*($E28/365))</f>
        <v>31.206301369863017</v>
      </c>
      <c r="T154" s="5">
        <f>(P27*($E27/365))+(P28*($E28/365))</f>
        <v>21.303835616438356</v>
      </c>
      <c r="U154" s="5">
        <f>(Q27*($E27/365))+(Q28*($E28/365))</f>
        <v>0</v>
      </c>
      <c r="V154" s="5"/>
      <c r="W154" s="5">
        <f t="shared" si="25"/>
        <v>52.510136986301376</v>
      </c>
    </row>
    <row r="155" spans="1:23" x14ac:dyDescent="0.15">
      <c r="A155" s="1">
        <v>1970</v>
      </c>
      <c r="B155" s="5">
        <f>(K29*($E29/365))+(K30*($E30/365))</f>
        <v>60</v>
      </c>
      <c r="C155" s="5">
        <f>(L29*($E29/365))+(L30*($E30/365))</f>
        <v>40</v>
      </c>
      <c r="D155" s="5">
        <f>(M29*($E29/365))+(M30*($E30/365))</f>
        <v>0</v>
      </c>
      <c r="E155" s="17">
        <f t="shared" si="24"/>
        <v>100</v>
      </c>
      <c r="G155" s="1">
        <v>1970</v>
      </c>
      <c r="H155" s="392">
        <f>(O29/$R29*100*($E29/365))+(O30/$R30*100*($E30/365))</f>
        <v>55.335968379446641</v>
      </c>
      <c r="I155" s="392"/>
      <c r="J155" s="392">
        <f>(P29/$R29*100*($E29/365))+(P30/$R30*100*($E30/365))</f>
        <v>44.664031620553359</v>
      </c>
      <c r="K155" s="392"/>
      <c r="L155" s="392">
        <f>(Q29/$R29*100*($E29/365))+(Q30/$R30*100*($E30/365))</f>
        <v>0</v>
      </c>
      <c r="M155" s="392"/>
      <c r="N155" s="363">
        <f t="shared" si="23"/>
        <v>100</v>
      </c>
      <c r="O155" s="363"/>
      <c r="R155" s="1">
        <v>1970</v>
      </c>
      <c r="S155" s="5">
        <f>(O29*($E29/365))+(O30*($E30/365))</f>
        <v>28</v>
      </c>
      <c r="T155" s="5">
        <f>(P29*($E29/365))+(P30*($E30/365))</f>
        <v>22.6</v>
      </c>
      <c r="U155" s="5">
        <f>(Q29*($E29/365))+(Q30*($E30/365))</f>
        <v>0</v>
      </c>
      <c r="V155" s="5"/>
      <c r="W155" s="5">
        <f t="shared" si="25"/>
        <v>50.6</v>
      </c>
    </row>
    <row r="156" spans="1:23" x14ac:dyDescent="0.15">
      <c r="A156" s="1">
        <v>1971</v>
      </c>
      <c r="B156" s="5">
        <f>(K31*($E31/365))+(K32*($E32/365))</f>
        <v>11.671232876712329</v>
      </c>
      <c r="C156" s="5">
        <f>(L31*($E31/365))+(L32*($E32/365))</f>
        <v>7.7808219178082192</v>
      </c>
      <c r="D156" s="5">
        <f>(M31*($E31/365))+(M32*($E32/365))</f>
        <v>80.547945205479451</v>
      </c>
      <c r="E156" s="17">
        <f t="shared" si="24"/>
        <v>100</v>
      </c>
      <c r="G156" s="1">
        <v>1971</v>
      </c>
      <c r="H156" s="392">
        <f>(O31/$R31*100*($E31/365))+(O32/$R32*100*($E32/365))</f>
        <v>10.763982890248524</v>
      </c>
      <c r="I156" s="392"/>
      <c r="J156" s="392">
        <f>(P31/$R31*100*($E31/365))+(P32/$R32*100*($E32/365))</f>
        <v>8.6880719042720234</v>
      </c>
      <c r="K156" s="392"/>
      <c r="L156" s="392">
        <f>(Q31/$R31*100*($E31/365))+(Q32/$R32*100*($E32/365))</f>
        <v>80.547945205479451</v>
      </c>
      <c r="M156" s="392"/>
      <c r="N156" s="363">
        <f t="shared" si="23"/>
        <v>100</v>
      </c>
      <c r="O156" s="363"/>
      <c r="R156" s="1">
        <v>1971</v>
      </c>
      <c r="S156" s="5">
        <f>(O31*($E31/365))+(O32*($E32/365))</f>
        <v>5.4465753424657537</v>
      </c>
      <c r="T156" s="5">
        <f>(P31*($E31/365))+(P32*($E32/365))</f>
        <v>4.3961643835616444</v>
      </c>
      <c r="U156" s="5">
        <f>(Q31*($E31/365))+(Q32*($E32/365))</f>
        <v>39.710136986301372</v>
      </c>
      <c r="V156" s="5"/>
      <c r="W156" s="5">
        <f t="shared" si="25"/>
        <v>49.552876712328768</v>
      </c>
    </row>
    <row r="157" spans="1:23" x14ac:dyDescent="0.15">
      <c r="A157" s="1">
        <v>1972</v>
      </c>
      <c r="B157" s="5">
        <f>(K33*($E33/366))+(K34*($E34/366))</f>
        <v>6.830601092896174</v>
      </c>
      <c r="C157" s="5">
        <f>(L33*($E33/366))+(L34*($E34/366))</f>
        <v>13.661202185792348</v>
      </c>
      <c r="D157" s="5">
        <f>(M33*($E33/366))+(M34*($E34/366))</f>
        <v>79.508196721311478</v>
      </c>
      <c r="E157" s="17">
        <f t="shared" si="24"/>
        <v>100</v>
      </c>
      <c r="G157" s="1">
        <v>1972</v>
      </c>
      <c r="H157" s="392">
        <f>(O33/$R33*100*($E33/366))+(O34/$R34*100*($E34/366))</f>
        <v>5.6958047451945726</v>
      </c>
      <c r="I157" s="392"/>
      <c r="J157" s="392">
        <f>(P33/$R33*100*($E33/366))+(P34/$R34*100*($E34/366))</f>
        <v>14.795998533493954</v>
      </c>
      <c r="K157" s="392"/>
      <c r="L157" s="392">
        <f>(Q33/$R33*100*($E33/366))+(Q34/$R34*100*($E34/366))</f>
        <v>79.508196721311478</v>
      </c>
      <c r="M157" s="392"/>
      <c r="N157" s="363">
        <f t="shared" si="23"/>
        <v>100</v>
      </c>
      <c r="O157" s="363"/>
      <c r="R157" s="1">
        <v>1972</v>
      </c>
      <c r="S157" s="5">
        <f>(O33*($E33/366))+(O34*($E34/366))</f>
        <v>1.7827868852459015</v>
      </c>
      <c r="T157" s="5">
        <f>(P33*($E33/366))+(P34*($E34/366))</f>
        <v>4.6311475409836067</v>
      </c>
      <c r="U157" s="5">
        <f>(Q33*($E33/366))+(Q34*($E34/366))</f>
        <v>39.197540983606558</v>
      </c>
      <c r="V157" s="5"/>
      <c r="W157" s="5">
        <f t="shared" si="25"/>
        <v>45.611475409836068</v>
      </c>
    </row>
    <row r="158" spans="1:23" x14ac:dyDescent="0.15">
      <c r="A158" s="1">
        <v>1973</v>
      </c>
      <c r="B158" s="5">
        <f>(K35*($E35/365))+(K36*($E36/365))</f>
        <v>26.301369863013694</v>
      </c>
      <c r="C158" s="5">
        <f>(L35*($E35/365))+(L36*($E36/365))</f>
        <v>52.602739726027387</v>
      </c>
      <c r="D158" s="5">
        <f>(M35*($E35/365))+(M36*($E36/365))</f>
        <v>21.095890410958905</v>
      </c>
      <c r="E158" s="17">
        <f t="shared" si="24"/>
        <v>99.999999999999986</v>
      </c>
      <c r="G158" s="1">
        <v>1973</v>
      </c>
      <c r="H158" s="392">
        <f>(O35/$R35*100*($E35/365))+(O36/$R36*100*($E36/365))</f>
        <v>21.931813208455505</v>
      </c>
      <c r="I158" s="392"/>
      <c r="J158" s="392">
        <f>(P35/$R35*100*($E35/365))+(P36/$R36*100*($E36/365))</f>
        <v>56.97229638058559</v>
      </c>
      <c r="K158" s="392"/>
      <c r="L158" s="392">
        <f>(Q35/$R35*100*($E35/365))+(Q36/$R36*100*($E36/365))</f>
        <v>21.095890410958905</v>
      </c>
      <c r="M158" s="392"/>
      <c r="N158" s="363">
        <f t="shared" si="23"/>
        <v>100</v>
      </c>
      <c r="O158" s="363"/>
      <c r="R158" s="1">
        <v>1973</v>
      </c>
      <c r="S158" s="5">
        <f>(O35*($E35/365))+(O36*($E36/365))</f>
        <v>6.8646575342465743</v>
      </c>
      <c r="T158" s="5">
        <f>(P35*($E35/365))+(P36*($E36/365))</f>
        <v>17.83232876712329</v>
      </c>
      <c r="U158" s="5">
        <f>(Q35*($E35/365))+(Q36*($E36/365))</f>
        <v>8.4383561643835616</v>
      </c>
      <c r="V158" s="5"/>
      <c r="W158" s="5">
        <f t="shared" si="25"/>
        <v>33.135342465753425</v>
      </c>
    </row>
    <row r="159" spans="1:23" x14ac:dyDescent="0.15">
      <c r="A159" s="1">
        <v>1974</v>
      </c>
      <c r="B159" s="5">
        <f>(K37*($E37/365))+(K38*($E38/365))</f>
        <v>0</v>
      </c>
      <c r="C159" s="5">
        <f>(L37*($E37/365))+(L38*($E38/365))</f>
        <v>0</v>
      </c>
      <c r="D159" s="5">
        <f>(M37*($E37/365))+(M38*($E38/365))</f>
        <v>100</v>
      </c>
      <c r="E159" s="17">
        <f t="shared" si="24"/>
        <v>100</v>
      </c>
      <c r="G159" s="1">
        <v>1974</v>
      </c>
      <c r="H159" s="392">
        <f>(O37/$R37*100*($E37/365))+(O38/$R38*100*($E38/365))</f>
        <v>0</v>
      </c>
      <c r="I159" s="392"/>
      <c r="J159" s="392">
        <f>(P37/$R37*100*($E37/365))+(P38/$R38*100*($E38/365))</f>
        <v>0</v>
      </c>
      <c r="K159" s="392"/>
      <c r="L159" s="392">
        <f>(Q37/$R37*100*($E37/365))+(Q38/$R38*100*($E38/365))</f>
        <v>100</v>
      </c>
      <c r="M159" s="392"/>
      <c r="N159" s="363">
        <f t="shared" si="23"/>
        <v>100</v>
      </c>
      <c r="O159" s="363"/>
      <c r="R159" s="1">
        <v>1974</v>
      </c>
      <c r="S159" s="5">
        <f>(O37*($E37/365))+(O38*($E38/365))</f>
        <v>0</v>
      </c>
      <c r="T159" s="5">
        <f>(P37*($E37/365))+(P38*($E38/365))</f>
        <v>0</v>
      </c>
      <c r="U159" s="5">
        <f>(Q37*($E37/365))+(Q38*($E38/365))</f>
        <v>40</v>
      </c>
      <c r="V159" s="5"/>
      <c r="W159" s="5">
        <f t="shared" si="25"/>
        <v>40</v>
      </c>
    </row>
    <row r="160" spans="1:23" x14ac:dyDescent="0.15">
      <c r="A160" s="1">
        <v>1975</v>
      </c>
      <c r="B160" s="5">
        <f>(K39*($E39/365))+(K40*($E40/365))</f>
        <v>0</v>
      </c>
      <c r="C160" s="5">
        <f>(L39*($E39/365))+(L40*($E40/365))</f>
        <v>0</v>
      </c>
      <c r="D160" s="5">
        <f>(M39*($E39/365))+(M40*($E40/365))</f>
        <v>100</v>
      </c>
      <c r="E160" s="17">
        <f t="shared" si="24"/>
        <v>100</v>
      </c>
      <c r="G160" s="1">
        <v>1975</v>
      </c>
      <c r="H160" s="392">
        <f>(O39/$R39*100*($E39/365))+(O40/$R40*100*($E40/365))</f>
        <v>0</v>
      </c>
      <c r="I160" s="392"/>
      <c r="J160" s="392">
        <f>(P39/$R39*100*($E39/365))+(P40/$R40*100*($E40/365))</f>
        <v>0</v>
      </c>
      <c r="K160" s="392"/>
      <c r="L160" s="392">
        <f>(Q39/$R39*100*($E39/365))+(Q40/$R40*100*($E40/365))</f>
        <v>100</v>
      </c>
      <c r="M160" s="392"/>
      <c r="N160" s="363">
        <f t="shared" si="23"/>
        <v>100</v>
      </c>
      <c r="O160" s="363"/>
      <c r="R160" s="1">
        <v>1975</v>
      </c>
      <c r="S160" s="5">
        <f>(O39*($E39/365))+(O40*($E40/365))</f>
        <v>0</v>
      </c>
      <c r="T160" s="5">
        <f>(P39*($E39/365))+(P40*($E40/365))</f>
        <v>0</v>
      </c>
      <c r="U160" s="5">
        <f>(Q39*($E39/365))+(Q40*($E40/365))</f>
        <v>40</v>
      </c>
      <c r="V160" s="5"/>
      <c r="W160" s="5">
        <f t="shared" si="25"/>
        <v>40</v>
      </c>
    </row>
    <row r="161" spans="1:23" x14ac:dyDescent="0.15">
      <c r="A161" s="1">
        <v>1976</v>
      </c>
      <c r="B161" s="5">
        <f>(K41*($E41/366))+(K42*($E42/366))</f>
        <v>0</v>
      </c>
      <c r="C161" s="5">
        <f>(L41*($E41/366))+(L42*($E42/366))</f>
        <v>0</v>
      </c>
      <c r="D161" s="5">
        <f>(M41*($E41/366))+(M42*($E42/366))</f>
        <v>100</v>
      </c>
      <c r="E161" s="17">
        <f t="shared" si="24"/>
        <v>100</v>
      </c>
      <c r="G161" s="1">
        <v>1976</v>
      </c>
      <c r="H161" s="392">
        <f>(O41/$R41*100*($E41/366))+(O42/$R42*100*($E42/366))</f>
        <v>0</v>
      </c>
      <c r="I161" s="392"/>
      <c r="J161" s="392">
        <f>(P41/$R41*100*($E41/366))+(P42/$R42*100*($E42/366))</f>
        <v>0</v>
      </c>
      <c r="K161" s="392"/>
      <c r="L161" s="392">
        <f>(Q41/$R41*100*($E41/366))+(Q42/$R42*100*($E42/366))</f>
        <v>100</v>
      </c>
      <c r="M161" s="392"/>
      <c r="N161" s="363">
        <f t="shared" si="23"/>
        <v>100</v>
      </c>
      <c r="O161" s="363"/>
      <c r="R161" s="1">
        <v>1976</v>
      </c>
      <c r="S161" s="5">
        <f>(O41*($E41/366))+(O42*($E42/366))</f>
        <v>0</v>
      </c>
      <c r="T161" s="5">
        <f>(P41*($E41/366))+(P42*($E42/366))</f>
        <v>0</v>
      </c>
      <c r="U161" s="5">
        <f>(Q41*($E41/366))+(Q42*($E42/366))</f>
        <v>39.999999999999993</v>
      </c>
      <c r="V161" s="5"/>
      <c r="W161" s="5">
        <f t="shared" si="25"/>
        <v>39.999999999999993</v>
      </c>
    </row>
    <row r="162" spans="1:23" x14ac:dyDescent="0.15">
      <c r="A162" s="1">
        <v>1977</v>
      </c>
      <c r="B162" s="5">
        <f>(K43*($E43/365))+(K44*($E44/365))</f>
        <v>0</v>
      </c>
      <c r="C162" s="5">
        <f>(L43*($E43/365))+(L44*($E44/365))</f>
        <v>0</v>
      </c>
      <c r="D162" s="5">
        <f>(M43*($E43/365))+(M44*($E44/365))</f>
        <v>100</v>
      </c>
      <c r="E162" s="17">
        <f t="shared" si="24"/>
        <v>100</v>
      </c>
      <c r="G162" s="1">
        <v>1977</v>
      </c>
      <c r="H162" s="392">
        <f>(O43/$R43*100*($E43/365))+(O44/$R44*100*($E44/365))</f>
        <v>0</v>
      </c>
      <c r="I162" s="392"/>
      <c r="J162" s="392">
        <f>(P43/$R43*100*($E43/365))+(P44/$R44*100*($E44/365))</f>
        <v>0</v>
      </c>
      <c r="K162" s="392"/>
      <c r="L162" s="392">
        <f>(Q43/$R43*100*($E43/365))+(Q44/$R44*100*($E44/365))</f>
        <v>100</v>
      </c>
      <c r="M162" s="392"/>
      <c r="N162" s="363">
        <f t="shared" si="23"/>
        <v>100</v>
      </c>
      <c r="O162" s="363"/>
      <c r="R162" s="1">
        <v>1977</v>
      </c>
      <c r="S162" s="5">
        <f>(O43*($E43/365))+(O44*($E44/365))</f>
        <v>0</v>
      </c>
      <c r="T162" s="5">
        <f>(P43*($E43/365))+(P44*($E44/365))</f>
        <v>0</v>
      </c>
      <c r="U162" s="5">
        <f>(Q43*($E43/365))+(Q44*($E44/365))</f>
        <v>42.736986301369868</v>
      </c>
      <c r="V162" s="5"/>
      <c r="W162" s="5">
        <f t="shared" si="25"/>
        <v>42.736986301369868</v>
      </c>
    </row>
    <row r="163" spans="1:23" x14ac:dyDescent="0.15">
      <c r="A163" s="1">
        <v>1978</v>
      </c>
      <c r="B163" s="5">
        <f>(K45*($E45/365))+(K46*($E46/365))</f>
        <v>0</v>
      </c>
      <c r="C163" s="5">
        <f>(L45*($E45/365))+(L46*($E46/365))</f>
        <v>0</v>
      </c>
      <c r="D163" s="5">
        <f>(M45*($E45/365))+(M46*($E46/365))</f>
        <v>100</v>
      </c>
      <c r="E163" s="17">
        <f t="shared" si="24"/>
        <v>100</v>
      </c>
      <c r="G163" s="1">
        <v>1978</v>
      </c>
      <c r="H163" s="392">
        <f>(O45/$R45*100*($E45/365))+(O46/$R46*100*($E46/365))</f>
        <v>0</v>
      </c>
      <c r="I163" s="392"/>
      <c r="J163" s="392">
        <f>(P45/$R45*100*($E45/365))+(P46/$R46*100*($E46/365))</f>
        <v>0</v>
      </c>
      <c r="K163" s="392"/>
      <c r="L163" s="392">
        <f>(Q45/$R45*100*($E45/365))+(Q46/$R46*100*($E46/365))</f>
        <v>100</v>
      </c>
      <c r="M163" s="392"/>
      <c r="N163" s="363">
        <f t="shared" si="23"/>
        <v>100</v>
      </c>
      <c r="O163" s="363"/>
      <c r="R163" s="1">
        <v>1978</v>
      </c>
      <c r="S163" s="5">
        <f>(O45*($E45/365))+(O46*($E46/365))</f>
        <v>0</v>
      </c>
      <c r="T163" s="5">
        <f>(P45*($E45/365))+(P46*($E46/365))</f>
        <v>0</v>
      </c>
      <c r="U163" s="5">
        <f>(Q45*($E45/365))+(Q46*($E46/365))</f>
        <v>49</v>
      </c>
      <c r="V163" s="5"/>
      <c r="W163" s="5">
        <f t="shared" si="25"/>
        <v>49</v>
      </c>
    </row>
    <row r="164" spans="1:23" x14ac:dyDescent="0.15">
      <c r="A164" s="1">
        <v>1979</v>
      </c>
      <c r="B164" s="5">
        <f>(K47*($E47/365))+(K48*($E48/365))</f>
        <v>0</v>
      </c>
      <c r="C164" s="5">
        <f>(L47*($E47/365))+(L48*($E48/365))</f>
        <v>0</v>
      </c>
      <c r="D164" s="5">
        <f>(M47*($E47/365))+(M48*($E48/365))</f>
        <v>100</v>
      </c>
      <c r="E164" s="17">
        <f t="shared" si="24"/>
        <v>100</v>
      </c>
      <c r="G164" s="1">
        <v>1979</v>
      </c>
      <c r="H164" s="392">
        <f>(O47/$R47*100*($E47/365))+(O48/$R48*100*($E48/365))</f>
        <v>0</v>
      </c>
      <c r="I164" s="392"/>
      <c r="J164" s="392">
        <f>(P47/$R47*100*($E47/365))+(P48/$R48*100*($E48/365))</f>
        <v>0</v>
      </c>
      <c r="K164" s="392"/>
      <c r="L164" s="392">
        <f>(Q47/$R47*100*($E47/365))+(Q48/$R48*100*($E48/365))</f>
        <v>100</v>
      </c>
      <c r="M164" s="392"/>
      <c r="N164" s="363">
        <f t="shared" si="23"/>
        <v>100</v>
      </c>
      <c r="O164" s="363"/>
      <c r="R164" s="1">
        <v>1979</v>
      </c>
      <c r="S164" s="5">
        <f>(O47*($E47/365))+(O48*($E48/365))</f>
        <v>0</v>
      </c>
      <c r="T164" s="5">
        <f>(P47*($E47/365))+(P48*($E48/365))</f>
        <v>0</v>
      </c>
      <c r="U164" s="5">
        <f>(Q47*($E47/365))+(Q48*($E48/365))</f>
        <v>49</v>
      </c>
      <c r="V164" s="5"/>
      <c r="W164" s="5">
        <f t="shared" si="25"/>
        <v>49</v>
      </c>
    </row>
    <row r="165" spans="1:23" x14ac:dyDescent="0.15">
      <c r="A165" s="1">
        <v>1980</v>
      </c>
      <c r="B165" s="5">
        <f>(K49*($E49/366))+(K50*($E50/366))</f>
        <v>0</v>
      </c>
      <c r="C165" s="5">
        <f>(L49*($E49/366))+(L50*($E50/366))</f>
        <v>0</v>
      </c>
      <c r="D165" s="5">
        <f>(M49*($E49/366))+(M50*($E50/366))</f>
        <v>100</v>
      </c>
      <c r="E165" s="17">
        <f t="shared" si="24"/>
        <v>100</v>
      </c>
      <c r="G165" s="1">
        <v>1980</v>
      </c>
      <c r="H165" s="392">
        <f>(O49/$R49*100*($E49/366))+(O50/$R50*100*($E50/366))</f>
        <v>0</v>
      </c>
      <c r="I165" s="392"/>
      <c r="J165" s="392">
        <f>(P49/$R49*100*($E49/366))+(P50/$R50*100*($E50/366))</f>
        <v>0</v>
      </c>
      <c r="K165" s="392"/>
      <c r="L165" s="392">
        <f>(Q49/$R49*100*($E49/366))+(Q50/$R50*100*($E50/366))</f>
        <v>100</v>
      </c>
      <c r="M165" s="392"/>
      <c r="N165" s="363">
        <f t="shared" si="23"/>
        <v>100</v>
      </c>
      <c r="O165" s="363"/>
      <c r="R165" s="1">
        <v>1980</v>
      </c>
      <c r="S165" s="5">
        <f>(O49*($E49/366))+(O50*($E50/366))</f>
        <v>0</v>
      </c>
      <c r="T165" s="5">
        <f>(P49*($E49/366))+(P50*($E50/366))</f>
        <v>0</v>
      </c>
      <c r="U165" s="5">
        <f>(Q49*($E49/366))+(Q50*($E50/366))</f>
        <v>49</v>
      </c>
      <c r="V165" s="5"/>
      <c r="W165" s="5">
        <f t="shared" si="25"/>
        <v>49</v>
      </c>
    </row>
    <row r="166" spans="1:23" x14ac:dyDescent="0.15">
      <c r="A166" s="1">
        <v>1981</v>
      </c>
      <c r="B166" s="5">
        <f>(K51*($E51/365))+(K52*($E52/365))+(K53*($E53/365))</f>
        <v>21.643835616438356</v>
      </c>
      <c r="C166" s="5">
        <f>(L51*($E51/365))+(L52*($E52/365))+(L53*($E53/365))</f>
        <v>0</v>
      </c>
      <c r="D166" s="5">
        <f>(M51*($E51/365))+(M52*($E52/365))+(M53*($E53/365))</f>
        <v>78.356164383561648</v>
      </c>
      <c r="E166" s="17">
        <f t="shared" si="24"/>
        <v>100</v>
      </c>
      <c r="G166" s="1">
        <v>1981</v>
      </c>
      <c r="H166" s="392">
        <f>(O51/$R51*100*($E51/365))+(O52/$R52*100*($E52/365))+(O53/$R53*100*($E53/365))</f>
        <v>21.643835616438356</v>
      </c>
      <c r="I166" s="392"/>
      <c r="J166" s="392">
        <f>(P51/$R51*100*($E51/365))+(P52/$R52*100*($E52/365))+(P53/$R53*100*($E53/365))</f>
        <v>0</v>
      </c>
      <c r="K166" s="392"/>
      <c r="L166" s="392">
        <f>(Q51/$R51*100*($E51/365))+(Q52/$R52*100*($E52/365))+(Q53/$R53*100*($E53/365))</f>
        <v>78.356164383561648</v>
      </c>
      <c r="M166" s="392"/>
      <c r="N166" s="363">
        <f t="shared" si="23"/>
        <v>100</v>
      </c>
      <c r="O166" s="363"/>
      <c r="R166" s="1">
        <v>1981</v>
      </c>
      <c r="S166" s="5">
        <f>(O51*($E51/365))+(O52*($E52/365))+(O53*($E53/365))</f>
        <v>7.5320547945205476</v>
      </c>
      <c r="T166" s="5">
        <f>(P51*($E51/365))+(P52*($E52/365))+(P53*($E53/365))</f>
        <v>0</v>
      </c>
      <c r="U166" s="5">
        <f>(Q51*($E51/365))+(Q52*($E52/365))+(Q53*($E53/365))</f>
        <v>38.394520547945206</v>
      </c>
      <c r="V166" s="5"/>
      <c r="W166" s="5">
        <f t="shared" si="25"/>
        <v>45.926575342465753</v>
      </c>
    </row>
    <row r="167" spans="1:23" x14ac:dyDescent="0.15">
      <c r="A167" s="1">
        <v>1982</v>
      </c>
      <c r="B167" s="5">
        <f>(K54*($E54/365))+(K55*($E55/365))</f>
        <v>100</v>
      </c>
      <c r="C167" s="5">
        <f>(L54*($E54/365))+(L55*($E55/365))</f>
        <v>0</v>
      </c>
      <c r="D167" s="5">
        <f>(M54*($E54/365))+(M55*($E55/365))</f>
        <v>0</v>
      </c>
      <c r="E167" s="17">
        <f t="shared" si="24"/>
        <v>100</v>
      </c>
      <c r="G167" s="1">
        <v>1982</v>
      </c>
      <c r="H167" s="392">
        <f>(O54/$R54*100*($E54/365))+(O55/$R55*100*($E55/365))</f>
        <v>100</v>
      </c>
      <c r="I167" s="392"/>
      <c r="J167" s="392">
        <f>(P54/$R54*100*($E54/365))+(P55/$R55*100*($E55/365))</f>
        <v>0</v>
      </c>
      <c r="K167" s="392"/>
      <c r="L167" s="392">
        <f>(Q54/$R54*100*($E54/365))+(Q55/$R55*100*($E55/365))</f>
        <v>0</v>
      </c>
      <c r="M167" s="392"/>
      <c r="N167" s="363">
        <f t="shared" si="23"/>
        <v>100</v>
      </c>
      <c r="O167" s="363"/>
      <c r="R167" s="1">
        <v>1982</v>
      </c>
      <c r="S167" s="5">
        <f>(O54*($E54/365))+(O55*($E55/365))</f>
        <v>34.799999999999997</v>
      </c>
      <c r="T167" s="5">
        <f>(P54*($E54/365))+(P55*($E55/365))</f>
        <v>0</v>
      </c>
      <c r="U167" s="5">
        <f>(Q54*($E54/365))+(Q55*($E55/365))</f>
        <v>0</v>
      </c>
      <c r="V167" s="5"/>
      <c r="W167" s="5">
        <f t="shared" si="25"/>
        <v>34.799999999999997</v>
      </c>
    </row>
    <row r="168" spans="1:23" x14ac:dyDescent="0.15">
      <c r="A168" s="1">
        <v>1983</v>
      </c>
      <c r="B168" s="5">
        <f>(K56*($E56/365))+(K57*($E57/365))</f>
        <v>81.095890410958901</v>
      </c>
      <c r="C168" s="5">
        <f>(L56*($E56/365))+(L57*($E57/365))</f>
        <v>18.904109589041092</v>
      </c>
      <c r="D168" s="5">
        <f>(M56*($E56/365))+(M57*($E57/365))</f>
        <v>0</v>
      </c>
      <c r="E168" s="17">
        <f t="shared" si="24"/>
        <v>100</v>
      </c>
      <c r="G168" s="1">
        <v>1983</v>
      </c>
      <c r="H168" s="392">
        <f>(O56/$R56*100*($E56/365))+(O57/$R57*100*($E57/365))</f>
        <v>81.535520866517999</v>
      </c>
      <c r="I168" s="392"/>
      <c r="J168" s="392">
        <f>(P56/$R56*100*($E56/365))+(P57/$R57*100*($E57/365))</f>
        <v>18.464479133481998</v>
      </c>
      <c r="K168" s="392"/>
      <c r="L168" s="392">
        <f>(Q56/$R56*100*($E56/365))+(Q57/$R57*100*($E57/365))</f>
        <v>0</v>
      </c>
      <c r="M168" s="392"/>
      <c r="N168" s="363">
        <f t="shared" si="23"/>
        <v>100</v>
      </c>
      <c r="O168" s="363"/>
      <c r="R168" s="1">
        <v>1983</v>
      </c>
      <c r="S168" s="5">
        <f>(O56*($E56/365))+(O57*($E57/365))</f>
        <v>34.799999999999997</v>
      </c>
      <c r="T168" s="5">
        <f>(P56*($E56/365))+(P57*($E57/365))</f>
        <v>9.5276712328767115</v>
      </c>
      <c r="U168" s="5">
        <f>(Q56*($E56/365))+(Q57*($E57/365))</f>
        <v>0</v>
      </c>
      <c r="V168" s="5"/>
      <c r="W168" s="5">
        <f t="shared" si="25"/>
        <v>44.32767123287671</v>
      </c>
    </row>
    <row r="169" spans="1:23" x14ac:dyDescent="0.15">
      <c r="A169" s="1">
        <v>1984</v>
      </c>
      <c r="B169" s="5">
        <f>(K58*($E58/366))+(K59*($E59/366))</f>
        <v>66.666666666666657</v>
      </c>
      <c r="C169" s="5">
        <f>(L58*($E58/366))+(L59*($E59/366))</f>
        <v>33.333333333333329</v>
      </c>
      <c r="D169" s="5">
        <f>(M58*($E58/366))+(M59*($E59/366))</f>
        <v>0</v>
      </c>
      <c r="E169" s="17">
        <f t="shared" si="24"/>
        <v>99.999999999999986</v>
      </c>
      <c r="G169" s="1">
        <v>1984</v>
      </c>
      <c r="H169" s="392">
        <f>(O58/$R58*100*($E58/366))+(O59/$R59*100*($E59/366))</f>
        <v>67.441860465116278</v>
      </c>
      <c r="I169" s="392"/>
      <c r="J169" s="392">
        <f>(P58/$R58*100*($E58/366))+(P59/$R59*100*($E59/366))</f>
        <v>32.558139534883715</v>
      </c>
      <c r="K169" s="392"/>
      <c r="L169" s="392">
        <f>(Q58/$R58*100*($E58/366))+(Q59/$R59*100*($E59/366))</f>
        <v>0</v>
      </c>
      <c r="M169" s="392"/>
      <c r="N169" s="363">
        <f t="shared" si="23"/>
        <v>100</v>
      </c>
      <c r="O169" s="363"/>
      <c r="R169" s="1">
        <v>1984</v>
      </c>
      <c r="S169" s="5">
        <f>(O58*($E58/366))+(O59*($E59/366))</f>
        <v>34.799999999999997</v>
      </c>
      <c r="T169" s="5">
        <f>(P58*($E58/366))+(P59*($E59/366))</f>
        <v>16.799999999999997</v>
      </c>
      <c r="U169" s="5">
        <f>(Q58*($E58/366))+(Q59*($E59/366))</f>
        <v>0</v>
      </c>
      <c r="V169" s="5"/>
      <c r="W169" s="5">
        <f t="shared" si="25"/>
        <v>51.599999999999994</v>
      </c>
    </row>
    <row r="170" spans="1:23" x14ac:dyDescent="0.15">
      <c r="A170" s="1">
        <v>1985</v>
      </c>
      <c r="B170" s="5">
        <f>(K60*($E60/365))+(K61*($E61/365))</f>
        <v>66.118721461187207</v>
      </c>
      <c r="C170" s="5">
        <f>(L60*($E60/365))+(L61*($E61/365))</f>
        <v>33.881278538812779</v>
      </c>
      <c r="D170" s="5">
        <f>(M60*($E60/365))+(M61*($E61/365))</f>
        <v>0</v>
      </c>
      <c r="E170" s="17">
        <f t="shared" si="24"/>
        <v>99.999999999999986</v>
      </c>
      <c r="G170" s="1">
        <v>1985</v>
      </c>
      <c r="H170" s="392">
        <f>(O60/$R60*100*($E60/365))+(O61/$R61*100*($E61/365))</f>
        <v>67.113524956581614</v>
      </c>
      <c r="I170" s="392"/>
      <c r="J170" s="392">
        <f>(P60/$R60*100*($E60/365))+(P61/$R61*100*($E61/365))</f>
        <v>32.886475043418386</v>
      </c>
      <c r="K170" s="392"/>
      <c r="L170" s="392">
        <f>(Q60/$R60*100*($E60/365))+(Q61/$R61*100*($E61/365))</f>
        <v>0</v>
      </c>
      <c r="M170" s="392"/>
      <c r="N170" s="363">
        <f t="shared" si="23"/>
        <v>100</v>
      </c>
      <c r="O170" s="363"/>
      <c r="R170" s="1">
        <v>1985</v>
      </c>
      <c r="S170" s="5">
        <f>(O60*($E60/365))+(O61*($E61/365))</f>
        <v>34.504109589041093</v>
      </c>
      <c r="T170" s="5">
        <f>(P60*($E60/365))+(P61*($E61/365))</f>
        <v>16.898630136986299</v>
      </c>
      <c r="U170" s="5">
        <f>(Q60*($E60/365))+(Q61*($E61/365))</f>
        <v>0</v>
      </c>
      <c r="V170" s="5"/>
      <c r="W170" s="5">
        <f t="shared" si="25"/>
        <v>51.402739726027391</v>
      </c>
    </row>
    <row r="171" spans="1:23" x14ac:dyDescent="0.15">
      <c r="A171" s="1">
        <v>1986</v>
      </c>
      <c r="B171" s="5">
        <f>(K62*($E62/365))+(K63*($E63/365))</f>
        <v>21.430745814307461</v>
      </c>
      <c r="C171" s="5">
        <f>(L62*($E62/365))+(L63*($E63/365))</f>
        <v>13.637747336377474</v>
      </c>
      <c r="D171" s="5">
        <f>(M62*($E62/365))+(M63*($E63/365))</f>
        <v>64.93150684931507</v>
      </c>
      <c r="E171" s="17">
        <f t="shared" si="24"/>
        <v>100</v>
      </c>
      <c r="G171" s="1">
        <v>1986</v>
      </c>
      <c r="H171" s="392">
        <f>(O62/$R62*100*($E62/365))+(O63/$R63*100*($E63/365))</f>
        <v>22.483429076447198</v>
      </c>
      <c r="I171" s="392"/>
      <c r="J171" s="392">
        <f>(P62/$R62*100*($E62/365))+(P63/$R63*100*($E63/365))</f>
        <v>12.585064074237737</v>
      </c>
      <c r="K171" s="392"/>
      <c r="L171" s="392">
        <f>(Q62/$R62*100*($E62/365))+(Q63/$R63*100*($E63/365))</f>
        <v>64.93150684931507</v>
      </c>
      <c r="M171" s="392"/>
      <c r="N171" s="363">
        <f t="shared" si="23"/>
        <v>100</v>
      </c>
      <c r="O171" s="363"/>
      <c r="R171" s="1">
        <v>1986</v>
      </c>
      <c r="S171" s="5">
        <f>(O62*($E62/365))+(O63*($E63/365))</f>
        <v>11.151780821917809</v>
      </c>
      <c r="T171" s="5">
        <f>(P62*($E62/365))+(P63*($E63/365))</f>
        <v>6.2421917808219165</v>
      </c>
      <c r="U171" s="5">
        <f>(Q62*($E62/365))+(Q63*($E63/365))</f>
        <v>29.349041095890414</v>
      </c>
      <c r="V171" s="5"/>
      <c r="W171" s="5">
        <f t="shared" si="25"/>
        <v>46.743013698630136</v>
      </c>
    </row>
    <row r="172" spans="1:23" x14ac:dyDescent="0.15">
      <c r="A172" s="1">
        <v>1987</v>
      </c>
      <c r="B172" s="5">
        <f>(K64*($E64/365))+(K65*($E65/365))</f>
        <v>0</v>
      </c>
      <c r="C172" s="5">
        <f>(L64*($E64/365))+(L65*($E65/365))</f>
        <v>0</v>
      </c>
      <c r="D172" s="5">
        <f>(M64*($E64/365))+(M65*($E65/365))</f>
        <v>100</v>
      </c>
      <c r="E172" s="17">
        <f t="shared" si="24"/>
        <v>100</v>
      </c>
      <c r="G172" s="1">
        <v>1987</v>
      </c>
      <c r="H172" s="392">
        <f>(O64/$R64*100*($E64/365))+(O65/$R65*100*($E65/365))</f>
        <v>0</v>
      </c>
      <c r="I172" s="392"/>
      <c r="J172" s="392">
        <f>(P64/$R64*100*($E64/365))+(P65/$R65*100*($E65/365))</f>
        <v>0</v>
      </c>
      <c r="K172" s="392"/>
      <c r="L172" s="392">
        <f>(Q64/$R64*100*($E64/365))+(Q65/$R65*100*($E65/365))</f>
        <v>100</v>
      </c>
      <c r="M172" s="392"/>
      <c r="N172" s="363">
        <f t="shared" si="23"/>
        <v>100</v>
      </c>
      <c r="O172" s="363"/>
      <c r="R172" s="1">
        <v>1987</v>
      </c>
      <c r="S172" s="5">
        <f>(O64*($E64/365))+(O65*($E65/365))</f>
        <v>0</v>
      </c>
      <c r="T172" s="5">
        <f>(P64*($E64/365))+(P65*($E65/365))</f>
        <v>0</v>
      </c>
      <c r="U172" s="5">
        <f>(Q64*($E64/365))+(Q65*($E65/365))</f>
        <v>45.2</v>
      </c>
      <c r="V172" s="5"/>
      <c r="W172" s="5">
        <f t="shared" si="25"/>
        <v>45.2</v>
      </c>
    </row>
    <row r="173" spans="1:23" x14ac:dyDescent="0.15">
      <c r="A173" s="1">
        <v>1988</v>
      </c>
      <c r="B173" s="5">
        <f>(K66*($E66/366))+(K67*($E67/366))</f>
        <v>0</v>
      </c>
      <c r="C173" s="5">
        <f>(L66*($E66/366))+(L67*($E67/366))</f>
        <v>0</v>
      </c>
      <c r="D173" s="5">
        <f>(M66*($E66/366))+(M67*($E67/366))</f>
        <v>100</v>
      </c>
      <c r="E173" s="17">
        <f t="shared" si="24"/>
        <v>100</v>
      </c>
      <c r="G173" s="1">
        <v>1988</v>
      </c>
      <c r="H173" s="392">
        <f>(O66/$R66*100*($E66/366))+(O67/$R67*100*($E67/366))</f>
        <v>0</v>
      </c>
      <c r="I173" s="392"/>
      <c r="J173" s="392">
        <f>(P66/$R66*100*($E66/366))+(P67/$R67*100*($E67/366))</f>
        <v>0</v>
      </c>
      <c r="K173" s="392"/>
      <c r="L173" s="392">
        <f>(Q66/$R66*100*($E66/366))+(Q67/$R67*100*($E67/366))</f>
        <v>100</v>
      </c>
      <c r="M173" s="392"/>
      <c r="N173" s="363">
        <f t="shared" si="23"/>
        <v>100</v>
      </c>
      <c r="O173" s="363"/>
      <c r="R173" s="1">
        <v>1988</v>
      </c>
      <c r="S173" s="5">
        <f>(O66*($E66/366))+(O67*($E67/366))</f>
        <v>0</v>
      </c>
      <c r="T173" s="5">
        <f>(P66*($E66/366))+(P67*($E67/366))</f>
        <v>0</v>
      </c>
      <c r="U173" s="5">
        <f>(Q66*($E66/366))+(Q67*($E67/366))</f>
        <v>45.2</v>
      </c>
      <c r="V173" s="5"/>
      <c r="W173" s="5">
        <f t="shared" si="25"/>
        <v>45.2</v>
      </c>
    </row>
    <row r="174" spans="1:23" x14ac:dyDescent="0.15">
      <c r="A174" s="1">
        <v>1989</v>
      </c>
      <c r="B174" s="5">
        <f>(K68*($E68/365))+(K69*($E69/365))</f>
        <v>9.3759512937595115</v>
      </c>
      <c r="C174" s="5">
        <f>(L68*($E68/365))+(L69*($E69/365))</f>
        <v>11.719939117199392</v>
      </c>
      <c r="D174" s="5">
        <f>(M68*($E68/365))+(M69*($E69/365))</f>
        <v>78.904109589041099</v>
      </c>
      <c r="E174" s="17">
        <f t="shared" si="24"/>
        <v>100</v>
      </c>
      <c r="G174" s="1">
        <v>1989</v>
      </c>
      <c r="H174" s="392">
        <f>(O68/$R68*100*($E68/365))+(O69/$R69*100*($E69/365))</f>
        <v>12.567764500145731</v>
      </c>
      <c r="I174" s="392"/>
      <c r="J174" s="392">
        <f>(P68/$R68*100*($E68/365))+(P69/$R69*100*($E69/365))</f>
        <v>8.5281259108131735</v>
      </c>
      <c r="K174" s="392"/>
      <c r="L174" s="392">
        <f>(Q68/$R68*100*($E68/365))+(Q69/$R69*100*($E69/365))</f>
        <v>78.904109589041099</v>
      </c>
      <c r="M174" s="392"/>
      <c r="N174" s="363">
        <f t="shared" si="23"/>
        <v>100</v>
      </c>
      <c r="O174" s="363"/>
      <c r="R174" s="1">
        <v>1989</v>
      </c>
      <c r="S174" s="5">
        <f>(O68*($E68/365))+(O69*($E69/365))</f>
        <v>4.7254794520547945</v>
      </c>
      <c r="T174" s="5">
        <f>(P68*($E68/365))+(P69*($E69/365))</f>
        <v>3.206575342465753</v>
      </c>
      <c r="U174" s="5">
        <f>(Q68*($E68/365))+(Q69*($E69/365))</f>
        <v>35.664657534246579</v>
      </c>
      <c r="V174" s="5"/>
      <c r="W174" s="5">
        <f t="shared" si="25"/>
        <v>43.596712328767126</v>
      </c>
    </row>
    <row r="175" spans="1:23" x14ac:dyDescent="0.15">
      <c r="A175" s="1">
        <v>1990</v>
      </c>
      <c r="B175" s="5">
        <f>(K70*($E70/365))+(K71*($E71/365))</f>
        <v>37.260273972602739</v>
      </c>
      <c r="C175" s="5">
        <f>(L70*($E70/365))+(L71*($E71/365))</f>
        <v>46.575342465753423</v>
      </c>
      <c r="D175" s="5">
        <f>(M70*($E70/365))+(M71*($E71/365))</f>
        <v>16.164383561643834</v>
      </c>
      <c r="E175" s="17">
        <f t="shared" si="24"/>
        <v>100</v>
      </c>
      <c r="G175" s="1">
        <v>1990</v>
      </c>
      <c r="H175" s="392">
        <f>(O70/$R70*100*($E70/365))+(O71/$R71*100*($E71/365))</f>
        <v>49.944622559020701</v>
      </c>
      <c r="I175" s="392"/>
      <c r="J175" s="392">
        <f>(P70/$R70*100*($E70/365))+(P71/$R71*100*($E71/365))</f>
        <v>33.890993879335468</v>
      </c>
      <c r="K175" s="392"/>
      <c r="L175" s="392">
        <f>(Q70/$R70*100*($E70/365))+(Q71/$R71*100*($E71/365))</f>
        <v>16.164383561643834</v>
      </c>
      <c r="M175" s="392"/>
      <c r="N175" s="363">
        <f t="shared" si="23"/>
        <v>100</v>
      </c>
      <c r="O175" s="363"/>
      <c r="R175" s="1">
        <v>1990</v>
      </c>
      <c r="S175" s="5">
        <f>(O70*($E70/365))+(O71*($E71/365))</f>
        <v>18.77917808219178</v>
      </c>
      <c r="T175" s="5">
        <f>(P70*($E70/365))+(P71*($E71/365))</f>
        <v>12.743013698630136</v>
      </c>
      <c r="U175" s="5">
        <f>(Q70*($E70/365))+(Q71*($E71/365))</f>
        <v>6.1747945205479455</v>
      </c>
      <c r="V175" s="5"/>
      <c r="W175" s="5">
        <f t="shared" si="25"/>
        <v>37.696986301369861</v>
      </c>
    </row>
    <row r="176" spans="1:23" x14ac:dyDescent="0.15">
      <c r="A176" s="1">
        <v>1991</v>
      </c>
      <c r="B176" s="5">
        <f>(K72*($E72/365))+(K73*($E73/365))</f>
        <v>0</v>
      </c>
      <c r="C176" s="5">
        <f>(L72*($E72/365))+(L73*($E73/365))</f>
        <v>0</v>
      </c>
      <c r="D176" s="5">
        <f>(M72*($E72/365))+(M73*($E73/365))</f>
        <v>100</v>
      </c>
      <c r="E176" s="17">
        <f t="shared" si="24"/>
        <v>100</v>
      </c>
      <c r="G176" s="1">
        <v>1991</v>
      </c>
      <c r="H176" s="392">
        <f>(O72/$R72*100*($E72/365))+(O73/$R73*100*($E73/365))</f>
        <v>0</v>
      </c>
      <c r="I176" s="392"/>
      <c r="J176" s="392">
        <f>(P72/$R72*100*($E72/365))+(P73/$R73*100*($E73/365))</f>
        <v>0</v>
      </c>
      <c r="K176" s="392"/>
      <c r="L176" s="392">
        <f>(Q72/$R72*100*($E72/365))+(Q73/$R73*100*($E73/365))</f>
        <v>100</v>
      </c>
      <c r="M176" s="392"/>
      <c r="N176" s="363">
        <f t="shared" si="23"/>
        <v>100</v>
      </c>
      <c r="O176" s="363"/>
      <c r="R176" s="1">
        <v>1991</v>
      </c>
      <c r="S176" s="5">
        <f>(O72*($E72/365))+(O73*($E73/365))</f>
        <v>0</v>
      </c>
      <c r="T176" s="5">
        <f>(P72*($E72/365))+(P73*($E73/365))</f>
        <v>0</v>
      </c>
      <c r="U176" s="5">
        <f>(Q72*($E72/365))+(Q73*($E73/365))</f>
        <v>38.200000000000003</v>
      </c>
      <c r="V176" s="5"/>
      <c r="W176" s="5">
        <f t="shared" si="25"/>
        <v>38.200000000000003</v>
      </c>
    </row>
    <row r="177" spans="1:23" x14ac:dyDescent="0.15">
      <c r="A177" s="1">
        <v>1992</v>
      </c>
      <c r="B177" s="5">
        <f>(K74*($E74/366))+(K75*($E75/366))</f>
        <v>0</v>
      </c>
      <c r="C177" s="5">
        <f>(L74*($E74/366))+(L75*($E75/366))</f>
        <v>0</v>
      </c>
      <c r="D177" s="5">
        <f>(M74*($E74/366))+(M75*($E75/366))</f>
        <v>100</v>
      </c>
      <c r="E177" s="17">
        <f t="shared" si="24"/>
        <v>100</v>
      </c>
      <c r="G177" s="1">
        <v>1992</v>
      </c>
      <c r="H177" s="392">
        <f>(O74/$R74*100*($E74/366))+(O75/$R75*100*($E75/366))</f>
        <v>0</v>
      </c>
      <c r="I177" s="392"/>
      <c r="J177" s="392">
        <f>(P74/$R74*100*($E74/366))+(P75/$R75*100*($E75/366))</f>
        <v>0</v>
      </c>
      <c r="K177" s="392"/>
      <c r="L177" s="392">
        <f>(Q74/$R74*100*($E74/366))+(Q75/$R75*100*($E75/366))</f>
        <v>100</v>
      </c>
      <c r="M177" s="392"/>
      <c r="N177" s="363">
        <f t="shared" ref="N177:N197" si="26">H177+J177+L177</f>
        <v>100</v>
      </c>
      <c r="O177" s="363"/>
      <c r="R177" s="1">
        <v>1992</v>
      </c>
      <c r="S177" s="5">
        <f>(O74*($E74/366))+(O75*($E75/366))</f>
        <v>0</v>
      </c>
      <c r="T177" s="5">
        <f>(P74*($E74/366))+(P75*($E75/366))</f>
        <v>0</v>
      </c>
      <c r="U177" s="5">
        <f>(Q74*($E74/366))+(Q75*($E75/366))</f>
        <v>38.200000000000003</v>
      </c>
      <c r="V177" s="5"/>
      <c r="W177" s="5">
        <f t="shared" si="25"/>
        <v>38.200000000000003</v>
      </c>
    </row>
    <row r="178" spans="1:23" x14ac:dyDescent="0.15">
      <c r="A178" s="1">
        <v>1993</v>
      </c>
      <c r="B178" s="5">
        <f>(K76*($E76/365))+(K77*($E77/365))</f>
        <v>0</v>
      </c>
      <c r="C178" s="5">
        <f>(L76*($E76/365))+(L77*($E77/365))</f>
        <v>0</v>
      </c>
      <c r="D178" s="5">
        <f>(M76*($E76/365))+(M77*($E77/365))</f>
        <v>100</v>
      </c>
      <c r="E178" s="17">
        <f t="shared" si="24"/>
        <v>100</v>
      </c>
      <c r="G178" s="1">
        <v>1993</v>
      </c>
      <c r="H178" s="392">
        <f>(O76/$R76*100*($E76/365))+(O77/$R77*100*($E77/365))</f>
        <v>0</v>
      </c>
      <c r="I178" s="392"/>
      <c r="J178" s="392">
        <f>(P76/$R76*100*($E76/365))+(P77/$R77*100*($E77/365))</f>
        <v>0</v>
      </c>
      <c r="K178" s="392"/>
      <c r="L178" s="392">
        <f>(Q76/$R76*100*($E76/365))+(Q77/$R77*100*($E77/365))</f>
        <v>100</v>
      </c>
      <c r="M178" s="392"/>
      <c r="N178" s="363">
        <f t="shared" si="26"/>
        <v>100</v>
      </c>
      <c r="O178" s="363"/>
      <c r="R178" s="1">
        <v>1993</v>
      </c>
      <c r="S178" s="5">
        <f>(O76*($E76/365))+(O77*($E77/365))</f>
        <v>0</v>
      </c>
      <c r="T178" s="5">
        <f>(P76*($E76/365))+(P77*($E77/365))</f>
        <v>0</v>
      </c>
      <c r="U178" s="5">
        <f>(Q76*($E76/365))+(Q77*($E77/365))</f>
        <v>38.916712328767126</v>
      </c>
      <c r="V178" s="5"/>
      <c r="W178" s="5">
        <f t="shared" si="25"/>
        <v>38.916712328767126</v>
      </c>
    </row>
    <row r="179" spans="1:23" x14ac:dyDescent="0.15">
      <c r="A179" s="1">
        <v>1994</v>
      </c>
      <c r="B179" s="5">
        <f>(K78*($E78/365))+(K79*($E79/365))</f>
        <v>0</v>
      </c>
      <c r="C179" s="5">
        <f>(L78*($E78/365))+(L79*($E79/365))</f>
        <v>0</v>
      </c>
      <c r="D179" s="5">
        <f>(M78*($E78/365))+(M79*($E79/365))</f>
        <v>100</v>
      </c>
      <c r="E179" s="17">
        <f t="shared" si="24"/>
        <v>100</v>
      </c>
      <c r="G179" s="1">
        <v>1994</v>
      </c>
      <c r="H179" s="392">
        <f>(O78/$R78*100*($E78/365))+(O79/$R79*100*($E79/365))</f>
        <v>0</v>
      </c>
      <c r="I179" s="392"/>
      <c r="J179" s="392">
        <f>(P78/$R78*100*($E78/365))+(P79/$R79*100*($E79/365))</f>
        <v>0</v>
      </c>
      <c r="K179" s="392"/>
      <c r="L179" s="392">
        <f>(Q78/$R78*100*($E78/365))+(Q79/$R79*100*($E79/365))</f>
        <v>100</v>
      </c>
      <c r="M179" s="392"/>
      <c r="N179" s="363">
        <f t="shared" si="26"/>
        <v>100</v>
      </c>
      <c r="O179" s="363"/>
      <c r="R179" s="1">
        <v>1994</v>
      </c>
      <c r="S179" s="5">
        <f>(O78*($E78/365))+(O79*($E79/365))</f>
        <v>0</v>
      </c>
      <c r="T179" s="5">
        <f>(P78*($E78/365))+(P79*($E79/365))</f>
        <v>0</v>
      </c>
      <c r="U179" s="5">
        <f>(Q78*($E78/365))+(Q79*($E79/365))</f>
        <v>40.6</v>
      </c>
      <c r="V179" s="5"/>
      <c r="W179" s="5">
        <f t="shared" si="25"/>
        <v>40.6</v>
      </c>
    </row>
    <row r="180" spans="1:23" x14ac:dyDescent="0.15">
      <c r="A180" s="1">
        <v>1995</v>
      </c>
      <c r="B180" s="5">
        <f>(K80*($E80/365))+(K81*($E81/365))</f>
        <v>0</v>
      </c>
      <c r="C180" s="5">
        <f>(L80*($E80/365))+(L81*($E81/365))</f>
        <v>0</v>
      </c>
      <c r="D180" s="5">
        <f>(M80*($E80/365))+(M81*($E81/365))</f>
        <v>100</v>
      </c>
      <c r="E180" s="17">
        <f t="shared" si="24"/>
        <v>100</v>
      </c>
      <c r="G180" s="1">
        <v>1995</v>
      </c>
      <c r="H180" s="392">
        <f>(O80/$R80*100*($E80/365))+(O81/$R81*100*($E81/365))</f>
        <v>0</v>
      </c>
      <c r="I180" s="392"/>
      <c r="J180" s="392">
        <f>(P80/$R80*100*($E80/365))+(P81/$R81*100*($E81/365))</f>
        <v>0</v>
      </c>
      <c r="K180" s="392"/>
      <c r="L180" s="392">
        <f>(Q80/$R80*100*($E80/365))+(Q81/$R81*100*($E81/365))</f>
        <v>100</v>
      </c>
      <c r="M180" s="392"/>
      <c r="N180" s="363">
        <f t="shared" si="26"/>
        <v>100</v>
      </c>
      <c r="O180" s="363"/>
      <c r="R180" s="1">
        <v>1995</v>
      </c>
      <c r="S180" s="5">
        <f>(O80*($E80/365))+(O81*($E81/365))</f>
        <v>0</v>
      </c>
      <c r="T180" s="5">
        <f>(P80*($E80/365))+(P81*($E81/365))</f>
        <v>0</v>
      </c>
      <c r="U180" s="5">
        <f>(Q80*($E80/365))+(Q81*($E81/365))</f>
        <v>40.6</v>
      </c>
      <c r="V180" s="5"/>
      <c r="W180" s="5">
        <f t="shared" si="25"/>
        <v>40.6</v>
      </c>
    </row>
    <row r="181" spans="1:23" x14ac:dyDescent="0.15">
      <c r="A181" s="1">
        <v>1996</v>
      </c>
      <c r="B181" s="5">
        <f>(K82*($E82/366))+(K83*($E83/366))</f>
        <v>0</v>
      </c>
      <c r="C181" s="5">
        <f>(L82*($E82/366))+(L83*($E83/366))</f>
        <v>0</v>
      </c>
      <c r="D181" s="5">
        <f>(M82*($E82/366))+(M83*($E83/366))</f>
        <v>100</v>
      </c>
      <c r="E181" s="17">
        <f t="shared" si="24"/>
        <v>100</v>
      </c>
      <c r="G181" s="1">
        <v>1996</v>
      </c>
      <c r="H181" s="392">
        <f>(O82/$R82*100*($E82/366))+(O83/$R83*100*($E83/366))</f>
        <v>0</v>
      </c>
      <c r="I181" s="392"/>
      <c r="J181" s="392">
        <f>(P82/$R82*100*($E82/366))+(P83/$R83*100*($E83/366))</f>
        <v>0</v>
      </c>
      <c r="K181" s="392"/>
      <c r="L181" s="392">
        <f>(Q82/$R82*100*($E82/366))+(Q83/$R83*100*($E83/366))</f>
        <v>100</v>
      </c>
      <c r="M181" s="392"/>
      <c r="N181" s="363">
        <f t="shared" si="26"/>
        <v>100</v>
      </c>
      <c r="O181" s="363"/>
      <c r="R181" s="1">
        <v>1996</v>
      </c>
      <c r="S181" s="5">
        <f>(O82*($E82/366))+(O83*($E83/366))</f>
        <v>0</v>
      </c>
      <c r="T181" s="5">
        <f>(P82*($E82/366))+(P83*($E83/366))</f>
        <v>0</v>
      </c>
      <c r="U181" s="5">
        <f>(Q82*($E82/366))+(Q83*($E83/366))</f>
        <v>40.6</v>
      </c>
      <c r="V181" s="5"/>
      <c r="W181" s="5">
        <f t="shared" si="25"/>
        <v>40.6</v>
      </c>
    </row>
    <row r="182" spans="1:23" x14ac:dyDescent="0.15">
      <c r="A182" s="1">
        <v>1997</v>
      </c>
      <c r="B182" s="5">
        <f>(K84*($E84/365))+(K85*($E85/365))</f>
        <v>4.3835616438356162</v>
      </c>
      <c r="C182" s="5">
        <f>(L84*($E84/365))+(L85*($E85/365))</f>
        <v>16.438356164383563</v>
      </c>
      <c r="D182" s="5">
        <f>(M84*($E84/365))+(M85*($E85/365))</f>
        <v>79.178082191780817</v>
      </c>
      <c r="E182" s="17">
        <f t="shared" si="24"/>
        <v>100</v>
      </c>
      <c r="G182" s="1">
        <v>1997</v>
      </c>
      <c r="H182" s="392">
        <f>(O84/$R84*100*($E84/365))+(O85/$R85*100*($E85/365))</f>
        <v>2.9395648670427077</v>
      </c>
      <c r="I182" s="392"/>
      <c r="J182" s="392">
        <f>(P84/$R84*100*($E84/365))+(P85/$R85*100*($E85/365))</f>
        <v>17.882352941176471</v>
      </c>
      <c r="K182" s="392"/>
      <c r="L182" s="392">
        <f>(Q84/$R84*100*($E84/365))+(Q85/$R85*100*($E85/365))</f>
        <v>79.178082191780817</v>
      </c>
      <c r="M182" s="392"/>
      <c r="N182" s="363">
        <f t="shared" si="26"/>
        <v>100</v>
      </c>
      <c r="O182" s="363"/>
      <c r="R182" s="1">
        <v>1997</v>
      </c>
      <c r="S182" s="5">
        <f>(O84*($E84/365))+(O85*($E85/365))</f>
        <v>0.74958904109589042</v>
      </c>
      <c r="T182" s="5">
        <f>(P84*($E84/365))+(P85*($E85/365))</f>
        <v>4.5599999999999996</v>
      </c>
      <c r="U182" s="5">
        <f>(Q84*($E84/365))+(Q85*($E85/365))</f>
        <v>32.146301369863011</v>
      </c>
      <c r="V182" s="5"/>
      <c r="W182" s="5">
        <f t="shared" si="25"/>
        <v>37.455890410958901</v>
      </c>
    </row>
    <row r="183" spans="1:23" x14ac:dyDescent="0.15">
      <c r="A183" s="1">
        <v>1998</v>
      </c>
      <c r="B183" s="5">
        <f>(K86*($E86/365))+(K87*($E87/365))</f>
        <v>21.052631578947366</v>
      </c>
      <c r="C183" s="5">
        <f>(L86*($E86/365))+(L87*($E87/365))</f>
        <v>78.94736842105263</v>
      </c>
      <c r="D183" s="5">
        <f>(M86*($E86/365))+(M87*($E87/365))</f>
        <v>0</v>
      </c>
      <c r="E183" s="17">
        <f t="shared" si="24"/>
        <v>100</v>
      </c>
      <c r="G183" s="1">
        <v>1998</v>
      </c>
      <c r="H183" s="392">
        <f>(O86/$R86*100*($E86/365))+(O87/$R87*100*($E87/365))</f>
        <v>14.117647058823529</v>
      </c>
      <c r="I183" s="392"/>
      <c r="J183" s="392">
        <f>(P86/$R86*100*($E86/365))+(P87/$R87*100*($E87/365))</f>
        <v>85.882352941176464</v>
      </c>
      <c r="K183" s="392"/>
      <c r="L183" s="392">
        <f>(Q86/$R86*100*($E86/365))+(Q87/$R87*100*($E87/365))</f>
        <v>0</v>
      </c>
      <c r="M183" s="392"/>
      <c r="N183" s="363">
        <f t="shared" si="26"/>
        <v>100</v>
      </c>
      <c r="O183" s="363"/>
      <c r="R183" s="1">
        <v>1998</v>
      </c>
      <c r="S183" s="5">
        <f>(O86*($E86/365))+(O87*($E87/365))</f>
        <v>3.6</v>
      </c>
      <c r="T183" s="5">
        <f>(P86*($E86/365))+(P87*($E87/365))</f>
        <v>21.9</v>
      </c>
      <c r="U183" s="5">
        <f>(Q86*($E86/365))+(Q87*($E87/365))</f>
        <v>0</v>
      </c>
      <c r="V183" s="5"/>
      <c r="W183" s="5">
        <f t="shared" si="25"/>
        <v>25.5</v>
      </c>
    </row>
    <row r="184" spans="1:23" x14ac:dyDescent="0.15">
      <c r="A184" s="1">
        <v>1999</v>
      </c>
      <c r="B184" s="5">
        <f>(K88*($E88/365))+(K89*($E89/365))</f>
        <v>21.052631578947366</v>
      </c>
      <c r="C184" s="5">
        <f>(L88*($E88/365))+(L89*($E89/365))</f>
        <v>78.94736842105263</v>
      </c>
      <c r="D184" s="5">
        <f>(M88*($E88/365))+(M89*($E89/365))</f>
        <v>0</v>
      </c>
      <c r="E184" s="17">
        <f t="shared" si="24"/>
        <v>100</v>
      </c>
      <c r="G184" s="1">
        <v>1999</v>
      </c>
      <c r="H184" s="392">
        <f>(O88/$R88*100*($E88/365))+(O89/$R89*100*($E89/365))</f>
        <v>14.117647058823529</v>
      </c>
      <c r="I184" s="392"/>
      <c r="J184" s="392">
        <f>(P88/$R88*100*($E88/365))+(P89/$R89*100*($E89/365))</f>
        <v>85.882352941176464</v>
      </c>
      <c r="K184" s="392"/>
      <c r="L184" s="392">
        <f>(Q88/$R88*100*($E88/365))+(Q89/$R89*100*($E89/365))</f>
        <v>0</v>
      </c>
      <c r="M184" s="392"/>
      <c r="N184" s="363">
        <f t="shared" si="26"/>
        <v>100</v>
      </c>
      <c r="O184" s="363"/>
      <c r="R184" s="1">
        <v>1999</v>
      </c>
      <c r="S184" s="5">
        <f>(O88*($E88/365))+(O89*($E89/365))</f>
        <v>3.6</v>
      </c>
      <c r="T184" s="5">
        <f>(P88*($E88/365))+(P89*($E89/365))</f>
        <v>21.9</v>
      </c>
      <c r="U184" s="5">
        <f>(Q88*($E88/365))+(Q89*($E89/365))</f>
        <v>0</v>
      </c>
      <c r="V184" s="5"/>
      <c r="W184" s="5">
        <f t="shared" si="25"/>
        <v>25.5</v>
      </c>
    </row>
    <row r="185" spans="1:23" x14ac:dyDescent="0.15">
      <c r="A185" s="1">
        <v>2000</v>
      </c>
      <c r="B185" s="5">
        <f>(K90*($E90/366))+(K91*($E91/366))</f>
        <v>4.3715846994535514</v>
      </c>
      <c r="C185" s="5">
        <f>(L90*($E90/366))+(L91*($E91/366))</f>
        <v>16.393442622950818</v>
      </c>
      <c r="D185" s="5">
        <f>(M90*($E90/366))+(M91*($E91/366))</f>
        <v>79.234972677595621</v>
      </c>
      <c r="E185" s="17">
        <f t="shared" si="24"/>
        <v>100</v>
      </c>
      <c r="G185" s="1">
        <v>2000</v>
      </c>
      <c r="H185" s="392">
        <f>(O90/$R90*100*($E90/366))+(O91/$R91*100*($E91/366))</f>
        <v>2.9315332690453233</v>
      </c>
      <c r="I185" s="392"/>
      <c r="J185" s="392">
        <f>(P90/$R90*100*($E90/366))+(P91/$R91*100*($E91/366))</f>
        <v>17.833494053359047</v>
      </c>
      <c r="K185" s="392"/>
      <c r="L185" s="392">
        <f>(Q90/$R90*100*($E90/366))+(Q91/$R91*100*($E91/366))</f>
        <v>79.234972677595621</v>
      </c>
      <c r="M185" s="392"/>
      <c r="N185" s="363">
        <f t="shared" si="26"/>
        <v>100</v>
      </c>
      <c r="O185" s="363"/>
      <c r="R185" s="1">
        <v>2000</v>
      </c>
      <c r="S185" s="5">
        <f>(O90*($E90/366))+(O91*($E91/366))</f>
        <v>0.74754098360655741</v>
      </c>
      <c r="T185" s="5">
        <f>(P90*($E90/366))+(P91*($E91/366))</f>
        <v>4.5475409836065577</v>
      </c>
      <c r="U185" s="5">
        <f>(Q90*($E90/366))+(Q91*($E91/366))</f>
        <v>31.218579234972676</v>
      </c>
      <c r="V185" s="5"/>
      <c r="W185" s="5">
        <f t="shared" si="25"/>
        <v>36.513661202185787</v>
      </c>
    </row>
    <row r="186" spans="1:23" x14ac:dyDescent="0.15">
      <c r="A186" s="1">
        <v>2001</v>
      </c>
      <c r="B186" s="5">
        <f>(K92*($E92/365))+(K93*($E93/365))</f>
        <v>13.871665465032443</v>
      </c>
      <c r="C186" s="5">
        <f>(L92*($E92/365))+(L93*($E93/365))</f>
        <v>6.4023071377072815</v>
      </c>
      <c r="D186" s="5">
        <f>(M92*($E92/365))+(M93*($E93/365))</f>
        <v>79.726027397260268</v>
      </c>
      <c r="E186" s="17">
        <f t="shared" si="24"/>
        <v>100</v>
      </c>
      <c r="G186" s="1">
        <v>2001</v>
      </c>
      <c r="H186" s="392">
        <f>(O92/$R92*100*($E92/365))+(O93/$R93*100*($E93/365))</f>
        <v>13.083470319634703</v>
      </c>
      <c r="I186" s="392"/>
      <c r="J186" s="392">
        <f>(P92/$R92*100*($E92/365))+(P93/$R93*100*($E93/365))</f>
        <v>7.1905022831050234</v>
      </c>
      <c r="K186" s="392"/>
      <c r="L186" s="392">
        <f>(Q92/$R92*100*($E92/365))+(Q93/$R93*100*($E93/365))</f>
        <v>79.726027397260268</v>
      </c>
      <c r="M186" s="392"/>
      <c r="N186" s="363">
        <f t="shared" si="26"/>
        <v>100</v>
      </c>
      <c r="O186" s="363"/>
      <c r="R186" s="1">
        <v>2001</v>
      </c>
      <c r="S186" s="5">
        <f>(O92*($E92/365))+(O93*($E93/365))</f>
        <v>4.9063013698630131</v>
      </c>
      <c r="T186" s="5">
        <f>(P92*($E92/365))+(P93*($E93/365))</f>
        <v>2.6964383561643839</v>
      </c>
      <c r="U186" s="5">
        <f>(Q92*($E92/365))+(Q93*($E93/365))</f>
        <v>31.412054794520543</v>
      </c>
      <c r="V186" s="5"/>
      <c r="W186" s="5">
        <f t="shared" si="25"/>
        <v>39.014794520547937</v>
      </c>
    </row>
    <row r="187" spans="1:23" x14ac:dyDescent="0.15">
      <c r="A187" s="1">
        <v>2002</v>
      </c>
      <c r="B187" s="5">
        <f>(K94*($E94/365))+(K95*($E95/365))</f>
        <v>68.421052631578945</v>
      </c>
      <c r="C187" s="5">
        <f>(L94*($E94/365))+(L95*($E95/365))</f>
        <v>31.578947368421051</v>
      </c>
      <c r="D187" s="5">
        <f>(M94*($E94/365))+(M95*($E95/365))</f>
        <v>0</v>
      </c>
      <c r="E187" s="17">
        <f t="shared" si="24"/>
        <v>100</v>
      </c>
      <c r="G187" s="1">
        <v>2002</v>
      </c>
      <c r="H187" s="392">
        <f>(O94/$R94*100*($E94/365))+(O95/$R95*100*($E95/365))</f>
        <v>64.533333333333331</v>
      </c>
      <c r="I187" s="392"/>
      <c r="J187" s="392">
        <f>(P94/$R94*100*($E94/365))+(P95/$R95*100*($E95/365))</f>
        <v>35.466666666666669</v>
      </c>
      <c r="K187" s="392"/>
      <c r="L187" s="392">
        <f>(Q94/$R94*100*($E94/365))+(Q95/$R95*100*($E95/365))</f>
        <v>0</v>
      </c>
      <c r="M187" s="392"/>
      <c r="N187" s="363">
        <f t="shared" si="26"/>
        <v>100</v>
      </c>
      <c r="O187" s="363"/>
      <c r="R187" s="1">
        <v>2002</v>
      </c>
      <c r="S187" s="5">
        <f>(O94*($E94/365))+(O95*($E95/365))</f>
        <v>24.2</v>
      </c>
      <c r="T187" s="5">
        <f>(P94*($E94/365))+(P95*($E95/365))</f>
        <v>13.3</v>
      </c>
      <c r="U187" s="5">
        <f>(Q94*($E94/365))+(Q95*($E95/365))</f>
        <v>0</v>
      </c>
      <c r="V187" s="5"/>
      <c r="W187" s="5">
        <f t="shared" si="25"/>
        <v>37.5</v>
      </c>
    </row>
    <row r="188" spans="1:23" x14ac:dyDescent="0.15">
      <c r="A188" s="1">
        <v>2003</v>
      </c>
      <c r="B188" s="5">
        <f>(K96*($E96/365))+(K97*($E97/365))</f>
        <v>68.421052631578945</v>
      </c>
      <c r="C188" s="5">
        <f>(L96*($E96/365))+(L97*($E97/365))</f>
        <v>31.578947368421051</v>
      </c>
      <c r="D188" s="5">
        <f>(M96*($E96/365))+(M97*($E97/365))</f>
        <v>0</v>
      </c>
      <c r="E188" s="17">
        <f t="shared" si="24"/>
        <v>100</v>
      </c>
      <c r="G188" s="1">
        <v>2003</v>
      </c>
      <c r="H188" s="392">
        <f>(O96/$R96*100*($E96/365))+(O97/$R97*100*($E97/365))</f>
        <v>64.533333333333331</v>
      </c>
      <c r="I188" s="392"/>
      <c r="J188" s="392">
        <f>(P96/$R96*100*($E96/365))+(P97/$R97*100*($E97/365))</f>
        <v>35.466666666666669</v>
      </c>
      <c r="K188" s="392"/>
      <c r="L188" s="392">
        <f>(Q96/$R96*100*($E96/365))+(Q97/$R97*100*($E97/365))</f>
        <v>0</v>
      </c>
      <c r="M188" s="392"/>
      <c r="N188" s="363">
        <f t="shared" si="26"/>
        <v>100</v>
      </c>
      <c r="O188" s="363"/>
      <c r="R188" s="1">
        <v>2003</v>
      </c>
      <c r="S188" s="5">
        <f>(O96*($E96/365))+(O97*($E97/365))</f>
        <v>24.2</v>
      </c>
      <c r="T188" s="5">
        <f>(P96*($E96/365))+(P97*($E97/365))</f>
        <v>13.3</v>
      </c>
      <c r="U188" s="5">
        <f>(Q96*($E96/365))+(Q97*($E97/365))</f>
        <v>0</v>
      </c>
      <c r="V188" s="5"/>
      <c r="W188" s="5">
        <f t="shared" si="25"/>
        <v>37.5</v>
      </c>
    </row>
    <row r="189" spans="1:23" x14ac:dyDescent="0.15">
      <c r="A189" s="1">
        <v>2004</v>
      </c>
      <c r="B189" s="5">
        <f>(K98*($E98/366))+(K99*($E99/366))</f>
        <v>68.421052631578945</v>
      </c>
      <c r="C189" s="5">
        <f>(L98*($E98/366))+(L99*($E99/366))</f>
        <v>31.578947368421051</v>
      </c>
      <c r="D189" s="5">
        <f>(M98*($E98/366))+(M99*($E99/366))</f>
        <v>0</v>
      </c>
      <c r="E189" s="17">
        <f t="shared" si="24"/>
        <v>100</v>
      </c>
      <c r="G189" s="1">
        <v>2004</v>
      </c>
      <c r="H189" s="392">
        <f>(O98/$R98*100*($E98/366))+(O99/$R99*100*($E99/366))</f>
        <v>64.533333333333331</v>
      </c>
      <c r="I189" s="392"/>
      <c r="J189" s="392">
        <f>(P98/$R98*100*($E98/366))+(P99/$R99*100*($E99/366))</f>
        <v>35.466666666666669</v>
      </c>
      <c r="K189" s="392"/>
      <c r="L189" s="392">
        <f>(Q98/$R98*100*($E98/366))+(Q99/$R99*100*($E99/366))</f>
        <v>0</v>
      </c>
      <c r="M189" s="392"/>
      <c r="N189" s="363">
        <f t="shared" si="26"/>
        <v>100</v>
      </c>
      <c r="O189" s="363"/>
      <c r="R189" s="1">
        <v>2004</v>
      </c>
      <c r="S189" s="5">
        <f>(O98*($E98/366))+(O99*($E99/366))</f>
        <v>24.2</v>
      </c>
      <c r="T189" s="5">
        <f>(P98*($E98/366))+(P99*($E99/366))</f>
        <v>13.3</v>
      </c>
      <c r="U189" s="5">
        <f>(Q98*($E98/366))+(Q99*($E99/366))</f>
        <v>0</v>
      </c>
      <c r="V189" s="5"/>
      <c r="W189" s="5">
        <f t="shared" si="25"/>
        <v>37.5</v>
      </c>
    </row>
    <row r="190" spans="1:23" x14ac:dyDescent="0.15">
      <c r="A190" s="1">
        <v>2005</v>
      </c>
      <c r="B190" s="5">
        <f>(K100*($E100/365))+(K101*($E101/365))</f>
        <v>54.174477289113192</v>
      </c>
      <c r="C190" s="5">
        <f>(L100*($E100/365))+(L101*($E101/365))</f>
        <v>29.387166546503241</v>
      </c>
      <c r="D190" s="5">
        <f>(M100*($E100/365))+(M101*($E101/365))</f>
        <v>16.438356164383563</v>
      </c>
      <c r="E190" s="17">
        <f t="shared" si="24"/>
        <v>100</v>
      </c>
      <c r="G190" s="1">
        <v>2005</v>
      </c>
      <c r="H190" s="392">
        <f>(O100/$R100*100*($E100/365))+(O101/$R101*100*($E101/365))</f>
        <v>51.096255707762552</v>
      </c>
      <c r="I190" s="392"/>
      <c r="J190" s="392">
        <f>(P100/$R100*100*($E100/365))+(P101/$R101*100*($E101/365))</f>
        <v>30.709835527774082</v>
      </c>
      <c r="K190" s="392"/>
      <c r="L190" s="392">
        <f>(Q100/$R100*100*($E100/365))+(Q101/$R101*100*($E101/365))</f>
        <v>18.193908764463359</v>
      </c>
      <c r="M190" s="392"/>
      <c r="N190" s="363">
        <f t="shared" si="26"/>
        <v>99.999999999999986</v>
      </c>
      <c r="O190" s="363"/>
      <c r="R190" s="1">
        <v>2005</v>
      </c>
      <c r="S190" s="5">
        <f>(O100*($E100/365))+(O101*($E101/365))</f>
        <v>19.161095890410959</v>
      </c>
      <c r="T190" s="5">
        <f>(P100*($E100/365))+(P101*($E101/365))</f>
        <v>11.884109589041095</v>
      </c>
      <c r="U190" s="5">
        <f>(Q100*($E100/365))+(Q101*($E101/365))</f>
        <v>9.3698630136986303</v>
      </c>
      <c r="V190" s="5"/>
      <c r="W190" s="5">
        <f t="shared" si="25"/>
        <v>40.415068493150685</v>
      </c>
    </row>
    <row r="191" spans="1:23" x14ac:dyDescent="0.15">
      <c r="A191" s="1">
        <v>2006</v>
      </c>
      <c r="B191" s="5">
        <f>(K102*($E102/365))+(K103*($E103/365))</f>
        <v>0</v>
      </c>
      <c r="C191" s="5">
        <f>(L102*($E102/365))+(L103*($E103/365))</f>
        <v>21.052631578947366</v>
      </c>
      <c r="D191" s="5">
        <f>(M102*($E102/365))+(M103*($E103/365))</f>
        <v>78.94736842105263</v>
      </c>
      <c r="E191" s="17">
        <f t="shared" si="24"/>
        <v>100</v>
      </c>
      <c r="G191" s="1">
        <v>2006</v>
      </c>
      <c r="H191" s="392">
        <f>(O102/$R102*100*($E102/365))+(O103/$R103*100*($E103/365))</f>
        <v>0</v>
      </c>
      <c r="I191" s="392"/>
      <c r="J191" s="392">
        <f>(P102/$R102*100*($E102/365))+(P103/$R103*100*($E103/365))</f>
        <v>12.621359223300971</v>
      </c>
      <c r="K191" s="392"/>
      <c r="L191" s="392">
        <f>(Q102/$R102*100*($E102/365))+(Q103/$R103*100*($E103/365))</f>
        <v>87.378640776699029</v>
      </c>
      <c r="M191" s="392"/>
      <c r="N191" s="363">
        <f t="shared" si="26"/>
        <v>100</v>
      </c>
      <c r="O191" s="363"/>
      <c r="R191" s="1">
        <v>2006</v>
      </c>
      <c r="S191" s="5">
        <f>(O102*($E102/365))+(O103*($E103/365))</f>
        <v>0</v>
      </c>
      <c r="T191" s="5">
        <f>(P102*($E102/365))+(P103*($E103/365))</f>
        <v>6.5</v>
      </c>
      <c r="U191" s="5">
        <f>(Q102*($E102/365))+(Q103*($E103/365))</f>
        <v>45</v>
      </c>
      <c r="V191" s="5"/>
      <c r="W191" s="5">
        <f t="shared" si="25"/>
        <v>51.5</v>
      </c>
    </row>
    <row r="192" spans="1:23" x14ac:dyDescent="0.15">
      <c r="A192" s="1">
        <v>2007</v>
      </c>
      <c r="B192" s="5">
        <f>(K104*($E104/365))+(K105*($E105/365))</f>
        <v>0</v>
      </c>
      <c r="C192" s="5">
        <f>(L104*($E104/365))+(L105*($E105/365))</f>
        <v>21.052631578947366</v>
      </c>
      <c r="D192" s="5">
        <f>(M104*($E104/365))+(M105*($E105/365))</f>
        <v>78.94736842105263</v>
      </c>
      <c r="E192" s="17">
        <f t="shared" si="24"/>
        <v>100</v>
      </c>
      <c r="G192" s="1">
        <v>2007</v>
      </c>
      <c r="H192" s="392">
        <f>(O104/$R104*100*($E104/365))+(O105/$R105*100*($E105/365))</f>
        <v>0</v>
      </c>
      <c r="I192" s="392"/>
      <c r="J192" s="392">
        <f>(P104/$R104*100*($E104/365))+(P105/$R105*100*($E105/365))</f>
        <v>12.621359223300971</v>
      </c>
      <c r="K192" s="392"/>
      <c r="L192" s="392">
        <f>(Q104/$R104*100*($E104/365))+(Q105/$R105*100*($E105/365))</f>
        <v>87.378640776699029</v>
      </c>
      <c r="M192" s="392"/>
      <c r="N192" s="363">
        <f t="shared" si="26"/>
        <v>100</v>
      </c>
      <c r="O192" s="363"/>
      <c r="R192" s="1">
        <v>2007</v>
      </c>
      <c r="S192" s="5">
        <f>(O104*($E104/365))+(O105*($E105/365))</f>
        <v>0</v>
      </c>
      <c r="T192" s="5">
        <f>(P104*($E104/365))+(P105*($E105/365))</f>
        <v>6.5</v>
      </c>
      <c r="U192" s="5">
        <f>(Q104*($E104/365))+(Q105*($E105/365))</f>
        <v>45</v>
      </c>
      <c r="V192" s="5"/>
      <c r="W192" s="5">
        <f t="shared" si="25"/>
        <v>51.5</v>
      </c>
    </row>
    <row r="193" spans="1:24" x14ac:dyDescent="0.15">
      <c r="A193" s="1">
        <v>2008</v>
      </c>
      <c r="B193" s="5">
        <f>(K106*($E106/366))+(K107*($E107/366))</f>
        <v>0</v>
      </c>
      <c r="C193" s="5">
        <f>(L106*($E106/366))+(L107*($E107/366))</f>
        <v>21.052631578947366</v>
      </c>
      <c r="D193" s="5">
        <f>(M106*($E106/366))+(M107*($E107/366))</f>
        <v>78.94736842105263</v>
      </c>
      <c r="E193" s="17">
        <f t="shared" si="24"/>
        <v>100</v>
      </c>
      <c r="G193" s="1">
        <v>2008</v>
      </c>
      <c r="H193" s="392">
        <f>(O106/$R106*100*($E106/366))+(O107/$R107*100*($E107/366))</f>
        <v>0</v>
      </c>
      <c r="I193" s="392"/>
      <c r="J193" s="392">
        <f>(P106/$R106*100*($E106/366))+(P107/$R107*100*($E107/366))</f>
        <v>12.621359223300971</v>
      </c>
      <c r="K193" s="392"/>
      <c r="L193" s="392">
        <f>(Q106/$R106*100*($E106/366))+(Q107/$R107*100*($E107/366))</f>
        <v>87.378640776699029</v>
      </c>
      <c r="M193" s="392"/>
      <c r="N193" s="363">
        <f t="shared" si="26"/>
        <v>100</v>
      </c>
      <c r="O193" s="363"/>
      <c r="R193" s="1">
        <v>2008</v>
      </c>
      <c r="S193" s="5">
        <f>(O106*($E106/366))+(O107*($E107/366))</f>
        <v>0</v>
      </c>
      <c r="T193" s="5">
        <f>(P106*($E106/366))+(P107*($E107/366))</f>
        <v>6.5</v>
      </c>
      <c r="U193" s="5">
        <f>(Q106*($E106/366))+(Q107*($E107/366))</f>
        <v>45</v>
      </c>
      <c r="V193" s="5"/>
      <c r="W193" s="5">
        <f t="shared" si="25"/>
        <v>51.5</v>
      </c>
    </row>
    <row r="194" spans="1:24" x14ac:dyDescent="0.15">
      <c r="A194" s="1">
        <v>2009</v>
      </c>
      <c r="B194" s="5">
        <f>(K108*($E108/365))+(K109*($E109/365))</f>
        <v>0</v>
      </c>
      <c r="C194" s="5">
        <f>(L108*($E108/365))+(L109*($E109/365))</f>
        <v>20.842105263157894</v>
      </c>
      <c r="D194" s="5">
        <f>(M108*($E108/365))+(M109*($E109/365))</f>
        <v>79.15789473684211</v>
      </c>
      <c r="E194" s="17">
        <f t="shared" si="24"/>
        <v>100</v>
      </c>
      <c r="G194" s="1">
        <v>2009</v>
      </c>
      <c r="H194" s="392">
        <f>(O108/$R108*100*($E108/365))+(O109/$R109*100*($E109/365))</f>
        <v>0</v>
      </c>
      <c r="I194" s="392"/>
      <c r="J194" s="392">
        <f>(P108/$R108*100*($E108/365))+(P109/$R109*100*($E109/365))</f>
        <v>12.651114883552369</v>
      </c>
      <c r="K194" s="392"/>
      <c r="L194" s="392">
        <f>(Q108/$R108*100*($E108/365))+(Q109/$R109*100*($E109/365))</f>
        <v>87.348885116447633</v>
      </c>
      <c r="M194" s="392"/>
      <c r="N194" s="363">
        <f t="shared" si="26"/>
        <v>100</v>
      </c>
      <c r="O194" s="363"/>
      <c r="R194" s="1">
        <v>2009</v>
      </c>
      <c r="S194" s="5">
        <f>(O108*($E108/365))+(O109*($E109/365))</f>
        <v>0</v>
      </c>
      <c r="T194" s="5">
        <f>(P108*($E108/365))+(P109*($E109/365))</f>
        <v>6.5</v>
      </c>
      <c r="U194" s="5">
        <f>(Q108*($E108/365))+(Q109*($E109/365))</f>
        <v>44.88</v>
      </c>
      <c r="V194" s="5"/>
      <c r="W194" s="5">
        <f t="shared" si="25"/>
        <v>51.38</v>
      </c>
    </row>
    <row r="195" spans="1:24" x14ac:dyDescent="0.15">
      <c r="A195" s="1">
        <v>2010</v>
      </c>
      <c r="B195" s="5">
        <f>(K110*($E110/365))+(K111*($E111/365))</f>
        <v>0</v>
      </c>
      <c r="C195" s="5">
        <f>(L110*($E110/365))+(L111*($E111/365))</f>
        <v>20</v>
      </c>
      <c r="D195" s="5">
        <f>(M110*($E110/365))+(M111*($E111/365))</f>
        <v>80</v>
      </c>
      <c r="E195" s="17">
        <f t="shared" si="24"/>
        <v>100</v>
      </c>
      <c r="G195" s="1">
        <v>2010</v>
      </c>
      <c r="H195" s="392">
        <f>(O110/$R110*100*($E110/365))+(O111/$R111*100*($E111/365))</f>
        <v>0</v>
      </c>
      <c r="I195" s="392"/>
      <c r="J195" s="392">
        <f>(P110/$R110*100*($E110/365))+(P111/$R111*100*($E111/365))</f>
        <v>12.770137524557956</v>
      </c>
      <c r="K195" s="392"/>
      <c r="L195" s="392">
        <f>(Q110/$R110*100*($E110/365))+(Q111/$R111*100*($E111/365))</f>
        <v>87.229862475442047</v>
      </c>
      <c r="M195" s="392"/>
      <c r="N195" s="363">
        <f t="shared" si="26"/>
        <v>100</v>
      </c>
      <c r="O195" s="363"/>
      <c r="R195" s="1">
        <v>2010</v>
      </c>
      <c r="S195" s="5">
        <f>(O110*($E110/365))+(O111*($E111/365))</f>
        <v>0</v>
      </c>
      <c r="T195" s="5">
        <f>(P110*($E110/365))+(P111*($E111/365))</f>
        <v>6.5</v>
      </c>
      <c r="U195" s="5">
        <f>(Q110*($E110/365))+(Q111*($E111/365))</f>
        <v>44.4</v>
      </c>
      <c r="V195" s="5"/>
      <c r="W195" s="5">
        <f t="shared" si="25"/>
        <v>50.9</v>
      </c>
    </row>
    <row r="196" spans="1:24" x14ac:dyDescent="0.15">
      <c r="A196" s="1">
        <v>2011</v>
      </c>
      <c r="B196" s="5">
        <f>(K112*($E112/365))+(K113*($E113/365))</f>
        <v>0</v>
      </c>
      <c r="C196" s="5">
        <f>(L112*($E112/365))+(L113*($E113/365))</f>
        <v>20</v>
      </c>
      <c r="D196" s="5">
        <f>(M112*($E112/365))+(M113*($E113/365))</f>
        <v>80</v>
      </c>
      <c r="E196" s="17">
        <f t="shared" si="24"/>
        <v>100</v>
      </c>
      <c r="G196" s="1">
        <v>2011</v>
      </c>
      <c r="H196" s="392">
        <f>(O112/$R112*100*($E112/365))+(O113/$R113*100*($E113/365))</f>
        <v>0</v>
      </c>
      <c r="I196" s="392"/>
      <c r="J196" s="392">
        <f>(P112/$R112*100*($E112/365))+(P113/$R113*100*($E113/365))</f>
        <v>12.770137524557956</v>
      </c>
      <c r="K196" s="392"/>
      <c r="L196" s="392">
        <f>(Q112/$R112*100*($E112/365))+(Q113/$R113*100*($E113/365))</f>
        <v>87.229862475442047</v>
      </c>
      <c r="M196" s="392"/>
      <c r="N196" s="363">
        <f t="shared" si="26"/>
        <v>100</v>
      </c>
      <c r="O196" s="363"/>
      <c r="R196" s="1">
        <v>2011</v>
      </c>
      <c r="S196" s="5">
        <f>(O112*($E112/365))+(O113*($E113/365))</f>
        <v>0</v>
      </c>
      <c r="T196" s="5">
        <f>(P112*($E112/365))+(P113*($E113/365))</f>
        <v>6.5</v>
      </c>
      <c r="U196" s="5">
        <f>(Q112*($E112/365))+(Q113*($E113/365))</f>
        <v>44.4</v>
      </c>
      <c r="V196" s="5"/>
      <c r="W196" s="5">
        <f t="shared" si="25"/>
        <v>50.9</v>
      </c>
    </row>
    <row r="197" spans="1:24" x14ac:dyDescent="0.15">
      <c r="A197" s="1">
        <v>2012</v>
      </c>
      <c r="B197" s="5">
        <f>(K114*($E114/366))+(K115*($E115/366))</f>
        <v>0</v>
      </c>
      <c r="C197" s="5">
        <f>(L114*($E114/366))+(L115*($E115/366))</f>
        <v>20</v>
      </c>
      <c r="D197" s="5">
        <f>(M114*($E114/366))+(M115*($E115/366))</f>
        <v>80</v>
      </c>
      <c r="E197" s="17">
        <f t="shared" si="24"/>
        <v>100</v>
      </c>
      <c r="G197" s="1">
        <v>2012</v>
      </c>
      <c r="H197" s="392">
        <f>(O114/$R114*100*($E114/366))+(O115/$R115*100*($E115/366))</f>
        <v>0</v>
      </c>
      <c r="I197" s="392"/>
      <c r="J197" s="392">
        <f>(P114/$R114*100*($E114/366))+(P115/$R115*100*($E115/366))</f>
        <v>12.770137524557956</v>
      </c>
      <c r="K197" s="392"/>
      <c r="L197" s="392">
        <f>(Q114/$R114*100*($E114/366))+(Q115/$R115*100*($E115/366))</f>
        <v>87.229862475442047</v>
      </c>
      <c r="M197" s="392"/>
      <c r="N197" s="363">
        <f t="shared" si="26"/>
        <v>100</v>
      </c>
      <c r="O197" s="363"/>
      <c r="R197" s="1">
        <v>2012</v>
      </c>
      <c r="S197" s="5">
        <f>(O114*($E114/366))+(O115*($E115/366))</f>
        <v>0</v>
      </c>
      <c r="T197" s="5">
        <f>(P114*($E114/366))+(P115*($E115/366))</f>
        <v>6.5</v>
      </c>
      <c r="U197" s="5">
        <f>(Q114*($E114/366))+(Q115*($E115/366))</f>
        <v>44.4</v>
      </c>
      <c r="V197" s="5"/>
      <c r="W197" s="5">
        <f t="shared" si="25"/>
        <v>50.9</v>
      </c>
    </row>
    <row r="198" spans="1:24" x14ac:dyDescent="0.15">
      <c r="A198" s="1">
        <v>2013</v>
      </c>
      <c r="B198" s="5">
        <f>(K116*($E116/365))+(K117*($E117/365))</f>
        <v>21.095890410958905</v>
      </c>
      <c r="C198" s="5">
        <f>(L116*($E116/365))+(L117*($E117/365))</f>
        <v>15.780821917808218</v>
      </c>
      <c r="D198" s="5">
        <f>(M116*($E116/365))+(M117*($E117/365))</f>
        <v>63.123287671232873</v>
      </c>
      <c r="E198" s="17">
        <f t="shared" si="24"/>
        <v>100</v>
      </c>
      <c r="G198" s="1">
        <v>2013</v>
      </c>
      <c r="H198" s="392">
        <f>(O116/$R116*100*($E116/365))+(O117/$R117*100*($E117/365))</f>
        <v>21.095890410958905</v>
      </c>
      <c r="I198" s="392"/>
      <c r="J198" s="392">
        <f>(P116/$R116*100*($E116/365))+(P117/$R117*100*($E117/365))</f>
        <v>10.07616330704847</v>
      </c>
      <c r="K198" s="392"/>
      <c r="L198" s="392">
        <f>(Q116/$R116*100*($E116/365))+(Q117/$R117*100*($E117/365))</f>
        <v>68.827946281992624</v>
      </c>
      <c r="M198" s="392"/>
      <c r="N198" s="363">
        <f>H198+J198+L198</f>
        <v>100</v>
      </c>
      <c r="O198" s="363"/>
      <c r="R198" s="1">
        <v>2013</v>
      </c>
      <c r="S198" s="5">
        <f>(O116*($E116/365))+(O117*($E117/365))</f>
        <v>9.6197260273972596</v>
      </c>
      <c r="T198" s="5">
        <f>(P116*($E116/365))+(P117*($E117/365))</f>
        <v>5.1287671232876715</v>
      </c>
      <c r="U198" s="5">
        <f>(Q116*($E116/365))+(Q117*($E117/365))</f>
        <v>35.033424657534248</v>
      </c>
      <c r="W198" s="5">
        <f t="shared" si="25"/>
        <v>49.781917808219177</v>
      </c>
      <c r="X198" s="5"/>
    </row>
    <row r="199" spans="1:24" x14ac:dyDescent="0.15">
      <c r="A199" s="1">
        <v>2014</v>
      </c>
      <c r="B199" s="5">
        <f>(K118*($E118/365))+(K119*($E119/365))</f>
        <v>100</v>
      </c>
      <c r="C199" s="5">
        <f>(L118*($E118/365))+(L119*($E119/365))</f>
        <v>0</v>
      </c>
      <c r="D199" s="5">
        <f>(M118*($E118/365))+(M119*($E119/365))</f>
        <v>0</v>
      </c>
      <c r="E199" s="17">
        <f>B199+C199+D199</f>
        <v>100</v>
      </c>
      <c r="G199" s="1">
        <v>2014</v>
      </c>
      <c r="H199" s="392">
        <f>(O118/$R118*100*($E118/365))+(O119/$R119*100*($E119/365))</f>
        <v>100</v>
      </c>
      <c r="I199" s="392"/>
      <c r="J199" s="392">
        <f>(P118/$R118*100*($E118/365))+(P119/$R119*100*($E119/365))</f>
        <v>0</v>
      </c>
      <c r="K199" s="392"/>
      <c r="L199" s="392">
        <f>(Q118/$R118*100*($E118/365))+(Q119/$R119*100*($E119/365))</f>
        <v>0</v>
      </c>
      <c r="M199" s="392"/>
      <c r="N199" s="363">
        <f>H199+J199+L199</f>
        <v>100</v>
      </c>
      <c r="O199" s="363"/>
      <c r="R199" s="1">
        <v>2014</v>
      </c>
      <c r="S199" s="5">
        <f>(O118*($E118/365))+(O119*($E119/365))</f>
        <v>45.6</v>
      </c>
      <c r="T199" s="5">
        <f>(P118*($E118/365))+(P119*($E119/365))</f>
        <v>0</v>
      </c>
      <c r="U199" s="5">
        <f>(Q118*($E118/365))+(Q119*($E119/365))</f>
        <v>0</v>
      </c>
      <c r="W199" s="5">
        <f>S199+T199+U199</f>
        <v>45.6</v>
      </c>
      <c r="X199" s="5"/>
    </row>
    <row r="200" spans="1:24" x14ac:dyDescent="0.15">
      <c r="A200" s="1">
        <v>2015</v>
      </c>
      <c r="B200" s="5">
        <f>(K120*($E120/365))+(K121*($E121/365))</f>
        <v>100</v>
      </c>
      <c r="C200" s="5">
        <f>(L120*($E120/365))+(L121*($E121/365))</f>
        <v>0</v>
      </c>
      <c r="D200" s="5">
        <f>(M120*($E120/365))+(M121*($E121/365))</f>
        <v>0</v>
      </c>
      <c r="E200" s="17">
        <f>B200+C200+D200</f>
        <v>100</v>
      </c>
      <c r="G200" s="1">
        <v>2015</v>
      </c>
      <c r="H200" s="392">
        <f>(O120/$R120*100*($E120/365))+(O121/$R121*100*($E121/365))</f>
        <v>100</v>
      </c>
      <c r="I200" s="392"/>
      <c r="J200" s="392">
        <f>(P120/$R120*100*($E120/365))+(P121/$R121*100*($E121/365))</f>
        <v>0</v>
      </c>
      <c r="K200" s="392"/>
      <c r="L200" s="392">
        <f>(Q120/$R120*100*($E120/365))+(Q121/$R121*100*($E121/365))</f>
        <v>0</v>
      </c>
      <c r="M200" s="392"/>
      <c r="N200" s="363">
        <f>H200+J200+L200</f>
        <v>100</v>
      </c>
      <c r="O200" s="363"/>
      <c r="R200" s="1">
        <v>2015</v>
      </c>
      <c r="S200" s="5">
        <f>(O120*($E120/365))+(O121*($E121/365))</f>
        <v>45.6</v>
      </c>
      <c r="T200" s="5">
        <f>(P120*($E120/365))+(P121*($E121/365))</f>
        <v>0</v>
      </c>
      <c r="U200" s="5">
        <f>(Q120*($E120/365))+(Q121*($E121/365))</f>
        <v>0</v>
      </c>
      <c r="W200" s="5">
        <f>S200+T200+U200</f>
        <v>45.6</v>
      </c>
      <c r="X200" s="5"/>
    </row>
    <row r="201" spans="1:24" x14ac:dyDescent="0.15">
      <c r="A201" s="1">
        <v>2016</v>
      </c>
      <c r="B201" s="5">
        <f>(K122*($E122/366))+(K123*($E123/366))</f>
        <v>100</v>
      </c>
      <c r="C201" s="5">
        <f>(L122*($E122/366))+(L123*($E123/366))</f>
        <v>0</v>
      </c>
      <c r="D201" s="5">
        <f>(M122*($E122/366))+(M123*($E123/366))</f>
        <v>0</v>
      </c>
      <c r="E201" s="17">
        <f t="shared" ref="E201" si="27">B201+C201+D201</f>
        <v>100</v>
      </c>
      <c r="G201" s="1">
        <v>2016</v>
      </c>
      <c r="H201" s="392">
        <f>(O122/$R122*100*($E122/366))+(O123/$R123*100*($E123/366))</f>
        <v>100</v>
      </c>
      <c r="I201" s="392"/>
      <c r="J201" s="392">
        <f>(P122/$R122*100*($E122/366))+(P123/$R123*100*($E123/366))</f>
        <v>0</v>
      </c>
      <c r="K201" s="392"/>
      <c r="L201" s="392">
        <f>(Q122/$R122*100*($E122/366))+(Q123/$R123*100*($E123/366))</f>
        <v>0</v>
      </c>
      <c r="M201" s="392"/>
      <c r="N201" s="363">
        <f t="shared" ref="N201" si="28">H201+J201+L201</f>
        <v>100</v>
      </c>
      <c r="O201" s="363"/>
      <c r="R201" s="1">
        <v>2016</v>
      </c>
      <c r="S201" s="5">
        <f>(O122*($E122/366))+(O123*($E123/366))</f>
        <v>45.6</v>
      </c>
      <c r="T201" s="5">
        <f>(P122*($E122/366))+(P123*($E123/366))</f>
        <v>0</v>
      </c>
      <c r="U201" s="5">
        <f>(Q122*($E122/366))+(Q123*($E123/366))</f>
        <v>0</v>
      </c>
      <c r="W201" s="5">
        <f t="shared" ref="W201" si="29">S201+T201+U201</f>
        <v>45.6</v>
      </c>
      <c r="X201" s="5"/>
    </row>
    <row r="202" spans="1:24" x14ac:dyDescent="0.15">
      <c r="A202" s="1">
        <v>2017</v>
      </c>
      <c r="B202" s="5">
        <f>(K124*($E124/365))+(K125*($E125/365))</f>
        <v>100</v>
      </c>
      <c r="C202" s="5">
        <f>(L124*($E124/365))+(L125*($E125/365))</f>
        <v>0</v>
      </c>
      <c r="D202" s="5">
        <f>(M124*($E124/365))+(M125*($E125/365))</f>
        <v>0</v>
      </c>
      <c r="E202" s="17">
        <f t="shared" ref="E202" si="30">B202+C202+D202</f>
        <v>100</v>
      </c>
      <c r="G202" s="1">
        <v>2017</v>
      </c>
      <c r="H202" s="392">
        <f>(O124/$R124*100*($E124/365))+(O125/$R125*100*($E125/365))</f>
        <v>100</v>
      </c>
      <c r="I202" s="392"/>
      <c r="J202" s="392">
        <f>(P124/$R124*100*($E124/365))+(P125/$R125*100*($E125/365))</f>
        <v>0</v>
      </c>
      <c r="K202" s="392"/>
      <c r="L202" s="392">
        <f>(Q124/$R124*100*($E124/365))+(Q125/$R125*100*($E125/365))</f>
        <v>0</v>
      </c>
      <c r="M202" s="392"/>
      <c r="N202" s="363">
        <f t="shared" ref="N202" si="31">H202+J202+L202</f>
        <v>100</v>
      </c>
      <c r="O202" s="363"/>
      <c r="R202" s="1">
        <v>2017</v>
      </c>
      <c r="S202" s="5">
        <f>(O124*($E124/365))+(O125*($E125/365))</f>
        <v>44.679452054794524</v>
      </c>
      <c r="T202" s="5">
        <f>(P124*($E124/365))+(P125*($E125/365))</f>
        <v>0</v>
      </c>
      <c r="U202" s="5">
        <f>(Q124*($E124/365))+(Q125*($E125/365))</f>
        <v>0</v>
      </c>
      <c r="W202" s="5">
        <f t="shared" ref="W202" si="32">S202+T202+U202</f>
        <v>44.679452054794524</v>
      </c>
    </row>
    <row r="203" spans="1:24" x14ac:dyDescent="0.15">
      <c r="A203" s="1">
        <v>2018</v>
      </c>
      <c r="B203" s="5">
        <f>(K126*($E126/365))+(K127*($E127/365))</f>
        <v>100</v>
      </c>
      <c r="C203" s="5">
        <f>(L126*($E126/365))+(L127*($E127/365))</f>
        <v>0</v>
      </c>
      <c r="D203" s="5">
        <f>(M126*($E126/365))+(M127*($E127/365))</f>
        <v>0</v>
      </c>
      <c r="E203" s="17">
        <f t="shared" ref="E203" si="33">B203+C203+D203</f>
        <v>100</v>
      </c>
      <c r="G203" s="1">
        <v>2018</v>
      </c>
      <c r="H203" s="392">
        <f>(O126/$R126*100*($E126/365))+(O127/$R127*100*($E127/365))</f>
        <v>100</v>
      </c>
      <c r="I203" s="392"/>
      <c r="J203" s="392">
        <f>(P126/$R126*100*($E126/365))+(P127/$R127*100*($E127/365))</f>
        <v>0</v>
      </c>
      <c r="K203" s="392"/>
      <c r="L203" s="392">
        <f>(Q126/$R126*100*($E126/365))+(Q127/$R127*100*($E127/365))</f>
        <v>0</v>
      </c>
      <c r="M203" s="392"/>
      <c r="N203" s="363">
        <f t="shared" ref="N203" si="34">H203+J203+L203</f>
        <v>100</v>
      </c>
      <c r="O203" s="363"/>
      <c r="R203" s="1">
        <v>2018</v>
      </c>
      <c r="S203" s="5">
        <f>(O126*($E126/365))+(O127*($E127/365))</f>
        <v>51.683561643835617</v>
      </c>
      <c r="T203" s="5">
        <f>(P126*($E126/365))+(P127*($E127/365))</f>
        <v>0</v>
      </c>
      <c r="U203" s="5">
        <f>(Q126*($E126/365))+(Q127*($E127/365))</f>
        <v>0</v>
      </c>
      <c r="W203" s="5">
        <f t="shared" ref="W203" si="35">S203+T203+U203</f>
        <v>51.683561643835617</v>
      </c>
    </row>
    <row r="204" spans="1:24" x14ac:dyDescent="0.15">
      <c r="A204" s="1">
        <v>2019</v>
      </c>
      <c r="B204" s="5">
        <f>(K128*($E128/365))+(K129*($E129/365))</f>
        <v>87.185554171855543</v>
      </c>
      <c r="C204" s="5">
        <f>(L128*($E128/365))+(L129*($E129/365))</f>
        <v>12.814445828144457</v>
      </c>
      <c r="D204" s="5">
        <f>(M128*($E128/365))+(M129*($E129/365))</f>
        <v>0</v>
      </c>
      <c r="E204" s="17">
        <f t="shared" ref="E204:E205" si="36">B204+C204+D204</f>
        <v>100</v>
      </c>
      <c r="G204" s="1">
        <v>2019</v>
      </c>
      <c r="H204" s="392">
        <f>(O128/$R128*100*($E128/365))+(O129/$R129*100*($E129/365))</f>
        <v>92.224098012733933</v>
      </c>
      <c r="I204" s="392"/>
      <c r="J204" s="392">
        <f>(P128/$R128*100*($E128/365))+(P129/$R129*100*($E129/365))</f>
        <v>7.7759019872660629</v>
      </c>
      <c r="K204" s="392"/>
      <c r="L204" s="392">
        <f>(Q128/$R128*100*($E128/365))+(Q129/$R129*100*($E129/365))</f>
        <v>0</v>
      </c>
      <c r="M204" s="392"/>
      <c r="N204" s="363">
        <f t="shared" ref="N204" si="37">H204+J204+L204</f>
        <v>100</v>
      </c>
      <c r="O204" s="363"/>
      <c r="R204" s="1">
        <v>2019</v>
      </c>
      <c r="S204" s="5">
        <f>(O128*($E128/365))+(O129*($E129/365))</f>
        <v>52.1</v>
      </c>
      <c r="T204" s="5">
        <f>(P128*($E128/365))+(P129*($E129/365))</f>
        <v>4.4167123287671233</v>
      </c>
      <c r="U204" s="5">
        <f>(Q128*($E128/365))+(Q129*($E129/365))</f>
        <v>0</v>
      </c>
      <c r="W204" s="5">
        <f t="shared" ref="W204:W205" si="38">S204+T204+U204</f>
        <v>56.516712328767127</v>
      </c>
    </row>
    <row r="205" spans="1:24" x14ac:dyDescent="0.15">
      <c r="A205" s="1">
        <v>2020</v>
      </c>
      <c r="B205" s="5">
        <f>(K130*($E130/366))+(K131*($E131/366))</f>
        <v>80.39990064580229</v>
      </c>
      <c r="C205" s="5">
        <f>(L130*($E130/366))+(L131*($E131/366))</f>
        <v>19.600099354197717</v>
      </c>
      <c r="D205" s="5">
        <f>(M130*($E130/366))+(M131*($E131/366))</f>
        <v>0</v>
      </c>
      <c r="E205" s="17">
        <f t="shared" si="36"/>
        <v>100</v>
      </c>
      <c r="G205" s="1">
        <v>2020</v>
      </c>
      <c r="H205" s="392">
        <f>(O130/$R130*100*($E130/366))+(O131/$R131*100*($E131/366))</f>
        <v>87.244883997366102</v>
      </c>
      <c r="I205" s="392"/>
      <c r="J205" s="392">
        <f>(P130/$R130*100*($E130/366))+(P131/$R131*100*($E131/366))</f>
        <v>12.755116002633899</v>
      </c>
      <c r="K205" s="392"/>
      <c r="L205" s="392">
        <f>(Q130/$R130*100*($E130/366))+(Q131/$R131*100*($E131/366))</f>
        <v>0</v>
      </c>
      <c r="M205" s="392"/>
      <c r="N205" s="363">
        <f t="shared" ref="N205" si="39">H205+J205+L205</f>
        <v>100</v>
      </c>
      <c r="O205" s="363"/>
      <c r="R205" s="1">
        <v>2020</v>
      </c>
      <c r="S205" s="5">
        <f>(O130*($E130/366))+(O131*($E131/366))</f>
        <v>32.607103825136612</v>
      </c>
      <c r="T205" s="5">
        <f>(P130*($E130/366))+(P131*($E131/366))</f>
        <v>4.7</v>
      </c>
      <c r="U205" s="5">
        <f>(Q130*($E130/366))+(Q131*($E131/366))</f>
        <v>0</v>
      </c>
      <c r="W205" s="5">
        <f t="shared" si="38"/>
        <v>37.307103825136615</v>
      </c>
    </row>
    <row r="206" spans="1:24" x14ac:dyDescent="0.15">
      <c r="A206" s="1">
        <v>2021</v>
      </c>
      <c r="B206" s="5">
        <f>(K132*($E132/365))+(K133*($E133/365))+(K134*($E134/365))</f>
        <v>63.180966113914927</v>
      </c>
      <c r="C206" s="5">
        <f>(L132*($E132/365))+(L133*($E133/365))+(L134*($E134/365))</f>
        <v>24.447007930785869</v>
      </c>
      <c r="D206" s="5">
        <f>(M132*($E132/365))+(M133*($E133/365))+(M134*($E134/365))</f>
        <v>12.372025955299208</v>
      </c>
      <c r="E206" s="17">
        <f t="shared" ref="E206" si="40">B206+C206+D206</f>
        <v>100</v>
      </c>
      <c r="G206" s="1">
        <v>2021</v>
      </c>
      <c r="H206" s="392">
        <f>(O132/$R132*100*($E132/365))+(O133/$R133*100*($E133/365))+(O134/$R134*100*($E134/365))</f>
        <v>68.364535768645368</v>
      </c>
      <c r="I206" s="392"/>
      <c r="J206" s="392">
        <f>(P132/$R132*100*($E132/365))+(P133/$R133*100*($E133/365))+(P134/$R134*100*($E134/365))</f>
        <v>18.148706240487066</v>
      </c>
      <c r="K206" s="392"/>
      <c r="L206" s="392">
        <f>(Q132/$R132*100*($E132/365))+(Q133/$R133*100*($E133/365))+(Q134/$R134*100*($E134/365))</f>
        <v>13.486757990867579</v>
      </c>
      <c r="M206" s="392"/>
      <c r="N206" s="363">
        <f t="shared" ref="N206" si="41">H206+J206+L206</f>
        <v>100</v>
      </c>
      <c r="O206" s="363"/>
      <c r="R206" s="1">
        <v>2021</v>
      </c>
      <c r="S206" s="5">
        <f>(O132*($E132/365))+(O133*($E133/365))+(O134*($E134/365))</f>
        <v>24.611232876712332</v>
      </c>
      <c r="T206" s="5">
        <f>(P132*($E132/365))+(P133*($E133/365))+(P134*($E134/365))</f>
        <v>7.2430136986301381</v>
      </c>
      <c r="U206" s="5">
        <f>(Q132*($E132/365))+(Q133*($E133/365))+(Q134*($E134/365))</f>
        <v>6.0690410958904106</v>
      </c>
      <c r="W206" s="5">
        <f t="shared" ref="W206" si="42">S206+T206+U206</f>
        <v>37.923287671232885</v>
      </c>
    </row>
    <row r="207" spans="1:24" x14ac:dyDescent="0.15">
      <c r="A207" s="1">
        <v>2022</v>
      </c>
      <c r="B207" s="5">
        <f>(K135*($E135/365))+(K136*($E136/365))+(K137*($E137/365))</f>
        <v>0</v>
      </c>
      <c r="C207" s="5">
        <f>(L135*($E135/365))+(L136*($E136/365))+(L137*($E137/365))</f>
        <v>42.124489305455413</v>
      </c>
      <c r="D207" s="5">
        <f>(M135*($E135/365))+(M136*($E136/365))+(M137*($E137/365))</f>
        <v>57.875510694544587</v>
      </c>
      <c r="E207" s="17">
        <f t="shared" ref="E207" si="43">B207+C207+D207</f>
        <v>100</v>
      </c>
      <c r="G207" s="1">
        <v>2022</v>
      </c>
      <c r="H207" s="392">
        <f>(O135/$R135*100*($E135/365))+(O136/$R136*100*($E136/365))+(O137/$R137*100*($E137/365))</f>
        <v>0</v>
      </c>
      <c r="I207" s="392"/>
      <c r="J207" s="392">
        <f>(P135/$R135*100*($E135/365))+(P136/$R136*100*($E136/365))+(P137/$R137*100*($E137/365))</f>
        <v>36.888888888888893</v>
      </c>
      <c r="K207" s="392"/>
      <c r="L207" s="392">
        <f>(Q135/$R135*100*($E135/365))+(Q136/$R136*100*($E136/365))+(Q137/$R137*100*($E137/365))</f>
        <v>63.1111111111111</v>
      </c>
      <c r="M207" s="392"/>
      <c r="N207" s="363">
        <f t="shared" ref="N207" si="44">H207+J207+L207</f>
        <v>100</v>
      </c>
      <c r="O207" s="363"/>
      <c r="R207" s="1">
        <v>2022</v>
      </c>
      <c r="S207" s="5">
        <f>(O135*($E135/365))+(O136*($E136/365))+(O137*($E137/365))</f>
        <v>0</v>
      </c>
      <c r="T207" s="5">
        <f>(P135*($E135/365))+(P136*($E136/365))+(P137*($E137/365))</f>
        <v>16.600000000000001</v>
      </c>
      <c r="U207" s="5">
        <f>(Q135*($E135/365))+(Q136*($E136/365))+(Q137*($E137/365))</f>
        <v>28.4</v>
      </c>
      <c r="W207" s="5">
        <f t="shared" ref="W207" si="45">S207+T207+U207</f>
        <v>45</v>
      </c>
    </row>
  </sheetData>
  <mergeCells count="414">
    <mergeCell ref="C135:D135"/>
    <mergeCell ref="C137:D137"/>
    <mergeCell ref="H207:I207"/>
    <mergeCell ref="J207:K207"/>
    <mergeCell ref="L207:M207"/>
    <mergeCell ref="N207:O207"/>
    <mergeCell ref="C133:D133"/>
    <mergeCell ref="H205:I205"/>
    <mergeCell ref="J205:K205"/>
    <mergeCell ref="L205:M205"/>
    <mergeCell ref="N205:O205"/>
    <mergeCell ref="J192:K192"/>
    <mergeCell ref="J193:K193"/>
    <mergeCell ref="H204:I204"/>
    <mergeCell ref="J204:K204"/>
    <mergeCell ref="L204:M204"/>
    <mergeCell ref="N204:O204"/>
    <mergeCell ref="H203:I203"/>
    <mergeCell ref="J203:K203"/>
    <mergeCell ref="L203:M203"/>
    <mergeCell ref="N203:O203"/>
    <mergeCell ref="H196:I196"/>
    <mergeCell ref="J196:K196"/>
    <mergeCell ref="L196:M196"/>
    <mergeCell ref="H195:I195"/>
    <mergeCell ref="H202:I202"/>
    <mergeCell ref="J202:K202"/>
    <mergeCell ref="L202:M202"/>
    <mergeCell ref="N202:O202"/>
    <mergeCell ref="H201:I201"/>
    <mergeCell ref="N200:O200"/>
    <mergeCell ref="H199:I199"/>
    <mergeCell ref="J199:K199"/>
    <mergeCell ref="L199:M199"/>
    <mergeCell ref="N199:O199"/>
    <mergeCell ref="L201:M201"/>
    <mergeCell ref="H200:I200"/>
    <mergeCell ref="J200:K200"/>
    <mergeCell ref="L200:M200"/>
    <mergeCell ref="J201:K201"/>
    <mergeCell ref="L195:M195"/>
    <mergeCell ref="J195:K195"/>
    <mergeCell ref="L197:M197"/>
    <mergeCell ref="N196:O196"/>
    <mergeCell ref="N197:O197"/>
    <mergeCell ref="N195:O195"/>
    <mergeCell ref="L193:M193"/>
    <mergeCell ref="L189:M189"/>
    <mergeCell ref="N201:O201"/>
    <mergeCell ref="AT4:AW4"/>
    <mergeCell ref="R141:W141"/>
    <mergeCell ref="N178:O178"/>
    <mergeCell ref="N179:O179"/>
    <mergeCell ref="N180:O180"/>
    <mergeCell ref="N181:O181"/>
    <mergeCell ref="N183:O183"/>
    <mergeCell ref="N171:O171"/>
    <mergeCell ref="N172:O172"/>
    <mergeCell ref="L186:M186"/>
    <mergeCell ref="L184:M184"/>
    <mergeCell ref="AX4:BA4"/>
    <mergeCell ref="N198:O198"/>
    <mergeCell ref="C116:D116"/>
    <mergeCell ref="C117:D117"/>
    <mergeCell ref="H198:I198"/>
    <mergeCell ref="J198:K198"/>
    <mergeCell ref="L198:M198"/>
    <mergeCell ref="H197:I197"/>
    <mergeCell ref="J197:K197"/>
    <mergeCell ref="C114:D114"/>
    <mergeCell ref="C115:D115"/>
    <mergeCell ref="N192:O192"/>
    <mergeCell ref="N193:O193"/>
    <mergeCell ref="N182:O182"/>
    <mergeCell ref="N187:O187"/>
    <mergeCell ref="N176:O176"/>
    <mergeCell ref="N173:O173"/>
    <mergeCell ref="N174:O174"/>
    <mergeCell ref="L185:M185"/>
    <mergeCell ref="L191:M191"/>
    <mergeCell ref="N191:O191"/>
    <mergeCell ref="N186:O186"/>
    <mergeCell ref="H192:I192"/>
    <mergeCell ref="J191:K191"/>
    <mergeCell ref="H191:I191"/>
    <mergeCell ref="J184:K184"/>
    <mergeCell ref="J185:K185"/>
    <mergeCell ref="J186:K186"/>
    <mergeCell ref="J187:K187"/>
    <mergeCell ref="H194:I194"/>
    <mergeCell ref="N189:O189"/>
    <mergeCell ref="N190:O190"/>
    <mergeCell ref="J194:K194"/>
    <mergeCell ref="H193:I193"/>
    <mergeCell ref="N184:O184"/>
    <mergeCell ref="N185:O185"/>
    <mergeCell ref="L194:M194"/>
    <mergeCell ref="N194:O194"/>
    <mergeCell ref="H189:I189"/>
    <mergeCell ref="H190:I190"/>
    <mergeCell ref="L190:M190"/>
    <mergeCell ref="L187:M187"/>
    <mergeCell ref="L188:M188"/>
    <mergeCell ref="H184:I184"/>
    <mergeCell ref="J189:K189"/>
    <mergeCell ref="J190:K190"/>
    <mergeCell ref="N188:O188"/>
    <mergeCell ref="L192:M192"/>
    <mergeCell ref="J183:K183"/>
    <mergeCell ref="J179:K179"/>
    <mergeCell ref="J180:K180"/>
    <mergeCell ref="J143:K143"/>
    <mergeCell ref="L143:M143"/>
    <mergeCell ref="N143:O143"/>
    <mergeCell ref="L176:M176"/>
    <mergeCell ref="L177:M177"/>
    <mergeCell ref="N168:O168"/>
    <mergeCell ref="N169:O169"/>
    <mergeCell ref="N170:O170"/>
    <mergeCell ref="N175:O175"/>
    <mergeCell ref="N177:O177"/>
    <mergeCell ref="L175:M175"/>
    <mergeCell ref="N149:O149"/>
    <mergeCell ref="J176:K176"/>
    <mergeCell ref="J177:K177"/>
    <mergeCell ref="J171:K171"/>
    <mergeCell ref="J172:K172"/>
    <mergeCell ref="J173:K173"/>
    <mergeCell ref="J174:K174"/>
    <mergeCell ref="H175:I175"/>
    <mergeCell ref="J188:K188"/>
    <mergeCell ref="H176:I176"/>
    <mergeCell ref="H177:I177"/>
    <mergeCell ref="L181:M181"/>
    <mergeCell ref="L182:M182"/>
    <mergeCell ref="H185:I185"/>
    <mergeCell ref="H186:I186"/>
    <mergeCell ref="H187:I187"/>
    <mergeCell ref="H188:I188"/>
    <mergeCell ref="H179:I179"/>
    <mergeCell ref="H180:I180"/>
    <mergeCell ref="H181:I181"/>
    <mergeCell ref="H182:I182"/>
    <mergeCell ref="H183:I183"/>
    <mergeCell ref="L183:M183"/>
    <mergeCell ref="H178:I178"/>
    <mergeCell ref="J175:K175"/>
    <mergeCell ref="J181:K181"/>
    <mergeCell ref="J182:K182"/>
    <mergeCell ref="J178:K178"/>
    <mergeCell ref="L178:M178"/>
    <mergeCell ref="L179:M179"/>
    <mergeCell ref="L180:M180"/>
    <mergeCell ref="H171:I171"/>
    <mergeCell ref="H172:I172"/>
    <mergeCell ref="L174:M174"/>
    <mergeCell ref="L171:M171"/>
    <mergeCell ref="L172:M172"/>
    <mergeCell ref="L173:M173"/>
    <mergeCell ref="H173:I173"/>
    <mergeCell ref="H174:I174"/>
    <mergeCell ref="H168:I168"/>
    <mergeCell ref="J168:K168"/>
    <mergeCell ref="L168:M168"/>
    <mergeCell ref="H169:I169"/>
    <mergeCell ref="J169:K169"/>
    <mergeCell ref="L169:M169"/>
    <mergeCell ref="H170:I170"/>
    <mergeCell ref="J170:K170"/>
    <mergeCell ref="L170:M170"/>
    <mergeCell ref="H166:I166"/>
    <mergeCell ref="J166:K166"/>
    <mergeCell ref="L166:M166"/>
    <mergeCell ref="N166:O166"/>
    <mergeCell ref="H167:I167"/>
    <mergeCell ref="J167:K167"/>
    <mergeCell ref="L167:M167"/>
    <mergeCell ref="N167:O167"/>
    <mergeCell ref="H164:I164"/>
    <mergeCell ref="J164:K164"/>
    <mergeCell ref="L164:M164"/>
    <mergeCell ref="N164:O164"/>
    <mergeCell ref="H165:I165"/>
    <mergeCell ref="J165:K165"/>
    <mergeCell ref="L165:M165"/>
    <mergeCell ref="N165:O165"/>
    <mergeCell ref="H162:I162"/>
    <mergeCell ref="J162:K162"/>
    <mergeCell ref="L162:M162"/>
    <mergeCell ref="N162:O162"/>
    <mergeCell ref="H163:I163"/>
    <mergeCell ref="J163:K163"/>
    <mergeCell ref="L163:M163"/>
    <mergeCell ref="N163:O163"/>
    <mergeCell ref="H160:I160"/>
    <mergeCell ref="J160:K160"/>
    <mergeCell ref="L160:M160"/>
    <mergeCell ref="N160:O160"/>
    <mergeCell ref="H161:I161"/>
    <mergeCell ref="J161:K161"/>
    <mergeCell ref="L161:M161"/>
    <mergeCell ref="N161:O161"/>
    <mergeCell ref="H158:I158"/>
    <mergeCell ref="J158:K158"/>
    <mergeCell ref="L158:M158"/>
    <mergeCell ref="N158:O158"/>
    <mergeCell ref="H159:I159"/>
    <mergeCell ref="J159:K159"/>
    <mergeCell ref="L159:M159"/>
    <mergeCell ref="N159:O159"/>
    <mergeCell ref="H156:I156"/>
    <mergeCell ref="J156:K156"/>
    <mergeCell ref="L156:M156"/>
    <mergeCell ref="N156:O156"/>
    <mergeCell ref="H157:I157"/>
    <mergeCell ref="J157:K157"/>
    <mergeCell ref="L157:M157"/>
    <mergeCell ref="N157:O157"/>
    <mergeCell ref="H154:I154"/>
    <mergeCell ref="J154:K154"/>
    <mergeCell ref="L154:M154"/>
    <mergeCell ref="N154:O154"/>
    <mergeCell ref="H155:I155"/>
    <mergeCell ref="J155:K155"/>
    <mergeCell ref="L155:M155"/>
    <mergeCell ref="N155:O155"/>
    <mergeCell ref="H153:I153"/>
    <mergeCell ref="J153:K153"/>
    <mergeCell ref="L153:M153"/>
    <mergeCell ref="N153:O153"/>
    <mergeCell ref="H146:I146"/>
    <mergeCell ref="J146:K146"/>
    <mergeCell ref="L146:M146"/>
    <mergeCell ref="H150:I150"/>
    <mergeCell ref="J150:K150"/>
    <mergeCell ref="L150:M150"/>
    <mergeCell ref="N150:O150"/>
    <mergeCell ref="H151:I151"/>
    <mergeCell ref="J151:K151"/>
    <mergeCell ref="L151:M151"/>
    <mergeCell ref="N151:O151"/>
    <mergeCell ref="N146:O146"/>
    <mergeCell ref="H147:I147"/>
    <mergeCell ref="J147:K147"/>
    <mergeCell ref="L147:M147"/>
    <mergeCell ref="N147:O147"/>
    <mergeCell ref="H149:I149"/>
    <mergeCell ref="G3:M3"/>
    <mergeCell ref="O3:Q3"/>
    <mergeCell ref="C9:D9"/>
    <mergeCell ref="C10:D10"/>
    <mergeCell ref="A4:A5"/>
    <mergeCell ref="B4:B5"/>
    <mergeCell ref="C4:D5"/>
    <mergeCell ref="E4:E5"/>
    <mergeCell ref="F4:F5"/>
    <mergeCell ref="G4:J4"/>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107:D107"/>
    <mergeCell ref="C108:D108"/>
    <mergeCell ref="C109:D109"/>
    <mergeCell ref="C97:D97"/>
    <mergeCell ref="C98:D98"/>
    <mergeCell ref="C99:D99"/>
    <mergeCell ref="C100:D100"/>
    <mergeCell ref="C101:D101"/>
    <mergeCell ref="C102:D102"/>
    <mergeCell ref="C110:D110"/>
    <mergeCell ref="C103:D103"/>
    <mergeCell ref="C104:D104"/>
    <mergeCell ref="C111:D111"/>
    <mergeCell ref="C112:D112"/>
    <mergeCell ref="C113:D113"/>
    <mergeCell ref="C105:D105"/>
    <mergeCell ref="C106:D106"/>
    <mergeCell ref="H143:I143"/>
    <mergeCell ref="C118:D118"/>
    <mergeCell ref="C119:D119"/>
    <mergeCell ref="C120:D120"/>
    <mergeCell ref="C121:D121"/>
    <mergeCell ref="C124:D124"/>
    <mergeCell ref="C125:D125"/>
    <mergeCell ref="C136:D136"/>
    <mergeCell ref="C122:D122"/>
    <mergeCell ref="C123:D123"/>
    <mergeCell ref="C126:D126"/>
    <mergeCell ref="C127:D127"/>
    <mergeCell ref="C129:D129"/>
    <mergeCell ref="C128:D128"/>
    <mergeCell ref="C130:D130"/>
    <mergeCell ref="C131:D131"/>
    <mergeCell ref="C132:D132"/>
    <mergeCell ref="C134:D134"/>
    <mergeCell ref="H206:I206"/>
    <mergeCell ref="J206:K206"/>
    <mergeCell ref="L206:M206"/>
    <mergeCell ref="N206:O206"/>
    <mergeCell ref="H145:I145"/>
    <mergeCell ref="J145:K145"/>
    <mergeCell ref="L145:M145"/>
    <mergeCell ref="N145:O145"/>
    <mergeCell ref="H144:I144"/>
    <mergeCell ref="J144:K144"/>
    <mergeCell ref="L144:M144"/>
    <mergeCell ref="N144:O144"/>
    <mergeCell ref="H148:I148"/>
    <mergeCell ref="J148:K148"/>
    <mergeCell ref="L148:M148"/>
    <mergeCell ref="N148:O148"/>
    <mergeCell ref="H152:I152"/>
    <mergeCell ref="J152:K152"/>
    <mergeCell ref="L152:M152"/>
    <mergeCell ref="N152:O152"/>
    <mergeCell ref="J149:K149"/>
    <mergeCell ref="L149:M149"/>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pageSetUpPr fitToPage="1"/>
  </sheetPr>
  <dimension ref="A1:BA152"/>
  <sheetViews>
    <sheetView zoomScale="111" zoomScaleNormal="120" workbookViewId="0">
      <pane xSplit="1" ySplit="5" topLeftCell="AP109"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143</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28" customFormat="1" x14ac:dyDescent="0.15">
      <c r="A6" s="28">
        <v>1991</v>
      </c>
      <c r="B6" s="293"/>
      <c r="C6" s="405" t="s">
        <v>1261</v>
      </c>
      <c r="D6" s="405"/>
      <c r="E6" s="84">
        <v>356</v>
      </c>
      <c r="F6" s="113"/>
      <c r="G6" s="65"/>
      <c r="J6" s="72"/>
      <c r="K6" s="46"/>
      <c r="L6" s="46"/>
      <c r="M6" s="46"/>
      <c r="N6" s="67"/>
      <c r="O6" s="45"/>
      <c r="P6" s="46"/>
      <c r="Q6" s="46"/>
      <c r="R6" s="47"/>
      <c r="T6" s="284"/>
      <c r="U6" s="293"/>
      <c r="V6" s="37"/>
      <c r="Y6" s="38"/>
      <c r="AD6" s="37"/>
      <c r="AG6" s="38"/>
      <c r="AL6" s="37"/>
      <c r="AO6" s="38"/>
      <c r="AP6" s="37"/>
      <c r="AS6" s="38"/>
      <c r="AW6" s="38"/>
      <c r="BA6" s="39"/>
    </row>
    <row r="7" spans="1:53" s="170" customFormat="1" x14ac:dyDescent="0.15">
      <c r="A7" s="170">
        <v>1991</v>
      </c>
      <c r="B7" s="281">
        <v>33595</v>
      </c>
      <c r="C7" s="395" t="s">
        <v>929</v>
      </c>
      <c r="D7" s="395"/>
      <c r="E7" s="170">
        <v>9</v>
      </c>
      <c r="F7" s="170" t="s">
        <v>335</v>
      </c>
      <c r="G7" s="232">
        <v>3</v>
      </c>
      <c r="H7" s="170">
        <v>7</v>
      </c>
      <c r="J7" s="240">
        <v>23</v>
      </c>
      <c r="K7" s="213">
        <f t="shared" ref="K7:M11" si="0">G7/J7*100</f>
        <v>13.043478260869565</v>
      </c>
      <c r="L7" s="213">
        <f t="shared" si="0"/>
        <v>53.666666666666671</v>
      </c>
      <c r="M7" s="213">
        <f t="shared" si="0"/>
        <v>0</v>
      </c>
      <c r="N7" s="234">
        <f>K7+L7+M7</f>
        <v>66.710144927536234</v>
      </c>
      <c r="O7" s="212">
        <v>9.6</v>
      </c>
      <c r="P7" s="213">
        <v>16.8</v>
      </c>
      <c r="Q7" s="213"/>
      <c r="R7" s="214">
        <f t="shared" ref="R7:R80" si="1">SUM(O7:Q7)</f>
        <v>26.4</v>
      </c>
      <c r="S7" s="170">
        <v>5</v>
      </c>
      <c r="T7" s="283">
        <v>33538</v>
      </c>
      <c r="U7" s="281">
        <v>33595</v>
      </c>
      <c r="V7" s="177" t="s">
        <v>100</v>
      </c>
      <c r="W7" s="170" t="s">
        <v>76</v>
      </c>
      <c r="X7" s="170" t="s">
        <v>11</v>
      </c>
      <c r="Y7" s="178">
        <v>9.6</v>
      </c>
      <c r="Z7" s="170" t="s">
        <v>930</v>
      </c>
      <c r="AA7" s="170" t="s">
        <v>85</v>
      </c>
      <c r="AB7" s="170" t="s">
        <v>18</v>
      </c>
      <c r="AC7" s="170">
        <v>10.7</v>
      </c>
      <c r="AD7" s="177" t="s">
        <v>931</v>
      </c>
      <c r="AE7" s="170" t="s">
        <v>932</v>
      </c>
      <c r="AF7" s="170" t="s">
        <v>18</v>
      </c>
      <c r="AG7" s="178">
        <v>6.1</v>
      </c>
      <c r="AL7" s="177"/>
      <c r="AO7" s="178"/>
      <c r="AP7" s="177"/>
      <c r="AS7" s="178"/>
      <c r="AW7" s="178"/>
      <c r="BA7" s="179"/>
    </row>
    <row r="8" spans="1:53" s="170" customFormat="1" x14ac:dyDescent="0.15">
      <c r="A8" s="170">
        <v>1992</v>
      </c>
      <c r="B8" s="281"/>
      <c r="C8" s="395" t="s">
        <v>929</v>
      </c>
      <c r="D8" s="395"/>
      <c r="E8" s="170">
        <v>157</v>
      </c>
      <c r="G8" s="232">
        <v>3</v>
      </c>
      <c r="H8" s="170">
        <v>7</v>
      </c>
      <c r="J8" s="240">
        <v>23</v>
      </c>
      <c r="K8" s="213">
        <f t="shared" si="0"/>
        <v>13.043478260869565</v>
      </c>
      <c r="L8" s="213">
        <f t="shared" si="0"/>
        <v>53.666666666666671</v>
      </c>
      <c r="M8" s="213">
        <f t="shared" si="0"/>
        <v>0</v>
      </c>
      <c r="N8" s="234">
        <f>K8+L8+M8</f>
        <v>66.710144927536234</v>
      </c>
      <c r="O8" s="212">
        <v>9.6</v>
      </c>
      <c r="P8" s="213">
        <v>16.8</v>
      </c>
      <c r="Q8" s="213"/>
      <c r="R8" s="214">
        <f t="shared" si="1"/>
        <v>26.4</v>
      </c>
      <c r="S8" s="170">
        <v>5</v>
      </c>
      <c r="T8" s="283"/>
      <c r="U8" s="281"/>
      <c r="V8" s="177" t="s">
        <v>100</v>
      </c>
      <c r="W8" s="170" t="s">
        <v>76</v>
      </c>
      <c r="X8" s="170" t="s">
        <v>11</v>
      </c>
      <c r="Y8" s="178">
        <v>9.6</v>
      </c>
      <c r="Z8" s="170" t="s">
        <v>930</v>
      </c>
      <c r="AA8" s="170" t="s">
        <v>85</v>
      </c>
      <c r="AB8" s="170" t="s">
        <v>18</v>
      </c>
      <c r="AC8" s="170">
        <v>10.7</v>
      </c>
      <c r="AD8" s="177" t="s">
        <v>931</v>
      </c>
      <c r="AE8" s="170" t="s">
        <v>932</v>
      </c>
      <c r="AF8" s="170" t="s">
        <v>18</v>
      </c>
      <c r="AG8" s="178">
        <v>6.1</v>
      </c>
      <c r="AL8" s="177"/>
      <c r="AO8" s="178"/>
      <c r="AP8" s="177"/>
      <c r="AS8" s="178"/>
      <c r="AW8" s="178"/>
      <c r="BA8" s="179"/>
    </row>
    <row r="9" spans="1:53" s="28" customFormat="1" x14ac:dyDescent="0.15">
      <c r="A9" s="28">
        <v>1992</v>
      </c>
      <c r="B9" s="293">
        <v>33761</v>
      </c>
      <c r="C9" s="394" t="s">
        <v>933</v>
      </c>
      <c r="D9" s="394"/>
      <c r="E9" s="28">
        <v>35</v>
      </c>
      <c r="F9" s="28">
        <v>5</v>
      </c>
      <c r="G9" s="65">
        <v>0</v>
      </c>
      <c r="H9" s="28">
        <v>0</v>
      </c>
      <c r="I9" s="28">
        <v>0</v>
      </c>
      <c r="J9" s="72">
        <v>0</v>
      </c>
      <c r="K9" s="46">
        <v>0</v>
      </c>
      <c r="L9" s="46">
        <v>0</v>
      </c>
      <c r="M9" s="46">
        <v>0</v>
      </c>
      <c r="N9" s="67">
        <v>0</v>
      </c>
      <c r="O9" s="45">
        <v>0</v>
      </c>
      <c r="P9" s="46">
        <v>0</v>
      </c>
      <c r="Q9" s="46">
        <v>0</v>
      </c>
      <c r="R9" s="47">
        <f t="shared" si="1"/>
        <v>0</v>
      </c>
      <c r="S9" s="28">
        <v>6</v>
      </c>
      <c r="T9" s="284"/>
      <c r="U9" s="293">
        <v>33761</v>
      </c>
      <c r="V9" s="430" t="s">
        <v>1149</v>
      </c>
      <c r="W9" s="431"/>
      <c r="X9" s="431"/>
      <c r="Y9" s="431"/>
      <c r="Z9" s="431"/>
      <c r="AA9" s="431"/>
      <c r="AB9" s="431"/>
      <c r="AC9" s="432"/>
      <c r="AH9" s="37"/>
      <c r="AK9" s="38"/>
      <c r="AP9" s="37"/>
      <c r="AS9" s="38"/>
      <c r="AW9" s="38"/>
      <c r="BA9" s="39"/>
    </row>
    <row r="10" spans="1:53" s="170" customFormat="1" x14ac:dyDescent="0.15">
      <c r="A10" s="170">
        <v>1992</v>
      </c>
      <c r="B10" s="281">
        <v>33796</v>
      </c>
      <c r="C10" s="395" t="s">
        <v>1150</v>
      </c>
      <c r="D10" s="395"/>
      <c r="E10" s="170">
        <f>366-E9-E8</f>
        <v>174</v>
      </c>
      <c r="F10" s="170">
        <v>5</v>
      </c>
      <c r="G10" s="232">
        <v>7</v>
      </c>
      <c r="H10" s="170">
        <v>9</v>
      </c>
      <c r="J10" s="240">
        <v>19</v>
      </c>
      <c r="K10" s="213">
        <f t="shared" si="0"/>
        <v>36.84210526315789</v>
      </c>
      <c r="L10" s="213">
        <f t="shared" si="0"/>
        <v>24.428571428571434</v>
      </c>
      <c r="M10" s="213">
        <f t="shared" si="0"/>
        <v>0</v>
      </c>
      <c r="N10" s="234">
        <f>K10+L10+M10</f>
        <v>61.270676691729321</v>
      </c>
      <c r="O10" s="212">
        <v>21.5</v>
      </c>
      <c r="P10" s="213">
        <v>17.899999999999999</v>
      </c>
      <c r="Q10" s="213"/>
      <c r="R10" s="214">
        <f t="shared" si="1"/>
        <v>39.4</v>
      </c>
      <c r="S10" s="170">
        <v>5</v>
      </c>
      <c r="T10" s="283"/>
      <c r="U10" s="281">
        <v>33796</v>
      </c>
      <c r="V10" s="177" t="s">
        <v>551</v>
      </c>
      <c r="W10" s="170" t="s">
        <v>22</v>
      </c>
      <c r="X10" s="170" t="s">
        <v>11</v>
      </c>
      <c r="Y10" s="178">
        <v>13.5</v>
      </c>
      <c r="Z10" s="170" t="s">
        <v>934</v>
      </c>
      <c r="AA10" s="170" t="s">
        <v>85</v>
      </c>
      <c r="AB10" s="170" t="s">
        <v>18</v>
      </c>
      <c r="AC10" s="170">
        <v>10.7</v>
      </c>
      <c r="AD10" s="177" t="s">
        <v>936</v>
      </c>
      <c r="AE10" s="170" t="s">
        <v>87</v>
      </c>
      <c r="AF10" s="170" t="s">
        <v>11</v>
      </c>
      <c r="AG10" s="170">
        <v>8</v>
      </c>
      <c r="AH10" s="177" t="s">
        <v>931</v>
      </c>
      <c r="AI10" s="170" t="s">
        <v>932</v>
      </c>
      <c r="AJ10" s="170" t="s">
        <v>18</v>
      </c>
      <c r="AK10" s="178">
        <v>6.1</v>
      </c>
      <c r="AL10" s="177" t="s">
        <v>935</v>
      </c>
      <c r="AM10" s="170" t="s">
        <v>17</v>
      </c>
      <c r="AN10" s="170" t="s">
        <v>18</v>
      </c>
      <c r="AO10" s="178">
        <v>1.1000000000000001</v>
      </c>
      <c r="AP10" s="177" t="s">
        <v>1151</v>
      </c>
      <c r="AQ10" s="170" t="s">
        <v>327</v>
      </c>
      <c r="AR10" s="170" t="s">
        <v>18</v>
      </c>
      <c r="AS10" s="178">
        <v>0</v>
      </c>
      <c r="AW10" s="178"/>
      <c r="BA10" s="179"/>
    </row>
    <row r="11" spans="1:53" s="170" customFormat="1" x14ac:dyDescent="0.15">
      <c r="A11" s="170">
        <v>1993</v>
      </c>
      <c r="B11" s="281"/>
      <c r="C11" s="395" t="s">
        <v>1150</v>
      </c>
      <c r="D11" s="395"/>
      <c r="E11" s="170">
        <v>298</v>
      </c>
      <c r="G11" s="232">
        <v>7</v>
      </c>
      <c r="H11" s="170">
        <v>9</v>
      </c>
      <c r="J11" s="240">
        <v>19</v>
      </c>
      <c r="K11" s="213">
        <f t="shared" si="0"/>
        <v>36.84210526315789</v>
      </c>
      <c r="L11" s="213">
        <f t="shared" si="0"/>
        <v>24.428571428571434</v>
      </c>
      <c r="M11" s="213">
        <f t="shared" si="0"/>
        <v>0</v>
      </c>
      <c r="N11" s="234">
        <f>K11+L11+M11</f>
        <v>61.270676691729321</v>
      </c>
      <c r="O11" s="212">
        <v>21.5</v>
      </c>
      <c r="P11" s="213">
        <v>17.899999999999999</v>
      </c>
      <c r="Q11" s="213"/>
      <c r="R11" s="214">
        <f t="shared" si="1"/>
        <v>39.4</v>
      </c>
      <c r="S11" s="170">
        <v>5</v>
      </c>
      <c r="T11" s="283"/>
      <c r="U11" s="281"/>
      <c r="V11" s="177" t="s">
        <v>551</v>
      </c>
      <c r="W11" s="170" t="s">
        <v>22</v>
      </c>
      <c r="X11" s="170" t="s">
        <v>11</v>
      </c>
      <c r="Y11" s="178">
        <v>13.5</v>
      </c>
      <c r="Z11" s="170" t="s">
        <v>934</v>
      </c>
      <c r="AA11" s="170" t="s">
        <v>85</v>
      </c>
      <c r="AB11" s="170" t="s">
        <v>18</v>
      </c>
      <c r="AC11" s="170">
        <v>10.7</v>
      </c>
      <c r="AD11" s="177" t="s">
        <v>936</v>
      </c>
      <c r="AE11" s="170" t="s">
        <v>87</v>
      </c>
      <c r="AF11" s="170" t="s">
        <v>11</v>
      </c>
      <c r="AG11" s="170">
        <v>8</v>
      </c>
      <c r="AH11" s="177" t="s">
        <v>931</v>
      </c>
      <c r="AI11" s="170" t="s">
        <v>932</v>
      </c>
      <c r="AJ11" s="170" t="s">
        <v>18</v>
      </c>
      <c r="AK11" s="178">
        <v>6.1</v>
      </c>
      <c r="AL11" s="177" t="s">
        <v>935</v>
      </c>
      <c r="AM11" s="170" t="s">
        <v>17</v>
      </c>
      <c r="AN11" s="170" t="s">
        <v>18</v>
      </c>
      <c r="AO11" s="178">
        <v>1.1000000000000001</v>
      </c>
      <c r="AP11" s="177" t="s">
        <v>1151</v>
      </c>
      <c r="AQ11" s="170" t="s">
        <v>327</v>
      </c>
      <c r="AR11" s="170" t="s">
        <v>18</v>
      </c>
      <c r="AS11" s="178">
        <v>0</v>
      </c>
      <c r="AW11" s="178"/>
      <c r="BA11" s="179"/>
    </row>
    <row r="12" spans="1:53" s="28" customFormat="1" x14ac:dyDescent="0.15">
      <c r="A12" s="28">
        <v>1993</v>
      </c>
      <c r="B12" s="293">
        <v>34268</v>
      </c>
      <c r="C12" s="394" t="s">
        <v>939</v>
      </c>
      <c r="D12" s="394"/>
      <c r="E12" s="28">
        <f xml:space="preserve"> 365-E11</f>
        <v>67</v>
      </c>
      <c r="F12" s="28">
        <v>5</v>
      </c>
      <c r="G12" s="65"/>
      <c r="I12" s="28">
        <v>13</v>
      </c>
      <c r="J12" s="72">
        <v>20</v>
      </c>
      <c r="K12" s="46">
        <f>G12/J12*100</f>
        <v>0</v>
      </c>
      <c r="L12" s="46">
        <f>H12/J12*100</f>
        <v>0</v>
      </c>
      <c r="M12" s="46">
        <f>I12/J12*100</f>
        <v>65</v>
      </c>
      <c r="N12" s="67">
        <f t="shared" ref="N12:N84" si="2">SUM(K12:M12)</f>
        <v>65</v>
      </c>
      <c r="O12" s="45"/>
      <c r="P12" s="46"/>
      <c r="Q12" s="46">
        <v>65.900000000000006</v>
      </c>
      <c r="R12" s="47">
        <f t="shared" si="1"/>
        <v>65.900000000000006</v>
      </c>
      <c r="S12" s="28">
        <v>2</v>
      </c>
      <c r="T12" s="284">
        <v>34231</v>
      </c>
      <c r="U12" s="293">
        <v>34268</v>
      </c>
      <c r="V12" s="37" t="s">
        <v>938</v>
      </c>
      <c r="W12" s="28" t="s">
        <v>96</v>
      </c>
      <c r="X12" s="28" t="s">
        <v>12</v>
      </c>
      <c r="Y12" s="38">
        <v>37.200000000000003</v>
      </c>
      <c r="Z12" s="28" t="s">
        <v>937</v>
      </c>
      <c r="AA12" s="28" t="s">
        <v>869</v>
      </c>
      <c r="AB12" s="28" t="s">
        <v>12</v>
      </c>
      <c r="AC12" s="28">
        <v>28.7</v>
      </c>
      <c r="AD12" s="37"/>
      <c r="AG12" s="38"/>
      <c r="AL12" s="37"/>
      <c r="AO12" s="38"/>
      <c r="AP12" s="37"/>
      <c r="AS12" s="38"/>
      <c r="AW12" s="38"/>
      <c r="BA12" s="39"/>
    </row>
    <row r="13" spans="1:53" s="28" customFormat="1" x14ac:dyDescent="0.15">
      <c r="A13" s="28">
        <v>1994</v>
      </c>
      <c r="B13" s="293"/>
      <c r="C13" s="394" t="s">
        <v>939</v>
      </c>
      <c r="D13" s="394"/>
      <c r="E13" s="28">
        <v>0</v>
      </c>
      <c r="G13" s="65"/>
      <c r="I13" s="28">
        <v>13</v>
      </c>
      <c r="J13" s="72">
        <v>20</v>
      </c>
      <c r="K13" s="46">
        <f t="shared" ref="K13:K75" si="3">G13/J13*100</f>
        <v>0</v>
      </c>
      <c r="L13" s="46">
        <f t="shared" ref="L13:L75" si="4">H13/J13*100</f>
        <v>0</v>
      </c>
      <c r="M13" s="46">
        <f t="shared" ref="M13:M75" si="5">I13/J13*100</f>
        <v>65</v>
      </c>
      <c r="N13" s="67">
        <f t="shared" si="2"/>
        <v>65</v>
      </c>
      <c r="O13" s="45"/>
      <c r="P13" s="46"/>
      <c r="Q13" s="46">
        <v>65.900000000000006</v>
      </c>
      <c r="R13" s="47">
        <f t="shared" si="1"/>
        <v>65.900000000000006</v>
      </c>
      <c r="S13" s="28">
        <v>2</v>
      </c>
      <c r="T13" s="284"/>
      <c r="U13" s="293"/>
      <c r="V13" s="37" t="s">
        <v>938</v>
      </c>
      <c r="W13" s="28" t="s">
        <v>96</v>
      </c>
      <c r="X13" s="28" t="s">
        <v>12</v>
      </c>
      <c r="Y13" s="38">
        <v>37.200000000000003</v>
      </c>
      <c r="Z13" s="28" t="s">
        <v>937</v>
      </c>
      <c r="AA13" s="28" t="s">
        <v>869</v>
      </c>
      <c r="AB13" s="28" t="s">
        <v>12</v>
      </c>
      <c r="AC13" s="28">
        <v>28.7</v>
      </c>
      <c r="AD13" s="37"/>
      <c r="AG13" s="38"/>
      <c r="AL13" s="37"/>
      <c r="AO13" s="38"/>
      <c r="AP13" s="37"/>
      <c r="AS13" s="38"/>
      <c r="AW13" s="38"/>
      <c r="BA13" s="39"/>
    </row>
    <row r="14" spans="1:53" s="28" customFormat="1" x14ac:dyDescent="0.15">
      <c r="A14" s="28">
        <v>1994</v>
      </c>
      <c r="B14" s="293"/>
      <c r="C14" s="394" t="s">
        <v>939</v>
      </c>
      <c r="D14" s="394"/>
      <c r="E14" s="28">
        <v>365</v>
      </c>
      <c r="G14" s="65"/>
      <c r="I14" s="28">
        <v>13</v>
      </c>
      <c r="J14" s="72">
        <v>20</v>
      </c>
      <c r="K14" s="46">
        <f t="shared" si="3"/>
        <v>0</v>
      </c>
      <c r="L14" s="46">
        <f t="shared" si="4"/>
        <v>0</v>
      </c>
      <c r="M14" s="46">
        <f t="shared" si="5"/>
        <v>65</v>
      </c>
      <c r="N14" s="67">
        <f t="shared" si="2"/>
        <v>65</v>
      </c>
      <c r="O14" s="45"/>
      <c r="P14" s="46"/>
      <c r="Q14" s="46">
        <v>65.900000000000006</v>
      </c>
      <c r="R14" s="47">
        <f t="shared" si="1"/>
        <v>65.900000000000006</v>
      </c>
      <c r="S14" s="28">
        <v>2</v>
      </c>
      <c r="T14" s="284"/>
      <c r="U14" s="293"/>
      <c r="V14" s="37" t="s">
        <v>938</v>
      </c>
      <c r="W14" s="28" t="s">
        <v>96</v>
      </c>
      <c r="X14" s="28" t="s">
        <v>12</v>
      </c>
      <c r="Y14" s="38">
        <v>37.200000000000003</v>
      </c>
      <c r="Z14" s="28" t="s">
        <v>937</v>
      </c>
      <c r="AA14" s="28" t="s">
        <v>869</v>
      </c>
      <c r="AB14" s="28" t="s">
        <v>12</v>
      </c>
      <c r="AC14" s="28">
        <v>28.7</v>
      </c>
      <c r="AD14" s="37"/>
      <c r="AG14" s="38"/>
      <c r="AL14" s="37"/>
      <c r="AO14" s="38"/>
      <c r="AP14" s="37"/>
      <c r="AS14" s="38"/>
      <c r="AW14" s="38"/>
      <c r="BA14" s="39"/>
    </row>
    <row r="15" spans="1:53" s="28" customFormat="1" x14ac:dyDescent="0.15">
      <c r="A15" s="28">
        <v>1995</v>
      </c>
      <c r="B15" s="293"/>
      <c r="C15" s="394" t="s">
        <v>939</v>
      </c>
      <c r="D15" s="394"/>
      <c r="E15" s="28">
        <v>64</v>
      </c>
      <c r="G15" s="65"/>
      <c r="I15" s="28">
        <v>13</v>
      </c>
      <c r="J15" s="72">
        <v>20</v>
      </c>
      <c r="K15" s="46">
        <f t="shared" si="3"/>
        <v>0</v>
      </c>
      <c r="L15" s="46">
        <f t="shared" si="4"/>
        <v>0</v>
      </c>
      <c r="M15" s="46">
        <f t="shared" si="5"/>
        <v>65</v>
      </c>
      <c r="N15" s="67">
        <f t="shared" si="2"/>
        <v>65</v>
      </c>
      <c r="O15" s="45"/>
      <c r="P15" s="46"/>
      <c r="Q15" s="46">
        <v>65.900000000000006</v>
      </c>
      <c r="R15" s="47">
        <f t="shared" si="1"/>
        <v>65.900000000000006</v>
      </c>
      <c r="S15" s="28">
        <v>2</v>
      </c>
      <c r="T15" s="284"/>
      <c r="U15" s="293"/>
      <c r="V15" s="37" t="s">
        <v>938</v>
      </c>
      <c r="W15" s="28" t="s">
        <v>96</v>
      </c>
      <c r="X15" s="28" t="s">
        <v>12</v>
      </c>
      <c r="Y15" s="38">
        <v>37.200000000000003</v>
      </c>
      <c r="Z15" s="28" t="s">
        <v>937</v>
      </c>
      <c r="AA15" s="28" t="s">
        <v>869</v>
      </c>
      <c r="AB15" s="28" t="s">
        <v>12</v>
      </c>
      <c r="AC15" s="28">
        <v>28.7</v>
      </c>
      <c r="AD15" s="37"/>
      <c r="AG15" s="38"/>
      <c r="AL15" s="37"/>
      <c r="AO15" s="38"/>
      <c r="AP15" s="37"/>
      <c r="AS15" s="38"/>
      <c r="AW15" s="38"/>
      <c r="BA15" s="39"/>
    </row>
    <row r="16" spans="1:53" s="170" customFormat="1" x14ac:dyDescent="0.15">
      <c r="A16" s="170">
        <v>1995</v>
      </c>
      <c r="B16" s="281">
        <v>34764</v>
      </c>
      <c r="C16" s="395" t="s">
        <v>940</v>
      </c>
      <c r="D16" s="395"/>
      <c r="E16" s="170">
        <f xml:space="preserve"> 365-E15</f>
        <v>301</v>
      </c>
      <c r="F16" s="170">
        <v>6</v>
      </c>
      <c r="G16" s="232"/>
      <c r="I16" s="170">
        <v>18</v>
      </c>
      <c r="J16" s="240">
        <v>21</v>
      </c>
      <c r="K16" s="213">
        <f t="shared" si="3"/>
        <v>0</v>
      </c>
      <c r="L16" s="213">
        <f t="shared" si="4"/>
        <v>0</v>
      </c>
      <c r="M16" s="213">
        <f t="shared" si="5"/>
        <v>85.714285714285708</v>
      </c>
      <c r="N16" s="234">
        <f t="shared" si="2"/>
        <v>85.714285714285708</v>
      </c>
      <c r="O16" s="212"/>
      <c r="P16" s="213"/>
      <c r="Q16" s="213">
        <v>65.900000000000006</v>
      </c>
      <c r="R16" s="214">
        <f t="shared" si="1"/>
        <v>65.900000000000006</v>
      </c>
      <c r="S16" s="170">
        <v>2</v>
      </c>
      <c r="T16" s="283"/>
      <c r="U16" s="281">
        <v>34764</v>
      </c>
      <c r="V16" s="177" t="s">
        <v>938</v>
      </c>
      <c r="W16" s="170" t="s">
        <v>96</v>
      </c>
      <c r="X16" s="170" t="s">
        <v>12</v>
      </c>
      <c r="Y16" s="178">
        <v>37.200000000000003</v>
      </c>
      <c r="Z16" s="170" t="s">
        <v>937</v>
      </c>
      <c r="AA16" s="170" t="s">
        <v>869</v>
      </c>
      <c r="AB16" s="170" t="s">
        <v>12</v>
      </c>
      <c r="AC16" s="170">
        <v>28.7</v>
      </c>
      <c r="AD16" s="177"/>
      <c r="AG16" s="178"/>
      <c r="AL16" s="177"/>
      <c r="AO16" s="178"/>
      <c r="AP16" s="177"/>
      <c r="AS16" s="178"/>
      <c r="AW16" s="178"/>
      <c r="BA16" s="179"/>
    </row>
    <row r="17" spans="1:53" s="170" customFormat="1" x14ac:dyDescent="0.15">
      <c r="A17" s="170">
        <v>1996</v>
      </c>
      <c r="B17" s="281"/>
      <c r="C17" s="395" t="s">
        <v>940</v>
      </c>
      <c r="D17" s="395"/>
      <c r="E17" s="170">
        <v>37</v>
      </c>
      <c r="G17" s="232"/>
      <c r="I17" s="170">
        <v>18</v>
      </c>
      <c r="J17" s="240">
        <v>21</v>
      </c>
      <c r="K17" s="213">
        <f t="shared" si="3"/>
        <v>0</v>
      </c>
      <c r="L17" s="213">
        <f t="shared" si="4"/>
        <v>0</v>
      </c>
      <c r="M17" s="213">
        <f t="shared" si="5"/>
        <v>85.714285714285708</v>
      </c>
      <c r="N17" s="234">
        <f t="shared" si="2"/>
        <v>85.714285714285708</v>
      </c>
      <c r="O17" s="212"/>
      <c r="P17" s="213"/>
      <c r="Q17" s="213">
        <v>65.900000000000006</v>
      </c>
      <c r="R17" s="214">
        <f t="shared" si="1"/>
        <v>65.900000000000006</v>
      </c>
      <c r="S17" s="170">
        <v>2</v>
      </c>
      <c r="T17" s="283"/>
      <c r="U17" s="281"/>
      <c r="V17" s="177" t="s">
        <v>938</v>
      </c>
      <c r="W17" s="170" t="s">
        <v>96</v>
      </c>
      <c r="X17" s="170" t="s">
        <v>12</v>
      </c>
      <c r="Y17" s="178">
        <v>37.200000000000003</v>
      </c>
      <c r="Z17" s="170" t="s">
        <v>937</v>
      </c>
      <c r="AA17" s="170" t="s">
        <v>869</v>
      </c>
      <c r="AB17" s="170" t="s">
        <v>12</v>
      </c>
      <c r="AC17" s="170">
        <v>28.7</v>
      </c>
      <c r="AD17" s="177"/>
      <c r="AG17" s="178"/>
      <c r="AL17" s="177"/>
      <c r="AO17" s="178"/>
      <c r="AP17" s="177"/>
      <c r="AS17" s="178"/>
      <c r="AW17" s="178"/>
      <c r="BA17" s="179"/>
    </row>
    <row r="18" spans="1:53" s="28" customFormat="1" x14ac:dyDescent="0.15">
      <c r="A18" s="28">
        <v>1996</v>
      </c>
      <c r="B18" s="293">
        <v>35102</v>
      </c>
      <c r="C18" s="394" t="s">
        <v>941</v>
      </c>
      <c r="D18" s="394"/>
      <c r="E18" s="28">
        <v>237</v>
      </c>
      <c r="F18" s="28">
        <v>2</v>
      </c>
      <c r="G18" s="65"/>
      <c r="I18" s="28">
        <v>14</v>
      </c>
      <c r="J18" s="72">
        <v>21</v>
      </c>
      <c r="K18" s="46">
        <f t="shared" si="3"/>
        <v>0</v>
      </c>
      <c r="L18" s="46">
        <f t="shared" si="4"/>
        <v>0</v>
      </c>
      <c r="M18" s="46">
        <f t="shared" si="5"/>
        <v>66.666666666666657</v>
      </c>
      <c r="N18" s="67">
        <f t="shared" si="2"/>
        <v>66.666666666666657</v>
      </c>
      <c r="O18" s="45"/>
      <c r="P18" s="46"/>
      <c r="Q18" s="46">
        <v>65.900000000000006</v>
      </c>
      <c r="R18" s="47">
        <f t="shared" si="1"/>
        <v>65.900000000000006</v>
      </c>
      <c r="S18" s="28">
        <v>2</v>
      </c>
      <c r="T18" s="284"/>
      <c r="U18" s="293"/>
      <c r="V18" s="37" t="s">
        <v>938</v>
      </c>
      <c r="W18" s="28" t="s">
        <v>96</v>
      </c>
      <c r="X18" s="28" t="s">
        <v>12</v>
      </c>
      <c r="Y18" s="38">
        <v>37.200000000000003</v>
      </c>
      <c r="Z18" s="28" t="s">
        <v>937</v>
      </c>
      <c r="AA18" s="28" t="s">
        <v>869</v>
      </c>
      <c r="AB18" s="28" t="s">
        <v>12</v>
      </c>
      <c r="AC18" s="28">
        <v>28.7</v>
      </c>
      <c r="AD18" s="37"/>
      <c r="AG18" s="38"/>
      <c r="AL18" s="37"/>
      <c r="AO18" s="38"/>
      <c r="AP18" s="37"/>
      <c r="AS18" s="38"/>
      <c r="AW18" s="38"/>
      <c r="BA18" s="39"/>
    </row>
    <row r="19" spans="1:53" s="28" customFormat="1" x14ac:dyDescent="0.15">
      <c r="A19" s="28">
        <v>1996</v>
      </c>
      <c r="B19" s="305">
        <v>35339</v>
      </c>
      <c r="C19" s="394" t="s">
        <v>941</v>
      </c>
      <c r="D19" s="394"/>
      <c r="E19" s="28">
        <v>92</v>
      </c>
      <c r="F19" s="120">
        <v>0</v>
      </c>
      <c r="G19" s="65"/>
      <c r="I19" s="28">
        <v>13</v>
      </c>
      <c r="J19" s="72">
        <v>20</v>
      </c>
      <c r="K19" s="46">
        <f t="shared" si="3"/>
        <v>0</v>
      </c>
      <c r="L19" s="46">
        <f t="shared" si="4"/>
        <v>0</v>
      </c>
      <c r="M19" s="46">
        <f t="shared" si="5"/>
        <v>65</v>
      </c>
      <c r="N19" s="67">
        <f t="shared" si="2"/>
        <v>65</v>
      </c>
      <c r="O19" s="45"/>
      <c r="P19" s="46"/>
      <c r="Q19" s="46">
        <v>65.900000000000006</v>
      </c>
      <c r="R19" s="47">
        <f t="shared" si="1"/>
        <v>65.900000000000006</v>
      </c>
      <c r="S19" s="28">
        <v>2</v>
      </c>
      <c r="T19" s="284"/>
      <c r="U19" s="293"/>
      <c r="V19" s="37" t="s">
        <v>938</v>
      </c>
      <c r="W19" s="28" t="s">
        <v>96</v>
      </c>
      <c r="X19" s="28" t="s">
        <v>12</v>
      </c>
      <c r="Y19" s="38">
        <v>37.200000000000003</v>
      </c>
      <c r="Z19" s="28" t="s">
        <v>937</v>
      </c>
      <c r="AA19" s="28" t="s">
        <v>869</v>
      </c>
      <c r="AB19" s="28" t="s">
        <v>12</v>
      </c>
      <c r="AC19" s="28">
        <v>28.7</v>
      </c>
      <c r="AD19" s="37"/>
      <c r="AG19" s="38"/>
      <c r="AL19" s="37"/>
      <c r="AO19" s="38"/>
      <c r="AP19" s="37"/>
      <c r="AS19" s="38"/>
      <c r="AW19" s="38"/>
      <c r="BA19" s="39"/>
    </row>
    <row r="20" spans="1:53" s="28" customFormat="1" x14ac:dyDescent="0.15">
      <c r="A20" s="28">
        <v>1997</v>
      </c>
      <c r="B20" s="305">
        <v>35431</v>
      </c>
      <c r="C20" s="394" t="s">
        <v>941</v>
      </c>
      <c r="D20" s="394"/>
      <c r="E20" s="28">
        <v>209</v>
      </c>
      <c r="F20" s="120">
        <v>0</v>
      </c>
      <c r="G20" s="65"/>
      <c r="I20" s="28">
        <v>12</v>
      </c>
      <c r="J20" s="72">
        <v>18</v>
      </c>
      <c r="K20" s="46">
        <f>G20/J20*100</f>
        <v>0</v>
      </c>
      <c r="L20" s="46">
        <f>H20/J20*100</f>
        <v>0</v>
      </c>
      <c r="M20" s="46">
        <f>I20/J20*100</f>
        <v>66.666666666666657</v>
      </c>
      <c r="N20" s="67">
        <f>SUM(K20:M20)</f>
        <v>66.666666666666657</v>
      </c>
      <c r="O20" s="45"/>
      <c r="P20" s="46"/>
      <c r="Q20" s="46">
        <v>65.900000000000006</v>
      </c>
      <c r="R20" s="47">
        <f>SUM(O20:Q20)</f>
        <v>65.900000000000006</v>
      </c>
      <c r="S20" s="28">
        <v>2</v>
      </c>
      <c r="T20" s="284"/>
      <c r="U20" s="293"/>
      <c r="V20" s="37" t="s">
        <v>938</v>
      </c>
      <c r="W20" s="28" t="s">
        <v>96</v>
      </c>
      <c r="X20" s="28" t="s">
        <v>12</v>
      </c>
      <c r="Y20" s="38">
        <v>37.200000000000003</v>
      </c>
      <c r="Z20" s="28" t="s">
        <v>937</v>
      </c>
      <c r="AA20" s="28" t="s">
        <v>869</v>
      </c>
      <c r="AB20" s="28" t="s">
        <v>12</v>
      </c>
      <c r="AC20" s="28">
        <v>28.7</v>
      </c>
      <c r="AD20" s="37"/>
      <c r="AG20" s="38"/>
      <c r="AL20" s="37"/>
      <c r="AO20" s="38"/>
      <c r="AP20" s="37"/>
      <c r="AS20" s="38"/>
      <c r="AW20" s="38"/>
      <c r="BA20" s="39"/>
    </row>
    <row r="21" spans="1:53" s="28" customFormat="1" x14ac:dyDescent="0.15">
      <c r="A21" s="28">
        <v>1997</v>
      </c>
      <c r="B21" s="305">
        <v>35640</v>
      </c>
      <c r="C21" s="394" t="s">
        <v>941</v>
      </c>
      <c r="D21" s="394"/>
      <c r="E21" s="28">
        <v>94</v>
      </c>
      <c r="F21" s="120">
        <v>0</v>
      </c>
      <c r="G21" s="65"/>
      <c r="I21" s="28">
        <v>13</v>
      </c>
      <c r="J21" s="72">
        <v>19</v>
      </c>
      <c r="K21" s="46">
        <f t="shared" si="3"/>
        <v>0</v>
      </c>
      <c r="L21" s="46">
        <f t="shared" si="4"/>
        <v>0</v>
      </c>
      <c r="M21" s="46">
        <f t="shared" si="5"/>
        <v>68.421052631578945</v>
      </c>
      <c r="N21" s="67">
        <f t="shared" si="2"/>
        <v>68.421052631578945</v>
      </c>
      <c r="O21" s="45"/>
      <c r="P21" s="46"/>
      <c r="Q21" s="46">
        <v>65.900000000000006</v>
      </c>
      <c r="R21" s="47">
        <f t="shared" si="1"/>
        <v>65.900000000000006</v>
      </c>
      <c r="S21" s="28">
        <v>2</v>
      </c>
      <c r="T21" s="284"/>
      <c r="U21" s="293"/>
      <c r="V21" s="37" t="s">
        <v>938</v>
      </c>
      <c r="W21" s="28" t="s">
        <v>96</v>
      </c>
      <c r="X21" s="28" t="s">
        <v>12</v>
      </c>
      <c r="Y21" s="38">
        <v>37.200000000000003</v>
      </c>
      <c r="Z21" s="28" t="s">
        <v>937</v>
      </c>
      <c r="AA21" s="28" t="s">
        <v>869</v>
      </c>
      <c r="AB21" s="28" t="s">
        <v>12</v>
      </c>
      <c r="AC21" s="28">
        <v>28.7</v>
      </c>
      <c r="AD21" s="37"/>
      <c r="AG21" s="38"/>
      <c r="AL21" s="37"/>
      <c r="AO21" s="38"/>
      <c r="AP21" s="37"/>
      <c r="AS21" s="38"/>
      <c r="AW21" s="38"/>
      <c r="BA21" s="39"/>
    </row>
    <row r="22" spans="1:53" s="170" customFormat="1" x14ac:dyDescent="0.15">
      <c r="A22" s="170">
        <v>1997</v>
      </c>
      <c r="B22" s="281">
        <v>35734</v>
      </c>
      <c r="C22" s="395" t="s">
        <v>1152</v>
      </c>
      <c r="D22" s="395"/>
      <c r="E22" s="170">
        <v>62</v>
      </c>
      <c r="F22" s="170">
        <v>1</v>
      </c>
      <c r="G22" s="232">
        <v>22</v>
      </c>
      <c r="J22" s="240">
        <v>23</v>
      </c>
      <c r="K22" s="213">
        <f t="shared" si="3"/>
        <v>95.652173913043484</v>
      </c>
      <c r="L22" s="213">
        <f t="shared" si="4"/>
        <v>0</v>
      </c>
      <c r="M22" s="213">
        <f t="shared" si="5"/>
        <v>0</v>
      </c>
      <c r="N22" s="234">
        <f t="shared" si="2"/>
        <v>95.652173913043484</v>
      </c>
      <c r="O22" s="212">
        <v>56.7</v>
      </c>
      <c r="P22" s="213"/>
      <c r="Q22" s="213"/>
      <c r="R22" s="214">
        <f t="shared" si="1"/>
        <v>56.7</v>
      </c>
      <c r="S22" s="170">
        <v>2</v>
      </c>
      <c r="T22" s="283">
        <v>35694</v>
      </c>
      <c r="U22" s="281">
        <v>35734</v>
      </c>
      <c r="V22" s="177" t="s">
        <v>942</v>
      </c>
      <c r="W22" s="170" t="s">
        <v>325</v>
      </c>
      <c r="X22" s="170" t="s">
        <v>11</v>
      </c>
      <c r="Y22" s="178">
        <v>43.7</v>
      </c>
      <c r="Z22" s="170" t="s">
        <v>943</v>
      </c>
      <c r="AA22" s="170" t="s">
        <v>106</v>
      </c>
      <c r="AB22" s="170" t="s">
        <v>11</v>
      </c>
      <c r="AC22" s="170">
        <v>13</v>
      </c>
      <c r="AD22" s="177"/>
      <c r="AG22" s="178"/>
      <c r="AL22" s="177"/>
      <c r="AO22" s="178"/>
      <c r="AP22" s="177"/>
      <c r="AS22" s="178"/>
      <c r="AW22" s="178"/>
      <c r="BA22" s="179"/>
    </row>
    <row r="23" spans="1:53" s="170" customFormat="1" x14ac:dyDescent="0.15">
      <c r="A23" s="170">
        <v>1998</v>
      </c>
      <c r="B23" s="281"/>
      <c r="C23" s="395" t="s">
        <v>1152</v>
      </c>
      <c r="D23" s="395"/>
      <c r="E23" s="170">
        <v>207</v>
      </c>
      <c r="G23" s="232">
        <v>22</v>
      </c>
      <c r="J23" s="240">
        <v>23</v>
      </c>
      <c r="K23" s="213">
        <f t="shared" si="3"/>
        <v>95.652173913043484</v>
      </c>
      <c r="L23" s="213">
        <f t="shared" si="4"/>
        <v>0</v>
      </c>
      <c r="M23" s="213">
        <f t="shared" si="5"/>
        <v>0</v>
      </c>
      <c r="N23" s="234">
        <f t="shared" si="2"/>
        <v>95.652173913043484</v>
      </c>
      <c r="O23" s="212">
        <v>56.7</v>
      </c>
      <c r="P23" s="213"/>
      <c r="Q23" s="213"/>
      <c r="R23" s="214">
        <f t="shared" si="1"/>
        <v>56.7</v>
      </c>
      <c r="S23" s="170">
        <v>2</v>
      </c>
      <c r="T23" s="283"/>
      <c r="U23" s="281"/>
      <c r="V23" s="177" t="s">
        <v>942</v>
      </c>
      <c r="W23" s="170" t="s">
        <v>325</v>
      </c>
      <c r="X23" s="170" t="s">
        <v>11</v>
      </c>
      <c r="Y23" s="178">
        <v>43.7</v>
      </c>
      <c r="Z23" s="170" t="s">
        <v>943</v>
      </c>
      <c r="AA23" s="170" t="s">
        <v>106</v>
      </c>
      <c r="AB23" s="170" t="s">
        <v>11</v>
      </c>
      <c r="AC23" s="170">
        <v>13</v>
      </c>
      <c r="AD23" s="177"/>
      <c r="AG23" s="178"/>
      <c r="AL23" s="177"/>
      <c r="AO23" s="178"/>
      <c r="AP23" s="177"/>
      <c r="AS23" s="178"/>
      <c r="AW23" s="178"/>
      <c r="BA23" s="179"/>
    </row>
    <row r="24" spans="1:53" s="170" customFormat="1" x14ac:dyDescent="0.15">
      <c r="A24" s="170">
        <v>1998</v>
      </c>
      <c r="B24" s="308">
        <v>36003</v>
      </c>
      <c r="C24" s="395" t="s">
        <v>1152</v>
      </c>
      <c r="D24" s="395"/>
      <c r="E24" s="170">
        <v>122</v>
      </c>
      <c r="F24" s="251">
        <v>0</v>
      </c>
      <c r="G24" s="232">
        <v>21</v>
      </c>
      <c r="J24" s="240">
        <v>22</v>
      </c>
      <c r="K24" s="213">
        <f t="shared" si="3"/>
        <v>95.454545454545453</v>
      </c>
      <c r="L24" s="213">
        <f t="shared" si="4"/>
        <v>0</v>
      </c>
      <c r="M24" s="213">
        <f t="shared" si="5"/>
        <v>0</v>
      </c>
      <c r="N24" s="234">
        <f t="shared" si="2"/>
        <v>95.454545454545453</v>
      </c>
      <c r="O24" s="212">
        <v>56.7</v>
      </c>
      <c r="P24" s="213"/>
      <c r="Q24" s="213"/>
      <c r="R24" s="214">
        <f t="shared" si="1"/>
        <v>56.7</v>
      </c>
      <c r="S24" s="170">
        <v>2</v>
      </c>
      <c r="T24" s="283"/>
      <c r="U24" s="281"/>
      <c r="V24" s="177" t="s">
        <v>942</v>
      </c>
      <c r="W24" s="170" t="s">
        <v>325</v>
      </c>
      <c r="X24" s="170" t="s">
        <v>11</v>
      </c>
      <c r="Y24" s="178">
        <v>43.7</v>
      </c>
      <c r="Z24" s="170" t="s">
        <v>943</v>
      </c>
      <c r="AA24" s="170" t="s">
        <v>106</v>
      </c>
      <c r="AB24" s="170" t="s">
        <v>11</v>
      </c>
      <c r="AC24" s="170">
        <v>13</v>
      </c>
      <c r="AD24" s="177"/>
      <c r="AG24" s="178"/>
      <c r="AL24" s="177"/>
      <c r="AO24" s="178"/>
      <c r="AP24" s="177"/>
      <c r="AS24" s="178"/>
      <c r="AW24" s="178"/>
      <c r="BA24" s="179"/>
    </row>
    <row r="25" spans="1:53" s="170" customFormat="1" x14ac:dyDescent="0.15">
      <c r="A25" s="170">
        <v>1998</v>
      </c>
      <c r="B25" s="308">
        <v>36125</v>
      </c>
      <c r="C25" s="395" t="s">
        <v>1152</v>
      </c>
      <c r="D25" s="395"/>
      <c r="E25" s="170">
        <f xml:space="preserve"> 365-E24-E23</f>
        <v>36</v>
      </c>
      <c r="F25" s="251">
        <v>0</v>
      </c>
      <c r="G25" s="232">
        <v>22</v>
      </c>
      <c r="J25" s="240">
        <v>22</v>
      </c>
      <c r="K25" s="213">
        <f t="shared" si="3"/>
        <v>100</v>
      </c>
      <c r="L25" s="213">
        <f t="shared" si="4"/>
        <v>0</v>
      </c>
      <c r="M25" s="213">
        <f t="shared" si="5"/>
        <v>0</v>
      </c>
      <c r="N25" s="234">
        <f t="shared" si="2"/>
        <v>100</v>
      </c>
      <c r="O25" s="212">
        <v>56.7</v>
      </c>
      <c r="P25" s="213"/>
      <c r="Q25" s="213"/>
      <c r="R25" s="214">
        <f t="shared" si="1"/>
        <v>56.7</v>
      </c>
      <c r="S25" s="170">
        <v>2</v>
      </c>
      <c r="T25" s="283"/>
      <c r="U25" s="281"/>
      <c r="V25" s="177" t="s">
        <v>942</v>
      </c>
      <c r="W25" s="170" t="s">
        <v>325</v>
      </c>
      <c r="X25" s="170" t="s">
        <v>11</v>
      </c>
      <c r="Y25" s="178">
        <v>43.7</v>
      </c>
      <c r="Z25" s="170" t="s">
        <v>943</v>
      </c>
      <c r="AA25" s="170" t="s">
        <v>106</v>
      </c>
      <c r="AB25" s="170" t="s">
        <v>11</v>
      </c>
      <c r="AC25" s="170">
        <v>13</v>
      </c>
      <c r="AD25" s="177"/>
      <c r="AG25" s="178"/>
      <c r="AL25" s="177"/>
      <c r="AO25" s="178"/>
      <c r="AP25" s="177"/>
      <c r="AS25" s="178"/>
      <c r="AW25" s="178"/>
      <c r="BA25" s="179"/>
    </row>
    <row r="26" spans="1:53" s="170" customFormat="1" x14ac:dyDescent="0.15">
      <c r="A26" s="170">
        <v>1999</v>
      </c>
      <c r="B26" s="308"/>
      <c r="C26" s="395" t="s">
        <v>1152</v>
      </c>
      <c r="D26" s="395"/>
      <c r="E26" s="170">
        <v>84</v>
      </c>
      <c r="F26" s="251"/>
      <c r="G26" s="232">
        <v>22</v>
      </c>
      <c r="J26" s="240">
        <v>22</v>
      </c>
      <c r="K26" s="213">
        <f t="shared" si="3"/>
        <v>100</v>
      </c>
      <c r="L26" s="213">
        <f t="shared" si="4"/>
        <v>0</v>
      </c>
      <c r="M26" s="213">
        <f t="shared" si="5"/>
        <v>0</v>
      </c>
      <c r="N26" s="234">
        <f t="shared" si="2"/>
        <v>100</v>
      </c>
      <c r="O26" s="212">
        <v>56.7</v>
      </c>
      <c r="P26" s="213"/>
      <c r="Q26" s="213"/>
      <c r="R26" s="214">
        <f t="shared" si="1"/>
        <v>56.7</v>
      </c>
      <c r="S26" s="170">
        <v>2</v>
      </c>
      <c r="T26" s="283"/>
      <c r="U26" s="281"/>
      <c r="V26" s="177" t="s">
        <v>942</v>
      </c>
      <c r="W26" s="170" t="s">
        <v>325</v>
      </c>
      <c r="X26" s="170" t="s">
        <v>11</v>
      </c>
      <c r="Y26" s="178">
        <v>43.7</v>
      </c>
      <c r="Z26" s="170" t="s">
        <v>943</v>
      </c>
      <c r="AA26" s="170" t="s">
        <v>106</v>
      </c>
      <c r="AB26" s="170" t="s">
        <v>11</v>
      </c>
      <c r="AC26" s="170">
        <v>13</v>
      </c>
      <c r="AD26" s="177"/>
      <c r="AG26" s="178"/>
      <c r="AL26" s="177"/>
      <c r="AO26" s="178"/>
      <c r="AP26" s="177"/>
      <c r="AS26" s="178"/>
      <c r="AW26" s="178"/>
      <c r="BA26" s="179"/>
    </row>
    <row r="27" spans="1:53" s="170" customFormat="1" x14ac:dyDescent="0.15">
      <c r="A27" s="170">
        <v>1999</v>
      </c>
      <c r="B27" s="308">
        <v>36245</v>
      </c>
      <c r="C27" s="395" t="s">
        <v>1152</v>
      </c>
      <c r="D27" s="395"/>
      <c r="E27" s="170">
        <v>281</v>
      </c>
      <c r="F27" s="251">
        <v>0</v>
      </c>
      <c r="G27" s="232">
        <v>19</v>
      </c>
      <c r="J27" s="240">
        <v>19</v>
      </c>
      <c r="K27" s="213">
        <f t="shared" si="3"/>
        <v>100</v>
      </c>
      <c r="L27" s="213">
        <f t="shared" si="4"/>
        <v>0</v>
      </c>
      <c r="M27" s="213">
        <f t="shared" si="5"/>
        <v>0</v>
      </c>
      <c r="N27" s="234">
        <f t="shared" si="2"/>
        <v>100</v>
      </c>
      <c r="O27" s="212">
        <v>56.7</v>
      </c>
      <c r="P27" s="213"/>
      <c r="Q27" s="213"/>
      <c r="R27" s="214">
        <f t="shared" si="1"/>
        <v>56.7</v>
      </c>
      <c r="S27" s="170">
        <v>2</v>
      </c>
      <c r="T27" s="283"/>
      <c r="U27" s="281"/>
      <c r="V27" s="177" t="s">
        <v>942</v>
      </c>
      <c r="W27" s="170" t="s">
        <v>325</v>
      </c>
      <c r="X27" s="170" t="s">
        <v>11</v>
      </c>
      <c r="Y27" s="178">
        <v>43.7</v>
      </c>
      <c r="Z27" s="170" t="s">
        <v>943</v>
      </c>
      <c r="AA27" s="170" t="s">
        <v>106</v>
      </c>
      <c r="AB27" s="170" t="s">
        <v>11</v>
      </c>
      <c r="AC27" s="170">
        <v>13</v>
      </c>
      <c r="AD27" s="177"/>
      <c r="AG27" s="178"/>
      <c r="AL27" s="177"/>
      <c r="AO27" s="178"/>
      <c r="AP27" s="177"/>
      <c r="AS27" s="178"/>
      <c r="AW27" s="178"/>
      <c r="BA27" s="179"/>
    </row>
    <row r="28" spans="1:53" s="170" customFormat="1" x14ac:dyDescent="0.15">
      <c r="A28" s="170">
        <v>2000</v>
      </c>
      <c r="B28" s="308"/>
      <c r="C28" s="395" t="s">
        <v>1152</v>
      </c>
      <c r="D28" s="395"/>
      <c r="E28" s="170">
        <v>163</v>
      </c>
      <c r="F28" s="251"/>
      <c r="G28" s="232">
        <v>19</v>
      </c>
      <c r="J28" s="240">
        <v>19</v>
      </c>
      <c r="K28" s="213">
        <f t="shared" si="3"/>
        <v>100</v>
      </c>
      <c r="L28" s="213">
        <f t="shared" si="4"/>
        <v>0</v>
      </c>
      <c r="M28" s="213">
        <f t="shared" si="5"/>
        <v>0</v>
      </c>
      <c r="N28" s="234">
        <f t="shared" si="2"/>
        <v>100</v>
      </c>
      <c r="O28" s="212">
        <v>56.7</v>
      </c>
      <c r="P28" s="213"/>
      <c r="Q28" s="213"/>
      <c r="R28" s="214">
        <f t="shared" si="1"/>
        <v>56.7</v>
      </c>
      <c r="S28" s="170">
        <v>2</v>
      </c>
      <c r="T28" s="283"/>
      <c r="U28" s="281"/>
      <c r="V28" s="177" t="s">
        <v>942</v>
      </c>
      <c r="W28" s="170" t="s">
        <v>325</v>
      </c>
      <c r="X28" s="170" t="s">
        <v>11</v>
      </c>
      <c r="Y28" s="178">
        <v>43.7</v>
      </c>
      <c r="Z28" s="170" t="s">
        <v>943</v>
      </c>
      <c r="AA28" s="170" t="s">
        <v>106</v>
      </c>
      <c r="AB28" s="170" t="s">
        <v>11</v>
      </c>
      <c r="AC28" s="170">
        <v>13</v>
      </c>
      <c r="AD28" s="177"/>
      <c r="AG28" s="178"/>
      <c r="AL28" s="177"/>
      <c r="AO28" s="178"/>
      <c r="AP28" s="177"/>
      <c r="AS28" s="178"/>
      <c r="AW28" s="178"/>
      <c r="BA28" s="179"/>
    </row>
    <row r="29" spans="1:53" s="170" customFormat="1" x14ac:dyDescent="0.15">
      <c r="A29" s="170">
        <v>2000</v>
      </c>
      <c r="B29" s="308">
        <v>36689</v>
      </c>
      <c r="C29" s="395" t="s">
        <v>1152</v>
      </c>
      <c r="D29" s="395"/>
      <c r="E29" s="170">
        <v>17</v>
      </c>
      <c r="F29" s="251">
        <v>0</v>
      </c>
      <c r="G29" s="232">
        <v>17</v>
      </c>
      <c r="J29" s="240">
        <v>19</v>
      </c>
      <c r="K29" s="213">
        <f t="shared" si="3"/>
        <v>89.473684210526315</v>
      </c>
      <c r="L29" s="213">
        <f t="shared" si="4"/>
        <v>0</v>
      </c>
      <c r="M29" s="213">
        <f t="shared" si="5"/>
        <v>0</v>
      </c>
      <c r="N29" s="234">
        <f t="shared" si="2"/>
        <v>89.473684210526315</v>
      </c>
      <c r="O29" s="212">
        <v>56.7</v>
      </c>
      <c r="P29" s="213"/>
      <c r="Q29" s="213"/>
      <c r="R29" s="214">
        <f t="shared" si="1"/>
        <v>56.7</v>
      </c>
      <c r="S29" s="170">
        <v>2</v>
      </c>
      <c r="T29" s="283"/>
      <c r="U29" s="281"/>
      <c r="V29" s="177" t="s">
        <v>942</v>
      </c>
      <c r="W29" s="170" t="s">
        <v>325</v>
      </c>
      <c r="X29" s="170" t="s">
        <v>11</v>
      </c>
      <c r="Y29" s="178">
        <v>43.7</v>
      </c>
      <c r="Z29" s="170" t="s">
        <v>943</v>
      </c>
      <c r="AA29" s="170" t="s">
        <v>106</v>
      </c>
      <c r="AB29" s="170" t="s">
        <v>11</v>
      </c>
      <c r="AC29" s="170">
        <v>13</v>
      </c>
      <c r="AD29" s="177"/>
      <c r="AG29" s="178"/>
      <c r="AL29" s="177"/>
      <c r="AO29" s="178"/>
      <c r="AP29" s="177"/>
      <c r="AS29" s="178"/>
      <c r="AW29" s="178"/>
      <c r="BA29" s="179"/>
    </row>
    <row r="30" spans="1:53" s="28" customFormat="1" x14ac:dyDescent="0.15">
      <c r="A30" s="28">
        <v>2000</v>
      </c>
      <c r="B30" s="293">
        <v>36706</v>
      </c>
      <c r="C30" s="394" t="s">
        <v>1153</v>
      </c>
      <c r="D30" s="394"/>
      <c r="E30" s="28">
        <v>48</v>
      </c>
      <c r="F30" s="28">
        <v>4</v>
      </c>
      <c r="G30" s="65">
        <v>16</v>
      </c>
      <c r="J30" s="72">
        <v>19</v>
      </c>
      <c r="K30" s="46">
        <f>G30/J30*100</f>
        <v>84.210526315789465</v>
      </c>
      <c r="L30" s="46">
        <f>H30/J30*100</f>
        <v>0</v>
      </c>
      <c r="M30" s="46">
        <f>I30/J30*100</f>
        <v>0</v>
      </c>
      <c r="N30" s="67">
        <f>SUM(K30:M30)</f>
        <v>84.210526315789465</v>
      </c>
      <c r="O30" s="45">
        <v>43.7</v>
      </c>
      <c r="P30" s="46"/>
      <c r="Q30" s="46"/>
      <c r="R30" s="47">
        <f>SUM(O30:Q30)</f>
        <v>43.7</v>
      </c>
      <c r="S30" s="28">
        <v>4</v>
      </c>
      <c r="T30" s="284"/>
      <c r="U30" s="293">
        <v>36706</v>
      </c>
      <c r="V30" s="37" t="s">
        <v>942</v>
      </c>
      <c r="W30" s="28" t="s">
        <v>325</v>
      </c>
      <c r="X30" s="28" t="s">
        <v>11</v>
      </c>
      <c r="Y30" s="38">
        <v>43.7</v>
      </c>
      <c r="AD30" s="37"/>
      <c r="AG30" s="38"/>
      <c r="AL30" s="37"/>
      <c r="AO30" s="38"/>
      <c r="AP30" s="37"/>
      <c r="AS30" s="38"/>
      <c r="AW30" s="38"/>
      <c r="BA30" s="39"/>
    </row>
    <row r="31" spans="1:53" s="28" customFormat="1" x14ac:dyDescent="0.15">
      <c r="A31" s="28">
        <v>2000</v>
      </c>
      <c r="B31" s="305">
        <v>36754</v>
      </c>
      <c r="C31" s="394" t="s">
        <v>1153</v>
      </c>
      <c r="D31" s="394"/>
      <c r="E31" s="28">
        <v>138</v>
      </c>
      <c r="F31" s="120">
        <v>0</v>
      </c>
      <c r="G31" s="65">
        <v>15</v>
      </c>
      <c r="J31" s="72">
        <v>19</v>
      </c>
      <c r="K31" s="46">
        <f t="shared" si="3"/>
        <v>78.94736842105263</v>
      </c>
      <c r="L31" s="46">
        <f t="shared" si="4"/>
        <v>0</v>
      </c>
      <c r="M31" s="46">
        <f t="shared" si="5"/>
        <v>0</v>
      </c>
      <c r="N31" s="67">
        <f t="shared" si="2"/>
        <v>78.94736842105263</v>
      </c>
      <c r="O31" s="45">
        <v>43.7</v>
      </c>
      <c r="P31" s="46"/>
      <c r="Q31" s="46"/>
      <c r="R31" s="47">
        <f t="shared" si="1"/>
        <v>43.7</v>
      </c>
      <c r="S31" s="28">
        <v>4</v>
      </c>
      <c r="T31" s="284"/>
      <c r="U31" s="293"/>
      <c r="V31" s="37" t="s">
        <v>942</v>
      </c>
      <c r="W31" s="28" t="s">
        <v>325</v>
      </c>
      <c r="X31" s="28" t="s">
        <v>11</v>
      </c>
      <c r="Y31" s="38">
        <v>43.7</v>
      </c>
      <c r="AD31" s="37"/>
      <c r="AG31" s="38"/>
      <c r="AL31" s="37"/>
      <c r="AO31" s="38"/>
      <c r="AP31" s="37"/>
      <c r="AS31" s="38"/>
      <c r="AW31" s="38"/>
      <c r="BA31" s="39"/>
    </row>
    <row r="32" spans="1:53" s="28" customFormat="1" x14ac:dyDescent="0.15">
      <c r="A32" s="28">
        <v>2001</v>
      </c>
      <c r="B32" s="305"/>
      <c r="C32" s="394" t="s">
        <v>1153</v>
      </c>
      <c r="D32" s="394"/>
      <c r="E32" s="28">
        <v>58</v>
      </c>
      <c r="F32" s="120"/>
      <c r="G32" s="65">
        <v>15</v>
      </c>
      <c r="J32" s="72">
        <v>19</v>
      </c>
      <c r="K32" s="46">
        <f t="shared" si="3"/>
        <v>78.94736842105263</v>
      </c>
      <c r="L32" s="46">
        <f t="shared" si="4"/>
        <v>0</v>
      </c>
      <c r="M32" s="46">
        <f t="shared" si="5"/>
        <v>0</v>
      </c>
      <c r="N32" s="67">
        <f t="shared" si="2"/>
        <v>78.94736842105263</v>
      </c>
      <c r="O32" s="45">
        <v>43.7</v>
      </c>
      <c r="P32" s="46"/>
      <c r="Q32" s="46"/>
      <c r="R32" s="47">
        <f t="shared" si="1"/>
        <v>43.7</v>
      </c>
      <c r="S32" s="28">
        <v>4</v>
      </c>
      <c r="T32" s="284"/>
      <c r="U32" s="293"/>
      <c r="V32" s="37" t="s">
        <v>942</v>
      </c>
      <c r="W32" s="28" t="s">
        <v>325</v>
      </c>
      <c r="X32" s="28" t="s">
        <v>11</v>
      </c>
      <c r="Y32" s="38">
        <v>43.7</v>
      </c>
      <c r="AD32" s="37"/>
      <c r="AG32" s="38"/>
      <c r="AL32" s="37"/>
      <c r="AO32" s="38"/>
      <c r="AP32" s="37"/>
      <c r="AS32" s="38"/>
      <c r="AW32" s="38"/>
      <c r="BA32" s="39"/>
    </row>
    <row r="33" spans="1:53" s="28" customFormat="1" x14ac:dyDescent="0.15">
      <c r="A33" s="28">
        <v>2001</v>
      </c>
      <c r="B33" s="305">
        <v>36950</v>
      </c>
      <c r="C33" s="394" t="s">
        <v>1153</v>
      </c>
      <c r="D33" s="394"/>
      <c r="E33" s="28">
        <v>127</v>
      </c>
      <c r="F33" s="120">
        <v>0</v>
      </c>
      <c r="G33" s="65">
        <v>14</v>
      </c>
      <c r="J33" s="72">
        <v>19</v>
      </c>
      <c r="K33" s="46">
        <f t="shared" si="3"/>
        <v>73.68421052631578</v>
      </c>
      <c r="L33" s="46">
        <f t="shared" si="4"/>
        <v>0</v>
      </c>
      <c r="M33" s="46">
        <f t="shared" si="5"/>
        <v>0</v>
      </c>
      <c r="N33" s="67">
        <f t="shared" si="2"/>
        <v>73.68421052631578</v>
      </c>
      <c r="O33" s="45">
        <v>43.7</v>
      </c>
      <c r="P33" s="46"/>
      <c r="Q33" s="46"/>
      <c r="R33" s="47">
        <f t="shared" si="1"/>
        <v>43.7</v>
      </c>
      <c r="S33" s="28">
        <v>4</v>
      </c>
      <c r="T33" s="284"/>
      <c r="U33" s="293"/>
      <c r="V33" s="37" t="s">
        <v>942</v>
      </c>
      <c r="W33" s="28" t="s">
        <v>325</v>
      </c>
      <c r="X33" s="28" t="s">
        <v>11</v>
      </c>
      <c r="Y33" s="38">
        <v>43.7</v>
      </c>
      <c r="AD33" s="37"/>
      <c r="AG33" s="38"/>
      <c r="AL33" s="37"/>
      <c r="AO33" s="38"/>
      <c r="AP33" s="37"/>
      <c r="AS33" s="38"/>
      <c r="AW33" s="38"/>
      <c r="BA33" s="39"/>
    </row>
    <row r="34" spans="1:53" s="28" customFormat="1" x14ac:dyDescent="0.15">
      <c r="A34" s="28">
        <v>2001</v>
      </c>
      <c r="B34" s="305">
        <v>37077</v>
      </c>
      <c r="C34" s="394" t="s">
        <v>1153</v>
      </c>
      <c r="D34" s="394"/>
      <c r="E34" s="28">
        <v>106</v>
      </c>
      <c r="F34" s="120">
        <v>0</v>
      </c>
      <c r="G34" s="65">
        <v>15</v>
      </c>
      <c r="J34" s="72">
        <v>19</v>
      </c>
      <c r="K34" s="46">
        <f t="shared" si="3"/>
        <v>78.94736842105263</v>
      </c>
      <c r="L34" s="46">
        <f t="shared" si="4"/>
        <v>0</v>
      </c>
      <c r="M34" s="46">
        <f t="shared" si="5"/>
        <v>0</v>
      </c>
      <c r="N34" s="67">
        <f t="shared" si="2"/>
        <v>78.94736842105263</v>
      </c>
      <c r="O34" s="45">
        <v>43.7</v>
      </c>
      <c r="P34" s="46"/>
      <c r="Q34" s="46"/>
      <c r="R34" s="47">
        <f t="shared" si="1"/>
        <v>43.7</v>
      </c>
      <c r="S34" s="28">
        <v>4</v>
      </c>
      <c r="T34" s="284"/>
      <c r="U34" s="293"/>
      <c r="V34" s="37" t="s">
        <v>942</v>
      </c>
      <c r="W34" s="28" t="s">
        <v>325</v>
      </c>
      <c r="X34" s="28" t="s">
        <v>11</v>
      </c>
      <c r="Y34" s="38">
        <v>43.7</v>
      </c>
      <c r="AD34" s="37"/>
      <c r="AG34" s="38"/>
      <c r="AL34" s="37"/>
      <c r="AO34" s="38"/>
      <c r="AP34" s="37"/>
      <c r="AS34" s="38"/>
      <c r="AW34" s="38"/>
      <c r="BA34" s="39"/>
    </row>
    <row r="35" spans="1:53" s="170" customFormat="1" x14ac:dyDescent="0.15">
      <c r="A35" s="170">
        <v>2001</v>
      </c>
      <c r="B35" s="281">
        <v>37183</v>
      </c>
      <c r="C35" s="395" t="s">
        <v>944</v>
      </c>
      <c r="D35" s="395"/>
      <c r="E35" s="170">
        <f xml:space="preserve"> 365-E34-E33-E32</f>
        <v>74</v>
      </c>
      <c r="F35" s="170">
        <v>1</v>
      </c>
      <c r="G35" s="232"/>
      <c r="I35" s="170">
        <v>13</v>
      </c>
      <c r="J35" s="240">
        <v>15</v>
      </c>
      <c r="K35" s="213">
        <f t="shared" si="3"/>
        <v>0</v>
      </c>
      <c r="L35" s="213">
        <f t="shared" si="4"/>
        <v>0</v>
      </c>
      <c r="M35" s="213">
        <f t="shared" si="5"/>
        <v>86.666666666666671</v>
      </c>
      <c r="N35" s="234">
        <f t="shared" si="2"/>
        <v>86.666666666666671</v>
      </c>
      <c r="O35" s="212"/>
      <c r="P35" s="213"/>
      <c r="Q35" s="213">
        <v>56.1</v>
      </c>
      <c r="R35" s="214">
        <f t="shared" si="1"/>
        <v>56.1</v>
      </c>
      <c r="S35" s="170">
        <v>3</v>
      </c>
      <c r="T35" s="283">
        <v>37157</v>
      </c>
      <c r="U35" s="281">
        <v>37183</v>
      </c>
      <c r="V35" s="177" t="s">
        <v>938</v>
      </c>
      <c r="W35" s="170" t="s">
        <v>96</v>
      </c>
      <c r="X35" s="170" t="s">
        <v>12</v>
      </c>
      <c r="Y35" s="178">
        <v>43.5</v>
      </c>
      <c r="Z35" s="170" t="s">
        <v>945</v>
      </c>
      <c r="AA35" s="170" t="s">
        <v>304</v>
      </c>
      <c r="AB35" s="170" t="s">
        <v>12</v>
      </c>
      <c r="AC35" s="170">
        <v>3.5</v>
      </c>
      <c r="AD35" s="177" t="s">
        <v>937</v>
      </c>
      <c r="AE35" s="170" t="s">
        <v>869</v>
      </c>
      <c r="AF35" s="170" t="s">
        <v>12</v>
      </c>
      <c r="AG35" s="178">
        <v>9.1</v>
      </c>
      <c r="AL35" s="177"/>
      <c r="AO35" s="178"/>
      <c r="AP35" s="177"/>
      <c r="AS35" s="178"/>
      <c r="AW35" s="178"/>
      <c r="BA35" s="179"/>
    </row>
    <row r="36" spans="1:53" s="170" customFormat="1" x14ac:dyDescent="0.15">
      <c r="A36" s="170">
        <v>2002</v>
      </c>
      <c r="B36" s="281"/>
      <c r="C36" s="395" t="s">
        <v>944</v>
      </c>
      <c r="D36" s="395"/>
      <c r="E36" s="170">
        <v>0</v>
      </c>
      <c r="G36" s="232"/>
      <c r="I36" s="170">
        <v>13</v>
      </c>
      <c r="J36" s="240">
        <v>15</v>
      </c>
      <c r="K36" s="213">
        <f t="shared" si="3"/>
        <v>0</v>
      </c>
      <c r="L36" s="213">
        <f t="shared" si="4"/>
        <v>0</v>
      </c>
      <c r="M36" s="213">
        <f t="shared" si="5"/>
        <v>86.666666666666671</v>
      </c>
      <c r="N36" s="234">
        <f t="shared" si="2"/>
        <v>86.666666666666671</v>
      </c>
      <c r="O36" s="212"/>
      <c r="P36" s="213"/>
      <c r="Q36" s="213">
        <v>56.1</v>
      </c>
      <c r="R36" s="214">
        <f t="shared" si="1"/>
        <v>56.1</v>
      </c>
      <c r="S36" s="170">
        <v>3</v>
      </c>
      <c r="T36" s="283"/>
      <c r="U36" s="281"/>
      <c r="V36" s="177" t="s">
        <v>938</v>
      </c>
      <c r="W36" s="170" t="s">
        <v>96</v>
      </c>
      <c r="X36" s="170" t="s">
        <v>12</v>
      </c>
      <c r="Y36" s="178">
        <v>43.5</v>
      </c>
      <c r="Z36" s="170" t="s">
        <v>945</v>
      </c>
      <c r="AA36" s="170" t="s">
        <v>304</v>
      </c>
      <c r="AB36" s="170" t="s">
        <v>12</v>
      </c>
      <c r="AC36" s="170">
        <v>3.5</v>
      </c>
      <c r="AD36" s="177" t="s">
        <v>937</v>
      </c>
      <c r="AE36" s="170" t="s">
        <v>869</v>
      </c>
      <c r="AF36" s="170" t="s">
        <v>12</v>
      </c>
      <c r="AG36" s="178">
        <v>9.1</v>
      </c>
      <c r="AL36" s="177"/>
      <c r="AO36" s="178"/>
      <c r="AP36" s="177"/>
      <c r="AS36" s="178"/>
      <c r="AW36" s="178"/>
      <c r="BA36" s="179"/>
    </row>
    <row r="37" spans="1:53" s="170" customFormat="1" x14ac:dyDescent="0.15">
      <c r="A37" s="170">
        <v>2002</v>
      </c>
      <c r="B37" s="281"/>
      <c r="C37" s="395" t="s">
        <v>944</v>
      </c>
      <c r="D37" s="395"/>
      <c r="E37" s="170">
        <v>365</v>
      </c>
      <c r="G37" s="232"/>
      <c r="I37" s="170">
        <v>13</v>
      </c>
      <c r="J37" s="240">
        <v>15</v>
      </c>
      <c r="K37" s="213">
        <f t="shared" si="3"/>
        <v>0</v>
      </c>
      <c r="L37" s="213">
        <f t="shared" si="4"/>
        <v>0</v>
      </c>
      <c r="M37" s="213">
        <f t="shared" si="5"/>
        <v>86.666666666666671</v>
      </c>
      <c r="N37" s="234">
        <f t="shared" si="2"/>
        <v>86.666666666666671</v>
      </c>
      <c r="O37" s="212"/>
      <c r="P37" s="213"/>
      <c r="Q37" s="213">
        <v>56.1</v>
      </c>
      <c r="R37" s="214">
        <f t="shared" si="1"/>
        <v>56.1</v>
      </c>
      <c r="S37" s="170">
        <v>3</v>
      </c>
      <c r="T37" s="283"/>
      <c r="U37" s="281"/>
      <c r="V37" s="177" t="s">
        <v>938</v>
      </c>
      <c r="W37" s="170" t="s">
        <v>96</v>
      </c>
      <c r="X37" s="170" t="s">
        <v>12</v>
      </c>
      <c r="Y37" s="178">
        <v>43.5</v>
      </c>
      <c r="Z37" s="170" t="s">
        <v>945</v>
      </c>
      <c r="AA37" s="170" t="s">
        <v>304</v>
      </c>
      <c r="AB37" s="170" t="s">
        <v>12</v>
      </c>
      <c r="AC37" s="170">
        <v>3.5</v>
      </c>
      <c r="AD37" s="177" t="s">
        <v>937</v>
      </c>
      <c r="AE37" s="170" t="s">
        <v>869</v>
      </c>
      <c r="AF37" s="170" t="s">
        <v>12</v>
      </c>
      <c r="AG37" s="178">
        <v>9.1</v>
      </c>
      <c r="AL37" s="177"/>
      <c r="AO37" s="178"/>
      <c r="AP37" s="177"/>
      <c r="AS37" s="178"/>
      <c r="AW37" s="178"/>
      <c r="BA37" s="179"/>
    </row>
    <row r="38" spans="1:53" s="170" customFormat="1" x14ac:dyDescent="0.15">
      <c r="A38" s="170">
        <v>2003</v>
      </c>
      <c r="B38" s="281"/>
      <c r="C38" s="395" t="s">
        <v>944</v>
      </c>
      <c r="D38" s="395"/>
      <c r="E38" s="170">
        <v>6</v>
      </c>
      <c r="G38" s="232"/>
      <c r="I38" s="170">
        <v>13</v>
      </c>
      <c r="J38" s="240">
        <v>15</v>
      </c>
      <c r="K38" s="213">
        <f t="shared" si="3"/>
        <v>0</v>
      </c>
      <c r="L38" s="213">
        <f t="shared" si="4"/>
        <v>0</v>
      </c>
      <c r="M38" s="213">
        <f t="shared" si="5"/>
        <v>86.666666666666671</v>
      </c>
      <c r="N38" s="234">
        <f t="shared" si="2"/>
        <v>86.666666666666671</v>
      </c>
      <c r="O38" s="212"/>
      <c r="P38" s="213"/>
      <c r="Q38" s="213">
        <v>56.1</v>
      </c>
      <c r="R38" s="214">
        <f t="shared" si="1"/>
        <v>56.1</v>
      </c>
      <c r="S38" s="170">
        <v>3</v>
      </c>
      <c r="T38" s="283"/>
      <c r="U38" s="281"/>
      <c r="V38" s="177" t="s">
        <v>938</v>
      </c>
      <c r="W38" s="170" t="s">
        <v>96</v>
      </c>
      <c r="X38" s="170" t="s">
        <v>12</v>
      </c>
      <c r="Y38" s="178">
        <v>43.5</v>
      </c>
      <c r="Z38" s="170" t="s">
        <v>945</v>
      </c>
      <c r="AA38" s="170" t="s">
        <v>304</v>
      </c>
      <c r="AB38" s="170" t="s">
        <v>12</v>
      </c>
      <c r="AC38" s="170">
        <v>3.5</v>
      </c>
      <c r="AD38" s="177" t="s">
        <v>937</v>
      </c>
      <c r="AE38" s="170" t="s">
        <v>869</v>
      </c>
      <c r="AF38" s="170" t="s">
        <v>12</v>
      </c>
      <c r="AG38" s="178">
        <v>9.1</v>
      </c>
      <c r="AL38" s="177"/>
      <c r="AO38" s="178"/>
      <c r="AP38" s="177"/>
      <c r="AS38" s="178"/>
      <c r="AW38" s="178"/>
      <c r="BA38" s="179"/>
    </row>
    <row r="39" spans="1:53" s="170" customFormat="1" x14ac:dyDescent="0.15">
      <c r="A39" s="170">
        <v>2003</v>
      </c>
      <c r="B39" s="308">
        <v>37628</v>
      </c>
      <c r="C39" s="395" t="s">
        <v>944</v>
      </c>
      <c r="D39" s="395"/>
      <c r="E39" s="170">
        <v>55</v>
      </c>
      <c r="F39" s="251">
        <v>0</v>
      </c>
      <c r="G39" s="232"/>
      <c r="I39" s="170">
        <v>13</v>
      </c>
      <c r="J39" s="240">
        <v>16</v>
      </c>
      <c r="K39" s="213">
        <f t="shared" si="3"/>
        <v>0</v>
      </c>
      <c r="L39" s="213">
        <f t="shared" si="4"/>
        <v>0</v>
      </c>
      <c r="M39" s="213">
        <f t="shared" si="5"/>
        <v>81.25</v>
      </c>
      <c r="N39" s="234">
        <f t="shared" si="2"/>
        <v>81.25</v>
      </c>
      <c r="O39" s="212"/>
      <c r="P39" s="213"/>
      <c r="Q39" s="213">
        <v>56.1</v>
      </c>
      <c r="R39" s="214">
        <f t="shared" si="1"/>
        <v>56.1</v>
      </c>
      <c r="S39" s="170">
        <v>3</v>
      </c>
      <c r="T39" s="283"/>
      <c r="U39" s="281"/>
      <c r="V39" s="177" t="s">
        <v>938</v>
      </c>
      <c r="W39" s="170" t="s">
        <v>96</v>
      </c>
      <c r="X39" s="170" t="s">
        <v>12</v>
      </c>
      <c r="Y39" s="178">
        <v>43.5</v>
      </c>
      <c r="Z39" s="170" t="s">
        <v>945</v>
      </c>
      <c r="AA39" s="170" t="s">
        <v>304</v>
      </c>
      <c r="AB39" s="170" t="s">
        <v>12</v>
      </c>
      <c r="AC39" s="170">
        <v>3.5</v>
      </c>
      <c r="AD39" s="177" t="s">
        <v>937</v>
      </c>
      <c r="AE39" s="170" t="s">
        <v>869</v>
      </c>
      <c r="AF39" s="170" t="s">
        <v>12</v>
      </c>
      <c r="AG39" s="178">
        <v>9.1</v>
      </c>
      <c r="AL39" s="177"/>
      <c r="AO39" s="178"/>
      <c r="AP39" s="177"/>
      <c r="AS39" s="178"/>
      <c r="AW39" s="178"/>
      <c r="BA39" s="179"/>
    </row>
    <row r="40" spans="1:53" s="28" customFormat="1" x14ac:dyDescent="0.15">
      <c r="A40" s="28">
        <v>2003</v>
      </c>
      <c r="B40" s="293">
        <v>37683</v>
      </c>
      <c r="C40" s="394" t="s">
        <v>946</v>
      </c>
      <c r="D40" s="394"/>
      <c r="E40" s="28">
        <v>30</v>
      </c>
      <c r="F40" s="28">
        <v>4</v>
      </c>
      <c r="G40" s="65"/>
      <c r="I40" s="28">
        <v>12</v>
      </c>
      <c r="J40" s="72">
        <v>16</v>
      </c>
      <c r="K40" s="46">
        <f t="shared" si="3"/>
        <v>0</v>
      </c>
      <c r="L40" s="46">
        <f t="shared" si="4"/>
        <v>0</v>
      </c>
      <c r="M40" s="46">
        <f t="shared" si="5"/>
        <v>75</v>
      </c>
      <c r="N40" s="67">
        <f t="shared" si="2"/>
        <v>75</v>
      </c>
      <c r="O40" s="45"/>
      <c r="P40" s="46"/>
      <c r="Q40" s="46">
        <v>47</v>
      </c>
      <c r="R40" s="47">
        <f t="shared" si="1"/>
        <v>47</v>
      </c>
      <c r="S40" s="28">
        <v>5</v>
      </c>
      <c r="T40" s="284"/>
      <c r="U40" s="293">
        <v>37683</v>
      </c>
      <c r="V40" s="37" t="s">
        <v>938</v>
      </c>
      <c r="W40" s="28" t="s">
        <v>96</v>
      </c>
      <c r="X40" s="28" t="s">
        <v>12</v>
      </c>
      <c r="Y40" s="38">
        <v>43.5</v>
      </c>
      <c r="Z40" s="28" t="s">
        <v>945</v>
      </c>
      <c r="AA40" s="28" t="s">
        <v>304</v>
      </c>
      <c r="AB40" s="28" t="s">
        <v>12</v>
      </c>
      <c r="AC40" s="28">
        <v>3.5</v>
      </c>
      <c r="AD40" s="37"/>
      <c r="AG40" s="38"/>
      <c r="AL40" s="37"/>
      <c r="AO40" s="38"/>
      <c r="AP40" s="37"/>
      <c r="AS40" s="38"/>
      <c r="AW40" s="38"/>
      <c r="BA40" s="39"/>
    </row>
    <row r="41" spans="1:53" s="28" customFormat="1" x14ac:dyDescent="0.15">
      <c r="A41" s="28">
        <v>2003</v>
      </c>
      <c r="B41" s="305">
        <v>37713</v>
      </c>
      <c r="C41" s="394" t="s">
        <v>946</v>
      </c>
      <c r="D41" s="394"/>
      <c r="E41" s="28">
        <v>75</v>
      </c>
      <c r="F41" s="120">
        <v>0</v>
      </c>
      <c r="G41" s="65"/>
      <c r="I41" s="28">
        <v>11</v>
      </c>
      <c r="J41" s="72">
        <v>16</v>
      </c>
      <c r="K41" s="46">
        <f t="shared" si="3"/>
        <v>0</v>
      </c>
      <c r="L41" s="46">
        <f t="shared" si="4"/>
        <v>0</v>
      </c>
      <c r="M41" s="46">
        <f t="shared" si="5"/>
        <v>68.75</v>
      </c>
      <c r="N41" s="67">
        <f t="shared" si="2"/>
        <v>68.75</v>
      </c>
      <c r="O41" s="45"/>
      <c r="P41" s="46"/>
      <c r="Q41" s="46">
        <v>47</v>
      </c>
      <c r="R41" s="47">
        <f t="shared" si="1"/>
        <v>47</v>
      </c>
      <c r="S41" s="28">
        <v>5</v>
      </c>
      <c r="T41" s="284"/>
      <c r="U41" s="293"/>
      <c r="V41" s="37" t="s">
        <v>938</v>
      </c>
      <c r="W41" s="28" t="s">
        <v>96</v>
      </c>
      <c r="X41" s="28" t="s">
        <v>12</v>
      </c>
      <c r="Y41" s="38">
        <v>43.5</v>
      </c>
      <c r="Z41" s="28" t="s">
        <v>945</v>
      </c>
      <c r="AA41" s="28" t="s">
        <v>304</v>
      </c>
      <c r="AB41" s="28" t="s">
        <v>12</v>
      </c>
      <c r="AC41" s="28">
        <v>3.5</v>
      </c>
      <c r="AD41" s="37"/>
      <c r="AG41" s="38"/>
      <c r="AL41" s="37"/>
      <c r="AO41" s="38"/>
      <c r="AP41" s="37"/>
      <c r="AS41" s="38"/>
      <c r="AW41" s="38"/>
      <c r="BA41" s="39"/>
    </row>
    <row r="42" spans="1:53" s="28" customFormat="1" x14ac:dyDescent="0.15">
      <c r="A42" s="28">
        <v>2003</v>
      </c>
      <c r="B42" s="305">
        <v>37788</v>
      </c>
      <c r="C42" s="394" t="s">
        <v>946</v>
      </c>
      <c r="D42" s="394"/>
      <c r="E42" s="28">
        <v>16</v>
      </c>
      <c r="F42" s="120">
        <v>0</v>
      </c>
      <c r="G42" s="65"/>
      <c r="I42" s="28">
        <v>11</v>
      </c>
      <c r="J42" s="72">
        <v>17</v>
      </c>
      <c r="K42" s="46">
        <f>G42/J42*100</f>
        <v>0</v>
      </c>
      <c r="L42" s="46">
        <f>H42/J42*100</f>
        <v>0</v>
      </c>
      <c r="M42" s="46">
        <f>I42/J42*100</f>
        <v>64.705882352941174</v>
      </c>
      <c r="N42" s="67">
        <f>SUM(K42:M42)</f>
        <v>64.705882352941174</v>
      </c>
      <c r="O42" s="45"/>
      <c r="P42" s="46"/>
      <c r="Q42" s="46">
        <v>47</v>
      </c>
      <c r="R42" s="47">
        <f>SUM(O42:Q42)</f>
        <v>47</v>
      </c>
      <c r="S42" s="28">
        <v>5</v>
      </c>
      <c r="T42" s="284"/>
      <c r="U42" s="293"/>
      <c r="V42" s="37" t="s">
        <v>938</v>
      </c>
      <c r="W42" s="28" t="s">
        <v>96</v>
      </c>
      <c r="X42" s="28" t="s">
        <v>12</v>
      </c>
      <c r="Y42" s="38">
        <v>43.5</v>
      </c>
      <c r="Z42" s="28" t="s">
        <v>945</v>
      </c>
      <c r="AA42" s="28" t="s">
        <v>304</v>
      </c>
      <c r="AB42" s="28" t="s">
        <v>12</v>
      </c>
      <c r="AC42" s="28">
        <v>3.5</v>
      </c>
      <c r="AD42" s="37"/>
      <c r="AG42" s="38"/>
      <c r="AL42" s="37"/>
      <c r="AO42" s="38"/>
      <c r="AP42" s="37"/>
      <c r="AS42" s="38"/>
      <c r="AW42" s="38"/>
      <c r="BA42" s="39"/>
    </row>
    <row r="43" spans="1:53" s="28" customFormat="1" x14ac:dyDescent="0.15">
      <c r="A43" s="28">
        <v>2003</v>
      </c>
      <c r="B43" s="305">
        <v>37804</v>
      </c>
      <c r="C43" s="394" t="s">
        <v>946</v>
      </c>
      <c r="D43" s="394"/>
      <c r="E43" s="28">
        <v>14</v>
      </c>
      <c r="F43" s="120">
        <v>0</v>
      </c>
      <c r="G43" s="65"/>
      <c r="I43" s="28">
        <v>12</v>
      </c>
      <c r="J43" s="72">
        <v>17</v>
      </c>
      <c r="K43" s="46">
        <f t="shared" si="3"/>
        <v>0</v>
      </c>
      <c r="L43" s="46">
        <f t="shared" si="4"/>
        <v>0</v>
      </c>
      <c r="M43" s="46">
        <f t="shared" si="5"/>
        <v>70.588235294117652</v>
      </c>
      <c r="N43" s="67">
        <f t="shared" si="2"/>
        <v>70.588235294117652</v>
      </c>
      <c r="O43" s="45"/>
      <c r="P43" s="46"/>
      <c r="Q43" s="46">
        <v>47</v>
      </c>
      <c r="R43" s="47">
        <f t="shared" si="1"/>
        <v>47</v>
      </c>
      <c r="S43" s="28">
        <v>5</v>
      </c>
      <c r="T43" s="284"/>
      <c r="U43" s="293"/>
      <c r="V43" s="37" t="s">
        <v>938</v>
      </c>
      <c r="W43" s="28" t="s">
        <v>96</v>
      </c>
      <c r="X43" s="28" t="s">
        <v>12</v>
      </c>
      <c r="Y43" s="38">
        <v>43.5</v>
      </c>
      <c r="Z43" s="28" t="s">
        <v>945</v>
      </c>
      <c r="AA43" s="28" t="s">
        <v>304</v>
      </c>
      <c r="AB43" s="28" t="s">
        <v>12</v>
      </c>
      <c r="AC43" s="28">
        <v>3.5</v>
      </c>
      <c r="AD43" s="37"/>
      <c r="AG43" s="38"/>
      <c r="AL43" s="37"/>
      <c r="AO43" s="38"/>
      <c r="AP43" s="37"/>
      <c r="AS43" s="38"/>
      <c r="AW43" s="38"/>
      <c r="BA43" s="39"/>
    </row>
    <row r="44" spans="1:53" s="28" customFormat="1" x14ac:dyDescent="0.15">
      <c r="A44" s="28">
        <v>2003</v>
      </c>
      <c r="B44" s="305">
        <v>37818</v>
      </c>
      <c r="C44" s="394" t="s">
        <v>946</v>
      </c>
      <c r="D44" s="394"/>
      <c r="E44" s="28">
        <v>169</v>
      </c>
      <c r="F44" s="120">
        <v>0</v>
      </c>
      <c r="G44" s="65"/>
      <c r="I44" s="28">
        <v>11</v>
      </c>
      <c r="J44" s="72">
        <v>17</v>
      </c>
      <c r="K44" s="46">
        <f t="shared" si="3"/>
        <v>0</v>
      </c>
      <c r="L44" s="46">
        <f t="shared" si="4"/>
        <v>0</v>
      </c>
      <c r="M44" s="46">
        <f t="shared" si="5"/>
        <v>64.705882352941174</v>
      </c>
      <c r="N44" s="67">
        <f t="shared" si="2"/>
        <v>64.705882352941174</v>
      </c>
      <c r="O44" s="45"/>
      <c r="P44" s="46"/>
      <c r="Q44" s="46">
        <v>47</v>
      </c>
      <c r="R44" s="47">
        <f t="shared" si="1"/>
        <v>47</v>
      </c>
      <c r="S44" s="28">
        <v>5</v>
      </c>
      <c r="T44" s="284"/>
      <c r="U44" s="293"/>
      <c r="V44" s="37" t="s">
        <v>938</v>
      </c>
      <c r="W44" s="28" t="s">
        <v>96</v>
      </c>
      <c r="X44" s="28" t="s">
        <v>12</v>
      </c>
      <c r="Y44" s="38">
        <v>43.5</v>
      </c>
      <c r="Z44" s="28" t="s">
        <v>945</v>
      </c>
      <c r="AA44" s="28" t="s">
        <v>304</v>
      </c>
      <c r="AB44" s="28" t="s">
        <v>12</v>
      </c>
      <c r="AC44" s="28">
        <v>3.5</v>
      </c>
      <c r="AD44" s="37"/>
      <c r="AG44" s="38"/>
      <c r="AL44" s="37"/>
      <c r="AO44" s="38"/>
      <c r="AP44" s="37"/>
      <c r="AS44" s="38"/>
      <c r="AW44" s="38"/>
      <c r="BA44" s="39"/>
    </row>
    <row r="45" spans="1:53" s="28" customFormat="1" x14ac:dyDescent="0.15">
      <c r="A45" s="28">
        <v>2004</v>
      </c>
      <c r="B45" s="305"/>
      <c r="C45" s="394" t="s">
        <v>946</v>
      </c>
      <c r="D45" s="394"/>
      <c r="E45" s="28">
        <v>27</v>
      </c>
      <c r="F45" s="120"/>
      <c r="G45" s="65"/>
      <c r="I45" s="28">
        <v>11</v>
      </c>
      <c r="J45" s="72">
        <v>17</v>
      </c>
      <c r="K45" s="46">
        <f t="shared" si="3"/>
        <v>0</v>
      </c>
      <c r="L45" s="46">
        <f t="shared" si="4"/>
        <v>0</v>
      </c>
      <c r="M45" s="46">
        <f t="shared" si="5"/>
        <v>64.705882352941174</v>
      </c>
      <c r="N45" s="67">
        <f t="shared" si="2"/>
        <v>64.705882352941174</v>
      </c>
      <c r="O45" s="45"/>
      <c r="P45" s="46"/>
      <c r="Q45" s="46">
        <v>47</v>
      </c>
      <c r="R45" s="47">
        <f t="shared" si="1"/>
        <v>47</v>
      </c>
      <c r="S45" s="28">
        <v>5</v>
      </c>
      <c r="T45" s="284"/>
      <c r="U45" s="293"/>
      <c r="V45" s="37" t="s">
        <v>938</v>
      </c>
      <c r="W45" s="28" t="s">
        <v>96</v>
      </c>
      <c r="X45" s="28" t="s">
        <v>12</v>
      </c>
      <c r="Y45" s="38">
        <v>43.5</v>
      </c>
      <c r="Z45" s="28" t="s">
        <v>945</v>
      </c>
      <c r="AA45" s="28" t="s">
        <v>304</v>
      </c>
      <c r="AB45" s="28" t="s">
        <v>12</v>
      </c>
      <c r="AC45" s="28">
        <v>3.5</v>
      </c>
      <c r="AD45" s="37"/>
      <c r="AG45" s="38"/>
      <c r="AL45" s="37"/>
      <c r="AO45" s="38"/>
      <c r="AP45" s="37"/>
      <c r="AS45" s="38"/>
      <c r="AW45" s="38"/>
      <c r="BA45" s="39"/>
    </row>
    <row r="46" spans="1:53" s="28" customFormat="1" x14ac:dyDescent="0.15">
      <c r="A46" s="28">
        <v>2004</v>
      </c>
      <c r="B46" s="305">
        <v>38014</v>
      </c>
      <c r="C46" s="394" t="s">
        <v>946</v>
      </c>
      <c r="D46" s="394"/>
      <c r="E46" s="28">
        <v>95</v>
      </c>
      <c r="F46" s="120">
        <v>0</v>
      </c>
      <c r="G46" s="65"/>
      <c r="I46" s="28">
        <v>10</v>
      </c>
      <c r="J46" s="72">
        <v>17</v>
      </c>
      <c r="K46" s="46">
        <f t="shared" si="3"/>
        <v>0</v>
      </c>
      <c r="L46" s="46">
        <f t="shared" si="4"/>
        <v>0</v>
      </c>
      <c r="M46" s="46">
        <f t="shared" si="5"/>
        <v>58.82352941176471</v>
      </c>
      <c r="N46" s="67">
        <f t="shared" si="2"/>
        <v>58.82352941176471</v>
      </c>
      <c r="O46" s="45"/>
      <c r="P46" s="46"/>
      <c r="Q46" s="46">
        <v>47</v>
      </c>
      <c r="R46" s="47">
        <f t="shared" si="1"/>
        <v>47</v>
      </c>
      <c r="S46" s="28">
        <v>5</v>
      </c>
      <c r="T46" s="284"/>
      <c r="U46" s="293"/>
      <c r="V46" s="37" t="s">
        <v>938</v>
      </c>
      <c r="W46" s="28" t="s">
        <v>96</v>
      </c>
      <c r="X46" s="28" t="s">
        <v>12</v>
      </c>
      <c r="Y46" s="38">
        <v>43.5</v>
      </c>
      <c r="Z46" s="28" t="s">
        <v>945</v>
      </c>
      <c r="AA46" s="28" t="s">
        <v>304</v>
      </c>
      <c r="AB46" s="28" t="s">
        <v>12</v>
      </c>
      <c r="AC46" s="28">
        <v>3.5</v>
      </c>
      <c r="AD46" s="37"/>
      <c r="AG46" s="38"/>
      <c r="AL46" s="37"/>
      <c r="AO46" s="38"/>
      <c r="AP46" s="37"/>
      <c r="AS46" s="38"/>
      <c r="AW46" s="38"/>
      <c r="BA46" s="39"/>
    </row>
    <row r="47" spans="1:53" s="170" customFormat="1" x14ac:dyDescent="0.15">
      <c r="A47" s="170">
        <v>2004</v>
      </c>
      <c r="B47" s="281">
        <v>38109</v>
      </c>
      <c r="C47" s="395" t="s">
        <v>947</v>
      </c>
      <c r="D47" s="395"/>
      <c r="E47" s="170">
        <v>40</v>
      </c>
      <c r="F47" s="170">
        <v>2</v>
      </c>
      <c r="G47" s="232"/>
      <c r="I47" s="170">
        <v>10</v>
      </c>
      <c r="J47" s="240">
        <v>18</v>
      </c>
      <c r="K47" s="213">
        <f t="shared" si="3"/>
        <v>0</v>
      </c>
      <c r="L47" s="213">
        <f t="shared" si="4"/>
        <v>0</v>
      </c>
      <c r="M47" s="213">
        <f t="shared" si="5"/>
        <v>55.555555555555557</v>
      </c>
      <c r="N47" s="234">
        <f t="shared" si="2"/>
        <v>55.555555555555557</v>
      </c>
      <c r="O47" s="212"/>
      <c r="P47" s="213"/>
      <c r="Q47" s="213">
        <v>56.1</v>
      </c>
      <c r="R47" s="214">
        <f t="shared" si="1"/>
        <v>56.1</v>
      </c>
      <c r="S47" s="170">
        <v>3</v>
      </c>
      <c r="T47" s="283"/>
      <c r="U47" s="281">
        <v>38109</v>
      </c>
      <c r="V47" s="177" t="s">
        <v>938</v>
      </c>
      <c r="W47" s="170" t="s">
        <v>96</v>
      </c>
      <c r="X47" s="170" t="s">
        <v>12</v>
      </c>
      <c r="Y47" s="178">
        <v>43.5</v>
      </c>
      <c r="Z47" s="170" t="s">
        <v>945</v>
      </c>
      <c r="AA47" s="170" t="s">
        <v>304</v>
      </c>
      <c r="AB47" s="170" t="s">
        <v>12</v>
      </c>
      <c r="AC47" s="170">
        <v>3.5</v>
      </c>
      <c r="AD47" s="177" t="s">
        <v>937</v>
      </c>
      <c r="AE47" s="170" t="s">
        <v>869</v>
      </c>
      <c r="AF47" s="170" t="s">
        <v>12</v>
      </c>
      <c r="AG47" s="178">
        <v>9.1</v>
      </c>
      <c r="AL47" s="177"/>
      <c r="AO47" s="178"/>
      <c r="AP47" s="177"/>
      <c r="AS47" s="178"/>
      <c r="AW47" s="178"/>
      <c r="BA47" s="179"/>
    </row>
    <row r="48" spans="1:53" s="28" customFormat="1" x14ac:dyDescent="0.15">
      <c r="A48" s="28">
        <v>2004</v>
      </c>
      <c r="B48" s="293">
        <v>38149</v>
      </c>
      <c r="C48" s="394" t="s">
        <v>948</v>
      </c>
      <c r="D48" s="394"/>
      <c r="E48" s="28">
        <v>34</v>
      </c>
      <c r="F48" s="28">
        <v>4</v>
      </c>
      <c r="G48" s="65"/>
      <c r="I48" s="28">
        <v>9</v>
      </c>
      <c r="J48" s="72">
        <v>18</v>
      </c>
      <c r="K48" s="46">
        <f t="shared" si="3"/>
        <v>0</v>
      </c>
      <c r="L48" s="46">
        <f t="shared" si="4"/>
        <v>0</v>
      </c>
      <c r="M48" s="46">
        <f t="shared" si="5"/>
        <v>50</v>
      </c>
      <c r="N48" s="67">
        <f t="shared" si="2"/>
        <v>50</v>
      </c>
      <c r="O48" s="45"/>
      <c r="P48" s="46"/>
      <c r="Q48" s="46">
        <v>47</v>
      </c>
      <c r="R48" s="47">
        <f t="shared" si="1"/>
        <v>47</v>
      </c>
      <c r="S48" s="28">
        <v>5</v>
      </c>
      <c r="T48" s="284"/>
      <c r="U48" s="293"/>
      <c r="V48" s="37" t="s">
        <v>938</v>
      </c>
      <c r="W48" s="28" t="s">
        <v>96</v>
      </c>
      <c r="X48" s="28" t="s">
        <v>12</v>
      </c>
      <c r="Y48" s="38">
        <v>43.5</v>
      </c>
      <c r="Z48" s="28" t="s">
        <v>945</v>
      </c>
      <c r="AA48" s="28" t="s">
        <v>304</v>
      </c>
      <c r="AB48" s="28" t="s">
        <v>12</v>
      </c>
      <c r="AC48" s="28">
        <v>3.5</v>
      </c>
      <c r="AD48" s="37"/>
      <c r="AG48" s="38"/>
      <c r="AL48" s="37"/>
      <c r="AO48" s="38"/>
      <c r="AP48" s="37"/>
      <c r="AS48" s="38"/>
      <c r="AW48" s="38"/>
      <c r="BA48" s="39"/>
    </row>
    <row r="49" spans="1:53" s="28" customFormat="1" x14ac:dyDescent="0.15">
      <c r="A49" s="28">
        <v>2004</v>
      </c>
      <c r="B49" s="305">
        <v>38183</v>
      </c>
      <c r="C49" s="394" t="s">
        <v>948</v>
      </c>
      <c r="D49" s="394"/>
      <c r="E49" s="28">
        <v>132</v>
      </c>
      <c r="F49" s="120">
        <v>0</v>
      </c>
      <c r="G49" s="65"/>
      <c r="I49" s="28">
        <v>10</v>
      </c>
      <c r="J49" s="72">
        <v>18</v>
      </c>
      <c r="K49" s="46">
        <f t="shared" si="3"/>
        <v>0</v>
      </c>
      <c r="L49" s="46">
        <f t="shared" si="4"/>
        <v>0</v>
      </c>
      <c r="M49" s="46">
        <f t="shared" si="5"/>
        <v>55.555555555555557</v>
      </c>
      <c r="N49" s="67">
        <f t="shared" si="2"/>
        <v>55.555555555555557</v>
      </c>
      <c r="O49" s="45"/>
      <c r="P49" s="46"/>
      <c r="Q49" s="46">
        <v>47</v>
      </c>
      <c r="R49" s="47">
        <f>SUM(O49:Q49)</f>
        <v>47</v>
      </c>
      <c r="S49" s="28">
        <v>5</v>
      </c>
      <c r="T49" s="284"/>
      <c r="U49" s="301">
        <v>38183</v>
      </c>
      <c r="V49" s="37" t="s">
        <v>938</v>
      </c>
      <c r="W49" s="28" t="s">
        <v>96</v>
      </c>
      <c r="X49" s="28" t="s">
        <v>12</v>
      </c>
      <c r="Y49" s="38">
        <v>43.5</v>
      </c>
      <c r="Z49" s="28" t="s">
        <v>945</v>
      </c>
      <c r="AA49" s="28" t="s">
        <v>304</v>
      </c>
      <c r="AB49" s="28" t="s">
        <v>12</v>
      </c>
      <c r="AC49" s="28">
        <v>3.5</v>
      </c>
      <c r="AD49" s="37" t="s">
        <v>949</v>
      </c>
      <c r="AE49" s="28" t="s">
        <v>1031</v>
      </c>
      <c r="AF49" s="28" t="s">
        <v>12</v>
      </c>
      <c r="AG49" s="38">
        <v>0</v>
      </c>
      <c r="AL49" s="37"/>
      <c r="AO49" s="38"/>
      <c r="AP49" s="37"/>
      <c r="AS49" s="38"/>
      <c r="AW49" s="38"/>
      <c r="BA49" s="39"/>
    </row>
    <row r="50" spans="1:53" s="28" customFormat="1" x14ac:dyDescent="0.15">
      <c r="A50" s="28">
        <v>2004</v>
      </c>
      <c r="B50" s="305">
        <v>38315</v>
      </c>
      <c r="C50" s="394" t="s">
        <v>948</v>
      </c>
      <c r="D50" s="394"/>
      <c r="E50" s="28">
        <v>38</v>
      </c>
      <c r="F50" s="120">
        <v>0</v>
      </c>
      <c r="G50" s="65"/>
      <c r="I50" s="28">
        <v>9</v>
      </c>
      <c r="J50" s="72">
        <v>17</v>
      </c>
      <c r="K50" s="46">
        <f t="shared" si="3"/>
        <v>0</v>
      </c>
      <c r="L50" s="46">
        <f t="shared" si="4"/>
        <v>0</v>
      </c>
      <c r="M50" s="46">
        <f t="shared" si="5"/>
        <v>52.941176470588239</v>
      </c>
      <c r="N50" s="67">
        <f t="shared" si="2"/>
        <v>52.941176470588239</v>
      </c>
      <c r="O50" s="45"/>
      <c r="P50" s="46"/>
      <c r="Q50" s="46">
        <v>47</v>
      </c>
      <c r="R50" s="47">
        <f>SUM(O50:Q50)</f>
        <v>47</v>
      </c>
      <c r="S50" s="28">
        <v>5</v>
      </c>
      <c r="T50" s="284"/>
      <c r="U50" s="293"/>
      <c r="V50" s="37" t="s">
        <v>938</v>
      </c>
      <c r="W50" s="28" t="s">
        <v>96</v>
      </c>
      <c r="X50" s="28" t="s">
        <v>12</v>
      </c>
      <c r="Y50" s="38">
        <v>43.5</v>
      </c>
      <c r="Z50" s="28" t="s">
        <v>945</v>
      </c>
      <c r="AA50" s="28" t="s">
        <v>304</v>
      </c>
      <c r="AB50" s="28" t="s">
        <v>12</v>
      </c>
      <c r="AC50" s="28">
        <v>3.5</v>
      </c>
      <c r="AD50" s="37" t="s">
        <v>949</v>
      </c>
      <c r="AE50" s="28" t="s">
        <v>1031</v>
      </c>
      <c r="AF50" s="28" t="s">
        <v>12</v>
      </c>
      <c r="AG50" s="38">
        <v>0</v>
      </c>
      <c r="AL50" s="37"/>
      <c r="AO50" s="38"/>
      <c r="AP50" s="37"/>
      <c r="AS50" s="38"/>
      <c r="AW50" s="38"/>
      <c r="BA50" s="39"/>
    </row>
    <row r="51" spans="1:53" s="28" customFormat="1" x14ac:dyDescent="0.15">
      <c r="A51" s="28">
        <v>2005</v>
      </c>
      <c r="B51" s="305"/>
      <c r="C51" s="394" t="s">
        <v>948</v>
      </c>
      <c r="D51" s="394"/>
      <c r="E51" s="28">
        <v>4</v>
      </c>
      <c r="F51" s="120"/>
      <c r="G51" s="65"/>
      <c r="I51" s="28">
        <v>9</v>
      </c>
      <c r="J51" s="72">
        <v>17</v>
      </c>
      <c r="K51" s="46">
        <f t="shared" si="3"/>
        <v>0</v>
      </c>
      <c r="L51" s="46">
        <f t="shared" si="4"/>
        <v>0</v>
      </c>
      <c r="M51" s="46">
        <f t="shared" si="5"/>
        <v>52.941176470588239</v>
      </c>
      <c r="N51" s="67">
        <f t="shared" si="2"/>
        <v>52.941176470588239</v>
      </c>
      <c r="O51" s="45"/>
      <c r="P51" s="46"/>
      <c r="Q51" s="46">
        <v>47</v>
      </c>
      <c r="R51" s="47">
        <f>SUM(O51:Q51)</f>
        <v>47</v>
      </c>
      <c r="S51" s="28">
        <v>5</v>
      </c>
      <c r="T51" s="284"/>
      <c r="U51" s="293"/>
      <c r="V51" s="37" t="s">
        <v>938</v>
      </c>
      <c r="W51" s="28" t="s">
        <v>96</v>
      </c>
      <c r="X51" s="28" t="s">
        <v>12</v>
      </c>
      <c r="Y51" s="38">
        <v>43.5</v>
      </c>
      <c r="Z51" s="28" t="s">
        <v>945</v>
      </c>
      <c r="AA51" s="28" t="s">
        <v>304</v>
      </c>
      <c r="AB51" s="28" t="s">
        <v>12</v>
      </c>
      <c r="AC51" s="28">
        <v>3.5</v>
      </c>
      <c r="AD51" s="37" t="s">
        <v>949</v>
      </c>
      <c r="AE51" s="28" t="s">
        <v>1031</v>
      </c>
      <c r="AF51" s="28" t="s">
        <v>12</v>
      </c>
      <c r="AG51" s="38">
        <v>0</v>
      </c>
      <c r="AL51" s="37"/>
      <c r="AO51" s="38"/>
      <c r="AP51" s="37"/>
      <c r="AS51" s="38"/>
      <c r="AW51" s="38"/>
      <c r="BA51" s="39"/>
    </row>
    <row r="52" spans="1:53" s="28" customFormat="1" x14ac:dyDescent="0.15">
      <c r="A52" s="28">
        <v>2005</v>
      </c>
      <c r="B52" s="305">
        <v>38357</v>
      </c>
      <c r="C52" s="394" t="s">
        <v>948</v>
      </c>
      <c r="D52" s="394"/>
      <c r="E52" s="28">
        <v>309</v>
      </c>
      <c r="F52" s="120">
        <v>0</v>
      </c>
      <c r="G52" s="65"/>
      <c r="I52" s="28">
        <v>8</v>
      </c>
      <c r="J52" s="72">
        <v>17</v>
      </c>
      <c r="K52" s="46">
        <f t="shared" si="3"/>
        <v>0</v>
      </c>
      <c r="L52" s="46">
        <f t="shared" si="4"/>
        <v>0</v>
      </c>
      <c r="M52" s="46">
        <f t="shared" si="5"/>
        <v>47.058823529411761</v>
      </c>
      <c r="N52" s="67">
        <f t="shared" si="2"/>
        <v>47.058823529411761</v>
      </c>
      <c r="O52" s="45"/>
      <c r="P52" s="46"/>
      <c r="Q52" s="46">
        <v>47</v>
      </c>
      <c r="R52" s="47">
        <f>SUM(O52:Q52)</f>
        <v>47</v>
      </c>
      <c r="S52" s="28">
        <v>5</v>
      </c>
      <c r="T52" s="284"/>
      <c r="U52" s="293"/>
      <c r="V52" s="37" t="s">
        <v>938</v>
      </c>
      <c r="W52" s="28" t="s">
        <v>96</v>
      </c>
      <c r="X52" s="28" t="s">
        <v>12</v>
      </c>
      <c r="Y52" s="38">
        <v>43.5</v>
      </c>
      <c r="Z52" s="28" t="s">
        <v>945</v>
      </c>
      <c r="AA52" s="28" t="s">
        <v>304</v>
      </c>
      <c r="AB52" s="28" t="s">
        <v>12</v>
      </c>
      <c r="AC52" s="28">
        <v>3.5</v>
      </c>
      <c r="AD52" s="37" t="s">
        <v>949</v>
      </c>
      <c r="AE52" s="28" t="s">
        <v>1031</v>
      </c>
      <c r="AF52" s="28" t="s">
        <v>12</v>
      </c>
      <c r="AG52" s="38">
        <v>0</v>
      </c>
      <c r="AL52" s="37"/>
      <c r="AO52" s="38"/>
      <c r="AP52" s="37"/>
      <c r="AS52" s="38"/>
      <c r="AW52" s="38"/>
      <c r="BA52" s="39"/>
    </row>
    <row r="53" spans="1:53" s="170" customFormat="1" x14ac:dyDescent="0.15">
      <c r="A53" s="170">
        <v>2005</v>
      </c>
      <c r="B53" s="304">
        <v>38666</v>
      </c>
      <c r="C53" s="395" t="s">
        <v>951</v>
      </c>
      <c r="D53" s="395"/>
      <c r="E53" s="170">
        <f xml:space="preserve"> 365-E52-E51</f>
        <v>52</v>
      </c>
      <c r="F53" s="170">
        <v>1</v>
      </c>
      <c r="G53" s="232">
        <v>11</v>
      </c>
      <c r="J53" s="240">
        <v>18</v>
      </c>
      <c r="K53" s="213">
        <f t="shared" si="3"/>
        <v>61.111111111111114</v>
      </c>
      <c r="L53" s="213">
        <f t="shared" si="4"/>
        <v>0</v>
      </c>
      <c r="M53" s="213">
        <f t="shared" si="5"/>
        <v>0</v>
      </c>
      <c r="N53" s="234">
        <f t="shared" si="2"/>
        <v>61.111111111111114</v>
      </c>
      <c r="O53" s="212">
        <v>33.700000000000003</v>
      </c>
      <c r="P53" s="213"/>
      <c r="Q53" s="213"/>
      <c r="R53" s="214">
        <f t="shared" si="1"/>
        <v>33.700000000000003</v>
      </c>
      <c r="S53" s="170">
        <v>4</v>
      </c>
      <c r="T53" s="283">
        <v>38620</v>
      </c>
      <c r="U53" s="304">
        <v>38666</v>
      </c>
      <c r="V53" s="177" t="s">
        <v>950</v>
      </c>
      <c r="W53" s="170" t="s">
        <v>1134</v>
      </c>
      <c r="X53" s="170" t="s">
        <v>11</v>
      </c>
      <c r="Y53" s="178">
        <v>33.700000000000003</v>
      </c>
      <c r="AD53" s="177"/>
      <c r="AG53" s="178"/>
      <c r="AL53" s="177"/>
      <c r="AO53" s="178"/>
      <c r="AP53" s="177"/>
      <c r="AS53" s="178"/>
      <c r="AW53" s="178"/>
      <c r="BA53" s="179"/>
    </row>
    <row r="54" spans="1:53" s="170" customFormat="1" x14ac:dyDescent="0.15">
      <c r="A54" s="170">
        <v>2006</v>
      </c>
      <c r="B54" s="304"/>
      <c r="C54" s="395" t="s">
        <v>951</v>
      </c>
      <c r="D54" s="395"/>
      <c r="E54" s="170">
        <v>45</v>
      </c>
      <c r="G54" s="232">
        <v>11</v>
      </c>
      <c r="J54" s="240">
        <v>18</v>
      </c>
      <c r="K54" s="213">
        <f t="shared" si="3"/>
        <v>61.111111111111114</v>
      </c>
      <c r="L54" s="213">
        <f t="shared" si="4"/>
        <v>0</v>
      </c>
      <c r="M54" s="213">
        <f t="shared" si="5"/>
        <v>0</v>
      </c>
      <c r="N54" s="234">
        <f t="shared" si="2"/>
        <v>61.111111111111114</v>
      </c>
      <c r="O54" s="212">
        <v>33.700000000000003</v>
      </c>
      <c r="P54" s="213"/>
      <c r="Q54" s="213"/>
      <c r="R54" s="214">
        <f t="shared" si="1"/>
        <v>33.700000000000003</v>
      </c>
      <c r="S54" s="170">
        <v>4</v>
      </c>
      <c r="T54" s="283"/>
      <c r="U54" s="281"/>
      <c r="V54" s="177" t="s">
        <v>950</v>
      </c>
      <c r="W54" s="170" t="s">
        <v>1134</v>
      </c>
      <c r="X54" s="170" t="s">
        <v>11</v>
      </c>
      <c r="Y54" s="178">
        <v>33.700000000000003</v>
      </c>
      <c r="AD54" s="177"/>
      <c r="AG54" s="178"/>
      <c r="AL54" s="177"/>
      <c r="AO54" s="178"/>
      <c r="AP54" s="177"/>
      <c r="AS54" s="178"/>
      <c r="AW54" s="178"/>
      <c r="BA54" s="179"/>
    </row>
    <row r="55" spans="1:53" s="170" customFormat="1" x14ac:dyDescent="0.15">
      <c r="A55" s="170">
        <v>2006</v>
      </c>
      <c r="B55" s="308">
        <v>38763</v>
      </c>
      <c r="C55" s="395" t="s">
        <v>951</v>
      </c>
      <c r="D55" s="395"/>
      <c r="E55" s="170">
        <v>79</v>
      </c>
      <c r="F55" s="251">
        <v>0</v>
      </c>
      <c r="G55" s="232">
        <v>12</v>
      </c>
      <c r="J55" s="240">
        <v>18</v>
      </c>
      <c r="K55" s="213">
        <f t="shared" si="3"/>
        <v>66.666666666666657</v>
      </c>
      <c r="L55" s="213">
        <f t="shared" si="4"/>
        <v>0</v>
      </c>
      <c r="M55" s="213">
        <f t="shared" si="5"/>
        <v>0</v>
      </c>
      <c r="N55" s="234">
        <f t="shared" si="2"/>
        <v>66.666666666666657</v>
      </c>
      <c r="O55" s="212">
        <v>33.700000000000003</v>
      </c>
      <c r="P55" s="213"/>
      <c r="Q55" s="213"/>
      <c r="R55" s="214">
        <f t="shared" si="1"/>
        <v>33.700000000000003</v>
      </c>
      <c r="S55" s="170">
        <v>4</v>
      </c>
      <c r="T55" s="283"/>
      <c r="U55" s="281"/>
      <c r="V55" s="177" t="s">
        <v>950</v>
      </c>
      <c r="W55" s="170" t="s">
        <v>1134</v>
      </c>
      <c r="X55" s="170" t="s">
        <v>11</v>
      </c>
      <c r="Y55" s="178">
        <v>33.700000000000003</v>
      </c>
      <c r="AD55" s="177"/>
      <c r="AG55" s="178"/>
      <c r="AL55" s="177"/>
      <c r="AO55" s="178"/>
      <c r="AP55" s="177"/>
      <c r="AS55" s="178"/>
      <c r="AW55" s="178"/>
      <c r="BA55" s="179"/>
    </row>
    <row r="56" spans="1:53" s="28" customFormat="1" x14ac:dyDescent="0.15">
      <c r="A56" s="28">
        <v>2006</v>
      </c>
      <c r="B56" s="293">
        <v>38842</v>
      </c>
      <c r="C56" s="394" t="s">
        <v>952</v>
      </c>
      <c r="D56" s="394"/>
      <c r="E56" s="28">
        <v>70</v>
      </c>
      <c r="F56" s="28">
        <v>7</v>
      </c>
      <c r="G56" s="65">
        <v>12</v>
      </c>
      <c r="I56" s="28">
        <v>3</v>
      </c>
      <c r="J56" s="72">
        <v>21</v>
      </c>
      <c r="K56" s="46">
        <f t="shared" si="3"/>
        <v>57.142857142857139</v>
      </c>
      <c r="L56" s="46">
        <f t="shared" si="4"/>
        <v>0</v>
      </c>
      <c r="M56" s="46">
        <f t="shared" si="5"/>
        <v>14.285714285714285</v>
      </c>
      <c r="N56" s="67">
        <f t="shared" si="2"/>
        <v>71.428571428571416</v>
      </c>
      <c r="O56" s="45">
        <v>41.1</v>
      </c>
      <c r="P56" s="46"/>
      <c r="Q56" s="46">
        <v>12.2</v>
      </c>
      <c r="R56" s="47">
        <f t="shared" si="1"/>
        <v>53.3</v>
      </c>
      <c r="S56" s="28">
        <v>2</v>
      </c>
      <c r="T56" s="284"/>
      <c r="U56" s="293">
        <v>38842</v>
      </c>
      <c r="V56" s="37" t="s">
        <v>950</v>
      </c>
      <c r="W56" s="28" t="s">
        <v>1134</v>
      </c>
      <c r="X56" s="28" t="s">
        <v>11</v>
      </c>
      <c r="Y56" s="38">
        <v>33.700000000000003</v>
      </c>
      <c r="Z56" s="28" t="s">
        <v>953</v>
      </c>
      <c r="AA56" s="28" t="s">
        <v>954</v>
      </c>
      <c r="AB56" s="28" t="s">
        <v>12</v>
      </c>
      <c r="AC56" s="28">
        <v>12.2</v>
      </c>
      <c r="AD56" s="37" t="s">
        <v>955</v>
      </c>
      <c r="AE56" s="28" t="s">
        <v>326</v>
      </c>
      <c r="AF56" s="28" t="s">
        <v>11</v>
      </c>
      <c r="AG56" s="38">
        <v>7.4</v>
      </c>
      <c r="AL56" s="37"/>
      <c r="AO56" s="38"/>
      <c r="AP56" s="37"/>
      <c r="AS56" s="38"/>
      <c r="AW56" s="38"/>
      <c r="BA56" s="39"/>
    </row>
    <row r="57" spans="1:53" s="170" customFormat="1" x14ac:dyDescent="0.15">
      <c r="A57" s="170">
        <v>2006</v>
      </c>
      <c r="B57" s="304">
        <v>38912</v>
      </c>
      <c r="C57" s="395" t="s">
        <v>1155</v>
      </c>
      <c r="D57" s="395"/>
      <c r="E57" s="170">
        <v>70</v>
      </c>
      <c r="F57" s="170">
        <v>2</v>
      </c>
      <c r="G57" s="232">
        <v>15</v>
      </c>
      <c r="I57" s="170">
        <v>3</v>
      </c>
      <c r="J57" s="240">
        <v>22</v>
      </c>
      <c r="K57" s="213">
        <f t="shared" si="3"/>
        <v>68.181818181818173</v>
      </c>
      <c r="L57" s="213">
        <f t="shared" si="4"/>
        <v>0</v>
      </c>
      <c r="M57" s="213">
        <f t="shared" si="5"/>
        <v>13.636363636363635</v>
      </c>
      <c r="N57" s="234">
        <f t="shared" si="2"/>
        <v>81.818181818181813</v>
      </c>
      <c r="O57" s="212">
        <v>41.1</v>
      </c>
      <c r="P57" s="213"/>
      <c r="Q57" s="213">
        <v>12.2</v>
      </c>
      <c r="R57" s="214">
        <f t="shared" si="1"/>
        <v>53.3</v>
      </c>
      <c r="S57" s="170">
        <v>2</v>
      </c>
      <c r="T57" s="283"/>
      <c r="U57" s="304">
        <v>38912</v>
      </c>
      <c r="V57" s="177" t="s">
        <v>950</v>
      </c>
      <c r="W57" s="170" t="s">
        <v>1134</v>
      </c>
      <c r="X57" s="170" t="s">
        <v>11</v>
      </c>
      <c r="Y57" s="178">
        <v>33.700000000000003</v>
      </c>
      <c r="Z57" s="170" t="s">
        <v>953</v>
      </c>
      <c r="AA57" s="170" t="s">
        <v>954</v>
      </c>
      <c r="AB57" s="170" t="s">
        <v>12</v>
      </c>
      <c r="AC57" s="170">
        <v>12.2</v>
      </c>
      <c r="AD57" s="177" t="s">
        <v>955</v>
      </c>
      <c r="AE57" s="170" t="s">
        <v>326</v>
      </c>
      <c r="AF57" s="170" t="s">
        <v>11</v>
      </c>
      <c r="AG57" s="178">
        <v>7.4</v>
      </c>
      <c r="AL57" s="177"/>
      <c r="AO57" s="178"/>
      <c r="AP57" s="177"/>
      <c r="AS57" s="178"/>
      <c r="AW57" s="178"/>
      <c r="BA57" s="179"/>
    </row>
    <row r="58" spans="1:53" s="170" customFormat="1" x14ac:dyDescent="0.15">
      <c r="A58" s="170">
        <v>2006</v>
      </c>
      <c r="B58" s="308">
        <v>38982</v>
      </c>
      <c r="C58" s="395" t="s">
        <v>1155</v>
      </c>
      <c r="D58" s="395"/>
      <c r="E58" s="170">
        <v>101</v>
      </c>
      <c r="F58" s="251">
        <v>0</v>
      </c>
      <c r="G58" s="232">
        <v>14</v>
      </c>
      <c r="I58" s="170">
        <v>3</v>
      </c>
      <c r="J58" s="240">
        <v>22</v>
      </c>
      <c r="K58" s="213">
        <f t="shared" si="3"/>
        <v>63.636363636363633</v>
      </c>
      <c r="L58" s="213">
        <f t="shared" si="4"/>
        <v>0</v>
      </c>
      <c r="M58" s="213">
        <f t="shared" si="5"/>
        <v>13.636363636363635</v>
      </c>
      <c r="N58" s="234">
        <f t="shared" si="2"/>
        <v>77.272727272727266</v>
      </c>
      <c r="O58" s="212">
        <v>41.1</v>
      </c>
      <c r="P58" s="213"/>
      <c r="Q58" s="213">
        <v>12.2</v>
      </c>
      <c r="R58" s="214">
        <f t="shared" si="1"/>
        <v>53.3</v>
      </c>
      <c r="S58" s="170">
        <v>2</v>
      </c>
      <c r="T58" s="283"/>
      <c r="U58" s="281"/>
      <c r="V58" s="177" t="s">
        <v>950</v>
      </c>
      <c r="W58" s="170" t="s">
        <v>1134</v>
      </c>
      <c r="X58" s="170" t="s">
        <v>11</v>
      </c>
      <c r="Y58" s="178">
        <v>33.700000000000003</v>
      </c>
      <c r="Z58" s="170" t="s">
        <v>953</v>
      </c>
      <c r="AA58" s="170" t="s">
        <v>954</v>
      </c>
      <c r="AB58" s="170" t="s">
        <v>12</v>
      </c>
      <c r="AC58" s="170">
        <v>12.2</v>
      </c>
      <c r="AD58" s="177" t="s">
        <v>955</v>
      </c>
      <c r="AE58" s="170" t="s">
        <v>326</v>
      </c>
      <c r="AF58" s="170" t="s">
        <v>11</v>
      </c>
      <c r="AG58" s="178">
        <v>7.4</v>
      </c>
      <c r="AL58" s="177"/>
      <c r="AO58" s="178"/>
      <c r="AP58" s="177"/>
      <c r="AS58" s="178"/>
      <c r="AW58" s="178"/>
      <c r="BA58" s="179"/>
    </row>
    <row r="59" spans="1:53" s="170" customFormat="1" x14ac:dyDescent="0.15">
      <c r="A59" s="170">
        <v>2007</v>
      </c>
      <c r="B59" s="308"/>
      <c r="C59" s="395" t="s">
        <v>1155</v>
      </c>
      <c r="D59" s="395"/>
      <c r="E59" s="170">
        <v>38</v>
      </c>
      <c r="F59" s="251"/>
      <c r="G59" s="232">
        <v>14</v>
      </c>
      <c r="I59" s="170">
        <v>3</v>
      </c>
      <c r="J59" s="240">
        <v>22</v>
      </c>
      <c r="K59" s="213">
        <f t="shared" si="3"/>
        <v>63.636363636363633</v>
      </c>
      <c r="L59" s="213">
        <f t="shared" si="4"/>
        <v>0</v>
      </c>
      <c r="M59" s="213">
        <f t="shared" si="5"/>
        <v>13.636363636363635</v>
      </c>
      <c r="N59" s="234">
        <f t="shared" si="2"/>
        <v>77.272727272727266</v>
      </c>
      <c r="O59" s="212">
        <v>41.1</v>
      </c>
      <c r="P59" s="213"/>
      <c r="Q59" s="213">
        <v>12.2</v>
      </c>
      <c r="R59" s="214">
        <f t="shared" si="1"/>
        <v>53.3</v>
      </c>
      <c r="S59" s="170">
        <v>2</v>
      </c>
      <c r="T59" s="283"/>
      <c r="U59" s="281"/>
      <c r="V59" s="177" t="s">
        <v>950</v>
      </c>
      <c r="W59" s="170" t="s">
        <v>1134</v>
      </c>
      <c r="X59" s="170" t="s">
        <v>11</v>
      </c>
      <c r="Y59" s="178">
        <v>33.700000000000003</v>
      </c>
      <c r="Z59" s="170" t="s">
        <v>953</v>
      </c>
      <c r="AA59" s="170" t="s">
        <v>954</v>
      </c>
      <c r="AB59" s="170" t="s">
        <v>12</v>
      </c>
      <c r="AC59" s="170">
        <v>12.2</v>
      </c>
      <c r="AD59" s="177" t="s">
        <v>955</v>
      </c>
      <c r="AE59" s="170" t="s">
        <v>326</v>
      </c>
      <c r="AF59" s="170" t="s">
        <v>11</v>
      </c>
      <c r="AG59" s="178">
        <v>7.4</v>
      </c>
      <c r="AL59" s="177"/>
      <c r="AO59" s="178"/>
      <c r="AP59" s="177"/>
      <c r="AS59" s="178"/>
      <c r="AW59" s="178"/>
      <c r="BA59" s="179"/>
    </row>
    <row r="60" spans="1:53" s="170" customFormat="1" x14ac:dyDescent="0.15">
      <c r="A60" s="170">
        <v>2007</v>
      </c>
      <c r="B60" s="308">
        <v>39121</v>
      </c>
      <c r="C60" s="395" t="s">
        <v>1155</v>
      </c>
      <c r="D60" s="395"/>
      <c r="E60" s="170">
        <v>47</v>
      </c>
      <c r="F60" s="251">
        <v>0</v>
      </c>
      <c r="G60" s="232">
        <v>14</v>
      </c>
      <c r="I60" s="170">
        <v>3</v>
      </c>
      <c r="J60" s="240">
        <v>23</v>
      </c>
      <c r="K60" s="213">
        <f>G60/J60*100</f>
        <v>60.869565217391312</v>
      </c>
      <c r="L60" s="213">
        <f>H60/J60*100</f>
        <v>0</v>
      </c>
      <c r="M60" s="213">
        <f>I60/J60*100</f>
        <v>13.043478260869565</v>
      </c>
      <c r="N60" s="234">
        <f>SUM(K60:M60)</f>
        <v>73.913043478260875</v>
      </c>
      <c r="O60" s="212">
        <v>41.1</v>
      </c>
      <c r="P60" s="213"/>
      <c r="Q60" s="213">
        <v>12.2</v>
      </c>
      <c r="R60" s="214">
        <f>SUM(O60:Q60)</f>
        <v>53.3</v>
      </c>
      <c r="S60" s="170">
        <v>2</v>
      </c>
      <c r="T60" s="283"/>
      <c r="U60" s="281"/>
      <c r="V60" s="177" t="s">
        <v>950</v>
      </c>
      <c r="W60" s="170" t="s">
        <v>1134</v>
      </c>
      <c r="X60" s="170" t="s">
        <v>11</v>
      </c>
      <c r="Y60" s="178">
        <v>33.700000000000003</v>
      </c>
      <c r="Z60" s="170" t="s">
        <v>953</v>
      </c>
      <c r="AA60" s="170" t="s">
        <v>954</v>
      </c>
      <c r="AB60" s="170" t="s">
        <v>12</v>
      </c>
      <c r="AC60" s="170">
        <v>12.2</v>
      </c>
      <c r="AD60" s="177" t="s">
        <v>955</v>
      </c>
      <c r="AE60" s="170" t="s">
        <v>326</v>
      </c>
      <c r="AF60" s="170" t="s">
        <v>11</v>
      </c>
      <c r="AG60" s="178">
        <v>7.4</v>
      </c>
      <c r="AL60" s="177"/>
      <c r="AO60" s="178"/>
      <c r="AP60" s="177"/>
      <c r="AS60" s="178"/>
      <c r="AW60" s="178"/>
      <c r="BA60" s="179"/>
    </row>
    <row r="61" spans="1:53" s="170" customFormat="1" x14ac:dyDescent="0.15">
      <c r="A61" s="170">
        <v>2007</v>
      </c>
      <c r="B61" s="308">
        <v>39168</v>
      </c>
      <c r="C61" s="395" t="s">
        <v>1155</v>
      </c>
      <c r="D61" s="395"/>
      <c r="E61" s="170">
        <v>17</v>
      </c>
      <c r="F61" s="251">
        <v>0</v>
      </c>
      <c r="G61" s="232">
        <v>15</v>
      </c>
      <c r="I61" s="170">
        <v>3</v>
      </c>
      <c r="J61" s="240">
        <v>24</v>
      </c>
      <c r="K61" s="213">
        <f t="shared" si="3"/>
        <v>62.5</v>
      </c>
      <c r="L61" s="213">
        <f t="shared" si="4"/>
        <v>0</v>
      </c>
      <c r="M61" s="213">
        <f t="shared" si="5"/>
        <v>12.5</v>
      </c>
      <c r="N61" s="234">
        <f t="shared" si="2"/>
        <v>75</v>
      </c>
      <c r="O61" s="212">
        <v>41.1</v>
      </c>
      <c r="P61" s="213"/>
      <c r="Q61" s="213">
        <v>12.2</v>
      </c>
      <c r="R61" s="214">
        <f t="shared" si="1"/>
        <v>53.3</v>
      </c>
      <c r="S61" s="170">
        <v>2</v>
      </c>
      <c r="T61" s="283"/>
      <c r="U61" s="281"/>
      <c r="V61" s="177" t="s">
        <v>950</v>
      </c>
      <c r="W61" s="170" t="s">
        <v>1134</v>
      </c>
      <c r="X61" s="170" t="s">
        <v>11</v>
      </c>
      <c r="Y61" s="178">
        <v>33.700000000000003</v>
      </c>
      <c r="Z61" s="170" t="s">
        <v>953</v>
      </c>
      <c r="AA61" s="170" t="s">
        <v>954</v>
      </c>
      <c r="AB61" s="170" t="s">
        <v>12</v>
      </c>
      <c r="AC61" s="170">
        <v>12.2</v>
      </c>
      <c r="AD61" s="177" t="s">
        <v>955</v>
      </c>
      <c r="AE61" s="170" t="s">
        <v>326</v>
      </c>
      <c r="AF61" s="170" t="s">
        <v>11</v>
      </c>
      <c r="AG61" s="178">
        <v>7.4</v>
      </c>
      <c r="AL61" s="177"/>
      <c r="AO61" s="178"/>
      <c r="AP61" s="177"/>
      <c r="AS61" s="178"/>
      <c r="AW61" s="178"/>
      <c r="BA61" s="179"/>
    </row>
    <row r="62" spans="1:53" s="170" customFormat="1" x14ac:dyDescent="0.15">
      <c r="A62" s="170">
        <v>2007</v>
      </c>
      <c r="B62" s="308">
        <v>39185</v>
      </c>
      <c r="C62" s="395" t="s">
        <v>1155</v>
      </c>
      <c r="D62" s="395"/>
      <c r="E62" s="170">
        <v>87</v>
      </c>
      <c r="F62" s="251">
        <v>0</v>
      </c>
      <c r="G62" s="232">
        <v>14</v>
      </c>
      <c r="I62" s="170">
        <v>3</v>
      </c>
      <c r="J62" s="240">
        <v>23</v>
      </c>
      <c r="K62" s="213">
        <f t="shared" si="3"/>
        <v>60.869565217391312</v>
      </c>
      <c r="L62" s="213">
        <f t="shared" si="4"/>
        <v>0</v>
      </c>
      <c r="M62" s="213">
        <f t="shared" si="5"/>
        <v>13.043478260869565</v>
      </c>
      <c r="N62" s="234">
        <f t="shared" si="2"/>
        <v>73.913043478260875</v>
      </c>
      <c r="O62" s="212">
        <v>41.1</v>
      </c>
      <c r="P62" s="213"/>
      <c r="Q62" s="213">
        <v>12.2</v>
      </c>
      <c r="R62" s="214">
        <f t="shared" si="1"/>
        <v>53.3</v>
      </c>
      <c r="S62" s="170">
        <v>2</v>
      </c>
      <c r="T62" s="283"/>
      <c r="U62" s="281"/>
      <c r="V62" s="177" t="s">
        <v>950</v>
      </c>
      <c r="W62" s="170" t="s">
        <v>1134</v>
      </c>
      <c r="X62" s="170" t="s">
        <v>11</v>
      </c>
      <c r="Y62" s="178">
        <v>33.700000000000003</v>
      </c>
      <c r="Z62" s="170" t="s">
        <v>953</v>
      </c>
      <c r="AA62" s="170" t="s">
        <v>954</v>
      </c>
      <c r="AB62" s="170" t="s">
        <v>12</v>
      </c>
      <c r="AC62" s="170">
        <v>12.2</v>
      </c>
      <c r="AD62" s="177" t="s">
        <v>955</v>
      </c>
      <c r="AE62" s="170" t="s">
        <v>326</v>
      </c>
      <c r="AF62" s="170" t="s">
        <v>11</v>
      </c>
      <c r="AG62" s="178">
        <v>7.4</v>
      </c>
      <c r="AL62" s="177"/>
      <c r="AO62" s="178"/>
      <c r="AP62" s="177"/>
      <c r="AS62" s="178"/>
      <c r="AW62" s="178"/>
      <c r="BA62" s="179"/>
    </row>
    <row r="63" spans="1:53" s="170" customFormat="1" x14ac:dyDescent="0.15">
      <c r="A63" s="170">
        <v>2007</v>
      </c>
      <c r="B63" s="308">
        <v>39272</v>
      </c>
      <c r="C63" s="395" t="s">
        <v>1155</v>
      </c>
      <c r="D63" s="395"/>
      <c r="E63" s="170">
        <v>14</v>
      </c>
      <c r="F63" s="251">
        <v>0</v>
      </c>
      <c r="G63" s="232">
        <v>14</v>
      </c>
      <c r="I63" s="170">
        <v>2</v>
      </c>
      <c r="J63" s="240">
        <v>21</v>
      </c>
      <c r="K63" s="213">
        <f t="shared" si="3"/>
        <v>66.666666666666657</v>
      </c>
      <c r="L63" s="213">
        <f t="shared" si="4"/>
        <v>0</v>
      </c>
      <c r="M63" s="213">
        <f t="shared" si="5"/>
        <v>9.5238095238095237</v>
      </c>
      <c r="N63" s="234">
        <f t="shared" si="2"/>
        <v>76.190476190476176</v>
      </c>
      <c r="O63" s="212">
        <v>41.1</v>
      </c>
      <c r="P63" s="213"/>
      <c r="Q63" s="213">
        <v>12.2</v>
      </c>
      <c r="R63" s="214">
        <f t="shared" si="1"/>
        <v>53.3</v>
      </c>
      <c r="S63" s="170">
        <v>2</v>
      </c>
      <c r="T63" s="283"/>
      <c r="U63" s="281"/>
      <c r="V63" s="177" t="s">
        <v>950</v>
      </c>
      <c r="W63" s="170" t="s">
        <v>1134</v>
      </c>
      <c r="X63" s="170" t="s">
        <v>11</v>
      </c>
      <c r="Y63" s="178">
        <v>33.700000000000003</v>
      </c>
      <c r="Z63" s="170" t="s">
        <v>953</v>
      </c>
      <c r="AA63" s="170" t="s">
        <v>954</v>
      </c>
      <c r="AB63" s="170" t="s">
        <v>12</v>
      </c>
      <c r="AC63" s="170">
        <v>12.2</v>
      </c>
      <c r="AD63" s="177" t="s">
        <v>955</v>
      </c>
      <c r="AE63" s="170" t="s">
        <v>326</v>
      </c>
      <c r="AF63" s="170" t="s">
        <v>11</v>
      </c>
      <c r="AG63" s="178">
        <v>7.4</v>
      </c>
      <c r="AL63" s="177"/>
      <c r="AO63" s="178"/>
      <c r="AP63" s="177"/>
      <c r="AS63" s="178"/>
      <c r="AW63" s="178"/>
      <c r="BA63" s="179"/>
    </row>
    <row r="64" spans="1:53" s="170" customFormat="1" x14ac:dyDescent="0.15">
      <c r="A64" s="170">
        <v>2007</v>
      </c>
      <c r="B64" s="308">
        <v>39286</v>
      </c>
      <c r="C64" s="395" t="s">
        <v>1155</v>
      </c>
      <c r="D64" s="395"/>
      <c r="E64" s="170">
        <v>8</v>
      </c>
      <c r="F64" s="251">
        <v>0</v>
      </c>
      <c r="G64" s="232">
        <v>15</v>
      </c>
      <c r="I64" s="170">
        <v>2</v>
      </c>
      <c r="J64" s="240">
        <v>22</v>
      </c>
      <c r="K64" s="213">
        <f t="shared" si="3"/>
        <v>68.181818181818173</v>
      </c>
      <c r="L64" s="213">
        <f t="shared" si="4"/>
        <v>0</v>
      </c>
      <c r="M64" s="213">
        <f t="shared" si="5"/>
        <v>9.0909090909090917</v>
      </c>
      <c r="N64" s="234">
        <f t="shared" si="2"/>
        <v>77.272727272727266</v>
      </c>
      <c r="O64" s="212">
        <v>41.1</v>
      </c>
      <c r="P64" s="213"/>
      <c r="Q64" s="213">
        <v>12.2</v>
      </c>
      <c r="R64" s="214">
        <f t="shared" si="1"/>
        <v>53.3</v>
      </c>
      <c r="S64" s="170">
        <v>2</v>
      </c>
      <c r="T64" s="283"/>
      <c r="U64" s="281"/>
      <c r="V64" s="177" t="s">
        <v>950</v>
      </c>
      <c r="W64" s="170" t="s">
        <v>1134</v>
      </c>
      <c r="X64" s="170" t="s">
        <v>11</v>
      </c>
      <c r="Y64" s="178">
        <v>33.700000000000003</v>
      </c>
      <c r="Z64" s="170" t="s">
        <v>953</v>
      </c>
      <c r="AA64" s="170" t="s">
        <v>954</v>
      </c>
      <c r="AB64" s="170" t="s">
        <v>12</v>
      </c>
      <c r="AC64" s="170">
        <v>12.2</v>
      </c>
      <c r="AD64" s="177" t="s">
        <v>955</v>
      </c>
      <c r="AE64" s="170" t="s">
        <v>326</v>
      </c>
      <c r="AF64" s="170" t="s">
        <v>11</v>
      </c>
      <c r="AG64" s="178">
        <v>7.4</v>
      </c>
      <c r="AL64" s="177"/>
      <c r="AO64" s="178"/>
      <c r="AP64" s="177"/>
      <c r="AS64" s="178"/>
      <c r="AW64" s="178"/>
      <c r="BA64" s="179"/>
    </row>
    <row r="65" spans="1:53" s="170" customFormat="1" x14ac:dyDescent="0.15">
      <c r="A65" s="170">
        <v>2007</v>
      </c>
      <c r="B65" s="308">
        <v>39294</v>
      </c>
      <c r="C65" s="395" t="s">
        <v>1155</v>
      </c>
      <c r="D65" s="395"/>
      <c r="E65" s="170">
        <v>13</v>
      </c>
      <c r="F65" s="251">
        <v>0</v>
      </c>
      <c r="G65" s="232">
        <v>16</v>
      </c>
      <c r="I65" s="170">
        <v>2</v>
      </c>
      <c r="J65" s="240">
        <v>23</v>
      </c>
      <c r="K65" s="213">
        <f t="shared" si="3"/>
        <v>69.565217391304344</v>
      </c>
      <c r="L65" s="213">
        <f t="shared" si="4"/>
        <v>0</v>
      </c>
      <c r="M65" s="213">
        <f t="shared" si="5"/>
        <v>8.695652173913043</v>
      </c>
      <c r="N65" s="234">
        <f t="shared" si="2"/>
        <v>78.260869565217391</v>
      </c>
      <c r="O65" s="212">
        <v>41.1</v>
      </c>
      <c r="P65" s="213"/>
      <c r="Q65" s="213">
        <v>12.2</v>
      </c>
      <c r="R65" s="214">
        <f t="shared" si="1"/>
        <v>53.3</v>
      </c>
      <c r="S65" s="170">
        <v>2</v>
      </c>
      <c r="T65" s="283"/>
      <c r="U65" s="281"/>
      <c r="V65" s="177" t="s">
        <v>950</v>
      </c>
      <c r="W65" s="170" t="s">
        <v>1134</v>
      </c>
      <c r="X65" s="170" t="s">
        <v>11</v>
      </c>
      <c r="Y65" s="178">
        <v>33.700000000000003</v>
      </c>
      <c r="Z65" s="170" t="s">
        <v>953</v>
      </c>
      <c r="AA65" s="170" t="s">
        <v>954</v>
      </c>
      <c r="AB65" s="170" t="s">
        <v>12</v>
      </c>
      <c r="AC65" s="170">
        <v>12.2</v>
      </c>
      <c r="AD65" s="177" t="s">
        <v>955</v>
      </c>
      <c r="AE65" s="170" t="s">
        <v>326</v>
      </c>
      <c r="AF65" s="170" t="s">
        <v>11</v>
      </c>
      <c r="AG65" s="178">
        <v>7.4</v>
      </c>
      <c r="AL65" s="177"/>
      <c r="AO65" s="178"/>
      <c r="AP65" s="177"/>
      <c r="AS65" s="178"/>
      <c r="AW65" s="178"/>
      <c r="BA65" s="179"/>
    </row>
    <row r="66" spans="1:53" s="28" customFormat="1" x14ac:dyDescent="0.15">
      <c r="A66" s="28">
        <v>2007</v>
      </c>
      <c r="B66" s="275">
        <v>39307</v>
      </c>
      <c r="C66" s="394" t="s">
        <v>1156</v>
      </c>
      <c r="D66" s="394"/>
      <c r="E66" s="28">
        <v>103</v>
      </c>
      <c r="F66" s="28">
        <v>4</v>
      </c>
      <c r="G66" s="65">
        <v>15</v>
      </c>
      <c r="J66" s="72">
        <v>23</v>
      </c>
      <c r="K66" s="46">
        <f t="shared" si="3"/>
        <v>65.217391304347828</v>
      </c>
      <c r="L66" s="46">
        <f t="shared" si="4"/>
        <v>0</v>
      </c>
      <c r="M66" s="46">
        <f t="shared" si="5"/>
        <v>0</v>
      </c>
      <c r="N66" s="67">
        <f t="shared" si="2"/>
        <v>65.217391304347828</v>
      </c>
      <c r="O66" s="45">
        <v>33.700000000000003</v>
      </c>
      <c r="P66" s="46"/>
      <c r="Q66" s="46"/>
      <c r="R66" s="47">
        <f t="shared" si="1"/>
        <v>33.700000000000003</v>
      </c>
      <c r="S66" s="28">
        <v>4</v>
      </c>
      <c r="T66" s="284"/>
      <c r="U66" s="275">
        <v>39307</v>
      </c>
      <c r="V66" s="37" t="s">
        <v>950</v>
      </c>
      <c r="W66" s="28" t="s">
        <v>1134</v>
      </c>
      <c r="X66" s="28" t="s">
        <v>11</v>
      </c>
      <c r="Y66" s="38">
        <v>33.700000000000003</v>
      </c>
      <c r="Z66" s="37"/>
      <c r="AC66" s="38"/>
      <c r="AG66" s="38"/>
      <c r="AL66" s="37"/>
      <c r="AO66" s="38"/>
      <c r="AP66" s="37"/>
      <c r="AS66" s="38"/>
      <c r="AW66" s="38"/>
      <c r="BA66" s="39"/>
    </row>
    <row r="67" spans="1:53" s="170" customFormat="1" x14ac:dyDescent="0.15">
      <c r="A67" s="170">
        <v>2007</v>
      </c>
      <c r="B67" s="304">
        <v>39410</v>
      </c>
      <c r="C67" s="395" t="s">
        <v>956</v>
      </c>
      <c r="D67" s="395"/>
      <c r="E67" s="170">
        <v>38</v>
      </c>
      <c r="F67" s="170">
        <v>1</v>
      </c>
      <c r="G67" s="232">
        <v>10</v>
      </c>
      <c r="I67" s="170">
        <v>3</v>
      </c>
      <c r="J67" s="240">
        <v>19</v>
      </c>
      <c r="K67" s="213">
        <f t="shared" si="3"/>
        <v>52.631578947368418</v>
      </c>
      <c r="L67" s="213">
        <f t="shared" si="4"/>
        <v>0</v>
      </c>
      <c r="M67" s="213">
        <f t="shared" si="5"/>
        <v>15.789473684210526</v>
      </c>
      <c r="N67" s="234">
        <f t="shared" si="2"/>
        <v>68.421052631578945</v>
      </c>
      <c r="O67" s="212">
        <v>45.4</v>
      </c>
      <c r="P67" s="213"/>
      <c r="Q67" s="213">
        <v>6.7</v>
      </c>
      <c r="R67" s="214">
        <f t="shared" si="1"/>
        <v>52.1</v>
      </c>
      <c r="S67" s="170">
        <v>2</v>
      </c>
      <c r="T67" s="283">
        <v>39376</v>
      </c>
      <c r="U67" s="304">
        <v>39410</v>
      </c>
      <c r="V67" s="177" t="s">
        <v>957</v>
      </c>
      <c r="W67" s="170" t="s">
        <v>306</v>
      </c>
      <c r="X67" s="170" t="s">
        <v>11</v>
      </c>
      <c r="Y67" s="178">
        <v>45.4</v>
      </c>
      <c r="Z67" s="177" t="s">
        <v>937</v>
      </c>
      <c r="AA67" s="170" t="s">
        <v>869</v>
      </c>
      <c r="AB67" s="170" t="s">
        <v>12</v>
      </c>
      <c r="AC67" s="170">
        <v>6.7</v>
      </c>
      <c r="AD67" s="177"/>
      <c r="AG67" s="178"/>
      <c r="AL67" s="177"/>
      <c r="AO67" s="178"/>
      <c r="AP67" s="177"/>
      <c r="AS67" s="178"/>
      <c r="AW67" s="178"/>
      <c r="BA67" s="179"/>
    </row>
    <row r="68" spans="1:53" s="170" customFormat="1" x14ac:dyDescent="0.15">
      <c r="A68" s="170">
        <v>2008</v>
      </c>
      <c r="B68" s="304"/>
      <c r="C68" s="395" t="s">
        <v>956</v>
      </c>
      <c r="D68" s="395"/>
      <c r="E68" s="170">
        <v>0</v>
      </c>
      <c r="G68" s="232">
        <v>10</v>
      </c>
      <c r="I68" s="170">
        <v>3</v>
      </c>
      <c r="J68" s="240">
        <v>19</v>
      </c>
      <c r="K68" s="213">
        <f t="shared" si="3"/>
        <v>52.631578947368418</v>
      </c>
      <c r="L68" s="213">
        <f t="shared" si="4"/>
        <v>0</v>
      </c>
      <c r="M68" s="213">
        <f t="shared" si="5"/>
        <v>15.789473684210526</v>
      </c>
      <c r="N68" s="234">
        <f t="shared" si="2"/>
        <v>68.421052631578945</v>
      </c>
      <c r="O68" s="212">
        <v>45.4</v>
      </c>
      <c r="P68" s="213"/>
      <c r="Q68" s="213">
        <v>6.7</v>
      </c>
      <c r="R68" s="214">
        <f t="shared" si="1"/>
        <v>52.1</v>
      </c>
      <c r="S68" s="170">
        <v>2</v>
      </c>
      <c r="T68" s="283"/>
      <c r="U68" s="281"/>
      <c r="V68" s="177" t="s">
        <v>957</v>
      </c>
      <c r="W68" s="170" t="s">
        <v>306</v>
      </c>
      <c r="X68" s="170" t="s">
        <v>11</v>
      </c>
      <c r="Y68" s="178">
        <v>45.4</v>
      </c>
      <c r="Z68" s="177" t="s">
        <v>937</v>
      </c>
      <c r="AA68" s="170" t="s">
        <v>869</v>
      </c>
      <c r="AB68" s="170" t="s">
        <v>12</v>
      </c>
      <c r="AC68" s="170">
        <v>6.7</v>
      </c>
      <c r="AD68" s="177"/>
      <c r="AG68" s="178"/>
      <c r="AL68" s="177"/>
      <c r="AO68" s="178"/>
      <c r="AP68" s="177"/>
      <c r="AS68" s="178"/>
      <c r="AW68" s="178"/>
      <c r="BA68" s="179"/>
    </row>
    <row r="69" spans="1:53" s="170" customFormat="1" x14ac:dyDescent="0.15">
      <c r="A69" s="170">
        <v>2008</v>
      </c>
      <c r="B69" s="304"/>
      <c r="C69" s="395" t="s">
        <v>956</v>
      </c>
      <c r="D69" s="395"/>
      <c r="E69" s="170">
        <v>366</v>
      </c>
      <c r="G69" s="232">
        <v>10</v>
      </c>
      <c r="I69" s="170">
        <v>3</v>
      </c>
      <c r="J69" s="240">
        <v>19</v>
      </c>
      <c r="K69" s="213">
        <f t="shared" si="3"/>
        <v>52.631578947368418</v>
      </c>
      <c r="L69" s="213">
        <f t="shared" si="4"/>
        <v>0</v>
      </c>
      <c r="M69" s="213">
        <f t="shared" si="5"/>
        <v>15.789473684210526</v>
      </c>
      <c r="N69" s="234">
        <f t="shared" si="2"/>
        <v>68.421052631578945</v>
      </c>
      <c r="O69" s="212">
        <v>45.4</v>
      </c>
      <c r="P69" s="213"/>
      <c r="Q69" s="213">
        <v>6.7</v>
      </c>
      <c r="R69" s="214">
        <f t="shared" si="1"/>
        <v>52.1</v>
      </c>
      <c r="S69" s="170">
        <v>2</v>
      </c>
      <c r="T69" s="283"/>
      <c r="U69" s="281"/>
      <c r="V69" s="177" t="s">
        <v>957</v>
      </c>
      <c r="W69" s="170" t="s">
        <v>306</v>
      </c>
      <c r="X69" s="170" t="s">
        <v>11</v>
      </c>
      <c r="Y69" s="178">
        <v>45.4</v>
      </c>
      <c r="Z69" s="177" t="s">
        <v>937</v>
      </c>
      <c r="AA69" s="170" t="s">
        <v>869</v>
      </c>
      <c r="AB69" s="170" t="s">
        <v>12</v>
      </c>
      <c r="AC69" s="170">
        <v>6.7</v>
      </c>
      <c r="AD69" s="177"/>
      <c r="AG69" s="178"/>
      <c r="AL69" s="177"/>
      <c r="AO69" s="178"/>
      <c r="AP69" s="177"/>
      <c r="AS69" s="178"/>
      <c r="AW69" s="178"/>
      <c r="BA69" s="179"/>
    </row>
    <row r="70" spans="1:53" s="170" customFormat="1" x14ac:dyDescent="0.15">
      <c r="A70" s="170">
        <v>2009</v>
      </c>
      <c r="B70" s="304"/>
      <c r="C70" s="395" t="s">
        <v>956</v>
      </c>
      <c r="D70" s="395"/>
      <c r="E70" s="170">
        <v>14</v>
      </c>
      <c r="G70" s="232">
        <v>10</v>
      </c>
      <c r="I70" s="170">
        <v>3</v>
      </c>
      <c r="J70" s="240">
        <v>19</v>
      </c>
      <c r="K70" s="213">
        <f t="shared" si="3"/>
        <v>52.631578947368418</v>
      </c>
      <c r="L70" s="213">
        <f t="shared" si="4"/>
        <v>0</v>
      </c>
      <c r="M70" s="213">
        <f t="shared" si="5"/>
        <v>15.789473684210526</v>
      </c>
      <c r="N70" s="234">
        <f t="shared" si="2"/>
        <v>68.421052631578945</v>
      </c>
      <c r="O70" s="212">
        <v>45.4</v>
      </c>
      <c r="P70" s="213"/>
      <c r="Q70" s="213">
        <v>6.7</v>
      </c>
      <c r="R70" s="214">
        <f t="shared" si="1"/>
        <v>52.1</v>
      </c>
      <c r="S70" s="170">
        <v>2</v>
      </c>
      <c r="T70" s="283"/>
      <c r="U70" s="281"/>
      <c r="V70" s="177" t="s">
        <v>957</v>
      </c>
      <c r="W70" s="170" t="s">
        <v>306</v>
      </c>
      <c r="X70" s="170" t="s">
        <v>11</v>
      </c>
      <c r="Y70" s="178">
        <v>45.4</v>
      </c>
      <c r="Z70" s="177" t="s">
        <v>937</v>
      </c>
      <c r="AA70" s="170" t="s">
        <v>869</v>
      </c>
      <c r="AB70" s="170" t="s">
        <v>12</v>
      </c>
      <c r="AC70" s="170">
        <v>6.7</v>
      </c>
      <c r="AD70" s="177"/>
      <c r="AG70" s="178"/>
      <c r="AL70" s="177"/>
      <c r="AO70" s="178"/>
      <c r="AP70" s="177"/>
      <c r="AS70" s="178"/>
      <c r="AW70" s="178"/>
      <c r="BA70" s="179"/>
    </row>
    <row r="71" spans="1:53" s="170" customFormat="1" x14ac:dyDescent="0.15">
      <c r="A71" s="170">
        <v>2009</v>
      </c>
      <c r="B71" s="308">
        <v>39828</v>
      </c>
      <c r="C71" s="395" t="s">
        <v>956</v>
      </c>
      <c r="D71" s="395"/>
      <c r="E71" s="170">
        <v>8</v>
      </c>
      <c r="F71" s="251">
        <v>0</v>
      </c>
      <c r="G71" s="232">
        <v>11</v>
      </c>
      <c r="I71" s="170">
        <v>3</v>
      </c>
      <c r="J71" s="240">
        <v>19</v>
      </c>
      <c r="K71" s="213">
        <f t="shared" si="3"/>
        <v>57.894736842105267</v>
      </c>
      <c r="L71" s="213">
        <f t="shared" si="4"/>
        <v>0</v>
      </c>
      <c r="M71" s="213">
        <f t="shared" si="5"/>
        <v>15.789473684210526</v>
      </c>
      <c r="N71" s="234">
        <f t="shared" si="2"/>
        <v>73.684210526315795</v>
      </c>
      <c r="O71" s="212">
        <v>45.4</v>
      </c>
      <c r="P71" s="213"/>
      <c r="Q71" s="213">
        <v>6.7</v>
      </c>
      <c r="R71" s="214">
        <f t="shared" si="1"/>
        <v>52.1</v>
      </c>
      <c r="S71" s="170">
        <v>2</v>
      </c>
      <c r="T71" s="283"/>
      <c r="U71" s="281"/>
      <c r="V71" s="177" t="s">
        <v>957</v>
      </c>
      <c r="W71" s="170" t="s">
        <v>306</v>
      </c>
      <c r="X71" s="170" t="s">
        <v>11</v>
      </c>
      <c r="Y71" s="178">
        <v>45.4</v>
      </c>
      <c r="Z71" s="177" t="s">
        <v>937</v>
      </c>
      <c r="AA71" s="170" t="s">
        <v>869</v>
      </c>
      <c r="AB71" s="170" t="s">
        <v>12</v>
      </c>
      <c r="AC71" s="170">
        <v>6.7</v>
      </c>
      <c r="AD71" s="177"/>
      <c r="AG71" s="178"/>
      <c r="AL71" s="177"/>
      <c r="AO71" s="178"/>
      <c r="AP71" s="177"/>
      <c r="AS71" s="178"/>
      <c r="AW71" s="178"/>
      <c r="BA71" s="179"/>
    </row>
    <row r="72" spans="1:53" s="170" customFormat="1" x14ac:dyDescent="0.15">
      <c r="A72" s="170">
        <v>2009</v>
      </c>
      <c r="B72" s="308">
        <v>39836</v>
      </c>
      <c r="C72" s="395" t="s">
        <v>956</v>
      </c>
      <c r="D72" s="395"/>
      <c r="E72" s="170">
        <v>264</v>
      </c>
      <c r="F72" s="251">
        <v>0</v>
      </c>
      <c r="G72" s="232">
        <v>12</v>
      </c>
      <c r="I72" s="170">
        <v>3</v>
      </c>
      <c r="J72" s="240">
        <v>19</v>
      </c>
      <c r="K72" s="213">
        <f t="shared" si="3"/>
        <v>63.157894736842103</v>
      </c>
      <c r="L72" s="213">
        <f t="shared" si="4"/>
        <v>0</v>
      </c>
      <c r="M72" s="213">
        <f t="shared" si="5"/>
        <v>15.789473684210526</v>
      </c>
      <c r="N72" s="234">
        <f t="shared" si="2"/>
        <v>78.94736842105263</v>
      </c>
      <c r="O72" s="212">
        <v>45.4</v>
      </c>
      <c r="P72" s="213"/>
      <c r="Q72" s="213">
        <v>6.7</v>
      </c>
      <c r="R72" s="214">
        <f t="shared" si="1"/>
        <v>52.1</v>
      </c>
      <c r="S72" s="170">
        <v>2</v>
      </c>
      <c r="T72" s="283"/>
      <c r="U72" s="281"/>
      <c r="V72" s="177" t="s">
        <v>957</v>
      </c>
      <c r="W72" s="170" t="s">
        <v>306</v>
      </c>
      <c r="X72" s="170" t="s">
        <v>11</v>
      </c>
      <c r="Y72" s="178">
        <v>45.4</v>
      </c>
      <c r="Z72" s="177" t="s">
        <v>937</v>
      </c>
      <c r="AA72" s="170" t="s">
        <v>869</v>
      </c>
      <c r="AB72" s="170" t="s">
        <v>12</v>
      </c>
      <c r="AC72" s="170">
        <v>6.7</v>
      </c>
      <c r="AD72" s="177"/>
      <c r="AG72" s="178"/>
      <c r="AL72" s="177"/>
      <c r="AO72" s="178"/>
      <c r="AP72" s="177"/>
      <c r="AS72" s="178"/>
      <c r="AW72" s="178"/>
      <c r="BA72" s="179"/>
    </row>
    <row r="73" spans="1:53" s="170" customFormat="1" x14ac:dyDescent="0.15">
      <c r="A73" s="170">
        <v>2009</v>
      </c>
      <c r="B73" s="308">
        <v>40100</v>
      </c>
      <c r="C73" s="395" t="s">
        <v>956</v>
      </c>
      <c r="D73" s="395"/>
      <c r="E73" s="170">
        <v>79</v>
      </c>
      <c r="F73" s="251">
        <v>0</v>
      </c>
      <c r="G73" s="232">
        <v>10</v>
      </c>
      <c r="I73" s="170">
        <v>3</v>
      </c>
      <c r="J73" s="240">
        <v>19</v>
      </c>
      <c r="K73" s="213">
        <f t="shared" si="3"/>
        <v>52.631578947368418</v>
      </c>
      <c r="L73" s="213">
        <f t="shared" si="4"/>
        <v>0</v>
      </c>
      <c r="M73" s="213">
        <f t="shared" si="5"/>
        <v>15.789473684210526</v>
      </c>
      <c r="N73" s="234">
        <f t="shared" si="2"/>
        <v>68.421052631578945</v>
      </c>
      <c r="O73" s="212">
        <v>45.4</v>
      </c>
      <c r="P73" s="213"/>
      <c r="Q73" s="213">
        <v>6.7</v>
      </c>
      <c r="R73" s="214">
        <f t="shared" si="1"/>
        <v>52.1</v>
      </c>
      <c r="S73" s="170">
        <v>2</v>
      </c>
      <c r="T73" s="283"/>
      <c r="U73" s="281"/>
      <c r="V73" s="177" t="s">
        <v>957</v>
      </c>
      <c r="W73" s="170" t="s">
        <v>306</v>
      </c>
      <c r="X73" s="170" t="s">
        <v>11</v>
      </c>
      <c r="Y73" s="178">
        <v>45.4</v>
      </c>
      <c r="Z73" s="177" t="s">
        <v>937</v>
      </c>
      <c r="AA73" s="170" t="s">
        <v>869</v>
      </c>
      <c r="AB73" s="170" t="s">
        <v>12</v>
      </c>
      <c r="AC73" s="170">
        <v>6.7</v>
      </c>
      <c r="AD73" s="177"/>
      <c r="AG73" s="178"/>
      <c r="AL73" s="177"/>
      <c r="AO73" s="178"/>
      <c r="AP73" s="177"/>
      <c r="AS73" s="178"/>
      <c r="AW73" s="178"/>
      <c r="BA73" s="179"/>
    </row>
    <row r="74" spans="1:53" s="170" customFormat="1" x14ac:dyDescent="0.15">
      <c r="A74" s="170">
        <v>2010</v>
      </c>
      <c r="B74" s="304"/>
      <c r="C74" s="395" t="s">
        <v>956</v>
      </c>
      <c r="D74" s="395"/>
      <c r="E74" s="170">
        <v>0</v>
      </c>
      <c r="G74" s="232">
        <v>10</v>
      </c>
      <c r="I74" s="170">
        <v>3</v>
      </c>
      <c r="J74" s="240">
        <v>19</v>
      </c>
      <c r="K74" s="213">
        <f t="shared" si="3"/>
        <v>52.631578947368418</v>
      </c>
      <c r="L74" s="213">
        <f t="shared" si="4"/>
        <v>0</v>
      </c>
      <c r="M74" s="213">
        <f t="shared" si="5"/>
        <v>15.789473684210526</v>
      </c>
      <c r="N74" s="234">
        <f t="shared" si="2"/>
        <v>68.421052631578945</v>
      </c>
      <c r="O74" s="212">
        <v>45.4</v>
      </c>
      <c r="P74" s="213"/>
      <c r="Q74" s="213">
        <v>6.7</v>
      </c>
      <c r="R74" s="214">
        <f t="shared" si="1"/>
        <v>52.1</v>
      </c>
      <c r="S74" s="170">
        <v>2</v>
      </c>
      <c r="T74" s="283"/>
      <c r="U74" s="281"/>
      <c r="V74" s="177" t="s">
        <v>957</v>
      </c>
      <c r="W74" s="170" t="s">
        <v>306</v>
      </c>
      <c r="X74" s="170" t="s">
        <v>11</v>
      </c>
      <c r="Y74" s="178">
        <v>45.4</v>
      </c>
      <c r="Z74" s="177" t="s">
        <v>937</v>
      </c>
      <c r="AA74" s="170" t="s">
        <v>869</v>
      </c>
      <c r="AB74" s="170" t="s">
        <v>12</v>
      </c>
      <c r="AC74" s="170">
        <v>6.7</v>
      </c>
      <c r="AD74" s="177"/>
      <c r="AG74" s="178"/>
      <c r="AL74" s="177"/>
      <c r="AO74" s="178"/>
      <c r="AP74" s="177"/>
      <c r="AS74" s="178"/>
      <c r="AW74" s="178"/>
      <c r="BA74" s="179"/>
    </row>
    <row r="75" spans="1:53" s="170" customFormat="1" x14ac:dyDescent="0.15">
      <c r="A75" s="170">
        <v>2010</v>
      </c>
      <c r="B75" s="304"/>
      <c r="C75" s="395" t="s">
        <v>956</v>
      </c>
      <c r="D75" s="395"/>
      <c r="E75" s="170">
        <v>365</v>
      </c>
      <c r="G75" s="232">
        <v>10</v>
      </c>
      <c r="I75" s="170">
        <v>3</v>
      </c>
      <c r="J75" s="240">
        <v>19</v>
      </c>
      <c r="K75" s="213">
        <f t="shared" si="3"/>
        <v>52.631578947368418</v>
      </c>
      <c r="L75" s="213">
        <f t="shared" si="4"/>
        <v>0</v>
      </c>
      <c r="M75" s="213">
        <f t="shared" si="5"/>
        <v>15.789473684210526</v>
      </c>
      <c r="N75" s="234">
        <f t="shared" si="2"/>
        <v>68.421052631578945</v>
      </c>
      <c r="O75" s="212">
        <v>45.4</v>
      </c>
      <c r="P75" s="213"/>
      <c r="Q75" s="213">
        <v>6.7</v>
      </c>
      <c r="R75" s="214">
        <f t="shared" si="1"/>
        <v>52.1</v>
      </c>
      <c r="S75" s="170">
        <v>2</v>
      </c>
      <c r="T75" s="283"/>
      <c r="U75" s="281"/>
      <c r="V75" s="177" t="s">
        <v>957</v>
      </c>
      <c r="W75" s="170" t="s">
        <v>306</v>
      </c>
      <c r="X75" s="170" t="s">
        <v>11</v>
      </c>
      <c r="Y75" s="178">
        <v>45.4</v>
      </c>
      <c r="Z75" s="177" t="s">
        <v>937</v>
      </c>
      <c r="AA75" s="170" t="s">
        <v>869</v>
      </c>
      <c r="AB75" s="170" t="s">
        <v>12</v>
      </c>
      <c r="AC75" s="170">
        <v>6.7</v>
      </c>
      <c r="AD75" s="177"/>
      <c r="AG75" s="178"/>
      <c r="AL75" s="177"/>
      <c r="AO75" s="178"/>
      <c r="AP75" s="177"/>
      <c r="AS75" s="178"/>
      <c r="AW75" s="178"/>
      <c r="BA75" s="179"/>
    </row>
    <row r="76" spans="1:53" s="170" customFormat="1" x14ac:dyDescent="0.15">
      <c r="A76" s="170">
        <v>2011</v>
      </c>
      <c r="B76" s="304"/>
      <c r="C76" s="395" t="s">
        <v>956</v>
      </c>
      <c r="D76" s="395"/>
      <c r="E76" s="170">
        <v>310</v>
      </c>
      <c r="G76" s="232">
        <v>10</v>
      </c>
      <c r="I76" s="170">
        <v>3</v>
      </c>
      <c r="J76" s="240">
        <v>19</v>
      </c>
      <c r="K76" s="213">
        <f t="shared" ref="K76:K84" si="6">G76/J76*100</f>
        <v>52.631578947368418</v>
      </c>
      <c r="L76" s="213">
        <f t="shared" ref="L76:L84" si="7">H76/J76*100</f>
        <v>0</v>
      </c>
      <c r="M76" s="213">
        <f t="shared" ref="M76:M84" si="8">I76/J76*100</f>
        <v>15.789473684210526</v>
      </c>
      <c r="N76" s="234">
        <f t="shared" si="2"/>
        <v>68.421052631578945</v>
      </c>
      <c r="O76" s="212">
        <v>45.4</v>
      </c>
      <c r="P76" s="213"/>
      <c r="Q76" s="213">
        <v>6.7</v>
      </c>
      <c r="R76" s="214">
        <f t="shared" si="1"/>
        <v>52.1</v>
      </c>
      <c r="S76" s="170">
        <v>2</v>
      </c>
      <c r="T76" s="283"/>
      <c r="U76" s="281"/>
      <c r="V76" s="177" t="s">
        <v>957</v>
      </c>
      <c r="W76" s="170" t="s">
        <v>306</v>
      </c>
      <c r="X76" s="170" t="s">
        <v>11</v>
      </c>
      <c r="Y76" s="178">
        <v>45.4</v>
      </c>
      <c r="Z76" s="177" t="s">
        <v>937</v>
      </c>
      <c r="AA76" s="170" t="s">
        <v>869</v>
      </c>
      <c r="AB76" s="170" t="s">
        <v>12</v>
      </c>
      <c r="AC76" s="170">
        <v>6.7</v>
      </c>
      <c r="AD76" s="177"/>
      <c r="AG76" s="178"/>
      <c r="AL76" s="177"/>
      <c r="AO76" s="178"/>
      <c r="AP76" s="177"/>
      <c r="AS76" s="178"/>
      <c r="AW76" s="178"/>
      <c r="BA76" s="179"/>
    </row>
    <row r="77" spans="1:53" s="170" customFormat="1" x14ac:dyDescent="0.15">
      <c r="A77" s="170">
        <v>2011</v>
      </c>
      <c r="B77" s="308">
        <v>40854</v>
      </c>
      <c r="C77" s="395" t="s">
        <v>956</v>
      </c>
      <c r="D77" s="395"/>
      <c r="E77" s="170">
        <v>11</v>
      </c>
      <c r="F77" s="251">
        <v>0</v>
      </c>
      <c r="G77" s="232">
        <v>8</v>
      </c>
      <c r="I77" s="170">
        <v>3</v>
      </c>
      <c r="J77" s="240">
        <v>17</v>
      </c>
      <c r="K77" s="213">
        <f t="shared" si="6"/>
        <v>47.058823529411761</v>
      </c>
      <c r="L77" s="213">
        <f t="shared" si="7"/>
        <v>0</v>
      </c>
      <c r="M77" s="213">
        <f t="shared" si="8"/>
        <v>17.647058823529413</v>
      </c>
      <c r="N77" s="234">
        <f t="shared" si="2"/>
        <v>64.705882352941174</v>
      </c>
      <c r="O77" s="212">
        <v>45.4</v>
      </c>
      <c r="P77" s="213"/>
      <c r="Q77" s="213">
        <v>6.7</v>
      </c>
      <c r="R77" s="214">
        <f t="shared" si="1"/>
        <v>52.1</v>
      </c>
      <c r="S77" s="170">
        <v>2</v>
      </c>
      <c r="T77" s="283"/>
      <c r="U77" s="281"/>
      <c r="V77" s="177" t="s">
        <v>957</v>
      </c>
      <c r="W77" s="170" t="s">
        <v>306</v>
      </c>
      <c r="X77" s="170" t="s">
        <v>11</v>
      </c>
      <c r="Y77" s="178">
        <v>45.4</v>
      </c>
      <c r="Z77" s="177" t="s">
        <v>937</v>
      </c>
      <c r="AA77" s="170" t="s">
        <v>869</v>
      </c>
      <c r="AB77" s="170" t="s">
        <v>12</v>
      </c>
      <c r="AC77" s="170">
        <v>6.7</v>
      </c>
      <c r="AD77" s="177"/>
      <c r="AG77" s="178"/>
      <c r="AL77" s="177"/>
      <c r="AO77" s="178"/>
      <c r="AP77" s="177"/>
      <c r="AS77" s="178"/>
      <c r="AW77" s="178"/>
      <c r="BA77" s="179"/>
    </row>
    <row r="78" spans="1:53" s="28" customFormat="1" x14ac:dyDescent="0.15">
      <c r="A78" s="28">
        <v>2011</v>
      </c>
      <c r="B78" s="293">
        <v>40865</v>
      </c>
      <c r="C78" s="394" t="s">
        <v>958</v>
      </c>
      <c r="D78" s="394"/>
      <c r="E78" s="28">
        <f xml:space="preserve"> 365-E77-E76</f>
        <v>44</v>
      </c>
      <c r="F78" s="28">
        <v>1</v>
      </c>
      <c r="G78" s="65">
        <v>12</v>
      </c>
      <c r="I78" s="28">
        <v>3</v>
      </c>
      <c r="J78" s="72">
        <v>20</v>
      </c>
      <c r="K78" s="46">
        <f t="shared" si="6"/>
        <v>60</v>
      </c>
      <c r="L78" s="46">
        <f t="shared" si="7"/>
        <v>0</v>
      </c>
      <c r="M78" s="46">
        <f t="shared" si="8"/>
        <v>15</v>
      </c>
      <c r="N78" s="67">
        <f t="shared" si="2"/>
        <v>75</v>
      </c>
      <c r="O78" s="45">
        <v>45</v>
      </c>
      <c r="P78" s="46"/>
      <c r="Q78" s="46">
        <v>6.1</v>
      </c>
      <c r="R78" s="47">
        <f t="shared" si="1"/>
        <v>51.1</v>
      </c>
      <c r="S78" s="28">
        <v>2</v>
      </c>
      <c r="T78" s="284">
        <v>40825</v>
      </c>
      <c r="U78" s="293">
        <v>40865</v>
      </c>
      <c r="V78" s="37" t="s">
        <v>957</v>
      </c>
      <c r="W78" s="28" t="s">
        <v>306</v>
      </c>
      <c r="X78" s="28" t="s">
        <v>11</v>
      </c>
      <c r="Y78" s="38">
        <v>45</v>
      </c>
      <c r="Z78" s="37" t="s">
        <v>937</v>
      </c>
      <c r="AA78" s="28" t="s">
        <v>869</v>
      </c>
      <c r="AB78" s="28" t="s">
        <v>12</v>
      </c>
      <c r="AC78" s="28">
        <v>6.1</v>
      </c>
      <c r="AD78" s="37"/>
      <c r="AG78" s="38"/>
      <c r="AL78" s="37"/>
      <c r="AO78" s="38"/>
      <c r="AP78" s="37"/>
      <c r="AS78" s="38"/>
      <c r="AW78" s="38"/>
      <c r="BA78" s="39"/>
    </row>
    <row r="79" spans="1:53" s="28" customFormat="1" x14ac:dyDescent="0.15">
      <c r="A79" s="28">
        <v>2012</v>
      </c>
      <c r="B79" s="275"/>
      <c r="C79" s="394" t="s">
        <v>958</v>
      </c>
      <c r="D79" s="394"/>
      <c r="E79" s="28">
        <v>0</v>
      </c>
      <c r="G79" s="65">
        <v>12</v>
      </c>
      <c r="I79" s="28">
        <v>3</v>
      </c>
      <c r="J79" s="72">
        <v>20</v>
      </c>
      <c r="K79" s="46">
        <f t="shared" si="6"/>
        <v>60</v>
      </c>
      <c r="L79" s="46">
        <f t="shared" si="7"/>
        <v>0</v>
      </c>
      <c r="M79" s="46">
        <f t="shared" si="8"/>
        <v>15</v>
      </c>
      <c r="N79" s="67">
        <f t="shared" si="2"/>
        <v>75</v>
      </c>
      <c r="O79" s="45">
        <v>45</v>
      </c>
      <c r="P79" s="46"/>
      <c r="Q79" s="46">
        <v>6.1</v>
      </c>
      <c r="R79" s="47">
        <f t="shared" si="1"/>
        <v>51.1</v>
      </c>
      <c r="S79" s="28">
        <v>2</v>
      </c>
      <c r="T79" s="284"/>
      <c r="U79" s="293"/>
      <c r="V79" s="37" t="s">
        <v>957</v>
      </c>
      <c r="W79" s="28" t="s">
        <v>306</v>
      </c>
      <c r="X79" s="28" t="s">
        <v>11</v>
      </c>
      <c r="Y79" s="38">
        <v>45</v>
      </c>
      <c r="Z79" s="28" t="s">
        <v>937</v>
      </c>
      <c r="AA79" s="28" t="s">
        <v>869</v>
      </c>
      <c r="AB79" s="28" t="s">
        <v>12</v>
      </c>
      <c r="AC79" s="28">
        <v>6.1</v>
      </c>
      <c r="AD79" s="37"/>
      <c r="AG79" s="38"/>
      <c r="AL79" s="37"/>
      <c r="AO79" s="38"/>
      <c r="AP79" s="37"/>
      <c r="AS79" s="38"/>
      <c r="AW79" s="38"/>
      <c r="BA79" s="39"/>
    </row>
    <row r="80" spans="1:53" s="28" customFormat="1" x14ac:dyDescent="0.15">
      <c r="A80" s="28">
        <v>2012</v>
      </c>
      <c r="B80" s="275"/>
      <c r="C80" s="394" t="s">
        <v>958</v>
      </c>
      <c r="D80" s="394"/>
      <c r="E80" s="28">
        <v>366</v>
      </c>
      <c r="G80" s="65">
        <v>12</v>
      </c>
      <c r="I80" s="28">
        <v>3</v>
      </c>
      <c r="J80" s="72">
        <v>20</v>
      </c>
      <c r="K80" s="46">
        <f t="shared" si="6"/>
        <v>60</v>
      </c>
      <c r="L80" s="46">
        <f t="shared" si="7"/>
        <v>0</v>
      </c>
      <c r="M80" s="46">
        <f t="shared" si="8"/>
        <v>15</v>
      </c>
      <c r="N80" s="67">
        <f t="shared" si="2"/>
        <v>75</v>
      </c>
      <c r="O80" s="45">
        <v>45</v>
      </c>
      <c r="P80" s="46"/>
      <c r="Q80" s="46">
        <v>6.1</v>
      </c>
      <c r="R80" s="47">
        <f t="shared" si="1"/>
        <v>51.1</v>
      </c>
      <c r="S80" s="28">
        <v>2</v>
      </c>
      <c r="T80" s="284"/>
      <c r="U80" s="293"/>
      <c r="V80" s="37" t="s">
        <v>957</v>
      </c>
      <c r="W80" s="28" t="s">
        <v>306</v>
      </c>
      <c r="X80" s="28" t="s">
        <v>11</v>
      </c>
      <c r="Y80" s="38">
        <v>45</v>
      </c>
      <c r="Z80" s="28" t="s">
        <v>937</v>
      </c>
      <c r="AA80" s="28" t="s">
        <v>869</v>
      </c>
      <c r="AB80" s="28" t="s">
        <v>12</v>
      </c>
      <c r="AC80" s="28">
        <v>6.1</v>
      </c>
      <c r="AD80" s="37"/>
      <c r="AG80" s="38"/>
      <c r="AL80" s="37"/>
      <c r="AO80" s="38"/>
      <c r="AP80" s="37"/>
      <c r="AS80" s="38"/>
      <c r="AW80" s="38"/>
      <c r="BA80" s="39"/>
    </row>
    <row r="81" spans="1:53" s="28" customFormat="1" x14ac:dyDescent="0.15">
      <c r="A81" s="28">
        <v>2013</v>
      </c>
      <c r="B81" s="275"/>
      <c r="C81" s="394" t="s">
        <v>958</v>
      </c>
      <c r="D81" s="394"/>
      <c r="E81" s="28">
        <v>55</v>
      </c>
      <c r="G81" s="65">
        <v>12</v>
      </c>
      <c r="I81" s="28">
        <v>3</v>
      </c>
      <c r="J81" s="72">
        <v>20</v>
      </c>
      <c r="K81" s="46">
        <f t="shared" si="6"/>
        <v>60</v>
      </c>
      <c r="L81" s="46">
        <f t="shared" si="7"/>
        <v>0</v>
      </c>
      <c r="M81" s="46">
        <f t="shared" si="8"/>
        <v>15</v>
      </c>
      <c r="N81" s="67">
        <f>SUM(K81:M81)</f>
        <v>75</v>
      </c>
      <c r="O81" s="45">
        <v>45</v>
      </c>
      <c r="P81" s="46"/>
      <c r="Q81" s="46">
        <v>6.1</v>
      </c>
      <c r="R81" s="47">
        <f t="shared" ref="R81:R87" si="9">SUM(O81:Q81)</f>
        <v>51.1</v>
      </c>
      <c r="S81" s="28">
        <v>2</v>
      </c>
      <c r="T81" s="284"/>
      <c r="U81" s="293"/>
      <c r="V81" s="37" t="s">
        <v>957</v>
      </c>
      <c r="W81" s="28" t="s">
        <v>306</v>
      </c>
      <c r="X81" s="28" t="s">
        <v>11</v>
      </c>
      <c r="Y81" s="38">
        <v>45</v>
      </c>
      <c r="Z81" s="28" t="s">
        <v>937</v>
      </c>
      <c r="AA81" s="28" t="s">
        <v>869</v>
      </c>
      <c r="AB81" s="28" t="s">
        <v>12</v>
      </c>
      <c r="AC81" s="28">
        <v>6.1</v>
      </c>
      <c r="AD81" s="37"/>
      <c r="AG81" s="38"/>
      <c r="AL81" s="37"/>
      <c r="AO81" s="38"/>
      <c r="AP81" s="37"/>
      <c r="AS81" s="38"/>
      <c r="AW81" s="38"/>
      <c r="BA81" s="39"/>
    </row>
    <row r="82" spans="1:53" s="28" customFormat="1" x14ac:dyDescent="0.15">
      <c r="A82" s="28">
        <v>2013</v>
      </c>
      <c r="B82" s="301">
        <v>41330</v>
      </c>
      <c r="C82" s="394" t="s">
        <v>958</v>
      </c>
      <c r="D82" s="394"/>
      <c r="E82" s="28">
        <v>58</v>
      </c>
      <c r="F82" s="83">
        <v>0</v>
      </c>
      <c r="G82" s="65">
        <v>11</v>
      </c>
      <c r="I82" s="28">
        <v>3</v>
      </c>
      <c r="J82" s="72">
        <v>20</v>
      </c>
      <c r="K82" s="46">
        <f t="shared" si="6"/>
        <v>55.000000000000007</v>
      </c>
      <c r="L82" s="46">
        <f t="shared" si="7"/>
        <v>0</v>
      </c>
      <c r="M82" s="46">
        <f t="shared" si="8"/>
        <v>15</v>
      </c>
      <c r="N82" s="67">
        <f>SUM(K82:M82)</f>
        <v>70</v>
      </c>
      <c r="O82" s="45">
        <v>45</v>
      </c>
      <c r="P82" s="46"/>
      <c r="Q82" s="46">
        <v>6.1</v>
      </c>
      <c r="R82" s="47">
        <f t="shared" si="9"/>
        <v>51.1</v>
      </c>
      <c r="S82" s="28">
        <v>2</v>
      </c>
      <c r="T82" s="284"/>
      <c r="U82" s="293"/>
      <c r="V82" s="37" t="s">
        <v>957</v>
      </c>
      <c r="W82" s="28" t="s">
        <v>306</v>
      </c>
      <c r="X82" s="28" t="s">
        <v>11</v>
      </c>
      <c r="Y82" s="38">
        <v>45</v>
      </c>
      <c r="Z82" s="28" t="s">
        <v>937</v>
      </c>
      <c r="AA82" s="28" t="s">
        <v>869</v>
      </c>
      <c r="AB82" s="28" t="s">
        <v>12</v>
      </c>
      <c r="AC82" s="28">
        <v>6.1</v>
      </c>
      <c r="AD82" s="37"/>
      <c r="AG82" s="38"/>
      <c r="AL82" s="37"/>
      <c r="AO82" s="38"/>
      <c r="AP82" s="37"/>
      <c r="AS82" s="38"/>
      <c r="AW82" s="38"/>
      <c r="BA82" s="39"/>
    </row>
    <row r="83" spans="1:53" s="28" customFormat="1" x14ac:dyDescent="0.15">
      <c r="A83" s="28">
        <v>2013</v>
      </c>
      <c r="B83" s="301">
        <v>41388</v>
      </c>
      <c r="C83" s="394" t="s">
        <v>958</v>
      </c>
      <c r="D83" s="394"/>
      <c r="E83" s="28">
        <v>217</v>
      </c>
      <c r="F83" s="83">
        <v>0</v>
      </c>
      <c r="G83" s="65">
        <v>12</v>
      </c>
      <c r="I83" s="28">
        <v>3</v>
      </c>
      <c r="J83" s="72">
        <v>20</v>
      </c>
      <c r="K83" s="46">
        <f t="shared" si="6"/>
        <v>60</v>
      </c>
      <c r="L83" s="46">
        <f t="shared" si="7"/>
        <v>0</v>
      </c>
      <c r="M83" s="46">
        <f t="shared" si="8"/>
        <v>15</v>
      </c>
      <c r="N83" s="67">
        <f>SUM(K83:M83)</f>
        <v>75</v>
      </c>
      <c r="O83" s="45">
        <v>45</v>
      </c>
      <c r="P83" s="46"/>
      <c r="Q83" s="46">
        <v>6.1</v>
      </c>
      <c r="R83" s="47">
        <f t="shared" si="9"/>
        <v>51.1</v>
      </c>
      <c r="S83" s="28">
        <v>2</v>
      </c>
      <c r="T83" s="284"/>
      <c r="U83" s="293"/>
      <c r="V83" s="37" t="s">
        <v>957</v>
      </c>
      <c r="W83" s="28" t="s">
        <v>306</v>
      </c>
      <c r="X83" s="28" t="s">
        <v>11</v>
      </c>
      <c r="Y83" s="38">
        <v>45</v>
      </c>
      <c r="Z83" s="28" t="s">
        <v>937</v>
      </c>
      <c r="AA83" s="28" t="s">
        <v>869</v>
      </c>
      <c r="AB83" s="28" t="s">
        <v>12</v>
      </c>
      <c r="AC83" s="28">
        <v>6.1</v>
      </c>
      <c r="AD83" s="37"/>
      <c r="AG83" s="38"/>
      <c r="AL83" s="37"/>
      <c r="AO83" s="38"/>
      <c r="AP83" s="37"/>
      <c r="AS83" s="38"/>
      <c r="AW83" s="38"/>
      <c r="BA83" s="39"/>
    </row>
    <row r="84" spans="1:53" s="28" customFormat="1" x14ac:dyDescent="0.15">
      <c r="A84" s="28">
        <v>2013</v>
      </c>
      <c r="B84" s="301">
        <v>41605</v>
      </c>
      <c r="C84" s="394" t="s">
        <v>958</v>
      </c>
      <c r="D84" s="394"/>
      <c r="E84" s="28">
        <f>365-E83-E82-E81</f>
        <v>35</v>
      </c>
      <c r="F84" s="83">
        <v>0</v>
      </c>
      <c r="G84" s="65">
        <v>11</v>
      </c>
      <c r="I84" s="28">
        <v>3</v>
      </c>
      <c r="J84" s="72">
        <v>19</v>
      </c>
      <c r="K84" s="46">
        <f t="shared" si="6"/>
        <v>57.894736842105267</v>
      </c>
      <c r="L84" s="46">
        <f t="shared" si="7"/>
        <v>0</v>
      </c>
      <c r="M84" s="46">
        <f t="shared" si="8"/>
        <v>15.789473684210526</v>
      </c>
      <c r="N84" s="67">
        <f t="shared" si="2"/>
        <v>73.684210526315795</v>
      </c>
      <c r="O84" s="45">
        <v>45</v>
      </c>
      <c r="P84" s="46"/>
      <c r="Q84" s="46">
        <v>6.1</v>
      </c>
      <c r="R84" s="47">
        <f t="shared" si="9"/>
        <v>51.1</v>
      </c>
      <c r="S84" s="28">
        <v>2</v>
      </c>
      <c r="T84" s="284"/>
      <c r="U84" s="293"/>
      <c r="V84" s="37" t="s">
        <v>957</v>
      </c>
      <c r="W84" s="28" t="s">
        <v>306</v>
      </c>
      <c r="X84" s="28" t="s">
        <v>11</v>
      </c>
      <c r="Y84" s="38">
        <v>45</v>
      </c>
      <c r="Z84" s="28" t="s">
        <v>937</v>
      </c>
      <c r="AA84" s="28" t="s">
        <v>869</v>
      </c>
      <c r="AB84" s="28" t="s">
        <v>12</v>
      </c>
      <c r="AC84" s="28">
        <v>6.1</v>
      </c>
      <c r="AD84" s="37"/>
      <c r="AG84" s="38"/>
      <c r="AL84" s="37"/>
      <c r="AO84" s="38"/>
      <c r="AP84" s="37"/>
      <c r="AS84" s="38"/>
      <c r="AW84" s="38"/>
      <c r="BA84" s="39"/>
    </row>
    <row r="85" spans="1:53" s="28" customFormat="1" x14ac:dyDescent="0.15">
      <c r="A85" s="28">
        <v>2014</v>
      </c>
      <c r="B85" s="301"/>
      <c r="C85" s="394" t="s">
        <v>958</v>
      </c>
      <c r="D85" s="394"/>
      <c r="E85" s="28">
        <v>167</v>
      </c>
      <c r="F85" s="83"/>
      <c r="G85" s="65">
        <v>11</v>
      </c>
      <c r="I85" s="28">
        <v>3</v>
      </c>
      <c r="J85" s="72">
        <v>19</v>
      </c>
      <c r="K85" s="46">
        <f>G85/J85*100</f>
        <v>57.894736842105267</v>
      </c>
      <c r="L85" s="46">
        <f>H85/J85*100</f>
        <v>0</v>
      </c>
      <c r="M85" s="46">
        <f>I85/J85*100</f>
        <v>15.789473684210526</v>
      </c>
      <c r="N85" s="67">
        <f>SUM(K85:M85)</f>
        <v>73.684210526315795</v>
      </c>
      <c r="O85" s="45">
        <v>45</v>
      </c>
      <c r="P85" s="46"/>
      <c r="Q85" s="46">
        <v>6.1</v>
      </c>
      <c r="R85" s="47">
        <f t="shared" si="9"/>
        <v>51.1</v>
      </c>
      <c r="S85" s="28">
        <v>2</v>
      </c>
      <c r="T85" s="284"/>
      <c r="U85" s="293"/>
      <c r="V85" s="37" t="s">
        <v>957</v>
      </c>
      <c r="W85" s="28" t="s">
        <v>306</v>
      </c>
      <c r="X85" s="28" t="s">
        <v>11</v>
      </c>
      <c r="Y85" s="38">
        <v>45</v>
      </c>
      <c r="Z85" s="28" t="s">
        <v>937</v>
      </c>
      <c r="AA85" s="28" t="s">
        <v>869</v>
      </c>
      <c r="AB85" s="28" t="s">
        <v>12</v>
      </c>
      <c r="AC85" s="28">
        <v>6.1</v>
      </c>
      <c r="AD85" s="37"/>
      <c r="AG85" s="38"/>
      <c r="AL85" s="37"/>
      <c r="AO85" s="38"/>
      <c r="AP85" s="37"/>
      <c r="AS85" s="38"/>
      <c r="AW85" s="38"/>
      <c r="BA85" s="39"/>
    </row>
    <row r="86" spans="1:53" s="28" customFormat="1" x14ac:dyDescent="0.15">
      <c r="A86" s="28">
        <v>2014</v>
      </c>
      <c r="B86" s="301">
        <v>41807</v>
      </c>
      <c r="C86" s="394" t="s">
        <v>958</v>
      </c>
      <c r="D86" s="394"/>
      <c r="E86" s="28">
        <v>97</v>
      </c>
      <c r="F86" s="83">
        <v>0</v>
      </c>
      <c r="G86" s="65">
        <v>10</v>
      </c>
      <c r="I86" s="28">
        <v>3</v>
      </c>
      <c r="J86" s="72">
        <v>19</v>
      </c>
      <c r="K86" s="46">
        <f>G86/J86*100</f>
        <v>52.631578947368418</v>
      </c>
      <c r="L86" s="46">
        <f>H86/J86*100</f>
        <v>0</v>
      </c>
      <c r="M86" s="46">
        <f>I86/J86*100</f>
        <v>15.789473684210526</v>
      </c>
      <c r="N86" s="67">
        <f>SUM(K86:M86)</f>
        <v>68.421052631578945</v>
      </c>
      <c r="O86" s="45">
        <v>45</v>
      </c>
      <c r="P86" s="46"/>
      <c r="Q86" s="46">
        <v>6.1</v>
      </c>
      <c r="R86" s="47">
        <f t="shared" si="9"/>
        <v>51.1</v>
      </c>
      <c r="S86" s="28">
        <v>2</v>
      </c>
      <c r="T86" s="284"/>
      <c r="U86" s="293"/>
      <c r="V86" s="37" t="s">
        <v>957</v>
      </c>
      <c r="W86" s="28" t="s">
        <v>306</v>
      </c>
      <c r="X86" s="28" t="s">
        <v>11</v>
      </c>
      <c r="Y86" s="38">
        <v>45</v>
      </c>
      <c r="Z86" s="28" t="s">
        <v>937</v>
      </c>
      <c r="AA86" s="28" t="s">
        <v>869</v>
      </c>
      <c r="AB86" s="28" t="s">
        <v>12</v>
      </c>
      <c r="AC86" s="28">
        <v>6.1</v>
      </c>
      <c r="AD86" s="37"/>
      <c r="AG86" s="38"/>
      <c r="AL86" s="37"/>
      <c r="AO86" s="38"/>
      <c r="AP86" s="37"/>
      <c r="AS86" s="38"/>
      <c r="AW86" s="38"/>
      <c r="BA86" s="39"/>
    </row>
    <row r="87" spans="1:53" s="170" customFormat="1" x14ac:dyDescent="0.15">
      <c r="A87" s="170">
        <v>2014</v>
      </c>
      <c r="B87" s="304">
        <v>41904</v>
      </c>
      <c r="C87" s="395" t="s">
        <v>1298</v>
      </c>
      <c r="D87" s="395"/>
      <c r="E87" s="170">
        <v>101</v>
      </c>
      <c r="F87" s="170">
        <v>2</v>
      </c>
      <c r="G87" s="232">
        <v>11</v>
      </c>
      <c r="I87" s="170">
        <v>3</v>
      </c>
      <c r="J87" s="240">
        <v>19</v>
      </c>
      <c r="K87" s="213">
        <f>G87/J87*100</f>
        <v>57.894736842105267</v>
      </c>
      <c r="L87" s="213">
        <f>H87/J87*100</f>
        <v>0</v>
      </c>
      <c r="M87" s="213">
        <f>I87/J87*100</f>
        <v>15.789473684210526</v>
      </c>
      <c r="N87" s="234">
        <f>SUM(K87:M87)</f>
        <v>73.684210526315795</v>
      </c>
      <c r="O87" s="212">
        <v>44</v>
      </c>
      <c r="P87" s="213"/>
      <c r="Q87" s="213">
        <v>7</v>
      </c>
      <c r="R87" s="214">
        <f t="shared" si="9"/>
        <v>51</v>
      </c>
      <c r="S87" s="170">
        <v>2</v>
      </c>
      <c r="T87" s="283"/>
      <c r="U87" s="304">
        <v>41904</v>
      </c>
      <c r="V87" s="177" t="s">
        <v>957</v>
      </c>
      <c r="W87" s="170" t="s">
        <v>306</v>
      </c>
      <c r="X87" s="170" t="s">
        <v>11</v>
      </c>
      <c r="Y87" s="178">
        <v>44</v>
      </c>
      <c r="Z87" s="177" t="s">
        <v>937</v>
      </c>
      <c r="AA87" s="170" t="s">
        <v>869</v>
      </c>
      <c r="AB87" s="170" t="s">
        <v>12</v>
      </c>
      <c r="AC87" s="170">
        <v>7</v>
      </c>
      <c r="AD87" s="177"/>
      <c r="AG87" s="178"/>
      <c r="AL87" s="177"/>
      <c r="AO87" s="178"/>
      <c r="AP87" s="177"/>
      <c r="AS87" s="178"/>
      <c r="AW87" s="178"/>
      <c r="BA87" s="179"/>
    </row>
    <row r="88" spans="1:53" s="170" customFormat="1" x14ac:dyDescent="0.15">
      <c r="A88" s="170">
        <v>2015</v>
      </c>
      <c r="B88" s="304"/>
      <c r="C88" s="395" t="s">
        <v>1298</v>
      </c>
      <c r="D88" s="395"/>
      <c r="E88" s="170">
        <v>166</v>
      </c>
      <c r="G88" s="232">
        <v>11</v>
      </c>
      <c r="I88" s="170">
        <v>3</v>
      </c>
      <c r="J88" s="240">
        <v>19</v>
      </c>
      <c r="K88" s="213">
        <f t="shared" ref="K88:K93" si="10">G88/J88*100</f>
        <v>57.894736842105267</v>
      </c>
      <c r="L88" s="213">
        <f t="shared" ref="L88:L93" si="11">H88/J88*100</f>
        <v>0</v>
      </c>
      <c r="M88" s="213">
        <f t="shared" ref="M88:M93" si="12">I88/J88*100</f>
        <v>15.789473684210526</v>
      </c>
      <c r="N88" s="234">
        <f t="shared" ref="N88:N93" si="13">SUM(K88:M88)</f>
        <v>73.684210526315795</v>
      </c>
      <c r="O88" s="212">
        <v>44</v>
      </c>
      <c r="P88" s="213"/>
      <c r="Q88" s="213">
        <v>7</v>
      </c>
      <c r="R88" s="214">
        <f t="shared" ref="R88:R89" si="14">SUM(O88:Q88)</f>
        <v>51</v>
      </c>
      <c r="S88" s="170">
        <v>2</v>
      </c>
      <c r="T88" s="283"/>
      <c r="U88" s="304"/>
      <c r="V88" s="177" t="s">
        <v>957</v>
      </c>
      <c r="W88" s="170" t="s">
        <v>306</v>
      </c>
      <c r="X88" s="170" t="s">
        <v>11</v>
      </c>
      <c r="Y88" s="178">
        <v>44</v>
      </c>
      <c r="Z88" s="177" t="s">
        <v>937</v>
      </c>
      <c r="AA88" s="170" t="s">
        <v>869</v>
      </c>
      <c r="AB88" s="170" t="s">
        <v>12</v>
      </c>
      <c r="AC88" s="170">
        <v>7</v>
      </c>
      <c r="AD88" s="177"/>
      <c r="AG88" s="178"/>
      <c r="AL88" s="177"/>
      <c r="AO88" s="178"/>
      <c r="AP88" s="177"/>
      <c r="AS88" s="178"/>
      <c r="AW88" s="178"/>
      <c r="BA88" s="179"/>
    </row>
    <row r="89" spans="1:53" s="170" customFormat="1" x14ac:dyDescent="0.15">
      <c r="A89" s="170">
        <v>2015</v>
      </c>
      <c r="B89" s="303">
        <v>42171</v>
      </c>
      <c r="C89" s="395" t="s">
        <v>1298</v>
      </c>
      <c r="D89" s="395"/>
      <c r="E89" s="170">
        <v>153</v>
      </c>
      <c r="F89" s="243">
        <v>0</v>
      </c>
      <c r="G89" s="232">
        <v>9</v>
      </c>
      <c r="I89" s="170">
        <v>3</v>
      </c>
      <c r="J89" s="240">
        <v>19</v>
      </c>
      <c r="K89" s="213">
        <f t="shared" si="10"/>
        <v>47.368421052631575</v>
      </c>
      <c r="L89" s="213">
        <f t="shared" si="11"/>
        <v>0</v>
      </c>
      <c r="M89" s="213">
        <f t="shared" si="12"/>
        <v>15.789473684210526</v>
      </c>
      <c r="N89" s="234">
        <f t="shared" si="13"/>
        <v>63.157894736842103</v>
      </c>
      <c r="O89" s="212">
        <v>44</v>
      </c>
      <c r="P89" s="213"/>
      <c r="Q89" s="213">
        <v>7</v>
      </c>
      <c r="R89" s="214">
        <f t="shared" si="14"/>
        <v>51</v>
      </c>
      <c r="S89" s="170">
        <v>2</v>
      </c>
      <c r="T89" s="283"/>
      <c r="U89" s="304"/>
      <c r="V89" s="177" t="s">
        <v>957</v>
      </c>
      <c r="W89" s="170" t="s">
        <v>306</v>
      </c>
      <c r="X89" s="170" t="s">
        <v>11</v>
      </c>
      <c r="Y89" s="178">
        <v>44</v>
      </c>
      <c r="Z89" s="177" t="s">
        <v>937</v>
      </c>
      <c r="AA89" s="170" t="s">
        <v>869</v>
      </c>
      <c r="AB89" s="170" t="s">
        <v>12</v>
      </c>
      <c r="AC89" s="170">
        <v>7</v>
      </c>
      <c r="AD89" s="177"/>
      <c r="AG89" s="178"/>
      <c r="AL89" s="177"/>
      <c r="AO89" s="178"/>
      <c r="AP89" s="177"/>
      <c r="AS89" s="178"/>
      <c r="AW89" s="178"/>
      <c r="BA89" s="179"/>
    </row>
    <row r="90" spans="1:53" s="28" customFormat="1" x14ac:dyDescent="0.15">
      <c r="A90" s="28">
        <v>2015</v>
      </c>
      <c r="B90" s="293">
        <v>42324</v>
      </c>
      <c r="C90" s="394" t="s">
        <v>1322</v>
      </c>
      <c r="D90" s="394"/>
      <c r="E90" s="28">
        <v>46</v>
      </c>
      <c r="F90" s="28">
        <v>1</v>
      </c>
      <c r="G90" s="65">
        <v>18</v>
      </c>
      <c r="J90" s="72">
        <v>24</v>
      </c>
      <c r="K90" s="46">
        <f t="shared" si="10"/>
        <v>75</v>
      </c>
      <c r="L90" s="46">
        <f t="shared" si="11"/>
        <v>0</v>
      </c>
      <c r="M90" s="46">
        <f t="shared" si="12"/>
        <v>0</v>
      </c>
      <c r="N90" s="67">
        <f t="shared" si="13"/>
        <v>75</v>
      </c>
      <c r="O90" s="45">
        <v>51.1</v>
      </c>
      <c r="P90" s="46"/>
      <c r="Q90" s="46"/>
      <c r="R90" s="47">
        <v>51.1</v>
      </c>
      <c r="S90" s="28">
        <v>1</v>
      </c>
      <c r="T90" s="284">
        <v>42302</v>
      </c>
      <c r="U90" s="293">
        <v>42324</v>
      </c>
      <c r="V90" s="37" t="s">
        <v>1323</v>
      </c>
      <c r="W90" s="28" t="s">
        <v>1134</v>
      </c>
      <c r="X90" s="28" t="s">
        <v>11</v>
      </c>
      <c r="Y90" s="38">
        <v>51.1</v>
      </c>
      <c r="Z90" s="37"/>
      <c r="AD90" s="37"/>
      <c r="AG90" s="38"/>
      <c r="AL90" s="37"/>
      <c r="AO90" s="38"/>
      <c r="AP90" s="37"/>
      <c r="AS90" s="38"/>
      <c r="AW90" s="38"/>
      <c r="BA90" s="39"/>
    </row>
    <row r="91" spans="1:53" s="28" customFormat="1" x14ac:dyDescent="0.15">
      <c r="A91" s="28">
        <v>2016</v>
      </c>
      <c r="B91" s="293"/>
      <c r="C91" s="394" t="s">
        <v>1322</v>
      </c>
      <c r="D91" s="394"/>
      <c r="E91" s="28">
        <v>258</v>
      </c>
      <c r="G91" s="65">
        <v>18</v>
      </c>
      <c r="J91" s="72">
        <v>24</v>
      </c>
      <c r="K91" s="46">
        <f t="shared" si="10"/>
        <v>75</v>
      </c>
      <c r="L91" s="46">
        <f t="shared" si="11"/>
        <v>0</v>
      </c>
      <c r="M91" s="46">
        <f t="shared" si="12"/>
        <v>0</v>
      </c>
      <c r="N91" s="67">
        <f t="shared" si="13"/>
        <v>75</v>
      </c>
      <c r="O91" s="45">
        <v>51.1</v>
      </c>
      <c r="P91" s="46"/>
      <c r="Q91" s="46"/>
      <c r="R91" s="47">
        <v>51.1</v>
      </c>
      <c r="S91" s="28">
        <v>1</v>
      </c>
      <c r="T91" s="284"/>
      <c r="U91" s="293"/>
      <c r="V91" s="37" t="s">
        <v>1323</v>
      </c>
      <c r="W91" s="28" t="s">
        <v>1134</v>
      </c>
      <c r="X91" s="28" t="s">
        <v>11</v>
      </c>
      <c r="Y91" s="38">
        <v>51.1</v>
      </c>
      <c r="Z91" s="37"/>
      <c r="AD91" s="37"/>
      <c r="AG91" s="38"/>
      <c r="AL91" s="37"/>
      <c r="AO91" s="38"/>
      <c r="AP91" s="37"/>
      <c r="AS91" s="38"/>
      <c r="AW91" s="38"/>
      <c r="BA91" s="39"/>
    </row>
    <row r="92" spans="1:53" s="28" customFormat="1" x14ac:dyDescent="0.15">
      <c r="A92" s="28">
        <v>2016</v>
      </c>
      <c r="B92" s="305">
        <v>42628</v>
      </c>
      <c r="C92" s="394" t="s">
        <v>1322</v>
      </c>
      <c r="D92" s="394"/>
      <c r="E92" s="28">
        <v>13</v>
      </c>
      <c r="F92" s="120">
        <v>0</v>
      </c>
      <c r="G92" s="65">
        <v>17</v>
      </c>
      <c r="J92" s="72">
        <v>23</v>
      </c>
      <c r="K92" s="46">
        <f t="shared" si="10"/>
        <v>73.91304347826086</v>
      </c>
      <c r="L92" s="46">
        <f t="shared" si="11"/>
        <v>0</v>
      </c>
      <c r="M92" s="46">
        <f t="shared" si="12"/>
        <v>0</v>
      </c>
      <c r="N92" s="67">
        <f t="shared" si="13"/>
        <v>73.91304347826086</v>
      </c>
      <c r="O92" s="45">
        <v>51.1</v>
      </c>
      <c r="P92" s="46"/>
      <c r="Q92" s="46"/>
      <c r="R92" s="47">
        <v>51.1</v>
      </c>
      <c r="S92" s="28">
        <v>1</v>
      </c>
      <c r="T92" s="284"/>
      <c r="U92" s="293"/>
      <c r="V92" s="37" t="s">
        <v>1323</v>
      </c>
      <c r="W92" s="28" t="s">
        <v>1134</v>
      </c>
      <c r="X92" s="28" t="s">
        <v>11</v>
      </c>
      <c r="Y92" s="38">
        <v>51.1</v>
      </c>
      <c r="Z92" s="37"/>
      <c r="AD92" s="37"/>
      <c r="AG92" s="38"/>
      <c r="AL92" s="37"/>
      <c r="AO92" s="38"/>
      <c r="AP92" s="37"/>
      <c r="AS92" s="38"/>
      <c r="AW92" s="38"/>
      <c r="BA92" s="39"/>
    </row>
    <row r="93" spans="1:53" s="28" customFormat="1" x14ac:dyDescent="0.15">
      <c r="A93" s="28">
        <v>2016</v>
      </c>
      <c r="B93" s="305">
        <v>42641</v>
      </c>
      <c r="C93" s="394" t="s">
        <v>1322</v>
      </c>
      <c r="D93" s="394"/>
      <c r="E93" s="28">
        <v>95</v>
      </c>
      <c r="F93" s="120">
        <v>0</v>
      </c>
      <c r="G93" s="65">
        <v>17</v>
      </c>
      <c r="J93" s="72">
        <v>22</v>
      </c>
      <c r="K93" s="46">
        <f t="shared" si="10"/>
        <v>77.272727272727266</v>
      </c>
      <c r="L93" s="46">
        <f t="shared" si="11"/>
        <v>0</v>
      </c>
      <c r="M93" s="46">
        <f t="shared" si="12"/>
        <v>0</v>
      </c>
      <c r="N93" s="67">
        <f t="shared" si="13"/>
        <v>77.272727272727266</v>
      </c>
      <c r="O93" s="45">
        <v>51.1</v>
      </c>
      <c r="P93" s="46"/>
      <c r="Q93" s="46"/>
      <c r="R93" s="47">
        <v>51.1</v>
      </c>
      <c r="S93" s="28">
        <v>1</v>
      </c>
      <c r="T93" s="284"/>
      <c r="U93" s="293"/>
      <c r="V93" s="37" t="s">
        <v>1323</v>
      </c>
      <c r="W93" s="28" t="s">
        <v>1134</v>
      </c>
      <c r="X93" s="28" t="s">
        <v>11</v>
      </c>
      <c r="Y93" s="38">
        <v>51.1</v>
      </c>
      <c r="Z93" s="37"/>
      <c r="AD93" s="37"/>
      <c r="AG93" s="38"/>
      <c r="AL93" s="37"/>
      <c r="AO93" s="38"/>
      <c r="AP93" s="37"/>
      <c r="AS93" s="38"/>
      <c r="AW93" s="38"/>
      <c r="BA93" s="39"/>
    </row>
    <row r="94" spans="1:53" s="28" customFormat="1" x14ac:dyDescent="0.15">
      <c r="A94" s="28">
        <v>2017</v>
      </c>
      <c r="B94" s="305"/>
      <c r="C94" s="394" t="s">
        <v>1322</v>
      </c>
      <c r="D94" s="394"/>
      <c r="E94" s="28">
        <v>344</v>
      </c>
      <c r="F94" s="120"/>
      <c r="G94" s="65">
        <v>17</v>
      </c>
      <c r="J94" s="72">
        <v>22</v>
      </c>
      <c r="K94" s="46">
        <f t="shared" ref="K94:K97" si="15">G94/J94*100</f>
        <v>77.272727272727266</v>
      </c>
      <c r="L94" s="46">
        <f t="shared" ref="L94:L97" si="16">H94/J94*100</f>
        <v>0</v>
      </c>
      <c r="M94" s="46">
        <f t="shared" ref="M94:M97" si="17">I94/J94*100</f>
        <v>0</v>
      </c>
      <c r="N94" s="67">
        <f t="shared" ref="N94:N97" si="18">SUM(K94:M94)</f>
        <v>77.272727272727266</v>
      </c>
      <c r="O94" s="45">
        <v>51.1</v>
      </c>
      <c r="P94" s="46"/>
      <c r="Q94" s="46"/>
      <c r="R94" s="47">
        <v>51.1</v>
      </c>
      <c r="S94" s="28">
        <v>1</v>
      </c>
      <c r="T94" s="284"/>
      <c r="U94" s="293"/>
      <c r="V94" s="37" t="s">
        <v>1323</v>
      </c>
      <c r="W94" s="28" t="s">
        <v>1134</v>
      </c>
      <c r="X94" s="28" t="s">
        <v>11</v>
      </c>
      <c r="Y94" s="38">
        <v>51.1</v>
      </c>
      <c r="Z94" s="37"/>
      <c r="AD94" s="37"/>
      <c r="AG94" s="38"/>
      <c r="AL94" s="37"/>
      <c r="AO94" s="38"/>
      <c r="AP94" s="37"/>
      <c r="AS94" s="38"/>
      <c r="AW94" s="38"/>
      <c r="BA94" s="39"/>
    </row>
    <row r="95" spans="1:53" s="170" customFormat="1" x14ac:dyDescent="0.15">
      <c r="A95" s="170">
        <v>2017</v>
      </c>
      <c r="B95" s="281">
        <v>43080</v>
      </c>
      <c r="C95" s="395" t="s">
        <v>1379</v>
      </c>
      <c r="D95" s="395"/>
      <c r="E95" s="170">
        <v>21</v>
      </c>
      <c r="F95" s="170">
        <v>2</v>
      </c>
      <c r="G95" s="232">
        <v>17</v>
      </c>
      <c r="J95" s="240">
        <v>22</v>
      </c>
      <c r="K95" s="213">
        <f t="shared" si="15"/>
        <v>77.272727272727266</v>
      </c>
      <c r="L95" s="213">
        <f t="shared" si="16"/>
        <v>0</v>
      </c>
      <c r="M95" s="213">
        <f t="shared" si="17"/>
        <v>0</v>
      </c>
      <c r="N95" s="234">
        <f t="shared" si="18"/>
        <v>77.272727272727266</v>
      </c>
      <c r="O95" s="212">
        <v>51.5</v>
      </c>
      <c r="P95" s="213"/>
      <c r="Q95" s="213"/>
      <c r="R95" s="214">
        <v>51.5</v>
      </c>
      <c r="S95" s="170">
        <v>1</v>
      </c>
      <c r="T95" s="283"/>
      <c r="U95" s="281">
        <v>43080</v>
      </c>
      <c r="V95" s="177" t="s">
        <v>1323</v>
      </c>
      <c r="W95" s="170" t="s">
        <v>1134</v>
      </c>
      <c r="X95" s="170" t="s">
        <v>11</v>
      </c>
      <c r="Y95" s="178">
        <v>51.1</v>
      </c>
      <c r="Z95" s="177"/>
      <c r="AD95" s="177"/>
      <c r="AG95" s="178"/>
      <c r="AL95" s="177"/>
      <c r="AO95" s="178"/>
      <c r="AP95" s="177"/>
      <c r="AS95" s="178"/>
      <c r="AW95" s="178"/>
      <c r="BA95" s="179"/>
    </row>
    <row r="96" spans="1:53" s="170" customFormat="1" x14ac:dyDescent="0.15">
      <c r="A96" s="170">
        <v>2018</v>
      </c>
      <c r="B96" s="281"/>
      <c r="C96" s="395" t="s">
        <v>1379</v>
      </c>
      <c r="D96" s="395"/>
      <c r="E96" s="170">
        <v>8</v>
      </c>
      <c r="G96" s="232">
        <v>17</v>
      </c>
      <c r="J96" s="240">
        <v>22</v>
      </c>
      <c r="K96" s="213">
        <f t="shared" si="15"/>
        <v>77.272727272727266</v>
      </c>
      <c r="L96" s="213">
        <f t="shared" si="16"/>
        <v>0</v>
      </c>
      <c r="M96" s="213">
        <f t="shared" si="17"/>
        <v>0</v>
      </c>
      <c r="N96" s="234">
        <f t="shared" si="18"/>
        <v>77.272727272727266</v>
      </c>
      <c r="O96" s="212">
        <v>51.5</v>
      </c>
      <c r="P96" s="213"/>
      <c r="Q96" s="213"/>
      <c r="R96" s="214">
        <v>51.5</v>
      </c>
      <c r="S96" s="170">
        <v>1</v>
      </c>
      <c r="T96" s="283"/>
      <c r="U96" s="281"/>
      <c r="V96" s="177" t="s">
        <v>1323</v>
      </c>
      <c r="W96" s="170" t="s">
        <v>1134</v>
      </c>
      <c r="X96" s="170" t="s">
        <v>11</v>
      </c>
      <c r="Y96" s="178">
        <v>51.1</v>
      </c>
      <c r="Z96" s="177"/>
      <c r="AD96" s="177"/>
      <c r="AG96" s="178"/>
      <c r="AL96" s="177"/>
      <c r="AO96" s="178"/>
      <c r="AP96" s="177"/>
      <c r="AS96" s="178"/>
      <c r="AW96" s="178"/>
      <c r="BA96" s="179"/>
    </row>
    <row r="97" spans="1:53" s="170" customFormat="1" x14ac:dyDescent="0.15">
      <c r="A97" s="170">
        <v>2018</v>
      </c>
      <c r="B97" s="308">
        <v>43109</v>
      </c>
      <c r="C97" s="395" t="s">
        <v>1379</v>
      </c>
      <c r="D97" s="395"/>
      <c r="E97" s="170">
        <v>357</v>
      </c>
      <c r="F97" s="251">
        <v>0</v>
      </c>
      <c r="G97" s="232">
        <v>16</v>
      </c>
      <c r="J97" s="240">
        <v>23</v>
      </c>
      <c r="K97" s="213">
        <f t="shared" si="15"/>
        <v>69.565217391304344</v>
      </c>
      <c r="L97" s="213">
        <f t="shared" si="16"/>
        <v>0</v>
      </c>
      <c r="M97" s="213">
        <f t="shared" si="17"/>
        <v>0</v>
      </c>
      <c r="N97" s="234">
        <f t="shared" si="18"/>
        <v>69.565217391304344</v>
      </c>
      <c r="O97" s="212">
        <v>51.5</v>
      </c>
      <c r="P97" s="213"/>
      <c r="Q97" s="213"/>
      <c r="R97" s="214">
        <v>51.5</v>
      </c>
      <c r="S97" s="170">
        <v>1</v>
      </c>
      <c r="T97" s="283"/>
      <c r="U97" s="281"/>
      <c r="V97" s="177" t="s">
        <v>1323</v>
      </c>
      <c r="W97" s="170" t="s">
        <v>1134</v>
      </c>
      <c r="X97" s="170" t="s">
        <v>11</v>
      </c>
      <c r="Y97" s="178">
        <v>51.1</v>
      </c>
      <c r="Z97" s="177"/>
      <c r="AC97" s="178"/>
      <c r="AG97" s="178"/>
      <c r="AK97" s="178"/>
      <c r="AO97" s="178"/>
      <c r="AS97" s="178"/>
      <c r="AW97" s="178"/>
      <c r="BA97" s="179"/>
    </row>
    <row r="98" spans="1:53" s="170" customFormat="1" x14ac:dyDescent="0.15">
      <c r="A98" s="170">
        <v>2019</v>
      </c>
      <c r="B98" s="308"/>
      <c r="C98" s="395" t="s">
        <v>1379</v>
      </c>
      <c r="D98" s="395"/>
      <c r="E98" s="170">
        <v>153</v>
      </c>
      <c r="F98" s="251"/>
      <c r="G98" s="232">
        <v>16</v>
      </c>
      <c r="J98" s="240">
        <v>23</v>
      </c>
      <c r="K98" s="213">
        <f t="shared" ref="K98:K113" si="19">G98/J98*100</f>
        <v>69.565217391304344</v>
      </c>
      <c r="L98" s="213">
        <f t="shared" ref="L98:L113" si="20">H98/J98*100</f>
        <v>0</v>
      </c>
      <c r="M98" s="213">
        <f t="shared" ref="M98:M113" si="21">I98/J98*100</f>
        <v>0</v>
      </c>
      <c r="N98" s="234">
        <f t="shared" ref="N98:N113" si="22">SUM(K98:M98)</f>
        <v>69.565217391304344</v>
      </c>
      <c r="O98" s="212">
        <v>51.5</v>
      </c>
      <c r="P98" s="213"/>
      <c r="Q98" s="213"/>
      <c r="R98" s="214">
        <v>51.5</v>
      </c>
      <c r="S98" s="170">
        <v>1</v>
      </c>
      <c r="T98" s="283"/>
      <c r="U98" s="281"/>
      <c r="V98" s="177" t="s">
        <v>1323</v>
      </c>
      <c r="W98" s="170" t="s">
        <v>1134</v>
      </c>
      <c r="X98" s="170" t="s">
        <v>11</v>
      </c>
      <c r="Y98" s="178">
        <v>51.1</v>
      </c>
      <c r="Z98" s="177"/>
      <c r="AC98" s="178"/>
      <c r="AG98" s="178"/>
      <c r="AK98" s="178"/>
      <c r="AO98" s="178"/>
      <c r="AS98" s="178"/>
      <c r="AW98" s="178"/>
      <c r="BA98" s="179"/>
    </row>
    <row r="99" spans="1:53" s="170" customFormat="1" x14ac:dyDescent="0.15">
      <c r="A99" s="170">
        <v>2019</v>
      </c>
      <c r="B99" s="308">
        <v>43619</v>
      </c>
      <c r="C99" s="395" t="s">
        <v>1379</v>
      </c>
      <c r="D99" s="395"/>
      <c r="E99" s="170">
        <v>88</v>
      </c>
      <c r="F99" s="251">
        <v>0</v>
      </c>
      <c r="G99" s="232">
        <v>15</v>
      </c>
      <c r="J99" s="240">
        <v>22</v>
      </c>
      <c r="K99" s="213">
        <f t="shared" ref="K99" si="23">G99/J99*100</f>
        <v>68.181818181818173</v>
      </c>
      <c r="L99" s="213">
        <f t="shared" ref="L99" si="24">H99/J99*100</f>
        <v>0</v>
      </c>
      <c r="M99" s="213">
        <f t="shared" ref="M99" si="25">I99/J99*100</f>
        <v>0</v>
      </c>
      <c r="N99" s="234">
        <f t="shared" ref="N99" si="26">SUM(K99:M99)</f>
        <v>68.181818181818173</v>
      </c>
      <c r="O99" s="212">
        <v>51.5</v>
      </c>
      <c r="P99" s="213"/>
      <c r="Q99" s="213"/>
      <c r="R99" s="214">
        <v>51.5</v>
      </c>
      <c r="S99" s="170">
        <v>1</v>
      </c>
      <c r="T99" s="283"/>
      <c r="U99" s="281"/>
      <c r="V99" s="177" t="s">
        <v>1323</v>
      </c>
      <c r="W99" s="170" t="s">
        <v>1134</v>
      </c>
      <c r="X99" s="170" t="s">
        <v>11</v>
      </c>
      <c r="Y99" s="178">
        <v>51.1</v>
      </c>
      <c r="Z99" s="177"/>
      <c r="AC99" s="178"/>
      <c r="AG99" s="178"/>
      <c r="AK99" s="178"/>
      <c r="AO99" s="178"/>
      <c r="AS99" s="178"/>
      <c r="AW99" s="178"/>
      <c r="BA99" s="179"/>
    </row>
    <row r="100" spans="1:53" s="170" customFormat="1" x14ac:dyDescent="0.15">
      <c r="A100" s="170">
        <v>2019</v>
      </c>
      <c r="B100" s="308">
        <v>43707</v>
      </c>
      <c r="C100" s="395" t="s">
        <v>1379</v>
      </c>
      <c r="D100" s="395"/>
      <c r="E100" s="170">
        <v>77</v>
      </c>
      <c r="F100" s="251">
        <v>0</v>
      </c>
      <c r="G100" s="232">
        <v>15</v>
      </c>
      <c r="J100" s="240">
        <v>21</v>
      </c>
      <c r="K100" s="213">
        <f t="shared" si="19"/>
        <v>71.428571428571431</v>
      </c>
      <c r="L100" s="213">
        <f t="shared" si="20"/>
        <v>0</v>
      </c>
      <c r="M100" s="213">
        <f t="shared" si="21"/>
        <v>0</v>
      </c>
      <c r="N100" s="234">
        <f t="shared" si="22"/>
        <v>71.428571428571431</v>
      </c>
      <c r="O100" s="212">
        <v>51.5</v>
      </c>
      <c r="P100" s="213"/>
      <c r="Q100" s="213"/>
      <c r="R100" s="214">
        <v>51.5</v>
      </c>
      <c r="S100" s="170">
        <v>1</v>
      </c>
      <c r="T100" s="283"/>
      <c r="U100" s="281"/>
      <c r="V100" s="177" t="s">
        <v>1323</v>
      </c>
      <c r="W100" s="170" t="s">
        <v>1134</v>
      </c>
      <c r="X100" s="170" t="s">
        <v>11</v>
      </c>
      <c r="Y100" s="178">
        <v>51.1</v>
      </c>
      <c r="Z100" s="177"/>
      <c r="AC100" s="178"/>
      <c r="AG100" s="178"/>
      <c r="AK100" s="178"/>
      <c r="AO100" s="178"/>
      <c r="AS100" s="178"/>
      <c r="AW100" s="178"/>
      <c r="BA100" s="179"/>
    </row>
    <row r="101" spans="1:53" s="28" customFormat="1" x14ac:dyDescent="0.15">
      <c r="A101" s="28">
        <v>2019</v>
      </c>
      <c r="B101" s="293">
        <v>43784</v>
      </c>
      <c r="C101" s="394" t="s">
        <v>1423</v>
      </c>
      <c r="D101" s="394"/>
      <c r="E101" s="28">
        <v>47</v>
      </c>
      <c r="F101" s="28">
        <v>1</v>
      </c>
      <c r="G101" s="65">
        <v>17</v>
      </c>
      <c r="J101" s="72">
        <v>24</v>
      </c>
      <c r="K101" s="46">
        <f t="shared" si="19"/>
        <v>70.833333333333343</v>
      </c>
      <c r="L101" s="46">
        <f t="shared" si="20"/>
        <v>0</v>
      </c>
      <c r="M101" s="46">
        <f t="shared" si="21"/>
        <v>0</v>
      </c>
      <c r="N101" s="67">
        <f t="shared" si="22"/>
        <v>70.833333333333343</v>
      </c>
      <c r="O101" s="45">
        <v>51.5</v>
      </c>
      <c r="P101" s="46"/>
      <c r="Q101" s="46"/>
      <c r="R101" s="47">
        <f>SUM(O101:Q101)</f>
        <v>51.5</v>
      </c>
      <c r="S101" s="36">
        <v>1</v>
      </c>
      <c r="T101" s="319">
        <v>43751</v>
      </c>
      <c r="U101" s="293">
        <v>43784</v>
      </c>
      <c r="V101" s="37" t="s">
        <v>1323</v>
      </c>
      <c r="W101" s="28" t="s">
        <v>1134</v>
      </c>
      <c r="X101" s="28" t="s">
        <v>11</v>
      </c>
      <c r="Y101" s="38">
        <v>51.1</v>
      </c>
      <c r="AC101" s="38"/>
      <c r="AG101" s="38"/>
      <c r="AK101" s="38"/>
      <c r="AO101" s="38"/>
      <c r="AS101" s="38"/>
      <c r="AW101" s="38"/>
      <c r="BA101" s="39"/>
    </row>
    <row r="102" spans="1:53" s="28" customFormat="1" x14ac:dyDescent="0.15">
      <c r="A102" s="28">
        <v>2020</v>
      </c>
      <c r="B102" s="293"/>
      <c r="C102" s="394" t="s">
        <v>1423</v>
      </c>
      <c r="D102" s="394"/>
      <c r="E102" s="28">
        <v>238</v>
      </c>
      <c r="F102" s="39"/>
      <c r="G102" s="28">
        <v>17</v>
      </c>
      <c r="J102" s="72">
        <v>24</v>
      </c>
      <c r="K102" s="46">
        <f t="shared" si="19"/>
        <v>70.833333333333343</v>
      </c>
      <c r="L102" s="46">
        <f t="shared" si="20"/>
        <v>0</v>
      </c>
      <c r="M102" s="46">
        <f t="shared" si="21"/>
        <v>0</v>
      </c>
      <c r="N102" s="47">
        <f t="shared" si="22"/>
        <v>70.833333333333343</v>
      </c>
      <c r="O102" s="46">
        <v>51.5</v>
      </c>
      <c r="P102" s="46"/>
      <c r="Q102" s="46"/>
      <c r="R102" s="47">
        <f>SUM(O102:Q102)</f>
        <v>51.5</v>
      </c>
      <c r="S102" s="36">
        <v>1</v>
      </c>
      <c r="T102" s="284"/>
      <c r="U102" s="290"/>
      <c r="V102" s="28" t="s">
        <v>1323</v>
      </c>
      <c r="W102" s="28" t="s">
        <v>1134</v>
      </c>
      <c r="X102" s="28" t="s">
        <v>11</v>
      </c>
      <c r="Y102" s="38">
        <v>51.1</v>
      </c>
      <c r="AC102" s="38"/>
      <c r="AG102" s="38"/>
      <c r="AK102" s="38"/>
      <c r="AO102" s="38"/>
      <c r="AS102" s="38"/>
      <c r="AW102" s="38"/>
      <c r="BA102" s="39"/>
    </row>
    <row r="103" spans="1:53" s="28" customFormat="1" x14ac:dyDescent="0.15">
      <c r="A103" s="28">
        <v>2020</v>
      </c>
      <c r="B103" s="301">
        <v>44069</v>
      </c>
      <c r="C103" s="394" t="s">
        <v>1423</v>
      </c>
      <c r="D103" s="394"/>
      <c r="E103" s="28">
        <v>41</v>
      </c>
      <c r="F103" s="340">
        <v>0</v>
      </c>
      <c r="G103" s="28">
        <v>16</v>
      </c>
      <c r="J103" s="72">
        <v>24</v>
      </c>
      <c r="K103" s="46">
        <f t="shared" si="19"/>
        <v>66.666666666666657</v>
      </c>
      <c r="L103" s="46">
        <f t="shared" si="20"/>
        <v>0</v>
      </c>
      <c r="M103" s="46">
        <f t="shared" si="21"/>
        <v>0</v>
      </c>
      <c r="N103" s="47">
        <f t="shared" si="22"/>
        <v>66.666666666666657</v>
      </c>
      <c r="O103" s="46">
        <v>51.5</v>
      </c>
      <c r="P103" s="46"/>
      <c r="Q103" s="46"/>
      <c r="R103" s="47">
        <v>51.5</v>
      </c>
      <c r="S103" s="36">
        <v>1</v>
      </c>
      <c r="T103" s="284"/>
      <c r="U103" s="290"/>
      <c r="V103" s="28" t="s">
        <v>1323</v>
      </c>
      <c r="W103" s="28" t="s">
        <v>1134</v>
      </c>
      <c r="X103" s="28" t="s">
        <v>11</v>
      </c>
      <c r="Y103" s="38">
        <v>51.1</v>
      </c>
      <c r="AC103" s="38"/>
      <c r="AG103" s="38"/>
      <c r="AK103" s="38"/>
      <c r="AO103" s="38"/>
      <c r="AS103" s="38"/>
      <c r="AW103" s="38"/>
      <c r="BA103" s="39"/>
    </row>
    <row r="104" spans="1:53" s="28" customFormat="1" x14ac:dyDescent="0.15">
      <c r="A104" s="28">
        <v>2020</v>
      </c>
      <c r="B104" s="301">
        <v>44110</v>
      </c>
      <c r="C104" s="394" t="s">
        <v>1423</v>
      </c>
      <c r="D104" s="394"/>
      <c r="E104" s="28">
        <v>87</v>
      </c>
      <c r="F104" s="340">
        <v>0</v>
      </c>
      <c r="G104" s="28">
        <v>15</v>
      </c>
      <c r="J104" s="72">
        <v>21</v>
      </c>
      <c r="K104" s="46">
        <f t="shared" si="19"/>
        <v>71.428571428571431</v>
      </c>
      <c r="L104" s="46">
        <f t="shared" si="20"/>
        <v>0</v>
      </c>
      <c r="M104" s="46">
        <f t="shared" si="21"/>
        <v>0</v>
      </c>
      <c r="N104" s="47">
        <f t="shared" si="22"/>
        <v>71.428571428571431</v>
      </c>
      <c r="O104" s="46">
        <v>51.5</v>
      </c>
      <c r="P104" s="46"/>
      <c r="Q104" s="46"/>
      <c r="R104" s="47">
        <v>51.5</v>
      </c>
      <c r="S104" s="36">
        <v>1</v>
      </c>
      <c r="T104" s="284"/>
      <c r="U104" s="290"/>
      <c r="V104" s="28" t="s">
        <v>1323</v>
      </c>
      <c r="W104" s="28" t="s">
        <v>1134</v>
      </c>
      <c r="X104" s="28" t="s">
        <v>11</v>
      </c>
      <c r="Y104" s="38">
        <v>51.1</v>
      </c>
      <c r="AC104" s="38"/>
      <c r="AG104" s="38"/>
      <c r="AK104" s="38"/>
      <c r="AO104" s="38"/>
      <c r="AS104" s="38"/>
      <c r="AW104" s="38"/>
      <c r="BA104" s="39"/>
    </row>
    <row r="105" spans="1:53" s="28" customFormat="1" x14ac:dyDescent="0.15">
      <c r="A105" s="28">
        <v>2021</v>
      </c>
      <c r="B105" s="301"/>
      <c r="C105" s="394" t="s">
        <v>1423</v>
      </c>
      <c r="D105" s="394"/>
      <c r="E105" s="28">
        <v>223</v>
      </c>
      <c r="F105" s="340"/>
      <c r="G105" s="28">
        <v>15</v>
      </c>
      <c r="J105" s="72">
        <v>21</v>
      </c>
      <c r="K105" s="46">
        <f t="shared" si="19"/>
        <v>71.428571428571431</v>
      </c>
      <c r="L105" s="46">
        <f t="shared" si="20"/>
        <v>0</v>
      </c>
      <c r="M105" s="46">
        <f t="shared" si="21"/>
        <v>0</v>
      </c>
      <c r="N105" s="47">
        <f t="shared" si="22"/>
        <v>71.428571428571431</v>
      </c>
      <c r="O105" s="46">
        <v>51.5</v>
      </c>
      <c r="P105" s="46"/>
      <c r="Q105" s="46"/>
      <c r="R105" s="47">
        <v>51.5</v>
      </c>
      <c r="S105" s="36">
        <v>1</v>
      </c>
      <c r="T105" s="284"/>
      <c r="U105" s="290"/>
      <c r="V105" s="28" t="s">
        <v>1323</v>
      </c>
      <c r="W105" s="28" t="s">
        <v>1134</v>
      </c>
      <c r="X105" s="28" t="s">
        <v>11</v>
      </c>
      <c r="Y105" s="38">
        <v>51.1</v>
      </c>
      <c r="AC105" s="38"/>
      <c r="AG105" s="38"/>
      <c r="AK105" s="38"/>
      <c r="AO105" s="38"/>
      <c r="AS105" s="38"/>
      <c r="AW105" s="38"/>
      <c r="BA105" s="39"/>
    </row>
    <row r="106" spans="1:53" s="28" customFormat="1" x14ac:dyDescent="0.15">
      <c r="A106" s="28">
        <v>2021</v>
      </c>
      <c r="B106" s="301">
        <v>44419</v>
      </c>
      <c r="C106" s="394" t="s">
        <v>1423</v>
      </c>
      <c r="D106" s="394"/>
      <c r="E106" s="28">
        <v>76</v>
      </c>
      <c r="F106" s="340">
        <v>0</v>
      </c>
      <c r="G106" s="28">
        <v>14</v>
      </c>
      <c r="J106" s="72">
        <v>21</v>
      </c>
      <c r="K106" s="46">
        <f t="shared" si="19"/>
        <v>66.666666666666657</v>
      </c>
      <c r="L106" s="46">
        <f t="shared" si="20"/>
        <v>0</v>
      </c>
      <c r="M106" s="46">
        <f t="shared" si="21"/>
        <v>0</v>
      </c>
      <c r="N106" s="47">
        <f t="shared" si="22"/>
        <v>66.666666666666657</v>
      </c>
      <c r="O106" s="46">
        <v>51.5</v>
      </c>
      <c r="P106" s="46"/>
      <c r="Q106" s="46"/>
      <c r="R106" s="47">
        <v>51.5</v>
      </c>
      <c r="S106" s="36">
        <v>1</v>
      </c>
      <c r="T106" s="284"/>
      <c r="U106" s="290"/>
      <c r="V106" s="28" t="s">
        <v>1323</v>
      </c>
      <c r="W106" s="28" t="s">
        <v>1134</v>
      </c>
      <c r="X106" s="28" t="s">
        <v>11</v>
      </c>
      <c r="Y106" s="38">
        <v>51.1</v>
      </c>
      <c r="AC106" s="38"/>
      <c r="AG106" s="38"/>
      <c r="AK106" s="38"/>
      <c r="AO106" s="38"/>
      <c r="AS106" s="38"/>
      <c r="AW106" s="38"/>
      <c r="BA106" s="39"/>
    </row>
    <row r="107" spans="1:53" s="28" customFormat="1" x14ac:dyDescent="0.15">
      <c r="A107" s="28">
        <v>2021</v>
      </c>
      <c r="B107" s="301">
        <v>44495</v>
      </c>
      <c r="C107" s="394" t="s">
        <v>1423</v>
      </c>
      <c r="D107" s="394"/>
      <c r="E107" s="28">
        <v>66</v>
      </c>
      <c r="F107" s="340">
        <v>0</v>
      </c>
      <c r="G107" s="28">
        <v>18</v>
      </c>
      <c r="J107" s="72">
        <v>23</v>
      </c>
      <c r="K107" s="46">
        <f t="shared" si="19"/>
        <v>78.260869565217391</v>
      </c>
      <c r="L107" s="46">
        <f t="shared" si="20"/>
        <v>0</v>
      </c>
      <c r="M107" s="46">
        <f t="shared" si="21"/>
        <v>0</v>
      </c>
      <c r="N107" s="47">
        <f t="shared" si="22"/>
        <v>78.260869565217391</v>
      </c>
      <c r="O107" s="46">
        <v>51.5</v>
      </c>
      <c r="P107" s="46"/>
      <c r="Q107" s="46"/>
      <c r="R107" s="47">
        <v>51.5</v>
      </c>
      <c r="S107" s="36">
        <v>1</v>
      </c>
      <c r="T107" s="284"/>
      <c r="U107" s="290"/>
      <c r="V107" s="28" t="s">
        <v>1323</v>
      </c>
      <c r="W107" s="28" t="s">
        <v>1134</v>
      </c>
      <c r="X107" s="28" t="s">
        <v>11</v>
      </c>
      <c r="Y107" s="38">
        <v>51.1</v>
      </c>
      <c r="AC107" s="38"/>
      <c r="AG107" s="38"/>
      <c r="AK107" s="38"/>
      <c r="AO107" s="38"/>
      <c r="AS107" s="38"/>
      <c r="AW107" s="38"/>
      <c r="BA107" s="39"/>
    </row>
    <row r="108" spans="1:53" s="28" customFormat="1" x14ac:dyDescent="0.15">
      <c r="A108" s="28">
        <v>2022</v>
      </c>
      <c r="B108" s="301"/>
      <c r="C108" s="394" t="s">
        <v>1423</v>
      </c>
      <c r="D108" s="394"/>
      <c r="E108" s="28">
        <v>38</v>
      </c>
      <c r="F108" s="340"/>
      <c r="G108" s="28">
        <v>18</v>
      </c>
      <c r="J108" s="72">
        <v>23</v>
      </c>
      <c r="K108" s="46">
        <f t="shared" si="19"/>
        <v>78.260869565217391</v>
      </c>
      <c r="L108" s="46">
        <f t="shared" si="20"/>
        <v>0</v>
      </c>
      <c r="M108" s="46">
        <f t="shared" si="21"/>
        <v>0</v>
      </c>
      <c r="N108" s="47">
        <f t="shared" si="22"/>
        <v>78.260869565217391</v>
      </c>
      <c r="O108" s="46">
        <v>51.5</v>
      </c>
      <c r="P108" s="46"/>
      <c r="Q108" s="46"/>
      <c r="R108" s="47">
        <v>51.5</v>
      </c>
      <c r="S108" s="36">
        <v>1</v>
      </c>
      <c r="T108" s="284"/>
      <c r="U108" s="290"/>
      <c r="V108" s="28" t="s">
        <v>1323</v>
      </c>
      <c r="W108" s="28" t="s">
        <v>1134</v>
      </c>
      <c r="X108" s="28" t="s">
        <v>11</v>
      </c>
      <c r="Y108" s="38">
        <v>51.1</v>
      </c>
      <c r="AC108" s="38"/>
      <c r="AG108" s="38"/>
      <c r="AK108" s="38"/>
      <c r="AO108" s="38"/>
      <c r="AS108" s="38"/>
      <c r="AW108" s="38"/>
      <c r="BA108" s="39"/>
    </row>
    <row r="109" spans="1:53" s="28" customFormat="1" x14ac:dyDescent="0.15">
      <c r="A109" s="28">
        <v>2022</v>
      </c>
      <c r="B109" s="301">
        <v>44599</v>
      </c>
      <c r="C109" s="394" t="s">
        <v>1423</v>
      </c>
      <c r="D109" s="394"/>
      <c r="E109" s="28">
        <v>59</v>
      </c>
      <c r="F109" s="340">
        <v>0</v>
      </c>
      <c r="G109" s="28">
        <v>18</v>
      </c>
      <c r="J109" s="72">
        <v>22</v>
      </c>
      <c r="K109" s="46">
        <f t="shared" si="19"/>
        <v>81.818181818181827</v>
      </c>
      <c r="L109" s="46">
        <f t="shared" si="20"/>
        <v>0</v>
      </c>
      <c r="M109" s="46">
        <f t="shared" si="21"/>
        <v>0</v>
      </c>
      <c r="N109" s="47">
        <f t="shared" si="22"/>
        <v>81.818181818181827</v>
      </c>
      <c r="O109" s="46">
        <v>51.5</v>
      </c>
      <c r="P109" s="46"/>
      <c r="Q109" s="46"/>
      <c r="R109" s="47">
        <v>51.5</v>
      </c>
      <c r="S109" s="36">
        <v>1</v>
      </c>
      <c r="T109" s="284"/>
      <c r="U109" s="290"/>
      <c r="V109" s="28" t="s">
        <v>1323</v>
      </c>
      <c r="W109" s="28" t="s">
        <v>1134</v>
      </c>
      <c r="X109" s="28" t="s">
        <v>11</v>
      </c>
      <c r="Y109" s="38">
        <v>51.1</v>
      </c>
      <c r="AC109" s="38"/>
      <c r="AG109" s="38"/>
      <c r="AK109" s="38"/>
      <c r="AO109" s="38"/>
      <c r="AS109" s="38"/>
      <c r="AW109" s="38"/>
      <c r="BA109" s="39"/>
    </row>
    <row r="110" spans="1:53" s="28" customFormat="1" x14ac:dyDescent="0.15">
      <c r="A110" s="28">
        <v>2022</v>
      </c>
      <c r="B110" s="301">
        <v>44658</v>
      </c>
      <c r="C110" s="394" t="s">
        <v>1423</v>
      </c>
      <c r="D110" s="394"/>
      <c r="E110" s="28">
        <v>19</v>
      </c>
      <c r="F110" s="340">
        <v>0</v>
      </c>
      <c r="G110" s="28">
        <v>19</v>
      </c>
      <c r="J110" s="72">
        <v>22</v>
      </c>
      <c r="K110" s="46">
        <f t="shared" si="19"/>
        <v>86.36363636363636</v>
      </c>
      <c r="L110" s="46">
        <f t="shared" si="20"/>
        <v>0</v>
      </c>
      <c r="M110" s="46">
        <f t="shared" si="21"/>
        <v>0</v>
      </c>
      <c r="N110" s="47">
        <f t="shared" si="22"/>
        <v>86.36363636363636</v>
      </c>
      <c r="O110" s="46">
        <v>51.5</v>
      </c>
      <c r="P110" s="46"/>
      <c r="Q110" s="46"/>
      <c r="R110" s="47">
        <v>51.5</v>
      </c>
      <c r="S110" s="36">
        <v>1</v>
      </c>
      <c r="T110" s="284"/>
      <c r="U110" s="290"/>
      <c r="V110" s="28" t="s">
        <v>1323</v>
      </c>
      <c r="W110" s="28" t="s">
        <v>1134</v>
      </c>
      <c r="X110" s="28" t="s">
        <v>11</v>
      </c>
      <c r="Y110" s="38">
        <v>51.1</v>
      </c>
      <c r="AC110" s="38"/>
      <c r="AG110" s="38"/>
      <c r="AK110" s="38"/>
      <c r="AO110" s="38"/>
      <c r="AS110" s="38"/>
      <c r="AW110" s="38"/>
      <c r="BA110" s="39"/>
    </row>
    <row r="111" spans="1:53" s="28" customFormat="1" x14ac:dyDescent="0.15">
      <c r="A111" s="28">
        <v>2022</v>
      </c>
      <c r="B111" s="301">
        <v>44677</v>
      </c>
      <c r="C111" s="394" t="s">
        <v>1423</v>
      </c>
      <c r="D111" s="394"/>
      <c r="E111" s="28">
        <v>50</v>
      </c>
      <c r="F111" s="340">
        <v>0</v>
      </c>
      <c r="G111" s="28">
        <v>19</v>
      </c>
      <c r="J111" s="72">
        <v>23</v>
      </c>
      <c r="K111" s="46">
        <f t="shared" si="19"/>
        <v>82.608695652173907</v>
      </c>
      <c r="L111" s="46">
        <f t="shared" si="20"/>
        <v>0</v>
      </c>
      <c r="M111" s="46">
        <f t="shared" si="21"/>
        <v>0</v>
      </c>
      <c r="N111" s="47">
        <f t="shared" si="22"/>
        <v>82.608695652173907</v>
      </c>
      <c r="O111" s="46">
        <v>51.5</v>
      </c>
      <c r="P111" s="46"/>
      <c r="Q111" s="46"/>
      <c r="R111" s="47">
        <v>51.5</v>
      </c>
      <c r="S111" s="36">
        <v>1</v>
      </c>
      <c r="T111" s="284"/>
      <c r="U111" s="290"/>
      <c r="V111" s="28" t="s">
        <v>1323</v>
      </c>
      <c r="W111" s="28" t="s">
        <v>1134</v>
      </c>
      <c r="X111" s="28" t="s">
        <v>11</v>
      </c>
      <c r="Y111" s="38">
        <v>51.1</v>
      </c>
      <c r="AC111" s="38"/>
      <c r="AG111" s="38"/>
      <c r="AK111" s="38"/>
      <c r="AO111" s="38"/>
      <c r="AS111" s="38"/>
      <c r="AW111" s="38"/>
      <c r="BA111" s="39"/>
    </row>
    <row r="112" spans="1:53" s="28" customFormat="1" x14ac:dyDescent="0.15">
      <c r="A112" s="28">
        <v>2022</v>
      </c>
      <c r="B112" s="301">
        <v>44727</v>
      </c>
      <c r="C112" s="394" t="s">
        <v>1423</v>
      </c>
      <c r="D112" s="394"/>
      <c r="E112" s="28">
        <v>2</v>
      </c>
      <c r="F112" s="340">
        <v>0</v>
      </c>
      <c r="G112" s="28">
        <v>21</v>
      </c>
      <c r="J112" s="72">
        <v>26</v>
      </c>
      <c r="K112" s="46">
        <f t="shared" si="19"/>
        <v>80.769230769230774</v>
      </c>
      <c r="L112" s="46">
        <f t="shared" si="20"/>
        <v>0</v>
      </c>
      <c r="M112" s="46">
        <f t="shared" si="21"/>
        <v>0</v>
      </c>
      <c r="N112" s="47">
        <f t="shared" si="22"/>
        <v>80.769230769230774</v>
      </c>
      <c r="O112" s="46">
        <v>51.5</v>
      </c>
      <c r="P112" s="46"/>
      <c r="Q112" s="46"/>
      <c r="R112" s="47">
        <v>51.5</v>
      </c>
      <c r="S112" s="36">
        <v>1</v>
      </c>
      <c r="T112" s="284"/>
      <c r="U112" s="290"/>
      <c r="V112" s="28" t="s">
        <v>1323</v>
      </c>
      <c r="W112" s="28" t="s">
        <v>1134</v>
      </c>
      <c r="X112" s="28" t="s">
        <v>11</v>
      </c>
      <c r="Y112" s="38">
        <v>51.1</v>
      </c>
      <c r="AC112" s="38"/>
      <c r="AG112" s="38"/>
      <c r="AK112" s="38"/>
      <c r="AO112" s="38"/>
      <c r="AS112" s="38"/>
      <c r="AW112" s="38"/>
      <c r="BA112" s="39"/>
    </row>
    <row r="113" spans="1:53" s="28" customFormat="1" x14ac:dyDescent="0.15">
      <c r="A113" s="28">
        <v>2022</v>
      </c>
      <c r="B113" s="301">
        <v>44729</v>
      </c>
      <c r="C113" s="394" t="s">
        <v>1423</v>
      </c>
      <c r="D113" s="394"/>
      <c r="E113" s="28">
        <v>197</v>
      </c>
      <c r="F113" s="340">
        <v>0</v>
      </c>
      <c r="G113" s="28">
        <v>20</v>
      </c>
      <c r="J113" s="72">
        <v>25</v>
      </c>
      <c r="K113" s="46">
        <f t="shared" si="19"/>
        <v>80</v>
      </c>
      <c r="L113" s="46">
        <f t="shared" si="20"/>
        <v>0</v>
      </c>
      <c r="M113" s="46">
        <f t="shared" si="21"/>
        <v>0</v>
      </c>
      <c r="N113" s="47">
        <f t="shared" si="22"/>
        <v>80</v>
      </c>
      <c r="O113" s="46">
        <v>51.5</v>
      </c>
      <c r="P113" s="46"/>
      <c r="Q113" s="46"/>
      <c r="R113" s="47">
        <v>51.5</v>
      </c>
      <c r="S113" s="36">
        <v>1</v>
      </c>
      <c r="T113" s="284"/>
      <c r="U113" s="290"/>
      <c r="V113" s="28" t="s">
        <v>1323</v>
      </c>
      <c r="W113" s="28" t="s">
        <v>1134</v>
      </c>
      <c r="X113" s="28" t="s">
        <v>11</v>
      </c>
      <c r="Y113" s="38">
        <v>51.1</v>
      </c>
      <c r="AC113" s="38"/>
      <c r="AG113" s="38"/>
      <c r="AK113" s="38"/>
      <c r="AO113" s="38"/>
      <c r="AS113" s="38"/>
      <c r="AW113" s="38"/>
      <c r="BA113" s="39"/>
    </row>
    <row r="114" spans="1:53" s="28" customFormat="1" x14ac:dyDescent="0.15">
      <c r="B114" s="301"/>
      <c r="F114" s="83"/>
      <c r="J114" s="71"/>
      <c r="K114" s="46"/>
      <c r="L114" s="46"/>
      <c r="M114" s="46"/>
      <c r="N114" s="67"/>
      <c r="O114" s="46"/>
      <c r="P114" s="46"/>
      <c r="Q114" s="46"/>
      <c r="R114" s="67"/>
      <c r="T114" s="293"/>
      <c r="U114" s="293"/>
    </row>
    <row r="115" spans="1:53" ht="18" customHeight="1" x14ac:dyDescent="0.15">
      <c r="B115" s="15" t="s">
        <v>1262</v>
      </c>
    </row>
    <row r="116" spans="1:53" ht="9" customHeight="1" x14ac:dyDescent="0.15"/>
    <row r="117" spans="1:53" s="194" customFormat="1" ht="9" customHeight="1" x14ac:dyDescent="0.15">
      <c r="A117" s="192"/>
      <c r="B117" s="193" t="s">
        <v>1213</v>
      </c>
      <c r="C117" s="193"/>
      <c r="D117" s="193"/>
      <c r="E117" s="193"/>
      <c r="F117" s="193"/>
      <c r="G117" s="193" t="s">
        <v>1214</v>
      </c>
      <c r="H117" s="193"/>
      <c r="I117" s="193"/>
      <c r="J117" s="193"/>
      <c r="K117" s="193"/>
      <c r="L117" s="193"/>
      <c r="M117" s="193"/>
      <c r="N117" s="193"/>
      <c r="R117" s="386" t="s">
        <v>1215</v>
      </c>
      <c r="S117" s="386"/>
      <c r="T117" s="386"/>
      <c r="U117" s="386"/>
      <c r="V117" s="386"/>
      <c r="W117" s="386"/>
      <c r="X117" s="195"/>
      <c r="Y117" s="195"/>
      <c r="AA117" s="195"/>
      <c r="AB117" s="195"/>
      <c r="AC117" s="195"/>
      <c r="AD117" s="195"/>
    </row>
    <row r="118" spans="1:53" s="199" customFormat="1" ht="9" customHeight="1" x14ac:dyDescent="0.15">
      <c r="A118" s="196"/>
      <c r="B118" s="197" t="s">
        <v>1217</v>
      </c>
      <c r="C118" s="198"/>
      <c r="D118" s="198"/>
      <c r="E118" s="198"/>
      <c r="F118" s="198"/>
      <c r="G118" s="197" t="s">
        <v>1216</v>
      </c>
      <c r="H118" s="198"/>
      <c r="I118" s="198"/>
      <c r="J118" s="198"/>
      <c r="K118" s="198"/>
      <c r="L118" s="198"/>
      <c r="M118" s="198"/>
      <c r="N118" s="198"/>
      <c r="R118" s="200" t="s">
        <v>1218</v>
      </c>
      <c r="S118" s="201"/>
      <c r="T118" s="202"/>
      <c r="U118" s="202"/>
      <c r="V118" s="202"/>
      <c r="W118" s="200" t="s">
        <v>1219</v>
      </c>
      <c r="X118" s="202"/>
      <c r="Y118" s="202"/>
      <c r="AA118" s="202"/>
      <c r="AB118" s="202"/>
      <c r="AC118" s="202"/>
      <c r="AD118" s="202"/>
    </row>
    <row r="119" spans="1:53" s="185" customFormat="1" ht="12" customHeight="1" x14ac:dyDescent="0.15">
      <c r="A119" s="203" t="s">
        <v>3</v>
      </c>
      <c r="B119" s="204" t="s">
        <v>8</v>
      </c>
      <c r="C119" s="204" t="s">
        <v>9</v>
      </c>
      <c r="D119" s="204" t="s">
        <v>10</v>
      </c>
      <c r="E119" s="205" t="s">
        <v>1193</v>
      </c>
      <c r="F119" s="204"/>
      <c r="G119" s="185" t="s">
        <v>3</v>
      </c>
      <c r="H119" s="387" t="s">
        <v>0</v>
      </c>
      <c r="I119" s="387"/>
      <c r="J119" s="387" t="s">
        <v>1</v>
      </c>
      <c r="K119" s="387"/>
      <c r="L119" s="387" t="s">
        <v>2</v>
      </c>
      <c r="M119" s="387"/>
      <c r="N119" s="388" t="s">
        <v>1193</v>
      </c>
      <c r="O119" s="388"/>
      <c r="P119" s="206"/>
      <c r="Q119" s="206"/>
      <c r="R119" s="207" t="s">
        <v>3</v>
      </c>
      <c r="S119" s="208" t="s">
        <v>135</v>
      </c>
      <c r="T119" s="206" t="s">
        <v>133</v>
      </c>
      <c r="U119" s="204" t="s">
        <v>134</v>
      </c>
      <c r="V119" s="206"/>
      <c r="W119" s="209" t="s">
        <v>26</v>
      </c>
    </row>
    <row r="120" spans="1:53" x14ac:dyDescent="0.15">
      <c r="A120" s="13">
        <v>1990</v>
      </c>
      <c r="B120" s="5"/>
      <c r="C120" s="5"/>
      <c r="D120" s="5"/>
      <c r="E120" s="17"/>
      <c r="F120" s="5"/>
      <c r="G120" s="1">
        <v>1990</v>
      </c>
      <c r="H120" s="5"/>
      <c r="I120" s="5"/>
      <c r="J120" s="5"/>
      <c r="K120" s="5"/>
      <c r="L120" s="5"/>
      <c r="M120" s="5"/>
      <c r="N120" s="17"/>
      <c r="O120" s="17"/>
      <c r="P120" s="9"/>
      <c r="Q120" s="9"/>
      <c r="R120" s="1">
        <v>1990</v>
      </c>
      <c r="S120" s="9"/>
      <c r="T120" s="9"/>
      <c r="U120" s="5"/>
      <c r="V120" s="9"/>
      <c r="W120" s="114"/>
    </row>
    <row r="121" spans="1:53" x14ac:dyDescent="0.15">
      <c r="A121" s="1">
        <v>1991</v>
      </c>
      <c r="B121" s="5">
        <f xml:space="preserve"> (K7*($E7/9))</f>
        <v>13.043478260869565</v>
      </c>
      <c r="C121" s="5">
        <f xml:space="preserve"> (L7*($E7/9))</f>
        <v>53.666666666666671</v>
      </c>
      <c r="D121" s="5">
        <f xml:space="preserve"> (M7*($E7/9))</f>
        <v>0</v>
      </c>
      <c r="E121" s="23">
        <f>B121+C121+D121</f>
        <v>66.710144927536234</v>
      </c>
      <c r="G121" s="1">
        <v>1991</v>
      </c>
      <c r="H121" s="392">
        <f>(O7/$R7*100*($E7/9))</f>
        <v>36.363636363636367</v>
      </c>
      <c r="I121" s="392"/>
      <c r="J121" s="392">
        <f>(P7/$R7*100*($E7/9))</f>
        <v>63.636363636363647</v>
      </c>
      <c r="K121" s="392"/>
      <c r="L121" s="392">
        <f>(Q7/$R7*100*($E7/9))</f>
        <v>0</v>
      </c>
      <c r="M121" s="392"/>
      <c r="N121" s="413">
        <f t="shared" ref="N121:N142" si="27">H121+J121+L121</f>
        <v>100.00000000000001</v>
      </c>
      <c r="O121" s="413"/>
      <c r="P121" s="9"/>
      <c r="Q121" s="9"/>
      <c r="R121" s="1">
        <v>1991</v>
      </c>
      <c r="S121" s="5">
        <f xml:space="preserve"> (O7*($E7/9))</f>
        <v>9.6</v>
      </c>
      <c r="T121" s="5">
        <f xml:space="preserve"> (P7*($E7/9))</f>
        <v>16.8</v>
      </c>
      <c r="U121" s="5">
        <f xml:space="preserve"> (Q7*($E7/9))</f>
        <v>0</v>
      </c>
      <c r="V121" s="9"/>
      <c r="W121" s="5">
        <f>S121+T121+U121</f>
        <v>26.4</v>
      </c>
      <c r="X121" s="24"/>
      <c r="Y121" s="26" t="s">
        <v>1154</v>
      </c>
      <c r="Z121" s="24"/>
      <c r="AA121" s="24"/>
    </row>
    <row r="122" spans="1:53" x14ac:dyDescent="0.15">
      <c r="A122" s="1">
        <v>1992</v>
      </c>
      <c r="B122" s="5">
        <f xml:space="preserve"> (K8*($E8/366))+(K9*($E9/366))+(K10*($E10/366))</f>
        <v>23.110252466519107</v>
      </c>
      <c r="C122" s="5">
        <f xml:space="preserve"> (L8*($E8/366))+(L9*($E9/366))+(L10*($E10/366))</f>
        <v>34.634530314858182</v>
      </c>
      <c r="D122" s="5">
        <f xml:space="preserve"> (M8*($E8/366))+(M9*($E9/366))+(M10*($E10/366))</f>
        <v>0</v>
      </c>
      <c r="E122" s="23">
        <f t="shared" ref="E122:E142" si="28">B122+C122+D122</f>
        <v>57.744782781377289</v>
      </c>
      <c r="G122" s="1">
        <v>1992</v>
      </c>
      <c r="H122" s="392">
        <f>(O8/$R8*100*($E8/366))+(O10/$R10*100*($E10/366))</f>
        <v>41.541023953439691</v>
      </c>
      <c r="I122" s="392"/>
      <c r="J122" s="392">
        <f>(P8/$R8*100*($E8/366))+(P10/$R10*100*($E10/366))</f>
        <v>48.896134516505654</v>
      </c>
      <c r="K122" s="392"/>
      <c r="L122" s="392">
        <f>(Q8/$R8*100*($E8/366))+(Q10/$R10*100*($E10/366))</f>
        <v>0</v>
      </c>
      <c r="M122" s="392"/>
      <c r="N122" s="413">
        <f t="shared" si="27"/>
        <v>90.437158469945345</v>
      </c>
      <c r="O122" s="413"/>
      <c r="P122" s="9"/>
      <c r="Q122" s="9"/>
      <c r="R122" s="1">
        <v>1992</v>
      </c>
      <c r="S122" s="5">
        <f xml:space="preserve"> (O8*($E8/366))+(O9*($E9/366))+(O10*($E10/366))</f>
        <v>14.339344262295082</v>
      </c>
      <c r="T122" s="5">
        <f xml:space="preserve"> (P8*($E8/366))+(P9*($E9/366))+(P10*($E10/366))</f>
        <v>15.716393442622948</v>
      </c>
      <c r="U122" s="5">
        <f xml:space="preserve"> (Q8*($E8/366))+(Q9*($E9/366))+(Q10*($E10/366))</f>
        <v>0</v>
      </c>
      <c r="V122" s="9"/>
      <c r="W122" s="5">
        <f t="shared" ref="W122:W141" si="29">S122+T122+U122</f>
        <v>30.05573770491803</v>
      </c>
    </row>
    <row r="123" spans="1:53" x14ac:dyDescent="0.15">
      <c r="A123" s="1">
        <v>1993</v>
      </c>
      <c r="B123" s="5">
        <f xml:space="preserve"> (K11*($E11/365))+(K12*($E12/365))</f>
        <v>30.079307858687812</v>
      </c>
      <c r="C123" s="5">
        <f xml:space="preserve"> (L11*($E11/365))+(L12*($E12/365))</f>
        <v>19.944422700587086</v>
      </c>
      <c r="D123" s="5">
        <f xml:space="preserve"> (M11*($E11/365))+(M12*($E12/365))</f>
        <v>11.931506849315069</v>
      </c>
      <c r="E123" s="23">
        <f t="shared" si="28"/>
        <v>61.955237408589966</v>
      </c>
      <c r="G123" s="1">
        <v>1993</v>
      </c>
      <c r="H123" s="392">
        <f>(O11/$R11*100*($E11/365))+(O12/$R12*100*($E12/365))</f>
        <v>44.551839232320418</v>
      </c>
      <c r="I123" s="392"/>
      <c r="J123" s="392">
        <f>(P11/$R11*100*($E11/365))+(P12/$R12*100*($E12/365))</f>
        <v>37.091996384117934</v>
      </c>
      <c r="K123" s="392"/>
      <c r="L123" s="392">
        <f>(Q11/$R11*100*($E11/365))+(Q12/$R12*100*($E12/365))</f>
        <v>18.356164383561644</v>
      </c>
      <c r="M123" s="392"/>
      <c r="N123" s="413">
        <f t="shared" si="27"/>
        <v>100</v>
      </c>
      <c r="O123" s="413"/>
      <c r="P123" s="9"/>
      <c r="Q123" s="9"/>
      <c r="R123" s="1">
        <v>1993</v>
      </c>
      <c r="S123" s="5">
        <f xml:space="preserve"> (O11*($E11/365))+(O12*($E12/365))</f>
        <v>17.553424657534247</v>
      </c>
      <c r="T123" s="5">
        <f xml:space="preserve"> (P11*($E11/365))+(P12*($E12/365))</f>
        <v>14.614246575342465</v>
      </c>
      <c r="U123" s="5">
        <f xml:space="preserve"> (Q11*($E11/365))+(Q12*($E12/365))</f>
        <v>12.096712328767124</v>
      </c>
      <c r="V123" s="9"/>
      <c r="W123" s="5">
        <f t="shared" si="29"/>
        <v>44.264383561643839</v>
      </c>
    </row>
    <row r="124" spans="1:53" x14ac:dyDescent="0.15">
      <c r="A124" s="1">
        <v>1994</v>
      </c>
      <c r="B124" s="5">
        <f xml:space="preserve"> (K13*($E13/365))+(K14*($E14/365))</f>
        <v>0</v>
      </c>
      <c r="C124" s="5">
        <f xml:space="preserve"> (L13*($E13/365))+(L14*($E14/365))</f>
        <v>0</v>
      </c>
      <c r="D124" s="5">
        <f xml:space="preserve"> (M13*($E13/365))+(M14*($E14/365))</f>
        <v>65</v>
      </c>
      <c r="E124" s="23">
        <f t="shared" si="28"/>
        <v>65</v>
      </c>
      <c r="G124" s="1">
        <v>1994</v>
      </c>
      <c r="H124" s="392">
        <f>(O13/$R13*100*($E13/365))+(O14/$R14*100*($E14/365))</f>
        <v>0</v>
      </c>
      <c r="I124" s="392"/>
      <c r="J124" s="392">
        <f>(P13/$R13*100*($E13/365))+(P14/$R14*100*($E14/365))</f>
        <v>0</v>
      </c>
      <c r="K124" s="392"/>
      <c r="L124" s="392">
        <f>(Q13/$R13*100*($E13/365))+(Q14/$R14*100*($E14/365))</f>
        <v>100</v>
      </c>
      <c r="M124" s="392"/>
      <c r="N124" s="413">
        <f t="shared" si="27"/>
        <v>100</v>
      </c>
      <c r="O124" s="413"/>
      <c r="P124" s="9"/>
      <c r="Q124" s="9"/>
      <c r="R124" s="1">
        <v>1994</v>
      </c>
      <c r="S124" s="5">
        <f xml:space="preserve"> (O13*($E13/365))+(O14*($E14/365))</f>
        <v>0</v>
      </c>
      <c r="T124" s="5">
        <f xml:space="preserve"> (P13*($E13/365))+(P14*($E14/365))</f>
        <v>0</v>
      </c>
      <c r="U124" s="5">
        <f xml:space="preserve"> (Q13*($E13/365))+(Q14*($E14/365))</f>
        <v>65.900000000000006</v>
      </c>
      <c r="V124" s="9"/>
      <c r="W124" s="5">
        <f t="shared" si="29"/>
        <v>65.900000000000006</v>
      </c>
    </row>
    <row r="125" spans="1:53" x14ac:dyDescent="0.15">
      <c r="A125" s="1">
        <v>1995</v>
      </c>
      <c r="B125" s="5">
        <f xml:space="preserve"> (K15*($E15/365))+(K16*($E16/365))</f>
        <v>0</v>
      </c>
      <c r="C125" s="5">
        <f xml:space="preserve"> (L15*($E15/365))+(L16*($E16/365))</f>
        <v>0</v>
      </c>
      <c r="D125" s="5">
        <f xml:space="preserve"> (M15*($E15/365))+(M16*($E16/365))</f>
        <v>82.082191780821915</v>
      </c>
      <c r="E125" s="23">
        <f t="shared" si="28"/>
        <v>82.082191780821915</v>
      </c>
      <c r="G125" s="1">
        <v>1995</v>
      </c>
      <c r="H125" s="392">
        <f>(O15/$R15*100*($E15/365))+(O16/$R16*100*($E16/365))</f>
        <v>0</v>
      </c>
      <c r="I125" s="392"/>
      <c r="J125" s="392">
        <f>(P15/$R15*100*($E15/365))+(P16/$R16*100*($E16/365))</f>
        <v>0</v>
      </c>
      <c r="K125" s="392"/>
      <c r="L125" s="392">
        <f>(Q15/$R15*100*($E15/365))+(Q16/$R16*100*($E16/365))</f>
        <v>100</v>
      </c>
      <c r="M125" s="392"/>
      <c r="N125" s="413">
        <f t="shared" si="27"/>
        <v>100</v>
      </c>
      <c r="O125" s="413"/>
      <c r="P125" s="9"/>
      <c r="Q125" s="9"/>
      <c r="R125" s="1">
        <v>1995</v>
      </c>
      <c r="S125" s="5">
        <f xml:space="preserve"> (O15*($E15/365))+(O16*($E16/365))</f>
        <v>0</v>
      </c>
      <c r="T125" s="5">
        <f xml:space="preserve"> (P15*($E15/365))+(P16*($E16/365))</f>
        <v>0</v>
      </c>
      <c r="U125" s="5">
        <f xml:space="preserve"> (Q15*($E15/365))+(Q16*($E16/365))</f>
        <v>65.900000000000006</v>
      </c>
      <c r="V125" s="9"/>
      <c r="W125" s="5">
        <f t="shared" si="29"/>
        <v>65.900000000000006</v>
      </c>
    </row>
    <row r="126" spans="1:53" x14ac:dyDescent="0.15">
      <c r="A126" s="1">
        <v>1996</v>
      </c>
      <c r="B126" s="5">
        <f xml:space="preserve"> (K17*($E17/366))+(K18*($E18/366))+(K19*($E19/366))</f>
        <v>0</v>
      </c>
      <c r="C126" s="5">
        <f xml:space="preserve"> (L17*($E17/366))+(L18*($E18/366))+(L19*($E19/366))</f>
        <v>0</v>
      </c>
      <c r="D126" s="5">
        <f xml:space="preserve"> (M17*($E17/366))+(M18*($E18/366))+(M19*($E19/366))</f>
        <v>68.173302107728347</v>
      </c>
      <c r="E126" s="23">
        <f t="shared" si="28"/>
        <v>68.173302107728347</v>
      </c>
      <c r="G126" s="1">
        <v>1996</v>
      </c>
      <c r="H126" s="392">
        <f>(O17/$R17*100*($E17/366))+(O18/$R18*100*($E18/366))+(O19/$R19*100*($E19/366))</f>
        <v>0</v>
      </c>
      <c r="I126" s="392"/>
      <c r="J126" s="392">
        <f>(P17/$R17*100*($E17/366))+(P18/$R18*100*($E18/366))+(P19/$R19*100*($E19/366))</f>
        <v>0</v>
      </c>
      <c r="K126" s="392"/>
      <c r="L126" s="392">
        <f>(Q17/$R17*100*($E17/366))+(Q18/$R18*100*($E18/366))+(Q19/$R19*100*($E19/366))</f>
        <v>100.00000000000001</v>
      </c>
      <c r="M126" s="392"/>
      <c r="N126" s="413">
        <f t="shared" si="27"/>
        <v>100.00000000000001</v>
      </c>
      <c r="O126" s="413"/>
      <c r="P126" s="9"/>
      <c r="Q126" s="9"/>
      <c r="R126" s="1">
        <v>1996</v>
      </c>
      <c r="S126" s="5">
        <f xml:space="preserve"> (O17*($E17/366))+(O18*($E18/366))+(O19*($E19/366))</f>
        <v>0</v>
      </c>
      <c r="T126" s="5">
        <f xml:space="preserve"> (P17*($E17/366))+(P18*($E18/366))+(P19*($E19/366))</f>
        <v>0</v>
      </c>
      <c r="U126" s="5">
        <f xml:space="preserve"> (Q17*($E17/366))+(Q18*($E18/366))+(Q19*($E19/366))</f>
        <v>65.900000000000006</v>
      </c>
      <c r="V126" s="9"/>
      <c r="W126" s="5">
        <f t="shared" si="29"/>
        <v>65.900000000000006</v>
      </c>
    </row>
    <row r="127" spans="1:53" x14ac:dyDescent="0.15">
      <c r="A127" s="1">
        <v>1997</v>
      </c>
      <c r="B127" s="5">
        <f xml:space="preserve"> (K20*($E20/365))+(K21*($E21/365))+(K22*($E22/365))</f>
        <v>16.247766527695056</v>
      </c>
      <c r="C127" s="5">
        <f xml:space="preserve"> (L20*($E20/365))+(L21*($E21/365))+(L22*($E22/365))</f>
        <v>0</v>
      </c>
      <c r="D127" s="5">
        <f xml:space="preserve"> (M20*($E20/365))+(M21*($E21/365))+(M22*($E22/365))</f>
        <v>55.794280221100685</v>
      </c>
      <c r="E127" s="23">
        <f t="shared" si="28"/>
        <v>72.042046748795741</v>
      </c>
      <c r="G127" s="1">
        <v>1997</v>
      </c>
      <c r="H127" s="392">
        <f>(O20/$R20*100*($E20/365))+(O21/$R21*100*($E21/365))+(O22/$R22*100*($E22/365))</f>
        <v>16.986301369863014</v>
      </c>
      <c r="I127" s="392"/>
      <c r="J127" s="392">
        <f>(P20/$R20*100*($E20/365))+(P21/$R21*100*($E21/365))+(P22/$R22*100*($E22/365))</f>
        <v>0</v>
      </c>
      <c r="K127" s="392"/>
      <c r="L127" s="392">
        <f>(Q20/$R20*100*($E20/365))+(Q21/$R21*100*($E21/365))+(Q22/$R22*100*($E22/365))</f>
        <v>83.013698630136986</v>
      </c>
      <c r="M127" s="392"/>
      <c r="N127" s="413">
        <f t="shared" si="27"/>
        <v>100</v>
      </c>
      <c r="O127" s="413"/>
      <c r="P127" s="9"/>
      <c r="Q127" s="9"/>
      <c r="R127" s="1">
        <v>1997</v>
      </c>
      <c r="S127" s="5">
        <f xml:space="preserve"> (O20*($E20/365))+(O21*($E21/365))+(O22*($E22/365))</f>
        <v>9.6312328767123283</v>
      </c>
      <c r="T127" s="5">
        <f xml:space="preserve"> (P20*($E20/365))+(P21*($E21/365))+(P22*($E22/365))</f>
        <v>0</v>
      </c>
      <c r="U127" s="5">
        <f xml:space="preserve"> (Q20*($E20/365))+(Q21*($E21/365))+(Q22*($E22/365))</f>
        <v>54.706027397260279</v>
      </c>
      <c r="V127" s="9"/>
      <c r="W127" s="5">
        <f t="shared" si="29"/>
        <v>64.337260273972603</v>
      </c>
    </row>
    <row r="128" spans="1:53" x14ac:dyDescent="0.15">
      <c r="A128" s="1">
        <v>1998</v>
      </c>
      <c r="B128" s="5">
        <f xml:space="preserve"> (K23*($E23/365))+(K24*($E24/365))+(K25*($E25/365))</f>
        <v>96.014943960149452</v>
      </c>
      <c r="C128" s="5">
        <f xml:space="preserve"> (L23*($E23/365))+(L24*($E24/365))+(L25*($E25/365))</f>
        <v>0</v>
      </c>
      <c r="D128" s="5">
        <f xml:space="preserve"> (M23*($E23/365))+(M24*($E24/365))+(M25*($E25/365))</f>
        <v>0</v>
      </c>
      <c r="E128" s="23">
        <f t="shared" si="28"/>
        <v>96.014943960149452</v>
      </c>
      <c r="G128" s="1">
        <v>1998</v>
      </c>
      <c r="H128" s="392">
        <f>(O23/$R23*100*($E23/365))+(O24/$R24*100*($E24/365))+(O25/$R25*100*($E25/365))</f>
        <v>100</v>
      </c>
      <c r="I128" s="392"/>
      <c r="J128" s="392">
        <f>(P23/$R23*100*($E23/365))+(P24/$R24*100*($E24/365))+(P25/$R25*100*($E25/365))</f>
        <v>0</v>
      </c>
      <c r="K128" s="392"/>
      <c r="L128" s="392">
        <f>(Q23/$R23*100*($E23/365))+(Q24/$R24*100*($E24/365))+(Q25/$R25*100*($E25/365))</f>
        <v>0</v>
      </c>
      <c r="M128" s="392"/>
      <c r="N128" s="413">
        <f t="shared" si="27"/>
        <v>100</v>
      </c>
      <c r="O128" s="413"/>
      <c r="P128" s="9"/>
      <c r="Q128" s="9"/>
      <c r="R128" s="1">
        <v>1998</v>
      </c>
      <c r="S128" s="5">
        <f xml:space="preserve"> (O23*($E23/365))+(O24*($E24/365))+(O25*($E25/365))</f>
        <v>56.7</v>
      </c>
      <c r="T128" s="5">
        <f xml:space="preserve"> (P23*($E23/365))+(P24*($E24/365))+(P25*($E25/365))</f>
        <v>0</v>
      </c>
      <c r="U128" s="5">
        <f xml:space="preserve"> (Q23*($E23/365))+(Q24*($E24/365))+(Q25*($E25/365))</f>
        <v>0</v>
      </c>
      <c r="V128" s="9"/>
      <c r="W128" s="5">
        <f t="shared" si="29"/>
        <v>56.7</v>
      </c>
    </row>
    <row r="129" spans="1:23" x14ac:dyDescent="0.15">
      <c r="A129" s="1">
        <v>1999</v>
      </c>
      <c r="B129" s="5">
        <f xml:space="preserve"> (K26*($E26/365))+(K27*($E27/365))</f>
        <v>100</v>
      </c>
      <c r="C129" s="5">
        <f xml:space="preserve"> (L26*($E26/365))+(L27*($E27/365))</f>
        <v>0</v>
      </c>
      <c r="D129" s="5">
        <f xml:space="preserve"> (M26*($E26/365))+(M27*($E27/365))</f>
        <v>0</v>
      </c>
      <c r="E129" s="23">
        <f t="shared" si="28"/>
        <v>100</v>
      </c>
      <c r="G129" s="1">
        <v>1999</v>
      </c>
      <c r="H129" s="392">
        <f>(O26/$R26*100*($E26/365))+(O27/$R27*100*($E27/365))</f>
        <v>100</v>
      </c>
      <c r="I129" s="392"/>
      <c r="J129" s="392">
        <f>(P26/$R26*100*($E26/365))+(P27/$R27*100*($E27/365))</f>
        <v>0</v>
      </c>
      <c r="K129" s="392"/>
      <c r="L129" s="392">
        <f>(Q26/$R26*100*($E26/365))+(Q27/$R27*100*($E27/365))</f>
        <v>0</v>
      </c>
      <c r="M129" s="392"/>
      <c r="N129" s="413">
        <f t="shared" si="27"/>
        <v>100</v>
      </c>
      <c r="O129" s="413"/>
      <c r="P129" s="9"/>
      <c r="Q129" s="9"/>
      <c r="R129" s="1">
        <v>1999</v>
      </c>
      <c r="S129" s="5">
        <f xml:space="preserve"> (O26*($E26/365))+(O27*($E27/365))</f>
        <v>56.7</v>
      </c>
      <c r="T129" s="5">
        <f xml:space="preserve"> (P26*($E26/365))+(P27*($E27/365))</f>
        <v>0</v>
      </c>
      <c r="U129" s="5">
        <f xml:space="preserve"> (Q26*($E26/365))+(Q27*($E27/365))</f>
        <v>0</v>
      </c>
      <c r="V129" s="9"/>
      <c r="W129" s="5">
        <f t="shared" si="29"/>
        <v>56.7</v>
      </c>
    </row>
    <row r="130" spans="1:23" x14ac:dyDescent="0.15">
      <c r="A130" s="1">
        <v>2000</v>
      </c>
      <c r="B130" s="5">
        <f xml:space="preserve"> (K28*($E28/366))+(K29*($E29/366))+(K30*($E30/366))+(K31*($E31/366))</f>
        <v>89.502444636180613</v>
      </c>
      <c r="C130" s="5">
        <f xml:space="preserve"> (L28*($E28/366))+(L29*($E29/366))+(L30*($E30/366))+(L31*($E31/366))</f>
        <v>0</v>
      </c>
      <c r="D130" s="5">
        <f xml:space="preserve"> (M28*($E28/366))+(M29*($E29/366))+(M30*($E30/366))+(M31*($E31/366))</f>
        <v>0</v>
      </c>
      <c r="E130" s="23">
        <f t="shared" si="28"/>
        <v>89.502444636180613</v>
      </c>
      <c r="G130" s="1">
        <v>2000</v>
      </c>
      <c r="H130" s="392">
        <f>(O28/$R28*100*($E28/366))+(O29/$R29*100*($E29/366))+(O30/$R30*100*($E30/366))+(O31/$R31*100*($E31/366))</f>
        <v>100</v>
      </c>
      <c r="I130" s="392"/>
      <c r="J130" s="392">
        <f>(P28/$R28*100*($E28/366))+(P29/$R29*100*($E29/366))+(P30/$R30*100*($E30/366))+(P31/$R31*100*($E31/366))</f>
        <v>0</v>
      </c>
      <c r="K130" s="392"/>
      <c r="L130" s="392">
        <f>(Q28/$R28*100*($E28/366))+(Q29/$R29*100*($E29/366))+(Q30/$R30*100*($E30/366))+(Q31/$R31*100*($E31/366))</f>
        <v>0</v>
      </c>
      <c r="M130" s="392"/>
      <c r="N130" s="413">
        <f t="shared" si="27"/>
        <v>100</v>
      </c>
      <c r="O130" s="413"/>
      <c r="P130" s="9"/>
      <c r="Q130" s="9"/>
      <c r="R130" s="1">
        <v>2000</v>
      </c>
      <c r="S130" s="5">
        <f xml:space="preserve"> (O28*($E28/366))+(O29*($E29/366))+(O30*($E30/366))+(O31*($E31/366))</f>
        <v>50.093442622950825</v>
      </c>
      <c r="T130" s="5">
        <f xml:space="preserve"> (P28*($E28/366))+(P29*($E29/366))+(P30*($E30/366))+(P31*($E31/366))</f>
        <v>0</v>
      </c>
      <c r="U130" s="5">
        <f xml:space="preserve"> (Q28*($E28/366))+(Q29*($E29/366))+(Q30*($E30/366))+(Q31*($E31/366))</f>
        <v>0</v>
      </c>
      <c r="V130" s="9"/>
      <c r="W130" s="5">
        <f t="shared" si="29"/>
        <v>50.093442622950825</v>
      </c>
    </row>
    <row r="131" spans="1:23" x14ac:dyDescent="0.15">
      <c r="A131" s="1">
        <v>2001</v>
      </c>
      <c r="B131" s="5">
        <f xml:space="preserve"> (K32*($E32/365))+(K33*($E33/365))+(K34*($E34/365))+(K35*($E35/365))</f>
        <v>61.110310021629417</v>
      </c>
      <c r="C131" s="5">
        <f xml:space="preserve"> (L32*($E32/365))+(L33*($E33/365))+(L34*($E34/365))+(L35*($E35/365))</f>
        <v>0</v>
      </c>
      <c r="D131" s="5">
        <f xml:space="preserve"> (M32*($E32/365))+(M33*($E33/365))+(M34*($E34/365))+(M35*($E35/365))</f>
        <v>17.570776255707763</v>
      </c>
      <c r="E131" s="23">
        <f t="shared" si="28"/>
        <v>78.681086277337187</v>
      </c>
      <c r="G131" s="1">
        <v>2001</v>
      </c>
      <c r="H131" s="392">
        <f>(O32/$R32*100*($E32/365))+(O33/$R33*100*($E33/365))+(O34/$R34*100*($E34/365))+(O35/$R35*100*($E35/365))</f>
        <v>79.726027397260282</v>
      </c>
      <c r="I131" s="392"/>
      <c r="J131" s="392">
        <f>(P32/$R32*100*($E32/365))+(P33/$R33*100*($E33/365))+(P34/$R34*100*($E34/365))+(P35/$R35*100*($E35/365))</f>
        <v>0</v>
      </c>
      <c r="K131" s="392"/>
      <c r="L131" s="392">
        <f>(Q32/$R32*100*($E32/365))+(Q33/$R33*100*($E33/365))+(Q34/$R34*100*($E34/365))+(Q35/$R35*100*($E35/365))</f>
        <v>20.273972602739725</v>
      </c>
      <c r="M131" s="392"/>
      <c r="N131" s="413">
        <f t="shared" si="27"/>
        <v>100</v>
      </c>
      <c r="O131" s="413"/>
      <c r="P131" s="9"/>
      <c r="Q131" s="9"/>
      <c r="R131" s="1">
        <v>2001</v>
      </c>
      <c r="S131" s="5">
        <f xml:space="preserve"> (O32*($E32/365))+(O33*($E33/365))+(O34*($E34/365))+(O35*($E35/365))</f>
        <v>34.840273972602745</v>
      </c>
      <c r="T131" s="5">
        <f xml:space="preserve"> (P32*($E32/365))+(P33*($E33/365))+(P34*($E34/365))+(P35*($E35/365))</f>
        <v>0</v>
      </c>
      <c r="U131" s="5">
        <f xml:space="preserve"> (Q32*($E32/365))+(Q33*($E33/365))+(Q34*($E34/365))+(Q35*($E35/365))</f>
        <v>11.373698630136987</v>
      </c>
      <c r="V131" s="9"/>
      <c r="W131" s="5">
        <f t="shared" si="29"/>
        <v>46.21397260273973</v>
      </c>
    </row>
    <row r="132" spans="1:23" x14ac:dyDescent="0.15">
      <c r="A132" s="1">
        <v>2002</v>
      </c>
      <c r="B132" s="5">
        <f xml:space="preserve"> (K36*($E36/365))+(K37*($E37/365))</f>
        <v>0</v>
      </c>
      <c r="C132" s="5">
        <f xml:space="preserve"> (L36*($E36/365))+(L37*($E37/365))</f>
        <v>0</v>
      </c>
      <c r="D132" s="5">
        <f xml:space="preserve"> (M36*($E36/365))+(M37*($E37/365))</f>
        <v>86.666666666666671</v>
      </c>
      <c r="E132" s="23">
        <f t="shared" si="28"/>
        <v>86.666666666666671</v>
      </c>
      <c r="G132" s="1">
        <v>2002</v>
      </c>
      <c r="H132" s="392">
        <f>(O36/$R36*100*($E36/365))+(O37/$R37*100*($E37/365))</f>
        <v>0</v>
      </c>
      <c r="I132" s="392"/>
      <c r="J132" s="392">
        <f>(P36/$R36*100*($E36/365))+(P37/$R37*100*($E37/365))</f>
        <v>0</v>
      </c>
      <c r="K132" s="392"/>
      <c r="L132" s="392">
        <f>(Q36/$R36*100*($E36/365))+(Q37/$R37*100*($E37/365))</f>
        <v>100</v>
      </c>
      <c r="M132" s="392"/>
      <c r="N132" s="413">
        <f t="shared" si="27"/>
        <v>100</v>
      </c>
      <c r="O132" s="413"/>
      <c r="P132" s="9"/>
      <c r="Q132" s="9"/>
      <c r="R132" s="1">
        <v>2002</v>
      </c>
      <c r="S132" s="5">
        <f xml:space="preserve"> (O36*($E36/365))+(O37*($E37/365))</f>
        <v>0</v>
      </c>
      <c r="T132" s="5">
        <f xml:space="preserve"> (P36*($E36/365))+(P37*($E37/365))</f>
        <v>0</v>
      </c>
      <c r="U132" s="5">
        <f xml:space="preserve"> (Q36*($E36/365))+(Q37*($E37/365))</f>
        <v>56.1</v>
      </c>
      <c r="V132" s="9"/>
      <c r="W132" s="5">
        <f t="shared" si="29"/>
        <v>56.1</v>
      </c>
    </row>
    <row r="133" spans="1:23" x14ac:dyDescent="0.15">
      <c r="A133" s="1">
        <v>2003</v>
      </c>
      <c r="B133" s="5">
        <f xml:space="preserve"> (K38*($E38/365))+(K39*($E39/365))+(K40*($E40/365))+(K41*($E41/365))+(K42*($E42/365))+(K43*($E43/365))+(K44*($E44/365))</f>
        <v>0</v>
      </c>
      <c r="C133" s="5">
        <f xml:space="preserve"> (L38*($E38/365))+(L39*($E39/365))+(L40*($E40/365))+(L41*($E41/365))+(L42*($E42/365))+(L43*($E43/365))+(L44*($E44/365))</f>
        <v>0</v>
      </c>
      <c r="D133" s="5">
        <f xml:space="preserve"> (M38*($E38/365))+(M39*($E39/365))+(M40*($E40/365))+(M41*($E41/365))+(M42*($E42/365))+(M43*($E43/365))+(M44*($E44/365))</f>
        <v>69.462530217566467</v>
      </c>
      <c r="E133" s="23">
        <f t="shared" si="28"/>
        <v>69.462530217566467</v>
      </c>
      <c r="G133" s="1">
        <v>2003</v>
      </c>
      <c r="H133" s="392">
        <f>(O38/$R38*100*($E38/365))+(O39/$R39*100*($E39/365))+(O40/$R40*100*($E40/365))+(O41/$R41*100*($E41/365))+(O42/$R42*100*($E42/365))+(O43/$R43*100*($E43/365))+(O44/$R44*100*($E44/365))</f>
        <v>0</v>
      </c>
      <c r="I133" s="392"/>
      <c r="J133" s="392">
        <f>(P38/$R38*100*($E38/365))+(P39/$R39*100*($E39/365))+(P40/$R40*100*($E40/365))+(P41/$R41*100*($E41/365))+(P42/$R42*100*($E42/365))+(P43/$R43*100*($E43/365))+(P44/$R44*100*($E44/365))</f>
        <v>0</v>
      </c>
      <c r="K133" s="392"/>
      <c r="L133" s="392">
        <f>(Q38/$R38*100*($E38/365))+(Q39/$R39*100*($E39/365))+(Q40/$R40*100*($E40/365))+(Q41/$R41*100*($E41/365))+(Q42/$R42*100*($E42/365))+(Q43/$R43*100*($E43/365))+(Q44/$R44*100*($E44/365))</f>
        <v>100</v>
      </c>
      <c r="M133" s="392"/>
      <c r="N133" s="413">
        <f t="shared" si="27"/>
        <v>100</v>
      </c>
      <c r="O133" s="413"/>
      <c r="P133" s="9"/>
      <c r="Q133" s="9"/>
      <c r="R133" s="1">
        <v>2003</v>
      </c>
      <c r="S133" s="5">
        <f xml:space="preserve"> (O38*($E38/365))+(O39*($E39/365))+(O40*($E40/365))+(O41*($E41/365))+(O42*($E42/365))+(O43*($E43/365))+(O44*($E44/365))</f>
        <v>0</v>
      </c>
      <c r="T133" s="5">
        <f xml:space="preserve"> (P38*($E38/365))+(P39*($E39/365))+(P40*($E40/365))+(P41*($E41/365))+(P42*($E42/365))+(P43*($E43/365))+(P44*($E44/365))</f>
        <v>0</v>
      </c>
      <c r="U133" s="5">
        <f xml:space="preserve"> (Q38*($E38/365))+(Q39*($E39/365))+(Q40*($E40/365))+(Q41*($E41/365))+(Q42*($E42/365))+(Q43*($E43/365))+(Q44*($E44/365))</f>
        <v>48.52082191780822</v>
      </c>
      <c r="V133" s="9"/>
      <c r="W133" s="5">
        <f t="shared" si="29"/>
        <v>48.52082191780822</v>
      </c>
    </row>
    <row r="134" spans="1:23" x14ac:dyDescent="0.15">
      <c r="A134" s="1">
        <v>2004</v>
      </c>
      <c r="B134" s="5">
        <f xml:space="preserve"> (K45*($E45/366))+(K46*($E46/366))+(K47*($E47/366))+(K48*($E48/366))+(K49*($E49/366))+(K50*($E50/366))</f>
        <v>0</v>
      </c>
      <c r="C134" s="5">
        <f xml:space="preserve"> (L45*($E45/366))+(L46*($E46/366))+(L47*($E47/366))+(L48*($E48/366))+(L49*($E49/366))+(L50*($E50/366))</f>
        <v>0</v>
      </c>
      <c r="D134" s="5">
        <f xml:space="preserve"> (M45*($E45/366))+(M46*($E46/366))+(M47*($E47/366))+(M48*($E48/366))+(M49*($E49/366))+(M50*($E50/366))</f>
        <v>56.291296117718488</v>
      </c>
      <c r="E134" s="23">
        <f t="shared" si="28"/>
        <v>56.291296117718488</v>
      </c>
      <c r="G134" s="1">
        <v>2004</v>
      </c>
      <c r="H134" s="392">
        <f>(O45/$R45*100*($E45/366))+(O46/$R46*100*($E46/366))+(O47/$R47*100*($E47/366))+(O48/$R48*100*($E48/366))+(O49/$R49*100*($E49/366))+(O50/$R50*100*($E50/366))</f>
        <v>0</v>
      </c>
      <c r="I134" s="392"/>
      <c r="J134" s="392">
        <f>(P45/$R45*100*($E45/366))+(P46/$R46*100*($E46/366))+(P47/$R47*100*($E47/366))+(P48/$R48*100*($E48/366))+(P49/$R49*100*($E49/366))+(P50/$R50*100*($E50/366))</f>
        <v>0</v>
      </c>
      <c r="K134" s="392"/>
      <c r="L134" s="392">
        <f>(Q45/$R45*100*($E45/366))+(Q46/$R46*100*($E46/366))+(Q47/$R47*100*($E47/366))+(Q48/$R48*100*($E48/366))+(Q49/$R49*100*($E49/366))+(Q50/$R50*100*($E50/366))</f>
        <v>100</v>
      </c>
      <c r="M134" s="392"/>
      <c r="N134" s="413">
        <f t="shared" si="27"/>
        <v>100</v>
      </c>
      <c r="O134" s="413"/>
      <c r="P134" s="9"/>
      <c r="Q134" s="9"/>
      <c r="R134" s="1">
        <v>2004</v>
      </c>
      <c r="S134" s="5">
        <f xml:space="preserve"> (O45*($E45/366))+(O46*($E46/366))+(O47*($E47/366))+(O48*($E48/366))+(O49*($E49/366))+(O50*($E50/366))</f>
        <v>0</v>
      </c>
      <c r="T134" s="5">
        <f xml:space="preserve"> (P45*($E45/366))+(P46*($E46/366))+(P47*($E47/366))+(P48*($E48/366))+(P49*($E49/366))+(P50*($E50/366))</f>
        <v>0</v>
      </c>
      <c r="U134" s="5">
        <f xml:space="preserve"> (Q45*($E45/366))+(Q46*($E46/366))+(Q47*($E47/366))+(Q48*($E48/366))+(Q49*($E49/366))+(Q50*($E50/366))</f>
        <v>47.994535519125684</v>
      </c>
      <c r="V134" s="9"/>
      <c r="W134" s="5">
        <f t="shared" si="29"/>
        <v>47.994535519125684</v>
      </c>
    </row>
    <row r="135" spans="1:23" x14ac:dyDescent="0.15">
      <c r="A135" s="1">
        <v>2005</v>
      </c>
      <c r="B135" s="5">
        <f xml:space="preserve"> (K51*($E51/365))+(K52*($E52/365))+(K53*($E53/365))</f>
        <v>8.7062404870624057</v>
      </c>
      <c r="C135" s="5">
        <f xml:space="preserve"> (L51*($E51/365))+(L52*($E52/365))+(L53*($E53/365))</f>
        <v>0</v>
      </c>
      <c r="D135" s="5">
        <f xml:space="preserve"> (M51*($E51/365))+(M52*($E52/365))+(M53*($E53/365))</f>
        <v>40.419016921837226</v>
      </c>
      <c r="E135" s="23">
        <f t="shared" si="28"/>
        <v>49.125257408899628</v>
      </c>
      <c r="G135" s="1">
        <v>2005</v>
      </c>
      <c r="H135" s="392">
        <f>(O51/$R51*100*($E51/365))+(O52/$R52*100*($E52/365))+(O53/$R53*100*($E53/365))</f>
        <v>14.246575342465754</v>
      </c>
      <c r="I135" s="392"/>
      <c r="J135" s="392">
        <f>(P51/$R51*100*($E51/365))+(P52/$R52*100*($E52/365))+(P53/$R53*100*($E53/365))</f>
        <v>0</v>
      </c>
      <c r="K135" s="392"/>
      <c r="L135" s="392">
        <f>(Q51/$R51*100*($E51/365))+(Q52/$R52*100*($E52/365))+(Q53/$R53*100*($E53/365))</f>
        <v>85.753424657534239</v>
      </c>
      <c r="M135" s="392"/>
      <c r="N135" s="413">
        <f t="shared" si="27"/>
        <v>100</v>
      </c>
      <c r="O135" s="413"/>
      <c r="P135" s="9"/>
      <c r="Q135" s="9"/>
      <c r="R135" s="1">
        <v>2005</v>
      </c>
      <c r="S135" s="5">
        <f xml:space="preserve"> (O51*($E51/365))+(O52*($E52/365))+(O53*($E53/365))</f>
        <v>4.8010958904109593</v>
      </c>
      <c r="T135" s="5">
        <f xml:space="preserve"> (P51*($E51/365))+(P52*($E52/365))+(P53*($E53/365))</f>
        <v>0</v>
      </c>
      <c r="U135" s="5">
        <f xml:space="preserve"> (Q51*($E51/365))+(Q52*($E52/365))+(Q53*($E53/365))</f>
        <v>40.304109589041097</v>
      </c>
      <c r="V135" s="9"/>
      <c r="W135" s="5">
        <f t="shared" si="29"/>
        <v>45.105205479452053</v>
      </c>
    </row>
    <row r="136" spans="1:23" x14ac:dyDescent="0.15">
      <c r="A136" s="1">
        <v>2006</v>
      </c>
      <c r="B136" s="5">
        <f xml:space="preserve"> (K54*($E54/365))+(K55*($E55/365)) +(K56*($E56/365))+(K57*($E57/365))+(K58*($E58/365))</f>
        <v>63.607305936073054</v>
      </c>
      <c r="C136" s="5">
        <f xml:space="preserve"> (L54*($E54/365))+(L55*($E55/365)) +(L56*($E56/365))+(L57*($E57/365))+(L58*($E58/365))</f>
        <v>0</v>
      </c>
      <c r="D136" s="5">
        <f xml:space="preserve"> (M54*($E54/365))+(M55*($E55/365)) +(M56*($E56/365))+(M57*($E57/365))+(M58*($E58/365))</f>
        <v>9.1282689912826882</v>
      </c>
      <c r="E136" s="23">
        <f t="shared" si="28"/>
        <v>72.735574927355742</v>
      </c>
      <c r="G136" s="1">
        <v>2006</v>
      </c>
      <c r="H136" s="392">
        <f>(O54/$R54*100*($E54/365))+(O55/$R55*100*($E55/365))+(O56/$R56*100*($E56/365))+(O57/$R57*100*($E57/365))+(O58/$R58*100*($E58/365))</f>
        <v>84.886787118661502</v>
      </c>
      <c r="I136" s="392"/>
      <c r="J136" s="392">
        <f>(P54/$R54*100*($E54/365))+(P55/$R55*100*($E55/365))+(P56/$R56*100*($E56/365))+(P57/$R57*100*($E57/365))+(P58/$R58*100*($E58/365))</f>
        <v>0</v>
      </c>
      <c r="K136" s="392"/>
      <c r="L136" s="392">
        <f>(Q54/$R54*100*($E54/365))+(Q55/$R55*100*($E55/365))+(Q56/$R56*100*($E56/365))+(Q57/$R57*100*($E57/365))+(Q58/$R58*100*($E58/365))</f>
        <v>15.113212881338505</v>
      </c>
      <c r="M136" s="392"/>
      <c r="N136" s="413">
        <f t="shared" si="27"/>
        <v>100</v>
      </c>
      <c r="O136" s="413"/>
      <c r="P136" s="9"/>
      <c r="Q136" s="9"/>
      <c r="R136" s="1">
        <v>2006</v>
      </c>
      <c r="S136" s="5">
        <f xml:space="preserve"> (O54*($E54/365))+(O55*($E55/365)) +(O56*($E56/365))+(O57*($E57/365))+(O58*($E58/365))</f>
        <v>38.586027397260274</v>
      </c>
      <c r="T136" s="5">
        <f xml:space="preserve"> (P54*($E54/365))+(P55*($E55/365)) +(P56*($E56/365))+(P57*($E57/365))+(P58*($E58/365))</f>
        <v>0</v>
      </c>
      <c r="U136" s="5">
        <f xml:space="preserve"> (Q54*($E54/365))+(Q55*($E55/365)) +(Q56*($E56/365))+(Q57*($E57/365))+(Q58*($E58/365))</f>
        <v>8.0553424657534229</v>
      </c>
      <c r="V136" s="9"/>
      <c r="W136" s="5">
        <f t="shared" si="29"/>
        <v>46.641369863013693</v>
      </c>
    </row>
    <row r="137" spans="1:23" x14ac:dyDescent="0.15">
      <c r="A137" s="1">
        <v>2007</v>
      </c>
      <c r="B137" s="5">
        <f xml:space="preserve"> (K59*($E59/365))+(K60*($E60/365))+(K61*($E61/365))+(K62*($E62/365)) +(K63*($E63/365))+(K64*($E64/365))+(K65*($E65/365))+(K66*($E66/365))+(K67*($E67/365))</f>
        <v>62.295152237081957</v>
      </c>
      <c r="C137" s="5">
        <f xml:space="preserve"> (L59*($E59/365))+(L60*($E60/365))+(L61*($E61/365))+(L62*($E62/365)) +(L63*($E63/365))+(L64*($E64/365))+(L65*($E65/365))+(L66*($E66/365))+(L67*($E67/365))</f>
        <v>0</v>
      </c>
      <c r="D137" s="5">
        <f xml:space="preserve"> (M59*($E59/365))+(M60*($E60/365))+(M61*($E61/365))+(M62*($E62/365)) +(M63*($E63/365))+(M64*($E64/365))+(M65*($E65/365))+(M66*($E66/365))+(M67*($E67/365))</f>
        <v>9.308525998520043</v>
      </c>
      <c r="E137" s="23">
        <f t="shared" si="28"/>
        <v>71.603678235602004</v>
      </c>
      <c r="G137" s="1">
        <v>2007</v>
      </c>
      <c r="H137" s="392">
        <f>(O59/$R59*100*($E59/365))+(O60/$R60*100*($E60/365))+(O61/$R61*100*($E61/365))+(O62/$R62*100*($E62/365))+(O63/$R63*100*($E63/365))+(O64/$R64*100*($E64/365))+(O65/$R65*100*($E65/365))+(O66/$R66*100*($E66/365))+(O67/$R67*100*($E67/365))</f>
        <v>84.614027050370836</v>
      </c>
      <c r="I137" s="392"/>
      <c r="J137" s="392">
        <f>(P59/$R59*100*($E59/365))+(P60/$R60*100*($E60/365))+(P61/$R61*100*($E61/365))+(P62/$R62*100*($E62/365))+(P63/$R63*100*($E63/365))+(P64/$R64*100*($E64/365))+(P65/$R65*100*($E65/365))+(P66/$R66*100*($E66/365))+(P67/$R67*100*($E67/365))</f>
        <v>0</v>
      </c>
      <c r="K137" s="392"/>
      <c r="L137" s="392">
        <f>(Q59/$R59*100*($E59/365))+(Q60/$R60*100*($E60/365))+(Q61/$R61*100*($E61/365))+(Q62/$R62*100*($E62/365))+(Q63/$R63*100*($E63/365))+(Q64/$R64*100*($E64/365))+(Q65/$R65*100*($E65/365))+(Q66/$R66*100*($E66/365))+(Q67/$R67*100*($E67/365))</f>
        <v>15.385972949629156</v>
      </c>
      <c r="M137" s="392"/>
      <c r="N137" s="413">
        <f t="shared" si="27"/>
        <v>100</v>
      </c>
      <c r="O137" s="413"/>
      <c r="P137" s="9"/>
      <c r="Q137" s="9"/>
      <c r="R137" s="1">
        <v>2007</v>
      </c>
      <c r="S137" s="5">
        <f xml:space="preserve"> (O59*($E59/365))+(O60*($E60/365))+(O61*($E61/365))+(O62*($E62/365)) +(O63*($E63/365))+(O64*($E64/365))+(O65*($E65/365))+(O66*($E66/365))+(O67*($E67/365))</f>
        <v>39.459452054794518</v>
      </c>
      <c r="T137" s="5">
        <f xml:space="preserve"> (P59*($E59/365))+(P60*($E60/365))+(P61*($E61/365))+(P62*($E62/365)) +(P63*($E63/365))+(P64*($E64/365))+(P65*($E65/365))+(P66*($E66/365))+(P67*($E67/365))</f>
        <v>0</v>
      </c>
      <c r="U137" s="5">
        <f xml:space="preserve"> (Q59*($E59/365))+(Q60*($E60/365))+(Q61*($E61/365))+(Q62*($E62/365)) +(Q63*($E63/365))+(Q64*($E64/365))+(Q65*($E65/365))+(Q66*($E66/365))+(Q67*($E67/365))</f>
        <v>8.1846575342465755</v>
      </c>
      <c r="V137" s="9"/>
      <c r="W137" s="5">
        <f t="shared" si="29"/>
        <v>47.644109589041093</v>
      </c>
    </row>
    <row r="138" spans="1:23" x14ac:dyDescent="0.15">
      <c r="A138" s="1">
        <v>2008</v>
      </c>
      <c r="B138" s="5">
        <f xml:space="preserve"> (K68*($E68/366))+(K69*($E69/366))</f>
        <v>52.631578947368418</v>
      </c>
      <c r="C138" s="5">
        <f xml:space="preserve"> (L68*($E68/366))+(L69*($E69/366))</f>
        <v>0</v>
      </c>
      <c r="D138" s="5">
        <f xml:space="preserve"> (M68*($E68/366))+(M69*($E69/366))</f>
        <v>15.789473684210526</v>
      </c>
      <c r="E138" s="23">
        <f t="shared" si="28"/>
        <v>68.421052631578945</v>
      </c>
      <c r="G138" s="1">
        <v>2008</v>
      </c>
      <c r="H138" s="392">
        <f>(O68/$R68*100*($E68/366))+(O69/$R69*100*($E69/366))</f>
        <v>87.140115163147797</v>
      </c>
      <c r="I138" s="392"/>
      <c r="J138" s="392">
        <f>(P68/$R68*100*($E68/366))+(P69/$R69*100*($E69/366))</f>
        <v>0</v>
      </c>
      <c r="K138" s="392"/>
      <c r="L138" s="392">
        <f>(Q68/$R68*100*($E68/366))+(Q69/$R69*100*($E69/366))</f>
        <v>12.859884836852206</v>
      </c>
      <c r="M138" s="392"/>
      <c r="N138" s="413">
        <f t="shared" si="27"/>
        <v>100</v>
      </c>
      <c r="O138" s="413"/>
      <c r="P138" s="9"/>
      <c r="Q138" s="9"/>
      <c r="R138" s="1">
        <v>2008</v>
      </c>
      <c r="S138" s="5">
        <f xml:space="preserve"> (O68*($E68/366))+(O69*($E69/366))</f>
        <v>45.4</v>
      </c>
      <c r="T138" s="5">
        <f xml:space="preserve"> (P68*($E68/366))+(P69*($E69/366))</f>
        <v>0</v>
      </c>
      <c r="U138" s="5">
        <f xml:space="preserve"> (Q68*($E68/366))+(Q69*($E69/366))</f>
        <v>6.7</v>
      </c>
      <c r="V138" s="9"/>
      <c r="W138" s="5">
        <f t="shared" si="29"/>
        <v>52.1</v>
      </c>
    </row>
    <row r="139" spans="1:23" x14ac:dyDescent="0.15">
      <c r="A139" s="1">
        <v>2009</v>
      </c>
      <c r="B139" s="5">
        <f xml:space="preserve"> (K70*($E70/365))+(K71*($E71/365))+(K72*($E72/365))+(K73*($E73/365))</f>
        <v>60.360490266762795</v>
      </c>
      <c r="C139" s="5">
        <f xml:space="preserve"> (L70*($E70/365))+(L71*($E71/365))+(L72*($E72/365))+(L73*($E73/365))</f>
        <v>0</v>
      </c>
      <c r="D139" s="5">
        <f xml:space="preserve"> (M70*($E70/365))+(M71*($E71/365))+(M72*($E72/365))+(M73*($E73/365))</f>
        <v>15.789473684210526</v>
      </c>
      <c r="E139" s="23">
        <f t="shared" si="28"/>
        <v>76.149963950973316</v>
      </c>
      <c r="G139" s="1">
        <v>2009</v>
      </c>
      <c r="H139" s="392">
        <f>(O70/$R70*100*($E70/365))+(O71/$R71*100*($E71/365))+(O72/$R72*100*($E72/365))+(O73/$R73*100*($E73/365))</f>
        <v>87.140115163147797</v>
      </c>
      <c r="I139" s="392"/>
      <c r="J139" s="392">
        <f>(P70/$R70*100*($E70/365))+(P71/$R71*100*($E71/365))+(P72/$R72*100*($E72/365))+(P73/$R73*100*($E73/365))</f>
        <v>0</v>
      </c>
      <c r="K139" s="392"/>
      <c r="L139" s="392">
        <f>(Q70/$R70*100*($E70/365))+(Q71/$R71*100*($E71/365))+(Q72/$R72*100*($E72/365))+(Q73/$R73*100*($E73/365))</f>
        <v>12.859884836852208</v>
      </c>
      <c r="M139" s="392"/>
      <c r="N139" s="413">
        <f t="shared" si="27"/>
        <v>100</v>
      </c>
      <c r="O139" s="413"/>
      <c r="P139" s="9"/>
      <c r="Q139" s="9"/>
      <c r="R139" s="1">
        <v>2009</v>
      </c>
      <c r="S139" s="5">
        <f xml:space="preserve"> (O70*($E70/365))+(O71*($E71/365))+(O72*($E72/365))+(O73*($E73/365))</f>
        <v>45.400000000000006</v>
      </c>
      <c r="T139" s="5">
        <f xml:space="preserve"> (P70*($E70/365))+(P71*($E71/365))+(P72*($E72/365))+(P73*($E73/365))</f>
        <v>0</v>
      </c>
      <c r="U139" s="5">
        <f xml:space="preserve"> (Q70*($E70/365))+(Q71*($E71/365))+(Q72*($E72/365))+(Q73*($E73/365))</f>
        <v>6.7</v>
      </c>
      <c r="V139" s="9"/>
      <c r="W139" s="5">
        <f t="shared" si="29"/>
        <v>52.100000000000009</v>
      </c>
    </row>
    <row r="140" spans="1:23" x14ac:dyDescent="0.15">
      <c r="A140" s="1">
        <v>2010</v>
      </c>
      <c r="B140" s="5">
        <f xml:space="preserve"> (K74*($E74/365)) +(K75*($E75/365))</f>
        <v>52.631578947368418</v>
      </c>
      <c r="C140" s="5">
        <f xml:space="preserve"> (L74*($E74/365)) +(L75*($E75/365))</f>
        <v>0</v>
      </c>
      <c r="D140" s="5">
        <f xml:space="preserve"> (M74*($E74/365)) +(M75*($E75/365))</f>
        <v>15.789473684210526</v>
      </c>
      <c r="E140" s="23">
        <f t="shared" si="28"/>
        <v>68.421052631578945</v>
      </c>
      <c r="G140" s="1">
        <v>2010</v>
      </c>
      <c r="H140" s="392">
        <f>(O74/$R74*100*($E74/365))+(O75/$R75*100*($E75/365))</f>
        <v>87.140115163147797</v>
      </c>
      <c r="I140" s="392"/>
      <c r="J140" s="392">
        <f>(P74/$R74*100*($E74/365))+(P75/$R75*100*($E75/365))</f>
        <v>0</v>
      </c>
      <c r="K140" s="392"/>
      <c r="L140" s="392">
        <f>(Q74/$R74*100*($E74/365))+(Q75/$R75*100*($E75/365))</f>
        <v>12.859884836852206</v>
      </c>
      <c r="M140" s="392"/>
      <c r="N140" s="413">
        <f t="shared" si="27"/>
        <v>100</v>
      </c>
      <c r="O140" s="413"/>
      <c r="P140" s="9"/>
      <c r="Q140" s="9"/>
      <c r="R140" s="1">
        <v>2010</v>
      </c>
      <c r="S140" s="5">
        <f xml:space="preserve"> (O74*($E74/365)) +(O75*($E75/365))</f>
        <v>45.4</v>
      </c>
      <c r="T140" s="5">
        <f xml:space="preserve"> (P74*($E74/365)) +(P75*($E75/365))</f>
        <v>0</v>
      </c>
      <c r="U140" s="5">
        <f xml:space="preserve"> (Q74*($E74/365)) +(Q75*($E75/365))</f>
        <v>6.7</v>
      </c>
      <c r="V140" s="9"/>
      <c r="W140" s="5">
        <f t="shared" si="29"/>
        <v>52.1</v>
      </c>
    </row>
    <row r="141" spans="1:23" x14ac:dyDescent="0.15">
      <c r="A141" s="1">
        <v>2011</v>
      </c>
      <c r="B141" s="5">
        <f xml:space="preserve"> (K76*($E76/365)) +(K77*($E77/365))+(K78*($E78/365))</f>
        <v>53.3518809109801</v>
      </c>
      <c r="C141" s="5">
        <f xml:space="preserve"> (L76*($E76/365)) +(L77*($E77/365))+(L78*($E78/365))</f>
        <v>0</v>
      </c>
      <c r="D141" s="5">
        <f xml:space="preserve"> (M76*($E76/365)) +(M77*($E77/365))+(M78*($E78/365))</f>
        <v>15.750286271682429</v>
      </c>
      <c r="E141" s="23">
        <f t="shared" si="28"/>
        <v>69.102167182662527</v>
      </c>
      <c r="G141" s="1">
        <v>2011</v>
      </c>
      <c r="H141" s="392">
        <f>(O76/$R76*100*($E76/365))+(O77/$R77*100*($E77/365))+(O78/$R78*100*($E78/365))</f>
        <v>87.251321504041485</v>
      </c>
      <c r="I141" s="392"/>
      <c r="J141" s="392">
        <f>(P76/$R76*100*($E76/365))+(P77/$R77*100*($E77/365))+(P78/$R78*100*($E78/365))</f>
        <v>0</v>
      </c>
      <c r="K141" s="392"/>
      <c r="L141" s="392">
        <f>(Q76/$R76*100*($E76/365))+(Q77/$R77*100*($E77/365))+(Q78/$R78*100*($E78/365))</f>
        <v>12.748678495958526</v>
      </c>
      <c r="M141" s="392"/>
      <c r="N141" s="413">
        <f t="shared" si="27"/>
        <v>100.00000000000001</v>
      </c>
      <c r="O141" s="413"/>
      <c r="P141" s="9"/>
      <c r="Q141" s="9"/>
      <c r="R141" s="1">
        <v>2011</v>
      </c>
      <c r="S141" s="5">
        <f xml:space="preserve"> (O76*($E76/365)) +(O77*($E77/365))+(O78*($E78/365))</f>
        <v>45.351780821917806</v>
      </c>
      <c r="T141" s="5">
        <f xml:space="preserve"> (P76*($E76/365)) +(P77*($E77/365))+(P78*($E78/365))</f>
        <v>0</v>
      </c>
      <c r="U141" s="5">
        <f xml:space="preserve"> (Q76*($E76/365)) +(Q77*($E77/365))+(Q78*($E78/365))</f>
        <v>6.627671232876712</v>
      </c>
      <c r="V141" s="9"/>
      <c r="W141" s="5">
        <f t="shared" si="29"/>
        <v>51.979452054794521</v>
      </c>
    </row>
    <row r="142" spans="1:23" x14ac:dyDescent="0.15">
      <c r="A142" s="1">
        <v>2012</v>
      </c>
      <c r="B142" s="5">
        <f xml:space="preserve"> (K79*($E79/366)) +(K80*($E80/366))</f>
        <v>60</v>
      </c>
      <c r="C142" s="5">
        <f xml:space="preserve"> (L79*($E79/366)) +(L80*($E80/366))</f>
        <v>0</v>
      </c>
      <c r="D142" s="5">
        <f xml:space="preserve"> (M79*($E79/366)) +(M80*($E80/366))</f>
        <v>15</v>
      </c>
      <c r="E142" s="23">
        <f t="shared" si="28"/>
        <v>75</v>
      </c>
      <c r="G142" s="1">
        <v>2012</v>
      </c>
      <c r="H142" s="392">
        <f>(O79/$R79*100*($E79/366))+(O80/$R80*100*($E80/366))</f>
        <v>88.06262230919765</v>
      </c>
      <c r="I142" s="392"/>
      <c r="J142" s="392">
        <f>(P79/$R79*100*($E79/366))+(P80/$R80*100*($E80/366))</f>
        <v>0</v>
      </c>
      <c r="K142" s="392"/>
      <c r="L142" s="392">
        <f>(Q79/$R79*100*($E79/366))+(Q80/$R80*100*($E80/366))</f>
        <v>11.937377690802348</v>
      </c>
      <c r="M142" s="392"/>
      <c r="N142" s="413">
        <f t="shared" si="27"/>
        <v>100</v>
      </c>
      <c r="O142" s="413"/>
      <c r="P142" s="9"/>
      <c r="Q142" s="9"/>
      <c r="R142" s="1">
        <v>2012</v>
      </c>
      <c r="S142" s="5">
        <f xml:space="preserve"> (O79*($E79/366)) +(O80*($E80/366))</f>
        <v>45</v>
      </c>
      <c r="T142" s="5">
        <f xml:space="preserve"> (P79*($E79/366)) +(P80*($E80/366))</f>
        <v>0</v>
      </c>
      <c r="U142" s="5">
        <f xml:space="preserve"> (Q79*($E79/366)) +(Q80*($E80/366))</f>
        <v>6.1</v>
      </c>
      <c r="V142" s="9"/>
      <c r="W142" s="5">
        <f t="shared" ref="W142:W147" si="30">S142+T142+U142</f>
        <v>51.1</v>
      </c>
    </row>
    <row r="143" spans="1:23" x14ac:dyDescent="0.15">
      <c r="A143" s="1">
        <v>2013</v>
      </c>
      <c r="B143" s="5">
        <f xml:space="preserve"> (K81*($E81/365))+(K82*($E82/365))+(K83*($E83/365)) +(K84*($E84/365))</f>
        <v>59.003604902667632</v>
      </c>
      <c r="C143" s="5">
        <f xml:space="preserve"> (L81*($E81/365)) +(L82*($E82/365))+(L83*($E83/365)) +(L84*($E84/365))</f>
        <v>0</v>
      </c>
      <c r="D143" s="5">
        <f xml:space="preserve"> (M81*($E81/365)) +(M82*($E82/365))+(M83*($E83/365)) +(M84*($E84/365))</f>
        <v>15.075702956020187</v>
      </c>
      <c r="E143" s="23">
        <f>B143+C143+D143</f>
        <v>74.079307858687827</v>
      </c>
      <c r="G143" s="1">
        <v>2013</v>
      </c>
      <c r="H143" s="392">
        <f>(O81/$R81*100*($E81/365))+(O82/$R82*100*($E82/365))+(O83/$R83*100*($E83/365))+(O84/$R84*100*($E84/365))</f>
        <v>88.06262230919765</v>
      </c>
      <c r="I143" s="392"/>
      <c r="J143" s="392">
        <f>(P81/$R81*100*($E81/365))+(P82/$R82*100*($E82/365))+(P83/$R83*100*($E83/365))+(P84/$R84*100*($E84/365))</f>
        <v>0</v>
      </c>
      <c r="K143" s="392"/>
      <c r="L143" s="392">
        <f>(Q81/$R81*100*($E81/365))+(Q82/$R82*100*($E82/365))+(Q83/$R83*100*($E83/365))+(Q84/$R84*100*($E84/365))</f>
        <v>11.937377690802348</v>
      </c>
      <c r="M143" s="392"/>
      <c r="N143" s="413">
        <f>H143+J143+L143</f>
        <v>100</v>
      </c>
      <c r="O143" s="413"/>
      <c r="R143" s="1">
        <v>2013</v>
      </c>
      <c r="S143" s="5">
        <f xml:space="preserve"> (O81*($E81/365))+(O82*($E82/365)) +(O83*($E83/365)) +(O84*($E84/365))</f>
        <v>45</v>
      </c>
      <c r="T143" s="5">
        <f xml:space="preserve"> (P81*($E81/365)) +(P82*($E82/365))+(P83*($E83/365)) +(P84*($E84/365))</f>
        <v>0</v>
      </c>
      <c r="U143" s="5">
        <f xml:space="preserve"> (Q81*($E81/365)) +(Q82*($E82/365))+(Q83*($E83/365)) +(Q84*($E84/365))</f>
        <v>6.1</v>
      </c>
      <c r="V143" s="9"/>
      <c r="W143" s="5">
        <f t="shared" si="30"/>
        <v>51.1</v>
      </c>
    </row>
    <row r="144" spans="1:23" x14ac:dyDescent="0.15">
      <c r="A144" s="1">
        <v>2014</v>
      </c>
      <c r="B144" s="5">
        <f xml:space="preserve"> (K85*($E85/365))+(K86*($E86/365)) +(K87*($E87/365))</f>
        <v>56.49603460706561</v>
      </c>
      <c r="C144" s="5">
        <f xml:space="preserve"> (L85*($E85/365))+(L86*($E86/365)) +(L87*($E87/365))</f>
        <v>0</v>
      </c>
      <c r="D144" s="5">
        <f xml:space="preserve"> (M85*($E85/365))+(M86*($E86/365)) +(M87*($E87/365))</f>
        <v>15.789473684210527</v>
      </c>
      <c r="E144" s="23">
        <f>B144+C144+D144</f>
        <v>72.28550829127613</v>
      </c>
      <c r="G144" s="1">
        <v>2014</v>
      </c>
      <c r="H144" s="392">
        <f>(O85/$R85*100*($E85/365))+(O86/$R86*100*($E86/365))+(O87/$R87*100*($E87/365))</f>
        <v>87.567829533765092</v>
      </c>
      <c r="I144" s="392"/>
      <c r="J144" s="392">
        <f>(P85/$R85*100*($E85/365))+(P86/$R86*100*($E86/365))+(P87/$R87*100*($E87/365))</f>
        <v>0</v>
      </c>
      <c r="K144" s="392"/>
      <c r="L144" s="392">
        <f>(Q85/$R85*100*($E85/365))+(Q86/$R86*100*($E86/365))+(Q87/$R87*100*($E87/365))</f>
        <v>12.432170466234908</v>
      </c>
      <c r="M144" s="392"/>
      <c r="N144" s="413">
        <f>H144+J144+L144</f>
        <v>100</v>
      </c>
      <c r="O144" s="413"/>
      <c r="R144" s="1">
        <v>2014</v>
      </c>
      <c r="S144" s="5">
        <f>(O85*($E85/365)) +(O86*($E86/365))+(O87*($E87/365))</f>
        <v>44.723287671232875</v>
      </c>
      <c r="T144" s="5">
        <f>(P85*($E85/365)) +(P86*($E86/365))+ (P87*($E87/365))</f>
        <v>0</v>
      </c>
      <c r="U144" s="5">
        <f>(Q85*($E85/365)) +(Q86*($E86/365))+ (Q87*($E87/365))</f>
        <v>6.34904109589041</v>
      </c>
      <c r="V144" s="9"/>
      <c r="W144" s="5">
        <f t="shared" si="30"/>
        <v>51.072328767123281</v>
      </c>
    </row>
    <row r="145" spans="1:23" x14ac:dyDescent="0.15">
      <c r="A145" s="1">
        <v>2015</v>
      </c>
      <c r="B145" s="5">
        <f xml:space="preserve"> (K88*($E88/365))+(K89*($E89/365)) +(K90*($E90/365))</f>
        <v>55.638067772170153</v>
      </c>
      <c r="C145" s="5">
        <f xml:space="preserve"> (L88*($E88/365))+(L89*($E89/365)) +(L90*($E90/365))</f>
        <v>0</v>
      </c>
      <c r="D145" s="5">
        <f xml:space="preserve"> (M88*($E88/365))+(M89*($E89/365)) +(M90*($E90/365))</f>
        <v>13.799567411679885</v>
      </c>
      <c r="E145" s="23">
        <f>B145+C145+D145</f>
        <v>69.437635183850034</v>
      </c>
      <c r="G145" s="1">
        <v>2015</v>
      </c>
      <c r="H145" s="392">
        <f>(O88/$R88*100*($E88/365))+(O89/$R89*100*($E89/365))+(O90/$R90*100*($E90/365))</f>
        <v>88.004297609454753</v>
      </c>
      <c r="I145" s="392"/>
      <c r="J145" s="392">
        <f>(P88/$R88*100*($E88/365))+(P89/$R89*100*($E89/365))+(P90/$R90*100*($E90/365))</f>
        <v>0</v>
      </c>
      <c r="K145" s="392"/>
      <c r="L145" s="392">
        <f>(Q88/$R88*100*($E88/365))+(Q89/$R89*100*($E89/365))+(Q90/$R90*100*($E90/365))</f>
        <v>11.995702390545262</v>
      </c>
      <c r="M145" s="392"/>
      <c r="N145" s="413">
        <f>H145+J145+L145</f>
        <v>100.00000000000001</v>
      </c>
      <c r="O145" s="413"/>
      <c r="R145" s="1">
        <v>2015</v>
      </c>
      <c r="S145" s="5">
        <f>(O88*($E88/365)) +(O89*($E89/365))+(O90*($E90/365))</f>
        <v>44.894794520547947</v>
      </c>
      <c r="T145" s="5">
        <f>(P88*($E88/365)) +(P89*($E89/365))+ (P90*($E90/365))</f>
        <v>0</v>
      </c>
      <c r="U145" s="5">
        <f>(Q88*($E88/365)) +(Q89*($E89/365))+ (Q90*($E90/365))</f>
        <v>6.117808219178082</v>
      </c>
      <c r="V145" s="9"/>
      <c r="W145" s="5">
        <f t="shared" si="30"/>
        <v>51.012602739726027</v>
      </c>
    </row>
    <row r="146" spans="1:23" x14ac:dyDescent="0.15">
      <c r="A146" s="1">
        <v>2016</v>
      </c>
      <c r="B146" s="5">
        <f xml:space="preserve"> (K91*($E91/366))+(K92*($E92/366)) +(K93*($E93/366))</f>
        <v>75.551307803624269</v>
      </c>
      <c r="C146" s="5">
        <f xml:space="preserve"> (L91*($E91/366))+(L92*($E92/366)) +(L93*($E93/366))</f>
        <v>0</v>
      </c>
      <c r="D146" s="5">
        <f xml:space="preserve"> (M91*($E91/366))+(M92*($E92/366)) +(M93*($E93/366))</f>
        <v>0</v>
      </c>
      <c r="E146" s="23">
        <f>B146+C146+D146</f>
        <v>75.551307803624269</v>
      </c>
      <c r="G146" s="1">
        <v>2016</v>
      </c>
      <c r="H146" s="392">
        <f>(O91/$R91*100*($E91/366))+(O92/$R92*100*($E92/366))+(O93/$R93*100*($E93/366))</f>
        <v>100</v>
      </c>
      <c r="I146" s="392"/>
      <c r="J146" s="392">
        <f>(P91/$R91*100*($E91/366))+(P92/$R92*100*($E92/366))+(P93/$R93*100*($E93/366))</f>
        <v>0</v>
      </c>
      <c r="K146" s="392"/>
      <c r="L146" s="392">
        <f>(Q91/$R91*100*($E91/366))+(Q92/$R92*100*($E92/366))+(Q93/$R93*100*($E93/366))</f>
        <v>0</v>
      </c>
      <c r="M146" s="392"/>
      <c r="N146" s="413">
        <f>H146+J146+L146</f>
        <v>100</v>
      </c>
      <c r="O146" s="413"/>
      <c r="R146" s="1">
        <v>2016</v>
      </c>
      <c r="S146" s="5">
        <f>(O91*($E91/366)) +(O92*($E92/366))+(O93*($E93/366))</f>
        <v>51.1</v>
      </c>
      <c r="T146" s="5">
        <f>(P91*($E91/366)) +(P92*($E92/366))+ (P93*($E93/366))</f>
        <v>0</v>
      </c>
      <c r="U146" s="5">
        <f>(Q91*($E91/366)) +(Q92*($E92/366))+ (Q93*($E93/366))</f>
        <v>0</v>
      </c>
      <c r="V146" s="9"/>
      <c r="W146" s="5">
        <f t="shared" si="30"/>
        <v>51.1</v>
      </c>
    </row>
    <row r="147" spans="1:23" x14ac:dyDescent="0.15">
      <c r="A147" s="1">
        <v>2017</v>
      </c>
      <c r="B147" s="5">
        <f xml:space="preserve"> (K94*($E94/365)) +(K95*($E95/365))</f>
        <v>77.272727272727266</v>
      </c>
      <c r="C147" s="5">
        <f xml:space="preserve"> (L94*($E94/365)) +(L95*($E95/365))</f>
        <v>0</v>
      </c>
      <c r="D147" s="5">
        <f xml:space="preserve"> (M94*($E94/365)) +(M95*($E95/365))</f>
        <v>0</v>
      </c>
      <c r="E147" s="23">
        <f>B147+C147+D147</f>
        <v>77.272727272727266</v>
      </c>
      <c r="G147" s="1">
        <v>2017</v>
      </c>
      <c r="H147" s="392">
        <f>(O94/$R94*100*($E94/365))+(O95/$R95*100*($E95/365))</f>
        <v>100</v>
      </c>
      <c r="I147" s="392"/>
      <c r="J147" s="392">
        <f>(P94/$R94*100*($E94/365))+(P95/$R95*100*($E95/365))</f>
        <v>0</v>
      </c>
      <c r="K147" s="392"/>
      <c r="L147" s="392">
        <f>(Q94/$R94*100*($E94/365))+(Q95/$R95*100*($E95/365))</f>
        <v>0</v>
      </c>
      <c r="M147" s="392"/>
      <c r="N147" s="413">
        <f>H147+J147+L147</f>
        <v>100</v>
      </c>
      <c r="O147" s="413"/>
      <c r="R147" s="1">
        <v>2017</v>
      </c>
      <c r="S147" s="5">
        <f>(O94*($E94/365))+(O95*($E95/365))</f>
        <v>51.123013698630139</v>
      </c>
      <c r="T147" s="5">
        <f>(P94*($E94/365))+(P95*($E95/365))</f>
        <v>0</v>
      </c>
      <c r="U147" s="5">
        <f>(Q94*($E94/365))+(Q95*($E95/365))</f>
        <v>0</v>
      </c>
      <c r="V147" s="9"/>
      <c r="W147" s="5">
        <f t="shared" si="30"/>
        <v>51.123013698630139</v>
      </c>
    </row>
    <row r="148" spans="1:23" x14ac:dyDescent="0.15">
      <c r="A148" s="1">
        <v>2018</v>
      </c>
      <c r="B148" s="5">
        <f xml:space="preserve"> (K96*($E96/365)) +(K97*($E97/365))</f>
        <v>69.734149114732787</v>
      </c>
      <c r="C148" s="5">
        <f xml:space="preserve"> (L96*($E96/365)) +(L97*($E97/365))</f>
        <v>0</v>
      </c>
      <c r="D148" s="5">
        <f xml:space="preserve"> (M96*($E96/365)) +(M97*($E97/365))</f>
        <v>0</v>
      </c>
      <c r="E148" s="23">
        <f t="shared" ref="E148" si="31">B148+C148+D148</f>
        <v>69.734149114732787</v>
      </c>
      <c r="G148" s="1">
        <v>2018</v>
      </c>
      <c r="H148" s="392">
        <f>(O96/$R96*100*($E96/365))+(O97/$R97*100*($E97/365))</f>
        <v>99.999999999999986</v>
      </c>
      <c r="I148" s="392"/>
      <c r="J148" s="392">
        <f>(P96/$R96*100*($E96/365))+(P97/$R97*100*($E97/365))</f>
        <v>0</v>
      </c>
      <c r="K148" s="392"/>
      <c r="L148" s="392">
        <f>(Q96/$R96*100*($E96/365))+(Q97/$R97*100*($E97/365))</f>
        <v>0</v>
      </c>
      <c r="M148" s="392"/>
      <c r="N148" s="413">
        <f t="shared" ref="N148" si="32">H148+J148+L148</f>
        <v>99.999999999999986</v>
      </c>
      <c r="O148" s="413"/>
      <c r="R148" s="1">
        <v>2018</v>
      </c>
      <c r="S148" s="5">
        <f>(O96*($E96/365))+(O97*($E97/365))</f>
        <v>51.5</v>
      </c>
      <c r="T148" s="5">
        <f>(P96*($E96/365))+(P97*($E97/365))</f>
        <v>0</v>
      </c>
      <c r="U148" s="5">
        <f>(Q96*($E96/365))+(Q97*($E97/365))</f>
        <v>0</v>
      </c>
      <c r="V148" s="9"/>
      <c r="W148" s="5">
        <f t="shared" ref="W148" si="33">S148+T148+U148</f>
        <v>51.5</v>
      </c>
    </row>
    <row r="149" spans="1:23" x14ac:dyDescent="0.15">
      <c r="A149" s="1">
        <v>2019</v>
      </c>
      <c r="B149" s="5">
        <f xml:space="preserve"> (K98*($E98/365)) +(K99*($E99/365))+(K100*(E100/365))+(K101*(E101/365))</f>
        <v>69.788068294619805</v>
      </c>
      <c r="C149" s="5">
        <f xml:space="preserve"> (L98*($E98/365)) +(L99*($E99/365))+(L100*(E100/365))+(L101*(E101/365))</f>
        <v>0</v>
      </c>
      <c r="D149" s="5">
        <f xml:space="preserve"> (M98*($E98/365)) +(M99*($E99/365))+(M100*(E100/365))+(M101*(E101/365))</f>
        <v>0</v>
      </c>
      <c r="E149" s="23">
        <f t="shared" ref="E149:E150" si="34">B149+C149+D149</f>
        <v>69.788068294619805</v>
      </c>
      <c r="G149" s="1">
        <v>2019</v>
      </c>
      <c r="H149" s="392">
        <f>(O98/$R98*100*($E98/365))+(O99/$R99*100*($E99/365))+(O100/R100*100*(E100/365))+(O101/R101*100*(E101/365))</f>
        <v>100</v>
      </c>
      <c r="I149" s="392"/>
      <c r="J149" s="392">
        <f>(P98/$R98*100*($E98/365))+(P99/$R99*100*($E99/365))+(P100/R100*100*(E100/365))+(P101/R101*100*(E101/365))</f>
        <v>0</v>
      </c>
      <c r="K149" s="392"/>
      <c r="L149" s="392">
        <f>(Q98/$R98*100*($E98/365))+(Q99/$R99*100*($E99/365))+(Q100/R100*100*(E100/365))+(Q101/R101*100*(E101/365))</f>
        <v>0</v>
      </c>
      <c r="M149" s="392"/>
      <c r="N149" s="413">
        <f t="shared" ref="N149" si="35">H149+J149+L149</f>
        <v>100</v>
      </c>
      <c r="O149" s="413"/>
      <c r="R149" s="1">
        <v>2019</v>
      </c>
      <c r="S149" s="5">
        <f>(O98*($E98/365))+(O99*($E99/365))+(O100*(E100/365))+(O101*(E101/365))</f>
        <v>51.499999999999993</v>
      </c>
      <c r="T149" s="5">
        <f>(P98*($E98/365))+(P99*($E99/365))+(P100*(E100/365))+(P101*(E101/365))</f>
        <v>0</v>
      </c>
      <c r="U149" s="5">
        <f>(Q98*($E98/365))+(Q99*($E99/365))+(Q100*(E100/365))+(Q101*(E101/365))</f>
        <v>0</v>
      </c>
      <c r="V149" s="9"/>
      <c r="W149" s="5">
        <f t="shared" ref="W149" si="36">S149+T149+U149</f>
        <v>51.499999999999993</v>
      </c>
    </row>
    <row r="150" spans="1:23" x14ac:dyDescent="0.15">
      <c r="A150" s="1">
        <v>2020</v>
      </c>
      <c r="B150" s="5">
        <f xml:space="preserve"> (K102*(E102/366))+(K103*(E103/366)) + (K104*(E104/366))</f>
        <v>70.508066614623985</v>
      </c>
      <c r="C150" s="5">
        <f xml:space="preserve"> (L102*(F102/366))+(L103*(F103/366)) + (L104*(F104/366))</f>
        <v>0</v>
      </c>
      <c r="D150" s="5">
        <f xml:space="preserve"> (M102*(G102/366))+(M103*(G103/366)) + (M104*(G104/366))</f>
        <v>0</v>
      </c>
      <c r="E150" s="23">
        <f t="shared" si="34"/>
        <v>70.508066614623985</v>
      </c>
      <c r="G150" s="1">
        <v>2020</v>
      </c>
      <c r="H150" s="392">
        <f>(O102/$R102*100*($E102/366))+(O103/R103*100*(E103/366))+(O104/R104*100*(E104/366))</f>
        <v>99.999999999999986</v>
      </c>
      <c r="I150" s="392"/>
      <c r="J150" s="392">
        <f>(P102/$R102*100*($E102/366))+(P103/R103*100*(E103/366))+(P104/R104*100*(E104/366))</f>
        <v>0</v>
      </c>
      <c r="K150" s="392"/>
      <c r="L150" s="392">
        <f>(Q102/$R102*100*($E102/366))+(Q103/R103*100*(E103/366))+(Q104/R104*100*(E104/366))</f>
        <v>0</v>
      </c>
      <c r="M150" s="392"/>
      <c r="N150" s="413">
        <f t="shared" ref="N150" si="37">H150+J150+L150</f>
        <v>99.999999999999986</v>
      </c>
      <c r="O150" s="413"/>
      <c r="R150" s="1">
        <v>2020</v>
      </c>
      <c r="S150" s="5">
        <f>(O102*($E102/366))+(O103*(E103/366))+(O104*(E104/366))</f>
        <v>51.499999999999993</v>
      </c>
      <c r="T150" s="5">
        <f>(P102*($E102/366))+(P103*(E103/366))+(P104*(E104/366))</f>
        <v>0</v>
      </c>
      <c r="U150" s="5">
        <f>(Q102*($E102/366))+(Q103*(E103/366))+(Q104*(E104/366))</f>
        <v>0</v>
      </c>
      <c r="W150" s="5">
        <f>S150+T150+U150</f>
        <v>51.499999999999993</v>
      </c>
    </row>
    <row r="151" spans="1:23" x14ac:dyDescent="0.15">
      <c r="A151" s="1">
        <v>2021</v>
      </c>
      <c r="B151" s="5">
        <f xml:space="preserve"> (K105*(E105/365))+(K106*(E106/365)) + (K107*(E107/365))</f>
        <v>71.672480785047796</v>
      </c>
      <c r="C151" s="5">
        <f xml:space="preserve"> (L105*(F105/365))+(L106*(F106/365)) + (L107*(F107/365))</f>
        <v>0</v>
      </c>
      <c r="D151" s="5">
        <f xml:space="preserve"> (M105*(G105/365))+(M106*(G106/365)) + (M107*(G107/365))</f>
        <v>0</v>
      </c>
      <c r="E151" s="23">
        <f t="shared" ref="E151" si="38">B151+C151+D151</f>
        <v>71.672480785047796</v>
      </c>
      <c r="G151" s="1">
        <v>2021</v>
      </c>
      <c r="H151" s="392">
        <f>(O105/$R105*100*($E105/365))+(O106/R106*100*(E106/365))+(O107/R107*100*(E107/365))</f>
        <v>100</v>
      </c>
      <c r="I151" s="392"/>
      <c r="J151" s="392">
        <f>(P105/$R105*100*($E105/365))+(P106/R106*100*(E106/365))+(P107/R107*100*(E107/365))</f>
        <v>0</v>
      </c>
      <c r="K151" s="392"/>
      <c r="L151" s="392">
        <f>(Q105/$R105*100*($E105/365))+(Q106/R106*100*(E106/365))+(Q107/R107*100*(E107/365))</f>
        <v>0</v>
      </c>
      <c r="M151" s="392"/>
      <c r="N151" s="413">
        <f t="shared" ref="N151" si="39">H151+J151+L151</f>
        <v>100</v>
      </c>
      <c r="O151" s="413"/>
      <c r="R151" s="1">
        <v>2021</v>
      </c>
      <c r="S151" s="5">
        <f>(O105*($E105/365))+(O106*(E106/365))+(O107*(E107/365))</f>
        <v>51.500000000000007</v>
      </c>
      <c r="T151" s="5">
        <f>(P105*($E105/365))+(P106*(E106/365))+(P107*(E107/365))</f>
        <v>0</v>
      </c>
      <c r="U151" s="5">
        <f>(Q105*($E105/365))+(Q106*(E106/365))+(Q107*(E107/365))</f>
        <v>0</v>
      </c>
      <c r="W151" s="5">
        <f>S151+T151+U151</f>
        <v>51.500000000000007</v>
      </c>
    </row>
    <row r="152" spans="1:23" x14ac:dyDescent="0.15">
      <c r="A152" s="1">
        <v>2022</v>
      </c>
      <c r="B152" s="5">
        <f xml:space="preserve"> (K108*(E108/365))+(K109*(E109/365))+(K110*(E110/365))+(K111*(E111/365))+(K112*(E112/365))+(K113*(E113/365))</f>
        <v>80.805666043307497</v>
      </c>
      <c r="C152" s="5">
        <f xml:space="preserve"> (L108*(F108/365))+(L109*(F109/365))+(L110*(F110/365))+(L111*(F111/365))+(L112*(F112/365))+(L113*(F113/365))</f>
        <v>0</v>
      </c>
      <c r="D152" s="5">
        <f xml:space="preserve"> (M108*(G108/365))+(M109*(G109/365))+(M110*(G110/365))+(M111*(G111/365))+(M112*(G112/365))+(M113*(G113/365))</f>
        <v>0</v>
      </c>
      <c r="E152" s="23">
        <f t="shared" ref="E152" si="40">B152+C152+D152</f>
        <v>80.805666043307497</v>
      </c>
      <c r="G152" s="1">
        <v>2022</v>
      </c>
      <c r="H152" s="392">
        <f>(O108/$R108*100*($E108/365))+(O109/R109*100*(E109/365))+(O110/R110*100*(E110/365))+(O111/R111*100*(E111/365))+(O112/R112*100*(E112/365))+(O113/R113*100*(E113/365))</f>
        <v>100</v>
      </c>
      <c r="I152" s="392"/>
      <c r="J152" s="392">
        <f>(P108/$R108*100*($E108/365))+(P109/R109*100*(E109/365))+(P110/R110*100*(E110/365))+(P111/R111*100*(E111/365))+(P112/R112*100*(E112/365))+(P113/R113*100*(E113/365))</f>
        <v>0</v>
      </c>
      <c r="K152" s="392"/>
      <c r="L152" s="392">
        <f>(Q108/$R108*100*($E108/365))+(Q109/R109*100*(E109/365))+(Q110/R110*100*(E110/365))+(Q111/R111*100*(E111/365))+(Q112/R112*100*(E112/365))+(Q113/R113*100*(E113/365))</f>
        <v>0</v>
      </c>
      <c r="M152" s="392"/>
      <c r="N152" s="413">
        <f t="shared" ref="N152" si="41">H152+J152+L152</f>
        <v>100</v>
      </c>
      <c r="O152" s="413"/>
      <c r="R152" s="1">
        <v>2022</v>
      </c>
      <c r="S152" s="5">
        <f>(O108*($E108/365))+(O109*(E109/365))+(O110*(E110/365))+(O111*(E111/365))+(O112*(E112/365))+(O113*(E113/365))</f>
        <v>51.5</v>
      </c>
      <c r="T152" s="5">
        <f>(P108*($E108/365))+(P109*(E109/365))+(P110*(E110/365))+(P111*(E111/365))+(P112*(E112/365))+(P113*(E113/365))</f>
        <v>0</v>
      </c>
      <c r="U152" s="5">
        <f>(Q108*($E108/365))+(Q109*(E109/365))+(Q110*(E110/365))+(Q111*(E111/365))+(Q112*(E112/365))+(Q113*(E113/365))</f>
        <v>0</v>
      </c>
      <c r="W152" s="5">
        <f>S152+T152+U152</f>
        <v>51.5</v>
      </c>
    </row>
  </sheetData>
  <mergeCells count="263">
    <mergeCell ref="J142:K142"/>
    <mergeCell ref="N141:O141"/>
    <mergeCell ref="N138:O138"/>
    <mergeCell ref="N139:O139"/>
    <mergeCell ref="J139:K139"/>
    <mergeCell ref="J145:K145"/>
    <mergeCell ref="C85:D85"/>
    <mergeCell ref="H140:I140"/>
    <mergeCell ref="N140:O140"/>
    <mergeCell ref="N137:O137"/>
    <mergeCell ref="H137:I137"/>
    <mergeCell ref="H138:I138"/>
    <mergeCell ref="J138:K138"/>
    <mergeCell ref="L137:M137"/>
    <mergeCell ref="L139:M139"/>
    <mergeCell ref="J136:K136"/>
    <mergeCell ref="N134:O134"/>
    <mergeCell ref="N135:O135"/>
    <mergeCell ref="N133:O133"/>
    <mergeCell ref="L135:M135"/>
    <mergeCell ref="H135:I135"/>
    <mergeCell ref="H136:I136"/>
    <mergeCell ref="C96:D96"/>
    <mergeCell ref="C107:D107"/>
    <mergeCell ref="N136:O136"/>
    <mergeCell ref="L134:M134"/>
    <mergeCell ref="C108:D108"/>
    <mergeCell ref="C109:D109"/>
    <mergeCell ref="C79:D79"/>
    <mergeCell ref="C97:D97"/>
    <mergeCell ref="L126:M126"/>
    <mergeCell ref="J125:K125"/>
    <mergeCell ref="C112:D112"/>
    <mergeCell ref="C113:D113"/>
    <mergeCell ref="N121:O121"/>
    <mergeCell ref="H124:I124"/>
    <mergeCell ref="H125:I125"/>
    <mergeCell ref="J135:K135"/>
    <mergeCell ref="H130:I130"/>
    <mergeCell ref="H131:I131"/>
    <mergeCell ref="L131:M131"/>
    <mergeCell ref="H132:I132"/>
    <mergeCell ref="L128:M128"/>
    <mergeCell ref="L129:M129"/>
    <mergeCell ref="C75:D75"/>
    <mergeCell ref="C76:D76"/>
    <mergeCell ref="C77:D77"/>
    <mergeCell ref="C80:D80"/>
    <mergeCell ref="L124:M124"/>
    <mergeCell ref="J124:K124"/>
    <mergeCell ref="C68:D68"/>
    <mergeCell ref="C69:D69"/>
    <mergeCell ref="C89:D89"/>
    <mergeCell ref="C90:D90"/>
    <mergeCell ref="C94:D94"/>
    <mergeCell ref="C71:D71"/>
    <mergeCell ref="C72:D72"/>
    <mergeCell ref="C73:D73"/>
    <mergeCell ref="C74:D74"/>
    <mergeCell ref="C70:D70"/>
    <mergeCell ref="C81:D81"/>
    <mergeCell ref="C82:D82"/>
    <mergeCell ref="C87:D87"/>
    <mergeCell ref="C86:D86"/>
    <mergeCell ref="J123:K123"/>
    <mergeCell ref="C105:D105"/>
    <mergeCell ref="C106:D106"/>
    <mergeCell ref="C84:D84"/>
    <mergeCell ref="C36:D36"/>
    <mergeCell ref="C11:D11"/>
    <mergeCell ref="C13:D13"/>
    <mergeCell ref="C30:D30"/>
    <mergeCell ref="G3:M3"/>
    <mergeCell ref="AT4:AW4"/>
    <mergeCell ref="AX4:BA4"/>
    <mergeCell ref="C78:D78"/>
    <mergeCell ref="C61:D61"/>
    <mergeCell ref="C59:D59"/>
    <mergeCell ref="C63:D63"/>
    <mergeCell ref="C64:D64"/>
    <mergeCell ref="F4:F5"/>
    <mergeCell ref="G4:J4"/>
    <mergeCell ref="C33:D33"/>
    <mergeCell ref="C34:D34"/>
    <mergeCell ref="AL4:AO4"/>
    <mergeCell ref="AP4:AS4"/>
    <mergeCell ref="S4:S5"/>
    <mergeCell ref="T4:T5"/>
    <mergeCell ref="U4:U5"/>
    <mergeCell ref="V4:Y4"/>
    <mergeCell ref="O3:Q3"/>
    <mergeCell ref="C22:D22"/>
    <mergeCell ref="C27:D27"/>
    <mergeCell ref="A4:A5"/>
    <mergeCell ref="B4:B5"/>
    <mergeCell ref="C4:D5"/>
    <mergeCell ref="C6:D6"/>
    <mergeCell ref="E4:E5"/>
    <mergeCell ref="C14:D14"/>
    <mergeCell ref="C15:D15"/>
    <mergeCell ref="C16:D16"/>
    <mergeCell ref="C17:D17"/>
    <mergeCell ref="C7:D7"/>
    <mergeCell ref="C8:D8"/>
    <mergeCell ref="C57:D57"/>
    <mergeCell ref="C58:D58"/>
    <mergeCell ref="C23:D23"/>
    <mergeCell ref="C25:D25"/>
    <mergeCell ref="C26:D26"/>
    <mergeCell ref="C29:D29"/>
    <mergeCell ref="C35:D35"/>
    <mergeCell ref="AH4:AK4"/>
    <mergeCell ref="K4:N4"/>
    <mergeCell ref="O4:R4"/>
    <mergeCell ref="Z4:AC4"/>
    <mergeCell ref="AD4:AG4"/>
    <mergeCell ref="C9:D9"/>
    <mergeCell ref="C10:D10"/>
    <mergeCell ref="C12:D12"/>
    <mergeCell ref="C28:D28"/>
    <mergeCell ref="C18:D18"/>
    <mergeCell ref="C21:D21"/>
    <mergeCell ref="C24:D24"/>
    <mergeCell ref="C31:D31"/>
    <mergeCell ref="C32:D32"/>
    <mergeCell ref="V9:AC9"/>
    <mergeCell ref="C20:D20"/>
    <mergeCell ref="C19:D19"/>
    <mergeCell ref="C67:D67"/>
    <mergeCell ref="C66:D66"/>
    <mergeCell ref="C52:D52"/>
    <mergeCell ref="C51:D51"/>
    <mergeCell ref="C37:D37"/>
    <mergeCell ref="C38:D38"/>
    <mergeCell ref="C43:D43"/>
    <mergeCell ref="C44:D44"/>
    <mergeCell ref="C46:D46"/>
    <mergeCell ref="C42:D42"/>
    <mergeCell ref="C47:D47"/>
    <mergeCell ref="C45:D45"/>
    <mergeCell ref="C50:D50"/>
    <mergeCell ref="C48:D48"/>
    <mergeCell ref="C49:D49"/>
    <mergeCell ref="C39:D39"/>
    <mergeCell ref="C40:D40"/>
    <mergeCell ref="C41:D41"/>
    <mergeCell ref="C65:D65"/>
    <mergeCell ref="C53:D53"/>
    <mergeCell ref="C54:D54"/>
    <mergeCell ref="C60:D60"/>
    <mergeCell ref="C55:D55"/>
    <mergeCell ref="C62:D62"/>
    <mergeCell ref="C56:D56"/>
    <mergeCell ref="N132:O132"/>
    <mergeCell ref="N130:O130"/>
    <mergeCell ref="J132:K132"/>
    <mergeCell ref="C83:D83"/>
    <mergeCell ref="H121:I121"/>
    <mergeCell ref="H122:I122"/>
    <mergeCell ref="H123:I123"/>
    <mergeCell ref="C88:D88"/>
    <mergeCell ref="C104:D104"/>
    <mergeCell ref="C91:D91"/>
    <mergeCell ref="C92:D92"/>
    <mergeCell ref="C93:D93"/>
    <mergeCell ref="C95:D95"/>
    <mergeCell ref="C102:D102"/>
    <mergeCell ref="C103:D103"/>
    <mergeCell ref="C98:D98"/>
    <mergeCell ref="C100:D100"/>
    <mergeCell ref="C101:D101"/>
    <mergeCell ref="C99:D99"/>
    <mergeCell ref="L127:M127"/>
    <mergeCell ref="J126:K126"/>
    <mergeCell ref="C110:D110"/>
    <mergeCell ref="C111:D111"/>
    <mergeCell ref="J141:K141"/>
    <mergeCell ref="L145:M145"/>
    <mergeCell ref="R117:W117"/>
    <mergeCell ref="H119:I119"/>
    <mergeCell ref="J119:K119"/>
    <mergeCell ref="L119:M119"/>
    <mergeCell ref="N119:O119"/>
    <mergeCell ref="L121:M121"/>
    <mergeCell ref="L132:M132"/>
    <mergeCell ref="N122:O122"/>
    <mergeCell ref="N123:O123"/>
    <mergeCell ref="N127:O127"/>
    <mergeCell ref="N124:O124"/>
    <mergeCell ref="N131:O131"/>
    <mergeCell ref="N128:O128"/>
    <mergeCell ref="N129:O129"/>
    <mergeCell ref="N125:O125"/>
    <mergeCell ref="N126:O126"/>
    <mergeCell ref="L125:M125"/>
    <mergeCell ref="J121:K121"/>
    <mergeCell ref="J122:K122"/>
    <mergeCell ref="L122:M122"/>
    <mergeCell ref="L130:M130"/>
    <mergeCell ref="L123:M123"/>
    <mergeCell ref="L138:M138"/>
    <mergeCell ref="H139:I139"/>
    <mergeCell ref="J133:K133"/>
    <mergeCell ref="J131:K131"/>
    <mergeCell ref="H145:I145"/>
    <mergeCell ref="N149:O149"/>
    <mergeCell ref="N143:O143"/>
    <mergeCell ref="L143:M143"/>
    <mergeCell ref="H150:I150"/>
    <mergeCell ref="J150:K150"/>
    <mergeCell ref="L150:M150"/>
    <mergeCell ref="J149:K149"/>
    <mergeCell ref="L149:M149"/>
    <mergeCell ref="H149:I149"/>
    <mergeCell ref="J143:K143"/>
    <mergeCell ref="H143:I143"/>
    <mergeCell ref="N145:O145"/>
    <mergeCell ref="N146:O146"/>
    <mergeCell ref="N150:O150"/>
    <mergeCell ref="N144:O144"/>
    <mergeCell ref="H148:I148"/>
    <mergeCell ref="J148:K148"/>
    <mergeCell ref="L148:M148"/>
    <mergeCell ref="N148:O148"/>
    <mergeCell ref="H147:I147"/>
    <mergeCell ref="J147:K147"/>
    <mergeCell ref="L147:M147"/>
    <mergeCell ref="N147:O147"/>
    <mergeCell ref="H146:I146"/>
    <mergeCell ref="J146:K146"/>
    <mergeCell ref="L146:M146"/>
    <mergeCell ref="H152:I152"/>
    <mergeCell ref="J152:K152"/>
    <mergeCell ref="L152:M152"/>
    <mergeCell ref="N152:O152"/>
    <mergeCell ref="H151:I151"/>
    <mergeCell ref="J151:K151"/>
    <mergeCell ref="L151:M151"/>
    <mergeCell ref="N151:O151"/>
    <mergeCell ref="N142:O142"/>
    <mergeCell ref="L141:M141"/>
    <mergeCell ref="H141:I141"/>
    <mergeCell ref="H144:I144"/>
    <mergeCell ref="J144:K144"/>
    <mergeCell ref="L144:M144"/>
    <mergeCell ref="H126:I126"/>
    <mergeCell ref="H127:I127"/>
    <mergeCell ref="H128:I128"/>
    <mergeCell ref="H129:I129"/>
    <mergeCell ref="H142:I142"/>
    <mergeCell ref="J134:K134"/>
    <mergeCell ref="L142:M142"/>
    <mergeCell ref="J137:K137"/>
    <mergeCell ref="J140:K140"/>
    <mergeCell ref="H133:I133"/>
    <mergeCell ref="H134:I134"/>
    <mergeCell ref="L133:M133"/>
    <mergeCell ref="L140:M140"/>
    <mergeCell ref="L136:M136"/>
    <mergeCell ref="J130:K130"/>
    <mergeCell ref="J127:K127"/>
    <mergeCell ref="J128:K128"/>
    <mergeCell ref="J129:K129"/>
  </mergeCells>
  <phoneticPr fontId="25" type="noConversion"/>
  <pageMargins left="0.78740157499999996" right="0.78740157499999996" top="0.984251969" bottom="0.984251969" header="0.4921259845" footer="0.4921259845"/>
  <pageSetup paperSize="9" scale="46" orientation="landscape" r:id="rId1"/>
  <headerFooter alignWithMargins="0"/>
  <ignoredErrors>
    <ignoredError sqref="R9" formulaRange="1"/>
  </ignoredErrors>
  <drawing r:id="rId2"/>
  <legacyDrawing r:id="rId3"/>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BA175"/>
  <sheetViews>
    <sheetView zoomScale="111" zoomScaleNormal="120" workbookViewId="0">
      <pane xSplit="1" ySplit="5" topLeftCell="AR98"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66</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28" customFormat="1" x14ac:dyDescent="0.15">
      <c r="A6" s="51">
        <v>1976</v>
      </c>
      <c r="B6" s="293"/>
      <c r="C6" s="405" t="s">
        <v>1261</v>
      </c>
      <c r="D6" s="405"/>
      <c r="E6" s="28">
        <v>204</v>
      </c>
      <c r="G6" s="65"/>
      <c r="J6" s="72"/>
      <c r="K6" s="46"/>
      <c r="L6" s="46"/>
      <c r="M6" s="46"/>
      <c r="N6" s="67"/>
      <c r="O6" s="45"/>
      <c r="P6" s="46"/>
      <c r="Q6" s="46"/>
      <c r="R6" s="47"/>
      <c r="T6" s="284"/>
      <c r="U6" s="293"/>
      <c r="V6" s="37"/>
      <c r="Y6" s="38"/>
      <c r="AD6" s="37"/>
      <c r="AG6" s="38"/>
      <c r="AL6" s="37"/>
      <c r="AO6" s="38"/>
      <c r="AP6" s="37"/>
      <c r="AS6" s="38"/>
      <c r="AW6" s="38"/>
      <c r="BA6" s="39"/>
    </row>
    <row r="7" spans="1:53" s="170" customFormat="1" x14ac:dyDescent="0.15">
      <c r="A7" s="215">
        <v>1976</v>
      </c>
      <c r="B7" s="281">
        <v>27964</v>
      </c>
      <c r="C7" s="395" t="s">
        <v>607</v>
      </c>
      <c r="D7" s="395"/>
      <c r="E7" s="170">
        <f>366-E6</f>
        <v>162</v>
      </c>
      <c r="F7" s="170" t="s">
        <v>335</v>
      </c>
      <c r="G7" s="232"/>
      <c r="I7" s="170">
        <v>12</v>
      </c>
      <c r="J7" s="240">
        <v>17</v>
      </c>
      <c r="K7" s="213">
        <f>G7/$J7*100</f>
        <v>0</v>
      </c>
      <c r="L7" s="213">
        <f t="shared" ref="L7:M22" si="0">H7/$J7*100</f>
        <v>0</v>
      </c>
      <c r="M7" s="213">
        <f t="shared" si="0"/>
        <v>70.588235294117652</v>
      </c>
      <c r="N7" s="234">
        <f>K7+L7+M7</f>
        <v>70.588235294117652</v>
      </c>
      <c r="O7" s="212"/>
      <c r="P7" s="213"/>
      <c r="Q7" s="213">
        <v>40.700000000000003</v>
      </c>
      <c r="R7" s="214">
        <f>O7+P7+Q7</f>
        <v>40.700000000000003</v>
      </c>
      <c r="S7" s="170">
        <v>4</v>
      </c>
      <c r="T7" s="283">
        <v>27875</v>
      </c>
      <c r="U7" s="281">
        <v>27964</v>
      </c>
      <c r="V7" s="177" t="s">
        <v>95</v>
      </c>
      <c r="W7" s="170" t="s">
        <v>20</v>
      </c>
      <c r="X7" s="170" t="s">
        <v>12</v>
      </c>
      <c r="Y7" s="178">
        <v>40.700000000000003</v>
      </c>
      <c r="AD7" s="177"/>
      <c r="AG7" s="178"/>
      <c r="AL7" s="177"/>
      <c r="AO7" s="178"/>
      <c r="AP7" s="177"/>
      <c r="AS7" s="178"/>
      <c r="AW7" s="178"/>
      <c r="BA7" s="179"/>
    </row>
    <row r="8" spans="1:53" s="170" customFormat="1" x14ac:dyDescent="0.15">
      <c r="A8" s="215">
        <v>1977</v>
      </c>
      <c r="B8" s="281"/>
      <c r="C8" s="395" t="s">
        <v>607</v>
      </c>
      <c r="D8" s="395"/>
      <c r="E8" s="170">
        <v>0</v>
      </c>
      <c r="G8" s="232"/>
      <c r="I8" s="170">
        <v>12</v>
      </c>
      <c r="J8" s="240">
        <v>17</v>
      </c>
      <c r="K8" s="213">
        <f t="shared" ref="K8:M71" si="1">G8/$J8*100</f>
        <v>0</v>
      </c>
      <c r="L8" s="213">
        <f t="shared" si="0"/>
        <v>0</v>
      </c>
      <c r="M8" s="213">
        <f t="shared" si="0"/>
        <v>70.588235294117652</v>
      </c>
      <c r="N8" s="234">
        <f t="shared" ref="N8:N71" si="2">K8+L8+M8</f>
        <v>70.588235294117652</v>
      </c>
      <c r="O8" s="212"/>
      <c r="P8" s="213"/>
      <c r="Q8" s="213">
        <v>40.700000000000003</v>
      </c>
      <c r="R8" s="214">
        <f t="shared" ref="R8:R71" si="3">O8+P8+Q8</f>
        <v>40.700000000000003</v>
      </c>
      <c r="S8" s="170">
        <v>4</v>
      </c>
      <c r="T8" s="283"/>
      <c r="U8" s="281"/>
      <c r="V8" s="177" t="s">
        <v>95</v>
      </c>
      <c r="W8" s="170" t="s">
        <v>20</v>
      </c>
      <c r="X8" s="170" t="s">
        <v>12</v>
      </c>
      <c r="Y8" s="178">
        <v>40.700000000000003</v>
      </c>
      <c r="AD8" s="177"/>
      <c r="AG8" s="178"/>
      <c r="AL8" s="177"/>
      <c r="AO8" s="178"/>
      <c r="AP8" s="177"/>
      <c r="AS8" s="178"/>
      <c r="AW8" s="178"/>
      <c r="BA8" s="179"/>
    </row>
    <row r="9" spans="1:53" s="170" customFormat="1" x14ac:dyDescent="0.15">
      <c r="A9" s="215">
        <v>1977</v>
      </c>
      <c r="B9" s="281"/>
      <c r="C9" s="395" t="s">
        <v>607</v>
      </c>
      <c r="D9" s="395"/>
      <c r="E9" s="170">
        <v>365</v>
      </c>
      <c r="G9" s="232"/>
      <c r="I9" s="170">
        <v>12</v>
      </c>
      <c r="J9" s="240">
        <v>17</v>
      </c>
      <c r="K9" s="213">
        <f t="shared" si="1"/>
        <v>0</v>
      </c>
      <c r="L9" s="213">
        <f t="shared" si="0"/>
        <v>0</v>
      </c>
      <c r="M9" s="213">
        <f t="shared" si="0"/>
        <v>70.588235294117652</v>
      </c>
      <c r="N9" s="234">
        <f t="shared" si="2"/>
        <v>70.588235294117652</v>
      </c>
      <c r="O9" s="212"/>
      <c r="P9" s="213"/>
      <c r="Q9" s="213">
        <v>40.700000000000003</v>
      </c>
      <c r="R9" s="214">
        <f t="shared" si="3"/>
        <v>40.700000000000003</v>
      </c>
      <c r="S9" s="170">
        <v>4</v>
      </c>
      <c r="T9" s="283"/>
      <c r="U9" s="281"/>
      <c r="V9" s="177" t="s">
        <v>95</v>
      </c>
      <c r="W9" s="170" t="s">
        <v>20</v>
      </c>
      <c r="X9" s="170" t="s">
        <v>12</v>
      </c>
      <c r="Y9" s="178">
        <v>40.700000000000003</v>
      </c>
      <c r="AD9" s="177"/>
      <c r="AG9" s="178"/>
      <c r="AL9" s="177"/>
      <c r="AO9" s="178"/>
      <c r="AP9" s="177"/>
      <c r="AS9" s="178"/>
      <c r="AW9" s="178"/>
      <c r="BA9" s="179"/>
    </row>
    <row r="10" spans="1:53" s="170" customFormat="1" x14ac:dyDescent="0.15">
      <c r="A10" s="215">
        <v>1978</v>
      </c>
      <c r="B10" s="281"/>
      <c r="C10" s="395" t="s">
        <v>607</v>
      </c>
      <c r="D10" s="395"/>
      <c r="E10" s="170">
        <v>29</v>
      </c>
      <c r="G10" s="232"/>
      <c r="I10" s="170">
        <v>12</v>
      </c>
      <c r="J10" s="240">
        <v>17</v>
      </c>
      <c r="K10" s="213">
        <f t="shared" si="1"/>
        <v>0</v>
      </c>
      <c r="L10" s="213">
        <f t="shared" si="0"/>
        <v>0</v>
      </c>
      <c r="M10" s="213">
        <f t="shared" si="0"/>
        <v>70.588235294117652</v>
      </c>
      <c r="N10" s="234">
        <f t="shared" si="2"/>
        <v>70.588235294117652</v>
      </c>
      <c r="O10" s="212"/>
      <c r="P10" s="213"/>
      <c r="Q10" s="213">
        <v>40.700000000000003</v>
      </c>
      <c r="R10" s="214">
        <f t="shared" si="3"/>
        <v>40.700000000000003</v>
      </c>
      <c r="S10" s="170">
        <v>4</v>
      </c>
      <c r="T10" s="283"/>
      <c r="U10" s="281"/>
      <c r="V10" s="177" t="s">
        <v>95</v>
      </c>
      <c r="W10" s="170" t="s">
        <v>20</v>
      </c>
      <c r="X10" s="170" t="s">
        <v>12</v>
      </c>
      <c r="Y10" s="178">
        <v>40.700000000000003</v>
      </c>
      <c r="AD10" s="177"/>
      <c r="AG10" s="178"/>
      <c r="AL10" s="177"/>
      <c r="AO10" s="178"/>
      <c r="AP10" s="177"/>
      <c r="AS10" s="178"/>
      <c r="AW10" s="178"/>
      <c r="BA10" s="179"/>
    </row>
    <row r="11" spans="1:53" s="28" customFormat="1" x14ac:dyDescent="0.15">
      <c r="A11" s="51">
        <v>1978</v>
      </c>
      <c r="B11" s="293">
        <v>28520</v>
      </c>
      <c r="C11" s="394" t="s">
        <v>608</v>
      </c>
      <c r="D11" s="394"/>
      <c r="E11" s="28">
        <v>211</v>
      </c>
      <c r="F11" s="28">
        <v>5</v>
      </c>
      <c r="G11" s="65">
        <v>3</v>
      </c>
      <c r="I11" s="28">
        <v>8</v>
      </c>
      <c r="J11" s="72">
        <v>16</v>
      </c>
      <c r="K11" s="46">
        <f t="shared" si="1"/>
        <v>18.75</v>
      </c>
      <c r="L11" s="46">
        <f t="shared" si="0"/>
        <v>0</v>
      </c>
      <c r="M11" s="46">
        <f t="shared" si="0"/>
        <v>50</v>
      </c>
      <c r="N11" s="67">
        <f t="shared" si="2"/>
        <v>68.75</v>
      </c>
      <c r="O11" s="45">
        <v>16</v>
      </c>
      <c r="P11" s="46"/>
      <c r="Q11" s="46">
        <v>40.700000000000003</v>
      </c>
      <c r="R11" s="47">
        <f t="shared" si="3"/>
        <v>56.7</v>
      </c>
      <c r="S11" s="28">
        <v>2</v>
      </c>
      <c r="T11" s="284"/>
      <c r="U11" s="293">
        <v>28520</v>
      </c>
      <c r="V11" s="37" t="s">
        <v>95</v>
      </c>
      <c r="W11" s="28" t="s">
        <v>20</v>
      </c>
      <c r="X11" s="28" t="s">
        <v>12</v>
      </c>
      <c r="Y11" s="38">
        <v>40.700000000000003</v>
      </c>
      <c r="Z11" s="28" t="s">
        <v>479</v>
      </c>
      <c r="AA11" s="28" t="s">
        <v>17</v>
      </c>
      <c r="AB11" s="28" t="s">
        <v>11</v>
      </c>
      <c r="AC11" s="28">
        <v>16</v>
      </c>
      <c r="AD11" s="37"/>
      <c r="AG11" s="38"/>
      <c r="AL11" s="37"/>
      <c r="AO11" s="38"/>
      <c r="AP11" s="37"/>
      <c r="AS11" s="38"/>
      <c r="AW11" s="38"/>
      <c r="BA11" s="39"/>
    </row>
    <row r="12" spans="1:53" s="170" customFormat="1" x14ac:dyDescent="0.15">
      <c r="A12" s="215">
        <v>1978</v>
      </c>
      <c r="B12" s="281">
        <v>28731</v>
      </c>
      <c r="C12" s="395" t="s">
        <v>836</v>
      </c>
      <c r="D12" s="395"/>
      <c r="E12" s="170">
        <v>85</v>
      </c>
      <c r="F12" s="170">
        <v>4</v>
      </c>
      <c r="G12" s="232">
        <v>0</v>
      </c>
      <c r="H12" s="170">
        <v>0</v>
      </c>
      <c r="I12" s="170">
        <v>0</v>
      </c>
      <c r="J12" s="240">
        <v>15</v>
      </c>
      <c r="K12" s="213">
        <f t="shared" si="1"/>
        <v>0</v>
      </c>
      <c r="L12" s="213">
        <f t="shared" si="0"/>
        <v>0</v>
      </c>
      <c r="M12" s="213">
        <f t="shared" si="0"/>
        <v>0</v>
      </c>
      <c r="N12" s="234">
        <f t="shared" si="2"/>
        <v>0</v>
      </c>
      <c r="O12" s="212">
        <v>0</v>
      </c>
      <c r="P12" s="213">
        <v>0</v>
      </c>
      <c r="Q12" s="213">
        <v>0</v>
      </c>
      <c r="R12" s="214">
        <f t="shared" si="3"/>
        <v>0</v>
      </c>
      <c r="S12" s="170">
        <v>6</v>
      </c>
      <c r="T12" s="283"/>
      <c r="U12" s="281">
        <v>28731</v>
      </c>
      <c r="V12" s="241" t="s">
        <v>799</v>
      </c>
      <c r="Y12" s="178"/>
      <c r="AD12" s="177"/>
      <c r="AG12" s="178"/>
      <c r="AL12" s="177"/>
      <c r="AO12" s="178"/>
      <c r="AP12" s="177"/>
      <c r="AS12" s="178"/>
      <c r="AW12" s="178"/>
      <c r="BA12" s="179"/>
    </row>
    <row r="13" spans="1:53" s="28" customFormat="1" x14ac:dyDescent="0.15">
      <c r="A13" s="51">
        <v>1978</v>
      </c>
      <c r="B13" s="293">
        <v>28816</v>
      </c>
      <c r="C13" s="394" t="s">
        <v>822</v>
      </c>
      <c r="D13" s="394"/>
      <c r="E13" s="28">
        <f>365-E10-E11-E12</f>
        <v>40</v>
      </c>
      <c r="F13" s="28">
        <v>5</v>
      </c>
      <c r="G13" s="65">
        <v>0</v>
      </c>
      <c r="H13" s="28">
        <v>0</v>
      </c>
      <c r="I13" s="28">
        <v>0</v>
      </c>
      <c r="J13" s="72">
        <v>16</v>
      </c>
      <c r="K13" s="46">
        <f t="shared" si="1"/>
        <v>0</v>
      </c>
      <c r="L13" s="46">
        <f t="shared" si="0"/>
        <v>0</v>
      </c>
      <c r="M13" s="46">
        <f t="shared" si="0"/>
        <v>0</v>
      </c>
      <c r="N13" s="67">
        <f t="shared" si="2"/>
        <v>0</v>
      </c>
      <c r="O13" s="45">
        <v>0</v>
      </c>
      <c r="P13" s="46">
        <v>0</v>
      </c>
      <c r="Q13" s="46">
        <v>0</v>
      </c>
      <c r="R13" s="47">
        <f t="shared" si="3"/>
        <v>0</v>
      </c>
      <c r="S13" s="28">
        <v>6</v>
      </c>
      <c r="T13" s="284"/>
      <c r="U13" s="293">
        <v>28816</v>
      </c>
      <c r="V13" s="88" t="s">
        <v>799</v>
      </c>
      <c r="Y13" s="38"/>
      <c r="AD13" s="37"/>
      <c r="AG13" s="38"/>
      <c r="AL13" s="37"/>
      <c r="AO13" s="38"/>
      <c r="AP13" s="37"/>
      <c r="AS13" s="38"/>
      <c r="AW13" s="38"/>
      <c r="BA13" s="39"/>
    </row>
    <row r="14" spans="1:53" s="28" customFormat="1" x14ac:dyDescent="0.15">
      <c r="A14" s="51">
        <v>1979</v>
      </c>
      <c r="B14" s="293"/>
      <c r="C14" s="394" t="s">
        <v>822</v>
      </c>
      <c r="D14" s="394"/>
      <c r="E14" s="28">
        <v>212</v>
      </c>
      <c r="G14" s="65">
        <v>0</v>
      </c>
      <c r="H14" s="28">
        <v>0</v>
      </c>
      <c r="I14" s="28">
        <v>0</v>
      </c>
      <c r="J14" s="72">
        <v>16</v>
      </c>
      <c r="K14" s="46">
        <f t="shared" si="1"/>
        <v>0</v>
      </c>
      <c r="L14" s="46">
        <f t="shared" si="0"/>
        <v>0</v>
      </c>
      <c r="M14" s="46">
        <f t="shared" si="0"/>
        <v>0</v>
      </c>
      <c r="N14" s="67">
        <f t="shared" si="2"/>
        <v>0</v>
      </c>
      <c r="O14" s="45">
        <v>0</v>
      </c>
      <c r="P14" s="46">
        <v>0</v>
      </c>
      <c r="Q14" s="46">
        <v>0</v>
      </c>
      <c r="R14" s="47">
        <f t="shared" si="3"/>
        <v>0</v>
      </c>
      <c r="S14" s="28">
        <v>6</v>
      </c>
      <c r="T14" s="284"/>
      <c r="U14" s="293"/>
      <c r="V14" s="88" t="s">
        <v>799</v>
      </c>
      <c r="Y14" s="38"/>
      <c r="AD14" s="37"/>
      <c r="AG14" s="38"/>
      <c r="AL14" s="37"/>
      <c r="AO14" s="38"/>
      <c r="AP14" s="37"/>
      <c r="AS14" s="38"/>
      <c r="AW14" s="38"/>
      <c r="BA14" s="39"/>
    </row>
    <row r="15" spans="1:53" s="170" customFormat="1" x14ac:dyDescent="0.15">
      <c r="A15" s="215">
        <v>1979</v>
      </c>
      <c r="B15" s="281">
        <v>29068</v>
      </c>
      <c r="C15" s="395" t="s">
        <v>823</v>
      </c>
      <c r="D15" s="395"/>
      <c r="E15" s="170">
        <f>365-E14</f>
        <v>153</v>
      </c>
      <c r="F15" s="170">
        <v>5</v>
      </c>
      <c r="G15" s="232">
        <v>0</v>
      </c>
      <c r="H15" s="170">
        <v>0</v>
      </c>
      <c r="I15" s="170">
        <v>0</v>
      </c>
      <c r="J15" s="240">
        <v>17</v>
      </c>
      <c r="K15" s="213">
        <f t="shared" si="1"/>
        <v>0</v>
      </c>
      <c r="L15" s="213">
        <f t="shared" si="0"/>
        <v>0</v>
      </c>
      <c r="M15" s="213">
        <f t="shared" si="0"/>
        <v>0</v>
      </c>
      <c r="N15" s="234">
        <f t="shared" si="2"/>
        <v>0</v>
      </c>
      <c r="O15" s="212">
        <v>0</v>
      </c>
      <c r="P15" s="213">
        <v>0</v>
      </c>
      <c r="Q15" s="213">
        <v>0</v>
      </c>
      <c r="R15" s="214">
        <f t="shared" si="3"/>
        <v>0</v>
      </c>
      <c r="S15" s="170">
        <v>6</v>
      </c>
      <c r="T15" s="283">
        <v>29133</v>
      </c>
      <c r="U15" s="281">
        <v>29068</v>
      </c>
      <c r="V15" s="241" t="s">
        <v>799</v>
      </c>
      <c r="Y15" s="178"/>
      <c r="AD15" s="177"/>
      <c r="AG15" s="178"/>
      <c r="AL15" s="177"/>
      <c r="AO15" s="178"/>
      <c r="AP15" s="177"/>
      <c r="AS15" s="178"/>
      <c r="AW15" s="178"/>
      <c r="BA15" s="179"/>
    </row>
    <row r="16" spans="1:53" s="170" customFormat="1" x14ac:dyDescent="0.15">
      <c r="A16" s="215">
        <v>1980</v>
      </c>
      <c r="B16" s="281"/>
      <c r="C16" s="395" t="s">
        <v>823</v>
      </c>
      <c r="D16" s="395"/>
      <c r="E16" s="170">
        <v>2</v>
      </c>
      <c r="G16" s="232">
        <v>0</v>
      </c>
      <c r="H16" s="170">
        <v>0</v>
      </c>
      <c r="I16" s="170">
        <v>0</v>
      </c>
      <c r="J16" s="240">
        <v>17</v>
      </c>
      <c r="K16" s="213">
        <f t="shared" si="1"/>
        <v>0</v>
      </c>
      <c r="L16" s="213">
        <f t="shared" si="0"/>
        <v>0</v>
      </c>
      <c r="M16" s="213">
        <f t="shared" si="0"/>
        <v>0</v>
      </c>
      <c r="N16" s="234">
        <f t="shared" si="2"/>
        <v>0</v>
      </c>
      <c r="O16" s="212">
        <v>0</v>
      </c>
      <c r="P16" s="213">
        <v>0</v>
      </c>
      <c r="Q16" s="213">
        <v>0</v>
      </c>
      <c r="R16" s="214">
        <f t="shared" si="3"/>
        <v>0</v>
      </c>
      <c r="S16" s="170">
        <v>6</v>
      </c>
      <c r="T16" s="283"/>
      <c r="U16" s="281"/>
      <c r="V16" s="241" t="s">
        <v>799</v>
      </c>
      <c r="Y16" s="178"/>
      <c r="AD16" s="177"/>
      <c r="AG16" s="178"/>
      <c r="AL16" s="177"/>
      <c r="AO16" s="178"/>
      <c r="AP16" s="177"/>
      <c r="AS16" s="178"/>
      <c r="AW16" s="178"/>
      <c r="BA16" s="179"/>
    </row>
    <row r="17" spans="1:53" s="28" customFormat="1" x14ac:dyDescent="0.15">
      <c r="A17" s="51">
        <v>1980</v>
      </c>
      <c r="B17" s="293">
        <v>29223</v>
      </c>
      <c r="C17" s="394" t="s">
        <v>824</v>
      </c>
      <c r="D17" s="394"/>
      <c r="E17" s="28">
        <f>366-E16</f>
        <v>364</v>
      </c>
      <c r="F17" s="28">
        <v>1</v>
      </c>
      <c r="G17" s="65">
        <v>13</v>
      </c>
      <c r="J17" s="72">
        <v>15</v>
      </c>
      <c r="K17" s="46">
        <f t="shared" si="1"/>
        <v>86.666666666666671</v>
      </c>
      <c r="L17" s="46">
        <f t="shared" si="0"/>
        <v>0</v>
      </c>
      <c r="M17" s="46">
        <f t="shared" si="0"/>
        <v>0</v>
      </c>
      <c r="N17" s="67">
        <f t="shared" si="2"/>
        <v>86.666666666666671</v>
      </c>
      <c r="O17" s="45">
        <v>52.6</v>
      </c>
      <c r="P17" s="46"/>
      <c r="Q17" s="46"/>
      <c r="R17" s="47">
        <f t="shared" si="3"/>
        <v>52.6</v>
      </c>
      <c r="S17" s="28">
        <v>1</v>
      </c>
      <c r="T17" s="284">
        <v>29499</v>
      </c>
      <c r="U17" s="293">
        <v>29223</v>
      </c>
      <c r="V17" s="37" t="s">
        <v>477</v>
      </c>
      <c r="W17" s="28" t="s">
        <v>22</v>
      </c>
      <c r="X17" s="28" t="s">
        <v>11</v>
      </c>
      <c r="Y17" s="38">
        <v>52.6</v>
      </c>
      <c r="Z17" s="28" t="s">
        <v>479</v>
      </c>
      <c r="AA17" s="28" t="s">
        <v>17</v>
      </c>
      <c r="AB17" s="28" t="s">
        <v>11</v>
      </c>
      <c r="AC17" s="83">
        <v>52.6</v>
      </c>
      <c r="AD17" s="37" t="s">
        <v>478</v>
      </c>
      <c r="AE17" s="28" t="s">
        <v>327</v>
      </c>
      <c r="AF17" s="28" t="s">
        <v>11</v>
      </c>
      <c r="AG17" s="123">
        <v>52.6</v>
      </c>
      <c r="AL17" s="37"/>
      <c r="AO17" s="38"/>
      <c r="AP17" s="37"/>
      <c r="AS17" s="38"/>
      <c r="AW17" s="38"/>
      <c r="BA17" s="39"/>
    </row>
    <row r="18" spans="1:53" s="28" customFormat="1" x14ac:dyDescent="0.15">
      <c r="A18" s="51">
        <v>1981</v>
      </c>
      <c r="B18" s="293"/>
      <c r="C18" s="394" t="s">
        <v>824</v>
      </c>
      <c r="D18" s="394"/>
      <c r="E18" s="28">
        <v>8</v>
      </c>
      <c r="G18" s="65">
        <v>13</v>
      </c>
      <c r="J18" s="72">
        <v>15</v>
      </c>
      <c r="K18" s="46">
        <f t="shared" si="1"/>
        <v>86.666666666666671</v>
      </c>
      <c r="L18" s="46">
        <f t="shared" si="0"/>
        <v>0</v>
      </c>
      <c r="M18" s="46">
        <f t="shared" si="0"/>
        <v>0</v>
      </c>
      <c r="N18" s="67">
        <f t="shared" si="2"/>
        <v>86.666666666666671</v>
      </c>
      <c r="O18" s="45">
        <v>52.6</v>
      </c>
      <c r="P18" s="46"/>
      <c r="Q18" s="46"/>
      <c r="R18" s="47">
        <f t="shared" si="3"/>
        <v>52.6</v>
      </c>
      <c r="S18" s="28">
        <v>1</v>
      </c>
      <c r="T18" s="284"/>
      <c r="U18" s="293"/>
      <c r="V18" s="37" t="s">
        <v>477</v>
      </c>
      <c r="W18" s="28" t="s">
        <v>22</v>
      </c>
      <c r="X18" s="28" t="s">
        <v>11</v>
      </c>
      <c r="Y18" s="38">
        <v>52.6</v>
      </c>
      <c r="Z18" s="28" t="s">
        <v>479</v>
      </c>
      <c r="AA18" s="28" t="s">
        <v>17</v>
      </c>
      <c r="AB18" s="28" t="s">
        <v>11</v>
      </c>
      <c r="AC18" s="83">
        <v>52.6</v>
      </c>
      <c r="AD18" s="37" t="s">
        <v>478</v>
      </c>
      <c r="AE18" s="28" t="s">
        <v>327</v>
      </c>
      <c r="AF18" s="28" t="s">
        <v>11</v>
      </c>
      <c r="AG18" s="123">
        <v>52.6</v>
      </c>
      <c r="AL18" s="37"/>
      <c r="AO18" s="38"/>
      <c r="AP18" s="37"/>
      <c r="AS18" s="38"/>
      <c r="AW18" s="38"/>
      <c r="BA18" s="39"/>
    </row>
    <row r="19" spans="1:53" s="170" customFormat="1" x14ac:dyDescent="0.15">
      <c r="A19" s="215">
        <v>1981</v>
      </c>
      <c r="B19" s="281">
        <v>29595</v>
      </c>
      <c r="C19" s="395" t="s">
        <v>825</v>
      </c>
      <c r="D19" s="395"/>
      <c r="E19" s="170">
        <v>238</v>
      </c>
      <c r="F19" s="170" t="s">
        <v>335</v>
      </c>
      <c r="G19" s="232">
        <v>15</v>
      </c>
      <c r="J19" s="240">
        <v>18</v>
      </c>
      <c r="K19" s="213">
        <f t="shared" si="1"/>
        <v>83.333333333333343</v>
      </c>
      <c r="L19" s="213">
        <f t="shared" si="0"/>
        <v>0</v>
      </c>
      <c r="M19" s="213">
        <f t="shared" si="0"/>
        <v>0</v>
      </c>
      <c r="N19" s="234">
        <f t="shared" si="2"/>
        <v>83.333333333333343</v>
      </c>
      <c r="O19" s="212">
        <v>52.6</v>
      </c>
      <c r="P19" s="213"/>
      <c r="Q19" s="213"/>
      <c r="R19" s="214">
        <f t="shared" si="3"/>
        <v>52.6</v>
      </c>
      <c r="S19" s="170">
        <v>1</v>
      </c>
      <c r="T19" s="283"/>
      <c r="U19" s="281">
        <v>29595</v>
      </c>
      <c r="V19" s="177" t="s">
        <v>477</v>
      </c>
      <c r="W19" s="170" t="s">
        <v>22</v>
      </c>
      <c r="X19" s="170" t="s">
        <v>11</v>
      </c>
      <c r="Y19" s="178">
        <v>52.6</v>
      </c>
      <c r="Z19" s="170" t="s">
        <v>479</v>
      </c>
      <c r="AA19" s="170" t="s">
        <v>17</v>
      </c>
      <c r="AB19" s="170" t="s">
        <v>11</v>
      </c>
      <c r="AC19" s="243">
        <v>52.6</v>
      </c>
      <c r="AD19" s="177" t="s">
        <v>478</v>
      </c>
      <c r="AE19" s="170" t="s">
        <v>327</v>
      </c>
      <c r="AF19" s="170" t="s">
        <v>11</v>
      </c>
      <c r="AG19" s="254">
        <v>52.6</v>
      </c>
      <c r="AL19" s="177"/>
      <c r="AO19" s="178"/>
      <c r="AP19" s="177"/>
      <c r="AS19" s="178"/>
      <c r="AW19" s="178"/>
      <c r="BA19" s="179"/>
    </row>
    <row r="20" spans="1:53" s="28" customFormat="1" x14ac:dyDescent="0.15">
      <c r="A20" s="51">
        <v>1981</v>
      </c>
      <c r="B20" s="293">
        <v>29833</v>
      </c>
      <c r="C20" s="394" t="s">
        <v>826</v>
      </c>
      <c r="D20" s="394"/>
      <c r="E20" s="28">
        <f>365-E19-E18</f>
        <v>119</v>
      </c>
      <c r="F20" s="28">
        <v>2</v>
      </c>
      <c r="G20" s="65">
        <v>14</v>
      </c>
      <c r="J20" s="72">
        <v>15</v>
      </c>
      <c r="K20" s="46">
        <f t="shared" si="1"/>
        <v>93.333333333333329</v>
      </c>
      <c r="L20" s="46">
        <f t="shared" si="0"/>
        <v>0</v>
      </c>
      <c r="M20" s="46">
        <f t="shared" si="0"/>
        <v>0</v>
      </c>
      <c r="N20" s="67">
        <f t="shared" si="2"/>
        <v>93.333333333333329</v>
      </c>
      <c r="O20" s="45">
        <v>52.6</v>
      </c>
      <c r="P20" s="46"/>
      <c r="Q20" s="46"/>
      <c r="R20" s="47">
        <f t="shared" si="3"/>
        <v>52.6</v>
      </c>
      <c r="S20" s="28">
        <v>1</v>
      </c>
      <c r="T20" s="284"/>
      <c r="U20" s="293">
        <v>29833</v>
      </c>
      <c r="V20" s="37" t="s">
        <v>477</v>
      </c>
      <c r="W20" s="28" t="s">
        <v>22</v>
      </c>
      <c r="X20" s="28" t="s">
        <v>11</v>
      </c>
      <c r="Y20" s="38">
        <v>52.6</v>
      </c>
      <c r="Z20" s="28" t="s">
        <v>479</v>
      </c>
      <c r="AA20" s="28" t="s">
        <v>17</v>
      </c>
      <c r="AB20" s="28" t="s">
        <v>11</v>
      </c>
      <c r="AC20" s="83">
        <v>52.6</v>
      </c>
      <c r="AD20" s="37" t="s">
        <v>478</v>
      </c>
      <c r="AE20" s="28" t="s">
        <v>327</v>
      </c>
      <c r="AF20" s="28" t="s">
        <v>11</v>
      </c>
      <c r="AG20" s="123">
        <v>52.6</v>
      </c>
      <c r="AL20" s="37"/>
      <c r="AO20" s="38"/>
      <c r="AP20" s="37"/>
      <c r="AS20" s="38"/>
      <c r="AW20" s="38"/>
      <c r="BA20" s="39"/>
    </row>
    <row r="21" spans="1:53" s="28" customFormat="1" x14ac:dyDescent="0.15">
      <c r="A21" s="51">
        <v>1982</v>
      </c>
      <c r="B21" s="293"/>
      <c r="C21" s="394" t="s">
        <v>826</v>
      </c>
      <c r="D21" s="394"/>
      <c r="E21" s="28">
        <v>0</v>
      </c>
      <c r="G21" s="65">
        <v>14</v>
      </c>
      <c r="J21" s="72">
        <v>15</v>
      </c>
      <c r="K21" s="46">
        <f t="shared" si="1"/>
        <v>93.333333333333329</v>
      </c>
      <c r="L21" s="46">
        <f t="shared" si="0"/>
        <v>0</v>
      </c>
      <c r="M21" s="46">
        <f t="shared" si="0"/>
        <v>0</v>
      </c>
      <c r="N21" s="67">
        <f t="shared" si="2"/>
        <v>93.333333333333329</v>
      </c>
      <c r="O21" s="45">
        <v>52.6</v>
      </c>
      <c r="P21" s="46"/>
      <c r="Q21" s="46"/>
      <c r="R21" s="47">
        <f t="shared" si="3"/>
        <v>52.6</v>
      </c>
      <c r="S21" s="28">
        <v>1</v>
      </c>
      <c r="T21" s="284"/>
      <c r="U21" s="293"/>
      <c r="V21" s="37" t="s">
        <v>477</v>
      </c>
      <c r="W21" s="28" t="s">
        <v>22</v>
      </c>
      <c r="X21" s="28" t="s">
        <v>11</v>
      </c>
      <c r="Y21" s="38">
        <v>52.6</v>
      </c>
      <c r="Z21" s="28" t="s">
        <v>479</v>
      </c>
      <c r="AA21" s="28" t="s">
        <v>17</v>
      </c>
      <c r="AB21" s="28" t="s">
        <v>11</v>
      </c>
      <c r="AC21" s="83">
        <v>52.6</v>
      </c>
      <c r="AD21" s="37" t="s">
        <v>478</v>
      </c>
      <c r="AE21" s="28" t="s">
        <v>327</v>
      </c>
      <c r="AF21" s="28" t="s">
        <v>11</v>
      </c>
      <c r="AG21" s="123">
        <v>52.6</v>
      </c>
      <c r="AL21" s="37"/>
      <c r="AO21" s="38"/>
      <c r="AP21" s="37"/>
      <c r="AS21" s="38"/>
      <c r="AW21" s="38"/>
      <c r="BA21" s="39"/>
    </row>
    <row r="22" spans="1:53" s="28" customFormat="1" x14ac:dyDescent="0.15">
      <c r="A22" s="51">
        <v>1982</v>
      </c>
      <c r="B22" s="293"/>
      <c r="C22" s="394" t="s">
        <v>826</v>
      </c>
      <c r="D22" s="394"/>
      <c r="E22" s="28">
        <v>365</v>
      </c>
      <c r="G22" s="65">
        <v>14</v>
      </c>
      <c r="J22" s="72">
        <v>15</v>
      </c>
      <c r="K22" s="46">
        <f t="shared" si="1"/>
        <v>93.333333333333329</v>
      </c>
      <c r="L22" s="46">
        <f t="shared" si="0"/>
        <v>0</v>
      </c>
      <c r="M22" s="46">
        <f t="shared" si="0"/>
        <v>0</v>
      </c>
      <c r="N22" s="67">
        <f t="shared" si="2"/>
        <v>93.333333333333329</v>
      </c>
      <c r="O22" s="45">
        <v>52.6</v>
      </c>
      <c r="P22" s="46"/>
      <c r="Q22" s="46"/>
      <c r="R22" s="47">
        <f t="shared" si="3"/>
        <v>52.6</v>
      </c>
      <c r="S22" s="28">
        <v>1</v>
      </c>
      <c r="T22" s="284"/>
      <c r="U22" s="293"/>
      <c r="V22" s="37" t="s">
        <v>477</v>
      </c>
      <c r="W22" s="28" t="s">
        <v>22</v>
      </c>
      <c r="X22" s="28" t="s">
        <v>11</v>
      </c>
      <c r="Y22" s="38">
        <v>52.6</v>
      </c>
      <c r="Z22" s="28" t="s">
        <v>479</v>
      </c>
      <c r="AA22" s="28" t="s">
        <v>17</v>
      </c>
      <c r="AB22" s="28" t="s">
        <v>11</v>
      </c>
      <c r="AC22" s="83">
        <v>52.6</v>
      </c>
      <c r="AD22" s="37" t="s">
        <v>478</v>
      </c>
      <c r="AE22" s="28" t="s">
        <v>327</v>
      </c>
      <c r="AF22" s="28" t="s">
        <v>11</v>
      </c>
      <c r="AG22" s="123">
        <v>52.6</v>
      </c>
      <c r="AL22" s="37"/>
      <c r="AO22" s="38"/>
      <c r="AP22" s="37"/>
      <c r="AS22" s="38"/>
      <c r="AW22" s="38"/>
      <c r="BA22" s="39"/>
    </row>
    <row r="23" spans="1:53" s="28" customFormat="1" x14ac:dyDescent="0.15">
      <c r="A23" s="51">
        <v>1983</v>
      </c>
      <c r="B23" s="293"/>
      <c r="C23" s="394" t="s">
        <v>826</v>
      </c>
      <c r="D23" s="394"/>
      <c r="E23" s="28">
        <v>159</v>
      </c>
      <c r="G23" s="65">
        <v>14</v>
      </c>
      <c r="J23" s="72">
        <v>15</v>
      </c>
      <c r="K23" s="46">
        <f t="shared" si="1"/>
        <v>93.333333333333329</v>
      </c>
      <c r="L23" s="46">
        <f t="shared" si="1"/>
        <v>0</v>
      </c>
      <c r="M23" s="46">
        <f t="shared" si="1"/>
        <v>0</v>
      </c>
      <c r="N23" s="67">
        <f t="shared" si="2"/>
        <v>93.333333333333329</v>
      </c>
      <c r="O23" s="45">
        <v>52.6</v>
      </c>
      <c r="P23" s="46"/>
      <c r="Q23" s="46"/>
      <c r="R23" s="47">
        <f t="shared" si="3"/>
        <v>52.6</v>
      </c>
      <c r="S23" s="28">
        <v>1</v>
      </c>
      <c r="T23" s="284"/>
      <c r="U23" s="293"/>
      <c r="V23" s="37" t="s">
        <v>477</v>
      </c>
      <c r="W23" s="28" t="s">
        <v>22</v>
      </c>
      <c r="X23" s="28" t="s">
        <v>11</v>
      </c>
      <c r="Y23" s="38">
        <v>52.6</v>
      </c>
      <c r="Z23" s="28" t="s">
        <v>479</v>
      </c>
      <c r="AA23" s="28" t="s">
        <v>17</v>
      </c>
      <c r="AB23" s="28" t="s">
        <v>11</v>
      </c>
      <c r="AC23" s="83">
        <v>52.6</v>
      </c>
      <c r="AD23" s="37" t="s">
        <v>478</v>
      </c>
      <c r="AE23" s="28" t="s">
        <v>327</v>
      </c>
      <c r="AF23" s="28" t="s">
        <v>11</v>
      </c>
      <c r="AG23" s="123">
        <v>52.6</v>
      </c>
      <c r="AL23" s="37"/>
      <c r="AO23" s="38"/>
      <c r="AP23" s="37"/>
      <c r="AS23" s="38"/>
      <c r="AW23" s="38"/>
      <c r="BA23" s="39"/>
    </row>
    <row r="24" spans="1:53" s="170" customFormat="1" x14ac:dyDescent="0.15">
      <c r="A24" s="215">
        <v>1983</v>
      </c>
      <c r="B24" s="281">
        <v>30476</v>
      </c>
      <c r="C24" s="395" t="s">
        <v>609</v>
      </c>
      <c r="D24" s="395"/>
      <c r="E24" s="170">
        <f>365-E23</f>
        <v>206</v>
      </c>
      <c r="F24" s="170">
        <v>2</v>
      </c>
      <c r="G24" s="232">
        <v>6</v>
      </c>
      <c r="I24" s="170">
        <v>9</v>
      </c>
      <c r="J24" s="240">
        <v>17</v>
      </c>
      <c r="K24" s="213">
        <f t="shared" si="1"/>
        <v>35.294117647058826</v>
      </c>
      <c r="L24" s="213">
        <f t="shared" si="1"/>
        <v>0</v>
      </c>
      <c r="M24" s="213">
        <f t="shared" si="1"/>
        <v>52.941176470588239</v>
      </c>
      <c r="N24" s="234">
        <f t="shared" si="2"/>
        <v>88.235294117647072</v>
      </c>
      <c r="O24" s="212">
        <v>30</v>
      </c>
      <c r="P24" s="213"/>
      <c r="Q24" s="213">
        <v>40.4</v>
      </c>
      <c r="R24" s="214">
        <f t="shared" si="3"/>
        <v>70.400000000000006</v>
      </c>
      <c r="S24" s="170">
        <v>2</v>
      </c>
      <c r="T24" s="283">
        <v>30431</v>
      </c>
      <c r="U24" s="281">
        <v>30568</v>
      </c>
      <c r="V24" s="177" t="s">
        <v>95</v>
      </c>
      <c r="W24" s="170" t="s">
        <v>20</v>
      </c>
      <c r="X24" s="170" t="s">
        <v>12</v>
      </c>
      <c r="Y24" s="178">
        <v>40.4</v>
      </c>
      <c r="Z24" s="170" t="s">
        <v>477</v>
      </c>
      <c r="AA24" s="170" t="s">
        <v>22</v>
      </c>
      <c r="AB24" s="170" t="s">
        <v>11</v>
      </c>
      <c r="AC24" s="170">
        <v>30</v>
      </c>
      <c r="AD24" s="177"/>
      <c r="AG24" s="178"/>
      <c r="AL24" s="177"/>
      <c r="AO24" s="178"/>
      <c r="AP24" s="177"/>
      <c r="AS24" s="178"/>
      <c r="AW24" s="178"/>
      <c r="BA24" s="179"/>
    </row>
    <row r="25" spans="1:53" s="170" customFormat="1" x14ac:dyDescent="0.15">
      <c r="A25" s="215">
        <v>1984</v>
      </c>
      <c r="B25" s="281"/>
      <c r="C25" s="395" t="s">
        <v>609</v>
      </c>
      <c r="D25" s="395"/>
      <c r="E25" s="170">
        <v>0</v>
      </c>
      <c r="G25" s="232">
        <v>6</v>
      </c>
      <c r="I25" s="170">
        <v>9</v>
      </c>
      <c r="J25" s="240">
        <v>17</v>
      </c>
      <c r="K25" s="213">
        <f t="shared" si="1"/>
        <v>35.294117647058826</v>
      </c>
      <c r="L25" s="213">
        <f t="shared" si="1"/>
        <v>0</v>
      </c>
      <c r="M25" s="213">
        <f t="shared" si="1"/>
        <v>52.941176470588239</v>
      </c>
      <c r="N25" s="234">
        <f t="shared" si="2"/>
        <v>88.235294117647072</v>
      </c>
      <c r="O25" s="212">
        <v>30</v>
      </c>
      <c r="P25" s="213"/>
      <c r="Q25" s="213">
        <v>40.4</v>
      </c>
      <c r="R25" s="214">
        <f t="shared" si="3"/>
        <v>70.400000000000006</v>
      </c>
      <c r="S25" s="170">
        <v>2</v>
      </c>
      <c r="T25" s="283"/>
      <c r="U25" s="281"/>
      <c r="V25" s="177" t="s">
        <v>95</v>
      </c>
      <c r="W25" s="170" t="s">
        <v>20</v>
      </c>
      <c r="X25" s="170" t="s">
        <v>12</v>
      </c>
      <c r="Y25" s="178">
        <v>40.4</v>
      </c>
      <c r="Z25" s="170" t="s">
        <v>477</v>
      </c>
      <c r="AA25" s="170" t="s">
        <v>22</v>
      </c>
      <c r="AB25" s="170" t="s">
        <v>11</v>
      </c>
      <c r="AC25" s="170">
        <v>30</v>
      </c>
      <c r="AD25" s="177"/>
      <c r="AG25" s="178"/>
      <c r="AL25" s="177"/>
      <c r="AO25" s="178"/>
      <c r="AP25" s="177"/>
      <c r="AS25" s="178"/>
      <c r="AW25" s="178"/>
      <c r="BA25" s="179"/>
    </row>
    <row r="26" spans="1:53" s="170" customFormat="1" x14ac:dyDescent="0.15">
      <c r="A26" s="215">
        <v>1984</v>
      </c>
      <c r="B26" s="281"/>
      <c r="C26" s="395" t="s">
        <v>609</v>
      </c>
      <c r="D26" s="395"/>
      <c r="E26" s="170">
        <v>366</v>
      </c>
      <c r="G26" s="232">
        <v>6</v>
      </c>
      <c r="I26" s="170">
        <v>9</v>
      </c>
      <c r="J26" s="240">
        <v>17</v>
      </c>
      <c r="K26" s="213">
        <f t="shared" si="1"/>
        <v>35.294117647058826</v>
      </c>
      <c r="L26" s="213">
        <f t="shared" si="1"/>
        <v>0</v>
      </c>
      <c r="M26" s="213">
        <f t="shared" si="1"/>
        <v>52.941176470588239</v>
      </c>
      <c r="N26" s="234">
        <f t="shared" si="2"/>
        <v>88.235294117647072</v>
      </c>
      <c r="O26" s="212">
        <v>30</v>
      </c>
      <c r="P26" s="213"/>
      <c r="Q26" s="213">
        <v>40.4</v>
      </c>
      <c r="R26" s="214">
        <f t="shared" si="3"/>
        <v>70.400000000000006</v>
      </c>
      <c r="S26" s="170">
        <v>2</v>
      </c>
      <c r="T26" s="283"/>
      <c r="U26" s="281"/>
      <c r="V26" s="177" t="s">
        <v>95</v>
      </c>
      <c r="W26" s="170" t="s">
        <v>20</v>
      </c>
      <c r="X26" s="170" t="s">
        <v>12</v>
      </c>
      <c r="Y26" s="178">
        <v>40.4</v>
      </c>
      <c r="Z26" s="170" t="s">
        <v>477</v>
      </c>
      <c r="AA26" s="170" t="s">
        <v>22</v>
      </c>
      <c r="AB26" s="170" t="s">
        <v>11</v>
      </c>
      <c r="AC26" s="170">
        <v>30</v>
      </c>
      <c r="AD26" s="177"/>
      <c r="AG26" s="178"/>
      <c r="AL26" s="177"/>
      <c r="AO26" s="178"/>
      <c r="AP26" s="177"/>
      <c r="AS26" s="178"/>
      <c r="AW26" s="178"/>
      <c r="BA26" s="179"/>
    </row>
    <row r="27" spans="1:53" s="170" customFormat="1" x14ac:dyDescent="0.15">
      <c r="A27" s="215">
        <v>1985</v>
      </c>
      <c r="B27" s="281"/>
      <c r="C27" s="395" t="s">
        <v>609</v>
      </c>
      <c r="D27" s="395"/>
      <c r="E27" s="170">
        <v>309</v>
      </c>
      <c r="G27" s="232">
        <v>6</v>
      </c>
      <c r="I27" s="170">
        <v>9</v>
      </c>
      <c r="J27" s="240">
        <v>17</v>
      </c>
      <c r="K27" s="213">
        <f t="shared" si="1"/>
        <v>35.294117647058826</v>
      </c>
      <c r="L27" s="213">
        <f t="shared" si="1"/>
        <v>0</v>
      </c>
      <c r="M27" s="213">
        <f t="shared" si="1"/>
        <v>52.941176470588239</v>
      </c>
      <c r="N27" s="234">
        <f t="shared" si="2"/>
        <v>88.235294117647072</v>
      </c>
      <c r="O27" s="212">
        <v>30</v>
      </c>
      <c r="P27" s="213"/>
      <c r="Q27" s="213">
        <v>40.4</v>
      </c>
      <c r="R27" s="214">
        <f t="shared" si="3"/>
        <v>70.400000000000006</v>
      </c>
      <c r="S27" s="170">
        <v>2</v>
      </c>
      <c r="T27" s="283"/>
      <c r="U27" s="281"/>
      <c r="V27" s="177" t="s">
        <v>95</v>
      </c>
      <c r="W27" s="170" t="s">
        <v>20</v>
      </c>
      <c r="X27" s="170" t="s">
        <v>12</v>
      </c>
      <c r="Y27" s="178">
        <v>40.4</v>
      </c>
      <c r="Z27" s="170" t="s">
        <v>477</v>
      </c>
      <c r="AA27" s="170" t="s">
        <v>22</v>
      </c>
      <c r="AB27" s="170" t="s">
        <v>11</v>
      </c>
      <c r="AC27" s="170">
        <v>30</v>
      </c>
      <c r="AD27" s="177"/>
      <c r="AG27" s="178"/>
      <c r="AL27" s="177"/>
      <c r="AO27" s="178"/>
      <c r="AP27" s="177"/>
      <c r="AS27" s="178"/>
      <c r="AW27" s="178"/>
      <c r="BA27" s="179"/>
    </row>
    <row r="28" spans="1:53" s="28" customFormat="1" x14ac:dyDescent="0.15">
      <c r="A28" s="51">
        <v>1985</v>
      </c>
      <c r="B28" s="293">
        <v>31357</v>
      </c>
      <c r="C28" s="394" t="s">
        <v>827</v>
      </c>
      <c r="D28" s="394"/>
      <c r="E28" s="28">
        <f>365-E27</f>
        <v>56</v>
      </c>
      <c r="F28" s="28">
        <v>4</v>
      </c>
      <c r="G28" s="65">
        <v>12</v>
      </c>
      <c r="J28" s="72">
        <v>14</v>
      </c>
      <c r="K28" s="46">
        <f t="shared" si="1"/>
        <v>85.714285714285708</v>
      </c>
      <c r="L28" s="46">
        <f t="shared" si="1"/>
        <v>0</v>
      </c>
      <c r="M28" s="46">
        <f t="shared" si="1"/>
        <v>0</v>
      </c>
      <c r="N28" s="67">
        <f t="shared" si="2"/>
        <v>85.714285714285708</v>
      </c>
      <c r="O28" s="45">
        <v>35.200000000000003</v>
      </c>
      <c r="P28" s="46"/>
      <c r="Q28" s="46"/>
      <c r="R28" s="47">
        <f t="shared" si="3"/>
        <v>35.200000000000003</v>
      </c>
      <c r="S28" s="28">
        <v>4</v>
      </c>
      <c r="T28" s="284">
        <v>31326</v>
      </c>
      <c r="U28" s="293">
        <v>31357</v>
      </c>
      <c r="V28" s="37" t="s">
        <v>477</v>
      </c>
      <c r="W28" s="28" t="s">
        <v>22</v>
      </c>
      <c r="X28" s="28" t="s">
        <v>11</v>
      </c>
      <c r="Y28" s="38">
        <v>35.200000000000003</v>
      </c>
      <c r="AD28" s="37"/>
      <c r="AG28" s="38"/>
      <c r="AL28" s="37"/>
      <c r="AO28" s="38"/>
      <c r="AP28" s="37"/>
      <c r="AS28" s="38"/>
      <c r="AW28" s="38"/>
      <c r="BA28" s="39"/>
    </row>
    <row r="29" spans="1:53" s="28" customFormat="1" x14ac:dyDescent="0.15">
      <c r="A29" s="51">
        <v>1986</v>
      </c>
      <c r="B29" s="293"/>
      <c r="C29" s="394" t="s">
        <v>827</v>
      </c>
      <c r="D29" s="394"/>
      <c r="E29" s="28">
        <v>0</v>
      </c>
      <c r="G29" s="65">
        <v>12</v>
      </c>
      <c r="J29" s="72">
        <v>14</v>
      </c>
      <c r="K29" s="46">
        <f t="shared" si="1"/>
        <v>85.714285714285708</v>
      </c>
      <c r="L29" s="46">
        <f t="shared" si="1"/>
        <v>0</v>
      </c>
      <c r="M29" s="46">
        <f t="shared" si="1"/>
        <v>0</v>
      </c>
      <c r="N29" s="67">
        <f t="shared" si="2"/>
        <v>85.714285714285708</v>
      </c>
      <c r="O29" s="45">
        <v>35.200000000000003</v>
      </c>
      <c r="P29" s="46"/>
      <c r="Q29" s="46"/>
      <c r="R29" s="47">
        <f t="shared" si="3"/>
        <v>35.200000000000003</v>
      </c>
      <c r="S29" s="28">
        <v>4</v>
      </c>
      <c r="T29" s="284"/>
      <c r="U29" s="293"/>
      <c r="V29" s="37" t="s">
        <v>477</v>
      </c>
      <c r="W29" s="28" t="s">
        <v>22</v>
      </c>
      <c r="X29" s="28" t="s">
        <v>11</v>
      </c>
      <c r="Y29" s="38">
        <v>35.200000000000003</v>
      </c>
      <c r="AD29" s="37"/>
      <c r="AG29" s="38"/>
      <c r="AL29" s="37"/>
      <c r="AO29" s="38"/>
      <c r="AP29" s="37"/>
      <c r="AS29" s="38"/>
      <c r="AW29" s="38"/>
      <c r="BA29" s="39"/>
    </row>
    <row r="30" spans="1:53" s="28" customFormat="1" x14ac:dyDescent="0.15">
      <c r="A30" s="51">
        <v>1986</v>
      </c>
      <c r="B30" s="293"/>
      <c r="C30" s="394" t="s">
        <v>827</v>
      </c>
      <c r="D30" s="394"/>
      <c r="E30" s="28">
        <v>365</v>
      </c>
      <c r="G30" s="65">
        <v>12</v>
      </c>
      <c r="J30" s="72">
        <v>14</v>
      </c>
      <c r="K30" s="46">
        <f t="shared" si="1"/>
        <v>85.714285714285708</v>
      </c>
      <c r="L30" s="46">
        <f t="shared" si="1"/>
        <v>0</v>
      </c>
      <c r="M30" s="46">
        <f t="shared" si="1"/>
        <v>0</v>
      </c>
      <c r="N30" s="67">
        <f t="shared" si="2"/>
        <v>85.714285714285708</v>
      </c>
      <c r="O30" s="45">
        <v>35.200000000000003</v>
      </c>
      <c r="P30" s="46"/>
      <c r="Q30" s="46"/>
      <c r="R30" s="47">
        <f t="shared" si="3"/>
        <v>35.200000000000003</v>
      </c>
      <c r="S30" s="28">
        <v>4</v>
      </c>
      <c r="T30" s="284"/>
      <c r="U30" s="293"/>
      <c r="V30" s="37" t="s">
        <v>477</v>
      </c>
      <c r="W30" s="28" t="s">
        <v>22</v>
      </c>
      <c r="X30" s="28" t="s">
        <v>11</v>
      </c>
      <c r="Y30" s="38">
        <v>35.200000000000003</v>
      </c>
      <c r="AD30" s="37"/>
      <c r="AG30" s="38"/>
      <c r="AL30" s="37"/>
      <c r="AO30" s="38"/>
      <c r="AP30" s="37"/>
      <c r="AS30" s="38"/>
      <c r="AW30" s="38"/>
      <c r="BA30" s="39"/>
    </row>
    <row r="31" spans="1:53" s="28" customFormat="1" x14ac:dyDescent="0.15">
      <c r="A31" s="51">
        <v>1987</v>
      </c>
      <c r="B31" s="293"/>
      <c r="C31" s="394" t="s">
        <v>827</v>
      </c>
      <c r="D31" s="394"/>
      <c r="E31" s="28">
        <v>228</v>
      </c>
      <c r="G31" s="65">
        <v>12</v>
      </c>
      <c r="J31" s="72">
        <v>14</v>
      </c>
      <c r="K31" s="46">
        <f t="shared" si="1"/>
        <v>85.714285714285708</v>
      </c>
      <c r="L31" s="46">
        <f t="shared" si="1"/>
        <v>0</v>
      </c>
      <c r="M31" s="46">
        <f t="shared" si="1"/>
        <v>0</v>
      </c>
      <c r="N31" s="67">
        <f t="shared" si="2"/>
        <v>85.714285714285708</v>
      </c>
      <c r="O31" s="45">
        <v>35.200000000000003</v>
      </c>
      <c r="P31" s="46"/>
      <c r="Q31" s="46"/>
      <c r="R31" s="47">
        <f t="shared" si="3"/>
        <v>35.200000000000003</v>
      </c>
      <c r="S31" s="28">
        <v>4</v>
      </c>
      <c r="T31" s="284"/>
      <c r="U31" s="293"/>
      <c r="V31" s="37" t="s">
        <v>477</v>
      </c>
      <c r="W31" s="28" t="s">
        <v>22</v>
      </c>
      <c r="X31" s="28" t="s">
        <v>11</v>
      </c>
      <c r="Y31" s="38">
        <v>35.200000000000003</v>
      </c>
      <c r="AD31" s="37"/>
      <c r="AG31" s="38"/>
      <c r="AL31" s="37"/>
      <c r="AO31" s="38"/>
      <c r="AP31" s="37"/>
      <c r="AS31" s="38"/>
      <c r="AW31" s="38"/>
      <c r="BA31" s="39"/>
    </row>
    <row r="32" spans="1:53" s="170" customFormat="1" x14ac:dyDescent="0.15">
      <c r="A32" s="215">
        <v>1987</v>
      </c>
      <c r="B32" s="281">
        <v>32006</v>
      </c>
      <c r="C32" s="395" t="s">
        <v>828</v>
      </c>
      <c r="D32" s="395"/>
      <c r="E32" s="170">
        <f>365-E31</f>
        <v>137</v>
      </c>
      <c r="F32" s="170">
        <v>5</v>
      </c>
      <c r="G32" s="232">
        <v>16</v>
      </c>
      <c r="J32" s="240">
        <v>18</v>
      </c>
      <c r="K32" s="213">
        <f t="shared" si="1"/>
        <v>88.888888888888886</v>
      </c>
      <c r="L32" s="213">
        <f t="shared" si="1"/>
        <v>0</v>
      </c>
      <c r="M32" s="213">
        <f t="shared" si="1"/>
        <v>0</v>
      </c>
      <c r="N32" s="234">
        <f t="shared" si="2"/>
        <v>88.888888888888886</v>
      </c>
      <c r="O32" s="212">
        <v>59.2</v>
      </c>
      <c r="P32" s="213"/>
      <c r="Q32" s="213"/>
      <c r="R32" s="214">
        <f t="shared" si="3"/>
        <v>59.2</v>
      </c>
      <c r="S32" s="170">
        <v>1</v>
      </c>
      <c r="T32" s="283">
        <v>31977</v>
      </c>
      <c r="U32" s="281">
        <v>32006</v>
      </c>
      <c r="V32" s="177" t="s">
        <v>477</v>
      </c>
      <c r="W32" s="170" t="s">
        <v>22</v>
      </c>
      <c r="X32" s="170" t="s">
        <v>11</v>
      </c>
      <c r="Y32" s="178">
        <v>59.2</v>
      </c>
      <c r="AD32" s="177"/>
      <c r="AG32" s="178"/>
      <c r="AL32" s="177"/>
      <c r="AO32" s="178"/>
      <c r="AP32" s="177"/>
      <c r="AS32" s="178"/>
      <c r="AW32" s="178"/>
      <c r="BA32" s="179"/>
    </row>
    <row r="33" spans="1:53" s="170" customFormat="1" x14ac:dyDescent="0.15">
      <c r="A33" s="215">
        <v>1988</v>
      </c>
      <c r="B33" s="281"/>
      <c r="C33" s="395" t="s">
        <v>828</v>
      </c>
      <c r="D33" s="395"/>
      <c r="E33" s="170">
        <v>0</v>
      </c>
      <c r="G33" s="232">
        <v>16</v>
      </c>
      <c r="J33" s="240">
        <v>18</v>
      </c>
      <c r="K33" s="213">
        <f t="shared" si="1"/>
        <v>88.888888888888886</v>
      </c>
      <c r="L33" s="213">
        <f t="shared" si="1"/>
        <v>0</v>
      </c>
      <c r="M33" s="213">
        <f t="shared" si="1"/>
        <v>0</v>
      </c>
      <c r="N33" s="234">
        <f t="shared" si="2"/>
        <v>88.888888888888886</v>
      </c>
      <c r="O33" s="212">
        <v>59.2</v>
      </c>
      <c r="P33" s="213"/>
      <c r="Q33" s="213"/>
      <c r="R33" s="214">
        <f t="shared" si="3"/>
        <v>59.2</v>
      </c>
      <c r="S33" s="170">
        <v>1</v>
      </c>
      <c r="T33" s="283"/>
      <c r="U33" s="281"/>
      <c r="V33" s="177" t="s">
        <v>477</v>
      </c>
      <c r="W33" s="170" t="s">
        <v>22</v>
      </c>
      <c r="X33" s="170" t="s">
        <v>11</v>
      </c>
      <c r="Y33" s="178">
        <v>59.2</v>
      </c>
      <c r="AD33" s="177"/>
      <c r="AG33" s="178"/>
      <c r="AL33" s="177"/>
      <c r="AO33" s="178"/>
      <c r="AP33" s="177"/>
      <c r="AS33" s="178"/>
      <c r="AW33" s="178"/>
      <c r="BA33" s="179"/>
    </row>
    <row r="34" spans="1:53" s="170" customFormat="1" x14ac:dyDescent="0.15">
      <c r="A34" s="215">
        <v>1988</v>
      </c>
      <c r="B34" s="281"/>
      <c r="C34" s="395" t="s">
        <v>828</v>
      </c>
      <c r="D34" s="395"/>
      <c r="E34" s="170">
        <v>366</v>
      </c>
      <c r="G34" s="232">
        <v>16</v>
      </c>
      <c r="J34" s="240">
        <v>18</v>
      </c>
      <c r="K34" s="213">
        <f t="shared" si="1"/>
        <v>88.888888888888886</v>
      </c>
      <c r="L34" s="213">
        <f t="shared" si="1"/>
        <v>0</v>
      </c>
      <c r="M34" s="213">
        <f t="shared" si="1"/>
        <v>0</v>
      </c>
      <c r="N34" s="234">
        <f t="shared" si="2"/>
        <v>88.888888888888886</v>
      </c>
      <c r="O34" s="212">
        <v>59.2</v>
      </c>
      <c r="P34" s="213"/>
      <c r="Q34" s="213"/>
      <c r="R34" s="214">
        <f t="shared" si="3"/>
        <v>59.2</v>
      </c>
      <c r="S34" s="170">
        <v>1</v>
      </c>
      <c r="T34" s="283"/>
      <c r="U34" s="281"/>
      <c r="V34" s="177" t="s">
        <v>477</v>
      </c>
      <c r="W34" s="170" t="s">
        <v>22</v>
      </c>
      <c r="X34" s="170" t="s">
        <v>11</v>
      </c>
      <c r="Y34" s="178">
        <v>59.2</v>
      </c>
      <c r="AD34" s="177"/>
      <c r="AG34" s="178"/>
      <c r="AL34" s="177"/>
      <c r="AO34" s="178"/>
      <c r="AP34" s="177"/>
      <c r="AS34" s="178"/>
      <c r="AW34" s="178"/>
      <c r="BA34" s="179"/>
    </row>
    <row r="35" spans="1:53" s="170" customFormat="1" x14ac:dyDescent="0.15">
      <c r="A35" s="215">
        <v>1989</v>
      </c>
      <c r="B35" s="281"/>
      <c r="C35" s="395" t="s">
        <v>828</v>
      </c>
      <c r="D35" s="395"/>
      <c r="E35" s="170">
        <v>0</v>
      </c>
      <c r="G35" s="232">
        <v>16</v>
      </c>
      <c r="J35" s="240">
        <v>18</v>
      </c>
      <c r="K35" s="213">
        <f t="shared" si="1"/>
        <v>88.888888888888886</v>
      </c>
      <c r="L35" s="213">
        <f t="shared" si="1"/>
        <v>0</v>
      </c>
      <c r="M35" s="213">
        <f t="shared" si="1"/>
        <v>0</v>
      </c>
      <c r="N35" s="234">
        <f t="shared" si="2"/>
        <v>88.888888888888886</v>
      </c>
      <c r="O35" s="212">
        <v>59.2</v>
      </c>
      <c r="P35" s="213"/>
      <c r="Q35" s="213"/>
      <c r="R35" s="214">
        <f t="shared" si="3"/>
        <v>59.2</v>
      </c>
      <c r="S35" s="170">
        <v>1</v>
      </c>
      <c r="T35" s="283"/>
      <c r="U35" s="281"/>
      <c r="V35" s="177" t="s">
        <v>477</v>
      </c>
      <c r="W35" s="170" t="s">
        <v>22</v>
      </c>
      <c r="X35" s="170" t="s">
        <v>11</v>
      </c>
      <c r="Y35" s="178">
        <v>59.2</v>
      </c>
      <c r="AD35" s="177"/>
      <c r="AG35" s="178"/>
      <c r="AL35" s="177"/>
      <c r="AO35" s="178"/>
      <c r="AP35" s="177"/>
      <c r="AS35" s="178"/>
      <c r="AW35" s="178"/>
      <c r="BA35" s="179"/>
    </row>
    <row r="36" spans="1:53" s="53" customFormat="1" x14ac:dyDescent="0.15">
      <c r="A36" s="117">
        <v>1989</v>
      </c>
      <c r="B36" s="291"/>
      <c r="C36" s="399" t="s">
        <v>828</v>
      </c>
      <c r="D36" s="399"/>
      <c r="E36" s="53">
        <f>365-E35</f>
        <v>365</v>
      </c>
      <c r="G36" s="248">
        <v>16</v>
      </c>
      <c r="J36" s="249">
        <v>18</v>
      </c>
      <c r="K36" s="225">
        <f t="shared" si="1"/>
        <v>88.888888888888886</v>
      </c>
      <c r="L36" s="225">
        <f t="shared" si="1"/>
        <v>0</v>
      </c>
      <c r="M36" s="225">
        <f t="shared" si="1"/>
        <v>0</v>
      </c>
      <c r="N36" s="237">
        <f t="shared" si="2"/>
        <v>88.888888888888886</v>
      </c>
      <c r="O36" s="224">
        <v>59.2</v>
      </c>
      <c r="P36" s="225"/>
      <c r="Q36" s="225"/>
      <c r="R36" s="226">
        <f t="shared" si="3"/>
        <v>59.2</v>
      </c>
      <c r="S36" s="53">
        <v>1</v>
      </c>
      <c r="T36" s="285"/>
      <c r="U36" s="291"/>
      <c r="V36" s="54" t="s">
        <v>477</v>
      </c>
      <c r="W36" s="53" t="s">
        <v>22</v>
      </c>
      <c r="X36" s="53" t="s">
        <v>11</v>
      </c>
      <c r="Y36" s="55">
        <v>59.2</v>
      </c>
      <c r="AD36" s="54"/>
      <c r="AG36" s="55"/>
      <c r="AL36" s="54"/>
      <c r="AO36" s="55"/>
      <c r="AP36" s="54"/>
      <c r="AS36" s="55"/>
      <c r="AW36" s="55"/>
      <c r="BA36" s="56"/>
    </row>
    <row r="37" spans="1:53" s="170" customFormat="1" x14ac:dyDescent="0.15">
      <c r="A37" s="170">
        <v>1990</v>
      </c>
      <c r="B37" s="281"/>
      <c r="C37" s="395" t="s">
        <v>828</v>
      </c>
      <c r="D37" s="395"/>
      <c r="E37" s="170">
        <v>0</v>
      </c>
      <c r="G37" s="232">
        <v>16</v>
      </c>
      <c r="J37" s="240">
        <v>18</v>
      </c>
      <c r="K37" s="212">
        <f t="shared" si="1"/>
        <v>88.888888888888886</v>
      </c>
      <c r="L37" s="213">
        <f t="shared" si="1"/>
        <v>0</v>
      </c>
      <c r="M37" s="213">
        <f t="shared" si="1"/>
        <v>0</v>
      </c>
      <c r="N37" s="214">
        <f t="shared" si="2"/>
        <v>88.888888888888886</v>
      </c>
      <c r="O37" s="212">
        <v>59.2</v>
      </c>
      <c r="P37" s="213"/>
      <c r="Q37" s="213"/>
      <c r="R37" s="214">
        <f t="shared" si="3"/>
        <v>59.2</v>
      </c>
      <c r="S37" s="170">
        <v>1</v>
      </c>
      <c r="T37" s="283"/>
      <c r="U37" s="281"/>
      <c r="V37" s="177" t="s">
        <v>477</v>
      </c>
      <c r="W37" s="170" t="s">
        <v>22</v>
      </c>
      <c r="X37" s="170" t="s">
        <v>11</v>
      </c>
      <c r="Y37" s="178">
        <v>59.2</v>
      </c>
      <c r="AD37" s="177"/>
      <c r="AG37" s="178"/>
      <c r="AL37" s="177"/>
      <c r="AO37" s="178"/>
      <c r="AP37" s="177"/>
      <c r="AS37" s="178"/>
      <c r="AW37" s="178"/>
      <c r="BA37" s="179"/>
    </row>
    <row r="38" spans="1:53" s="170" customFormat="1" x14ac:dyDescent="0.15">
      <c r="A38" s="170">
        <v>1990</v>
      </c>
      <c r="B38" s="281"/>
      <c r="C38" s="395" t="s">
        <v>828</v>
      </c>
      <c r="D38" s="395"/>
      <c r="E38" s="170">
        <f>365-E37</f>
        <v>365</v>
      </c>
      <c r="G38" s="232">
        <v>16</v>
      </c>
      <c r="J38" s="240">
        <v>18</v>
      </c>
      <c r="K38" s="213">
        <f t="shared" si="1"/>
        <v>88.888888888888886</v>
      </c>
      <c r="L38" s="213">
        <f t="shared" si="1"/>
        <v>0</v>
      </c>
      <c r="M38" s="213">
        <f t="shared" si="1"/>
        <v>0</v>
      </c>
      <c r="N38" s="234">
        <f t="shared" si="2"/>
        <v>88.888888888888886</v>
      </c>
      <c r="O38" s="212">
        <v>59.2</v>
      </c>
      <c r="P38" s="213"/>
      <c r="Q38" s="213"/>
      <c r="R38" s="214">
        <f t="shared" si="3"/>
        <v>59.2</v>
      </c>
      <c r="S38" s="170">
        <v>1</v>
      </c>
      <c r="T38" s="283"/>
      <c r="U38" s="281"/>
      <c r="V38" s="177" t="s">
        <v>477</v>
      </c>
      <c r="W38" s="170" t="s">
        <v>22</v>
      </c>
      <c r="X38" s="170" t="s">
        <v>11</v>
      </c>
      <c r="Y38" s="178">
        <v>59.2</v>
      </c>
      <c r="AD38" s="177"/>
      <c r="AG38" s="178"/>
      <c r="AL38" s="177"/>
      <c r="AO38" s="178"/>
      <c r="AP38" s="177"/>
      <c r="AS38" s="178"/>
      <c r="AW38" s="178"/>
      <c r="BA38" s="179"/>
    </row>
    <row r="39" spans="1:53" s="170" customFormat="1" x14ac:dyDescent="0.15">
      <c r="A39" s="170">
        <v>1991</v>
      </c>
      <c r="B39" s="281"/>
      <c r="C39" s="395" t="s">
        <v>828</v>
      </c>
      <c r="D39" s="395"/>
      <c r="E39" s="170">
        <v>303</v>
      </c>
      <c r="G39" s="232">
        <v>16</v>
      </c>
      <c r="J39" s="240">
        <v>18</v>
      </c>
      <c r="K39" s="213">
        <f t="shared" si="1"/>
        <v>88.888888888888886</v>
      </c>
      <c r="L39" s="213">
        <f t="shared" si="1"/>
        <v>0</v>
      </c>
      <c r="M39" s="213">
        <f t="shared" si="1"/>
        <v>0</v>
      </c>
      <c r="N39" s="234">
        <f t="shared" si="2"/>
        <v>88.888888888888886</v>
      </c>
      <c r="O39" s="212">
        <v>59.2</v>
      </c>
      <c r="P39" s="213"/>
      <c r="Q39" s="213"/>
      <c r="R39" s="214">
        <f t="shared" si="3"/>
        <v>59.2</v>
      </c>
      <c r="S39" s="170">
        <v>1</v>
      </c>
      <c r="T39" s="283"/>
      <c r="U39" s="281"/>
      <c r="V39" s="177" t="s">
        <v>477</v>
      </c>
      <c r="W39" s="170" t="s">
        <v>22</v>
      </c>
      <c r="X39" s="170" t="s">
        <v>11</v>
      </c>
      <c r="Y39" s="178">
        <v>59.2</v>
      </c>
      <c r="AD39" s="177"/>
      <c r="AG39" s="178"/>
      <c r="AL39" s="177"/>
      <c r="AO39" s="178"/>
      <c r="AP39" s="177"/>
      <c r="AS39" s="178"/>
      <c r="AW39" s="178"/>
      <c r="BA39" s="179"/>
    </row>
    <row r="40" spans="1:53" s="28" customFormat="1" x14ac:dyDescent="0.15">
      <c r="A40" s="28">
        <v>1991</v>
      </c>
      <c r="B40" s="293">
        <v>33542</v>
      </c>
      <c r="C40" s="394" t="s">
        <v>829</v>
      </c>
      <c r="D40" s="394"/>
      <c r="E40" s="28">
        <f>365-E39</f>
        <v>62</v>
      </c>
      <c r="F40" s="28">
        <v>1</v>
      </c>
      <c r="G40" s="65">
        <v>17</v>
      </c>
      <c r="J40" s="72">
        <v>19</v>
      </c>
      <c r="K40" s="46">
        <f t="shared" si="1"/>
        <v>89.473684210526315</v>
      </c>
      <c r="L40" s="46">
        <f t="shared" si="1"/>
        <v>0</v>
      </c>
      <c r="M40" s="46">
        <f t="shared" si="1"/>
        <v>0</v>
      </c>
      <c r="N40" s="67">
        <f t="shared" si="2"/>
        <v>89.473684210526315</v>
      </c>
      <c r="O40" s="45">
        <v>58.4</v>
      </c>
      <c r="P40" s="46"/>
      <c r="Q40" s="46"/>
      <c r="R40" s="47">
        <f t="shared" si="3"/>
        <v>58.4</v>
      </c>
      <c r="S40" s="28">
        <v>1</v>
      </c>
      <c r="T40" s="284">
        <v>33517</v>
      </c>
      <c r="U40" s="293">
        <v>33542</v>
      </c>
      <c r="V40" s="37" t="s">
        <v>477</v>
      </c>
      <c r="W40" s="28" t="s">
        <v>22</v>
      </c>
      <c r="X40" s="28" t="s">
        <v>11</v>
      </c>
      <c r="Y40" s="38">
        <v>58.4</v>
      </c>
      <c r="AD40" s="37"/>
      <c r="AG40" s="38"/>
      <c r="AL40" s="37"/>
      <c r="AO40" s="38"/>
      <c r="AP40" s="37"/>
      <c r="AS40" s="38"/>
      <c r="AW40" s="38"/>
      <c r="BA40" s="39"/>
    </row>
    <row r="41" spans="1:53" s="28" customFormat="1" x14ac:dyDescent="0.15">
      <c r="A41" s="28">
        <v>1992</v>
      </c>
      <c r="B41" s="293"/>
      <c r="C41" s="394" t="s">
        <v>829</v>
      </c>
      <c r="D41" s="394"/>
      <c r="E41" s="28">
        <v>0</v>
      </c>
      <c r="G41" s="65">
        <v>17</v>
      </c>
      <c r="J41" s="72">
        <v>19</v>
      </c>
      <c r="K41" s="46">
        <f t="shared" si="1"/>
        <v>89.473684210526315</v>
      </c>
      <c r="L41" s="46">
        <f t="shared" si="1"/>
        <v>0</v>
      </c>
      <c r="M41" s="46">
        <f t="shared" si="1"/>
        <v>0</v>
      </c>
      <c r="N41" s="67">
        <f t="shared" si="2"/>
        <v>89.473684210526315</v>
      </c>
      <c r="O41" s="45">
        <v>58.4</v>
      </c>
      <c r="P41" s="46"/>
      <c r="Q41" s="46"/>
      <c r="R41" s="47">
        <f t="shared" si="3"/>
        <v>58.4</v>
      </c>
      <c r="S41" s="28">
        <v>1</v>
      </c>
      <c r="T41" s="284"/>
      <c r="U41" s="293"/>
      <c r="V41" s="37" t="s">
        <v>477</v>
      </c>
      <c r="W41" s="28" t="s">
        <v>22</v>
      </c>
      <c r="X41" s="28" t="s">
        <v>11</v>
      </c>
      <c r="Y41" s="38">
        <v>58.4</v>
      </c>
      <c r="AD41" s="37"/>
      <c r="AG41" s="38"/>
      <c r="AL41" s="37"/>
      <c r="AO41" s="38"/>
      <c r="AP41" s="37"/>
      <c r="AS41" s="38"/>
      <c r="AW41" s="38"/>
      <c r="BA41" s="39"/>
    </row>
    <row r="42" spans="1:53" s="28" customFormat="1" x14ac:dyDescent="0.15">
      <c r="A42" s="28">
        <v>1992</v>
      </c>
      <c r="B42" s="293"/>
      <c r="C42" s="394" t="s">
        <v>829</v>
      </c>
      <c r="D42" s="394"/>
      <c r="E42" s="28">
        <v>366</v>
      </c>
      <c r="G42" s="65">
        <v>17</v>
      </c>
      <c r="J42" s="72">
        <v>19</v>
      </c>
      <c r="K42" s="46">
        <f t="shared" si="1"/>
        <v>89.473684210526315</v>
      </c>
      <c r="L42" s="46">
        <f t="shared" si="1"/>
        <v>0</v>
      </c>
      <c r="M42" s="46">
        <f t="shared" si="1"/>
        <v>0</v>
      </c>
      <c r="N42" s="67">
        <f t="shared" si="2"/>
        <v>89.473684210526315</v>
      </c>
      <c r="O42" s="45">
        <v>58.4</v>
      </c>
      <c r="P42" s="46"/>
      <c r="Q42" s="46"/>
      <c r="R42" s="47">
        <f t="shared" si="3"/>
        <v>58.4</v>
      </c>
      <c r="S42" s="28">
        <v>1</v>
      </c>
      <c r="T42" s="284"/>
      <c r="U42" s="293"/>
      <c r="V42" s="37" t="s">
        <v>477</v>
      </c>
      <c r="W42" s="28" t="s">
        <v>22</v>
      </c>
      <c r="X42" s="28" t="s">
        <v>11</v>
      </c>
      <c r="Y42" s="38">
        <v>58.4</v>
      </c>
      <c r="AD42" s="37"/>
      <c r="AG42" s="38"/>
      <c r="AL42" s="37"/>
      <c r="AO42" s="38"/>
      <c r="AP42" s="37"/>
      <c r="AS42" s="38"/>
      <c r="AW42" s="38"/>
      <c r="BA42" s="39"/>
    </row>
    <row r="43" spans="1:53" s="28" customFormat="1" x14ac:dyDescent="0.15">
      <c r="A43" s="28">
        <v>1993</v>
      </c>
      <c r="B43" s="293"/>
      <c r="C43" s="394" t="s">
        <v>829</v>
      </c>
      <c r="D43" s="394"/>
      <c r="E43" s="28">
        <v>0</v>
      </c>
      <c r="G43" s="65">
        <v>17</v>
      </c>
      <c r="J43" s="72">
        <v>19</v>
      </c>
      <c r="K43" s="46">
        <f t="shared" si="1"/>
        <v>89.473684210526315</v>
      </c>
      <c r="L43" s="46">
        <f t="shared" si="1"/>
        <v>0</v>
      </c>
      <c r="M43" s="46">
        <f t="shared" si="1"/>
        <v>0</v>
      </c>
      <c r="N43" s="67">
        <f t="shared" si="2"/>
        <v>89.473684210526315</v>
      </c>
      <c r="O43" s="45">
        <v>58.4</v>
      </c>
      <c r="P43" s="46"/>
      <c r="Q43" s="46"/>
      <c r="R43" s="47">
        <f t="shared" si="3"/>
        <v>58.4</v>
      </c>
      <c r="S43" s="28">
        <v>1</v>
      </c>
      <c r="T43" s="284"/>
      <c r="U43" s="293"/>
      <c r="V43" s="37" t="s">
        <v>477</v>
      </c>
      <c r="W43" s="28" t="s">
        <v>22</v>
      </c>
      <c r="X43" s="28" t="s">
        <v>11</v>
      </c>
      <c r="Y43" s="38">
        <v>58.4</v>
      </c>
      <c r="AD43" s="37"/>
      <c r="AG43" s="38"/>
      <c r="AL43" s="37"/>
      <c r="AO43" s="38"/>
      <c r="AP43" s="37"/>
      <c r="AS43" s="38"/>
      <c r="AW43" s="38"/>
      <c r="BA43" s="39"/>
    </row>
    <row r="44" spans="1:53" s="28" customFormat="1" x14ac:dyDescent="0.15">
      <c r="A44" s="28">
        <v>1993</v>
      </c>
      <c r="B44" s="293"/>
      <c r="C44" s="394" t="s">
        <v>829</v>
      </c>
      <c r="D44" s="394"/>
      <c r="E44" s="28">
        <f>365-E43</f>
        <v>365</v>
      </c>
      <c r="G44" s="65">
        <v>17</v>
      </c>
      <c r="J44" s="72">
        <v>19</v>
      </c>
      <c r="K44" s="46">
        <f t="shared" si="1"/>
        <v>89.473684210526315</v>
      </c>
      <c r="L44" s="46">
        <f t="shared" si="1"/>
        <v>0</v>
      </c>
      <c r="M44" s="46">
        <f t="shared" si="1"/>
        <v>0</v>
      </c>
      <c r="N44" s="67">
        <f t="shared" si="2"/>
        <v>89.473684210526315</v>
      </c>
      <c r="O44" s="45">
        <v>58.4</v>
      </c>
      <c r="P44" s="46"/>
      <c r="Q44" s="46"/>
      <c r="R44" s="47">
        <f t="shared" si="3"/>
        <v>58.4</v>
      </c>
      <c r="S44" s="28">
        <v>1</v>
      </c>
      <c r="T44" s="284"/>
      <c r="U44" s="293"/>
      <c r="V44" s="37" t="s">
        <v>477</v>
      </c>
      <c r="W44" s="28" t="s">
        <v>22</v>
      </c>
      <c r="X44" s="28" t="s">
        <v>11</v>
      </c>
      <c r="Y44" s="38">
        <v>58.4</v>
      </c>
      <c r="AD44" s="37"/>
      <c r="AG44" s="38"/>
      <c r="AL44" s="37"/>
      <c r="AO44" s="38"/>
      <c r="AP44" s="37"/>
      <c r="AS44" s="38"/>
      <c r="AW44" s="38"/>
      <c r="BA44" s="39"/>
    </row>
    <row r="45" spans="1:53" s="28" customFormat="1" x14ac:dyDescent="0.15">
      <c r="A45" s="28">
        <v>1994</v>
      </c>
      <c r="B45" s="293"/>
      <c r="C45" s="394" t="s">
        <v>829</v>
      </c>
      <c r="D45" s="394"/>
      <c r="E45" s="28">
        <v>0</v>
      </c>
      <c r="G45" s="65">
        <v>17</v>
      </c>
      <c r="J45" s="72">
        <v>19</v>
      </c>
      <c r="K45" s="46">
        <f t="shared" si="1"/>
        <v>89.473684210526315</v>
      </c>
      <c r="L45" s="46">
        <f t="shared" si="1"/>
        <v>0</v>
      </c>
      <c r="M45" s="46">
        <f t="shared" si="1"/>
        <v>0</v>
      </c>
      <c r="N45" s="67">
        <f t="shared" si="2"/>
        <v>89.473684210526315</v>
      </c>
      <c r="O45" s="45">
        <v>58.4</v>
      </c>
      <c r="P45" s="46"/>
      <c r="Q45" s="46"/>
      <c r="R45" s="47">
        <f t="shared" si="3"/>
        <v>58.4</v>
      </c>
      <c r="S45" s="28">
        <v>1</v>
      </c>
      <c r="T45" s="284"/>
      <c r="U45" s="293"/>
      <c r="V45" s="37" t="s">
        <v>477</v>
      </c>
      <c r="W45" s="28" t="s">
        <v>22</v>
      </c>
      <c r="X45" s="28" t="s">
        <v>11</v>
      </c>
      <c r="Y45" s="38">
        <v>58.4</v>
      </c>
      <c r="AD45" s="37"/>
      <c r="AG45" s="38"/>
      <c r="AL45" s="37"/>
      <c r="AO45" s="38"/>
      <c r="AP45" s="37"/>
      <c r="AS45" s="38"/>
      <c r="AW45" s="38"/>
      <c r="BA45" s="39"/>
    </row>
    <row r="46" spans="1:53" s="28" customFormat="1" x14ac:dyDescent="0.15">
      <c r="A46" s="28">
        <v>1994</v>
      </c>
      <c r="B46" s="293"/>
      <c r="C46" s="394" t="s">
        <v>829</v>
      </c>
      <c r="D46" s="394"/>
      <c r="E46" s="28">
        <f>365-E45</f>
        <v>365</v>
      </c>
      <c r="G46" s="65">
        <v>17</v>
      </c>
      <c r="J46" s="72">
        <v>19</v>
      </c>
      <c r="K46" s="46">
        <f t="shared" si="1"/>
        <v>89.473684210526315</v>
      </c>
      <c r="L46" s="46">
        <f t="shared" si="1"/>
        <v>0</v>
      </c>
      <c r="M46" s="46">
        <f t="shared" si="1"/>
        <v>0</v>
      </c>
      <c r="N46" s="67">
        <f t="shared" si="2"/>
        <v>89.473684210526315</v>
      </c>
      <c r="O46" s="45">
        <v>58.4</v>
      </c>
      <c r="P46" s="46"/>
      <c r="Q46" s="46"/>
      <c r="R46" s="47">
        <f t="shared" si="3"/>
        <v>58.4</v>
      </c>
      <c r="S46" s="28">
        <v>1</v>
      </c>
      <c r="T46" s="284"/>
      <c r="U46" s="293"/>
      <c r="V46" s="37" t="s">
        <v>477</v>
      </c>
      <c r="W46" s="28" t="s">
        <v>22</v>
      </c>
      <c r="X46" s="28" t="s">
        <v>11</v>
      </c>
      <c r="Y46" s="38">
        <v>58.4</v>
      </c>
      <c r="AD46" s="37"/>
      <c r="AG46" s="38"/>
      <c r="AL46" s="37"/>
      <c r="AO46" s="38"/>
      <c r="AP46" s="37"/>
      <c r="AS46" s="38"/>
      <c r="AW46" s="38"/>
      <c r="BA46" s="39"/>
    </row>
    <row r="47" spans="1:53" s="28" customFormat="1" x14ac:dyDescent="0.15">
      <c r="A47" s="28">
        <v>1995</v>
      </c>
      <c r="B47" s="293"/>
      <c r="C47" s="394" t="s">
        <v>829</v>
      </c>
      <c r="D47" s="394"/>
      <c r="E47" s="28">
        <v>300</v>
      </c>
      <c r="G47" s="65">
        <v>16</v>
      </c>
      <c r="J47" s="72">
        <v>18</v>
      </c>
      <c r="K47" s="46">
        <f t="shared" si="1"/>
        <v>88.888888888888886</v>
      </c>
      <c r="L47" s="46">
        <f t="shared" si="1"/>
        <v>0</v>
      </c>
      <c r="M47" s="46">
        <f t="shared" si="1"/>
        <v>0</v>
      </c>
      <c r="N47" s="67">
        <f t="shared" si="2"/>
        <v>88.888888888888886</v>
      </c>
      <c r="O47" s="45">
        <v>58.4</v>
      </c>
      <c r="P47" s="46"/>
      <c r="Q47" s="46"/>
      <c r="R47" s="47">
        <f t="shared" si="3"/>
        <v>58.4</v>
      </c>
      <c r="S47" s="28">
        <v>1</v>
      </c>
      <c r="T47" s="284"/>
      <c r="U47" s="293"/>
      <c r="V47" s="37" t="s">
        <v>477</v>
      </c>
      <c r="W47" s="28" t="s">
        <v>22</v>
      </c>
      <c r="X47" s="28" t="s">
        <v>11</v>
      </c>
      <c r="Y47" s="38">
        <v>58.4</v>
      </c>
      <c r="AD47" s="37"/>
      <c r="AG47" s="38"/>
      <c r="AL47" s="37"/>
      <c r="AO47" s="38"/>
      <c r="AP47" s="37"/>
      <c r="AS47" s="38"/>
      <c r="AW47" s="38"/>
      <c r="BA47" s="39"/>
    </row>
    <row r="48" spans="1:53" s="170" customFormat="1" x14ac:dyDescent="0.15">
      <c r="A48" s="170">
        <v>1995</v>
      </c>
      <c r="B48" s="281">
        <v>35000</v>
      </c>
      <c r="C48" s="395" t="s">
        <v>830</v>
      </c>
      <c r="D48" s="395"/>
      <c r="E48" s="170">
        <f>365-E47</f>
        <v>65</v>
      </c>
      <c r="F48" s="170">
        <v>1</v>
      </c>
      <c r="G48" s="232"/>
      <c r="I48" s="170">
        <v>14</v>
      </c>
      <c r="J48" s="240">
        <v>18</v>
      </c>
      <c r="K48" s="213">
        <f t="shared" si="1"/>
        <v>0</v>
      </c>
      <c r="L48" s="213">
        <f t="shared" si="1"/>
        <v>0</v>
      </c>
      <c r="M48" s="213">
        <f t="shared" si="1"/>
        <v>77.777777777777786</v>
      </c>
      <c r="N48" s="234">
        <f t="shared" si="2"/>
        <v>77.777777777777786</v>
      </c>
      <c r="O48" s="212"/>
      <c r="P48" s="213"/>
      <c r="Q48" s="213">
        <v>48.7</v>
      </c>
      <c r="R48" s="214">
        <f t="shared" si="3"/>
        <v>48.7</v>
      </c>
      <c r="S48" s="170">
        <v>4</v>
      </c>
      <c r="T48" s="283">
        <v>34973</v>
      </c>
      <c r="U48" s="281">
        <v>35000</v>
      </c>
      <c r="V48" s="177" t="s">
        <v>95</v>
      </c>
      <c r="W48" s="170" t="s">
        <v>20</v>
      </c>
      <c r="X48" s="170" t="s">
        <v>12</v>
      </c>
      <c r="Y48" s="178">
        <v>48.7</v>
      </c>
      <c r="AD48" s="177"/>
      <c r="AG48" s="178"/>
      <c r="AL48" s="177"/>
      <c r="AO48" s="178"/>
      <c r="AP48" s="177"/>
      <c r="AS48" s="178"/>
      <c r="AW48" s="178"/>
      <c r="BA48" s="179"/>
    </row>
    <row r="49" spans="1:53" s="170" customFormat="1" x14ac:dyDescent="0.15">
      <c r="A49" s="170">
        <v>1996</v>
      </c>
      <c r="B49" s="281"/>
      <c r="C49" s="395" t="s">
        <v>830</v>
      </c>
      <c r="D49" s="395"/>
      <c r="E49" s="170">
        <v>0</v>
      </c>
      <c r="G49" s="232"/>
      <c r="I49" s="170">
        <v>14</v>
      </c>
      <c r="J49" s="240">
        <v>18</v>
      </c>
      <c r="K49" s="213">
        <f t="shared" si="1"/>
        <v>0</v>
      </c>
      <c r="L49" s="213">
        <f t="shared" si="1"/>
        <v>0</v>
      </c>
      <c r="M49" s="213">
        <f t="shared" si="1"/>
        <v>77.777777777777786</v>
      </c>
      <c r="N49" s="234">
        <f t="shared" si="2"/>
        <v>77.777777777777786</v>
      </c>
      <c r="O49" s="212"/>
      <c r="P49" s="213"/>
      <c r="Q49" s="213">
        <v>48.7</v>
      </c>
      <c r="R49" s="214">
        <f t="shared" si="3"/>
        <v>48.7</v>
      </c>
      <c r="S49" s="170">
        <v>4</v>
      </c>
      <c r="T49" s="283"/>
      <c r="U49" s="281"/>
      <c r="V49" s="177" t="s">
        <v>95</v>
      </c>
      <c r="W49" s="170" t="s">
        <v>20</v>
      </c>
      <c r="X49" s="170" t="s">
        <v>12</v>
      </c>
      <c r="Y49" s="178">
        <v>48.7</v>
      </c>
      <c r="AD49" s="177"/>
      <c r="AG49" s="178"/>
      <c r="AL49" s="177"/>
      <c r="AO49" s="178"/>
      <c r="AP49" s="177"/>
      <c r="AS49" s="178"/>
      <c r="AW49" s="178"/>
      <c r="BA49" s="179"/>
    </row>
    <row r="50" spans="1:53" s="170" customFormat="1" x14ac:dyDescent="0.15">
      <c r="A50" s="170">
        <v>1996</v>
      </c>
      <c r="B50" s="281"/>
      <c r="C50" s="395" t="s">
        <v>830</v>
      </c>
      <c r="D50" s="395"/>
      <c r="E50" s="170">
        <v>366</v>
      </c>
      <c r="G50" s="232"/>
      <c r="I50" s="170">
        <v>14</v>
      </c>
      <c r="J50" s="240">
        <v>18</v>
      </c>
      <c r="K50" s="213">
        <f t="shared" si="1"/>
        <v>0</v>
      </c>
      <c r="L50" s="213">
        <f t="shared" si="1"/>
        <v>0</v>
      </c>
      <c r="M50" s="213">
        <f t="shared" si="1"/>
        <v>77.777777777777786</v>
      </c>
      <c r="N50" s="234">
        <f t="shared" si="2"/>
        <v>77.777777777777786</v>
      </c>
      <c r="O50" s="212"/>
      <c r="P50" s="213"/>
      <c r="Q50" s="213">
        <v>48.7</v>
      </c>
      <c r="R50" s="214">
        <f t="shared" si="3"/>
        <v>48.7</v>
      </c>
      <c r="S50" s="170">
        <v>4</v>
      </c>
      <c r="T50" s="283"/>
      <c r="U50" s="281"/>
      <c r="V50" s="177" t="s">
        <v>95</v>
      </c>
      <c r="W50" s="170" t="s">
        <v>20</v>
      </c>
      <c r="X50" s="170" t="s">
        <v>12</v>
      </c>
      <c r="Y50" s="178">
        <v>48.7</v>
      </c>
      <c r="AD50" s="177"/>
      <c r="AG50" s="178"/>
      <c r="AL50" s="177"/>
      <c r="AO50" s="178"/>
      <c r="AP50" s="177"/>
      <c r="AS50" s="178"/>
      <c r="AW50" s="178"/>
      <c r="BA50" s="179"/>
    </row>
    <row r="51" spans="1:53" s="170" customFormat="1" x14ac:dyDescent="0.15">
      <c r="A51" s="170">
        <v>1997</v>
      </c>
      <c r="B51" s="281"/>
      <c r="C51" s="395" t="s">
        <v>830</v>
      </c>
      <c r="D51" s="395"/>
      <c r="E51" s="170">
        <v>328</v>
      </c>
      <c r="G51" s="232"/>
      <c r="I51" s="170">
        <v>13</v>
      </c>
      <c r="J51" s="240">
        <v>17</v>
      </c>
      <c r="K51" s="213">
        <f t="shared" si="1"/>
        <v>0</v>
      </c>
      <c r="L51" s="213">
        <f t="shared" si="1"/>
        <v>0</v>
      </c>
      <c r="M51" s="213">
        <f t="shared" si="1"/>
        <v>76.470588235294116</v>
      </c>
      <c r="N51" s="234">
        <f t="shared" si="2"/>
        <v>76.470588235294116</v>
      </c>
      <c r="O51" s="212"/>
      <c r="P51" s="213"/>
      <c r="Q51" s="213">
        <v>48.7</v>
      </c>
      <c r="R51" s="214">
        <f t="shared" si="3"/>
        <v>48.7</v>
      </c>
      <c r="S51" s="170">
        <v>4</v>
      </c>
      <c r="T51" s="283"/>
      <c r="U51" s="281"/>
      <c r="V51" s="177" t="s">
        <v>95</v>
      </c>
      <c r="W51" s="170" t="s">
        <v>20</v>
      </c>
      <c r="X51" s="170" t="s">
        <v>12</v>
      </c>
      <c r="Y51" s="178">
        <v>48.7</v>
      </c>
      <c r="AD51" s="177"/>
      <c r="AG51" s="178"/>
      <c r="AL51" s="177"/>
      <c r="AO51" s="178"/>
      <c r="AP51" s="177"/>
      <c r="AS51" s="178"/>
      <c r="AW51" s="178"/>
      <c r="BA51" s="179"/>
    </row>
    <row r="52" spans="1:53" s="170" customFormat="1" x14ac:dyDescent="0.15">
      <c r="A52" s="170">
        <v>1997</v>
      </c>
      <c r="B52" s="303">
        <v>35759</v>
      </c>
      <c r="C52" s="395" t="s">
        <v>830</v>
      </c>
      <c r="D52" s="395"/>
      <c r="E52" s="170">
        <f>365-E51</f>
        <v>37</v>
      </c>
      <c r="F52" s="243">
        <v>0</v>
      </c>
      <c r="G52" s="232"/>
      <c r="I52" s="170">
        <v>14</v>
      </c>
      <c r="J52" s="240">
        <v>17</v>
      </c>
      <c r="K52" s="213">
        <f t="shared" si="1"/>
        <v>0</v>
      </c>
      <c r="L52" s="213">
        <f t="shared" si="1"/>
        <v>0</v>
      </c>
      <c r="M52" s="213">
        <f t="shared" si="1"/>
        <v>82.35294117647058</v>
      </c>
      <c r="N52" s="234">
        <f t="shared" si="2"/>
        <v>82.35294117647058</v>
      </c>
      <c r="O52" s="212"/>
      <c r="P52" s="213"/>
      <c r="Q52" s="213">
        <v>48.7</v>
      </c>
      <c r="R52" s="214">
        <f t="shared" si="3"/>
        <v>48.7</v>
      </c>
      <c r="S52" s="170">
        <v>4</v>
      </c>
      <c r="T52" s="283"/>
      <c r="U52" s="281"/>
      <c r="V52" s="177" t="s">
        <v>95</v>
      </c>
      <c r="W52" s="170" t="s">
        <v>20</v>
      </c>
      <c r="X52" s="170" t="s">
        <v>12</v>
      </c>
      <c r="Y52" s="178">
        <v>48.7</v>
      </c>
      <c r="AD52" s="177"/>
      <c r="AG52" s="178"/>
      <c r="AL52" s="177"/>
      <c r="AO52" s="178"/>
      <c r="AP52" s="177"/>
      <c r="AS52" s="178"/>
      <c r="AW52" s="178"/>
      <c r="BA52" s="179"/>
    </row>
    <row r="53" spans="1:53" s="170" customFormat="1" x14ac:dyDescent="0.15">
      <c r="A53" s="170">
        <v>1998</v>
      </c>
      <c r="B53" s="281"/>
      <c r="C53" s="395" t="s">
        <v>830</v>
      </c>
      <c r="D53" s="395"/>
      <c r="E53" s="170">
        <v>0</v>
      </c>
      <c r="G53" s="232"/>
      <c r="I53" s="170">
        <v>14</v>
      </c>
      <c r="J53" s="240">
        <v>17</v>
      </c>
      <c r="K53" s="213">
        <f t="shared" si="1"/>
        <v>0</v>
      </c>
      <c r="L53" s="213">
        <f t="shared" si="1"/>
        <v>0</v>
      </c>
      <c r="M53" s="213">
        <f t="shared" si="1"/>
        <v>82.35294117647058</v>
      </c>
      <c r="N53" s="234">
        <f t="shared" si="2"/>
        <v>82.35294117647058</v>
      </c>
      <c r="O53" s="212"/>
      <c r="P53" s="213"/>
      <c r="Q53" s="213">
        <v>48.7</v>
      </c>
      <c r="R53" s="214">
        <f t="shared" si="3"/>
        <v>48.7</v>
      </c>
      <c r="S53" s="170">
        <v>4</v>
      </c>
      <c r="T53" s="283"/>
      <c r="U53" s="281"/>
      <c r="V53" s="177" t="s">
        <v>95</v>
      </c>
      <c r="W53" s="170" t="s">
        <v>20</v>
      </c>
      <c r="X53" s="170" t="s">
        <v>12</v>
      </c>
      <c r="Y53" s="178">
        <v>48.7</v>
      </c>
      <c r="AD53" s="177"/>
      <c r="AG53" s="178"/>
      <c r="AL53" s="177"/>
      <c r="AO53" s="178"/>
      <c r="AP53" s="177"/>
      <c r="AS53" s="178"/>
      <c r="AW53" s="178"/>
      <c r="BA53" s="179"/>
    </row>
    <row r="54" spans="1:53" s="170" customFormat="1" x14ac:dyDescent="0.15">
      <c r="A54" s="170">
        <v>1998</v>
      </c>
      <c r="B54" s="281"/>
      <c r="C54" s="395" t="s">
        <v>830</v>
      </c>
      <c r="D54" s="395"/>
      <c r="E54" s="170">
        <f>365-E53</f>
        <v>365</v>
      </c>
      <c r="G54" s="232"/>
      <c r="I54" s="170">
        <v>14</v>
      </c>
      <c r="J54" s="240">
        <v>17</v>
      </c>
      <c r="K54" s="213">
        <f t="shared" si="1"/>
        <v>0</v>
      </c>
      <c r="L54" s="213">
        <f t="shared" si="1"/>
        <v>0</v>
      </c>
      <c r="M54" s="213">
        <f t="shared" si="1"/>
        <v>82.35294117647058</v>
      </c>
      <c r="N54" s="234">
        <f t="shared" si="2"/>
        <v>82.35294117647058</v>
      </c>
      <c r="O54" s="212"/>
      <c r="P54" s="213"/>
      <c r="Q54" s="213">
        <v>48.7</v>
      </c>
      <c r="R54" s="214">
        <f t="shared" si="3"/>
        <v>48.7</v>
      </c>
      <c r="S54" s="170">
        <v>4</v>
      </c>
      <c r="T54" s="283"/>
      <c r="U54" s="281"/>
      <c r="V54" s="177" t="s">
        <v>95</v>
      </c>
      <c r="W54" s="170" t="s">
        <v>20</v>
      </c>
      <c r="X54" s="170" t="s">
        <v>12</v>
      </c>
      <c r="Y54" s="178">
        <v>48.7</v>
      </c>
      <c r="AD54" s="177"/>
      <c r="AG54" s="178"/>
      <c r="AL54" s="177"/>
      <c r="AO54" s="178"/>
      <c r="AP54" s="177"/>
      <c r="AS54" s="178"/>
      <c r="AW54" s="178"/>
      <c r="BA54" s="179"/>
    </row>
    <row r="55" spans="1:53" s="170" customFormat="1" x14ac:dyDescent="0.15">
      <c r="A55" s="170">
        <v>1999</v>
      </c>
      <c r="B55" s="281"/>
      <c r="C55" s="395" t="s">
        <v>830</v>
      </c>
      <c r="D55" s="395"/>
      <c r="E55" s="170">
        <v>293</v>
      </c>
      <c r="G55" s="232"/>
      <c r="I55" s="170">
        <v>14</v>
      </c>
      <c r="J55" s="240">
        <v>17</v>
      </c>
      <c r="K55" s="213">
        <f t="shared" si="1"/>
        <v>0</v>
      </c>
      <c r="L55" s="213">
        <f t="shared" si="1"/>
        <v>0</v>
      </c>
      <c r="M55" s="213">
        <f t="shared" si="1"/>
        <v>82.35294117647058</v>
      </c>
      <c r="N55" s="234">
        <f t="shared" si="2"/>
        <v>82.35294117647058</v>
      </c>
      <c r="O55" s="212"/>
      <c r="P55" s="213"/>
      <c r="Q55" s="213">
        <v>48.7</v>
      </c>
      <c r="R55" s="214">
        <f t="shared" si="3"/>
        <v>48.7</v>
      </c>
      <c r="S55" s="170">
        <v>4</v>
      </c>
      <c r="T55" s="283"/>
      <c r="U55" s="281"/>
      <c r="V55" s="177" t="s">
        <v>95</v>
      </c>
      <c r="W55" s="170" t="s">
        <v>20</v>
      </c>
      <c r="X55" s="170" t="s">
        <v>12</v>
      </c>
      <c r="Y55" s="178">
        <v>48.7</v>
      </c>
      <c r="AD55" s="177"/>
      <c r="AG55" s="178"/>
      <c r="AL55" s="177"/>
      <c r="AO55" s="178"/>
      <c r="AP55" s="177"/>
      <c r="AS55" s="178"/>
      <c r="AW55" s="178"/>
      <c r="BA55" s="179"/>
    </row>
    <row r="56" spans="1:53" s="28" customFormat="1" x14ac:dyDescent="0.15">
      <c r="A56" s="28">
        <v>1999</v>
      </c>
      <c r="B56" s="293">
        <v>36454</v>
      </c>
      <c r="C56" s="394" t="s">
        <v>831</v>
      </c>
      <c r="D56" s="394"/>
      <c r="E56" s="28">
        <f>365-E55</f>
        <v>72</v>
      </c>
      <c r="F56" s="28">
        <v>1</v>
      </c>
      <c r="G56" s="65"/>
      <c r="I56" s="28">
        <v>18</v>
      </c>
      <c r="J56" s="72">
        <v>19</v>
      </c>
      <c r="K56" s="46">
        <f t="shared" si="1"/>
        <v>0</v>
      </c>
      <c r="L56" s="46">
        <f t="shared" si="1"/>
        <v>0</v>
      </c>
      <c r="M56" s="46">
        <f t="shared" si="1"/>
        <v>94.73684210526315</v>
      </c>
      <c r="N56" s="67">
        <f t="shared" si="2"/>
        <v>94.73684210526315</v>
      </c>
      <c r="O56" s="45"/>
      <c r="P56" s="46"/>
      <c r="Q56" s="46">
        <v>50</v>
      </c>
      <c r="R56" s="47">
        <f t="shared" si="3"/>
        <v>50</v>
      </c>
      <c r="S56" s="28">
        <v>4</v>
      </c>
      <c r="T56" s="284">
        <v>36443</v>
      </c>
      <c r="U56" s="293">
        <v>36454</v>
      </c>
      <c r="V56" s="37" t="s">
        <v>95</v>
      </c>
      <c r="W56" s="28" t="s">
        <v>20</v>
      </c>
      <c r="X56" s="28" t="s">
        <v>12</v>
      </c>
      <c r="Y56" s="38">
        <v>50</v>
      </c>
      <c r="AD56" s="37"/>
      <c r="AG56" s="38"/>
      <c r="AL56" s="37"/>
      <c r="AO56" s="38"/>
      <c r="AP56" s="37"/>
      <c r="AS56" s="38"/>
      <c r="AW56" s="38"/>
      <c r="BA56" s="39"/>
    </row>
    <row r="57" spans="1:53" s="28" customFormat="1" x14ac:dyDescent="0.15">
      <c r="A57" s="28">
        <v>2000</v>
      </c>
      <c r="B57" s="293"/>
      <c r="C57" s="394" t="s">
        <v>831</v>
      </c>
      <c r="D57" s="394"/>
      <c r="E57" s="28">
        <v>273</v>
      </c>
      <c r="G57" s="65"/>
      <c r="I57" s="28">
        <v>14</v>
      </c>
      <c r="J57" s="72">
        <v>19</v>
      </c>
      <c r="K57" s="46">
        <f t="shared" si="1"/>
        <v>0</v>
      </c>
      <c r="L57" s="46">
        <f t="shared" si="1"/>
        <v>0</v>
      </c>
      <c r="M57" s="46">
        <f t="shared" si="1"/>
        <v>73.68421052631578</v>
      </c>
      <c r="N57" s="67">
        <f t="shared" si="2"/>
        <v>73.68421052631578</v>
      </c>
      <c r="O57" s="45"/>
      <c r="P57" s="46"/>
      <c r="Q57" s="46">
        <v>50</v>
      </c>
      <c r="R57" s="47">
        <f t="shared" si="3"/>
        <v>50</v>
      </c>
      <c r="S57" s="28">
        <v>4</v>
      </c>
      <c r="T57" s="284"/>
      <c r="U57" s="293"/>
      <c r="V57" s="37" t="s">
        <v>95</v>
      </c>
      <c r="W57" s="28" t="s">
        <v>20</v>
      </c>
      <c r="X57" s="28" t="s">
        <v>12</v>
      </c>
      <c r="Y57" s="38">
        <v>50</v>
      </c>
      <c r="AD57" s="37"/>
      <c r="AG57" s="38"/>
      <c r="AL57" s="37"/>
      <c r="AO57" s="38"/>
      <c r="AP57" s="37"/>
      <c r="AS57" s="38"/>
      <c r="AW57" s="38"/>
      <c r="BA57" s="39"/>
    </row>
    <row r="58" spans="1:53" s="28" customFormat="1" x14ac:dyDescent="0.15">
      <c r="A58" s="28">
        <v>2000</v>
      </c>
      <c r="B58" s="301">
        <v>36799</v>
      </c>
      <c r="C58" s="394" t="s">
        <v>831</v>
      </c>
      <c r="D58" s="394"/>
      <c r="E58" s="28">
        <f>366-E57</f>
        <v>93</v>
      </c>
      <c r="F58" s="83">
        <v>0</v>
      </c>
      <c r="G58" s="65"/>
      <c r="I58" s="28">
        <v>11</v>
      </c>
      <c r="J58" s="72">
        <v>19</v>
      </c>
      <c r="K58" s="46">
        <f t="shared" si="1"/>
        <v>0</v>
      </c>
      <c r="L58" s="46">
        <f t="shared" si="1"/>
        <v>0</v>
      </c>
      <c r="M58" s="46">
        <f t="shared" si="1"/>
        <v>57.894736842105267</v>
      </c>
      <c r="N58" s="67">
        <f t="shared" si="2"/>
        <v>57.894736842105267</v>
      </c>
      <c r="O58" s="45"/>
      <c r="P58" s="46"/>
      <c r="Q58" s="46">
        <v>50</v>
      </c>
      <c r="R58" s="47">
        <f t="shared" si="3"/>
        <v>50</v>
      </c>
      <c r="S58" s="28">
        <v>4</v>
      </c>
      <c r="T58" s="284"/>
      <c r="U58" s="293"/>
      <c r="V58" s="37" t="s">
        <v>95</v>
      </c>
      <c r="W58" s="28" t="s">
        <v>20</v>
      </c>
      <c r="X58" s="28" t="s">
        <v>12</v>
      </c>
      <c r="Y58" s="38">
        <v>50</v>
      </c>
      <c r="AD58" s="37"/>
      <c r="AG58" s="38"/>
      <c r="AL58" s="37"/>
      <c r="AO58" s="38"/>
      <c r="AP58" s="37"/>
      <c r="AS58" s="38"/>
      <c r="AW58" s="38"/>
      <c r="BA58" s="39"/>
    </row>
    <row r="59" spans="1:53" s="28" customFormat="1" x14ac:dyDescent="0.15">
      <c r="A59" s="28">
        <v>2001</v>
      </c>
      <c r="B59" s="293"/>
      <c r="C59" s="394" t="s">
        <v>831</v>
      </c>
      <c r="D59" s="394"/>
      <c r="E59" s="28">
        <v>0</v>
      </c>
      <c r="G59" s="65"/>
      <c r="I59" s="28">
        <v>11</v>
      </c>
      <c r="J59" s="72">
        <v>19</v>
      </c>
      <c r="K59" s="46">
        <f t="shared" si="1"/>
        <v>0</v>
      </c>
      <c r="L59" s="46">
        <f t="shared" si="1"/>
        <v>0</v>
      </c>
      <c r="M59" s="46">
        <f t="shared" si="1"/>
        <v>57.894736842105267</v>
      </c>
      <c r="N59" s="67">
        <f t="shared" si="2"/>
        <v>57.894736842105267</v>
      </c>
      <c r="O59" s="45"/>
      <c r="P59" s="46"/>
      <c r="Q59" s="46">
        <v>50</v>
      </c>
      <c r="R59" s="47">
        <f t="shared" si="3"/>
        <v>50</v>
      </c>
      <c r="S59" s="28">
        <v>4</v>
      </c>
      <c r="T59" s="284"/>
      <c r="U59" s="293"/>
      <c r="V59" s="37" t="s">
        <v>95</v>
      </c>
      <c r="W59" s="28" t="s">
        <v>20</v>
      </c>
      <c r="X59" s="28" t="s">
        <v>12</v>
      </c>
      <c r="Y59" s="38">
        <v>50</v>
      </c>
      <c r="AD59" s="37"/>
      <c r="AG59" s="38"/>
      <c r="AL59" s="37"/>
      <c r="AO59" s="38"/>
      <c r="AP59" s="37"/>
      <c r="AS59" s="38"/>
      <c r="AW59" s="38"/>
      <c r="BA59" s="39"/>
    </row>
    <row r="60" spans="1:53" s="28" customFormat="1" x14ac:dyDescent="0.15">
      <c r="A60" s="28">
        <v>2001</v>
      </c>
      <c r="B60" s="293"/>
      <c r="C60" s="394" t="s">
        <v>831</v>
      </c>
      <c r="D60" s="394"/>
      <c r="E60" s="28">
        <f>365-E59</f>
        <v>365</v>
      </c>
      <c r="G60" s="65"/>
      <c r="I60" s="28">
        <v>11</v>
      </c>
      <c r="J60" s="72">
        <v>19</v>
      </c>
      <c r="K60" s="46">
        <f t="shared" si="1"/>
        <v>0</v>
      </c>
      <c r="L60" s="46">
        <f t="shared" si="1"/>
        <v>0</v>
      </c>
      <c r="M60" s="46">
        <f t="shared" si="1"/>
        <v>57.894736842105267</v>
      </c>
      <c r="N60" s="67">
        <f t="shared" si="2"/>
        <v>57.894736842105267</v>
      </c>
      <c r="O60" s="45"/>
      <c r="P60" s="46"/>
      <c r="Q60" s="46">
        <v>50</v>
      </c>
      <c r="R60" s="47">
        <f t="shared" si="3"/>
        <v>50</v>
      </c>
      <c r="S60" s="28">
        <v>4</v>
      </c>
      <c r="T60" s="284"/>
      <c r="U60" s="293"/>
      <c r="V60" s="37" t="s">
        <v>95</v>
      </c>
      <c r="W60" s="28" t="s">
        <v>20</v>
      </c>
      <c r="X60" s="28" t="s">
        <v>12</v>
      </c>
      <c r="Y60" s="38">
        <v>50</v>
      </c>
      <c r="AD60" s="37"/>
      <c r="AG60" s="38"/>
      <c r="AL60" s="37"/>
      <c r="AO60" s="38"/>
      <c r="AP60" s="37"/>
      <c r="AS60" s="38"/>
      <c r="AW60" s="38"/>
      <c r="BA60" s="39"/>
    </row>
    <row r="61" spans="1:53" s="28" customFormat="1" x14ac:dyDescent="0.15">
      <c r="A61" s="28">
        <v>2002</v>
      </c>
      <c r="B61" s="293"/>
      <c r="C61" s="394" t="s">
        <v>831</v>
      </c>
      <c r="D61" s="394"/>
      <c r="E61" s="28">
        <v>97</v>
      </c>
      <c r="G61" s="65"/>
      <c r="I61" s="28">
        <v>11</v>
      </c>
      <c r="J61" s="72">
        <v>19</v>
      </c>
      <c r="K61" s="46">
        <f t="shared" si="1"/>
        <v>0</v>
      </c>
      <c r="L61" s="46">
        <f t="shared" si="1"/>
        <v>0</v>
      </c>
      <c r="M61" s="46">
        <f t="shared" si="1"/>
        <v>57.894736842105267</v>
      </c>
      <c r="N61" s="67">
        <f t="shared" si="2"/>
        <v>57.894736842105267</v>
      </c>
      <c r="O61" s="45"/>
      <c r="P61" s="46"/>
      <c r="Q61" s="46">
        <v>50</v>
      </c>
      <c r="R61" s="47">
        <f t="shared" si="3"/>
        <v>50</v>
      </c>
      <c r="S61" s="28">
        <v>4</v>
      </c>
      <c r="T61" s="284"/>
      <c r="U61" s="293"/>
      <c r="V61" s="37" t="s">
        <v>95</v>
      </c>
      <c r="W61" s="28" t="s">
        <v>20</v>
      </c>
      <c r="X61" s="28" t="s">
        <v>12</v>
      </c>
      <c r="Y61" s="38">
        <v>50</v>
      </c>
      <c r="AD61" s="37"/>
      <c r="AG61" s="38"/>
      <c r="AL61" s="37"/>
      <c r="AO61" s="38"/>
      <c r="AP61" s="37"/>
      <c r="AS61" s="38"/>
      <c r="AW61" s="38"/>
      <c r="BA61" s="39"/>
    </row>
    <row r="62" spans="1:53" s="170" customFormat="1" x14ac:dyDescent="0.15">
      <c r="A62" s="170">
        <v>2002</v>
      </c>
      <c r="B62" s="281">
        <v>37354</v>
      </c>
      <c r="C62" s="395" t="s">
        <v>832</v>
      </c>
      <c r="D62" s="395"/>
      <c r="E62" s="170">
        <f>365-E61</f>
        <v>268</v>
      </c>
      <c r="F62" s="170">
        <v>1</v>
      </c>
      <c r="G62" s="232">
        <v>17</v>
      </c>
      <c r="J62" s="240">
        <v>18</v>
      </c>
      <c r="K62" s="213">
        <f t="shared" si="1"/>
        <v>94.444444444444443</v>
      </c>
      <c r="L62" s="213">
        <f t="shared" si="1"/>
        <v>0</v>
      </c>
      <c r="M62" s="213">
        <f t="shared" si="1"/>
        <v>0</v>
      </c>
      <c r="N62" s="234">
        <f t="shared" si="2"/>
        <v>94.444444444444443</v>
      </c>
      <c r="O62" s="212">
        <v>51.8</v>
      </c>
      <c r="P62" s="213"/>
      <c r="Q62" s="213"/>
      <c r="R62" s="214">
        <f t="shared" si="3"/>
        <v>51.8</v>
      </c>
      <c r="S62" s="170">
        <v>2</v>
      </c>
      <c r="T62" s="283">
        <v>37332</v>
      </c>
      <c r="U62" s="281">
        <v>37354</v>
      </c>
      <c r="V62" s="177" t="s">
        <v>477</v>
      </c>
      <c r="W62" s="170" t="s">
        <v>22</v>
      </c>
      <c r="X62" s="170" t="s">
        <v>11</v>
      </c>
      <c r="Y62" s="178">
        <v>45.7</v>
      </c>
      <c r="Z62" s="170" t="s">
        <v>479</v>
      </c>
      <c r="AA62" s="170" t="s">
        <v>17</v>
      </c>
      <c r="AB62" s="170" t="s">
        <v>11</v>
      </c>
      <c r="AC62" s="170">
        <v>6.1</v>
      </c>
      <c r="AD62" s="177"/>
      <c r="AG62" s="178"/>
      <c r="AL62" s="177"/>
      <c r="AO62" s="178"/>
      <c r="AP62" s="177"/>
      <c r="AS62" s="178"/>
      <c r="AW62" s="178"/>
      <c r="BA62" s="179"/>
    </row>
    <row r="63" spans="1:53" s="170" customFormat="1" x14ac:dyDescent="0.15">
      <c r="A63" s="170">
        <v>2003</v>
      </c>
      <c r="B63" s="281"/>
      <c r="C63" s="395" t="s">
        <v>832</v>
      </c>
      <c r="D63" s="395"/>
      <c r="E63" s="170">
        <v>0</v>
      </c>
      <c r="G63" s="232">
        <v>17</v>
      </c>
      <c r="J63" s="240">
        <v>18</v>
      </c>
      <c r="K63" s="213">
        <f t="shared" si="1"/>
        <v>94.444444444444443</v>
      </c>
      <c r="L63" s="213">
        <f t="shared" si="1"/>
        <v>0</v>
      </c>
      <c r="M63" s="213">
        <f t="shared" si="1"/>
        <v>0</v>
      </c>
      <c r="N63" s="234">
        <f t="shared" si="2"/>
        <v>94.444444444444443</v>
      </c>
      <c r="O63" s="212">
        <v>51.8</v>
      </c>
      <c r="P63" s="213"/>
      <c r="Q63" s="213"/>
      <c r="R63" s="214">
        <f t="shared" si="3"/>
        <v>51.8</v>
      </c>
      <c r="S63" s="170">
        <v>2</v>
      </c>
      <c r="T63" s="283"/>
      <c r="U63" s="281"/>
      <c r="V63" s="177" t="s">
        <v>477</v>
      </c>
      <c r="W63" s="170" t="s">
        <v>22</v>
      </c>
      <c r="X63" s="170" t="s">
        <v>11</v>
      </c>
      <c r="Y63" s="178">
        <v>45.7</v>
      </c>
      <c r="Z63" s="170" t="s">
        <v>479</v>
      </c>
      <c r="AA63" s="170" t="s">
        <v>17</v>
      </c>
      <c r="AB63" s="170" t="s">
        <v>11</v>
      </c>
      <c r="AC63" s="170">
        <v>6.1</v>
      </c>
      <c r="AD63" s="177"/>
      <c r="AG63" s="178"/>
      <c r="AL63" s="177"/>
      <c r="AO63" s="178"/>
      <c r="AP63" s="177"/>
      <c r="AS63" s="178"/>
      <c r="AW63" s="178"/>
      <c r="BA63" s="179"/>
    </row>
    <row r="64" spans="1:53" s="170" customFormat="1" x14ac:dyDescent="0.15">
      <c r="A64" s="170">
        <v>2003</v>
      </c>
      <c r="B64" s="281"/>
      <c r="C64" s="395" t="s">
        <v>832</v>
      </c>
      <c r="D64" s="395"/>
      <c r="E64" s="170">
        <f>365-E63</f>
        <v>365</v>
      </c>
      <c r="G64" s="232">
        <v>17</v>
      </c>
      <c r="J64" s="240">
        <v>18</v>
      </c>
      <c r="K64" s="213">
        <f t="shared" si="1"/>
        <v>94.444444444444443</v>
      </c>
      <c r="L64" s="213">
        <f t="shared" si="1"/>
        <v>0</v>
      </c>
      <c r="M64" s="213">
        <f t="shared" si="1"/>
        <v>0</v>
      </c>
      <c r="N64" s="234">
        <f t="shared" si="2"/>
        <v>94.444444444444443</v>
      </c>
      <c r="O64" s="212">
        <v>51.8</v>
      </c>
      <c r="P64" s="213"/>
      <c r="Q64" s="213"/>
      <c r="R64" s="214">
        <f t="shared" si="3"/>
        <v>51.8</v>
      </c>
      <c r="S64" s="170">
        <v>2</v>
      </c>
      <c r="T64" s="283"/>
      <c r="U64" s="281"/>
      <c r="V64" s="177" t="s">
        <v>477</v>
      </c>
      <c r="W64" s="170" t="s">
        <v>22</v>
      </c>
      <c r="X64" s="170" t="s">
        <v>11</v>
      </c>
      <c r="Y64" s="178">
        <v>45.7</v>
      </c>
      <c r="Z64" s="170" t="s">
        <v>479</v>
      </c>
      <c r="AA64" s="170" t="s">
        <v>17</v>
      </c>
      <c r="AB64" s="170" t="s">
        <v>11</v>
      </c>
      <c r="AC64" s="170">
        <v>6.1</v>
      </c>
      <c r="AD64" s="177"/>
      <c r="AG64" s="178"/>
      <c r="AL64" s="177"/>
      <c r="AO64" s="178"/>
      <c r="AP64" s="177"/>
      <c r="AS64" s="178"/>
      <c r="AW64" s="178"/>
      <c r="BA64" s="179"/>
    </row>
    <row r="65" spans="1:53" s="170" customFormat="1" x14ac:dyDescent="0.15">
      <c r="A65" s="170">
        <v>2004</v>
      </c>
      <c r="B65" s="281"/>
      <c r="C65" s="395" t="s">
        <v>832</v>
      </c>
      <c r="D65" s="395"/>
      <c r="E65" s="170">
        <v>204</v>
      </c>
      <c r="G65" s="232">
        <v>17</v>
      </c>
      <c r="J65" s="240">
        <v>18</v>
      </c>
      <c r="K65" s="213">
        <f t="shared" si="1"/>
        <v>94.444444444444443</v>
      </c>
      <c r="L65" s="213">
        <f t="shared" si="1"/>
        <v>0</v>
      </c>
      <c r="M65" s="213">
        <f t="shared" si="1"/>
        <v>0</v>
      </c>
      <c r="N65" s="234">
        <f t="shared" si="2"/>
        <v>94.444444444444443</v>
      </c>
      <c r="O65" s="212">
        <v>51.8</v>
      </c>
      <c r="P65" s="213"/>
      <c r="Q65" s="213"/>
      <c r="R65" s="214">
        <f t="shared" si="3"/>
        <v>51.8</v>
      </c>
      <c r="S65" s="170">
        <v>2</v>
      </c>
      <c r="T65" s="283"/>
      <c r="U65" s="281"/>
      <c r="V65" s="177" t="s">
        <v>477</v>
      </c>
      <c r="W65" s="170" t="s">
        <v>22</v>
      </c>
      <c r="X65" s="170" t="s">
        <v>11</v>
      </c>
      <c r="Y65" s="178">
        <v>45.7</v>
      </c>
      <c r="Z65" s="170" t="s">
        <v>479</v>
      </c>
      <c r="AA65" s="170" t="s">
        <v>17</v>
      </c>
      <c r="AB65" s="170" t="s">
        <v>11</v>
      </c>
      <c r="AC65" s="170">
        <v>6.1</v>
      </c>
      <c r="AD65" s="177"/>
      <c r="AG65" s="178"/>
      <c r="AL65" s="177"/>
      <c r="AO65" s="178"/>
      <c r="AP65" s="177"/>
      <c r="AS65" s="178"/>
      <c r="AW65" s="178"/>
      <c r="BA65" s="179"/>
    </row>
    <row r="66" spans="1:53" s="28" customFormat="1" x14ac:dyDescent="0.15">
      <c r="A66" s="28">
        <v>2004</v>
      </c>
      <c r="B66" s="293">
        <v>38191</v>
      </c>
      <c r="C66" s="394" t="s">
        <v>833</v>
      </c>
      <c r="D66" s="394"/>
      <c r="E66" s="28">
        <f>366-E65</f>
        <v>162</v>
      </c>
      <c r="F66" s="28">
        <v>2</v>
      </c>
      <c r="G66" s="65">
        <v>19</v>
      </c>
      <c r="J66" s="72">
        <v>20</v>
      </c>
      <c r="K66" s="46">
        <f t="shared" si="1"/>
        <v>95</v>
      </c>
      <c r="L66" s="46">
        <f t="shared" si="1"/>
        <v>0</v>
      </c>
      <c r="M66" s="46">
        <f t="shared" si="1"/>
        <v>0</v>
      </c>
      <c r="N66" s="67">
        <f t="shared" si="2"/>
        <v>95</v>
      </c>
      <c r="O66" s="45">
        <v>51.8</v>
      </c>
      <c r="P66" s="46"/>
      <c r="Q66" s="46"/>
      <c r="R66" s="47">
        <f t="shared" si="3"/>
        <v>51.8</v>
      </c>
      <c r="S66" s="28">
        <v>2</v>
      </c>
      <c r="T66" s="284"/>
      <c r="U66" s="293">
        <v>38191</v>
      </c>
      <c r="V66" s="37" t="s">
        <v>477</v>
      </c>
      <c r="W66" s="28" t="s">
        <v>22</v>
      </c>
      <c r="X66" s="28" t="s">
        <v>11</v>
      </c>
      <c r="Y66" s="38">
        <v>45.7</v>
      </c>
      <c r="Z66" s="28" t="s">
        <v>479</v>
      </c>
      <c r="AA66" s="28" t="s">
        <v>17</v>
      </c>
      <c r="AB66" s="28" t="s">
        <v>11</v>
      </c>
      <c r="AC66" s="28">
        <v>6.1</v>
      </c>
      <c r="AD66" s="37"/>
      <c r="AG66" s="38"/>
      <c r="AL66" s="37"/>
      <c r="AO66" s="38"/>
      <c r="AP66" s="37"/>
      <c r="AS66" s="38"/>
      <c r="AW66" s="38"/>
      <c r="BA66" s="39"/>
    </row>
    <row r="67" spans="1:53" s="28" customFormat="1" x14ac:dyDescent="0.15">
      <c r="A67" s="28">
        <v>2005</v>
      </c>
      <c r="B67" s="293"/>
      <c r="C67" s="394" t="s">
        <v>833</v>
      </c>
      <c r="D67" s="394"/>
      <c r="E67" s="28">
        <v>70</v>
      </c>
      <c r="G67" s="65">
        <v>19</v>
      </c>
      <c r="J67" s="72">
        <v>20</v>
      </c>
      <c r="K67" s="46">
        <f t="shared" si="1"/>
        <v>95</v>
      </c>
      <c r="L67" s="46">
        <f t="shared" si="1"/>
        <v>0</v>
      </c>
      <c r="M67" s="46">
        <f t="shared" si="1"/>
        <v>0</v>
      </c>
      <c r="N67" s="67">
        <f t="shared" si="2"/>
        <v>95</v>
      </c>
      <c r="O67" s="45">
        <v>51.8</v>
      </c>
      <c r="P67" s="46"/>
      <c r="Q67" s="46"/>
      <c r="R67" s="47">
        <f t="shared" si="3"/>
        <v>51.8</v>
      </c>
      <c r="S67" s="28">
        <v>2</v>
      </c>
      <c r="T67" s="284"/>
      <c r="U67" s="293"/>
      <c r="V67" s="37" t="s">
        <v>477</v>
      </c>
      <c r="W67" s="28" t="s">
        <v>22</v>
      </c>
      <c r="X67" s="28" t="s">
        <v>11</v>
      </c>
      <c r="Y67" s="38">
        <v>45.7</v>
      </c>
      <c r="Z67" s="28" t="s">
        <v>479</v>
      </c>
      <c r="AA67" s="28" t="s">
        <v>17</v>
      </c>
      <c r="AB67" s="28" t="s">
        <v>11</v>
      </c>
      <c r="AC67" s="28">
        <v>6.1</v>
      </c>
      <c r="AD67" s="37"/>
      <c r="AG67" s="38"/>
      <c r="AL67" s="37"/>
      <c r="AO67" s="38"/>
      <c r="AP67" s="37"/>
      <c r="AS67" s="38"/>
      <c r="AW67" s="38"/>
      <c r="BA67" s="39"/>
    </row>
    <row r="68" spans="1:53" s="170" customFormat="1" x14ac:dyDescent="0.15">
      <c r="A68" s="170">
        <v>2005</v>
      </c>
      <c r="B68" s="281">
        <v>38423</v>
      </c>
      <c r="C68" s="395" t="s">
        <v>834</v>
      </c>
      <c r="D68" s="395"/>
      <c r="E68" s="170">
        <f>365-E67</f>
        <v>295</v>
      </c>
      <c r="F68" s="170">
        <v>6</v>
      </c>
      <c r="G68" s="232"/>
      <c r="I68" s="170">
        <v>9</v>
      </c>
      <c r="J68" s="240">
        <v>17</v>
      </c>
      <c r="K68" s="213">
        <f t="shared" si="1"/>
        <v>0</v>
      </c>
      <c r="L68" s="213">
        <f t="shared" si="1"/>
        <v>0</v>
      </c>
      <c r="M68" s="213">
        <f t="shared" si="1"/>
        <v>52.941176470588239</v>
      </c>
      <c r="N68" s="234">
        <f t="shared" si="2"/>
        <v>52.941176470588239</v>
      </c>
      <c r="O68" s="212"/>
      <c r="P68" s="213"/>
      <c r="Q68" s="213">
        <v>52.6</v>
      </c>
      <c r="R68" s="214">
        <f t="shared" si="3"/>
        <v>52.6</v>
      </c>
      <c r="S68" s="170">
        <v>1</v>
      </c>
      <c r="T68" s="283">
        <v>38403</v>
      </c>
      <c r="U68" s="281">
        <v>38423</v>
      </c>
      <c r="V68" s="177" t="s">
        <v>95</v>
      </c>
      <c r="W68" s="170" t="s">
        <v>20</v>
      </c>
      <c r="X68" s="170" t="s">
        <v>12</v>
      </c>
      <c r="Y68" s="178">
        <v>52.6</v>
      </c>
      <c r="AD68" s="177"/>
      <c r="AG68" s="178"/>
      <c r="AL68" s="177"/>
      <c r="AO68" s="178"/>
      <c r="AP68" s="177"/>
      <c r="AS68" s="178"/>
      <c r="AW68" s="178"/>
      <c r="BA68" s="179"/>
    </row>
    <row r="69" spans="1:53" s="170" customFormat="1" x14ac:dyDescent="0.15">
      <c r="A69" s="170">
        <v>2006</v>
      </c>
      <c r="B69" s="281"/>
      <c r="C69" s="395" t="s">
        <v>834</v>
      </c>
      <c r="D69" s="395"/>
      <c r="E69" s="170">
        <v>183</v>
      </c>
      <c r="G69" s="232"/>
      <c r="I69" s="170">
        <v>9</v>
      </c>
      <c r="J69" s="240">
        <v>17</v>
      </c>
      <c r="K69" s="213">
        <f t="shared" si="1"/>
        <v>0</v>
      </c>
      <c r="L69" s="213">
        <f t="shared" si="1"/>
        <v>0</v>
      </c>
      <c r="M69" s="213">
        <f t="shared" si="1"/>
        <v>52.941176470588239</v>
      </c>
      <c r="N69" s="234">
        <f t="shared" si="2"/>
        <v>52.941176470588239</v>
      </c>
      <c r="O69" s="212"/>
      <c r="P69" s="213"/>
      <c r="Q69" s="213">
        <v>52.6</v>
      </c>
      <c r="R69" s="214">
        <f t="shared" si="3"/>
        <v>52.6</v>
      </c>
      <c r="S69" s="170">
        <v>1</v>
      </c>
      <c r="T69" s="283"/>
      <c r="U69" s="281"/>
      <c r="V69" s="177" t="s">
        <v>95</v>
      </c>
      <c r="W69" s="170" t="s">
        <v>20</v>
      </c>
      <c r="X69" s="170" t="s">
        <v>12</v>
      </c>
      <c r="Y69" s="178">
        <v>52.6</v>
      </c>
      <c r="AD69" s="177"/>
      <c r="AG69" s="178"/>
      <c r="AL69" s="177"/>
      <c r="AO69" s="178"/>
      <c r="AP69" s="177"/>
      <c r="AS69" s="178"/>
      <c r="AW69" s="178"/>
      <c r="BA69" s="179"/>
    </row>
    <row r="70" spans="1:53" s="170" customFormat="1" x14ac:dyDescent="0.15">
      <c r="A70" s="170">
        <v>2006</v>
      </c>
      <c r="B70" s="303">
        <v>38901</v>
      </c>
      <c r="C70" s="395" t="s">
        <v>834</v>
      </c>
      <c r="D70" s="395"/>
      <c r="E70" s="170">
        <f>365-E69</f>
        <v>182</v>
      </c>
      <c r="F70" s="243">
        <v>0</v>
      </c>
      <c r="G70" s="232"/>
      <c r="I70" s="170">
        <v>10</v>
      </c>
      <c r="J70" s="240">
        <v>17</v>
      </c>
      <c r="K70" s="213">
        <f t="shared" si="1"/>
        <v>0</v>
      </c>
      <c r="L70" s="213">
        <f t="shared" si="1"/>
        <v>0</v>
      </c>
      <c r="M70" s="213">
        <f t="shared" si="1"/>
        <v>58.82352941176471</v>
      </c>
      <c r="N70" s="234">
        <f t="shared" si="2"/>
        <v>58.82352941176471</v>
      </c>
      <c r="O70" s="212"/>
      <c r="P70" s="213"/>
      <c r="Q70" s="213">
        <v>52.6</v>
      </c>
      <c r="R70" s="214">
        <f t="shared" si="3"/>
        <v>52.6</v>
      </c>
      <c r="S70" s="170">
        <v>1</v>
      </c>
      <c r="T70" s="283"/>
      <c r="U70" s="281"/>
      <c r="V70" s="177" t="s">
        <v>95</v>
      </c>
      <c r="W70" s="170" t="s">
        <v>20</v>
      </c>
      <c r="X70" s="170" t="s">
        <v>12</v>
      </c>
      <c r="Y70" s="178">
        <v>52.6</v>
      </c>
      <c r="AD70" s="177"/>
      <c r="AG70" s="178"/>
      <c r="AL70" s="177"/>
      <c r="AO70" s="178"/>
      <c r="AP70" s="177"/>
      <c r="AS70" s="178"/>
      <c r="AW70" s="178"/>
      <c r="BA70" s="179"/>
    </row>
    <row r="71" spans="1:53" s="170" customFormat="1" x14ac:dyDescent="0.15">
      <c r="A71" s="170">
        <v>2007</v>
      </c>
      <c r="B71" s="303"/>
      <c r="C71" s="395" t="s">
        <v>834</v>
      </c>
      <c r="D71" s="395"/>
      <c r="E71" s="170">
        <v>136</v>
      </c>
      <c r="F71" s="243"/>
      <c r="G71" s="232"/>
      <c r="I71" s="170">
        <v>10</v>
      </c>
      <c r="J71" s="240">
        <v>17</v>
      </c>
      <c r="K71" s="213">
        <f t="shared" si="1"/>
        <v>0</v>
      </c>
      <c r="L71" s="213">
        <f t="shared" si="1"/>
        <v>0</v>
      </c>
      <c r="M71" s="213">
        <f t="shared" si="1"/>
        <v>58.82352941176471</v>
      </c>
      <c r="N71" s="234">
        <f t="shared" si="2"/>
        <v>58.82352941176471</v>
      </c>
      <c r="O71" s="212"/>
      <c r="P71" s="213"/>
      <c r="Q71" s="213">
        <v>52.6</v>
      </c>
      <c r="R71" s="214">
        <f t="shared" si="3"/>
        <v>52.6</v>
      </c>
      <c r="S71" s="170">
        <v>1</v>
      </c>
      <c r="T71" s="283"/>
      <c r="U71" s="281"/>
      <c r="V71" s="177" t="s">
        <v>95</v>
      </c>
      <c r="W71" s="170" t="s">
        <v>20</v>
      </c>
      <c r="X71" s="170" t="s">
        <v>12</v>
      </c>
      <c r="Y71" s="178">
        <v>52.6</v>
      </c>
      <c r="AD71" s="177"/>
      <c r="AG71" s="178"/>
      <c r="AL71" s="177"/>
      <c r="AO71" s="178"/>
      <c r="AP71" s="177"/>
      <c r="AS71" s="178"/>
      <c r="AW71" s="178"/>
      <c r="BA71" s="179"/>
    </row>
    <row r="72" spans="1:53" s="170" customFormat="1" x14ac:dyDescent="0.15">
      <c r="A72" s="170">
        <v>2007</v>
      </c>
      <c r="B72" s="303">
        <v>39219</v>
      </c>
      <c r="C72" s="395" t="s">
        <v>834</v>
      </c>
      <c r="D72" s="395"/>
      <c r="E72" s="170">
        <f>365-E71</f>
        <v>229</v>
      </c>
      <c r="F72" s="243">
        <v>0</v>
      </c>
      <c r="G72" s="232"/>
      <c r="I72" s="170">
        <v>9</v>
      </c>
      <c r="J72" s="240">
        <v>17</v>
      </c>
      <c r="K72" s="213">
        <f t="shared" ref="K72:M83" si="4">G72/$J72*100</f>
        <v>0</v>
      </c>
      <c r="L72" s="213">
        <f t="shared" si="4"/>
        <v>0</v>
      </c>
      <c r="M72" s="213">
        <f t="shared" si="4"/>
        <v>52.941176470588239</v>
      </c>
      <c r="N72" s="234">
        <f t="shared" ref="N72:N83" si="5">K72+L72+M72</f>
        <v>52.941176470588239</v>
      </c>
      <c r="O72" s="212"/>
      <c r="P72" s="213"/>
      <c r="Q72" s="213">
        <v>52.6</v>
      </c>
      <c r="R72" s="214">
        <f t="shared" ref="R72:R85" si="6">O72+P72+Q72</f>
        <v>52.6</v>
      </c>
      <c r="S72" s="170">
        <v>1</v>
      </c>
      <c r="T72" s="283"/>
      <c r="U72" s="281"/>
      <c r="V72" s="177" t="s">
        <v>95</v>
      </c>
      <c r="W72" s="170" t="s">
        <v>20</v>
      </c>
      <c r="X72" s="170" t="s">
        <v>12</v>
      </c>
      <c r="Y72" s="178">
        <v>52.6</v>
      </c>
      <c r="AD72" s="177"/>
      <c r="AG72" s="178"/>
      <c r="AL72" s="177"/>
      <c r="AO72" s="178"/>
      <c r="AP72" s="177"/>
      <c r="AS72" s="178"/>
      <c r="AW72" s="178"/>
      <c r="BA72" s="179"/>
    </row>
    <row r="73" spans="1:53" s="170" customFormat="1" x14ac:dyDescent="0.15">
      <c r="A73" s="170">
        <v>2008</v>
      </c>
      <c r="B73" s="281"/>
      <c r="C73" s="395" t="s">
        <v>834</v>
      </c>
      <c r="D73" s="395"/>
      <c r="E73" s="170">
        <v>29</v>
      </c>
      <c r="G73" s="232"/>
      <c r="I73" s="170">
        <v>9</v>
      </c>
      <c r="J73" s="240">
        <v>17</v>
      </c>
      <c r="K73" s="213">
        <f t="shared" si="4"/>
        <v>0</v>
      </c>
      <c r="L73" s="213">
        <f t="shared" si="4"/>
        <v>0</v>
      </c>
      <c r="M73" s="213">
        <f t="shared" si="4"/>
        <v>52.941176470588239</v>
      </c>
      <c r="N73" s="234">
        <f t="shared" si="5"/>
        <v>52.941176470588239</v>
      </c>
      <c r="O73" s="212"/>
      <c r="P73" s="213"/>
      <c r="Q73" s="213">
        <v>52.6</v>
      </c>
      <c r="R73" s="214">
        <f t="shared" si="6"/>
        <v>52.6</v>
      </c>
      <c r="S73" s="170">
        <v>1</v>
      </c>
      <c r="T73" s="283"/>
      <c r="U73" s="281"/>
      <c r="V73" s="177" t="s">
        <v>95</v>
      </c>
      <c r="W73" s="170" t="s">
        <v>20</v>
      </c>
      <c r="X73" s="170" t="s">
        <v>12</v>
      </c>
      <c r="Y73" s="178">
        <v>52.6</v>
      </c>
      <c r="AD73" s="177"/>
      <c r="AG73" s="178"/>
      <c r="AL73" s="177"/>
      <c r="AO73" s="178"/>
      <c r="AP73" s="177"/>
      <c r="AS73" s="178"/>
      <c r="AW73" s="178"/>
      <c r="BA73" s="179"/>
    </row>
    <row r="74" spans="1:53" s="170" customFormat="1" x14ac:dyDescent="0.15">
      <c r="A74" s="170">
        <v>2008</v>
      </c>
      <c r="B74" s="303">
        <v>39477</v>
      </c>
      <c r="C74" s="395" t="s">
        <v>834</v>
      </c>
      <c r="D74" s="395"/>
      <c r="E74" s="170">
        <f>366-E73</f>
        <v>337</v>
      </c>
      <c r="F74" s="243">
        <v>0</v>
      </c>
      <c r="G74" s="232"/>
      <c r="I74" s="170">
        <v>10</v>
      </c>
      <c r="J74" s="240">
        <v>17</v>
      </c>
      <c r="K74" s="213">
        <f t="shared" si="4"/>
        <v>0</v>
      </c>
      <c r="L74" s="213">
        <f t="shared" si="4"/>
        <v>0</v>
      </c>
      <c r="M74" s="213">
        <f t="shared" si="4"/>
        <v>58.82352941176471</v>
      </c>
      <c r="N74" s="234">
        <f t="shared" si="5"/>
        <v>58.82352941176471</v>
      </c>
      <c r="O74" s="212"/>
      <c r="P74" s="213"/>
      <c r="Q74" s="213">
        <v>52.6</v>
      </c>
      <c r="R74" s="214">
        <f t="shared" si="6"/>
        <v>52.6</v>
      </c>
      <c r="S74" s="170">
        <v>1</v>
      </c>
      <c r="T74" s="283"/>
      <c r="U74" s="281"/>
      <c r="V74" s="177" t="s">
        <v>95</v>
      </c>
      <c r="W74" s="170" t="s">
        <v>20</v>
      </c>
      <c r="X74" s="170" t="s">
        <v>12</v>
      </c>
      <c r="Y74" s="178">
        <v>52.6</v>
      </c>
      <c r="AD74" s="177"/>
      <c r="AG74" s="178"/>
      <c r="AL74" s="177"/>
      <c r="AO74" s="178"/>
      <c r="AP74" s="177"/>
      <c r="AS74" s="178"/>
      <c r="AW74" s="178"/>
      <c r="BA74" s="179"/>
    </row>
    <row r="75" spans="1:53" s="170" customFormat="1" x14ac:dyDescent="0.15">
      <c r="A75" s="170">
        <v>2009</v>
      </c>
      <c r="B75" s="281"/>
      <c r="C75" s="395" t="s">
        <v>834</v>
      </c>
      <c r="D75" s="395"/>
      <c r="E75" s="170">
        <v>298</v>
      </c>
      <c r="G75" s="232"/>
      <c r="I75" s="170">
        <v>10</v>
      </c>
      <c r="J75" s="240">
        <v>17</v>
      </c>
      <c r="K75" s="213">
        <f t="shared" si="4"/>
        <v>0</v>
      </c>
      <c r="L75" s="213">
        <f t="shared" si="4"/>
        <v>0</v>
      </c>
      <c r="M75" s="213">
        <f t="shared" si="4"/>
        <v>58.82352941176471</v>
      </c>
      <c r="N75" s="234">
        <f t="shared" si="5"/>
        <v>58.82352941176471</v>
      </c>
      <c r="O75" s="212"/>
      <c r="P75" s="213"/>
      <c r="Q75" s="213">
        <v>52.6</v>
      </c>
      <c r="R75" s="214">
        <f t="shared" si="6"/>
        <v>52.6</v>
      </c>
      <c r="S75" s="170">
        <v>1</v>
      </c>
      <c r="T75" s="283"/>
      <c r="U75" s="281"/>
      <c r="V75" s="177" t="s">
        <v>95</v>
      </c>
      <c r="W75" s="170" t="s">
        <v>20</v>
      </c>
      <c r="X75" s="170" t="s">
        <v>12</v>
      </c>
      <c r="Y75" s="178">
        <v>52.6</v>
      </c>
      <c r="AD75" s="177"/>
      <c r="AG75" s="178"/>
      <c r="AL75" s="177"/>
      <c r="AO75" s="178"/>
      <c r="AP75" s="177"/>
      <c r="AS75" s="178"/>
      <c r="AW75" s="178"/>
      <c r="BA75" s="179"/>
    </row>
    <row r="76" spans="1:53" s="28" customFormat="1" x14ac:dyDescent="0.15">
      <c r="A76" s="28">
        <v>2009</v>
      </c>
      <c r="B76" s="293">
        <v>40112</v>
      </c>
      <c r="C76" s="394" t="s">
        <v>835</v>
      </c>
      <c r="D76" s="394"/>
      <c r="E76" s="28">
        <v>67</v>
      </c>
      <c r="F76" s="28">
        <v>1</v>
      </c>
      <c r="G76" s="65"/>
      <c r="I76" s="28">
        <v>10</v>
      </c>
      <c r="J76" s="72">
        <v>17</v>
      </c>
      <c r="K76" s="46">
        <f t="shared" si="4"/>
        <v>0</v>
      </c>
      <c r="L76" s="46">
        <f t="shared" si="4"/>
        <v>0</v>
      </c>
      <c r="M76" s="46">
        <f t="shared" si="4"/>
        <v>58.82352941176471</v>
      </c>
      <c r="N76" s="67">
        <f t="shared" si="5"/>
        <v>58.82352941176471</v>
      </c>
      <c r="O76" s="45"/>
      <c r="P76" s="46"/>
      <c r="Q76" s="46">
        <v>42.2</v>
      </c>
      <c r="R76" s="47">
        <f t="shared" si="6"/>
        <v>42.2</v>
      </c>
      <c r="S76" s="28">
        <v>4</v>
      </c>
      <c r="T76" s="284">
        <v>40083</v>
      </c>
      <c r="U76" s="293">
        <v>40112</v>
      </c>
      <c r="V76" s="37" t="s">
        <v>95</v>
      </c>
      <c r="W76" s="28" t="s">
        <v>20</v>
      </c>
      <c r="X76" s="28" t="s">
        <v>12</v>
      </c>
      <c r="Y76" s="38">
        <v>42.2</v>
      </c>
      <c r="AD76" s="37"/>
      <c r="AG76" s="38"/>
      <c r="AL76" s="37"/>
      <c r="AO76" s="38"/>
      <c r="AP76" s="37"/>
      <c r="AS76" s="38"/>
      <c r="AW76" s="38"/>
      <c r="BA76" s="39"/>
    </row>
    <row r="77" spans="1:53" s="28" customFormat="1" x14ac:dyDescent="0.15">
      <c r="A77" s="28">
        <v>2010</v>
      </c>
      <c r="B77" s="293"/>
      <c r="C77" s="394" t="s">
        <v>835</v>
      </c>
      <c r="D77" s="394"/>
      <c r="E77" s="28">
        <v>0</v>
      </c>
      <c r="G77" s="65"/>
      <c r="I77" s="28">
        <v>10</v>
      </c>
      <c r="J77" s="72">
        <v>17</v>
      </c>
      <c r="K77" s="46">
        <f t="shared" si="4"/>
        <v>0</v>
      </c>
      <c r="L77" s="46">
        <f t="shared" si="4"/>
        <v>0</v>
      </c>
      <c r="M77" s="46">
        <f t="shared" si="4"/>
        <v>58.82352941176471</v>
      </c>
      <c r="N77" s="67">
        <f t="shared" si="5"/>
        <v>58.82352941176471</v>
      </c>
      <c r="O77" s="45"/>
      <c r="P77" s="46"/>
      <c r="Q77" s="46">
        <v>42.2</v>
      </c>
      <c r="R77" s="47">
        <f t="shared" si="6"/>
        <v>42.2</v>
      </c>
      <c r="S77" s="28">
        <v>4</v>
      </c>
      <c r="T77" s="284"/>
      <c r="U77" s="293"/>
      <c r="V77" s="37" t="s">
        <v>95</v>
      </c>
      <c r="W77" s="28" t="s">
        <v>20</v>
      </c>
      <c r="X77" s="28" t="s">
        <v>12</v>
      </c>
      <c r="Y77" s="38">
        <v>42.2</v>
      </c>
      <c r="AD77" s="37"/>
      <c r="AG77" s="38"/>
      <c r="AL77" s="37"/>
      <c r="AO77" s="38"/>
      <c r="AP77" s="37"/>
      <c r="AS77" s="38"/>
      <c r="AW77" s="38"/>
      <c r="BA77" s="39"/>
    </row>
    <row r="78" spans="1:53" s="28" customFormat="1" x14ac:dyDescent="0.15">
      <c r="A78" s="28">
        <v>2010</v>
      </c>
      <c r="B78" s="293"/>
      <c r="C78" s="394" t="s">
        <v>835</v>
      </c>
      <c r="D78" s="394"/>
      <c r="E78" s="28">
        <v>365</v>
      </c>
      <c r="G78" s="65"/>
      <c r="I78" s="28">
        <v>10</v>
      </c>
      <c r="J78" s="72">
        <v>17</v>
      </c>
      <c r="K78" s="46">
        <f t="shared" si="4"/>
        <v>0</v>
      </c>
      <c r="L78" s="46">
        <f t="shared" si="4"/>
        <v>0</v>
      </c>
      <c r="M78" s="46">
        <f t="shared" si="4"/>
        <v>58.82352941176471</v>
      </c>
      <c r="N78" s="67">
        <f t="shared" si="5"/>
        <v>58.82352941176471</v>
      </c>
      <c r="O78" s="45"/>
      <c r="P78" s="46"/>
      <c r="Q78" s="46">
        <v>42.2</v>
      </c>
      <c r="R78" s="47">
        <f t="shared" si="6"/>
        <v>42.2</v>
      </c>
      <c r="S78" s="28">
        <v>4</v>
      </c>
      <c r="T78" s="284"/>
      <c r="U78" s="293"/>
      <c r="V78" s="37" t="s">
        <v>95</v>
      </c>
      <c r="W78" s="28" t="s">
        <v>20</v>
      </c>
      <c r="X78" s="28" t="s">
        <v>12</v>
      </c>
      <c r="Y78" s="38">
        <v>42.2</v>
      </c>
      <c r="AD78" s="37"/>
      <c r="AG78" s="38"/>
      <c r="AL78" s="37"/>
      <c r="AO78" s="38"/>
      <c r="AP78" s="37"/>
      <c r="AS78" s="38"/>
      <c r="AW78" s="38"/>
      <c r="BA78" s="39"/>
    </row>
    <row r="79" spans="1:53" s="28" customFormat="1" x14ac:dyDescent="0.15">
      <c r="A79" s="28">
        <v>2011</v>
      </c>
      <c r="B79" s="293"/>
      <c r="C79" s="394" t="s">
        <v>835</v>
      </c>
      <c r="D79" s="394"/>
      <c r="E79" s="28">
        <v>171</v>
      </c>
      <c r="G79" s="65"/>
      <c r="I79" s="28">
        <v>10</v>
      </c>
      <c r="J79" s="72">
        <v>17</v>
      </c>
      <c r="K79" s="46">
        <f t="shared" si="4"/>
        <v>0</v>
      </c>
      <c r="L79" s="46">
        <f t="shared" si="4"/>
        <v>0</v>
      </c>
      <c r="M79" s="46">
        <f t="shared" si="4"/>
        <v>58.82352941176471</v>
      </c>
      <c r="N79" s="67">
        <f t="shared" si="5"/>
        <v>58.82352941176471</v>
      </c>
      <c r="O79" s="45"/>
      <c r="P79" s="46"/>
      <c r="Q79" s="46">
        <v>42.2</v>
      </c>
      <c r="R79" s="47">
        <f t="shared" si="6"/>
        <v>42.2</v>
      </c>
      <c r="S79" s="28">
        <v>4</v>
      </c>
      <c r="T79" s="284"/>
      <c r="U79" s="293"/>
      <c r="V79" s="37" t="s">
        <v>95</v>
      </c>
      <c r="W79" s="28" t="s">
        <v>20</v>
      </c>
      <c r="X79" s="28" t="s">
        <v>12</v>
      </c>
      <c r="Y79" s="38">
        <v>42.2</v>
      </c>
      <c r="AD79" s="37"/>
      <c r="AG79" s="38"/>
      <c r="AL79" s="37"/>
      <c r="AO79" s="38"/>
      <c r="AP79" s="37"/>
      <c r="AS79" s="38"/>
      <c r="AW79" s="38"/>
      <c r="BA79" s="39"/>
    </row>
    <row r="80" spans="1:53" s="170" customFormat="1" x14ac:dyDescent="0.15">
      <c r="A80" s="170">
        <v>2011</v>
      </c>
      <c r="B80" s="281">
        <v>40715</v>
      </c>
      <c r="C80" s="425" t="s">
        <v>1267</v>
      </c>
      <c r="D80" s="425"/>
      <c r="E80" s="170">
        <v>194</v>
      </c>
      <c r="F80" s="170">
        <v>1</v>
      </c>
      <c r="G80" s="232">
        <v>8</v>
      </c>
      <c r="J80" s="240">
        <v>12</v>
      </c>
      <c r="K80" s="213">
        <f t="shared" si="4"/>
        <v>66.666666666666657</v>
      </c>
      <c r="L80" s="213">
        <f t="shared" si="4"/>
        <v>0</v>
      </c>
      <c r="M80" s="213">
        <f t="shared" si="4"/>
        <v>0</v>
      </c>
      <c r="N80" s="234">
        <f t="shared" si="5"/>
        <v>66.666666666666657</v>
      </c>
      <c r="O80" s="212">
        <v>57.39</v>
      </c>
      <c r="P80" s="213"/>
      <c r="Q80" s="213"/>
      <c r="R80" s="214">
        <f t="shared" si="6"/>
        <v>57.39</v>
      </c>
      <c r="S80" s="170">
        <v>2</v>
      </c>
      <c r="T80" s="283">
        <v>40699</v>
      </c>
      <c r="U80" s="281">
        <v>40715</v>
      </c>
      <c r="V80" s="177" t="s">
        <v>919</v>
      </c>
      <c r="W80" s="170" t="s">
        <v>22</v>
      </c>
      <c r="X80" s="170" t="s">
        <v>11</v>
      </c>
      <c r="Y80" s="178">
        <v>47</v>
      </c>
      <c r="Z80" s="170" t="s">
        <v>479</v>
      </c>
      <c r="AA80" s="170" t="s">
        <v>17</v>
      </c>
      <c r="AB80" s="170" t="s">
        <v>11</v>
      </c>
      <c r="AC80" s="170">
        <v>10.4</v>
      </c>
      <c r="AD80" s="177"/>
      <c r="AG80" s="178"/>
      <c r="AL80" s="177"/>
      <c r="AO80" s="178"/>
      <c r="AP80" s="177"/>
      <c r="AS80" s="178"/>
      <c r="AW80" s="178"/>
      <c r="BA80" s="179"/>
    </row>
    <row r="81" spans="1:53" s="170" customFormat="1" x14ac:dyDescent="0.15">
      <c r="A81" s="170">
        <v>2012</v>
      </c>
      <c r="B81" s="281"/>
      <c r="C81" s="425" t="s">
        <v>1267</v>
      </c>
      <c r="D81" s="425"/>
      <c r="E81" s="170">
        <v>0</v>
      </c>
      <c r="G81" s="232">
        <v>8</v>
      </c>
      <c r="J81" s="240">
        <v>12</v>
      </c>
      <c r="K81" s="213">
        <f t="shared" si="4"/>
        <v>66.666666666666657</v>
      </c>
      <c r="L81" s="213">
        <f t="shared" si="4"/>
        <v>0</v>
      </c>
      <c r="M81" s="213">
        <f t="shared" si="4"/>
        <v>0</v>
      </c>
      <c r="N81" s="234">
        <f t="shared" si="5"/>
        <v>66.666666666666657</v>
      </c>
      <c r="O81" s="212">
        <v>57.39</v>
      </c>
      <c r="P81" s="213"/>
      <c r="Q81" s="213"/>
      <c r="R81" s="214">
        <f t="shared" si="6"/>
        <v>57.39</v>
      </c>
      <c r="S81" s="170">
        <v>2</v>
      </c>
      <c r="T81" s="283"/>
      <c r="U81" s="281"/>
      <c r="V81" s="177" t="s">
        <v>919</v>
      </c>
      <c r="W81" s="170" t="s">
        <v>22</v>
      </c>
      <c r="X81" s="170" t="s">
        <v>11</v>
      </c>
      <c r="Y81" s="178">
        <v>47</v>
      </c>
      <c r="Z81" s="170" t="s">
        <v>479</v>
      </c>
      <c r="AA81" s="170" t="s">
        <v>17</v>
      </c>
      <c r="AB81" s="170" t="s">
        <v>11</v>
      </c>
      <c r="AC81" s="170">
        <v>10.4</v>
      </c>
      <c r="AD81" s="177"/>
      <c r="AG81" s="178"/>
      <c r="AL81" s="177"/>
      <c r="AO81" s="178"/>
      <c r="AP81" s="177"/>
      <c r="AS81" s="178"/>
      <c r="AW81" s="178"/>
      <c r="BA81" s="179"/>
    </row>
    <row r="82" spans="1:53" s="170" customFormat="1" x14ac:dyDescent="0.15">
      <c r="A82" s="170">
        <v>2012</v>
      </c>
      <c r="B82" s="281"/>
      <c r="C82" s="425" t="s">
        <v>1267</v>
      </c>
      <c r="D82" s="425"/>
      <c r="E82" s="170">
        <v>366</v>
      </c>
      <c r="G82" s="232">
        <v>8</v>
      </c>
      <c r="J82" s="240">
        <v>12</v>
      </c>
      <c r="K82" s="213">
        <f t="shared" si="4"/>
        <v>66.666666666666657</v>
      </c>
      <c r="L82" s="213">
        <f t="shared" si="4"/>
        <v>0</v>
      </c>
      <c r="M82" s="213">
        <f t="shared" si="4"/>
        <v>0</v>
      </c>
      <c r="N82" s="234">
        <f t="shared" si="5"/>
        <v>66.666666666666657</v>
      </c>
      <c r="O82" s="212">
        <v>57.39</v>
      </c>
      <c r="P82" s="213"/>
      <c r="Q82" s="213"/>
      <c r="R82" s="214">
        <f t="shared" si="6"/>
        <v>57.39</v>
      </c>
      <c r="S82" s="170">
        <v>2</v>
      </c>
      <c r="T82" s="283"/>
      <c r="U82" s="281"/>
      <c r="V82" s="177" t="s">
        <v>919</v>
      </c>
      <c r="W82" s="170" t="s">
        <v>22</v>
      </c>
      <c r="X82" s="170" t="s">
        <v>11</v>
      </c>
      <c r="Y82" s="178">
        <v>47</v>
      </c>
      <c r="Z82" s="170" t="s">
        <v>479</v>
      </c>
      <c r="AA82" s="170" t="s">
        <v>17</v>
      </c>
      <c r="AB82" s="170" t="s">
        <v>11</v>
      </c>
      <c r="AC82" s="170">
        <v>10.4</v>
      </c>
      <c r="AD82" s="177"/>
      <c r="AG82" s="178"/>
      <c r="AL82" s="177"/>
      <c r="AO82" s="178"/>
      <c r="AP82" s="177"/>
      <c r="AS82" s="178"/>
      <c r="AW82" s="178"/>
      <c r="BA82" s="179"/>
    </row>
    <row r="83" spans="1:53" s="170" customFormat="1" x14ac:dyDescent="0.15">
      <c r="A83" s="170">
        <v>2013</v>
      </c>
      <c r="B83" s="281"/>
      <c r="C83" s="425" t="s">
        <v>1267</v>
      </c>
      <c r="D83" s="425"/>
      <c r="E83" s="170">
        <v>102</v>
      </c>
      <c r="G83" s="232">
        <v>8</v>
      </c>
      <c r="J83" s="240">
        <v>12</v>
      </c>
      <c r="K83" s="213">
        <f t="shared" si="4"/>
        <v>66.666666666666657</v>
      </c>
      <c r="L83" s="213">
        <f t="shared" si="4"/>
        <v>0</v>
      </c>
      <c r="M83" s="213">
        <f t="shared" si="4"/>
        <v>0</v>
      </c>
      <c r="N83" s="234">
        <f t="shared" si="5"/>
        <v>66.666666666666657</v>
      </c>
      <c r="O83" s="212">
        <v>57.39</v>
      </c>
      <c r="P83" s="213"/>
      <c r="Q83" s="213"/>
      <c r="R83" s="214">
        <f t="shared" si="6"/>
        <v>57.39</v>
      </c>
      <c r="S83" s="170">
        <v>2</v>
      </c>
      <c r="T83" s="283"/>
      <c r="U83" s="281"/>
      <c r="V83" s="177" t="s">
        <v>919</v>
      </c>
      <c r="W83" s="170" t="s">
        <v>22</v>
      </c>
      <c r="X83" s="170" t="s">
        <v>11</v>
      </c>
      <c r="Y83" s="178">
        <v>47</v>
      </c>
      <c r="Z83" s="170" t="s">
        <v>479</v>
      </c>
      <c r="AA83" s="170" t="s">
        <v>17</v>
      </c>
      <c r="AB83" s="170" t="s">
        <v>11</v>
      </c>
      <c r="AC83" s="170">
        <v>10.4</v>
      </c>
      <c r="AD83" s="177"/>
      <c r="AG83" s="178"/>
      <c r="AL83" s="177"/>
      <c r="AO83" s="178"/>
      <c r="AP83" s="177"/>
      <c r="AS83" s="178"/>
      <c r="AW83" s="178"/>
      <c r="BA83" s="179"/>
    </row>
    <row r="84" spans="1:53" s="170" customFormat="1" x14ac:dyDescent="0.15">
      <c r="A84" s="170">
        <v>2013</v>
      </c>
      <c r="B84" s="303">
        <v>41377</v>
      </c>
      <c r="C84" s="425" t="s">
        <v>1267</v>
      </c>
      <c r="D84" s="425"/>
      <c r="E84" s="170">
        <v>102</v>
      </c>
      <c r="F84" s="243">
        <v>0</v>
      </c>
      <c r="G84" s="232">
        <v>9</v>
      </c>
      <c r="J84" s="240">
        <v>13</v>
      </c>
      <c r="K84" s="213">
        <f t="shared" ref="K84:M85" si="7">G84/$J84*100</f>
        <v>69.230769230769226</v>
      </c>
      <c r="L84" s="213">
        <f t="shared" si="7"/>
        <v>0</v>
      </c>
      <c r="M84" s="213">
        <f t="shared" si="7"/>
        <v>0</v>
      </c>
      <c r="N84" s="234">
        <f t="shared" ref="N84:N90" si="8">K84+L84+M84</f>
        <v>69.230769230769226</v>
      </c>
      <c r="O84" s="212">
        <v>57.39</v>
      </c>
      <c r="P84" s="213"/>
      <c r="Q84" s="213"/>
      <c r="R84" s="214">
        <f t="shared" si="6"/>
        <v>57.39</v>
      </c>
      <c r="S84" s="170">
        <v>2</v>
      </c>
      <c r="T84" s="283"/>
      <c r="U84" s="281"/>
      <c r="V84" s="177" t="s">
        <v>919</v>
      </c>
      <c r="W84" s="170" t="s">
        <v>22</v>
      </c>
      <c r="X84" s="170" t="s">
        <v>11</v>
      </c>
      <c r="Y84" s="178">
        <v>47</v>
      </c>
      <c r="Z84" s="170" t="s">
        <v>479</v>
      </c>
      <c r="AA84" s="170" t="s">
        <v>17</v>
      </c>
      <c r="AB84" s="170" t="s">
        <v>11</v>
      </c>
      <c r="AC84" s="170">
        <v>10.4</v>
      </c>
      <c r="AD84" s="177"/>
      <c r="AG84" s="178"/>
      <c r="AL84" s="177"/>
      <c r="AO84" s="178"/>
      <c r="AP84" s="177"/>
      <c r="AS84" s="178"/>
      <c r="AW84" s="178"/>
      <c r="BA84" s="179"/>
    </row>
    <row r="85" spans="1:53" s="170" customFormat="1" x14ac:dyDescent="0.15">
      <c r="A85" s="170">
        <v>2013</v>
      </c>
      <c r="B85" s="303" t="s">
        <v>1245</v>
      </c>
      <c r="C85" s="425" t="s">
        <v>1267</v>
      </c>
      <c r="D85" s="425"/>
      <c r="E85" s="170">
        <f>365-E84-E83</f>
        <v>161</v>
      </c>
      <c r="F85" s="243">
        <v>0</v>
      </c>
      <c r="G85" s="232">
        <v>12</v>
      </c>
      <c r="J85" s="240">
        <v>15</v>
      </c>
      <c r="K85" s="213">
        <f t="shared" si="7"/>
        <v>80</v>
      </c>
      <c r="L85" s="213">
        <f t="shared" si="7"/>
        <v>0</v>
      </c>
      <c r="M85" s="213">
        <f t="shared" si="7"/>
        <v>0</v>
      </c>
      <c r="N85" s="234">
        <f t="shared" si="8"/>
        <v>80</v>
      </c>
      <c r="O85" s="212">
        <v>57.39</v>
      </c>
      <c r="P85" s="213"/>
      <c r="Q85" s="213"/>
      <c r="R85" s="214">
        <f t="shared" si="6"/>
        <v>57.39</v>
      </c>
      <c r="S85" s="170">
        <v>2</v>
      </c>
      <c r="T85" s="283"/>
      <c r="U85" s="281"/>
      <c r="V85" s="177" t="s">
        <v>919</v>
      </c>
      <c r="W85" s="170" t="s">
        <v>22</v>
      </c>
      <c r="X85" s="170" t="s">
        <v>11</v>
      </c>
      <c r="Y85" s="178">
        <v>47</v>
      </c>
      <c r="Z85" s="170" t="s">
        <v>479</v>
      </c>
      <c r="AA85" s="170" t="s">
        <v>17</v>
      </c>
      <c r="AB85" s="170" t="s">
        <v>11</v>
      </c>
      <c r="AC85" s="170">
        <v>10.4</v>
      </c>
      <c r="AD85" s="177"/>
      <c r="AG85" s="178"/>
      <c r="AL85" s="177"/>
      <c r="AO85" s="178"/>
      <c r="AP85" s="177"/>
      <c r="AS85" s="178"/>
      <c r="AW85" s="178"/>
      <c r="BA85" s="179"/>
    </row>
    <row r="86" spans="1:53" s="170" customFormat="1" x14ac:dyDescent="0.15">
      <c r="A86" s="170">
        <v>2014</v>
      </c>
      <c r="B86" s="303"/>
      <c r="C86" s="425" t="s">
        <v>1267</v>
      </c>
      <c r="D86" s="425"/>
      <c r="E86" s="170">
        <v>322</v>
      </c>
      <c r="F86" s="243"/>
      <c r="G86" s="232">
        <v>12</v>
      </c>
      <c r="J86" s="240">
        <v>15</v>
      </c>
      <c r="K86" s="213">
        <f t="shared" ref="K86:M89" si="9">G86/$J86*100</f>
        <v>80</v>
      </c>
      <c r="L86" s="213">
        <f t="shared" si="9"/>
        <v>0</v>
      </c>
      <c r="M86" s="213">
        <f t="shared" si="9"/>
        <v>0</v>
      </c>
      <c r="N86" s="234">
        <f t="shared" si="8"/>
        <v>80</v>
      </c>
      <c r="O86" s="212">
        <v>57.39</v>
      </c>
      <c r="P86" s="213"/>
      <c r="Q86" s="213"/>
      <c r="R86" s="214">
        <f t="shared" ref="R86:R94" si="10">O86+P86+Q86</f>
        <v>57.39</v>
      </c>
      <c r="S86" s="170">
        <v>2</v>
      </c>
      <c r="T86" s="283"/>
      <c r="U86" s="281"/>
      <c r="V86" s="177" t="s">
        <v>919</v>
      </c>
      <c r="W86" s="170" t="s">
        <v>22</v>
      </c>
      <c r="X86" s="170" t="s">
        <v>11</v>
      </c>
      <c r="Y86" s="178">
        <v>47</v>
      </c>
      <c r="Z86" s="170" t="s">
        <v>479</v>
      </c>
      <c r="AA86" s="170" t="s">
        <v>17</v>
      </c>
      <c r="AB86" s="170" t="s">
        <v>11</v>
      </c>
      <c r="AC86" s="170">
        <v>10.4</v>
      </c>
      <c r="AD86" s="177"/>
      <c r="AG86" s="178"/>
      <c r="AL86" s="177"/>
      <c r="AO86" s="178"/>
      <c r="AP86" s="177"/>
      <c r="AS86" s="178"/>
      <c r="AW86" s="178"/>
      <c r="BA86" s="179"/>
    </row>
    <row r="87" spans="1:53" s="170" customFormat="1" x14ac:dyDescent="0.15">
      <c r="A87" s="170">
        <v>2014</v>
      </c>
      <c r="B87" s="303">
        <v>41962</v>
      </c>
      <c r="C87" s="425" t="s">
        <v>1267</v>
      </c>
      <c r="D87" s="425"/>
      <c r="E87" s="170">
        <v>43</v>
      </c>
      <c r="F87" s="243">
        <v>0</v>
      </c>
      <c r="G87" s="232">
        <v>11</v>
      </c>
      <c r="J87" s="240">
        <v>15</v>
      </c>
      <c r="K87" s="213">
        <f t="shared" si="9"/>
        <v>73.333333333333329</v>
      </c>
      <c r="L87" s="213">
        <f t="shared" si="9"/>
        <v>0</v>
      </c>
      <c r="M87" s="213">
        <f t="shared" si="9"/>
        <v>0</v>
      </c>
      <c r="N87" s="234">
        <f t="shared" si="8"/>
        <v>73.333333333333329</v>
      </c>
      <c r="O87" s="212">
        <v>57.39</v>
      </c>
      <c r="P87" s="213"/>
      <c r="Q87" s="213"/>
      <c r="R87" s="214">
        <f t="shared" si="10"/>
        <v>57.39</v>
      </c>
      <c r="S87" s="170">
        <v>2</v>
      </c>
      <c r="T87" s="283"/>
      <c r="U87" s="281"/>
      <c r="V87" s="177" t="s">
        <v>919</v>
      </c>
      <c r="W87" s="170" t="s">
        <v>22</v>
      </c>
      <c r="X87" s="170" t="s">
        <v>11</v>
      </c>
      <c r="Y87" s="178">
        <v>47</v>
      </c>
      <c r="Z87" s="170" t="s">
        <v>479</v>
      </c>
      <c r="AA87" s="170" t="s">
        <v>17</v>
      </c>
      <c r="AB87" s="170" t="s">
        <v>11</v>
      </c>
      <c r="AC87" s="170">
        <v>10.4</v>
      </c>
      <c r="AD87" s="177"/>
      <c r="AG87" s="178"/>
      <c r="AL87" s="177"/>
      <c r="AO87" s="178"/>
      <c r="AP87" s="177"/>
      <c r="AS87" s="178"/>
      <c r="AW87" s="178"/>
      <c r="BA87" s="179"/>
    </row>
    <row r="88" spans="1:53" s="170" customFormat="1" x14ac:dyDescent="0.15">
      <c r="A88" s="170">
        <v>2015</v>
      </c>
      <c r="B88" s="303"/>
      <c r="C88" s="425" t="s">
        <v>1267</v>
      </c>
      <c r="D88" s="425"/>
      <c r="E88" s="170">
        <v>302</v>
      </c>
      <c r="F88" s="243"/>
      <c r="G88" s="232">
        <v>11</v>
      </c>
      <c r="J88" s="240">
        <v>15</v>
      </c>
      <c r="K88" s="213">
        <f t="shared" si="9"/>
        <v>73.333333333333329</v>
      </c>
      <c r="L88" s="213">
        <f t="shared" si="9"/>
        <v>0</v>
      </c>
      <c r="M88" s="213">
        <f t="shared" si="9"/>
        <v>0</v>
      </c>
      <c r="N88" s="234">
        <f t="shared" si="8"/>
        <v>73.333333333333329</v>
      </c>
      <c r="O88" s="212">
        <v>57.39</v>
      </c>
      <c r="P88" s="213"/>
      <c r="Q88" s="213"/>
      <c r="R88" s="214">
        <f t="shared" si="10"/>
        <v>57.39</v>
      </c>
      <c r="S88" s="170">
        <v>2</v>
      </c>
      <c r="T88" s="283"/>
      <c r="U88" s="281"/>
      <c r="V88" s="177" t="s">
        <v>919</v>
      </c>
      <c r="W88" s="170" t="s">
        <v>22</v>
      </c>
      <c r="X88" s="170" t="s">
        <v>11</v>
      </c>
      <c r="Y88" s="178">
        <v>47</v>
      </c>
      <c r="Z88" s="170" t="s">
        <v>479</v>
      </c>
      <c r="AA88" s="170" t="s">
        <v>17</v>
      </c>
      <c r="AB88" s="170" t="s">
        <v>11</v>
      </c>
      <c r="AC88" s="170">
        <v>10.4</v>
      </c>
      <c r="AD88" s="177"/>
      <c r="AG88" s="178"/>
      <c r="AL88" s="177"/>
      <c r="AO88" s="178"/>
      <c r="AP88" s="177"/>
      <c r="AS88" s="178"/>
      <c r="AW88" s="178"/>
      <c r="BA88" s="179"/>
    </row>
    <row r="89" spans="1:53" s="28" customFormat="1" x14ac:dyDescent="0.15">
      <c r="A89" s="28">
        <v>2015</v>
      </c>
      <c r="B89" s="293">
        <v>42307</v>
      </c>
      <c r="C89" s="394" t="s">
        <v>1324</v>
      </c>
      <c r="D89" s="394"/>
      <c r="E89" s="28">
        <v>27</v>
      </c>
      <c r="F89" s="28">
        <v>1</v>
      </c>
      <c r="G89" s="65">
        <v>14</v>
      </c>
      <c r="J89" s="72">
        <v>17</v>
      </c>
      <c r="K89" s="46">
        <f t="shared" si="9"/>
        <v>82.35294117647058</v>
      </c>
      <c r="L89" s="46">
        <f t="shared" si="9"/>
        <v>0</v>
      </c>
      <c r="M89" s="46">
        <f t="shared" si="9"/>
        <v>0</v>
      </c>
      <c r="N89" s="67">
        <f t="shared" si="8"/>
        <v>82.35294117647058</v>
      </c>
      <c r="O89" s="45">
        <v>46.5</v>
      </c>
      <c r="P89" s="46"/>
      <c r="Q89" s="46"/>
      <c r="R89" s="47">
        <f t="shared" si="10"/>
        <v>46.5</v>
      </c>
      <c r="S89" s="28">
        <v>5</v>
      </c>
      <c r="T89" s="284">
        <v>42281</v>
      </c>
      <c r="U89" s="293">
        <v>42307</v>
      </c>
      <c r="V89" s="37" t="s">
        <v>919</v>
      </c>
      <c r="W89" s="28" t="s">
        <v>22</v>
      </c>
      <c r="X89" s="28" t="s">
        <v>11</v>
      </c>
      <c r="Y89" s="38">
        <v>38.700000000000003</v>
      </c>
      <c r="Z89" s="28" t="s">
        <v>479</v>
      </c>
      <c r="AA89" s="28" t="s">
        <v>17</v>
      </c>
      <c r="AB89" s="28" t="s">
        <v>11</v>
      </c>
      <c r="AC89" s="28">
        <v>7.8</v>
      </c>
      <c r="AD89" s="37"/>
      <c r="AG89" s="38"/>
      <c r="AL89" s="37"/>
      <c r="AO89" s="38"/>
      <c r="AP89" s="37"/>
      <c r="AS89" s="38"/>
      <c r="AW89" s="38"/>
      <c r="BA89" s="39"/>
    </row>
    <row r="90" spans="1:53" s="170" customFormat="1" x14ac:dyDescent="0.15">
      <c r="A90" s="170">
        <v>2015</v>
      </c>
      <c r="B90" s="281">
        <v>42334</v>
      </c>
      <c r="C90" s="425" t="s">
        <v>1325</v>
      </c>
      <c r="D90" s="425"/>
      <c r="E90" s="170">
        <v>36</v>
      </c>
      <c r="F90" s="170">
        <v>5</v>
      </c>
      <c r="G90" s="232"/>
      <c r="I90" s="170">
        <v>11</v>
      </c>
      <c r="J90" s="240">
        <v>18</v>
      </c>
      <c r="K90" s="213">
        <f t="shared" ref="K90" si="11">G90/$J90*100</f>
        <v>0</v>
      </c>
      <c r="L90" s="213">
        <f t="shared" ref="L90" si="12">H90/$J90*100</f>
        <v>0</v>
      </c>
      <c r="M90" s="213">
        <f>I90/$J90*100</f>
        <v>61.111111111111114</v>
      </c>
      <c r="N90" s="234">
        <f t="shared" si="8"/>
        <v>61.111111111111114</v>
      </c>
      <c r="O90" s="212"/>
      <c r="P90" s="213"/>
      <c r="Q90" s="213">
        <v>37.299999999999997</v>
      </c>
      <c r="R90" s="214">
        <f t="shared" si="10"/>
        <v>37.299999999999997</v>
      </c>
      <c r="S90" s="170">
        <v>4</v>
      </c>
      <c r="T90" s="283"/>
      <c r="U90" s="281">
        <v>42334</v>
      </c>
      <c r="V90" s="177" t="s">
        <v>95</v>
      </c>
      <c r="W90" s="170" t="s">
        <v>20</v>
      </c>
      <c r="X90" s="170" t="s">
        <v>12</v>
      </c>
      <c r="Y90" s="178">
        <v>37.4</v>
      </c>
      <c r="AD90" s="177"/>
      <c r="AG90" s="178"/>
      <c r="AL90" s="177"/>
      <c r="AO90" s="178"/>
      <c r="AP90" s="177"/>
      <c r="AS90" s="178"/>
      <c r="AW90" s="178"/>
      <c r="BA90" s="179"/>
    </row>
    <row r="91" spans="1:53" s="170" customFormat="1" x14ac:dyDescent="0.15">
      <c r="A91" s="170">
        <v>2016</v>
      </c>
      <c r="B91" s="281"/>
      <c r="C91" s="425" t="s">
        <v>1325</v>
      </c>
      <c r="D91" s="425"/>
      <c r="E91" s="170">
        <v>104</v>
      </c>
      <c r="G91" s="232"/>
      <c r="I91" s="170">
        <v>11</v>
      </c>
      <c r="J91" s="240">
        <v>18</v>
      </c>
      <c r="K91" s="213">
        <f t="shared" ref="K91:K92" si="13">G91/$J91*100</f>
        <v>0</v>
      </c>
      <c r="L91" s="213">
        <f t="shared" ref="L91:L92" si="14">H91/$J91*100</f>
        <v>0</v>
      </c>
      <c r="M91" s="213">
        <f t="shared" ref="M91:M92" si="15">I91/$J91*100</f>
        <v>61.111111111111114</v>
      </c>
      <c r="N91" s="234">
        <f t="shared" ref="N91:N92" si="16">K91+L91+M91</f>
        <v>61.111111111111114</v>
      </c>
      <c r="O91" s="212"/>
      <c r="P91" s="213"/>
      <c r="Q91" s="213">
        <v>37.299999999999997</v>
      </c>
      <c r="R91" s="214">
        <f t="shared" si="10"/>
        <v>37.299999999999997</v>
      </c>
      <c r="S91" s="170">
        <v>4</v>
      </c>
      <c r="T91" s="283"/>
      <c r="U91" s="281"/>
      <c r="V91" s="177" t="s">
        <v>95</v>
      </c>
      <c r="W91" s="170" t="s">
        <v>20</v>
      </c>
      <c r="X91" s="170" t="s">
        <v>12</v>
      </c>
      <c r="Y91" s="178">
        <v>37.4</v>
      </c>
      <c r="AD91" s="177"/>
      <c r="AG91" s="178"/>
      <c r="AL91" s="177"/>
      <c r="AO91" s="178"/>
      <c r="AP91" s="177"/>
      <c r="AS91" s="178"/>
      <c r="AW91" s="178"/>
      <c r="BA91" s="179"/>
    </row>
    <row r="92" spans="1:53" s="170" customFormat="1" x14ac:dyDescent="0.15">
      <c r="A92" s="170">
        <v>2016</v>
      </c>
      <c r="B92" s="303">
        <v>42474</v>
      </c>
      <c r="C92" s="425" t="s">
        <v>1325</v>
      </c>
      <c r="D92" s="425"/>
      <c r="E92" s="170">
        <v>262</v>
      </c>
      <c r="F92" s="243">
        <v>0</v>
      </c>
      <c r="G92" s="232"/>
      <c r="I92" s="170">
        <v>10</v>
      </c>
      <c r="J92" s="240">
        <v>18</v>
      </c>
      <c r="K92" s="213">
        <f t="shared" si="13"/>
        <v>0</v>
      </c>
      <c r="L92" s="213">
        <f t="shared" si="14"/>
        <v>0</v>
      </c>
      <c r="M92" s="213">
        <f t="shared" si="15"/>
        <v>55.555555555555557</v>
      </c>
      <c r="N92" s="234">
        <f t="shared" si="16"/>
        <v>55.555555555555557</v>
      </c>
      <c r="O92" s="212"/>
      <c r="P92" s="213"/>
      <c r="Q92" s="213">
        <v>37.299999999999997</v>
      </c>
      <c r="R92" s="214">
        <f t="shared" si="10"/>
        <v>37.299999999999997</v>
      </c>
      <c r="S92" s="170">
        <v>4</v>
      </c>
      <c r="T92" s="283"/>
      <c r="U92" s="281"/>
      <c r="V92" s="177" t="s">
        <v>95</v>
      </c>
      <c r="W92" s="170" t="s">
        <v>20</v>
      </c>
      <c r="X92" s="170" t="s">
        <v>12</v>
      </c>
      <c r="Y92" s="178">
        <v>37.4</v>
      </c>
      <c r="AD92" s="177"/>
      <c r="AG92" s="178"/>
      <c r="AL92" s="177"/>
      <c r="AO92" s="178"/>
      <c r="AP92" s="177"/>
      <c r="AS92" s="178"/>
      <c r="AW92" s="178"/>
      <c r="BA92" s="179"/>
    </row>
    <row r="93" spans="1:53" s="170" customFormat="1" x14ac:dyDescent="0.15">
      <c r="A93" s="170">
        <v>2017</v>
      </c>
      <c r="B93" s="303"/>
      <c r="C93" s="425" t="s">
        <v>1325</v>
      </c>
      <c r="D93" s="425"/>
      <c r="E93" s="170">
        <v>0</v>
      </c>
      <c r="F93" s="243"/>
      <c r="G93" s="232"/>
      <c r="I93" s="170">
        <v>10</v>
      </c>
      <c r="J93" s="240">
        <v>18</v>
      </c>
      <c r="K93" s="213">
        <f t="shared" ref="K93:K94" si="17">G93/$J93*100</f>
        <v>0</v>
      </c>
      <c r="L93" s="213">
        <f t="shared" ref="L93:L94" si="18">H93/$J93*100</f>
        <v>0</v>
      </c>
      <c r="M93" s="213">
        <f t="shared" ref="M93:M94" si="19">I93/$J93*100</f>
        <v>55.555555555555557</v>
      </c>
      <c r="N93" s="234">
        <f t="shared" ref="N93:N94" si="20">K93+L93+M93</f>
        <v>55.555555555555557</v>
      </c>
      <c r="O93" s="212"/>
      <c r="P93" s="213"/>
      <c r="Q93" s="213">
        <v>37.299999999999997</v>
      </c>
      <c r="R93" s="214">
        <f t="shared" si="10"/>
        <v>37.299999999999997</v>
      </c>
      <c r="S93" s="170">
        <v>4</v>
      </c>
      <c r="T93" s="283"/>
      <c r="U93" s="281"/>
      <c r="V93" s="177" t="s">
        <v>95</v>
      </c>
      <c r="W93" s="170" t="s">
        <v>20</v>
      </c>
      <c r="X93" s="170" t="s">
        <v>12</v>
      </c>
      <c r="Y93" s="178">
        <v>37.4</v>
      </c>
      <c r="AD93" s="177"/>
      <c r="AG93" s="178"/>
      <c r="AL93" s="177"/>
      <c r="AO93" s="178"/>
      <c r="AP93" s="177"/>
      <c r="AS93" s="178"/>
      <c r="AW93" s="178"/>
      <c r="BA93" s="179"/>
    </row>
    <row r="94" spans="1:53" s="170" customFormat="1" x14ac:dyDescent="0.15">
      <c r="A94" s="170">
        <v>2017</v>
      </c>
      <c r="B94" s="303"/>
      <c r="C94" s="425" t="s">
        <v>1325</v>
      </c>
      <c r="D94" s="425"/>
      <c r="E94" s="170">
        <v>365</v>
      </c>
      <c r="F94" s="243"/>
      <c r="G94" s="232"/>
      <c r="I94" s="170">
        <v>10</v>
      </c>
      <c r="J94" s="240">
        <v>18</v>
      </c>
      <c r="K94" s="213">
        <f t="shared" si="17"/>
        <v>0</v>
      </c>
      <c r="L94" s="213">
        <f t="shared" si="18"/>
        <v>0</v>
      </c>
      <c r="M94" s="213">
        <f t="shared" si="19"/>
        <v>55.555555555555557</v>
      </c>
      <c r="N94" s="234">
        <f t="shared" si="20"/>
        <v>55.555555555555557</v>
      </c>
      <c r="O94" s="212"/>
      <c r="P94" s="213"/>
      <c r="Q94" s="213">
        <v>37.299999999999997</v>
      </c>
      <c r="R94" s="214">
        <f t="shared" si="10"/>
        <v>37.299999999999997</v>
      </c>
      <c r="S94" s="170">
        <v>4</v>
      </c>
      <c r="T94" s="283"/>
      <c r="U94" s="281"/>
      <c r="V94" s="177" t="s">
        <v>95</v>
      </c>
      <c r="W94" s="170" t="s">
        <v>20</v>
      </c>
      <c r="X94" s="170" t="s">
        <v>12</v>
      </c>
      <c r="Y94" s="178">
        <v>37.4</v>
      </c>
      <c r="AD94" s="177"/>
      <c r="AG94" s="178"/>
      <c r="AL94" s="177"/>
      <c r="AO94" s="178"/>
      <c r="AP94" s="177"/>
      <c r="AS94" s="178"/>
      <c r="AW94" s="178"/>
      <c r="BA94" s="179"/>
    </row>
    <row r="95" spans="1:53" s="170" customFormat="1" x14ac:dyDescent="0.15">
      <c r="A95" s="170">
        <v>2018</v>
      </c>
      <c r="B95" s="303"/>
      <c r="C95" s="425" t="s">
        <v>1325</v>
      </c>
      <c r="D95" s="425"/>
      <c r="E95" s="170">
        <v>287</v>
      </c>
      <c r="F95" s="243"/>
      <c r="G95" s="232"/>
      <c r="I95" s="170">
        <v>10</v>
      </c>
      <c r="J95" s="240">
        <v>18</v>
      </c>
      <c r="K95" s="213">
        <f t="shared" ref="K95:K96" si="21">G95/$J95*100</f>
        <v>0</v>
      </c>
      <c r="L95" s="213">
        <f t="shared" ref="L95:L96" si="22">H95/$J95*100</f>
        <v>0</v>
      </c>
      <c r="M95" s="213">
        <f t="shared" ref="M95:M96" si="23">I95/$J95*100</f>
        <v>55.555555555555557</v>
      </c>
      <c r="N95" s="234">
        <f t="shared" ref="N95:N96" si="24">K95+L95+M95</f>
        <v>55.555555555555557</v>
      </c>
      <c r="O95" s="212"/>
      <c r="P95" s="213"/>
      <c r="Q95" s="213">
        <v>37.299999999999997</v>
      </c>
      <c r="R95" s="214">
        <f t="shared" ref="R95:R96" si="25">O95+P95+Q95</f>
        <v>37.299999999999997</v>
      </c>
      <c r="S95" s="170">
        <v>4</v>
      </c>
      <c r="T95" s="283"/>
      <c r="U95" s="281"/>
      <c r="V95" s="177" t="s">
        <v>95</v>
      </c>
      <c r="W95" s="170" t="s">
        <v>20</v>
      </c>
      <c r="X95" s="170" t="s">
        <v>12</v>
      </c>
      <c r="Y95" s="178">
        <v>37.4</v>
      </c>
      <c r="AD95" s="177"/>
      <c r="AG95" s="178"/>
      <c r="AL95" s="177"/>
      <c r="AO95" s="178"/>
      <c r="AP95" s="177"/>
      <c r="AS95" s="178"/>
      <c r="AW95" s="178"/>
      <c r="BA95" s="179"/>
    </row>
    <row r="96" spans="1:53" s="170" customFormat="1" x14ac:dyDescent="0.15">
      <c r="A96" s="170">
        <v>2018</v>
      </c>
      <c r="B96" s="303">
        <v>43388</v>
      </c>
      <c r="C96" s="425" t="s">
        <v>1325</v>
      </c>
      <c r="D96" s="425"/>
      <c r="E96" s="170">
        <v>78</v>
      </c>
      <c r="F96" s="243">
        <v>0</v>
      </c>
      <c r="G96" s="232"/>
      <c r="I96" s="170">
        <v>12</v>
      </c>
      <c r="J96" s="240">
        <v>17</v>
      </c>
      <c r="K96" s="213">
        <f t="shared" si="21"/>
        <v>0</v>
      </c>
      <c r="L96" s="213">
        <f t="shared" si="22"/>
        <v>0</v>
      </c>
      <c r="M96" s="213">
        <f t="shared" si="23"/>
        <v>70.588235294117652</v>
      </c>
      <c r="N96" s="234">
        <f t="shared" si="24"/>
        <v>70.588235294117652</v>
      </c>
      <c r="O96" s="212"/>
      <c r="P96" s="213"/>
      <c r="Q96" s="213">
        <v>37.299999999999997</v>
      </c>
      <c r="R96" s="214">
        <f t="shared" si="25"/>
        <v>37.299999999999997</v>
      </c>
      <c r="S96" s="170">
        <v>4</v>
      </c>
      <c r="T96" s="283"/>
      <c r="U96" s="281"/>
      <c r="V96" s="177" t="s">
        <v>95</v>
      </c>
      <c r="W96" s="170" t="s">
        <v>20</v>
      </c>
      <c r="X96" s="170" t="s">
        <v>12</v>
      </c>
      <c r="Y96" s="178">
        <v>37.4</v>
      </c>
      <c r="AD96" s="177"/>
      <c r="AG96" s="178"/>
      <c r="AL96" s="177"/>
      <c r="AO96" s="178"/>
      <c r="AP96" s="177"/>
      <c r="AS96" s="178"/>
      <c r="AW96" s="178"/>
      <c r="BA96" s="179"/>
    </row>
    <row r="97" spans="1:53" s="170" customFormat="1" x14ac:dyDescent="0.15">
      <c r="A97" s="170">
        <v>2019</v>
      </c>
      <c r="B97" s="303"/>
      <c r="C97" s="425" t="s">
        <v>1325</v>
      </c>
      <c r="D97" s="425"/>
      <c r="E97" s="170">
        <v>48</v>
      </c>
      <c r="F97" s="243"/>
      <c r="G97" s="232"/>
      <c r="I97" s="170">
        <v>12</v>
      </c>
      <c r="J97" s="240">
        <v>17</v>
      </c>
      <c r="K97" s="213">
        <f t="shared" ref="K97:K103" si="26">G97/$J97*100</f>
        <v>0</v>
      </c>
      <c r="L97" s="213">
        <f t="shared" ref="L97:L103" si="27">H97/$J97*100</f>
        <v>0</v>
      </c>
      <c r="M97" s="213">
        <f t="shared" ref="M97:M103" si="28">I97/$J97*100</f>
        <v>70.588235294117652</v>
      </c>
      <c r="N97" s="234">
        <f t="shared" ref="N97:N103" si="29">K97+L97+M97</f>
        <v>70.588235294117652</v>
      </c>
      <c r="O97" s="212"/>
      <c r="P97" s="213"/>
      <c r="Q97" s="213">
        <v>37.299999999999997</v>
      </c>
      <c r="R97" s="214">
        <f t="shared" ref="R97:R103" si="30">O97+P97+Q97</f>
        <v>37.299999999999997</v>
      </c>
      <c r="S97" s="170">
        <v>4</v>
      </c>
      <c r="T97" s="283"/>
      <c r="U97" s="281"/>
      <c r="V97" s="177" t="s">
        <v>95</v>
      </c>
      <c r="W97" s="170" t="s">
        <v>20</v>
      </c>
      <c r="X97" s="170" t="s">
        <v>12</v>
      </c>
      <c r="Y97" s="178">
        <v>37.4</v>
      </c>
      <c r="AD97" s="177"/>
      <c r="AG97" s="178"/>
      <c r="AL97" s="177"/>
      <c r="AO97" s="178"/>
      <c r="AP97" s="177"/>
      <c r="AS97" s="178"/>
      <c r="AW97" s="178"/>
      <c r="BA97" s="179"/>
    </row>
    <row r="98" spans="1:53" s="170" customFormat="1" x14ac:dyDescent="0.15">
      <c r="A98" s="170">
        <v>2019</v>
      </c>
      <c r="B98" s="303">
        <v>43514</v>
      </c>
      <c r="C98" s="425" t="s">
        <v>1325</v>
      </c>
      <c r="D98" s="425"/>
      <c r="E98" s="170">
        <v>250</v>
      </c>
      <c r="F98" s="243">
        <v>0</v>
      </c>
      <c r="G98" s="232"/>
      <c r="I98" s="170">
        <v>15</v>
      </c>
      <c r="J98" s="240">
        <v>18</v>
      </c>
      <c r="K98" s="213">
        <f t="shared" si="26"/>
        <v>0</v>
      </c>
      <c r="L98" s="213">
        <f t="shared" si="27"/>
        <v>0</v>
      </c>
      <c r="M98" s="213">
        <f t="shared" si="28"/>
        <v>83.333333333333343</v>
      </c>
      <c r="N98" s="234">
        <f t="shared" si="29"/>
        <v>83.333333333333343</v>
      </c>
      <c r="O98" s="212"/>
      <c r="P98" s="213"/>
      <c r="Q98" s="213">
        <v>37.299999999999997</v>
      </c>
      <c r="R98" s="214">
        <f t="shared" si="30"/>
        <v>37.299999999999997</v>
      </c>
      <c r="S98" s="170">
        <v>4</v>
      </c>
      <c r="T98" s="283"/>
      <c r="U98" s="281"/>
      <c r="V98" s="177" t="s">
        <v>95</v>
      </c>
      <c r="W98" s="170" t="s">
        <v>20</v>
      </c>
      <c r="X98" s="170" t="s">
        <v>12</v>
      </c>
      <c r="Y98" s="178">
        <v>37.4</v>
      </c>
      <c r="AD98" s="177"/>
      <c r="AG98" s="178"/>
      <c r="AL98" s="177"/>
      <c r="AO98" s="178"/>
      <c r="AP98" s="177"/>
      <c r="AS98" s="178"/>
      <c r="AW98" s="178"/>
      <c r="BA98" s="179"/>
    </row>
    <row r="99" spans="1:53" s="28" customFormat="1" x14ac:dyDescent="0.15">
      <c r="A99" s="28">
        <v>2019</v>
      </c>
      <c r="B99" s="293">
        <v>43764</v>
      </c>
      <c r="C99" s="394" t="s">
        <v>1424</v>
      </c>
      <c r="D99" s="394"/>
      <c r="E99" s="28">
        <v>67</v>
      </c>
      <c r="F99" s="39">
        <v>1</v>
      </c>
      <c r="I99" s="28">
        <v>13</v>
      </c>
      <c r="J99" s="72">
        <v>18</v>
      </c>
      <c r="K99" s="46">
        <f t="shared" si="26"/>
        <v>0</v>
      </c>
      <c r="L99" s="46">
        <f t="shared" si="27"/>
        <v>0</v>
      </c>
      <c r="M99" s="46">
        <f t="shared" si="28"/>
        <v>72.222222222222214</v>
      </c>
      <c r="N99" s="47">
        <f t="shared" si="29"/>
        <v>72.222222222222214</v>
      </c>
      <c r="O99" s="46"/>
      <c r="P99" s="46"/>
      <c r="Q99" s="46">
        <v>47</v>
      </c>
      <c r="R99" s="47">
        <f t="shared" si="30"/>
        <v>47</v>
      </c>
      <c r="S99" s="36">
        <v>4</v>
      </c>
      <c r="T99" s="319">
        <v>43744</v>
      </c>
      <c r="U99" s="293">
        <v>43764</v>
      </c>
      <c r="V99" s="37" t="s">
        <v>95</v>
      </c>
      <c r="W99" s="28" t="s">
        <v>20</v>
      </c>
      <c r="X99" s="28" t="s">
        <v>12</v>
      </c>
      <c r="Y99" s="38">
        <v>47</v>
      </c>
      <c r="AD99" s="37"/>
      <c r="AG99" s="38"/>
      <c r="AL99" s="37"/>
      <c r="AO99" s="38"/>
      <c r="AS99" s="38"/>
      <c r="AW99" s="38"/>
      <c r="BA99" s="39"/>
    </row>
    <row r="100" spans="1:53" s="28" customFormat="1" x14ac:dyDescent="0.15">
      <c r="A100" s="28">
        <v>2020</v>
      </c>
      <c r="B100" s="293"/>
      <c r="C100" s="394" t="s">
        <v>1424</v>
      </c>
      <c r="D100" s="394"/>
      <c r="E100" s="28">
        <v>0</v>
      </c>
      <c r="F100" s="39"/>
      <c r="I100" s="28">
        <v>13</v>
      </c>
      <c r="J100" s="72">
        <v>18</v>
      </c>
      <c r="K100" s="46">
        <f t="shared" si="26"/>
        <v>0</v>
      </c>
      <c r="L100" s="46">
        <f t="shared" si="27"/>
        <v>0</v>
      </c>
      <c r="M100" s="46">
        <f t="shared" si="28"/>
        <v>72.222222222222214</v>
      </c>
      <c r="N100" s="47">
        <f t="shared" si="29"/>
        <v>72.222222222222214</v>
      </c>
      <c r="O100" s="46"/>
      <c r="P100" s="46"/>
      <c r="Q100" s="46">
        <v>47</v>
      </c>
      <c r="R100" s="47">
        <f t="shared" si="30"/>
        <v>47</v>
      </c>
      <c r="S100" s="36">
        <v>4</v>
      </c>
      <c r="T100" s="284"/>
      <c r="U100" s="290"/>
      <c r="V100" s="28" t="s">
        <v>95</v>
      </c>
      <c r="W100" s="28" t="s">
        <v>20</v>
      </c>
      <c r="X100" s="28" t="s">
        <v>12</v>
      </c>
      <c r="Y100" s="38">
        <v>47</v>
      </c>
      <c r="AC100" s="38"/>
      <c r="AG100" s="38"/>
      <c r="AK100" s="38"/>
      <c r="AO100" s="38"/>
      <c r="AS100" s="38"/>
      <c r="AW100" s="38"/>
      <c r="BA100" s="39"/>
    </row>
    <row r="101" spans="1:53" s="28" customFormat="1" x14ac:dyDescent="0.15">
      <c r="A101" s="28">
        <v>2020</v>
      </c>
      <c r="B101" s="293"/>
      <c r="C101" s="394" t="s">
        <v>1424</v>
      </c>
      <c r="D101" s="394"/>
      <c r="E101" s="28">
        <v>366</v>
      </c>
      <c r="F101" s="39"/>
      <c r="I101" s="28">
        <v>13</v>
      </c>
      <c r="J101" s="72">
        <v>18</v>
      </c>
      <c r="K101" s="46">
        <f t="shared" si="26"/>
        <v>0</v>
      </c>
      <c r="L101" s="46">
        <f t="shared" si="27"/>
        <v>0</v>
      </c>
      <c r="M101" s="46">
        <f t="shared" si="28"/>
        <v>72.222222222222214</v>
      </c>
      <c r="N101" s="47">
        <f t="shared" si="29"/>
        <v>72.222222222222214</v>
      </c>
      <c r="O101" s="46"/>
      <c r="P101" s="46"/>
      <c r="Q101" s="46">
        <v>47</v>
      </c>
      <c r="R101" s="47">
        <f t="shared" si="30"/>
        <v>47</v>
      </c>
      <c r="S101" s="36">
        <v>4</v>
      </c>
      <c r="T101" s="284"/>
      <c r="U101" s="290"/>
      <c r="V101" s="28" t="s">
        <v>95</v>
      </c>
      <c r="W101" s="28" t="s">
        <v>20</v>
      </c>
      <c r="X101" s="28" t="s">
        <v>12</v>
      </c>
      <c r="Y101" s="38">
        <v>47</v>
      </c>
      <c r="AC101" s="38"/>
      <c r="AG101" s="38"/>
      <c r="AK101" s="38"/>
      <c r="AO101" s="38"/>
      <c r="AS101" s="38"/>
      <c r="AW101" s="38"/>
      <c r="BA101" s="39"/>
    </row>
    <row r="102" spans="1:53" s="28" customFormat="1" x14ac:dyDescent="0.15">
      <c r="A102" s="28">
        <v>2021</v>
      </c>
      <c r="B102" s="293"/>
      <c r="C102" s="394" t="s">
        <v>1424</v>
      </c>
      <c r="D102" s="394"/>
      <c r="E102" s="28">
        <v>338</v>
      </c>
      <c r="F102" s="39"/>
      <c r="I102" s="28">
        <v>13</v>
      </c>
      <c r="J102" s="72">
        <v>18</v>
      </c>
      <c r="K102" s="46">
        <f t="shared" si="26"/>
        <v>0</v>
      </c>
      <c r="L102" s="46">
        <f t="shared" si="27"/>
        <v>0</v>
      </c>
      <c r="M102" s="46">
        <f t="shared" si="28"/>
        <v>72.222222222222214</v>
      </c>
      <c r="N102" s="47">
        <f t="shared" si="29"/>
        <v>72.222222222222214</v>
      </c>
      <c r="O102" s="46"/>
      <c r="P102" s="46"/>
      <c r="Q102" s="46">
        <v>47</v>
      </c>
      <c r="R102" s="47">
        <f t="shared" si="30"/>
        <v>47</v>
      </c>
      <c r="S102" s="36">
        <v>4</v>
      </c>
      <c r="T102" s="284"/>
      <c r="U102" s="290"/>
      <c r="V102" s="28" t="s">
        <v>95</v>
      </c>
      <c r="W102" s="28" t="s">
        <v>20</v>
      </c>
      <c r="X102" s="28" t="s">
        <v>12</v>
      </c>
      <c r="Y102" s="38">
        <v>47</v>
      </c>
      <c r="AC102" s="38"/>
      <c r="AG102" s="38"/>
      <c r="AK102" s="38"/>
      <c r="AO102" s="38"/>
      <c r="AS102" s="38"/>
      <c r="AW102" s="38"/>
      <c r="BA102" s="39"/>
    </row>
    <row r="103" spans="1:53" s="28" customFormat="1" x14ac:dyDescent="0.15">
      <c r="A103" s="28">
        <v>2021</v>
      </c>
      <c r="B103" s="301">
        <v>44534</v>
      </c>
      <c r="C103" s="394" t="s">
        <v>1424</v>
      </c>
      <c r="D103" s="394"/>
      <c r="E103" s="28">
        <v>5</v>
      </c>
      <c r="F103" s="340">
        <v>0</v>
      </c>
      <c r="I103" s="28">
        <v>12</v>
      </c>
      <c r="J103" s="72">
        <v>17</v>
      </c>
      <c r="K103" s="46">
        <f t="shared" si="26"/>
        <v>0</v>
      </c>
      <c r="L103" s="46">
        <f t="shared" si="27"/>
        <v>0</v>
      </c>
      <c r="M103" s="46">
        <f t="shared" si="28"/>
        <v>70.588235294117652</v>
      </c>
      <c r="N103" s="47">
        <f t="shared" si="29"/>
        <v>70.588235294117652</v>
      </c>
      <c r="O103" s="46"/>
      <c r="P103" s="46"/>
      <c r="Q103" s="46">
        <v>47</v>
      </c>
      <c r="R103" s="47">
        <f t="shared" si="30"/>
        <v>47</v>
      </c>
      <c r="S103" s="36">
        <v>4</v>
      </c>
      <c r="T103" s="284"/>
      <c r="U103" s="290"/>
      <c r="V103" s="28" t="s">
        <v>95</v>
      </c>
      <c r="W103" s="28" t="s">
        <v>20</v>
      </c>
      <c r="X103" s="28" t="s">
        <v>12</v>
      </c>
      <c r="Y103" s="38">
        <v>47</v>
      </c>
      <c r="AC103" s="38"/>
      <c r="AG103" s="38"/>
      <c r="AK103" s="38"/>
      <c r="AO103" s="38"/>
      <c r="AS103" s="38"/>
      <c r="AW103" s="38"/>
      <c r="BA103" s="39"/>
    </row>
    <row r="104" spans="1:53" s="170" customFormat="1" x14ac:dyDescent="0.15">
      <c r="A104" s="215">
        <v>2021</v>
      </c>
      <c r="B104" s="281">
        <v>44539</v>
      </c>
      <c r="C104" s="395" t="s">
        <v>1509</v>
      </c>
      <c r="D104" s="395"/>
      <c r="E104" s="170">
        <v>22</v>
      </c>
      <c r="F104" s="170">
        <v>6</v>
      </c>
      <c r="G104" s="232">
        <v>0</v>
      </c>
      <c r="H104" s="170">
        <v>0</v>
      </c>
      <c r="I104" s="170">
        <v>0</v>
      </c>
      <c r="J104" s="240">
        <v>0</v>
      </c>
      <c r="K104" s="213">
        <v>0</v>
      </c>
      <c r="L104" s="213">
        <v>0</v>
      </c>
      <c r="M104" s="213">
        <v>0</v>
      </c>
      <c r="N104" s="234">
        <v>0</v>
      </c>
      <c r="O104" s="212"/>
      <c r="P104" s="213"/>
      <c r="Q104" s="213">
        <v>0</v>
      </c>
      <c r="R104" s="214">
        <v>0</v>
      </c>
      <c r="S104" s="170">
        <v>6</v>
      </c>
      <c r="T104" s="283"/>
      <c r="U104" s="281">
        <v>44539</v>
      </c>
      <c r="V104" s="241" t="s">
        <v>799</v>
      </c>
      <c r="Y104" s="178"/>
      <c r="AD104" s="177"/>
      <c r="AG104" s="178"/>
      <c r="AL104" s="177"/>
      <c r="AO104" s="178"/>
      <c r="AP104" s="177"/>
      <c r="AS104" s="178"/>
      <c r="AW104" s="178"/>
      <c r="BA104" s="179"/>
    </row>
    <row r="105" spans="1:53" s="170" customFormat="1" x14ac:dyDescent="0.15">
      <c r="A105" s="215">
        <v>2022</v>
      </c>
      <c r="B105" s="281"/>
      <c r="C105" s="395" t="s">
        <v>1509</v>
      </c>
      <c r="D105" s="395"/>
      <c r="E105" s="170">
        <v>86</v>
      </c>
      <c r="G105" s="232">
        <v>0</v>
      </c>
      <c r="H105" s="170">
        <v>0</v>
      </c>
      <c r="I105" s="170">
        <v>0</v>
      </c>
      <c r="J105" s="240">
        <v>0</v>
      </c>
      <c r="K105" s="213">
        <v>0</v>
      </c>
      <c r="L105" s="213">
        <v>0</v>
      </c>
      <c r="M105" s="213">
        <v>0</v>
      </c>
      <c r="N105" s="234">
        <v>0</v>
      </c>
      <c r="O105" s="212"/>
      <c r="P105" s="213"/>
      <c r="Q105" s="213">
        <v>0</v>
      </c>
      <c r="R105" s="214">
        <v>0</v>
      </c>
      <c r="S105" s="170">
        <v>6</v>
      </c>
      <c r="T105" s="283"/>
      <c r="U105" s="281"/>
      <c r="V105" s="241" t="s">
        <v>799</v>
      </c>
      <c r="Y105" s="178"/>
      <c r="AD105" s="177"/>
      <c r="AG105" s="178"/>
      <c r="AL105" s="177"/>
      <c r="AO105" s="178"/>
      <c r="AP105" s="177"/>
      <c r="AS105" s="178"/>
      <c r="AW105" s="178"/>
      <c r="BA105" s="179"/>
    </row>
    <row r="106" spans="1:53" s="28" customFormat="1" x14ac:dyDescent="0.15">
      <c r="A106" s="28">
        <v>2022</v>
      </c>
      <c r="B106" s="293">
        <v>44648</v>
      </c>
      <c r="C106" s="394" t="s">
        <v>1529</v>
      </c>
      <c r="D106" s="394"/>
      <c r="E106" s="28">
        <v>279</v>
      </c>
      <c r="F106" s="39">
        <v>1</v>
      </c>
      <c r="I106" s="28">
        <v>11</v>
      </c>
      <c r="J106" s="72">
        <v>18</v>
      </c>
      <c r="K106" s="46">
        <f>G106/$J106*100</f>
        <v>0</v>
      </c>
      <c r="L106" s="46">
        <f>H106/$J106*100</f>
        <v>0</v>
      </c>
      <c r="M106" s="46">
        <f>I106/$J106*100</f>
        <v>61.111111111111114</v>
      </c>
      <c r="N106" s="47">
        <f>K106+L106+M106</f>
        <v>61.111111111111114</v>
      </c>
      <c r="O106" s="46"/>
      <c r="P106" s="46"/>
      <c r="Q106" s="46">
        <v>52.2</v>
      </c>
      <c r="R106" s="47">
        <f>O106+P106+Q106</f>
        <v>52.2</v>
      </c>
      <c r="S106" s="36">
        <v>1</v>
      </c>
      <c r="T106" s="284">
        <v>44650</v>
      </c>
      <c r="U106" s="290">
        <v>44648</v>
      </c>
      <c r="V106" s="28" t="s">
        <v>95</v>
      </c>
      <c r="W106" s="28" t="s">
        <v>20</v>
      </c>
      <c r="X106" s="28" t="s">
        <v>12</v>
      </c>
      <c r="Y106" s="38">
        <v>52.2</v>
      </c>
      <c r="AC106" s="38"/>
      <c r="AG106" s="38"/>
      <c r="AK106" s="38"/>
      <c r="AO106" s="38"/>
      <c r="AS106" s="38"/>
      <c r="AW106" s="38"/>
      <c r="BA106" s="39"/>
    </row>
    <row r="107" spans="1:53" s="28" customFormat="1" x14ac:dyDescent="0.15">
      <c r="B107" s="293"/>
      <c r="J107" s="71"/>
      <c r="K107" s="46"/>
      <c r="L107" s="46"/>
      <c r="M107" s="46"/>
      <c r="N107" s="67"/>
      <c r="O107" s="46"/>
      <c r="P107" s="46"/>
      <c r="Q107" s="46"/>
      <c r="R107" s="67"/>
      <c r="T107" s="293"/>
      <c r="U107" s="293"/>
    </row>
    <row r="108" spans="1:53" ht="18" customHeight="1" x14ac:dyDescent="0.15">
      <c r="B108" s="15" t="s">
        <v>1262</v>
      </c>
      <c r="H108" s="4"/>
    </row>
    <row r="109" spans="1:53" ht="9" customHeight="1" x14ac:dyDescent="0.15">
      <c r="H109" s="4"/>
    </row>
    <row r="110" spans="1:53" s="194" customFormat="1" ht="9" customHeight="1" x14ac:dyDescent="0.15">
      <c r="A110" s="192"/>
      <c r="B110" s="193" t="s">
        <v>1213</v>
      </c>
      <c r="C110" s="193"/>
      <c r="D110" s="193"/>
      <c r="E110" s="193"/>
      <c r="F110" s="193"/>
      <c r="G110" s="193" t="s">
        <v>1214</v>
      </c>
      <c r="H110" s="193"/>
      <c r="I110" s="193"/>
      <c r="J110" s="193"/>
      <c r="K110" s="193"/>
      <c r="L110" s="193"/>
      <c r="M110" s="193"/>
      <c r="N110" s="193"/>
      <c r="R110" s="386" t="s">
        <v>1215</v>
      </c>
      <c r="S110" s="386"/>
      <c r="T110" s="386"/>
      <c r="U110" s="386"/>
      <c r="V110" s="386"/>
      <c r="W110" s="386"/>
      <c r="X110" s="195"/>
      <c r="Y110" s="195"/>
      <c r="AA110" s="195"/>
      <c r="AB110" s="195"/>
      <c r="AC110" s="195"/>
      <c r="AD110" s="195"/>
    </row>
    <row r="111" spans="1:53" s="199" customFormat="1" ht="9" customHeight="1" x14ac:dyDescent="0.15">
      <c r="A111" s="196"/>
      <c r="B111" s="197" t="s">
        <v>1217</v>
      </c>
      <c r="C111" s="198"/>
      <c r="D111" s="198"/>
      <c r="E111" s="198"/>
      <c r="F111" s="198"/>
      <c r="G111" s="197" t="s">
        <v>1216</v>
      </c>
      <c r="H111" s="198"/>
      <c r="I111" s="198"/>
      <c r="J111" s="198"/>
      <c r="K111" s="198"/>
      <c r="L111" s="198"/>
      <c r="M111" s="198"/>
      <c r="N111" s="198"/>
      <c r="R111" s="200" t="s">
        <v>1218</v>
      </c>
      <c r="S111" s="201"/>
      <c r="T111" s="202"/>
      <c r="U111" s="202"/>
      <c r="V111" s="202"/>
      <c r="W111" s="200" t="s">
        <v>1219</v>
      </c>
      <c r="X111" s="202"/>
      <c r="Y111" s="202"/>
      <c r="AA111" s="202"/>
      <c r="AB111" s="202"/>
      <c r="AC111" s="202"/>
      <c r="AD111" s="202"/>
    </row>
    <row r="112" spans="1:53" s="185" customFormat="1" ht="12" customHeight="1" x14ac:dyDescent="0.15">
      <c r="A112" s="203" t="s">
        <v>3</v>
      </c>
      <c r="B112" s="204" t="s">
        <v>8</v>
      </c>
      <c r="C112" s="204" t="s">
        <v>9</v>
      </c>
      <c r="D112" s="204" t="s">
        <v>10</v>
      </c>
      <c r="E112" s="205" t="s">
        <v>1193</v>
      </c>
      <c r="F112" s="204"/>
      <c r="G112" s="185" t="s">
        <v>3</v>
      </c>
      <c r="H112" s="387" t="s">
        <v>0</v>
      </c>
      <c r="I112" s="387"/>
      <c r="J112" s="387" t="s">
        <v>1</v>
      </c>
      <c r="K112" s="387"/>
      <c r="L112" s="387" t="s">
        <v>2</v>
      </c>
      <c r="M112" s="387"/>
      <c r="N112" s="388" t="s">
        <v>1193</v>
      </c>
      <c r="O112" s="388"/>
      <c r="P112" s="206"/>
      <c r="Q112" s="206"/>
      <c r="R112" s="207" t="s">
        <v>3</v>
      </c>
      <c r="S112" s="208" t="s">
        <v>135</v>
      </c>
      <c r="T112" s="206" t="s">
        <v>133</v>
      </c>
      <c r="U112" s="204" t="s">
        <v>134</v>
      </c>
      <c r="V112" s="206"/>
      <c r="W112" s="209" t="s">
        <v>26</v>
      </c>
    </row>
    <row r="113" spans="1:23" x14ac:dyDescent="0.15">
      <c r="A113" s="1">
        <v>1960</v>
      </c>
      <c r="B113" s="5"/>
      <c r="C113" s="5"/>
      <c r="D113" s="5"/>
      <c r="E113" s="17"/>
      <c r="F113" s="5"/>
      <c r="G113" s="1">
        <v>1960</v>
      </c>
      <c r="H113" s="5"/>
      <c r="I113" s="5"/>
      <c r="J113" s="5"/>
      <c r="K113" s="5"/>
      <c r="L113" s="5"/>
      <c r="M113" s="5"/>
      <c r="N113" s="17"/>
      <c r="O113" s="17"/>
      <c r="P113" s="9"/>
      <c r="Q113" s="9"/>
      <c r="R113" s="1">
        <v>1960</v>
      </c>
      <c r="S113" s="6"/>
      <c r="T113" s="9"/>
      <c r="U113" s="5"/>
      <c r="V113" s="9"/>
      <c r="W113" s="114"/>
    </row>
    <row r="114" spans="1:23" x14ac:dyDescent="0.15">
      <c r="A114" s="1">
        <v>1961</v>
      </c>
      <c r="B114" s="5"/>
      <c r="C114" s="5"/>
      <c r="D114" s="5"/>
      <c r="E114" s="17"/>
      <c r="F114" s="5"/>
      <c r="G114" s="1">
        <v>1961</v>
      </c>
      <c r="H114" s="5"/>
      <c r="I114" s="5"/>
      <c r="J114" s="5"/>
      <c r="K114" s="5"/>
      <c r="L114" s="5"/>
      <c r="M114" s="5"/>
      <c r="N114" s="17"/>
      <c r="O114" s="17"/>
      <c r="P114" s="9"/>
      <c r="Q114" s="9"/>
      <c r="R114" s="1">
        <v>1961</v>
      </c>
      <c r="S114" s="6"/>
      <c r="T114" s="9"/>
      <c r="U114" s="5"/>
      <c r="V114" s="9"/>
      <c r="W114" s="114"/>
    </row>
    <row r="115" spans="1:23" x14ac:dyDescent="0.15">
      <c r="A115" s="1">
        <v>1962</v>
      </c>
      <c r="B115" s="5"/>
      <c r="C115" s="5"/>
      <c r="D115" s="5"/>
      <c r="E115" s="17"/>
      <c r="F115" s="5"/>
      <c r="G115" s="1">
        <v>1962</v>
      </c>
      <c r="H115" s="5"/>
      <c r="I115" s="5"/>
      <c r="J115" s="5"/>
      <c r="K115" s="5"/>
      <c r="L115" s="5"/>
      <c r="M115" s="5"/>
      <c r="N115" s="17"/>
      <c r="O115" s="17"/>
      <c r="P115" s="9"/>
      <c r="Q115" s="9"/>
      <c r="R115" s="1">
        <v>1962</v>
      </c>
      <c r="S115" s="6"/>
      <c r="T115" s="9"/>
      <c r="U115" s="5"/>
      <c r="V115" s="9"/>
      <c r="W115" s="114"/>
    </row>
    <row r="116" spans="1:23" x14ac:dyDescent="0.15">
      <c r="A116" s="1">
        <v>1963</v>
      </c>
      <c r="B116" s="5"/>
      <c r="C116" s="5"/>
      <c r="D116" s="5"/>
      <c r="E116" s="17"/>
      <c r="F116" s="5"/>
      <c r="G116" s="1">
        <v>1963</v>
      </c>
      <c r="H116" s="5"/>
      <c r="I116" s="5"/>
      <c r="J116" s="5"/>
      <c r="K116" s="5"/>
      <c r="L116" s="5"/>
      <c r="M116" s="5"/>
      <c r="N116" s="17"/>
      <c r="O116" s="17"/>
      <c r="P116" s="9"/>
      <c r="Q116" s="9"/>
      <c r="R116" s="1">
        <v>1963</v>
      </c>
      <c r="S116" s="6"/>
      <c r="T116" s="9"/>
      <c r="U116" s="5"/>
      <c r="V116" s="9"/>
      <c r="W116" s="114"/>
    </row>
    <row r="117" spans="1:23" x14ac:dyDescent="0.15">
      <c r="A117" s="1">
        <v>1964</v>
      </c>
      <c r="B117" s="5"/>
      <c r="C117" s="5"/>
      <c r="D117" s="5"/>
      <c r="E117" s="17"/>
      <c r="F117" s="5"/>
      <c r="G117" s="1">
        <v>1964</v>
      </c>
      <c r="H117" s="5"/>
      <c r="I117" s="5"/>
      <c r="J117" s="5"/>
      <c r="K117" s="5"/>
      <c r="L117" s="5"/>
      <c r="M117" s="5"/>
      <c r="N117" s="17"/>
      <c r="O117" s="17"/>
      <c r="P117" s="9"/>
      <c r="Q117" s="9"/>
      <c r="R117" s="1">
        <v>1964</v>
      </c>
      <c r="S117" s="6"/>
      <c r="T117" s="9"/>
      <c r="U117" s="5"/>
      <c r="V117" s="9"/>
      <c r="W117" s="114"/>
    </row>
    <row r="118" spans="1:23" x14ac:dyDescent="0.15">
      <c r="A118" s="1">
        <v>1965</v>
      </c>
      <c r="B118" s="5"/>
      <c r="C118" s="5"/>
      <c r="D118" s="5"/>
      <c r="E118" s="17"/>
      <c r="F118" s="5"/>
      <c r="G118" s="1">
        <v>1965</v>
      </c>
      <c r="H118" s="5"/>
      <c r="I118" s="5"/>
      <c r="J118" s="5"/>
      <c r="K118" s="5"/>
      <c r="L118" s="5"/>
      <c r="M118" s="5"/>
      <c r="N118" s="17"/>
      <c r="O118" s="17"/>
      <c r="P118" s="9"/>
      <c r="Q118" s="9"/>
      <c r="R118" s="1">
        <v>1965</v>
      </c>
      <c r="S118" s="6"/>
      <c r="T118" s="9"/>
      <c r="U118" s="5"/>
      <c r="V118" s="9"/>
      <c r="W118" s="114"/>
    </row>
    <row r="119" spans="1:23" x14ac:dyDescent="0.15">
      <c r="A119" s="1">
        <v>1966</v>
      </c>
      <c r="B119" s="5"/>
      <c r="C119" s="5"/>
      <c r="D119" s="5"/>
      <c r="E119" s="17"/>
      <c r="F119" s="5"/>
      <c r="G119" s="1">
        <v>1966</v>
      </c>
      <c r="H119" s="5"/>
      <c r="I119" s="5"/>
      <c r="J119" s="5"/>
      <c r="K119" s="5"/>
      <c r="L119" s="5"/>
      <c r="M119" s="5"/>
      <c r="N119" s="17"/>
      <c r="O119" s="17"/>
      <c r="P119" s="9"/>
      <c r="Q119" s="9"/>
      <c r="R119" s="1">
        <v>1966</v>
      </c>
      <c r="S119" s="6"/>
      <c r="T119" s="9"/>
      <c r="U119" s="5"/>
      <c r="V119" s="9"/>
      <c r="W119" s="114"/>
    </row>
    <row r="120" spans="1:23" x14ac:dyDescent="0.15">
      <c r="A120" s="1">
        <v>1967</v>
      </c>
      <c r="B120" s="5"/>
      <c r="C120" s="5"/>
      <c r="D120" s="5"/>
      <c r="E120" s="17"/>
      <c r="F120" s="5"/>
      <c r="G120" s="1">
        <v>1967</v>
      </c>
      <c r="H120" s="5"/>
      <c r="I120" s="5"/>
      <c r="J120" s="5"/>
      <c r="K120" s="5"/>
      <c r="L120" s="5"/>
      <c r="M120" s="5"/>
      <c r="N120" s="17"/>
      <c r="O120" s="17"/>
      <c r="P120" s="9"/>
      <c r="Q120" s="9"/>
      <c r="R120" s="1">
        <v>1967</v>
      </c>
      <c r="S120" s="6"/>
      <c r="T120" s="9"/>
      <c r="U120" s="5"/>
      <c r="V120" s="9"/>
      <c r="W120" s="114"/>
    </row>
    <row r="121" spans="1:23" x14ac:dyDescent="0.15">
      <c r="A121" s="1">
        <v>1968</v>
      </c>
      <c r="B121" s="5"/>
      <c r="C121" s="5"/>
      <c r="D121" s="5"/>
      <c r="E121" s="17"/>
      <c r="F121" s="5"/>
      <c r="G121" s="1">
        <v>1968</v>
      </c>
      <c r="H121" s="5"/>
      <c r="I121" s="5"/>
      <c r="J121" s="5"/>
      <c r="K121" s="5"/>
      <c r="L121" s="5"/>
      <c r="M121" s="5"/>
      <c r="N121" s="17"/>
      <c r="O121" s="17"/>
      <c r="P121" s="9"/>
      <c r="Q121" s="9"/>
      <c r="R121" s="1">
        <v>1968</v>
      </c>
      <c r="S121" s="6"/>
      <c r="T121" s="9"/>
      <c r="U121" s="5"/>
      <c r="V121" s="9"/>
      <c r="W121" s="114"/>
    </row>
    <row r="122" spans="1:23" x14ac:dyDescent="0.15">
      <c r="A122" s="1">
        <v>1969</v>
      </c>
      <c r="B122" s="5"/>
      <c r="C122" s="5"/>
      <c r="D122" s="5"/>
      <c r="E122" s="17"/>
      <c r="F122" s="5"/>
      <c r="G122" s="1">
        <v>1969</v>
      </c>
      <c r="H122" s="5"/>
      <c r="I122" s="5"/>
      <c r="J122" s="5"/>
      <c r="K122" s="5"/>
      <c r="L122" s="5"/>
      <c r="M122" s="5"/>
      <c r="N122" s="17"/>
      <c r="O122" s="17"/>
      <c r="P122" s="9"/>
      <c r="Q122" s="9"/>
      <c r="R122" s="1">
        <v>1969</v>
      </c>
      <c r="S122" s="6"/>
      <c r="T122" s="9"/>
      <c r="U122" s="5"/>
      <c r="V122" s="9"/>
      <c r="W122" s="114"/>
    </row>
    <row r="123" spans="1:23" x14ac:dyDescent="0.15">
      <c r="A123" s="1">
        <v>1970</v>
      </c>
      <c r="B123" s="5"/>
      <c r="C123" s="5"/>
      <c r="D123" s="5"/>
      <c r="E123" s="17"/>
      <c r="F123" s="5"/>
      <c r="G123" s="1">
        <v>1970</v>
      </c>
      <c r="H123" s="5"/>
      <c r="I123" s="5"/>
      <c r="J123" s="5"/>
      <c r="K123" s="5"/>
      <c r="L123" s="5"/>
      <c r="M123" s="5"/>
      <c r="N123" s="17"/>
      <c r="O123" s="17"/>
      <c r="P123" s="9"/>
      <c r="Q123" s="9"/>
      <c r="R123" s="1">
        <v>1970</v>
      </c>
      <c r="S123" s="6"/>
      <c r="T123" s="9"/>
      <c r="U123" s="5"/>
      <c r="V123" s="9"/>
      <c r="W123" s="114"/>
    </row>
    <row r="124" spans="1:23" x14ac:dyDescent="0.15">
      <c r="A124" s="1">
        <v>1971</v>
      </c>
      <c r="B124" s="5"/>
      <c r="C124" s="5"/>
      <c r="D124" s="5"/>
      <c r="E124" s="17"/>
      <c r="F124" s="5"/>
      <c r="G124" s="1">
        <v>1971</v>
      </c>
      <c r="H124" s="5"/>
      <c r="I124" s="5"/>
      <c r="J124" s="5"/>
      <c r="K124" s="5"/>
      <c r="L124" s="5"/>
      <c r="M124" s="5"/>
      <c r="N124" s="17"/>
      <c r="O124" s="17"/>
      <c r="P124" s="9"/>
      <c r="Q124" s="9"/>
      <c r="R124" s="1">
        <v>1971</v>
      </c>
      <c r="S124" s="6"/>
      <c r="T124" s="9"/>
      <c r="U124" s="5"/>
      <c r="V124" s="9"/>
      <c r="W124" s="114"/>
    </row>
    <row r="125" spans="1:23" x14ac:dyDescent="0.15">
      <c r="A125" s="1">
        <v>1972</v>
      </c>
      <c r="B125" s="5"/>
      <c r="C125" s="5"/>
      <c r="D125" s="5"/>
      <c r="E125" s="17"/>
      <c r="F125" s="5"/>
      <c r="G125" s="1">
        <v>1972</v>
      </c>
      <c r="H125" s="5"/>
      <c r="I125" s="5"/>
      <c r="J125" s="5"/>
      <c r="K125" s="5"/>
      <c r="L125" s="5"/>
      <c r="M125" s="5"/>
      <c r="N125" s="17"/>
      <c r="O125" s="17"/>
      <c r="P125" s="9"/>
      <c r="Q125" s="9"/>
      <c r="R125" s="1">
        <v>1972</v>
      </c>
      <c r="S125" s="6"/>
      <c r="T125" s="9"/>
      <c r="U125" s="5"/>
      <c r="V125" s="9"/>
      <c r="W125" s="114"/>
    </row>
    <row r="126" spans="1:23" x14ac:dyDescent="0.15">
      <c r="A126" s="1">
        <v>1973</v>
      </c>
      <c r="B126" s="5"/>
      <c r="C126" s="5"/>
      <c r="D126" s="5"/>
      <c r="E126" s="17"/>
      <c r="F126" s="5"/>
      <c r="G126" s="1">
        <v>1973</v>
      </c>
      <c r="H126" s="5"/>
      <c r="I126" s="5"/>
      <c r="J126" s="5"/>
      <c r="K126" s="5"/>
      <c r="L126" s="5"/>
      <c r="M126" s="5"/>
      <c r="N126" s="17"/>
      <c r="O126" s="17"/>
      <c r="P126" s="9"/>
      <c r="Q126" s="9"/>
      <c r="R126" s="1">
        <v>1973</v>
      </c>
      <c r="S126" s="6"/>
      <c r="T126" s="9"/>
      <c r="U126" s="5"/>
      <c r="V126" s="9"/>
      <c r="W126" s="114"/>
    </row>
    <row r="127" spans="1:23" x14ac:dyDescent="0.15">
      <c r="A127" s="1">
        <v>1974</v>
      </c>
      <c r="B127" s="5"/>
      <c r="C127" s="5"/>
      <c r="D127" s="5"/>
      <c r="E127" s="17"/>
      <c r="F127" s="5"/>
      <c r="G127" s="1">
        <v>1974</v>
      </c>
      <c r="H127" s="5"/>
      <c r="I127" s="5"/>
      <c r="J127" s="5"/>
      <c r="K127" s="5"/>
      <c r="L127" s="5"/>
      <c r="M127" s="5"/>
      <c r="N127" s="17"/>
      <c r="O127" s="17"/>
      <c r="P127" s="9"/>
      <c r="Q127" s="9"/>
      <c r="R127" s="1">
        <v>1974</v>
      </c>
      <c r="S127" s="6"/>
      <c r="T127" s="9"/>
      <c r="U127" s="5"/>
      <c r="V127" s="9"/>
      <c r="W127" s="114"/>
    </row>
    <row r="128" spans="1:23" x14ac:dyDescent="0.15">
      <c r="A128" s="1">
        <v>1975</v>
      </c>
      <c r="B128" s="5"/>
      <c r="C128" s="5"/>
      <c r="D128" s="5"/>
      <c r="E128" s="17"/>
      <c r="F128" s="5"/>
      <c r="G128" s="1">
        <v>1975</v>
      </c>
      <c r="H128" s="5"/>
      <c r="I128" s="5"/>
      <c r="J128" s="5"/>
      <c r="K128" s="5"/>
      <c r="L128" s="5"/>
      <c r="M128" s="5"/>
      <c r="N128" s="17"/>
      <c r="O128" s="17"/>
      <c r="P128" s="9"/>
      <c r="Q128" s="9"/>
      <c r="R128" s="1">
        <v>1975</v>
      </c>
      <c r="S128" s="6"/>
      <c r="T128" s="9"/>
      <c r="U128" s="5"/>
      <c r="V128" s="9"/>
      <c r="W128" s="114"/>
    </row>
    <row r="129" spans="1:29" x14ac:dyDescent="0.15">
      <c r="A129" s="1">
        <v>1976</v>
      </c>
      <c r="B129" s="5">
        <f>(K7*($E7/162))</f>
        <v>0</v>
      </c>
      <c r="C129" s="5">
        <f>(L7*($E7/162))</f>
        <v>0</v>
      </c>
      <c r="D129" s="5">
        <f>(M7*($E7/162))</f>
        <v>70.588235294117652</v>
      </c>
      <c r="E129" s="17">
        <f>B129+C129+D129</f>
        <v>70.588235294117652</v>
      </c>
      <c r="G129" s="1">
        <v>1976</v>
      </c>
      <c r="H129" s="392">
        <f>(O7/$R7*100*($E7/162))</f>
        <v>0</v>
      </c>
      <c r="I129" s="392"/>
      <c r="J129" s="392">
        <f>(P7/$R7*100*($E7/162))</f>
        <v>0</v>
      </c>
      <c r="K129" s="392"/>
      <c r="L129" s="392">
        <f>(Q7/$R7*100*($E7/162))</f>
        <v>100</v>
      </c>
      <c r="M129" s="392"/>
      <c r="N129" s="363">
        <f t="shared" ref="N129:N165" si="31">H129+J129+L129</f>
        <v>100</v>
      </c>
      <c r="O129" s="363"/>
      <c r="R129" s="1">
        <v>1976</v>
      </c>
      <c r="S129" s="5">
        <f>(O7*($E7/162))</f>
        <v>0</v>
      </c>
      <c r="T129" s="5">
        <f>(P7*($E7/162))</f>
        <v>0</v>
      </c>
      <c r="U129" s="5">
        <f>(Q7*($E7/162))</f>
        <v>40.700000000000003</v>
      </c>
      <c r="V129" s="5"/>
      <c r="W129" s="5">
        <f>S129+T129+U129</f>
        <v>40.700000000000003</v>
      </c>
      <c r="Y129" s="124" t="s">
        <v>1220</v>
      </c>
      <c r="Z129" s="124"/>
      <c r="AA129" s="124"/>
      <c r="AB129" s="124"/>
      <c r="AC129" s="124"/>
    </row>
    <row r="130" spans="1:29" x14ac:dyDescent="0.15">
      <c r="A130" s="1">
        <v>1977</v>
      </c>
      <c r="B130" s="5">
        <f>(K8*($E8/365))+(K9*($E9/365))</f>
        <v>0</v>
      </c>
      <c r="C130" s="5">
        <f>(L8*($E8/365))+(L9*($E9/365))</f>
        <v>0</v>
      </c>
      <c r="D130" s="5">
        <f>(M8*($E8/365))+(M9*($E9/365))</f>
        <v>70.588235294117652</v>
      </c>
      <c r="E130" s="17">
        <f t="shared" ref="E130:E164" si="32">B130+C130+D130</f>
        <v>70.588235294117652</v>
      </c>
      <c r="G130" s="1">
        <v>1977</v>
      </c>
      <c r="H130" s="392">
        <f>(O8/$R8*100*($E8/365))+(O9/$R9*100*($E9/365))</f>
        <v>0</v>
      </c>
      <c r="I130" s="392"/>
      <c r="J130" s="392">
        <f>(P8/$R8*100*($E8/365))+(P9/$R9*100*($E9/365))</f>
        <v>0</v>
      </c>
      <c r="K130" s="392"/>
      <c r="L130" s="392">
        <f>(Q8/$R8*100*($E8/365))+(Q9/$R9*100*($E9/365))</f>
        <v>100</v>
      </c>
      <c r="M130" s="392"/>
      <c r="N130" s="363">
        <f t="shared" si="31"/>
        <v>100</v>
      </c>
      <c r="O130" s="363"/>
      <c r="R130" s="1">
        <v>1977</v>
      </c>
      <c r="S130" s="5">
        <f>(O8*($E8/365))+(O9*($E9/365))</f>
        <v>0</v>
      </c>
      <c r="T130" s="5">
        <f>(P8*($E8/365))+(P9*($E9/365))</f>
        <v>0</v>
      </c>
      <c r="U130" s="5">
        <f>(Q8*($E8/365))+(Q9*($E9/365))</f>
        <v>40.700000000000003</v>
      </c>
      <c r="V130" s="5"/>
      <c r="W130" s="5">
        <f t="shared" ref="W130:W164" si="33">S130+T130+U130</f>
        <v>40.700000000000003</v>
      </c>
    </row>
    <row r="131" spans="1:29" x14ac:dyDescent="0.15">
      <c r="A131" s="1">
        <v>1978</v>
      </c>
      <c r="B131" s="5">
        <f>(K10*($E10/365))+(K11*($E11/365))+(K12*($E12/365))+(K13*($E13/365))</f>
        <v>10.83904109589041</v>
      </c>
      <c r="C131" s="5">
        <f>(L10*($E10/365))+(L11*($E11/365))+(L12*($E12/365))+(L13*($E13/365))</f>
        <v>0</v>
      </c>
      <c r="D131" s="5">
        <f>(M10*($E10/365))+(M11*($E11/365))+(M12*($E12/365))+(M13*($E13/365))</f>
        <v>34.512489927477844</v>
      </c>
      <c r="E131" s="17">
        <f t="shared" si="32"/>
        <v>45.351531023368253</v>
      </c>
      <c r="G131" s="1">
        <v>1978</v>
      </c>
      <c r="H131" s="392">
        <f>(O10/$R10*100*($E10/365))+(O11/$R11*100*($E11/365))</f>
        <v>16.312724988524074</v>
      </c>
      <c r="I131" s="392"/>
      <c r="J131" s="392">
        <f>(P10/$R10*100*($E10/365))+(P11/$R11*100*($E11/365))</f>
        <v>0</v>
      </c>
      <c r="K131" s="392"/>
      <c r="L131" s="392">
        <f>(Q10/$R10*100*($E10/365))+(Q11/$R11*100*($E11/365))</f>
        <v>49.440699669010172</v>
      </c>
      <c r="M131" s="392"/>
      <c r="N131" s="363">
        <f t="shared" si="31"/>
        <v>65.753424657534254</v>
      </c>
      <c r="O131" s="363"/>
      <c r="R131" s="1">
        <v>1978</v>
      </c>
      <c r="S131" s="5">
        <f>(O10*($E10/365))+(O11*($E11/365))+(O12*($E12/365))+(O13*($E13/365))</f>
        <v>9.24931506849315</v>
      </c>
      <c r="T131" s="5">
        <f>(P10*($E10/365))+(P11*($E11/365))+(P12*($E12/365))+(P13*($E13/365))</f>
        <v>0</v>
      </c>
      <c r="U131" s="5">
        <f>(Q10*($E10/365))+(Q11*($E11/365))+(Q12*($E12/365))+(Q13*($E13/365))</f>
        <v>26.761643835616439</v>
      </c>
      <c r="V131" s="5"/>
      <c r="W131" s="5">
        <f t="shared" si="33"/>
        <v>36.010958904109586</v>
      </c>
    </row>
    <row r="132" spans="1:29" x14ac:dyDescent="0.15">
      <c r="A132" s="1">
        <v>1979</v>
      </c>
      <c r="B132" s="5">
        <f>(K14*($E14/365))+(K15*($E15/365))</f>
        <v>0</v>
      </c>
      <c r="C132" s="5">
        <f>(L14*($E14/365))+(L15*($E15/365))</f>
        <v>0</v>
      </c>
      <c r="D132" s="5">
        <f>(M14*($E14/365))+(M15*($E15/365))</f>
        <v>0</v>
      </c>
      <c r="E132" s="17">
        <f t="shared" si="32"/>
        <v>0</v>
      </c>
      <c r="G132" s="1">
        <v>1979</v>
      </c>
      <c r="H132" s="392">
        <v>0</v>
      </c>
      <c r="I132" s="392"/>
      <c r="J132" s="392">
        <v>0</v>
      </c>
      <c r="K132" s="392"/>
      <c r="L132" s="392">
        <v>0</v>
      </c>
      <c r="M132" s="392"/>
      <c r="N132" s="363">
        <f>H132+J132+L132</f>
        <v>0</v>
      </c>
      <c r="O132" s="363"/>
      <c r="R132" s="1">
        <v>1979</v>
      </c>
      <c r="S132" s="5">
        <f>(O14*($E14/365))+(O15*($E15/365))</f>
        <v>0</v>
      </c>
      <c r="T132" s="5">
        <f>(P14*($E14/365))+(P15*($E15/365))</f>
        <v>0</v>
      </c>
      <c r="U132" s="5">
        <f>(Q14*($E14/365))+(Q15*($E15/365))</f>
        <v>0</v>
      </c>
      <c r="V132" s="5"/>
      <c r="W132" s="5">
        <f t="shared" si="33"/>
        <v>0</v>
      </c>
    </row>
    <row r="133" spans="1:29" x14ac:dyDescent="0.15">
      <c r="A133" s="1">
        <v>1980</v>
      </c>
      <c r="B133" s="5">
        <f>(K16*($E16/366))+(K17*($E17/366))</f>
        <v>86.193078324225866</v>
      </c>
      <c r="C133" s="5">
        <f>(L16*($E16/366))+(L17*($E17/366))</f>
        <v>0</v>
      </c>
      <c r="D133" s="5">
        <f>(M16*($E16/366))+(M17*($E17/366))</f>
        <v>0</v>
      </c>
      <c r="E133" s="17">
        <f t="shared" si="32"/>
        <v>86.193078324225866</v>
      </c>
      <c r="G133" s="1">
        <v>1980</v>
      </c>
      <c r="H133" s="392">
        <f>(O17/$R17*100*($E17/366))</f>
        <v>99.453551912568301</v>
      </c>
      <c r="I133" s="392"/>
      <c r="J133" s="392">
        <f>(P17/$R17*100*($E17/366))</f>
        <v>0</v>
      </c>
      <c r="K133" s="392"/>
      <c r="L133" s="392">
        <f>(Q17/$R17*100*($E17/366))</f>
        <v>0</v>
      </c>
      <c r="M133" s="392"/>
      <c r="N133" s="363">
        <f t="shared" si="31"/>
        <v>99.453551912568301</v>
      </c>
      <c r="O133" s="363"/>
      <c r="R133" s="1">
        <v>1980</v>
      </c>
      <c r="S133" s="5">
        <f>(O16*($E16/366))+(O17*($E17/366))</f>
        <v>52.312568306010931</v>
      </c>
      <c r="T133" s="5">
        <f>(P16*($E16/366))+(P17*($E17/366))</f>
        <v>0</v>
      </c>
      <c r="U133" s="5">
        <f>(Q16*($E16/366))+(Q17*($E17/366))</f>
        <v>0</v>
      </c>
      <c r="V133" s="5"/>
      <c r="W133" s="5">
        <f t="shared" si="33"/>
        <v>52.312568306010931</v>
      </c>
    </row>
    <row r="134" spans="1:29" x14ac:dyDescent="0.15">
      <c r="A134" s="1">
        <v>1981</v>
      </c>
      <c r="B134" s="5">
        <f>(K18*($E18/365))+(K19*($E19/365))+(K20*($E20/365))</f>
        <v>86.666666666666671</v>
      </c>
      <c r="C134" s="5">
        <f>(L18*($E18/365))+(L19*($E19/365))+(L20*($E20/365))</f>
        <v>0</v>
      </c>
      <c r="D134" s="5">
        <f>(M18*($E18/365))+(M19*($E19/365))+(M20*($E20/365))</f>
        <v>0</v>
      </c>
      <c r="E134" s="17">
        <f t="shared" si="32"/>
        <v>86.666666666666671</v>
      </c>
      <c r="G134" s="1">
        <v>1981</v>
      </c>
      <c r="H134" s="392">
        <f>(O18/$R18*100*($E18/365))+(O19/$R19*100*($E19/365))+(O20/$R20*100*($E20/365))</f>
        <v>99.999999999999986</v>
      </c>
      <c r="I134" s="392"/>
      <c r="J134" s="392">
        <f>(P18/$R18*100*($E18/365))+(P19/$R19*100*($E19/365))+(P20/$R20*100*($E20/365))</f>
        <v>0</v>
      </c>
      <c r="K134" s="392"/>
      <c r="L134" s="392">
        <f>(Q18/$R18*100*($E18/365))+(Q19/$R19*100*($E19/365))+(Q20/$R20*100*($E20/365))</f>
        <v>0</v>
      </c>
      <c r="M134" s="392"/>
      <c r="N134" s="363">
        <f t="shared" si="31"/>
        <v>99.999999999999986</v>
      </c>
      <c r="O134" s="363"/>
      <c r="R134" s="1">
        <v>1981</v>
      </c>
      <c r="S134" s="5">
        <f>(O18*($E18/365))+(O19*($E19/365))+(O20*($E20/365))</f>
        <v>52.6</v>
      </c>
      <c r="T134" s="5">
        <f>(P18*($E18/365))+(P19*($E19/365))+(P20*($E20/365))</f>
        <v>0</v>
      </c>
      <c r="U134" s="5">
        <f>(Q18*($E18/365))+(Q19*($E19/365))+(Q20*($E20/365))</f>
        <v>0</v>
      </c>
      <c r="V134" s="5"/>
      <c r="W134" s="5">
        <f t="shared" si="33"/>
        <v>52.6</v>
      </c>
    </row>
    <row r="135" spans="1:29" x14ac:dyDescent="0.15">
      <c r="A135" s="1">
        <v>1982</v>
      </c>
      <c r="B135" s="5">
        <f>(K21*($E21/365))+(K22*($E22/365))</f>
        <v>93.333333333333329</v>
      </c>
      <c r="C135" s="5">
        <f>(L21*($E21/365))+(L22*($E22/365))</f>
        <v>0</v>
      </c>
      <c r="D135" s="5">
        <f>(M21*($E21/365))+(M22*($E22/365))</f>
        <v>0</v>
      </c>
      <c r="E135" s="17">
        <f t="shared" si="32"/>
        <v>93.333333333333329</v>
      </c>
      <c r="G135" s="1">
        <v>1982</v>
      </c>
      <c r="H135" s="392">
        <f>(O21/$R21*100*($E21/365))+(O22/$R22*100*($E22/365))</f>
        <v>100</v>
      </c>
      <c r="I135" s="392"/>
      <c r="J135" s="392">
        <f>(P21/$R21*100*($E21/365))+(P22/$R22*100*($E22/365))</f>
        <v>0</v>
      </c>
      <c r="K135" s="392"/>
      <c r="L135" s="392">
        <f>(Q21/$R21*100*($E21/365))+(Q22/$R22*100*($E22/365))</f>
        <v>0</v>
      </c>
      <c r="M135" s="392"/>
      <c r="N135" s="363">
        <f t="shared" si="31"/>
        <v>100</v>
      </c>
      <c r="O135" s="363"/>
      <c r="R135" s="1">
        <v>1982</v>
      </c>
      <c r="S135" s="5">
        <f>(O21*($E21/365))+(O22*($E22/365))</f>
        <v>52.6</v>
      </c>
      <c r="T135" s="5">
        <f>(P21*($E21/365))+(P22*($E22/365))</f>
        <v>0</v>
      </c>
      <c r="U135" s="5">
        <f>(Q21*($E21/365))+(Q22*($E22/365))</f>
        <v>0</v>
      </c>
      <c r="V135" s="5"/>
      <c r="W135" s="5">
        <f t="shared" si="33"/>
        <v>52.6</v>
      </c>
    </row>
    <row r="136" spans="1:29" x14ac:dyDescent="0.15">
      <c r="A136" s="1">
        <v>1983</v>
      </c>
      <c r="B136" s="5">
        <f>(K23*($E23/365))+(K24*($E24/365))</f>
        <v>60.576954069298949</v>
      </c>
      <c r="C136" s="5">
        <f>(L23*($E23/365))+(L24*($E24/365))</f>
        <v>0</v>
      </c>
      <c r="D136" s="5">
        <f>(M23*($E23/365))+(M24*($E24/365))</f>
        <v>29.879129734085417</v>
      </c>
      <c r="E136" s="17">
        <f t="shared" si="32"/>
        <v>90.456083803384359</v>
      </c>
      <c r="G136" s="1">
        <v>1983</v>
      </c>
      <c r="H136" s="392">
        <f>(O23/$R23*100*($E23/365))+(O24/$R24*100*($E24/365))</f>
        <v>67.612079701120791</v>
      </c>
      <c r="I136" s="392"/>
      <c r="J136" s="392">
        <f>(P23/$R23*100*($E23/365))+(P24/$R24*100*($E24/365))</f>
        <v>0</v>
      </c>
      <c r="K136" s="392"/>
      <c r="L136" s="392">
        <f>(Q23/$R23*100*($E23/365))+(Q24/$R24*100*($E24/365))</f>
        <v>32.387920298879195</v>
      </c>
      <c r="M136" s="392"/>
      <c r="N136" s="363">
        <f t="shared" si="31"/>
        <v>99.999999999999986</v>
      </c>
      <c r="O136" s="363"/>
      <c r="R136" s="1">
        <v>1983</v>
      </c>
      <c r="S136" s="5">
        <f>(O23*($E23/365))+(O24*($E24/365))</f>
        <v>39.844931506849321</v>
      </c>
      <c r="T136" s="5">
        <f>(P23*($E23/365))+(P24*($E24/365))</f>
        <v>0</v>
      </c>
      <c r="U136" s="5">
        <f>(Q23*($E23/365))+(Q24*($E24/365))</f>
        <v>22.801095890410959</v>
      </c>
      <c r="V136" s="5"/>
      <c r="W136" s="5">
        <f t="shared" si="33"/>
        <v>62.646027397260283</v>
      </c>
    </row>
    <row r="137" spans="1:29" x14ac:dyDescent="0.15">
      <c r="A137" s="1">
        <v>1984</v>
      </c>
      <c r="B137" s="5">
        <f>(K25*($E25/366))+(K26*($E26/366))</f>
        <v>35.294117647058826</v>
      </c>
      <c r="C137" s="5">
        <f>(L25*($E25/366))+(L26*($E26/366))</f>
        <v>0</v>
      </c>
      <c r="D137" s="5">
        <f>(M25*($E25/366))+(M26*($E26/366))</f>
        <v>52.941176470588239</v>
      </c>
      <c r="E137" s="17">
        <f t="shared" si="32"/>
        <v>88.235294117647072</v>
      </c>
      <c r="G137" s="1">
        <v>1984</v>
      </c>
      <c r="H137" s="392">
        <f>(O25/$R25*100*($E25/366))+(O26/$R26*100*($E26/366))</f>
        <v>42.61363636363636</v>
      </c>
      <c r="I137" s="392"/>
      <c r="J137" s="392">
        <f>(P25/$R25*100*($E25/366))+(P26/$R26*100*($E26/366))</f>
        <v>0</v>
      </c>
      <c r="K137" s="392"/>
      <c r="L137" s="392">
        <f>(Q25/$R25*100*($E25/366))+(Q26/$R26*100*($E26/366))</f>
        <v>57.386363636363626</v>
      </c>
      <c r="M137" s="392"/>
      <c r="N137" s="363">
        <f t="shared" si="31"/>
        <v>99.999999999999986</v>
      </c>
      <c r="O137" s="363"/>
      <c r="R137" s="1">
        <v>1984</v>
      </c>
      <c r="S137" s="5">
        <f>(O25*($E25/366))+(O26*($E26/366))</f>
        <v>30</v>
      </c>
      <c r="T137" s="5">
        <f>(P25*($E25/366))+(P26*($E26/366))</f>
        <v>0</v>
      </c>
      <c r="U137" s="5">
        <f>(Q25*($E25/366))+(Q26*($E26/366))</f>
        <v>40.4</v>
      </c>
      <c r="V137" s="5"/>
      <c r="W137" s="5">
        <f t="shared" si="33"/>
        <v>70.400000000000006</v>
      </c>
    </row>
    <row r="138" spans="1:29" x14ac:dyDescent="0.15">
      <c r="A138" s="1">
        <v>1985</v>
      </c>
      <c r="B138" s="5">
        <f>(K27*($E27/365))+(K28*($E28/365))</f>
        <v>43.029814665592269</v>
      </c>
      <c r="C138" s="5">
        <f>(L27*($E27/365))+(L28*($E28/365))</f>
        <v>0</v>
      </c>
      <c r="D138" s="5">
        <f>(M27*($E27/365))+(M28*($E28/365))</f>
        <v>44.818694601128122</v>
      </c>
      <c r="E138" s="17">
        <f t="shared" si="32"/>
        <v>87.848509266720384</v>
      </c>
      <c r="G138" s="1">
        <v>1985</v>
      </c>
      <c r="H138" s="392">
        <f>(O27/$R27*100*($E27/365))+(O28/$R28*100*($E28/365))</f>
        <v>51.418119551681187</v>
      </c>
      <c r="I138" s="392"/>
      <c r="J138" s="392">
        <f>(P27/$R27*100*($E27/365))+(P28/$R28*100*($E28/365))</f>
        <v>0</v>
      </c>
      <c r="K138" s="392"/>
      <c r="L138" s="392">
        <f>(Q27/$R27*100*($E27/365))+(Q28/$R28*100*($E28/365))</f>
        <v>48.581880448318792</v>
      </c>
      <c r="M138" s="392"/>
      <c r="N138" s="363">
        <f t="shared" si="31"/>
        <v>99.999999999999972</v>
      </c>
      <c r="O138" s="363"/>
      <c r="R138" s="1">
        <v>1985</v>
      </c>
      <c r="S138" s="5">
        <f>(O27*($E27/365))+(O28*($E28/365))</f>
        <v>30.797808219178084</v>
      </c>
      <c r="T138" s="5">
        <f>(P27*($E27/365))+(P28*($E28/365))</f>
        <v>0</v>
      </c>
      <c r="U138" s="5">
        <f>(Q27*($E27/365))+(Q28*($E28/365))</f>
        <v>34.201643835616437</v>
      </c>
      <c r="V138" s="5"/>
      <c r="W138" s="5">
        <f t="shared" si="33"/>
        <v>64.999452054794517</v>
      </c>
    </row>
    <row r="139" spans="1:29" x14ac:dyDescent="0.15">
      <c r="A139" s="1">
        <v>1986</v>
      </c>
      <c r="B139" s="5">
        <f>(K29*($E29/365))+(K30*($E30/365))</f>
        <v>85.714285714285708</v>
      </c>
      <c r="C139" s="5">
        <f>(L29*($E29/365))+(L30*($E30/365))</f>
        <v>0</v>
      </c>
      <c r="D139" s="5">
        <f>(M29*($E29/365))+(M30*($E30/365))</f>
        <v>0</v>
      </c>
      <c r="E139" s="17">
        <f t="shared" si="32"/>
        <v>85.714285714285708</v>
      </c>
      <c r="G139" s="1">
        <v>1986</v>
      </c>
      <c r="H139" s="392">
        <f>(O29/$R29*100*($E29/365))+(O30/$R30*100*($E30/365))</f>
        <v>100</v>
      </c>
      <c r="I139" s="392"/>
      <c r="J139" s="392">
        <f>(P29/$R29*100*($E29/365))+(P30/$R30*100*($E30/365))</f>
        <v>0</v>
      </c>
      <c r="K139" s="392"/>
      <c r="L139" s="392">
        <f>(Q29/$R29*100*($E29/365))+(Q30/$R30*100*($E30/365))</f>
        <v>0</v>
      </c>
      <c r="M139" s="392"/>
      <c r="N139" s="363">
        <f t="shared" si="31"/>
        <v>100</v>
      </c>
      <c r="O139" s="363"/>
      <c r="R139" s="1">
        <v>1986</v>
      </c>
      <c r="S139" s="5">
        <f>(O29*($E29/365))+(O30*($E30/365))</f>
        <v>35.200000000000003</v>
      </c>
      <c r="T139" s="5">
        <f>(P29*($E29/365))+(P30*($E30/365))</f>
        <v>0</v>
      </c>
      <c r="U139" s="5">
        <f>(Q29*($E29/365))+(Q30*($E30/365))</f>
        <v>0</v>
      </c>
      <c r="V139" s="5"/>
      <c r="W139" s="5">
        <f t="shared" si="33"/>
        <v>35.200000000000003</v>
      </c>
    </row>
    <row r="140" spans="1:29" x14ac:dyDescent="0.15">
      <c r="A140" s="1">
        <v>1987</v>
      </c>
      <c r="B140" s="5">
        <f>(K31*($E31/365))+(K32*($E32/365))</f>
        <v>86.905849097629911</v>
      </c>
      <c r="C140" s="5">
        <f>(L31*($E31/365))+(L32*($E32/365))</f>
        <v>0</v>
      </c>
      <c r="D140" s="5">
        <f>(M31*($E31/365))+(M32*($E32/365))</f>
        <v>0</v>
      </c>
      <c r="E140" s="17">
        <f t="shared" si="32"/>
        <v>86.905849097629911</v>
      </c>
      <c r="G140" s="1">
        <v>1987</v>
      </c>
      <c r="H140" s="392">
        <f>(O31/$R31*100*($E31/365))+(O32/$R32*100*($E32/365))</f>
        <v>100</v>
      </c>
      <c r="I140" s="392"/>
      <c r="J140" s="392">
        <f>(P31/$R31*100*($E31/365))+(P32/$R32*100*($E32/365))</f>
        <v>0</v>
      </c>
      <c r="K140" s="392"/>
      <c r="L140" s="392">
        <f>(Q31/$R31*100*($E31/365))+(Q32/$R32*100*($E32/365))</f>
        <v>0</v>
      </c>
      <c r="M140" s="392"/>
      <c r="N140" s="363">
        <f t="shared" si="31"/>
        <v>100</v>
      </c>
      <c r="O140" s="363"/>
      <c r="R140" s="1">
        <v>1987</v>
      </c>
      <c r="S140" s="5">
        <f>(O31*($E31/365))+(O32*($E32/365))</f>
        <v>44.208219178082189</v>
      </c>
      <c r="T140" s="5">
        <f>(P31*($E31/365))+(P32*($E32/365))</f>
        <v>0</v>
      </c>
      <c r="U140" s="5">
        <f>(Q31*($E31/365))+(Q32*($E32/365))</f>
        <v>0</v>
      </c>
      <c r="V140" s="5"/>
      <c r="W140" s="5">
        <f t="shared" si="33"/>
        <v>44.208219178082189</v>
      </c>
    </row>
    <row r="141" spans="1:29" x14ac:dyDescent="0.15">
      <c r="A141" s="1">
        <v>1988</v>
      </c>
      <c r="B141" s="5">
        <f>(K33*($E33/366))+(K34*($E34/366))</f>
        <v>88.888888888888886</v>
      </c>
      <c r="C141" s="5">
        <f>(L33*($E33/366))+(L34*($E34/366))</f>
        <v>0</v>
      </c>
      <c r="D141" s="5">
        <f>(M33*($E33/366))+(M34*($E34/366))</f>
        <v>0</v>
      </c>
      <c r="E141" s="17">
        <f t="shared" si="32"/>
        <v>88.888888888888886</v>
      </c>
      <c r="G141" s="1">
        <v>1988</v>
      </c>
      <c r="H141" s="392">
        <f>(O33/$R33*100*($E33/366))+(O34/$R34*100*($E34/366))</f>
        <v>100</v>
      </c>
      <c r="I141" s="392"/>
      <c r="J141" s="392">
        <f>(P33/$R33*100*($E33/366))+(P34/$R34*100*($E34/366))</f>
        <v>0</v>
      </c>
      <c r="K141" s="392"/>
      <c r="L141" s="392">
        <f>(Q33/$R33*100*($E33/366))+(Q34/$R34*100*($E34/366))</f>
        <v>0</v>
      </c>
      <c r="M141" s="392"/>
      <c r="N141" s="363">
        <f t="shared" si="31"/>
        <v>100</v>
      </c>
      <c r="O141" s="363"/>
      <c r="R141" s="1">
        <v>1988</v>
      </c>
      <c r="S141" s="5">
        <f>(O33*($E33/366))+(O34*($E34/366))</f>
        <v>59.2</v>
      </c>
      <c r="T141" s="5">
        <f>(P33*($E33/366))+(P34*($E34/366))</f>
        <v>0</v>
      </c>
      <c r="U141" s="5">
        <f>(Q33*($E33/366))+(Q34*($E34/366))</f>
        <v>0</v>
      </c>
      <c r="V141" s="5"/>
      <c r="W141" s="5">
        <f t="shared" si="33"/>
        <v>59.2</v>
      </c>
    </row>
    <row r="142" spans="1:29" x14ac:dyDescent="0.15">
      <c r="A142" s="1">
        <v>1989</v>
      </c>
      <c r="B142" s="5">
        <f>(K35*($E35/365))+(K36*($E36/365))</f>
        <v>88.888888888888886</v>
      </c>
      <c r="C142" s="5">
        <f>(L35*($E35/365))+(L36*($E36/365))</f>
        <v>0</v>
      </c>
      <c r="D142" s="5">
        <f>(M35*($E35/365))+(M36*($E36/365))</f>
        <v>0</v>
      </c>
      <c r="E142" s="17">
        <f t="shared" si="32"/>
        <v>88.888888888888886</v>
      </c>
      <c r="G142" s="1">
        <v>1989</v>
      </c>
      <c r="H142" s="392">
        <f>(O35/$R35*100*($E35/365))+(O36/$R36*100*($E36/365))</f>
        <v>100</v>
      </c>
      <c r="I142" s="392"/>
      <c r="J142" s="392">
        <f>(P35/$R35*100*($E35/365))+(P36/$R36*100*($E36/365))</f>
        <v>0</v>
      </c>
      <c r="K142" s="392"/>
      <c r="L142" s="392">
        <f>(Q35/$R35*100*($E35/365))+(Q36/$R36*100*($E36/365))</f>
        <v>0</v>
      </c>
      <c r="M142" s="392"/>
      <c r="N142" s="363">
        <f t="shared" si="31"/>
        <v>100</v>
      </c>
      <c r="O142" s="363"/>
      <c r="R142" s="1">
        <v>1989</v>
      </c>
      <c r="S142" s="5">
        <f>(O35*($E35/365))+(O36*($E36/365))</f>
        <v>59.2</v>
      </c>
      <c r="T142" s="5">
        <f>(P35*($E35/365))+(P36*($E36/365))</f>
        <v>0</v>
      </c>
      <c r="U142" s="5">
        <f>(Q35*($E35/365))+(Q36*($E36/365))</f>
        <v>0</v>
      </c>
      <c r="V142" s="5"/>
      <c r="W142" s="5">
        <f t="shared" si="33"/>
        <v>59.2</v>
      </c>
    </row>
    <row r="143" spans="1:29" x14ac:dyDescent="0.15">
      <c r="A143" s="1">
        <v>1990</v>
      </c>
      <c r="B143" s="5">
        <f>(K37*($E37/365))+(K38*($E38/365))</f>
        <v>88.888888888888886</v>
      </c>
      <c r="C143" s="5">
        <f>(L37*($E37/365))+(L38*($E38/365))</f>
        <v>0</v>
      </c>
      <c r="D143" s="5">
        <f>(M37*($E37/365))+(M38*($E38/365))</f>
        <v>0</v>
      </c>
      <c r="E143" s="17">
        <f t="shared" si="32"/>
        <v>88.888888888888886</v>
      </c>
      <c r="G143" s="1">
        <v>1990</v>
      </c>
      <c r="H143" s="392">
        <f>(O37/$R37*100*($E37/365))+(O38/$R38*100*($E38/365))</f>
        <v>100</v>
      </c>
      <c r="I143" s="392"/>
      <c r="J143" s="392">
        <f>(P37/$R37*100*($E37/365))+(P38/$R38*100*($E38/365))</f>
        <v>0</v>
      </c>
      <c r="K143" s="392"/>
      <c r="L143" s="392">
        <f>(Q37/$R37*100*($E37/365))+(Q38/$R38*100*($E38/365))</f>
        <v>0</v>
      </c>
      <c r="M143" s="392"/>
      <c r="N143" s="363">
        <f t="shared" si="31"/>
        <v>100</v>
      </c>
      <c r="O143" s="363"/>
      <c r="R143" s="1">
        <v>1990</v>
      </c>
      <c r="S143" s="5">
        <f>(O37*($E37/365))+(O38*($E38/365))</f>
        <v>59.2</v>
      </c>
      <c r="T143" s="5">
        <f>(P37*($E37/365))+(P38*($E38/365))</f>
        <v>0</v>
      </c>
      <c r="U143" s="5">
        <f>(Q37*($E37/365))+(Q38*($E38/365))</f>
        <v>0</v>
      </c>
      <c r="V143" s="5"/>
      <c r="W143" s="5">
        <f t="shared" si="33"/>
        <v>59.2</v>
      </c>
    </row>
    <row r="144" spans="1:29" x14ac:dyDescent="0.15">
      <c r="A144" s="1">
        <v>1991</v>
      </c>
      <c r="B144" s="5">
        <f>(K39*($E39/365))+(K40*($E40/365))</f>
        <v>88.988223984619083</v>
      </c>
      <c r="C144" s="5">
        <f>(L39*($E39/365))+(L40*($E40/365))</f>
        <v>0</v>
      </c>
      <c r="D144" s="5">
        <f>(M39*($E39/365))+(M40*($E40/365))</f>
        <v>0</v>
      </c>
      <c r="E144" s="17">
        <f t="shared" si="32"/>
        <v>88.988223984619083</v>
      </c>
      <c r="G144" s="1">
        <v>1991</v>
      </c>
      <c r="H144" s="392">
        <f>(O39/$R39*100*($E39/365))+(O40/$R40*100*($E40/365))</f>
        <v>100</v>
      </c>
      <c r="I144" s="392"/>
      <c r="J144" s="392">
        <f>(P39/$R39*100*($E39/365))+(P40/$R40*100*($E40/365))</f>
        <v>0</v>
      </c>
      <c r="K144" s="392"/>
      <c r="L144" s="392">
        <f>(Q39/$R39*100*($E39/365))+(Q40/$R40*100*($E40/365))</f>
        <v>0</v>
      </c>
      <c r="M144" s="392"/>
      <c r="N144" s="363">
        <f t="shared" si="31"/>
        <v>100</v>
      </c>
      <c r="O144" s="363"/>
      <c r="R144" s="1">
        <v>1991</v>
      </c>
      <c r="S144" s="5">
        <f>(O39*($E39/365))+(O40*($E40/365))</f>
        <v>59.064109589041102</v>
      </c>
      <c r="T144" s="5">
        <f>(P39*($E39/365))+(P40*($E40/365))</f>
        <v>0</v>
      </c>
      <c r="U144" s="5">
        <f>(Q39*($E39/365))+(Q40*($E40/365))</f>
        <v>0</v>
      </c>
      <c r="V144" s="5"/>
      <c r="W144" s="5">
        <f t="shared" si="33"/>
        <v>59.064109589041102</v>
      </c>
    </row>
    <row r="145" spans="1:23" x14ac:dyDescent="0.15">
      <c r="A145" s="1">
        <v>1992</v>
      </c>
      <c r="B145" s="5">
        <f>(K41*($E41/366))+(K42*($E42/366))</f>
        <v>89.473684210526315</v>
      </c>
      <c r="C145" s="5">
        <f>(L41*($E41/366))+(L42*($E42/366))</f>
        <v>0</v>
      </c>
      <c r="D145" s="5">
        <f>(M41*($E41/366))+(M42*($E42/366))</f>
        <v>0</v>
      </c>
      <c r="E145" s="17">
        <f t="shared" si="32"/>
        <v>89.473684210526315</v>
      </c>
      <c r="G145" s="1">
        <v>1992</v>
      </c>
      <c r="H145" s="392">
        <f>(O41/$R41*100*($E41/366))+(O42/$R42*100*($E42/366))</f>
        <v>100</v>
      </c>
      <c r="I145" s="392"/>
      <c r="J145" s="392">
        <f>(P41/$R41*100*($E41/366))+(P42/$R42*100*($E42/366))</f>
        <v>0</v>
      </c>
      <c r="K145" s="392"/>
      <c r="L145" s="392">
        <f>(Q41/$R41*100*($E41/366))+(Q42/$R42*100*($E42/366))</f>
        <v>0</v>
      </c>
      <c r="M145" s="392"/>
      <c r="N145" s="363">
        <f t="shared" si="31"/>
        <v>100</v>
      </c>
      <c r="O145" s="363"/>
      <c r="R145" s="1">
        <v>1992</v>
      </c>
      <c r="S145" s="5">
        <f>(O41*($E41/366))+(O42*($E42/366))</f>
        <v>58.4</v>
      </c>
      <c r="T145" s="5">
        <f>(P41*($E41/366))+(P42*($E42/366))</f>
        <v>0</v>
      </c>
      <c r="U145" s="5">
        <f>(Q41*($E41/366))+(Q42*($E42/366))</f>
        <v>0</v>
      </c>
      <c r="V145" s="5"/>
      <c r="W145" s="5">
        <f t="shared" si="33"/>
        <v>58.4</v>
      </c>
    </row>
    <row r="146" spans="1:23" x14ac:dyDescent="0.15">
      <c r="A146" s="1">
        <v>1993</v>
      </c>
      <c r="B146" s="5">
        <f>(K43*($E43/365))+(K44*($E44/365))</f>
        <v>89.473684210526315</v>
      </c>
      <c r="C146" s="5">
        <f>(L43*($E43/365))+(L44*($E44/365))</f>
        <v>0</v>
      </c>
      <c r="D146" s="5">
        <f>(M43*($E43/365))+(M44*($E44/365))</f>
        <v>0</v>
      </c>
      <c r="E146" s="17">
        <f t="shared" si="32"/>
        <v>89.473684210526315</v>
      </c>
      <c r="G146" s="1">
        <v>1993</v>
      </c>
      <c r="H146" s="392">
        <f>(O43/$R43*100*($E43/365))+(O44/$R44*100*($E44/365))</f>
        <v>100</v>
      </c>
      <c r="I146" s="392"/>
      <c r="J146" s="392">
        <f>(P43/$R43*100*($E43/365))+(P44/$R44*100*($E44/365))</f>
        <v>0</v>
      </c>
      <c r="K146" s="392"/>
      <c r="L146" s="392">
        <f>(Q43/$R43*100*($E43/365))+(Q44/$R44*100*($E44/365))</f>
        <v>0</v>
      </c>
      <c r="M146" s="392"/>
      <c r="N146" s="363">
        <f t="shared" si="31"/>
        <v>100</v>
      </c>
      <c r="O146" s="363"/>
      <c r="R146" s="1">
        <v>1993</v>
      </c>
      <c r="S146" s="5">
        <f>(O43*($E43/365))+(O44*($E44/365))</f>
        <v>58.4</v>
      </c>
      <c r="T146" s="5">
        <f>(P43*($E43/365))+(P44*($E44/365))</f>
        <v>0</v>
      </c>
      <c r="U146" s="5">
        <f>(Q43*($E43/365))+(Q44*($E44/365))</f>
        <v>0</v>
      </c>
      <c r="V146" s="5"/>
      <c r="W146" s="5">
        <f t="shared" si="33"/>
        <v>58.4</v>
      </c>
    </row>
    <row r="147" spans="1:23" x14ac:dyDescent="0.15">
      <c r="A147" s="1">
        <v>1994</v>
      </c>
      <c r="B147" s="5">
        <f>(K45*($E45/365))+(K46*($E46/365))</f>
        <v>89.473684210526315</v>
      </c>
      <c r="C147" s="5">
        <f>(L45*($E45/365))+(L46*($E46/365))</f>
        <v>0</v>
      </c>
      <c r="D147" s="5">
        <f>(M45*($E45/365))+(M46*($E46/365))</f>
        <v>0</v>
      </c>
      <c r="E147" s="17">
        <f t="shared" si="32"/>
        <v>89.473684210526315</v>
      </c>
      <c r="G147" s="1">
        <v>1994</v>
      </c>
      <c r="H147" s="392">
        <f>(O45/$R45*100*($E45/365))+(O46/$R46*100*($E46/365))</f>
        <v>100</v>
      </c>
      <c r="I147" s="392"/>
      <c r="J147" s="392">
        <f>(P45/$R45*100*($E45/365))+(P46/$R46*100*($E46/365))</f>
        <v>0</v>
      </c>
      <c r="K147" s="392"/>
      <c r="L147" s="392">
        <f>(Q45/$R45*100*($E45/365))+(Q46/$R46*100*($E46/365))</f>
        <v>0</v>
      </c>
      <c r="M147" s="392"/>
      <c r="N147" s="363">
        <f t="shared" si="31"/>
        <v>100</v>
      </c>
      <c r="O147" s="363"/>
      <c r="R147" s="1">
        <v>1994</v>
      </c>
      <c r="S147" s="5">
        <f>(O45*($E45/365))+(O46*($E46/365))</f>
        <v>58.4</v>
      </c>
      <c r="T147" s="5">
        <f>(P45*($E45/365))+(P46*($E46/365))</f>
        <v>0</v>
      </c>
      <c r="U147" s="5">
        <f>(Q45*($E45/365))+(Q46*($E46/365))</f>
        <v>0</v>
      </c>
      <c r="V147" s="5"/>
      <c r="W147" s="5">
        <f t="shared" si="33"/>
        <v>58.4</v>
      </c>
    </row>
    <row r="148" spans="1:23" x14ac:dyDescent="0.15">
      <c r="A148" s="1">
        <v>1995</v>
      </c>
      <c r="B148" s="5">
        <f>(K47*($E47/365))+(K48*($E48/365))</f>
        <v>73.059360730593596</v>
      </c>
      <c r="C148" s="5">
        <f>(L47*($E47/365))+(L48*($E48/365))</f>
        <v>0</v>
      </c>
      <c r="D148" s="5">
        <f>(M47*($E47/365))+(M48*($E48/365))</f>
        <v>13.850837138508371</v>
      </c>
      <c r="E148" s="17">
        <f t="shared" si="32"/>
        <v>86.910197869101964</v>
      </c>
      <c r="G148" s="1">
        <v>1995</v>
      </c>
      <c r="H148" s="392">
        <f>(O47/$R47*100*($E47/365))+(O48/$R48*100*($E48/365))</f>
        <v>82.191780821917803</v>
      </c>
      <c r="I148" s="392"/>
      <c r="J148" s="392">
        <f>(P47/$R47*100*($E47/365))+(P48/$R48*100*($E48/365))</f>
        <v>0</v>
      </c>
      <c r="K148" s="392"/>
      <c r="L148" s="392">
        <f>(Q47/$R47*100*($E47/365))+(Q48/$R48*100*($E48/365))</f>
        <v>17.80821917808219</v>
      </c>
      <c r="M148" s="392"/>
      <c r="N148" s="363">
        <f t="shared" si="31"/>
        <v>100</v>
      </c>
      <c r="O148" s="363"/>
      <c r="R148" s="1">
        <v>1995</v>
      </c>
      <c r="S148" s="5">
        <f>(O47*($E47/365))+(O48*($E48/365))</f>
        <v>47.999999999999993</v>
      </c>
      <c r="T148" s="5">
        <f>(P47*($E47/365))+(P48*($E48/365))</f>
        <v>0</v>
      </c>
      <c r="U148" s="5">
        <f>(Q47*($E47/365))+(Q48*($E48/365))</f>
        <v>8.6726027397260275</v>
      </c>
      <c r="V148" s="5"/>
      <c r="W148" s="5">
        <f t="shared" si="33"/>
        <v>56.672602739726017</v>
      </c>
    </row>
    <row r="149" spans="1:23" x14ac:dyDescent="0.15">
      <c r="A149" s="1">
        <v>1996</v>
      </c>
      <c r="B149" s="5">
        <f>(K49*($E49/366))+(K50*($E50/366))</f>
        <v>0</v>
      </c>
      <c r="C149" s="5">
        <f>(L49*($E49/366))+(L50*($E50/366))</f>
        <v>0</v>
      </c>
      <c r="D149" s="5">
        <f>(M49*($E49/366))+(M50*($E50/366))</f>
        <v>77.777777777777786</v>
      </c>
      <c r="E149" s="17">
        <f t="shared" si="32"/>
        <v>77.777777777777786</v>
      </c>
      <c r="G149" s="1">
        <v>1996</v>
      </c>
      <c r="H149" s="392">
        <f>(O49/$R49*100*($E49/366))+(O50/$R50*100*($E50/366))</f>
        <v>0</v>
      </c>
      <c r="I149" s="392"/>
      <c r="J149" s="392">
        <f>(P49/$R49*100*($E49/366))+(P50/$R50*100*($E50/366))</f>
        <v>0</v>
      </c>
      <c r="K149" s="392"/>
      <c r="L149" s="392">
        <f>(Q49/$R49*100*($E49/366))+(Q50/$R50*100*($E50/366))</f>
        <v>100</v>
      </c>
      <c r="M149" s="392"/>
      <c r="N149" s="363">
        <f t="shared" si="31"/>
        <v>100</v>
      </c>
      <c r="O149" s="363"/>
      <c r="R149" s="1">
        <v>1996</v>
      </c>
      <c r="S149" s="5">
        <f>(O49*($E49/366))+(O50*($E50/366))</f>
        <v>0</v>
      </c>
      <c r="T149" s="5">
        <f>(P49*($E49/366))+(P50*($E50/366))</f>
        <v>0</v>
      </c>
      <c r="U149" s="5">
        <f>(Q49*($E49/366))+(Q50*($E50/366))</f>
        <v>48.7</v>
      </c>
      <c r="V149" s="5"/>
      <c r="W149" s="5">
        <f t="shared" si="33"/>
        <v>48.7</v>
      </c>
    </row>
    <row r="150" spans="1:23" x14ac:dyDescent="0.15">
      <c r="A150" s="1">
        <v>1997</v>
      </c>
      <c r="B150" s="5">
        <f>(K51*($E51/365))+(K52*($E52/365))</f>
        <v>0</v>
      </c>
      <c r="C150" s="5">
        <f>(L51*($E51/365))+(L52*($E52/365))</f>
        <v>0</v>
      </c>
      <c r="D150" s="5">
        <f>(M51*($E51/365))+(M52*($E52/365))</f>
        <v>77.066881547139388</v>
      </c>
      <c r="E150" s="17">
        <f t="shared" si="32"/>
        <v>77.066881547139388</v>
      </c>
      <c r="G150" s="1">
        <v>1997</v>
      </c>
      <c r="H150" s="392">
        <f>(O51/$R51*100*($E51/365))+(O52/$R52*100*($E52/365))</f>
        <v>0</v>
      </c>
      <c r="I150" s="392"/>
      <c r="J150" s="392">
        <f>(P51/$R51*100*($E51/365))+(P52/$R52*100*($E52/365))</f>
        <v>0</v>
      </c>
      <c r="K150" s="392"/>
      <c r="L150" s="392">
        <f>(Q51/$R51*100*($E51/365))+(Q52/$R52*100*($E52/365))</f>
        <v>100</v>
      </c>
      <c r="M150" s="392"/>
      <c r="N150" s="363">
        <f t="shared" si="31"/>
        <v>100</v>
      </c>
      <c r="O150" s="363"/>
      <c r="R150" s="1">
        <v>1997</v>
      </c>
      <c r="S150" s="5">
        <f>(O51*($E51/365))+(O52*($E52/365))</f>
        <v>0</v>
      </c>
      <c r="T150" s="5">
        <f>(P51*($E51/365))+(P52*($E52/365))</f>
        <v>0</v>
      </c>
      <c r="U150" s="5">
        <f>(Q51*($E51/365))+(Q52*($E52/365))</f>
        <v>48.7</v>
      </c>
      <c r="V150" s="5"/>
      <c r="W150" s="5">
        <f t="shared" si="33"/>
        <v>48.7</v>
      </c>
    </row>
    <row r="151" spans="1:23" x14ac:dyDescent="0.15">
      <c r="A151" s="1">
        <v>1998</v>
      </c>
      <c r="B151" s="5">
        <f>(K53*($E53/365))+(K54*($E54/365))</f>
        <v>0</v>
      </c>
      <c r="C151" s="5">
        <f>(L53*($E53/365))+(L54*($E54/365))</f>
        <v>0</v>
      </c>
      <c r="D151" s="5">
        <f>(M53*($E53/365))+(M54*($E54/365))</f>
        <v>82.35294117647058</v>
      </c>
      <c r="E151" s="17">
        <f t="shared" si="32"/>
        <v>82.35294117647058</v>
      </c>
      <c r="G151" s="1">
        <v>1998</v>
      </c>
      <c r="H151" s="392">
        <f>(O53/$R53*100*($E53/365))+(O54/$R54*100*($E54/365))</f>
        <v>0</v>
      </c>
      <c r="I151" s="392"/>
      <c r="J151" s="392">
        <f>(P53/$R53*100*($E53/365))+(P54/$R54*100*($E54/365))</f>
        <v>0</v>
      </c>
      <c r="K151" s="392"/>
      <c r="L151" s="392">
        <f>(Q53/$R53*100*($E53/365))+(Q54/$R54*100*($E54/365))</f>
        <v>100</v>
      </c>
      <c r="M151" s="392"/>
      <c r="N151" s="363">
        <f t="shared" si="31"/>
        <v>100</v>
      </c>
      <c r="O151" s="363"/>
      <c r="R151" s="1">
        <v>1998</v>
      </c>
      <c r="S151" s="5">
        <f>(O53*($E53/365))+(O54*($E54/365))</f>
        <v>0</v>
      </c>
      <c r="T151" s="5">
        <f>(P53*($E53/365))+(P54*($E54/365))</f>
        <v>0</v>
      </c>
      <c r="U151" s="5">
        <f>(Q53*($E53/365))+(Q54*($E54/365))</f>
        <v>48.7</v>
      </c>
      <c r="V151" s="5"/>
      <c r="W151" s="5">
        <f t="shared" si="33"/>
        <v>48.7</v>
      </c>
    </row>
    <row r="152" spans="1:23" x14ac:dyDescent="0.15">
      <c r="A152" s="1">
        <v>1999</v>
      </c>
      <c r="B152" s="5">
        <f>(K55*($E55/365))+(K56*($E56/365))</f>
        <v>0</v>
      </c>
      <c r="C152" s="5">
        <f>(L55*($E55/365))+(L56*($E56/365))</f>
        <v>0</v>
      </c>
      <c r="D152" s="5">
        <f>(M55*($E55/365))+(M56*($E56/365))</f>
        <v>84.795792866533773</v>
      </c>
      <c r="E152" s="17">
        <f t="shared" si="32"/>
        <v>84.795792866533773</v>
      </c>
      <c r="G152" s="1">
        <v>1999</v>
      </c>
      <c r="H152" s="392">
        <f>(O55/$R55*100*($E55/365))+(O56/$R56*100*($E56/365))</f>
        <v>0</v>
      </c>
      <c r="I152" s="392"/>
      <c r="J152" s="392">
        <f>(P55/$R55*100*($E55/365))+(P56/$R56*100*($E56/365))</f>
        <v>0</v>
      </c>
      <c r="K152" s="392"/>
      <c r="L152" s="392">
        <f>(Q55/$R55*100*($E55/365))+(Q56/$R56*100*($E56/365))</f>
        <v>100</v>
      </c>
      <c r="M152" s="392"/>
      <c r="N152" s="363">
        <f t="shared" si="31"/>
        <v>100</v>
      </c>
      <c r="O152" s="363"/>
      <c r="R152" s="1">
        <v>1999</v>
      </c>
      <c r="S152" s="5">
        <f>(O55*($E55/365))+(O56*($E56/365))</f>
        <v>0</v>
      </c>
      <c r="T152" s="5">
        <f>(P55*($E55/365))+(P56*($E56/365))</f>
        <v>0</v>
      </c>
      <c r="U152" s="5">
        <f>(Q55*($E55/365))+(Q56*($E56/365))</f>
        <v>48.956438356164384</v>
      </c>
      <c r="V152" s="5"/>
      <c r="W152" s="5">
        <f t="shared" si="33"/>
        <v>48.956438356164384</v>
      </c>
    </row>
    <row r="153" spans="1:23" x14ac:dyDescent="0.15">
      <c r="A153" s="1">
        <v>2000</v>
      </c>
      <c r="B153" s="5">
        <f>(K57*($E57/366))+(K58*($E58/366))</f>
        <v>0</v>
      </c>
      <c r="C153" s="5">
        <f>(L57*($E57/366))+(L58*($E58/366))</f>
        <v>0</v>
      </c>
      <c r="D153" s="5">
        <f>(M57*($E57/366))+(M58*($E58/366))</f>
        <v>69.672131147540981</v>
      </c>
      <c r="E153" s="17">
        <f t="shared" si="32"/>
        <v>69.672131147540981</v>
      </c>
      <c r="G153" s="1">
        <v>2000</v>
      </c>
      <c r="H153" s="392">
        <f>(O57/$R57*100*($E57/366))+(O58/$R58*100*($E58/366))</f>
        <v>0</v>
      </c>
      <c r="I153" s="392"/>
      <c r="J153" s="392">
        <f>(P57/$R57*100*($E57/366))+(P58/$R58*100*($E58/366))</f>
        <v>0</v>
      </c>
      <c r="K153" s="392"/>
      <c r="L153" s="392">
        <f>(Q57/$R57*100*($E57/366))+(Q58/$R58*100*($E58/366))</f>
        <v>100</v>
      </c>
      <c r="M153" s="392"/>
      <c r="N153" s="363">
        <f t="shared" si="31"/>
        <v>100</v>
      </c>
      <c r="O153" s="363"/>
      <c r="R153" s="1">
        <v>2000</v>
      </c>
      <c r="S153" s="5">
        <f>(O57*($E57/366))+(O58*($E58/366))</f>
        <v>0</v>
      </c>
      <c r="T153" s="5">
        <f>(P57*($E57/366))+(P58*($E58/366))</f>
        <v>0</v>
      </c>
      <c r="U153" s="5">
        <f>(Q57*($E57/366))+(Q58*($E58/366))</f>
        <v>50</v>
      </c>
      <c r="V153" s="5"/>
      <c r="W153" s="5">
        <f t="shared" si="33"/>
        <v>50</v>
      </c>
    </row>
    <row r="154" spans="1:23" x14ac:dyDescent="0.15">
      <c r="A154" s="1">
        <v>2001</v>
      </c>
      <c r="B154" s="5">
        <f>(K59*($E59/365))+(K60*($E60/365))</f>
        <v>0</v>
      </c>
      <c r="C154" s="5">
        <f>(L59*($E59/365))+(L60*($E60/365))</f>
        <v>0</v>
      </c>
      <c r="D154" s="5">
        <f>(M59*($E59/365))+(M60*($E60/365))</f>
        <v>57.894736842105267</v>
      </c>
      <c r="E154" s="17">
        <f t="shared" si="32"/>
        <v>57.894736842105267</v>
      </c>
      <c r="G154" s="1">
        <v>2001</v>
      </c>
      <c r="H154" s="392">
        <f>(O59/$R59*100*($E59/365))+(O60/$R60*100*($E60/365))</f>
        <v>0</v>
      </c>
      <c r="I154" s="392"/>
      <c r="J154" s="392">
        <f>(P59/$R59*100*($E59/365))+(P60/$R60*100*($E60/365))</f>
        <v>0</v>
      </c>
      <c r="K154" s="392"/>
      <c r="L154" s="392">
        <f>(Q59/$R59*100*($E59/365))+(Q60/$R60*100*($E60/365))</f>
        <v>100</v>
      </c>
      <c r="M154" s="392"/>
      <c r="N154" s="363">
        <f t="shared" si="31"/>
        <v>100</v>
      </c>
      <c r="O154" s="363"/>
      <c r="R154" s="1">
        <v>2001</v>
      </c>
      <c r="S154" s="5">
        <f>(O59*($E59/365))+(O60*($E60/365))</f>
        <v>0</v>
      </c>
      <c r="T154" s="5">
        <f>(P59*($E59/365))+(P60*($E60/365))</f>
        <v>0</v>
      </c>
      <c r="U154" s="5">
        <f>(Q59*($E59/365))+(Q60*($E60/365))</f>
        <v>50</v>
      </c>
      <c r="V154" s="5"/>
      <c r="W154" s="5">
        <f t="shared" si="33"/>
        <v>50</v>
      </c>
    </row>
    <row r="155" spans="1:23" x14ac:dyDescent="0.15">
      <c r="A155" s="1">
        <v>2002</v>
      </c>
      <c r="B155" s="5">
        <f>(K61*($E61/365))+(K62*($E62/365))</f>
        <v>69.345509893455102</v>
      </c>
      <c r="C155" s="5">
        <f>(L61*($E61/365))+(L62*($E62/365))</f>
        <v>0</v>
      </c>
      <c r="D155" s="5">
        <f>(M61*($E61/365))+(M62*($E62/365))</f>
        <v>15.385724585436195</v>
      </c>
      <c r="E155" s="17">
        <f t="shared" si="32"/>
        <v>84.731234478891295</v>
      </c>
      <c r="G155" s="1">
        <v>2002</v>
      </c>
      <c r="H155" s="392">
        <f>(O61/$R61*100*($E61/365))+(O62/$R62*100*($E62/365))</f>
        <v>73.424657534246577</v>
      </c>
      <c r="I155" s="392"/>
      <c r="J155" s="392">
        <f>(P61/$R61*100*($E61/365))+(P62/$R62*100*($E62/365))</f>
        <v>0</v>
      </c>
      <c r="K155" s="392"/>
      <c r="L155" s="392">
        <f>(Q61/$R61*100*($E61/365))+(Q62/$R62*100*($E62/365))</f>
        <v>26.575342465753426</v>
      </c>
      <c r="M155" s="392"/>
      <c r="N155" s="363">
        <f t="shared" si="31"/>
        <v>100</v>
      </c>
      <c r="O155" s="363"/>
      <c r="R155" s="1">
        <v>2002</v>
      </c>
      <c r="S155" s="5">
        <f>(O61*($E61/365))+(O62*($E62/365))</f>
        <v>38.033972602739723</v>
      </c>
      <c r="T155" s="5">
        <f>(P61*($E61/365))+(P62*($E62/365))</f>
        <v>0</v>
      </c>
      <c r="U155" s="5">
        <f>(Q61*($E61/365))+(Q62*($E62/365))</f>
        <v>13.287671232876713</v>
      </c>
      <c r="V155" s="5"/>
      <c r="W155" s="5">
        <f t="shared" si="33"/>
        <v>51.321643835616435</v>
      </c>
    </row>
    <row r="156" spans="1:23" x14ac:dyDescent="0.15">
      <c r="A156" s="1">
        <v>2003</v>
      </c>
      <c r="B156" s="5">
        <f>(K63*($E63/365))+(K64*($E64/365))</f>
        <v>94.444444444444443</v>
      </c>
      <c r="C156" s="5">
        <f>(L63*($E63/365))+(L64*($E64/365))</f>
        <v>0</v>
      </c>
      <c r="D156" s="5">
        <f>(M63*($E63/365))+(M64*($E64/365))</f>
        <v>0</v>
      </c>
      <c r="E156" s="17">
        <f t="shared" si="32"/>
        <v>94.444444444444443</v>
      </c>
      <c r="G156" s="1">
        <v>2003</v>
      </c>
      <c r="H156" s="392">
        <f>(O63/$R63*100*($E63/365))+(O64/$R64*100*($E64/365))</f>
        <v>100</v>
      </c>
      <c r="I156" s="392"/>
      <c r="J156" s="392">
        <f>(P63/$R63*100*($E63/365))+(P64/$R64*100*($E64/365))</f>
        <v>0</v>
      </c>
      <c r="K156" s="392"/>
      <c r="L156" s="392">
        <f>(Q63/$R63*100*($E63/365))+(Q64/$R64*100*($E64/365))</f>
        <v>0</v>
      </c>
      <c r="M156" s="392"/>
      <c r="N156" s="363">
        <f t="shared" si="31"/>
        <v>100</v>
      </c>
      <c r="O156" s="363"/>
      <c r="R156" s="1">
        <v>2003</v>
      </c>
      <c r="S156" s="5">
        <f>(O63*($E63/365))+(O64*($E64/365))</f>
        <v>51.8</v>
      </c>
      <c r="T156" s="5">
        <f>(P63*($E63/365))+(P64*($E64/365))</f>
        <v>0</v>
      </c>
      <c r="U156" s="5">
        <f>(Q63*($E63/365))+(Q64*($E64/365))</f>
        <v>0</v>
      </c>
      <c r="V156" s="5"/>
      <c r="W156" s="5">
        <f t="shared" si="33"/>
        <v>51.8</v>
      </c>
    </row>
    <row r="157" spans="1:23" x14ac:dyDescent="0.15">
      <c r="A157" s="1">
        <v>2004</v>
      </c>
      <c r="B157" s="5">
        <f>(K65*($E65/366))+(K66*($E66/366))</f>
        <v>94.690346083788711</v>
      </c>
      <c r="C157" s="5">
        <f>(L65*($E65/366))+(L66*($E66/366))</f>
        <v>0</v>
      </c>
      <c r="D157" s="5">
        <f>(M65*($E65/366))+(M66*($E66/366))</f>
        <v>0</v>
      </c>
      <c r="E157" s="17">
        <f t="shared" si="32"/>
        <v>94.690346083788711</v>
      </c>
      <c r="G157" s="1">
        <v>2004</v>
      </c>
      <c r="H157" s="392">
        <f>(O65/$R65*100*($E65/366))+(O66/$R66*100*($E66/366))</f>
        <v>100</v>
      </c>
      <c r="I157" s="392"/>
      <c r="J157" s="392">
        <f>(P65/$R65*100*($E65/366))+(P66/$R66*100*($E66/366))</f>
        <v>0</v>
      </c>
      <c r="K157" s="392"/>
      <c r="L157" s="392">
        <f>(Q65/$R65*100*($E65/366))+(Q66/$R66*100*($E66/366))</f>
        <v>0</v>
      </c>
      <c r="M157" s="392"/>
      <c r="N157" s="363">
        <f t="shared" si="31"/>
        <v>100</v>
      </c>
      <c r="O157" s="363"/>
      <c r="R157" s="1">
        <v>2004</v>
      </c>
      <c r="S157" s="5">
        <f>(O65*($E65/366))+(O66*($E66/366))</f>
        <v>51.8</v>
      </c>
      <c r="T157" s="5">
        <f>(P65*($E65/366))+(P66*($E66/366))</f>
        <v>0</v>
      </c>
      <c r="U157" s="5">
        <f>(Q65*($E65/366))+(Q66*($E66/366))</f>
        <v>0</v>
      </c>
      <c r="V157" s="5"/>
      <c r="W157" s="5">
        <f t="shared" si="33"/>
        <v>51.8</v>
      </c>
    </row>
    <row r="158" spans="1:23" x14ac:dyDescent="0.15">
      <c r="A158" s="1">
        <v>2005</v>
      </c>
      <c r="B158" s="5">
        <f>(K67*($E67/365))+(K68*($E68/365))</f>
        <v>18.219178082191778</v>
      </c>
      <c r="C158" s="5">
        <f>(L67*($E67/365))+(L68*($E68/365))</f>
        <v>0</v>
      </c>
      <c r="D158" s="5">
        <f>(M67*($E67/365))+(M68*($E68/365))</f>
        <v>42.788074133763097</v>
      </c>
      <c r="E158" s="17">
        <f t="shared" si="32"/>
        <v>61.007252215954878</v>
      </c>
      <c r="G158" s="1">
        <v>2005</v>
      </c>
      <c r="H158" s="392">
        <f>(O67/$R67*100*($E67/365))+(O68/$R68*100*($E68/365))</f>
        <v>19.17808219178082</v>
      </c>
      <c r="I158" s="392"/>
      <c r="J158" s="392">
        <f>(P67/$R67*100*($E67/365))+(P68/$R68*100*($E68/365))</f>
        <v>0</v>
      </c>
      <c r="K158" s="392"/>
      <c r="L158" s="392">
        <f>(Q67/$R67*100*($E67/365))+(Q68/$R68*100*($E68/365))</f>
        <v>80.821917808219183</v>
      </c>
      <c r="M158" s="392"/>
      <c r="N158" s="363">
        <f t="shared" si="31"/>
        <v>100</v>
      </c>
      <c r="O158" s="363"/>
      <c r="R158" s="1">
        <v>2005</v>
      </c>
      <c r="S158" s="5">
        <f>(O67*($E67/365))+(O68*($E68/365))</f>
        <v>9.9342465753424651</v>
      </c>
      <c r="T158" s="5">
        <f>(P67*($E67/365))+(P68*($E68/365))</f>
        <v>0</v>
      </c>
      <c r="U158" s="5">
        <f>(Q67*($E67/365))+(Q68*($E68/365))</f>
        <v>42.512328767123286</v>
      </c>
      <c r="V158" s="5"/>
      <c r="W158" s="5">
        <f t="shared" si="33"/>
        <v>52.446575342465749</v>
      </c>
    </row>
    <row r="159" spans="1:23" x14ac:dyDescent="0.15">
      <c r="A159" s="1">
        <v>2006</v>
      </c>
      <c r="B159" s="5">
        <f>(K69*($E69/365))+(K70*($E70/365))</f>
        <v>0</v>
      </c>
      <c r="C159" s="5">
        <f>(L69*($E69/365))+(L70*($E70/365))</f>
        <v>0</v>
      </c>
      <c r="D159" s="5">
        <f>(M69*($E69/365))+(M70*($E70/365))</f>
        <v>55.874294923448844</v>
      </c>
      <c r="E159" s="17">
        <f t="shared" si="32"/>
        <v>55.874294923448844</v>
      </c>
      <c r="G159" s="1">
        <v>2006</v>
      </c>
      <c r="H159" s="392">
        <f>(O69/$R69*100*($E69/365))+(O70/$R70*100*($E70/365))</f>
        <v>0</v>
      </c>
      <c r="I159" s="392"/>
      <c r="J159" s="392">
        <f>(P69/$R69*100*($E69/365))+(P70/$R70*100*($E70/365))</f>
        <v>0</v>
      </c>
      <c r="K159" s="392"/>
      <c r="L159" s="392">
        <f>(Q69/$R69*100*($E69/365))+(Q70/$R70*100*($E70/365))</f>
        <v>100</v>
      </c>
      <c r="M159" s="392"/>
      <c r="N159" s="363">
        <f t="shared" si="31"/>
        <v>100</v>
      </c>
      <c r="O159" s="363"/>
      <c r="R159" s="1">
        <v>2006</v>
      </c>
      <c r="S159" s="5">
        <f>(O69*($E69/365))+(O70*($E70/365))</f>
        <v>0</v>
      </c>
      <c r="T159" s="5">
        <f>(P69*($E69/365))+(P70*($E70/365))</f>
        <v>0</v>
      </c>
      <c r="U159" s="5">
        <f>(Q69*($E69/365))+(Q70*($E70/365))</f>
        <v>52.600000000000009</v>
      </c>
      <c r="V159" s="5"/>
      <c r="W159" s="5">
        <f t="shared" si="33"/>
        <v>52.600000000000009</v>
      </c>
    </row>
    <row r="160" spans="1:23" x14ac:dyDescent="0.15">
      <c r="A160" s="1">
        <v>2007</v>
      </c>
      <c r="B160" s="5">
        <f>(K71*($E71/365))+(K72*($E72/365))</f>
        <v>0</v>
      </c>
      <c r="C160" s="5">
        <f>(L71*($E71/365))+(L72*($E72/365))</f>
        <v>0</v>
      </c>
      <c r="D160" s="5">
        <f>(M71*($E71/365))+(M72*($E72/365))</f>
        <v>55.132957292506049</v>
      </c>
      <c r="E160" s="17">
        <f t="shared" si="32"/>
        <v>55.132957292506049</v>
      </c>
      <c r="G160" s="1">
        <v>2007</v>
      </c>
      <c r="H160" s="392">
        <f>(O71/$R71*100*($E71/365))+(O72/$R72*100*($E72/365))</f>
        <v>0</v>
      </c>
      <c r="I160" s="392"/>
      <c r="J160" s="392">
        <f>(P71/$R71*100*($E71/365))+(P72/$R72*100*($E72/365))</f>
        <v>0</v>
      </c>
      <c r="K160" s="392"/>
      <c r="L160" s="392">
        <f>(Q71/$R71*100*($E71/365))+(Q72/$R72*100*($E72/365))</f>
        <v>100</v>
      </c>
      <c r="M160" s="392"/>
      <c r="N160" s="363">
        <f t="shared" si="31"/>
        <v>100</v>
      </c>
      <c r="O160" s="363"/>
      <c r="R160" s="1">
        <v>2007</v>
      </c>
      <c r="S160" s="5">
        <f>(O71*($E71/365))+(O72*($E72/365))</f>
        <v>0</v>
      </c>
      <c r="T160" s="5">
        <f>(P71*($E71/365))+(P72*($E72/365))</f>
        <v>0</v>
      </c>
      <c r="U160" s="5">
        <f>(Q71*($E71/365))+(Q72*($E72/365))</f>
        <v>52.6</v>
      </c>
      <c r="V160" s="5"/>
      <c r="W160" s="5">
        <f t="shared" si="33"/>
        <v>52.6</v>
      </c>
    </row>
    <row r="161" spans="1:23" x14ac:dyDescent="0.15">
      <c r="A161" s="1">
        <v>2008</v>
      </c>
      <c r="B161" s="5">
        <f>(K73*($E73/366))+(K74*($E74/366))</f>
        <v>0</v>
      </c>
      <c r="C161" s="5">
        <f>(L73*($E73/366))+(L74*($E74/366))</f>
        <v>0</v>
      </c>
      <c r="D161" s="5">
        <f>(M73*($E73/366))+(M74*($E74/366))</f>
        <v>58.357441337190622</v>
      </c>
      <c r="E161" s="17">
        <f t="shared" si="32"/>
        <v>58.357441337190622</v>
      </c>
      <c r="G161" s="1">
        <v>2008</v>
      </c>
      <c r="H161" s="392">
        <f>(O73/$R73*100*($E73/366))+(O74/$R74*100*($E74/366))</f>
        <v>0</v>
      </c>
      <c r="I161" s="392"/>
      <c r="J161" s="392">
        <f>(P73/$R73*100*($E73/366))+(P74/$R74*100*($E74/366))</f>
        <v>0</v>
      </c>
      <c r="K161" s="392"/>
      <c r="L161" s="392">
        <f>(Q73/$R73*100*($E73/366))+(Q74/$R74*100*($E74/366))</f>
        <v>100</v>
      </c>
      <c r="M161" s="392"/>
      <c r="N161" s="363">
        <f t="shared" si="31"/>
        <v>100</v>
      </c>
      <c r="O161" s="363"/>
      <c r="R161" s="1">
        <v>2008</v>
      </c>
      <c r="S161" s="5">
        <f>(O73*($E73/366))+(O74*($E74/366))</f>
        <v>0</v>
      </c>
      <c r="T161" s="5">
        <f>(P73*($E73/366))+(P74*($E74/366))</f>
        <v>0</v>
      </c>
      <c r="U161" s="5">
        <f>(Q73*($E73/366))+(Q74*($E74/366))</f>
        <v>52.6</v>
      </c>
      <c r="V161" s="5"/>
      <c r="W161" s="5">
        <f t="shared" si="33"/>
        <v>52.6</v>
      </c>
    </row>
    <row r="162" spans="1:23" x14ac:dyDescent="0.15">
      <c r="A162" s="1">
        <v>2009</v>
      </c>
      <c r="B162" s="5">
        <f>(K75*($E75/365))+(K76*($E76/365))</f>
        <v>0</v>
      </c>
      <c r="C162" s="5">
        <f>(L75*($E75/365))+(L76*($E76/365))</f>
        <v>0</v>
      </c>
      <c r="D162" s="5">
        <f>(M75*($E75/365))+(M76*($E76/365))</f>
        <v>58.82352941176471</v>
      </c>
      <c r="E162" s="17">
        <f t="shared" si="32"/>
        <v>58.82352941176471</v>
      </c>
      <c r="G162" s="1">
        <v>2009</v>
      </c>
      <c r="H162" s="392">
        <f>(O75/$R75*100*($E75/365))+(O76/$R76*100*($E76/365))</f>
        <v>0</v>
      </c>
      <c r="I162" s="392"/>
      <c r="J162" s="392">
        <f>(P75/$R75*100*($E75/365))+(P76/$R76*100*($E76/365))</f>
        <v>0</v>
      </c>
      <c r="K162" s="392"/>
      <c r="L162" s="392">
        <f>(Q75/$R75*100*($E75/365))+(Q76/$R76*100*($E76/365))</f>
        <v>100</v>
      </c>
      <c r="M162" s="392"/>
      <c r="N162" s="363">
        <f t="shared" si="31"/>
        <v>100</v>
      </c>
      <c r="O162" s="363"/>
      <c r="R162" s="1">
        <v>2009</v>
      </c>
      <c r="S162" s="5">
        <f>(O75*($E75/365))+(O76*($E76/365))</f>
        <v>0</v>
      </c>
      <c r="T162" s="5">
        <f>(P75*($E75/365))+(P76*($E76/365))</f>
        <v>0</v>
      </c>
      <c r="U162" s="5">
        <f>(Q75*($E75/365))+(Q76*($E76/365))</f>
        <v>50.690958904109586</v>
      </c>
      <c r="V162" s="5"/>
      <c r="W162" s="5">
        <f t="shared" si="33"/>
        <v>50.690958904109586</v>
      </c>
    </row>
    <row r="163" spans="1:23" x14ac:dyDescent="0.15">
      <c r="A163" s="1">
        <v>2010</v>
      </c>
      <c r="B163" s="5">
        <f>(K77*($E77/365))+(K78*($E78/365))</f>
        <v>0</v>
      </c>
      <c r="C163" s="5">
        <f>(L77*($E77/365))+(L78*($E78/365))</f>
        <v>0</v>
      </c>
      <c r="D163" s="5">
        <f>(M77*($E77/365))+(M78*($E78/365))</f>
        <v>58.82352941176471</v>
      </c>
      <c r="E163" s="17">
        <f t="shared" si="32"/>
        <v>58.82352941176471</v>
      </c>
      <c r="G163" s="1">
        <v>2010</v>
      </c>
      <c r="H163" s="392">
        <f>(O77/$R77*100*($E77/365))+(O78/$R78*100*($E78/365))</f>
        <v>0</v>
      </c>
      <c r="I163" s="392"/>
      <c r="J163" s="392">
        <f>(P77/$R77*100*($E77/365))+(P78/$R78*100*($E78/365))</f>
        <v>0</v>
      </c>
      <c r="K163" s="392"/>
      <c r="L163" s="392">
        <f>(Q77/$R77*100*($E77/365))+(Q78/$R78*100*($E78/365))</f>
        <v>100</v>
      </c>
      <c r="M163" s="392"/>
      <c r="N163" s="363">
        <f t="shared" si="31"/>
        <v>100</v>
      </c>
      <c r="O163" s="363"/>
      <c r="R163" s="1">
        <v>2010</v>
      </c>
      <c r="S163" s="5">
        <f>(O77*($E77/365))+(O78*($E78/365))</f>
        <v>0</v>
      </c>
      <c r="T163" s="5">
        <f>(P77*($E77/365))+(P78*($E78/365))</f>
        <v>0</v>
      </c>
      <c r="U163" s="5">
        <f>(Q77*($E77/365))+(Q78*($E78/365))</f>
        <v>42.2</v>
      </c>
      <c r="V163" s="5"/>
      <c r="W163" s="5">
        <f t="shared" si="33"/>
        <v>42.2</v>
      </c>
    </row>
    <row r="164" spans="1:23" x14ac:dyDescent="0.15">
      <c r="A164" s="1">
        <v>2011</v>
      </c>
      <c r="B164" s="5">
        <f>(K79*($E79/365))+(K80*($E80/365))</f>
        <v>35.433789954337897</v>
      </c>
      <c r="C164" s="5">
        <f>(L79*($E79/365))+(L80*($E80/365))</f>
        <v>0</v>
      </c>
      <c r="D164" s="5">
        <f>(M79*($E79/365))+(M80*($E80/365))</f>
        <v>27.558420628525386</v>
      </c>
      <c r="E164" s="17">
        <f t="shared" si="32"/>
        <v>62.992210582863279</v>
      </c>
      <c r="G164" s="1">
        <v>2011</v>
      </c>
      <c r="H164" s="392">
        <f>(O79/$R79*100*($E79/365))+(O80/$R80*100*($E80/365))</f>
        <v>53.150684931506852</v>
      </c>
      <c r="I164" s="392"/>
      <c r="J164" s="392">
        <f>(P79/$R79*100*($E79/365))+(P80/$R80*100*($E80/365))</f>
        <v>0</v>
      </c>
      <c r="K164" s="392"/>
      <c r="L164" s="392">
        <f>(Q79/$R79*100*($E79/365))+(Q80/$R80*100*($E80/365))</f>
        <v>46.849315068493155</v>
      </c>
      <c r="M164" s="392"/>
      <c r="N164" s="363">
        <f t="shared" si="31"/>
        <v>100</v>
      </c>
      <c r="O164" s="363"/>
      <c r="R164" s="1">
        <v>2011</v>
      </c>
      <c r="S164" s="5">
        <f>(O79*($E79/365))+(O80*($E80/365))</f>
        <v>30.503178082191784</v>
      </c>
      <c r="T164" s="5">
        <f>(P79*($E79/365))+(P80*($E80/365))</f>
        <v>0</v>
      </c>
      <c r="U164" s="5">
        <f>(Q79*($E79/365))+(Q80*($E80/365))</f>
        <v>19.770410958904112</v>
      </c>
      <c r="V164" s="5"/>
      <c r="W164" s="5">
        <f t="shared" si="33"/>
        <v>50.273589041095896</v>
      </c>
    </row>
    <row r="165" spans="1:23" x14ac:dyDescent="0.15">
      <c r="A165" s="1">
        <v>2012</v>
      </c>
      <c r="B165" s="5">
        <f>(K81*($E81/366))+(K82*($E82/366))</f>
        <v>66.666666666666657</v>
      </c>
      <c r="C165" s="5">
        <f>(L81*($E81/366))+(L82*($E82/366))</f>
        <v>0</v>
      </c>
      <c r="D165" s="5">
        <f>(M81*($E81/366))+(M82*($E82/366))</f>
        <v>0</v>
      </c>
      <c r="E165" s="17">
        <f t="shared" ref="E165:E170" si="34">B165+C165+D165</f>
        <v>66.666666666666657</v>
      </c>
      <c r="G165" s="1">
        <v>2012</v>
      </c>
      <c r="H165" s="392">
        <f>(O81/$R81*100*($E81/366))+(O82/$R82*100*($E82/366))</f>
        <v>100</v>
      </c>
      <c r="I165" s="392"/>
      <c r="J165" s="392">
        <f>(P81/$R81*100*($E81/366))+(P82/$R82*100*($E82/366))</f>
        <v>0</v>
      </c>
      <c r="K165" s="392"/>
      <c r="L165" s="392">
        <f>(Q81/$R81*100*($E81/366))+(Q82/$R82*100*($E82/366))</f>
        <v>0</v>
      </c>
      <c r="M165" s="392"/>
      <c r="N165" s="363">
        <f t="shared" si="31"/>
        <v>100</v>
      </c>
      <c r="O165" s="363"/>
      <c r="R165" s="1">
        <v>2012</v>
      </c>
      <c r="S165" s="5">
        <f>(O81*($E81/366))+(O82*($E82/366))</f>
        <v>57.39</v>
      </c>
      <c r="T165" s="5">
        <f>(P81*($E81/366))+(P82*($E82/366))</f>
        <v>0</v>
      </c>
      <c r="U165" s="5">
        <f>(Q81*($E81/366))+(Q82*($E82/366))</f>
        <v>0</v>
      </c>
      <c r="V165" s="5"/>
      <c r="W165" s="5">
        <f t="shared" ref="W165:W170" si="35">S165+T165+U165</f>
        <v>57.39</v>
      </c>
    </row>
    <row r="166" spans="1:23" x14ac:dyDescent="0.15">
      <c r="A166" s="1">
        <v>2013</v>
      </c>
      <c r="B166" s="5">
        <f>(K83*($E83/365))+(K84*($E84/365))+(K85*($E85/365))</f>
        <v>73.264488935721801</v>
      </c>
      <c r="C166" s="5">
        <f>(L83*($E83/365))+(L84*($E84/365))+(L85*($E85/365))</f>
        <v>0</v>
      </c>
      <c r="D166" s="5">
        <f>(M83*($E83/365))+(M84*($E84/365))+(M85*($E85/365))</f>
        <v>0</v>
      </c>
      <c r="E166" s="17">
        <f t="shared" si="34"/>
        <v>73.264488935721801</v>
      </c>
      <c r="G166" s="1">
        <v>2013</v>
      </c>
      <c r="H166" s="392">
        <f>(O83/$R83*100*($E83/365))+(O84/$R84*100*($E84/365))+(O85/$R85*100*($E85/365))</f>
        <v>100</v>
      </c>
      <c r="I166" s="392"/>
      <c r="J166" s="392">
        <f>(P83/$R83*100*($E83/365))+(P84/$R84*100*($E84/365))+(P85/$R85*100*($E85/365))</f>
        <v>0</v>
      </c>
      <c r="K166" s="392"/>
      <c r="L166" s="392">
        <f>(Q83/$R83*100*($E83/365))+(Q84/$R84*100*($E84/365))+(Q85/$R85*100*($E85/365))</f>
        <v>0</v>
      </c>
      <c r="M166" s="392"/>
      <c r="N166" s="363">
        <f>H166+J166+L166</f>
        <v>100</v>
      </c>
      <c r="O166" s="363"/>
      <c r="R166" s="1">
        <v>2013</v>
      </c>
      <c r="S166" s="5">
        <f>(O83*($E83/365))+(O84*($E84/365))+(O85*($E85/365))</f>
        <v>57.39</v>
      </c>
      <c r="T166" s="5">
        <f>(P83*($E83/365))+(P84*($E84/365))+(P85*($E85/365))</f>
        <v>0</v>
      </c>
      <c r="U166" s="5">
        <f>(Q83*($E83/365))+(Q84*($E84/365))+(Q85*($E85/365))</f>
        <v>0</v>
      </c>
      <c r="W166" s="5">
        <f t="shared" si="35"/>
        <v>57.39</v>
      </c>
    </row>
    <row r="167" spans="1:23" x14ac:dyDescent="0.15">
      <c r="A167" s="1">
        <v>2014</v>
      </c>
      <c r="B167" s="5">
        <f>(K86*($E86/365))+(K87*($E87/365))</f>
        <v>79.214611872146122</v>
      </c>
      <c r="C167" s="5">
        <f>(L86*($E86/365))+(L87*($E87/365))</f>
        <v>0</v>
      </c>
      <c r="D167" s="5">
        <f>(M86*($E86/365))+(M87*($E87/365))</f>
        <v>0</v>
      </c>
      <c r="E167" s="17">
        <f t="shared" si="34"/>
        <v>79.214611872146122</v>
      </c>
      <c r="G167" s="1">
        <v>2014</v>
      </c>
      <c r="H167" s="392">
        <f>(O86/$R86*100*($E86/365))+(O87/$R87*100*($E87/365))</f>
        <v>100.00000000000001</v>
      </c>
      <c r="I167" s="392"/>
      <c r="J167" s="392">
        <f>(P86/$R86*100*($E86/365))+(P87/$R87*100*($E87/365))</f>
        <v>0</v>
      </c>
      <c r="K167" s="392"/>
      <c r="L167" s="392">
        <f>(Q86/$R86*100*($E86/365))+(Q87/$R87*100*($E87/365))</f>
        <v>0</v>
      </c>
      <c r="M167" s="392"/>
      <c r="N167" s="363">
        <f>H167+J167+L167</f>
        <v>100.00000000000001</v>
      </c>
      <c r="O167" s="363"/>
      <c r="R167" s="1">
        <v>2014</v>
      </c>
      <c r="S167" s="5">
        <f>(O86*($E86/365))+(O87*($E87/365))</f>
        <v>57.39</v>
      </c>
      <c r="T167" s="5">
        <f>(P86*($E86/365))+(P87*($E87/365))</f>
        <v>0</v>
      </c>
      <c r="U167" s="5">
        <f>(Q86*($E86/365))+(Q87*($E87/365))</f>
        <v>0</v>
      </c>
      <c r="W167" s="5">
        <f t="shared" si="35"/>
        <v>57.39</v>
      </c>
    </row>
    <row r="168" spans="1:23" x14ac:dyDescent="0.15">
      <c r="A168" s="1">
        <v>2015</v>
      </c>
      <c r="B168" s="5">
        <f>(K88*($E88/365))+(K89*($E89/365))+(K90*($E90/365))</f>
        <v>66.767660488853068</v>
      </c>
      <c r="C168" s="5">
        <f>(L88*($E88/365))+(L89*($E89/365))+(L90*($E90/365))</f>
        <v>0</v>
      </c>
      <c r="D168" s="5">
        <f>(M88*($E88/365))+(M89*($E89/365))+(M90*($E90/365))</f>
        <v>6.0273972602739727</v>
      </c>
      <c r="E168" s="17">
        <f t="shared" si="34"/>
        <v>72.795057749127039</v>
      </c>
      <c r="G168" s="1">
        <v>2015</v>
      </c>
      <c r="H168" s="392">
        <f>(O88/$R88*100*($E88/365))+(O89/$R89*100*($E89/365))+(O90/$R90*100*($E90/365))</f>
        <v>90.136986301369873</v>
      </c>
      <c r="I168" s="392"/>
      <c r="J168" s="392">
        <f>(P88/$R88*100*($E88/365))+(P89/$R89*100*($E89/365))+(P90/$R90*100*($E90/365))</f>
        <v>0</v>
      </c>
      <c r="K168" s="392"/>
      <c r="L168" s="392">
        <f>(Q88/$R88*100*($E88/365))+(Q89/$R89*100*($E89/365))+(Q90/$R90*100*($E90/365))</f>
        <v>9.8630136986301373</v>
      </c>
      <c r="M168" s="392"/>
      <c r="N168" s="363">
        <f>H168+J168+L168</f>
        <v>100.00000000000001</v>
      </c>
      <c r="O168" s="363"/>
      <c r="R168" s="1">
        <v>2015</v>
      </c>
      <c r="S168" s="5">
        <f>(O88*($E88/365))+(O89*($E89/365))+(O90*($E90/365))</f>
        <v>50.924054794520551</v>
      </c>
      <c r="T168" s="5">
        <f>(P88*($E88/365))+(P89*($E89/365))+(P90*($E90/365))</f>
        <v>0</v>
      </c>
      <c r="U168" s="5">
        <f>(Q88*($E88/365))+(Q89*($E89/365))+(Q90*($E90/365))</f>
        <v>3.6789041095890407</v>
      </c>
      <c r="W168" s="5">
        <f t="shared" si="35"/>
        <v>54.602958904109592</v>
      </c>
    </row>
    <row r="169" spans="1:23" x14ac:dyDescent="0.15">
      <c r="A169" s="1">
        <v>2016</v>
      </c>
      <c r="B169" s="5">
        <f>(K91*($E91/366))+(K92*($E92/366))</f>
        <v>0</v>
      </c>
      <c r="C169" s="5">
        <f t="shared" ref="C169" si="36">(L91*($E91/366))+(L92*($E92/366))</f>
        <v>0</v>
      </c>
      <c r="D169" s="5">
        <f>(M91*($E91/366))+(M92*($E92/366))</f>
        <v>57.134183363691562</v>
      </c>
      <c r="E169" s="17">
        <f t="shared" si="34"/>
        <v>57.134183363691562</v>
      </c>
      <c r="G169" s="1">
        <v>2016</v>
      </c>
      <c r="H169" s="392">
        <f>(O91/$R91*100*($E91/366))+(O92/$R92*100*($E92/366))</f>
        <v>0</v>
      </c>
      <c r="I169" s="392"/>
      <c r="J169" s="392">
        <f>(P91/$R91*100*($E91/366))+(P92/$R92*100*($E92/366))</f>
        <v>0</v>
      </c>
      <c r="K169" s="392"/>
      <c r="L169" s="392">
        <f>(Q91/$R91*100*($E91/366))+(Q92/$R92*100*($E92/366))</f>
        <v>100</v>
      </c>
      <c r="M169" s="392"/>
      <c r="N169" s="363">
        <f>H169+J169+L169</f>
        <v>100</v>
      </c>
      <c r="O169" s="363"/>
      <c r="R169" s="1">
        <v>2016</v>
      </c>
      <c r="S169" s="5">
        <f>(O91*($E91/366))+(O92*($E92/366))</f>
        <v>0</v>
      </c>
      <c r="T169" s="5">
        <f>(P91*($E91/366))+(P92*($E92/366))</f>
        <v>0</v>
      </c>
      <c r="U169" s="5">
        <f>(Q91*($E91/366))+(Q92*($E92/366))</f>
        <v>37.299999999999997</v>
      </c>
      <c r="W169" s="5">
        <f t="shared" si="35"/>
        <v>37.299999999999997</v>
      </c>
    </row>
    <row r="170" spans="1:23" x14ac:dyDescent="0.15">
      <c r="A170" s="1">
        <v>2017</v>
      </c>
      <c r="B170" s="5">
        <f>(K93*($E93/365))+(K94*($E94/365))</f>
        <v>0</v>
      </c>
      <c r="C170" s="5">
        <f t="shared" ref="C170:D170" si="37">(L93*($E93/365))+(L94*($E94/365))</f>
        <v>0</v>
      </c>
      <c r="D170" s="5">
        <f t="shared" si="37"/>
        <v>55.555555555555557</v>
      </c>
      <c r="E170" s="17">
        <f t="shared" si="34"/>
        <v>55.555555555555557</v>
      </c>
      <c r="G170" s="1">
        <v>2017</v>
      </c>
      <c r="H170" s="392">
        <f>(O93/$R93*100*($E93/365))+(O94/$R94*100*($E94/365))</f>
        <v>0</v>
      </c>
      <c r="I170" s="392"/>
      <c r="J170" s="392">
        <f>(P93/$R93*100*($E93/365))+(P94/$R94*100*($E94/365))</f>
        <v>0</v>
      </c>
      <c r="K170" s="392"/>
      <c r="L170" s="392">
        <f>(Q93/$R93*100*($E93/365))+(Q94/$R94*100*($E94/365))</f>
        <v>100</v>
      </c>
      <c r="M170" s="392"/>
      <c r="N170" s="363">
        <f>H170+J170+L170</f>
        <v>100</v>
      </c>
      <c r="O170" s="363"/>
      <c r="R170" s="1">
        <v>2017</v>
      </c>
      <c r="S170" s="5">
        <f>(O93*($E93/365))+(O94*($E94/365))</f>
        <v>0</v>
      </c>
      <c r="T170" s="5">
        <f>(P93*($E93/365))+(P94*($E94/365))</f>
        <v>0</v>
      </c>
      <c r="U170" s="5">
        <f>(Q93*($E93/365))+(Q94*($E94/365))</f>
        <v>37.299999999999997</v>
      </c>
      <c r="W170" s="5">
        <f t="shared" si="35"/>
        <v>37.299999999999997</v>
      </c>
    </row>
    <row r="171" spans="1:23" x14ac:dyDescent="0.15">
      <c r="A171" s="1">
        <v>2018</v>
      </c>
      <c r="B171" s="5">
        <f>(K95*($E95/365))+(K96*($E96/365))</f>
        <v>0</v>
      </c>
      <c r="C171" s="5">
        <f>(L95*($E95/365))+(L96*($E96/365))</f>
        <v>0</v>
      </c>
      <c r="D171" s="5">
        <f>(M95*($E95/365))+(M96*($E96/365))</f>
        <v>58.76801862297431</v>
      </c>
      <c r="E171" s="17">
        <f t="shared" ref="E171" si="38">B171+C171+D171</f>
        <v>58.76801862297431</v>
      </c>
      <c r="G171" s="1">
        <v>2018</v>
      </c>
      <c r="H171" s="392">
        <f>(O95/$R95*100*($E95/365))+(O96/$R96*100*($E96/365))</f>
        <v>0</v>
      </c>
      <c r="I171" s="392"/>
      <c r="J171" s="392">
        <f>(P95/$R95*100*($E95/365))+(P96/$R96*100*($E96/365))</f>
        <v>0</v>
      </c>
      <c r="K171" s="392"/>
      <c r="L171" s="392">
        <f>(Q95/$R95*100*($E95/365))+(Q96/$R96*100*($E96/365))</f>
        <v>100</v>
      </c>
      <c r="M171" s="392"/>
      <c r="N171" s="363">
        <f t="shared" ref="N171" si="39">H171+J171+L171</f>
        <v>100</v>
      </c>
      <c r="O171" s="363"/>
      <c r="R171" s="1">
        <v>2018</v>
      </c>
      <c r="S171" s="5">
        <f>(O95*($E95/365))+(O96*($E96/365))</f>
        <v>0</v>
      </c>
      <c r="T171" s="5">
        <f>(P95*($E95/365))+(P96*($E96/365))</f>
        <v>0</v>
      </c>
      <c r="U171" s="5">
        <f>(Q95*($E95/365))+(Q96*($E96/365))</f>
        <v>37.299999999999997</v>
      </c>
      <c r="W171" s="5">
        <f t="shared" ref="W171" si="40">S171+T171+U171</f>
        <v>37.299999999999997</v>
      </c>
    </row>
    <row r="172" spans="1:23" x14ac:dyDescent="0.15">
      <c r="A172" s="1">
        <v>2019</v>
      </c>
      <c r="B172" s="5">
        <f>(K97*($E97/365))+(K98*($E98/365))+(K99*(E99/365))</f>
        <v>0</v>
      </c>
      <c r="C172" s="5">
        <f>(L97*($E97/365))+(L98*($E98/365))+(L99*(E99/365))</f>
        <v>0</v>
      </c>
      <c r="D172" s="5">
        <f>(M97*($E97/365))+(M98*($E98/365))+(M99*(E99/365))</f>
        <v>79.617691825588679</v>
      </c>
      <c r="E172" s="17">
        <f t="shared" ref="E172:E173" si="41">B172+C172+D172</f>
        <v>79.617691825588679</v>
      </c>
      <c r="G172" s="1">
        <v>2019</v>
      </c>
      <c r="H172" s="392">
        <f>(O97/$R97*100*($E97/365))+(O98/$R98*100*($E98/365))+(O99/R99*100*(E99/365))</f>
        <v>0</v>
      </c>
      <c r="I172" s="392"/>
      <c r="J172" s="392">
        <f>(P97/$R97*100*($E97/365))+(P98/$R98*100*($E98/365))+(P99/R99*100*(E99/365))</f>
        <v>0</v>
      </c>
      <c r="K172" s="392"/>
      <c r="L172" s="392">
        <f>(Q97/$R97*100*($E97/365))+(Q98/$R98*100*($E98/365))+(Q99/R99*100*(E99/365))</f>
        <v>100</v>
      </c>
      <c r="M172" s="392"/>
      <c r="N172" s="363">
        <f t="shared" ref="N172" si="42">H172+J172+L172</f>
        <v>100</v>
      </c>
      <c r="O172" s="363"/>
      <c r="R172" s="1">
        <v>2019</v>
      </c>
      <c r="S172" s="5">
        <f>(O97*($E97/365))+(O98*($E98/365))+(O99*(E99/365))</f>
        <v>0</v>
      </c>
      <c r="T172" s="5">
        <f>(P97*($E97/365))+(P98*($E98/365))+(P99*(E99/365))</f>
        <v>0</v>
      </c>
      <c r="U172" s="5">
        <f>(Q97*($E97/365))+(Q98*($E98/365))+(Q99*(E99/365))</f>
        <v>39.080547945205474</v>
      </c>
      <c r="W172" s="5">
        <f t="shared" ref="W172:W173" si="43">S172+T172+U172</f>
        <v>39.080547945205474</v>
      </c>
    </row>
    <row r="173" spans="1:23" x14ac:dyDescent="0.15">
      <c r="A173" s="1">
        <v>2020</v>
      </c>
      <c r="B173" s="5">
        <f>(K100*($E100/366))+(K101*($E101/366))</f>
        <v>0</v>
      </c>
      <c r="C173" s="5">
        <f>(L100*($E100/366))+(L101*($E101/366))</f>
        <v>0</v>
      </c>
      <c r="D173" s="5">
        <f>(M100*($E100/366))+(M101*($E101/366))</f>
        <v>72.222222222222214</v>
      </c>
      <c r="E173" s="17">
        <f t="shared" si="41"/>
        <v>72.222222222222214</v>
      </c>
      <c r="G173" s="1">
        <v>2020</v>
      </c>
      <c r="H173" s="392">
        <f>(O100/$R100*100*($E100/366))+(O101/$R101*100*($E101/366))</f>
        <v>0</v>
      </c>
      <c r="I173" s="392"/>
      <c r="J173" s="392">
        <f>(P100/$R100*100*($E100/366))+(P101/$R101*100*($E101/366))</f>
        <v>0</v>
      </c>
      <c r="K173" s="392"/>
      <c r="L173" s="392">
        <f>(Q100/$R100*100*($E100/366))+(Q101/$R101*100*($E101/366))</f>
        <v>100</v>
      </c>
      <c r="M173" s="392"/>
      <c r="N173" s="363">
        <f t="shared" ref="N173" si="44">H173+J173+L173</f>
        <v>100</v>
      </c>
      <c r="O173" s="363"/>
      <c r="R173" s="1">
        <v>2020</v>
      </c>
      <c r="S173" s="5">
        <f>(O100*($E100/366))+(O101*($E101/366))</f>
        <v>0</v>
      </c>
      <c r="T173" s="5">
        <f>(P100*($E100/366))+(P101*($E101/366))</f>
        <v>0</v>
      </c>
      <c r="U173" s="5">
        <f>(Q100*($E100/366))+(Q101*($E101/366))</f>
        <v>47</v>
      </c>
      <c r="W173" s="5">
        <f t="shared" si="43"/>
        <v>47</v>
      </c>
    </row>
    <row r="174" spans="1:23" x14ac:dyDescent="0.15">
      <c r="A174" s="1">
        <v>2021</v>
      </c>
      <c r="B174" s="5">
        <f>(K102*($E102/365))+(K103*($E103/365))</f>
        <v>0</v>
      </c>
      <c r="C174" s="5">
        <f>(L102*($E102/365))+(L103*($E103/365))</f>
        <v>0</v>
      </c>
      <c r="D174" s="5">
        <f>(M102*($E102/365))+(M103*($E103/365))</f>
        <v>67.846718596114229</v>
      </c>
      <c r="E174" s="17">
        <f t="shared" ref="E174" si="45">B174+C174+D174</f>
        <v>67.846718596114229</v>
      </c>
      <c r="G174" s="1">
        <v>2021</v>
      </c>
      <c r="H174" s="392">
        <f>(O102/$R102*100*($E102/365))+(O103/$R103*100*($E103/365))</f>
        <v>0</v>
      </c>
      <c r="I174" s="392"/>
      <c r="J174" s="392">
        <f>(P102/$R102*100*($E102/365))+(P103/$R103*100*($E103/365))</f>
        <v>0</v>
      </c>
      <c r="K174" s="392"/>
      <c r="L174" s="392">
        <f>(Q102/$R102*100*($E102/365))+(Q103/$R103*100*($E103/365))</f>
        <v>93.972602739726028</v>
      </c>
      <c r="M174" s="392"/>
      <c r="N174" s="363">
        <f t="shared" ref="N174" si="46">H174+J174+L174</f>
        <v>93.972602739726028</v>
      </c>
      <c r="O174" s="363"/>
      <c r="R174" s="1">
        <v>2021</v>
      </c>
      <c r="S174" s="5">
        <f>(O102*($E102/365))+(O103*($E103/365))</f>
        <v>0</v>
      </c>
      <c r="T174" s="5">
        <f>(P102*($E102/365))+(P103*($E103/365))</f>
        <v>0</v>
      </c>
      <c r="U174" s="5">
        <f>(Q102*($E102/365))+(Q103*($E103/365))</f>
        <v>44.167123287671238</v>
      </c>
      <c r="W174" s="5">
        <f t="shared" ref="W174" si="47">S174+T174+U174</f>
        <v>44.167123287671238</v>
      </c>
    </row>
    <row r="175" spans="1:23" x14ac:dyDescent="0.15">
      <c r="A175" s="1">
        <v>2022</v>
      </c>
      <c r="B175" s="5">
        <f>(K106*($E106/365))</f>
        <v>0</v>
      </c>
      <c r="C175" s="5">
        <f>(L106*($E106/365))</f>
        <v>0</v>
      </c>
      <c r="D175" s="5">
        <f>(M106*($E106/365))</f>
        <v>46.712328767123289</v>
      </c>
      <c r="E175" s="17">
        <f t="shared" ref="E175" si="48">B175+C175+D175</f>
        <v>46.712328767123289</v>
      </c>
      <c r="G175" s="1">
        <v>2022</v>
      </c>
      <c r="H175" s="392">
        <f>(O106/$R106*100*($E106/365))</f>
        <v>0</v>
      </c>
      <c r="I175" s="392"/>
      <c r="J175" s="392">
        <f>(P106/$R106*100*($E106/365))</f>
        <v>0</v>
      </c>
      <c r="K175" s="392"/>
      <c r="L175" s="392">
        <f>(Q106/$R106*100*($E106/365))</f>
        <v>76.438356164383563</v>
      </c>
      <c r="M175" s="392"/>
      <c r="N175" s="363">
        <f t="shared" ref="N175" si="49">H175+J175+L175</f>
        <v>76.438356164383563</v>
      </c>
      <c r="O175" s="363"/>
      <c r="R175" s="1">
        <v>2022</v>
      </c>
      <c r="S175" s="5">
        <f>(O106*($E106/365))</f>
        <v>0</v>
      </c>
      <c r="T175" s="5">
        <f>(P106*($E106/365))</f>
        <v>0</v>
      </c>
      <c r="U175" s="5">
        <f>(Q106*($E106/365))</f>
        <v>39.900821917808223</v>
      </c>
      <c r="W175" s="5">
        <f t="shared" ref="W175" si="50">S175+T175+U175</f>
        <v>39.900821917808223</v>
      </c>
    </row>
  </sheetData>
  <mergeCells count="315">
    <mergeCell ref="H175:I175"/>
    <mergeCell ref="J175:K175"/>
    <mergeCell ref="L175:M175"/>
    <mergeCell ref="N175:O175"/>
    <mergeCell ref="H173:I173"/>
    <mergeCell ref="J173:K173"/>
    <mergeCell ref="L173:M173"/>
    <mergeCell ref="N173:O173"/>
    <mergeCell ref="H165:I165"/>
    <mergeCell ref="J165:K165"/>
    <mergeCell ref="L165:M165"/>
    <mergeCell ref="H167:I167"/>
    <mergeCell ref="J167:K167"/>
    <mergeCell ref="L167:M167"/>
    <mergeCell ref="N167:O167"/>
    <mergeCell ref="N166:O166"/>
    <mergeCell ref="H171:I171"/>
    <mergeCell ref="J171:K171"/>
    <mergeCell ref="L171:M171"/>
    <mergeCell ref="N171:O171"/>
    <mergeCell ref="L168:M168"/>
    <mergeCell ref="N168:O168"/>
    <mergeCell ref="H166:I166"/>
    <mergeCell ref="J166:K166"/>
    <mergeCell ref="L166:M166"/>
    <mergeCell ref="H168:I168"/>
    <mergeCell ref="J168:K168"/>
    <mergeCell ref="H170:I170"/>
    <mergeCell ref="J170:K170"/>
    <mergeCell ref="L170:M170"/>
    <mergeCell ref="N170:O170"/>
    <mergeCell ref="H169:I169"/>
    <mergeCell ref="J169:K169"/>
    <mergeCell ref="L169:M169"/>
    <mergeCell ref="N169:O169"/>
    <mergeCell ref="H161:I161"/>
    <mergeCell ref="H162:I162"/>
    <mergeCell ref="L159:M159"/>
    <mergeCell ref="H164:I164"/>
    <mergeCell ref="J164:K164"/>
    <mergeCell ref="J159:K159"/>
    <mergeCell ref="H157:I157"/>
    <mergeCell ref="H159:I159"/>
    <mergeCell ref="H160:I160"/>
    <mergeCell ref="H158:I158"/>
    <mergeCell ref="L163:M163"/>
    <mergeCell ref="L162:M162"/>
    <mergeCell ref="H163:I163"/>
    <mergeCell ref="L164:M164"/>
    <mergeCell ref="J162:K162"/>
    <mergeCell ref="J163:K163"/>
    <mergeCell ref="N153:O153"/>
    <mergeCell ref="N159:O159"/>
    <mergeCell ref="J157:K157"/>
    <mergeCell ref="J158:K158"/>
    <mergeCell ref="L151:M151"/>
    <mergeCell ref="L152:M152"/>
    <mergeCell ref="L160:M160"/>
    <mergeCell ref="L161:M161"/>
    <mergeCell ref="L154:M154"/>
    <mergeCell ref="L155:M155"/>
    <mergeCell ref="L156:M156"/>
    <mergeCell ref="J160:K160"/>
    <mergeCell ref="J161:K161"/>
    <mergeCell ref="L153:M153"/>
    <mergeCell ref="J154:K154"/>
    <mergeCell ref="J153:K153"/>
    <mergeCell ref="L157:M157"/>
    <mergeCell ref="L158:M158"/>
    <mergeCell ref="N162:O162"/>
    <mergeCell ref="N163:O163"/>
    <mergeCell ref="N156:O156"/>
    <mergeCell ref="N157:O157"/>
    <mergeCell ref="N158:O158"/>
    <mergeCell ref="N149:O149"/>
    <mergeCell ref="V4:Y4"/>
    <mergeCell ref="N165:O165"/>
    <mergeCell ref="N154:O154"/>
    <mergeCell ref="N155:O155"/>
    <mergeCell ref="N144:O144"/>
    <mergeCell ref="N164:O164"/>
    <mergeCell ref="N148:O148"/>
    <mergeCell ref="N141:O141"/>
    <mergeCell ref="N142:O142"/>
    <mergeCell ref="N143:O143"/>
    <mergeCell ref="T4:T5"/>
    <mergeCell ref="U4:U5"/>
    <mergeCell ref="N160:O160"/>
    <mergeCell ref="N161:O161"/>
    <mergeCell ref="N150:O150"/>
    <mergeCell ref="N151:O151"/>
    <mergeCell ref="N146:O146"/>
    <mergeCell ref="N140:O140"/>
    <mergeCell ref="S4:S5"/>
    <mergeCell ref="K4:N4"/>
    <mergeCell ref="N134:O134"/>
    <mergeCell ref="AX4:BA4"/>
    <mergeCell ref="J149:K149"/>
    <mergeCell ref="H156:I156"/>
    <mergeCell ref="J141:K141"/>
    <mergeCell ref="J142:K142"/>
    <mergeCell ref="H140:I140"/>
    <mergeCell ref="AP4:AS4"/>
    <mergeCell ref="J150:K150"/>
    <mergeCell ref="J152:K152"/>
    <mergeCell ref="H149:I149"/>
    <mergeCell ref="H150:I150"/>
    <mergeCell ref="H151:I151"/>
    <mergeCell ref="J151:K151"/>
    <mergeCell ref="H145:I145"/>
    <mergeCell ref="H146:I146"/>
    <mergeCell ref="L146:M146"/>
    <mergeCell ref="AT4:AW4"/>
    <mergeCell ref="N135:O135"/>
    <mergeCell ref="N139:O139"/>
    <mergeCell ref="H155:I155"/>
    <mergeCell ref="N152:O152"/>
    <mergeCell ref="H144:I144"/>
    <mergeCell ref="J155:K155"/>
    <mergeCell ref="J156:K156"/>
    <mergeCell ref="H153:I153"/>
    <mergeCell ref="H152:I152"/>
    <mergeCell ref="C43:D43"/>
    <mergeCell ref="C44:D44"/>
    <mergeCell ref="C45:D45"/>
    <mergeCell ref="C46:D46"/>
    <mergeCell ref="C61:D61"/>
    <mergeCell ref="C62:D62"/>
    <mergeCell ref="C75:D75"/>
    <mergeCell ref="C95:D95"/>
    <mergeCell ref="C96:D96"/>
    <mergeCell ref="C88:D88"/>
    <mergeCell ref="C89:D89"/>
    <mergeCell ref="J139:K139"/>
    <mergeCell ref="J140:K140"/>
    <mergeCell ref="H139:I139"/>
    <mergeCell ref="J145:K145"/>
    <mergeCell ref="J147:K147"/>
    <mergeCell ref="C83:D83"/>
    <mergeCell ref="C76:D76"/>
    <mergeCell ref="C77:D77"/>
    <mergeCell ref="G3:M3"/>
    <mergeCell ref="O3:Q3"/>
    <mergeCell ref="N136:O136"/>
    <mergeCell ref="H137:I137"/>
    <mergeCell ref="H141:I141"/>
    <mergeCell ref="H142:I142"/>
    <mergeCell ref="L133:M133"/>
    <mergeCell ref="N133:O133"/>
    <mergeCell ref="C6:D6"/>
    <mergeCell ref="J129:K129"/>
    <mergeCell ref="L129:M129"/>
    <mergeCell ref="N129:O129"/>
    <mergeCell ref="N132:O132"/>
    <mergeCell ref="C55:D55"/>
    <mergeCell ref="C32:D32"/>
    <mergeCell ref="C33:D33"/>
    <mergeCell ref="C34:D34"/>
    <mergeCell ref="C35:D35"/>
    <mergeCell ref="C36:D36"/>
    <mergeCell ref="O4:R4"/>
    <mergeCell ref="R110:W110"/>
    <mergeCell ref="C16:D16"/>
    <mergeCell ref="C17:D17"/>
    <mergeCell ref="C105:D105"/>
    <mergeCell ref="C85:D85"/>
    <mergeCell ref="C84:D84"/>
    <mergeCell ref="C71:D71"/>
    <mergeCell ref="C72:D72"/>
    <mergeCell ref="C73:D73"/>
    <mergeCell ref="C74:D74"/>
    <mergeCell ref="C78:D78"/>
    <mergeCell ref="C79:D79"/>
    <mergeCell ref="C81:D81"/>
    <mergeCell ref="C82:D82"/>
    <mergeCell ref="C41:D41"/>
    <mergeCell ref="C42:D42"/>
    <mergeCell ref="C23:D23"/>
    <mergeCell ref="C56:D56"/>
    <mergeCell ref="C48:D48"/>
    <mergeCell ref="C49:D49"/>
    <mergeCell ref="C50:D50"/>
    <mergeCell ref="C51:D51"/>
    <mergeCell ref="C52:D52"/>
    <mergeCell ref="C53:D53"/>
    <mergeCell ref="C54:D54"/>
    <mergeCell ref="C37:D37"/>
    <mergeCell ref="C38:D38"/>
    <mergeCell ref="C39:D39"/>
    <mergeCell ref="C40:D40"/>
    <mergeCell ref="Z4:AC4"/>
    <mergeCell ref="AD4:AG4"/>
    <mergeCell ref="A4:A5"/>
    <mergeCell ref="B4:B5"/>
    <mergeCell ref="C4:D5"/>
    <mergeCell ref="E4:E5"/>
    <mergeCell ref="F4:F5"/>
    <mergeCell ref="G4:J4"/>
    <mergeCell ref="C80:D80"/>
    <mergeCell ref="C63:D63"/>
    <mergeCell ref="C64:D64"/>
    <mergeCell ref="C65:D65"/>
    <mergeCell ref="C66:D66"/>
    <mergeCell ref="C67:D67"/>
    <mergeCell ref="C68:D68"/>
    <mergeCell ref="C69:D69"/>
    <mergeCell ref="C70:D70"/>
    <mergeCell ref="C57:D57"/>
    <mergeCell ref="C58:D58"/>
    <mergeCell ref="C59:D59"/>
    <mergeCell ref="C60:D60"/>
    <mergeCell ref="C18:D18"/>
    <mergeCell ref="C19:D19"/>
    <mergeCell ref="C47:D47"/>
    <mergeCell ref="N112:O112"/>
    <mergeCell ref="H130:I130"/>
    <mergeCell ref="AH4:AK4"/>
    <mergeCell ref="AL4:AO4"/>
    <mergeCell ref="C7:D7"/>
    <mergeCell ref="C31:D31"/>
    <mergeCell ref="C24:D24"/>
    <mergeCell ref="C25:D25"/>
    <mergeCell ref="C26:D26"/>
    <mergeCell ref="C27:D27"/>
    <mergeCell ref="C28:D28"/>
    <mergeCell ref="C29:D29"/>
    <mergeCell ref="C30:D30"/>
    <mergeCell ref="C8:D8"/>
    <mergeCell ref="C9:D9"/>
    <mergeCell ref="C10:D10"/>
    <mergeCell ref="C11:D11"/>
    <mergeCell ref="C12:D12"/>
    <mergeCell ref="C13:D13"/>
    <mergeCell ref="C14:D14"/>
    <mergeCell ref="C15:D15"/>
    <mergeCell ref="C20:D20"/>
    <mergeCell ref="C21:D21"/>
    <mergeCell ref="C22:D22"/>
    <mergeCell ref="C90:D90"/>
    <mergeCell ref="C86:D86"/>
    <mergeCell ref="C87:D87"/>
    <mergeCell ref="L140:M140"/>
    <mergeCell ref="C106:D106"/>
    <mergeCell ref="C97:D97"/>
    <mergeCell ref="C98:D98"/>
    <mergeCell ref="H112:I112"/>
    <mergeCell ref="J112:K112"/>
    <mergeCell ref="C99:D99"/>
    <mergeCell ref="C100:D100"/>
    <mergeCell ref="C101:D101"/>
    <mergeCell ref="C102:D102"/>
    <mergeCell ref="C104:D104"/>
    <mergeCell ref="L112:M112"/>
    <mergeCell ref="C103:D103"/>
    <mergeCell ref="C93:D93"/>
    <mergeCell ref="C94:D94"/>
    <mergeCell ref="C91:D91"/>
    <mergeCell ref="C92:D92"/>
    <mergeCell ref="J130:K130"/>
    <mergeCell ref="H174:I174"/>
    <mergeCell ref="J174:K174"/>
    <mergeCell ref="L174:M174"/>
    <mergeCell ref="N174:O174"/>
    <mergeCell ref="N147:O147"/>
    <mergeCell ref="N138:O138"/>
    <mergeCell ref="N145:O145"/>
    <mergeCell ref="L144:M144"/>
    <mergeCell ref="J137:K137"/>
    <mergeCell ref="L137:M137"/>
    <mergeCell ref="N137:O137"/>
    <mergeCell ref="H138:I138"/>
    <mergeCell ref="J138:K138"/>
    <mergeCell ref="L138:M138"/>
    <mergeCell ref="H148:I148"/>
    <mergeCell ref="L141:M141"/>
    <mergeCell ref="J172:K172"/>
    <mergeCell ref="L172:M172"/>
    <mergeCell ref="H172:I172"/>
    <mergeCell ref="N172:O172"/>
    <mergeCell ref="H154:I154"/>
    <mergeCell ref="H143:I143"/>
    <mergeCell ref="J148:K148"/>
    <mergeCell ref="H147:I147"/>
    <mergeCell ref="N130:O130"/>
    <mergeCell ref="L130:M130"/>
    <mergeCell ref="H129:I129"/>
    <mergeCell ref="H136:I136"/>
    <mergeCell ref="H131:I131"/>
    <mergeCell ref="J131:K131"/>
    <mergeCell ref="L131:M131"/>
    <mergeCell ref="H133:I133"/>
    <mergeCell ref="J133:K133"/>
    <mergeCell ref="L135:M135"/>
    <mergeCell ref="H135:I135"/>
    <mergeCell ref="J135:K135"/>
    <mergeCell ref="H134:I134"/>
    <mergeCell ref="J134:K134"/>
    <mergeCell ref="J136:K136"/>
    <mergeCell ref="N131:O131"/>
    <mergeCell ref="H132:I132"/>
    <mergeCell ref="J132:K132"/>
    <mergeCell ref="L132:M132"/>
    <mergeCell ref="J146:K146"/>
    <mergeCell ref="L134:M134"/>
    <mergeCell ref="L136:M136"/>
    <mergeCell ref="J143:K143"/>
    <mergeCell ref="J144:K144"/>
    <mergeCell ref="L139:M139"/>
    <mergeCell ref="L149:M149"/>
    <mergeCell ref="L150:M150"/>
    <mergeCell ref="L145:M145"/>
    <mergeCell ref="L148:M148"/>
    <mergeCell ref="L147:M147"/>
    <mergeCell ref="L142:M142"/>
    <mergeCell ref="L143:M143"/>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BA145"/>
  <sheetViews>
    <sheetView topLeftCell="AR1" zoomScale="123" zoomScaleNormal="120" workbookViewId="0">
      <pane ySplit="5" topLeftCell="A103" activePane="bottomLeft" state="frozen"/>
      <selection pane="bottomLeft" activeCell="AR1"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144</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28" customFormat="1" x14ac:dyDescent="0.15">
      <c r="A6" s="28">
        <v>1990</v>
      </c>
      <c r="B6" s="293"/>
      <c r="C6" s="405" t="s">
        <v>1261</v>
      </c>
      <c r="D6" s="405"/>
      <c r="E6" s="28">
        <v>178</v>
      </c>
      <c r="G6" s="29"/>
      <c r="H6" s="30"/>
      <c r="I6" s="30"/>
      <c r="J6" s="31"/>
      <c r="K6" s="32"/>
      <c r="L6" s="32"/>
      <c r="M6" s="32"/>
      <c r="N6" s="33"/>
      <c r="O6" s="34"/>
      <c r="P6" s="32"/>
      <c r="Q6" s="32"/>
      <c r="R6" s="35"/>
      <c r="T6" s="284"/>
      <c r="U6" s="293"/>
      <c r="V6" s="37"/>
      <c r="Y6" s="38"/>
      <c r="AD6" s="37"/>
      <c r="AG6" s="38"/>
      <c r="AL6" s="37"/>
      <c r="AO6" s="38"/>
      <c r="AP6" s="37"/>
      <c r="AS6" s="38"/>
      <c r="AW6" s="38"/>
      <c r="BA6" s="39"/>
    </row>
    <row r="7" spans="1:53" s="170" customFormat="1" x14ac:dyDescent="0.15">
      <c r="A7" s="170">
        <v>1990</v>
      </c>
      <c r="B7" s="281">
        <v>33052</v>
      </c>
      <c r="C7" s="395" t="s">
        <v>904</v>
      </c>
      <c r="D7" s="395"/>
      <c r="E7" s="170">
        <v>187</v>
      </c>
      <c r="F7" s="170" t="s">
        <v>335</v>
      </c>
      <c r="G7" s="171"/>
      <c r="H7" s="116"/>
      <c r="I7" s="116">
        <v>21</v>
      </c>
      <c r="J7" s="172">
        <v>23</v>
      </c>
      <c r="K7" s="173">
        <f t="shared" ref="K7:K55" si="0">G7/J7*100</f>
        <v>0</v>
      </c>
      <c r="L7" s="173">
        <f t="shared" ref="L7:L55" si="1">H7/J7*100</f>
        <v>0</v>
      </c>
      <c r="M7" s="173">
        <f t="shared" ref="M7:M55" si="2">I7/J7*100</f>
        <v>91.304347826086953</v>
      </c>
      <c r="N7" s="174">
        <f t="shared" ref="N7:N70" si="3">SUM(K7:M7)</f>
        <v>91.304347826086953</v>
      </c>
      <c r="O7" s="175"/>
      <c r="P7" s="173"/>
      <c r="Q7" s="173">
        <v>66.400000000000006</v>
      </c>
      <c r="R7" s="176">
        <f t="shared" ref="R7:R64" si="4">SUM(O7:Q7)</f>
        <v>66.400000000000006</v>
      </c>
      <c r="S7" s="170">
        <v>1</v>
      </c>
      <c r="T7" s="283">
        <v>33013</v>
      </c>
      <c r="U7" s="281">
        <v>33052</v>
      </c>
      <c r="V7" s="177" t="s">
        <v>906</v>
      </c>
      <c r="W7" s="170" t="s">
        <v>20</v>
      </c>
      <c r="X7" s="170" t="s">
        <v>12</v>
      </c>
      <c r="Y7" s="178">
        <v>66.400000000000006</v>
      </c>
      <c r="AD7" s="177"/>
      <c r="AG7" s="178"/>
      <c r="AL7" s="177"/>
      <c r="AO7" s="178"/>
      <c r="AP7" s="177"/>
      <c r="AS7" s="178"/>
      <c r="AW7" s="178"/>
      <c r="BA7" s="179"/>
    </row>
    <row r="8" spans="1:53" s="170" customFormat="1" x14ac:dyDescent="0.15">
      <c r="A8" s="170">
        <v>1991</v>
      </c>
      <c r="B8" s="281"/>
      <c r="C8" s="395" t="s">
        <v>904</v>
      </c>
      <c r="D8" s="395"/>
      <c r="E8" s="170">
        <v>288</v>
      </c>
      <c r="G8" s="171"/>
      <c r="H8" s="116"/>
      <c r="I8" s="116">
        <v>21</v>
      </c>
      <c r="J8" s="172">
        <v>23</v>
      </c>
      <c r="K8" s="173">
        <f t="shared" si="0"/>
        <v>0</v>
      </c>
      <c r="L8" s="173">
        <f t="shared" si="1"/>
        <v>0</v>
      </c>
      <c r="M8" s="173">
        <f t="shared" si="2"/>
        <v>91.304347826086953</v>
      </c>
      <c r="N8" s="174">
        <f t="shared" si="3"/>
        <v>91.304347826086953</v>
      </c>
      <c r="O8" s="175"/>
      <c r="P8" s="173"/>
      <c r="Q8" s="173">
        <v>66.400000000000006</v>
      </c>
      <c r="R8" s="176">
        <f t="shared" si="4"/>
        <v>66.400000000000006</v>
      </c>
      <c r="S8" s="170">
        <v>1</v>
      </c>
      <c r="T8" s="283"/>
      <c r="U8" s="281"/>
      <c r="V8" s="177" t="s">
        <v>906</v>
      </c>
      <c r="W8" s="170" t="s">
        <v>20</v>
      </c>
      <c r="X8" s="170" t="s">
        <v>12</v>
      </c>
      <c r="Y8" s="178">
        <v>66.400000000000006</v>
      </c>
      <c r="AD8" s="177"/>
      <c r="AG8" s="178"/>
      <c r="AL8" s="177"/>
      <c r="AO8" s="178"/>
      <c r="AP8" s="177"/>
      <c r="AS8" s="178"/>
      <c r="AW8" s="178"/>
      <c r="BA8" s="179"/>
    </row>
    <row r="9" spans="1:53" s="28" customFormat="1" x14ac:dyDescent="0.15">
      <c r="A9" s="28">
        <v>1991</v>
      </c>
      <c r="B9" s="293">
        <v>33527</v>
      </c>
      <c r="C9" s="394" t="s">
        <v>905</v>
      </c>
      <c r="D9" s="394"/>
      <c r="E9" s="28">
        <f>365-E8</f>
        <v>77</v>
      </c>
      <c r="F9" s="28">
        <v>2</v>
      </c>
      <c r="G9" s="29">
        <v>3</v>
      </c>
      <c r="H9" s="30"/>
      <c r="I9" s="30">
        <v>13</v>
      </c>
      <c r="J9" s="31">
        <v>19</v>
      </c>
      <c r="K9" s="32">
        <f t="shared" si="0"/>
        <v>15.789473684210526</v>
      </c>
      <c r="L9" s="32">
        <f t="shared" si="1"/>
        <v>0</v>
      </c>
      <c r="M9" s="32">
        <f t="shared" si="2"/>
        <v>68.421052631578945</v>
      </c>
      <c r="N9" s="33">
        <f t="shared" si="3"/>
        <v>84.210526315789465</v>
      </c>
      <c r="O9" s="34">
        <v>7.3</v>
      </c>
      <c r="P9" s="32"/>
      <c r="Q9" s="32">
        <v>71.7</v>
      </c>
      <c r="R9" s="35">
        <f t="shared" si="4"/>
        <v>79</v>
      </c>
      <c r="S9" s="28">
        <v>3</v>
      </c>
      <c r="T9" s="284"/>
      <c r="U9" s="293">
        <v>33527</v>
      </c>
      <c r="V9" s="37" t="s">
        <v>906</v>
      </c>
      <c r="W9" s="28" t="s">
        <v>20</v>
      </c>
      <c r="X9" s="28" t="s">
        <v>12</v>
      </c>
      <c r="Y9" s="38">
        <v>66.400000000000006</v>
      </c>
      <c r="Z9" s="28" t="s">
        <v>907</v>
      </c>
      <c r="AA9" s="28" t="s">
        <v>22</v>
      </c>
      <c r="AB9" s="28" t="s">
        <v>11</v>
      </c>
      <c r="AC9" s="28">
        <v>7.3</v>
      </c>
      <c r="AD9" s="37" t="s">
        <v>908</v>
      </c>
      <c r="AE9" s="28" t="s">
        <v>216</v>
      </c>
      <c r="AF9" s="28" t="s">
        <v>12</v>
      </c>
      <c r="AG9" s="38">
        <v>3</v>
      </c>
      <c r="AH9" s="28" t="s">
        <v>909</v>
      </c>
      <c r="AI9" s="28" t="s">
        <v>869</v>
      </c>
      <c r="AJ9" s="28" t="s">
        <v>12</v>
      </c>
      <c r="AK9" s="28">
        <v>2.2999999999999998</v>
      </c>
      <c r="AL9" s="37"/>
      <c r="AO9" s="38"/>
      <c r="AP9" s="37"/>
      <c r="AS9" s="38"/>
      <c r="AW9" s="38"/>
      <c r="BA9" s="39"/>
    </row>
    <row r="10" spans="1:53" s="28" customFormat="1" x14ac:dyDescent="0.15">
      <c r="A10" s="28">
        <v>1992</v>
      </c>
      <c r="B10" s="293"/>
      <c r="C10" s="394" t="s">
        <v>905</v>
      </c>
      <c r="D10" s="394"/>
      <c r="E10" s="28">
        <v>317</v>
      </c>
      <c r="G10" s="29">
        <v>3</v>
      </c>
      <c r="H10" s="30"/>
      <c r="I10" s="30">
        <v>13</v>
      </c>
      <c r="J10" s="31">
        <v>19</v>
      </c>
      <c r="K10" s="32">
        <f t="shared" si="0"/>
        <v>15.789473684210526</v>
      </c>
      <c r="L10" s="32">
        <f t="shared" si="1"/>
        <v>0</v>
      </c>
      <c r="M10" s="32">
        <f t="shared" si="2"/>
        <v>68.421052631578945</v>
      </c>
      <c r="N10" s="33">
        <f t="shared" si="3"/>
        <v>84.210526315789465</v>
      </c>
      <c r="O10" s="34">
        <v>7.3</v>
      </c>
      <c r="P10" s="32"/>
      <c r="Q10" s="32">
        <v>71.7</v>
      </c>
      <c r="R10" s="35">
        <f t="shared" si="4"/>
        <v>79</v>
      </c>
      <c r="S10" s="28">
        <v>3</v>
      </c>
      <c r="T10" s="284"/>
      <c r="U10" s="293"/>
      <c r="V10" s="37" t="s">
        <v>906</v>
      </c>
      <c r="W10" s="28" t="s">
        <v>20</v>
      </c>
      <c r="X10" s="28" t="s">
        <v>12</v>
      </c>
      <c r="Y10" s="38">
        <v>66.400000000000006</v>
      </c>
      <c r="Z10" s="28" t="s">
        <v>907</v>
      </c>
      <c r="AA10" s="28" t="s">
        <v>22</v>
      </c>
      <c r="AB10" s="28" t="s">
        <v>11</v>
      </c>
      <c r="AC10" s="28">
        <v>7.3</v>
      </c>
      <c r="AD10" s="37" t="s">
        <v>908</v>
      </c>
      <c r="AE10" s="28" t="s">
        <v>216</v>
      </c>
      <c r="AF10" s="28" t="s">
        <v>12</v>
      </c>
      <c r="AG10" s="38">
        <v>3</v>
      </c>
      <c r="AH10" s="28" t="s">
        <v>909</v>
      </c>
      <c r="AI10" s="28" t="s">
        <v>869</v>
      </c>
      <c r="AJ10" s="28" t="s">
        <v>12</v>
      </c>
      <c r="AK10" s="28">
        <v>2.2999999999999998</v>
      </c>
      <c r="AL10" s="37"/>
      <c r="AO10" s="38"/>
      <c r="AP10" s="37"/>
      <c r="AS10" s="38"/>
      <c r="AW10" s="38"/>
      <c r="BA10" s="39"/>
    </row>
    <row r="11" spans="1:53" s="170" customFormat="1" x14ac:dyDescent="0.15">
      <c r="A11" s="170">
        <v>1992</v>
      </c>
      <c r="B11" s="281">
        <v>33921</v>
      </c>
      <c r="C11" s="395" t="s">
        <v>1157</v>
      </c>
      <c r="D11" s="395"/>
      <c r="E11" s="170">
        <f xml:space="preserve"> 366-E10</f>
        <v>49</v>
      </c>
      <c r="F11" s="170">
        <v>1</v>
      </c>
      <c r="G11" s="171"/>
      <c r="H11" s="116"/>
      <c r="I11" s="116">
        <v>19</v>
      </c>
      <c r="J11" s="172">
        <v>20</v>
      </c>
      <c r="K11" s="173">
        <f t="shared" si="0"/>
        <v>0</v>
      </c>
      <c r="L11" s="173">
        <f t="shared" si="1"/>
        <v>0</v>
      </c>
      <c r="M11" s="173">
        <f t="shared" si="2"/>
        <v>95</v>
      </c>
      <c r="N11" s="174">
        <f t="shared" si="3"/>
        <v>95</v>
      </c>
      <c r="O11" s="175"/>
      <c r="P11" s="173"/>
      <c r="Q11" s="173">
        <v>34.299999999999997</v>
      </c>
      <c r="R11" s="176">
        <f t="shared" si="4"/>
        <v>34.299999999999997</v>
      </c>
      <c r="S11" s="170">
        <v>4</v>
      </c>
      <c r="T11" s="283">
        <v>33874</v>
      </c>
      <c r="U11" s="281">
        <v>33921</v>
      </c>
      <c r="V11" s="177" t="s">
        <v>906</v>
      </c>
      <c r="W11" s="170" t="s">
        <v>20</v>
      </c>
      <c r="X11" s="170" t="s">
        <v>12</v>
      </c>
      <c r="Y11" s="178">
        <v>34.299999999999997</v>
      </c>
      <c r="AD11" s="177"/>
      <c r="AG11" s="178"/>
      <c r="AL11" s="177"/>
      <c r="AO11" s="178"/>
      <c r="AP11" s="177"/>
      <c r="AS11" s="178"/>
      <c r="AW11" s="178"/>
      <c r="BA11" s="179"/>
    </row>
    <row r="12" spans="1:53" s="170" customFormat="1" x14ac:dyDescent="0.15">
      <c r="A12" s="170">
        <v>1993</v>
      </c>
      <c r="B12" s="281"/>
      <c r="C12" s="395" t="s">
        <v>1157</v>
      </c>
      <c r="D12" s="395"/>
      <c r="E12" s="170">
        <v>0</v>
      </c>
      <c r="G12" s="171"/>
      <c r="H12" s="116"/>
      <c r="I12" s="116">
        <v>19</v>
      </c>
      <c r="J12" s="172">
        <v>20</v>
      </c>
      <c r="K12" s="173">
        <f t="shared" si="0"/>
        <v>0</v>
      </c>
      <c r="L12" s="173">
        <f t="shared" si="1"/>
        <v>0</v>
      </c>
      <c r="M12" s="173">
        <f t="shared" si="2"/>
        <v>95</v>
      </c>
      <c r="N12" s="174">
        <f t="shared" si="3"/>
        <v>95</v>
      </c>
      <c r="O12" s="175"/>
      <c r="P12" s="173"/>
      <c r="Q12" s="173">
        <v>34.299999999999997</v>
      </c>
      <c r="R12" s="176">
        <f t="shared" si="4"/>
        <v>34.299999999999997</v>
      </c>
      <c r="S12" s="170">
        <v>4</v>
      </c>
      <c r="T12" s="283"/>
      <c r="U12" s="281"/>
      <c r="V12" s="177" t="s">
        <v>906</v>
      </c>
      <c r="W12" s="170" t="s">
        <v>20</v>
      </c>
      <c r="X12" s="170" t="s">
        <v>12</v>
      </c>
      <c r="Y12" s="178">
        <v>34.299999999999997</v>
      </c>
      <c r="AD12" s="177"/>
      <c r="AG12" s="178"/>
      <c r="AL12" s="177"/>
      <c r="AO12" s="178"/>
      <c r="AP12" s="177"/>
      <c r="AS12" s="178"/>
      <c r="AW12" s="178"/>
      <c r="BA12" s="179"/>
    </row>
    <row r="13" spans="1:53" s="170" customFormat="1" x14ac:dyDescent="0.15">
      <c r="A13" s="170">
        <v>1993</v>
      </c>
      <c r="B13" s="281"/>
      <c r="C13" s="395" t="s">
        <v>1157</v>
      </c>
      <c r="D13" s="395"/>
      <c r="E13" s="170">
        <v>365</v>
      </c>
      <c r="G13" s="171"/>
      <c r="H13" s="116"/>
      <c r="I13" s="116">
        <v>19</v>
      </c>
      <c r="J13" s="172">
        <v>20</v>
      </c>
      <c r="K13" s="173">
        <f t="shared" si="0"/>
        <v>0</v>
      </c>
      <c r="L13" s="173">
        <f t="shared" si="1"/>
        <v>0</v>
      </c>
      <c r="M13" s="173">
        <f t="shared" si="2"/>
        <v>95</v>
      </c>
      <c r="N13" s="174">
        <f t="shared" si="3"/>
        <v>95</v>
      </c>
      <c r="O13" s="175"/>
      <c r="P13" s="173"/>
      <c r="Q13" s="173">
        <v>34.299999999999997</v>
      </c>
      <c r="R13" s="176">
        <f t="shared" si="4"/>
        <v>34.299999999999997</v>
      </c>
      <c r="S13" s="170">
        <v>4</v>
      </c>
      <c r="T13" s="283"/>
      <c r="U13" s="281"/>
      <c r="V13" s="177" t="s">
        <v>906</v>
      </c>
      <c r="W13" s="170" t="s">
        <v>20</v>
      </c>
      <c r="X13" s="170" t="s">
        <v>12</v>
      </c>
      <c r="Y13" s="178">
        <v>34.299999999999997</v>
      </c>
      <c r="AD13" s="177"/>
      <c r="AG13" s="178"/>
      <c r="AL13" s="177"/>
      <c r="AO13" s="178"/>
      <c r="AP13" s="177"/>
      <c r="AS13" s="178"/>
      <c r="AW13" s="178"/>
      <c r="BA13" s="179"/>
    </row>
    <row r="14" spans="1:53" s="170" customFormat="1" x14ac:dyDescent="0.15">
      <c r="A14" s="170">
        <v>1994</v>
      </c>
      <c r="B14" s="281"/>
      <c r="C14" s="395" t="s">
        <v>1157</v>
      </c>
      <c r="D14" s="395"/>
      <c r="E14" s="170">
        <v>229</v>
      </c>
      <c r="G14" s="171"/>
      <c r="H14" s="116"/>
      <c r="I14" s="116">
        <v>19</v>
      </c>
      <c r="J14" s="172">
        <v>20</v>
      </c>
      <c r="K14" s="173">
        <f t="shared" si="0"/>
        <v>0</v>
      </c>
      <c r="L14" s="173">
        <f t="shared" si="1"/>
        <v>0</v>
      </c>
      <c r="M14" s="173">
        <f t="shared" si="2"/>
        <v>95</v>
      </c>
      <c r="N14" s="174">
        <f t="shared" si="3"/>
        <v>95</v>
      </c>
      <c r="O14" s="175"/>
      <c r="P14" s="173"/>
      <c r="Q14" s="173">
        <v>34.299999999999997</v>
      </c>
      <c r="R14" s="176">
        <f t="shared" si="4"/>
        <v>34.299999999999997</v>
      </c>
      <c r="S14" s="170">
        <v>4</v>
      </c>
      <c r="T14" s="283"/>
      <c r="U14" s="281"/>
      <c r="V14" s="177" t="s">
        <v>906</v>
      </c>
      <c r="W14" s="170" t="s">
        <v>20</v>
      </c>
      <c r="X14" s="170" t="s">
        <v>12</v>
      </c>
      <c r="Y14" s="178">
        <v>34.299999999999997</v>
      </c>
      <c r="AD14" s="177"/>
      <c r="AG14" s="178"/>
      <c r="AL14" s="177"/>
      <c r="AO14" s="178"/>
      <c r="AP14" s="177"/>
      <c r="AS14" s="178"/>
      <c r="AW14" s="178"/>
      <c r="BA14" s="179"/>
    </row>
    <row r="15" spans="1:53" s="28" customFormat="1" x14ac:dyDescent="0.15">
      <c r="A15" s="28">
        <v>1994</v>
      </c>
      <c r="B15" s="293">
        <v>34564</v>
      </c>
      <c r="C15" s="394" t="s">
        <v>1158</v>
      </c>
      <c r="D15" s="394"/>
      <c r="E15" s="28">
        <f>365-E14</f>
        <v>136</v>
      </c>
      <c r="F15" s="28">
        <v>7</v>
      </c>
      <c r="G15" s="29">
        <v>2</v>
      </c>
      <c r="H15" s="30"/>
      <c r="I15" s="30">
        <v>16</v>
      </c>
      <c r="J15" s="31">
        <v>22</v>
      </c>
      <c r="K15" s="32">
        <f t="shared" si="0"/>
        <v>9.0909090909090917</v>
      </c>
      <c r="L15" s="32">
        <f t="shared" si="1"/>
        <v>0</v>
      </c>
      <c r="M15" s="32">
        <f t="shared" si="2"/>
        <v>72.727272727272734</v>
      </c>
      <c r="N15" s="33">
        <f t="shared" si="3"/>
        <v>81.818181818181827</v>
      </c>
      <c r="O15" s="34">
        <v>8.8000000000000007</v>
      </c>
      <c r="P15" s="32"/>
      <c r="Q15" s="32">
        <v>34.299999999999997</v>
      </c>
      <c r="R15" s="35">
        <f t="shared" si="4"/>
        <v>43.099999999999994</v>
      </c>
      <c r="S15" s="28">
        <v>5</v>
      </c>
      <c r="T15" s="284"/>
      <c r="U15" s="293">
        <v>34399</v>
      </c>
      <c r="V15" s="37" t="s">
        <v>910</v>
      </c>
      <c r="W15" s="28" t="s">
        <v>20</v>
      </c>
      <c r="X15" s="28" t="s">
        <v>12</v>
      </c>
      <c r="Y15" s="38">
        <v>34.299999999999997</v>
      </c>
      <c r="Z15" s="28" t="s">
        <v>911</v>
      </c>
      <c r="AA15" s="28" t="s">
        <v>294</v>
      </c>
      <c r="AB15" s="28" t="s">
        <v>11</v>
      </c>
      <c r="AC15" s="28">
        <v>8.8000000000000007</v>
      </c>
      <c r="AD15" s="37"/>
      <c r="AG15" s="38"/>
      <c r="AL15" s="37"/>
      <c r="AO15" s="38"/>
      <c r="AP15" s="37"/>
      <c r="AS15" s="38"/>
      <c r="AW15" s="38"/>
      <c r="BA15" s="39"/>
    </row>
    <row r="16" spans="1:53" s="28" customFormat="1" x14ac:dyDescent="0.15">
      <c r="A16" s="28">
        <v>1995</v>
      </c>
      <c r="B16" s="293"/>
      <c r="C16" s="394" t="s">
        <v>1158</v>
      </c>
      <c r="D16" s="394"/>
      <c r="E16" s="28">
        <v>292</v>
      </c>
      <c r="G16" s="29">
        <v>2</v>
      </c>
      <c r="H16" s="30"/>
      <c r="I16" s="30">
        <v>16</v>
      </c>
      <c r="J16" s="31">
        <v>22</v>
      </c>
      <c r="K16" s="32">
        <f t="shared" si="0"/>
        <v>9.0909090909090917</v>
      </c>
      <c r="L16" s="32">
        <f t="shared" si="1"/>
        <v>0</v>
      </c>
      <c r="M16" s="32">
        <f t="shared" si="2"/>
        <v>72.727272727272734</v>
      </c>
      <c r="N16" s="33">
        <f t="shared" si="3"/>
        <v>81.818181818181827</v>
      </c>
      <c r="O16" s="34">
        <v>8.8000000000000007</v>
      </c>
      <c r="P16" s="32"/>
      <c r="Q16" s="32">
        <v>34.299999999999997</v>
      </c>
      <c r="R16" s="35">
        <f t="shared" si="4"/>
        <v>43.099999999999994</v>
      </c>
      <c r="S16" s="28">
        <v>5</v>
      </c>
      <c r="T16" s="284"/>
      <c r="U16" s="293"/>
      <c r="V16" s="37" t="s">
        <v>910</v>
      </c>
      <c r="W16" s="28" t="s">
        <v>20</v>
      </c>
      <c r="X16" s="28" t="s">
        <v>12</v>
      </c>
      <c r="Y16" s="38">
        <v>34.299999999999997</v>
      </c>
      <c r="Z16" s="28" t="s">
        <v>911</v>
      </c>
      <c r="AA16" s="28" t="s">
        <v>294</v>
      </c>
      <c r="AB16" s="28" t="s">
        <v>11</v>
      </c>
      <c r="AC16" s="28">
        <v>8.8000000000000007</v>
      </c>
      <c r="AD16" s="37"/>
      <c r="AG16" s="38"/>
      <c r="AL16" s="37"/>
      <c r="AO16" s="38"/>
      <c r="AP16" s="37"/>
      <c r="AS16" s="38"/>
      <c r="AW16" s="38"/>
      <c r="BA16" s="39"/>
    </row>
    <row r="17" spans="1:53" s="28" customFormat="1" x14ac:dyDescent="0.15">
      <c r="A17" s="28">
        <v>1995</v>
      </c>
      <c r="B17" s="301">
        <v>34992</v>
      </c>
      <c r="C17" s="394" t="s">
        <v>1184</v>
      </c>
      <c r="D17" s="394"/>
      <c r="E17" s="28">
        <f xml:space="preserve"> 365-E16</f>
        <v>73</v>
      </c>
      <c r="F17" s="83">
        <v>0</v>
      </c>
      <c r="G17" s="29">
        <v>2</v>
      </c>
      <c r="H17" s="30"/>
      <c r="I17" s="30">
        <v>21</v>
      </c>
      <c r="J17" s="31">
        <v>24</v>
      </c>
      <c r="K17" s="32">
        <f t="shared" si="0"/>
        <v>8.3333333333333321</v>
      </c>
      <c r="L17" s="32">
        <f t="shared" si="1"/>
        <v>0</v>
      </c>
      <c r="M17" s="32">
        <f t="shared" si="2"/>
        <v>87.5</v>
      </c>
      <c r="N17" s="33">
        <f t="shared" si="3"/>
        <v>95.833333333333329</v>
      </c>
      <c r="O17" s="34">
        <v>8.8000000000000007</v>
      </c>
      <c r="P17" s="32"/>
      <c r="Q17" s="32">
        <v>34.299999999999997</v>
      </c>
      <c r="R17" s="35">
        <f t="shared" si="4"/>
        <v>43.099999999999994</v>
      </c>
      <c r="S17" s="28">
        <v>5</v>
      </c>
      <c r="T17" s="284"/>
      <c r="U17" s="293"/>
      <c r="V17" s="37" t="s">
        <v>910</v>
      </c>
      <c r="W17" s="28" t="s">
        <v>20</v>
      </c>
      <c r="X17" s="28" t="s">
        <v>12</v>
      </c>
      <c r="Y17" s="38">
        <v>34.299999999999997</v>
      </c>
      <c r="Z17" s="28" t="s">
        <v>911</v>
      </c>
      <c r="AA17" s="28" t="s">
        <v>294</v>
      </c>
      <c r="AB17" s="28" t="s">
        <v>11</v>
      </c>
      <c r="AC17" s="28">
        <v>8.8000000000000007</v>
      </c>
      <c r="AD17" s="37"/>
      <c r="AG17" s="38"/>
      <c r="AL17" s="37"/>
      <c r="AO17" s="38"/>
      <c r="AP17" s="37"/>
      <c r="AS17" s="38"/>
      <c r="AW17" s="38"/>
      <c r="BA17" s="39"/>
    </row>
    <row r="18" spans="1:53" s="28" customFormat="1" x14ac:dyDescent="0.15">
      <c r="A18" s="28">
        <v>1996</v>
      </c>
      <c r="B18" s="293"/>
      <c r="C18" s="394" t="s">
        <v>1184</v>
      </c>
      <c r="D18" s="394"/>
      <c r="E18" s="28">
        <v>246</v>
      </c>
      <c r="G18" s="29">
        <v>2</v>
      </c>
      <c r="H18" s="30"/>
      <c r="I18" s="30">
        <v>21</v>
      </c>
      <c r="J18" s="31">
        <v>24</v>
      </c>
      <c r="K18" s="32">
        <f t="shared" si="0"/>
        <v>8.3333333333333321</v>
      </c>
      <c r="L18" s="32">
        <f t="shared" si="1"/>
        <v>0</v>
      </c>
      <c r="M18" s="32">
        <f t="shared" si="2"/>
        <v>87.5</v>
      </c>
      <c r="N18" s="33">
        <f t="shared" si="3"/>
        <v>95.833333333333329</v>
      </c>
      <c r="O18" s="34">
        <v>8.8000000000000007</v>
      </c>
      <c r="P18" s="32"/>
      <c r="Q18" s="32">
        <v>34.299999999999997</v>
      </c>
      <c r="R18" s="35">
        <f t="shared" si="4"/>
        <v>43.099999999999994</v>
      </c>
      <c r="S18" s="28">
        <v>5</v>
      </c>
      <c r="T18" s="284"/>
      <c r="U18" s="293"/>
      <c r="V18" s="37" t="s">
        <v>910</v>
      </c>
      <c r="W18" s="28" t="s">
        <v>20</v>
      </c>
      <c r="X18" s="28" t="s">
        <v>12</v>
      </c>
      <c r="Y18" s="38">
        <v>34.299999999999997</v>
      </c>
      <c r="Z18" s="28" t="s">
        <v>911</v>
      </c>
      <c r="AA18" s="28" t="s">
        <v>294</v>
      </c>
      <c r="AB18" s="28" t="s">
        <v>11</v>
      </c>
      <c r="AC18" s="28">
        <v>8.8000000000000007</v>
      </c>
      <c r="AD18" s="37"/>
      <c r="AG18" s="38"/>
      <c r="AL18" s="37"/>
      <c r="AO18" s="38"/>
      <c r="AP18" s="37"/>
      <c r="AS18" s="38"/>
      <c r="AW18" s="38"/>
      <c r="BA18" s="39"/>
    </row>
    <row r="19" spans="1:53" s="170" customFormat="1" x14ac:dyDescent="0.15">
      <c r="A19" s="170">
        <v>1996</v>
      </c>
      <c r="B19" s="281">
        <v>35311</v>
      </c>
      <c r="C19" s="395" t="s">
        <v>1198</v>
      </c>
      <c r="D19" s="395"/>
      <c r="E19" s="170">
        <v>100</v>
      </c>
      <c r="F19" s="170">
        <v>4</v>
      </c>
      <c r="G19" s="171"/>
      <c r="H19" s="116"/>
      <c r="I19" s="116">
        <v>26</v>
      </c>
      <c r="J19" s="172">
        <v>26</v>
      </c>
      <c r="K19" s="173">
        <f t="shared" si="0"/>
        <v>0</v>
      </c>
      <c r="L19" s="173">
        <f t="shared" si="1"/>
        <v>0</v>
      </c>
      <c r="M19" s="173">
        <f t="shared" si="2"/>
        <v>100</v>
      </c>
      <c r="N19" s="174">
        <f t="shared" si="3"/>
        <v>100</v>
      </c>
      <c r="O19" s="175"/>
      <c r="P19" s="173"/>
      <c r="Q19" s="173">
        <v>34.299999999999997</v>
      </c>
      <c r="R19" s="176">
        <f t="shared" si="4"/>
        <v>34.299999999999997</v>
      </c>
      <c r="S19" s="170">
        <v>4</v>
      </c>
      <c r="T19" s="283"/>
      <c r="U19" s="281">
        <v>35311</v>
      </c>
      <c r="V19" s="177" t="s">
        <v>910</v>
      </c>
      <c r="W19" s="170" t="s">
        <v>20</v>
      </c>
      <c r="X19" s="170" t="s">
        <v>12</v>
      </c>
      <c r="Y19" s="178">
        <v>34.299999999999997</v>
      </c>
      <c r="AD19" s="177"/>
      <c r="AG19" s="178"/>
      <c r="AL19" s="177"/>
      <c r="AO19" s="178"/>
      <c r="AP19" s="177"/>
      <c r="AS19" s="178"/>
      <c r="AW19" s="178"/>
      <c r="BA19" s="179"/>
    </row>
    <row r="20" spans="1:53" s="28" customFormat="1" x14ac:dyDescent="0.15">
      <c r="A20" s="28">
        <v>1996</v>
      </c>
      <c r="B20" s="293">
        <v>35411</v>
      </c>
      <c r="C20" s="394" t="s">
        <v>916</v>
      </c>
      <c r="D20" s="394"/>
      <c r="E20" s="28">
        <f>366-E19-E18</f>
        <v>20</v>
      </c>
      <c r="F20" s="28">
        <v>1</v>
      </c>
      <c r="G20" s="29">
        <v>13</v>
      </c>
      <c r="H20" s="30">
        <v>1</v>
      </c>
      <c r="I20" s="30">
        <v>5</v>
      </c>
      <c r="J20" s="31">
        <v>20</v>
      </c>
      <c r="K20" s="32">
        <f t="shared" si="0"/>
        <v>65</v>
      </c>
      <c r="L20" s="32">
        <f t="shared" si="1"/>
        <v>5</v>
      </c>
      <c r="M20" s="32">
        <f t="shared" si="2"/>
        <v>25</v>
      </c>
      <c r="N20" s="33">
        <f t="shared" si="3"/>
        <v>95</v>
      </c>
      <c r="O20" s="34">
        <v>35.6</v>
      </c>
      <c r="P20" s="32">
        <v>7.3</v>
      </c>
      <c r="Q20" s="32">
        <v>15.5</v>
      </c>
      <c r="R20" s="35">
        <f t="shared" si="4"/>
        <v>58.4</v>
      </c>
      <c r="S20" s="28">
        <v>3</v>
      </c>
      <c r="T20" s="284">
        <v>35376</v>
      </c>
      <c r="U20" s="293">
        <v>35411</v>
      </c>
      <c r="V20" s="37" t="s">
        <v>912</v>
      </c>
      <c r="W20" s="28" t="s">
        <v>913</v>
      </c>
      <c r="X20" s="28" t="s">
        <v>11</v>
      </c>
      <c r="Y20" s="38">
        <v>35.6</v>
      </c>
      <c r="Z20" s="28" t="s">
        <v>914</v>
      </c>
      <c r="AA20" s="28" t="s">
        <v>97</v>
      </c>
      <c r="AB20" s="28" t="s">
        <v>12</v>
      </c>
      <c r="AC20" s="28">
        <v>15.5</v>
      </c>
      <c r="AD20" s="37" t="s">
        <v>915</v>
      </c>
      <c r="AE20" s="28" t="s">
        <v>89</v>
      </c>
      <c r="AF20" s="28" t="s">
        <v>18</v>
      </c>
      <c r="AG20" s="38">
        <v>7.3</v>
      </c>
      <c r="AL20" s="37"/>
      <c r="AO20" s="38"/>
      <c r="AP20" s="37"/>
      <c r="AS20" s="38"/>
      <c r="AW20" s="38"/>
      <c r="BA20" s="39"/>
    </row>
    <row r="21" spans="1:53" s="28" customFormat="1" x14ac:dyDescent="0.15">
      <c r="A21" s="28">
        <v>1997</v>
      </c>
      <c r="B21" s="293"/>
      <c r="C21" s="394" t="s">
        <v>916</v>
      </c>
      <c r="D21" s="394"/>
      <c r="E21" s="28">
        <v>0</v>
      </c>
      <c r="G21" s="29">
        <v>13</v>
      </c>
      <c r="H21" s="30">
        <v>1</v>
      </c>
      <c r="I21" s="30">
        <v>5</v>
      </c>
      <c r="J21" s="31">
        <v>20</v>
      </c>
      <c r="K21" s="32">
        <f t="shared" si="0"/>
        <v>65</v>
      </c>
      <c r="L21" s="32">
        <f t="shared" si="1"/>
        <v>5</v>
      </c>
      <c r="M21" s="32">
        <f t="shared" si="2"/>
        <v>25</v>
      </c>
      <c r="N21" s="33">
        <f t="shared" si="3"/>
        <v>95</v>
      </c>
      <c r="O21" s="34">
        <v>35.6</v>
      </c>
      <c r="P21" s="32">
        <v>7.3</v>
      </c>
      <c r="Q21" s="32">
        <v>15.5</v>
      </c>
      <c r="R21" s="35">
        <f t="shared" si="4"/>
        <v>58.4</v>
      </c>
      <c r="S21" s="28">
        <v>3</v>
      </c>
      <c r="T21" s="284"/>
      <c r="U21" s="293"/>
      <c r="V21" s="37" t="s">
        <v>912</v>
      </c>
      <c r="W21" s="28" t="s">
        <v>913</v>
      </c>
      <c r="X21" s="28" t="s">
        <v>11</v>
      </c>
      <c r="Y21" s="38">
        <v>35.6</v>
      </c>
      <c r="Z21" s="28" t="s">
        <v>914</v>
      </c>
      <c r="AA21" s="28" t="s">
        <v>97</v>
      </c>
      <c r="AB21" s="28" t="s">
        <v>12</v>
      </c>
      <c r="AC21" s="28">
        <v>15.5</v>
      </c>
      <c r="AD21" s="37" t="s">
        <v>915</v>
      </c>
      <c r="AE21" s="28" t="s">
        <v>89</v>
      </c>
      <c r="AF21" s="28" t="s">
        <v>18</v>
      </c>
      <c r="AG21" s="38">
        <v>7.3</v>
      </c>
      <c r="AL21" s="37"/>
      <c r="AO21" s="38"/>
      <c r="AP21" s="37"/>
      <c r="AS21" s="38"/>
      <c r="AW21" s="38"/>
      <c r="BA21" s="39"/>
    </row>
    <row r="22" spans="1:53" s="28" customFormat="1" x14ac:dyDescent="0.15">
      <c r="A22" s="28">
        <v>1997</v>
      </c>
      <c r="B22" s="293"/>
      <c r="C22" s="394" t="s">
        <v>916</v>
      </c>
      <c r="D22" s="394"/>
      <c r="E22" s="28">
        <v>365</v>
      </c>
      <c r="G22" s="29">
        <v>13</v>
      </c>
      <c r="H22" s="30">
        <v>1</v>
      </c>
      <c r="I22" s="30">
        <v>5</v>
      </c>
      <c r="J22" s="31">
        <v>20</v>
      </c>
      <c r="K22" s="32">
        <f t="shared" si="0"/>
        <v>65</v>
      </c>
      <c r="L22" s="32">
        <f t="shared" si="1"/>
        <v>5</v>
      </c>
      <c r="M22" s="32">
        <f t="shared" si="2"/>
        <v>25</v>
      </c>
      <c r="N22" s="33">
        <f t="shared" si="3"/>
        <v>95</v>
      </c>
      <c r="O22" s="34">
        <v>35.6</v>
      </c>
      <c r="P22" s="32">
        <v>7.3</v>
      </c>
      <c r="Q22" s="32">
        <v>15.5</v>
      </c>
      <c r="R22" s="35">
        <f t="shared" si="4"/>
        <v>58.4</v>
      </c>
      <c r="S22" s="28">
        <v>3</v>
      </c>
      <c r="T22" s="284"/>
      <c r="U22" s="293"/>
      <c r="V22" s="37" t="s">
        <v>912</v>
      </c>
      <c r="W22" s="28" t="s">
        <v>913</v>
      </c>
      <c r="X22" s="28" t="s">
        <v>11</v>
      </c>
      <c r="Y22" s="38">
        <v>35.6</v>
      </c>
      <c r="Z22" s="28" t="s">
        <v>914</v>
      </c>
      <c r="AA22" s="28" t="s">
        <v>97</v>
      </c>
      <c r="AB22" s="28" t="s">
        <v>12</v>
      </c>
      <c r="AC22" s="28">
        <v>15.5</v>
      </c>
      <c r="AD22" s="37" t="s">
        <v>915</v>
      </c>
      <c r="AE22" s="28" t="s">
        <v>89</v>
      </c>
      <c r="AF22" s="28" t="s">
        <v>18</v>
      </c>
      <c r="AG22" s="38">
        <v>7.3</v>
      </c>
      <c r="AL22" s="37"/>
      <c r="AO22" s="38"/>
      <c r="AP22" s="37"/>
      <c r="AS22" s="38"/>
      <c r="AW22" s="38"/>
      <c r="BA22" s="39"/>
    </row>
    <row r="23" spans="1:53" s="28" customFormat="1" x14ac:dyDescent="0.15">
      <c r="A23" s="28">
        <v>1998</v>
      </c>
      <c r="B23" s="293"/>
      <c r="C23" s="394" t="s">
        <v>916</v>
      </c>
      <c r="D23" s="394"/>
      <c r="E23" s="28">
        <v>88</v>
      </c>
      <c r="G23" s="29">
        <v>13</v>
      </c>
      <c r="H23" s="30">
        <v>1</v>
      </c>
      <c r="I23" s="30">
        <v>5</v>
      </c>
      <c r="J23" s="31">
        <v>20</v>
      </c>
      <c r="K23" s="32">
        <f t="shared" si="0"/>
        <v>65</v>
      </c>
      <c r="L23" s="32">
        <f t="shared" si="1"/>
        <v>5</v>
      </c>
      <c r="M23" s="32">
        <f t="shared" si="2"/>
        <v>25</v>
      </c>
      <c r="N23" s="33">
        <f t="shared" si="3"/>
        <v>95</v>
      </c>
      <c r="O23" s="34">
        <v>35.6</v>
      </c>
      <c r="P23" s="32">
        <v>7.3</v>
      </c>
      <c r="Q23" s="32">
        <v>15.5</v>
      </c>
      <c r="R23" s="35">
        <f t="shared" si="4"/>
        <v>58.4</v>
      </c>
      <c r="S23" s="28">
        <v>3</v>
      </c>
      <c r="T23" s="284"/>
      <c r="U23" s="293"/>
      <c r="V23" s="37" t="s">
        <v>912</v>
      </c>
      <c r="W23" s="28" t="s">
        <v>913</v>
      </c>
      <c r="X23" s="28" t="s">
        <v>11</v>
      </c>
      <c r="Y23" s="38">
        <v>35.6</v>
      </c>
      <c r="Z23" s="28" t="s">
        <v>914</v>
      </c>
      <c r="AA23" s="28" t="s">
        <v>97</v>
      </c>
      <c r="AB23" s="28" t="s">
        <v>12</v>
      </c>
      <c r="AC23" s="28">
        <v>15.5</v>
      </c>
      <c r="AD23" s="37" t="s">
        <v>915</v>
      </c>
      <c r="AE23" s="28" t="s">
        <v>89</v>
      </c>
      <c r="AF23" s="28" t="s">
        <v>18</v>
      </c>
      <c r="AG23" s="38">
        <v>7.3</v>
      </c>
      <c r="AL23" s="37"/>
      <c r="AO23" s="38"/>
      <c r="AP23" s="37"/>
      <c r="AS23" s="38"/>
      <c r="AW23" s="38"/>
      <c r="BA23" s="39"/>
    </row>
    <row r="24" spans="1:53" s="170" customFormat="1" x14ac:dyDescent="0.15">
      <c r="A24" s="170">
        <v>1998</v>
      </c>
      <c r="B24" s="281">
        <v>35884</v>
      </c>
      <c r="C24" s="395" t="s">
        <v>1159</v>
      </c>
      <c r="D24" s="395"/>
      <c r="E24" s="170">
        <v>16</v>
      </c>
      <c r="F24" s="170">
        <v>2</v>
      </c>
      <c r="G24" s="171">
        <v>11</v>
      </c>
      <c r="H24" s="116">
        <v>1</v>
      </c>
      <c r="I24" s="116">
        <v>6</v>
      </c>
      <c r="J24" s="172">
        <v>21</v>
      </c>
      <c r="K24" s="173">
        <f t="shared" si="0"/>
        <v>52.380952380952387</v>
      </c>
      <c r="L24" s="173">
        <f t="shared" si="1"/>
        <v>4.7619047619047619</v>
      </c>
      <c r="M24" s="173">
        <f t="shared" si="2"/>
        <v>28.571428571428569</v>
      </c>
      <c r="N24" s="174">
        <f t="shared" si="3"/>
        <v>85.714285714285722</v>
      </c>
      <c r="O24" s="175">
        <v>35.6</v>
      </c>
      <c r="P24" s="173">
        <v>7.3</v>
      </c>
      <c r="Q24" s="173">
        <v>15.5</v>
      </c>
      <c r="R24" s="176">
        <f t="shared" si="4"/>
        <v>58.4</v>
      </c>
      <c r="S24" s="170">
        <v>6</v>
      </c>
      <c r="T24" s="283"/>
      <c r="U24" s="281">
        <v>35884</v>
      </c>
      <c r="V24" s="177" t="s">
        <v>912</v>
      </c>
      <c r="W24" s="170" t="s">
        <v>913</v>
      </c>
      <c r="X24" s="170" t="s">
        <v>11</v>
      </c>
      <c r="Y24" s="178">
        <v>35.6</v>
      </c>
      <c r="Z24" s="170" t="s">
        <v>555</v>
      </c>
      <c r="AA24" s="170" t="s">
        <v>97</v>
      </c>
      <c r="AB24" s="170" t="s">
        <v>12</v>
      </c>
      <c r="AC24" s="170">
        <v>15.5</v>
      </c>
      <c r="AD24" s="177" t="s">
        <v>915</v>
      </c>
      <c r="AE24" s="170" t="s">
        <v>89</v>
      </c>
      <c r="AF24" s="170" t="s">
        <v>18</v>
      </c>
      <c r="AG24" s="178">
        <v>7.3</v>
      </c>
      <c r="AL24" s="177"/>
      <c r="AO24" s="178"/>
      <c r="AP24" s="177"/>
      <c r="AS24" s="178"/>
      <c r="AW24" s="178"/>
      <c r="BA24" s="179"/>
    </row>
    <row r="25" spans="1:53" s="28" customFormat="1" x14ac:dyDescent="0.15">
      <c r="A25" s="28">
        <v>1998</v>
      </c>
      <c r="B25" s="293">
        <v>35900</v>
      </c>
      <c r="C25" s="394" t="s">
        <v>917</v>
      </c>
      <c r="D25" s="394"/>
      <c r="E25" s="28">
        <f xml:space="preserve"> 365-E24-E23</f>
        <v>261</v>
      </c>
      <c r="F25" s="28">
        <v>6</v>
      </c>
      <c r="G25" s="29">
        <v>11</v>
      </c>
      <c r="H25" s="30">
        <v>1</v>
      </c>
      <c r="I25" s="30">
        <v>7</v>
      </c>
      <c r="J25" s="31">
        <v>21</v>
      </c>
      <c r="K25" s="32">
        <f t="shared" si="0"/>
        <v>52.380952380952387</v>
      </c>
      <c r="L25" s="32">
        <f t="shared" si="1"/>
        <v>4.7619047619047619</v>
      </c>
      <c r="M25" s="32">
        <f t="shared" si="2"/>
        <v>33.333333333333329</v>
      </c>
      <c r="N25" s="33">
        <f t="shared" si="3"/>
        <v>90.476190476190482</v>
      </c>
      <c r="O25" s="34">
        <v>35.6</v>
      </c>
      <c r="P25" s="32">
        <v>7.3</v>
      </c>
      <c r="Q25" s="32">
        <v>26.6</v>
      </c>
      <c r="R25" s="35">
        <f t="shared" si="4"/>
        <v>69.5</v>
      </c>
      <c r="S25" s="28">
        <v>3</v>
      </c>
      <c r="T25" s="284"/>
      <c r="U25" s="293">
        <v>35900</v>
      </c>
      <c r="V25" s="37" t="s">
        <v>912</v>
      </c>
      <c r="W25" s="28" t="s">
        <v>913</v>
      </c>
      <c r="X25" s="28" t="s">
        <v>11</v>
      </c>
      <c r="Y25" s="38">
        <v>35.6</v>
      </c>
      <c r="Z25" s="28" t="s">
        <v>910</v>
      </c>
      <c r="AA25" s="28" t="s">
        <v>20</v>
      </c>
      <c r="AB25" s="28" t="s">
        <v>12</v>
      </c>
      <c r="AC25" s="28">
        <v>26.6</v>
      </c>
      <c r="AD25" s="37" t="s">
        <v>915</v>
      </c>
      <c r="AE25" s="28" t="s">
        <v>89</v>
      </c>
      <c r="AF25" s="28" t="s">
        <v>18</v>
      </c>
      <c r="AG25" s="38">
        <v>7.3</v>
      </c>
      <c r="AL25" s="37"/>
      <c r="AO25" s="38"/>
      <c r="AP25" s="37"/>
      <c r="AS25" s="38"/>
      <c r="AW25" s="38"/>
      <c r="BA25" s="39"/>
    </row>
    <row r="26" spans="1:53" s="28" customFormat="1" x14ac:dyDescent="0.15">
      <c r="A26" s="28">
        <v>1999</v>
      </c>
      <c r="B26" s="293"/>
      <c r="C26" s="394" t="s">
        <v>917</v>
      </c>
      <c r="D26" s="394"/>
      <c r="E26" s="28">
        <v>345</v>
      </c>
      <c r="G26" s="29">
        <v>11</v>
      </c>
      <c r="H26" s="30">
        <v>1</v>
      </c>
      <c r="I26" s="30">
        <v>7</v>
      </c>
      <c r="J26" s="31">
        <v>21</v>
      </c>
      <c r="K26" s="32">
        <f t="shared" si="0"/>
        <v>52.380952380952387</v>
      </c>
      <c r="L26" s="32">
        <f t="shared" si="1"/>
        <v>4.7619047619047619</v>
      </c>
      <c r="M26" s="32">
        <f t="shared" si="2"/>
        <v>33.333333333333329</v>
      </c>
      <c r="N26" s="33">
        <f t="shared" si="3"/>
        <v>90.476190476190482</v>
      </c>
      <c r="O26" s="34">
        <v>35.6</v>
      </c>
      <c r="P26" s="32">
        <v>7.3</v>
      </c>
      <c r="Q26" s="32">
        <v>26.6</v>
      </c>
      <c r="R26" s="35">
        <f t="shared" si="4"/>
        <v>69.5</v>
      </c>
      <c r="S26" s="28">
        <v>3</v>
      </c>
      <c r="T26" s="284"/>
      <c r="U26" s="293"/>
      <c r="V26" s="37" t="s">
        <v>912</v>
      </c>
      <c r="W26" s="28" t="s">
        <v>913</v>
      </c>
      <c r="X26" s="28" t="s">
        <v>11</v>
      </c>
      <c r="Y26" s="38">
        <v>35.6</v>
      </c>
      <c r="Z26" s="28" t="s">
        <v>910</v>
      </c>
      <c r="AA26" s="28" t="s">
        <v>20</v>
      </c>
      <c r="AB26" s="28" t="s">
        <v>12</v>
      </c>
      <c r="AC26" s="28">
        <v>26.6</v>
      </c>
      <c r="AD26" s="37" t="s">
        <v>915</v>
      </c>
      <c r="AE26" s="28" t="s">
        <v>89</v>
      </c>
      <c r="AF26" s="28" t="s">
        <v>18</v>
      </c>
      <c r="AG26" s="38">
        <v>7.3</v>
      </c>
      <c r="AL26" s="37"/>
      <c r="AO26" s="38"/>
      <c r="AP26" s="37"/>
      <c r="AS26" s="38"/>
      <c r="AW26" s="38"/>
      <c r="BA26" s="39"/>
    </row>
    <row r="27" spans="1:53" s="170" customFormat="1" x14ac:dyDescent="0.15">
      <c r="A27" s="170">
        <v>1999</v>
      </c>
      <c r="B27" s="281">
        <v>36506</v>
      </c>
      <c r="C27" s="395" t="s">
        <v>1160</v>
      </c>
      <c r="D27" s="395"/>
      <c r="E27" s="170">
        <f xml:space="preserve"> 365-E26</f>
        <v>20</v>
      </c>
      <c r="F27" s="170">
        <v>6</v>
      </c>
      <c r="G27" s="171">
        <v>11</v>
      </c>
      <c r="H27" s="116">
        <v>1</v>
      </c>
      <c r="I27" s="116">
        <v>6</v>
      </c>
      <c r="J27" s="172">
        <v>18</v>
      </c>
      <c r="K27" s="173">
        <f t="shared" si="0"/>
        <v>61.111111111111114</v>
      </c>
      <c r="L27" s="173">
        <f t="shared" si="1"/>
        <v>5.5555555555555554</v>
      </c>
      <c r="M27" s="173">
        <f t="shared" si="2"/>
        <v>33.333333333333329</v>
      </c>
      <c r="N27" s="174">
        <f t="shared" si="3"/>
        <v>100</v>
      </c>
      <c r="O27" s="175">
        <v>35.6</v>
      </c>
      <c r="P27" s="173">
        <v>7.3</v>
      </c>
      <c r="Q27" s="173">
        <v>15.5</v>
      </c>
      <c r="R27" s="176">
        <f t="shared" si="4"/>
        <v>58.4</v>
      </c>
      <c r="S27" s="170">
        <v>3</v>
      </c>
      <c r="T27" s="283"/>
      <c r="U27" s="281">
        <v>36506</v>
      </c>
      <c r="V27" s="177" t="s">
        <v>912</v>
      </c>
      <c r="W27" s="170" t="s">
        <v>913</v>
      </c>
      <c r="X27" s="170" t="s">
        <v>11</v>
      </c>
      <c r="Y27" s="178">
        <v>35.6</v>
      </c>
      <c r="Z27" s="170" t="s">
        <v>555</v>
      </c>
      <c r="AA27" s="170" t="s">
        <v>97</v>
      </c>
      <c r="AB27" s="170" t="s">
        <v>12</v>
      </c>
      <c r="AC27" s="170">
        <v>15.5</v>
      </c>
      <c r="AD27" s="177" t="s">
        <v>915</v>
      </c>
      <c r="AE27" s="170" t="s">
        <v>89</v>
      </c>
      <c r="AF27" s="170" t="s">
        <v>18</v>
      </c>
      <c r="AG27" s="178">
        <v>7.3</v>
      </c>
      <c r="AL27" s="177"/>
      <c r="AO27" s="178"/>
      <c r="AP27" s="177"/>
      <c r="AS27" s="178"/>
      <c r="AW27" s="178"/>
      <c r="BA27" s="179"/>
    </row>
    <row r="28" spans="1:53" s="170" customFormat="1" x14ac:dyDescent="0.15">
      <c r="A28" s="170">
        <v>2000</v>
      </c>
      <c r="B28" s="281"/>
      <c r="C28" s="395" t="s">
        <v>1160</v>
      </c>
      <c r="D28" s="395"/>
      <c r="E28" s="170">
        <v>362</v>
      </c>
      <c r="G28" s="171">
        <v>11</v>
      </c>
      <c r="H28" s="116">
        <v>1</v>
      </c>
      <c r="I28" s="116">
        <v>6</v>
      </c>
      <c r="J28" s="172">
        <v>18</v>
      </c>
      <c r="K28" s="173">
        <f t="shared" si="0"/>
        <v>61.111111111111114</v>
      </c>
      <c r="L28" s="173">
        <f t="shared" si="1"/>
        <v>5.5555555555555554</v>
      </c>
      <c r="M28" s="173">
        <f t="shared" si="2"/>
        <v>33.333333333333329</v>
      </c>
      <c r="N28" s="174">
        <f t="shared" si="3"/>
        <v>100</v>
      </c>
      <c r="O28" s="175">
        <v>35.6</v>
      </c>
      <c r="P28" s="173">
        <v>7.3</v>
      </c>
      <c r="Q28" s="173">
        <v>15.5</v>
      </c>
      <c r="R28" s="176">
        <f t="shared" si="4"/>
        <v>58.4</v>
      </c>
      <c r="S28" s="170">
        <v>3</v>
      </c>
      <c r="T28" s="283"/>
      <c r="U28" s="281"/>
      <c r="V28" s="177" t="s">
        <v>912</v>
      </c>
      <c r="W28" s="170" t="s">
        <v>913</v>
      </c>
      <c r="X28" s="170" t="s">
        <v>11</v>
      </c>
      <c r="Y28" s="178">
        <v>35.6</v>
      </c>
      <c r="Z28" s="170" t="s">
        <v>555</v>
      </c>
      <c r="AA28" s="170" t="s">
        <v>97</v>
      </c>
      <c r="AB28" s="170" t="s">
        <v>12</v>
      </c>
      <c r="AC28" s="170">
        <v>15.5</v>
      </c>
      <c r="AD28" s="177" t="s">
        <v>915</v>
      </c>
      <c r="AE28" s="170" t="s">
        <v>89</v>
      </c>
      <c r="AF28" s="170" t="s">
        <v>18</v>
      </c>
      <c r="AG28" s="178">
        <v>7.3</v>
      </c>
      <c r="AL28" s="177"/>
      <c r="AO28" s="178"/>
      <c r="AP28" s="177"/>
      <c r="AS28" s="178"/>
      <c r="AW28" s="178"/>
      <c r="BA28" s="179"/>
    </row>
    <row r="29" spans="1:53" s="28" customFormat="1" x14ac:dyDescent="0.15">
      <c r="A29" s="28">
        <v>2000</v>
      </c>
      <c r="B29" s="293">
        <v>36888</v>
      </c>
      <c r="C29" s="394" t="s">
        <v>1161</v>
      </c>
      <c r="D29" s="394"/>
      <c r="E29" s="28">
        <f xml:space="preserve"> 366-E28</f>
        <v>4</v>
      </c>
      <c r="F29" s="28">
        <v>1</v>
      </c>
      <c r="G29" s="29"/>
      <c r="H29" s="30"/>
      <c r="I29" s="30">
        <v>23</v>
      </c>
      <c r="J29" s="31">
        <v>23</v>
      </c>
      <c r="K29" s="32">
        <f t="shared" si="0"/>
        <v>0</v>
      </c>
      <c r="L29" s="32">
        <f t="shared" si="1"/>
        <v>0</v>
      </c>
      <c r="M29" s="32">
        <f t="shared" si="2"/>
        <v>100</v>
      </c>
      <c r="N29" s="33">
        <f t="shared" si="3"/>
        <v>100</v>
      </c>
      <c r="O29" s="34"/>
      <c r="P29" s="32"/>
      <c r="Q29" s="32">
        <v>44.9</v>
      </c>
      <c r="R29" s="35">
        <f t="shared" si="4"/>
        <v>44.9</v>
      </c>
      <c r="S29" s="28">
        <v>4</v>
      </c>
      <c r="T29" s="284">
        <v>36856</v>
      </c>
      <c r="U29" s="293">
        <v>36888</v>
      </c>
      <c r="V29" s="37" t="s">
        <v>910</v>
      </c>
      <c r="W29" s="28" t="s">
        <v>20</v>
      </c>
      <c r="X29" s="28" t="s">
        <v>12</v>
      </c>
      <c r="Y29" s="38">
        <v>44.9</v>
      </c>
      <c r="AD29" s="37"/>
      <c r="AG29" s="38"/>
      <c r="AL29" s="37"/>
      <c r="AO29" s="38"/>
      <c r="AP29" s="37"/>
      <c r="AS29" s="38"/>
      <c r="AW29" s="38"/>
      <c r="BA29" s="39"/>
    </row>
    <row r="30" spans="1:53" s="28" customFormat="1" x14ac:dyDescent="0.15">
      <c r="A30" s="28">
        <v>2001</v>
      </c>
      <c r="B30" s="293"/>
      <c r="C30" s="394" t="s">
        <v>1161</v>
      </c>
      <c r="D30" s="394"/>
      <c r="E30" s="28">
        <v>0</v>
      </c>
      <c r="G30" s="29"/>
      <c r="H30" s="30"/>
      <c r="I30" s="30">
        <v>23</v>
      </c>
      <c r="J30" s="31">
        <v>23</v>
      </c>
      <c r="K30" s="32">
        <f t="shared" si="0"/>
        <v>0</v>
      </c>
      <c r="L30" s="32">
        <f t="shared" si="1"/>
        <v>0</v>
      </c>
      <c r="M30" s="32">
        <f t="shared" si="2"/>
        <v>100</v>
      </c>
      <c r="N30" s="33">
        <f t="shared" si="3"/>
        <v>100</v>
      </c>
      <c r="O30" s="34"/>
      <c r="P30" s="32"/>
      <c r="Q30" s="32">
        <v>44.9</v>
      </c>
      <c r="R30" s="35">
        <f t="shared" si="4"/>
        <v>44.9</v>
      </c>
      <c r="S30" s="28">
        <v>4</v>
      </c>
      <c r="T30" s="284"/>
      <c r="U30" s="293"/>
      <c r="V30" s="37" t="s">
        <v>910</v>
      </c>
      <c r="W30" s="28" t="s">
        <v>20</v>
      </c>
      <c r="X30" s="28" t="s">
        <v>12</v>
      </c>
      <c r="Y30" s="38">
        <v>44.9</v>
      </c>
      <c r="AD30" s="37"/>
      <c r="AG30" s="38"/>
      <c r="AL30" s="37"/>
      <c r="AO30" s="38"/>
      <c r="AP30" s="37"/>
      <c r="AS30" s="38"/>
      <c r="AW30" s="38"/>
      <c r="BA30" s="39"/>
    </row>
    <row r="31" spans="1:53" s="28" customFormat="1" x14ac:dyDescent="0.15">
      <c r="A31" s="28">
        <v>2001</v>
      </c>
      <c r="B31" s="293"/>
      <c r="C31" s="394" t="s">
        <v>1161</v>
      </c>
      <c r="D31" s="394"/>
      <c r="E31" s="28">
        <v>365</v>
      </c>
      <c r="G31" s="29"/>
      <c r="H31" s="30"/>
      <c r="I31" s="30">
        <v>23</v>
      </c>
      <c r="J31" s="31">
        <v>23</v>
      </c>
      <c r="K31" s="32">
        <f t="shared" si="0"/>
        <v>0</v>
      </c>
      <c r="L31" s="32">
        <f t="shared" si="1"/>
        <v>0</v>
      </c>
      <c r="M31" s="32">
        <f t="shared" si="2"/>
        <v>100</v>
      </c>
      <c r="N31" s="33">
        <f t="shared" si="3"/>
        <v>100</v>
      </c>
      <c r="O31" s="34"/>
      <c r="P31" s="32"/>
      <c r="Q31" s="32">
        <v>44.9</v>
      </c>
      <c r="R31" s="35">
        <f t="shared" si="4"/>
        <v>44.9</v>
      </c>
      <c r="S31" s="28">
        <v>4</v>
      </c>
      <c r="T31" s="284"/>
      <c r="U31" s="293"/>
      <c r="V31" s="37" t="s">
        <v>910</v>
      </c>
      <c r="W31" s="28" t="s">
        <v>20</v>
      </c>
      <c r="X31" s="28" t="s">
        <v>12</v>
      </c>
      <c r="Y31" s="38">
        <v>44.9</v>
      </c>
      <c r="AD31" s="37"/>
      <c r="AG31" s="38"/>
      <c r="AL31" s="37"/>
      <c r="AO31" s="38"/>
      <c r="AP31" s="37"/>
      <c r="AS31" s="38"/>
      <c r="AW31" s="38"/>
      <c r="BA31" s="39"/>
    </row>
    <row r="32" spans="1:53" s="28" customFormat="1" x14ac:dyDescent="0.15">
      <c r="A32" s="28">
        <v>2002</v>
      </c>
      <c r="B32" s="293"/>
      <c r="C32" s="394" t="s">
        <v>1161</v>
      </c>
      <c r="D32" s="394"/>
      <c r="E32" s="28">
        <v>0</v>
      </c>
      <c r="G32" s="29"/>
      <c r="H32" s="30"/>
      <c r="I32" s="30">
        <v>23</v>
      </c>
      <c r="J32" s="31">
        <v>23</v>
      </c>
      <c r="K32" s="32">
        <f t="shared" si="0"/>
        <v>0</v>
      </c>
      <c r="L32" s="32">
        <f t="shared" si="1"/>
        <v>0</v>
      </c>
      <c r="M32" s="32">
        <f t="shared" si="2"/>
        <v>100</v>
      </c>
      <c r="N32" s="33">
        <f t="shared" si="3"/>
        <v>100</v>
      </c>
      <c r="O32" s="34"/>
      <c r="P32" s="32"/>
      <c r="Q32" s="32">
        <v>44.9</v>
      </c>
      <c r="R32" s="35">
        <f t="shared" si="4"/>
        <v>44.9</v>
      </c>
      <c r="S32" s="28">
        <v>4</v>
      </c>
      <c r="T32" s="284"/>
      <c r="U32" s="293"/>
      <c r="V32" s="37" t="s">
        <v>910</v>
      </c>
      <c r="W32" s="28" t="s">
        <v>20</v>
      </c>
      <c r="X32" s="28" t="s">
        <v>12</v>
      </c>
      <c r="Y32" s="38">
        <v>44.9</v>
      </c>
      <c r="AD32" s="37"/>
      <c r="AG32" s="38"/>
      <c r="AL32" s="37"/>
      <c r="AO32" s="38"/>
      <c r="AP32" s="37"/>
      <c r="AS32" s="38"/>
      <c r="AW32" s="38"/>
      <c r="BA32" s="39"/>
    </row>
    <row r="33" spans="1:53" s="28" customFormat="1" x14ac:dyDescent="0.15">
      <c r="A33" s="28">
        <v>2002</v>
      </c>
      <c r="B33" s="293"/>
      <c r="C33" s="394" t="s">
        <v>1161</v>
      </c>
      <c r="D33" s="394"/>
      <c r="E33" s="28">
        <v>365</v>
      </c>
      <c r="G33" s="29"/>
      <c r="H33" s="30"/>
      <c r="I33" s="30">
        <v>23</v>
      </c>
      <c r="J33" s="31">
        <v>23</v>
      </c>
      <c r="K33" s="32">
        <f t="shared" si="0"/>
        <v>0</v>
      </c>
      <c r="L33" s="32">
        <f t="shared" si="1"/>
        <v>0</v>
      </c>
      <c r="M33" s="32">
        <f t="shared" si="2"/>
        <v>100</v>
      </c>
      <c r="N33" s="33">
        <f t="shared" si="3"/>
        <v>100</v>
      </c>
      <c r="O33" s="34"/>
      <c r="P33" s="32"/>
      <c r="Q33" s="32">
        <v>44.9</v>
      </c>
      <c r="R33" s="35">
        <f t="shared" si="4"/>
        <v>44.9</v>
      </c>
      <c r="S33" s="28">
        <v>4</v>
      </c>
      <c r="T33" s="284"/>
      <c r="U33" s="293"/>
      <c r="V33" s="37" t="s">
        <v>910</v>
      </c>
      <c r="W33" s="28" t="s">
        <v>20</v>
      </c>
      <c r="X33" s="28" t="s">
        <v>12</v>
      </c>
      <c r="Y33" s="38">
        <v>44.9</v>
      </c>
      <c r="AD33" s="37"/>
      <c r="AG33" s="38"/>
      <c r="AL33" s="37"/>
      <c r="AO33" s="38"/>
      <c r="AP33" s="37"/>
      <c r="AS33" s="38"/>
      <c r="AW33" s="38"/>
      <c r="BA33" s="39"/>
    </row>
    <row r="34" spans="1:53" s="28" customFormat="1" x14ac:dyDescent="0.15">
      <c r="A34" s="28">
        <v>2003</v>
      </c>
      <c r="B34" s="293"/>
      <c r="C34" s="394" t="s">
        <v>1161</v>
      </c>
      <c r="D34" s="394"/>
      <c r="E34" s="28">
        <v>0</v>
      </c>
      <c r="G34" s="29"/>
      <c r="H34" s="30"/>
      <c r="I34" s="30">
        <v>23</v>
      </c>
      <c r="J34" s="31">
        <v>23</v>
      </c>
      <c r="K34" s="32">
        <f t="shared" si="0"/>
        <v>0</v>
      </c>
      <c r="L34" s="32">
        <f t="shared" si="1"/>
        <v>0</v>
      </c>
      <c r="M34" s="32">
        <f t="shared" si="2"/>
        <v>100</v>
      </c>
      <c r="N34" s="33">
        <f t="shared" si="3"/>
        <v>100</v>
      </c>
      <c r="O34" s="34"/>
      <c r="P34" s="32"/>
      <c r="Q34" s="32">
        <v>44.9</v>
      </c>
      <c r="R34" s="35">
        <f t="shared" si="4"/>
        <v>44.9</v>
      </c>
      <c r="S34" s="28">
        <v>4</v>
      </c>
      <c r="T34" s="284"/>
      <c r="U34" s="293"/>
      <c r="V34" s="37" t="s">
        <v>910</v>
      </c>
      <c r="W34" s="28" t="s">
        <v>20</v>
      </c>
      <c r="X34" s="28" t="s">
        <v>12</v>
      </c>
      <c r="Y34" s="38">
        <v>44.9</v>
      </c>
      <c r="AD34" s="37"/>
      <c r="AG34" s="38"/>
      <c r="AL34" s="37"/>
      <c r="AO34" s="38"/>
      <c r="AP34" s="37"/>
      <c r="AS34" s="38"/>
      <c r="AW34" s="38"/>
      <c r="BA34" s="39"/>
    </row>
    <row r="35" spans="1:53" s="28" customFormat="1" x14ac:dyDescent="0.15">
      <c r="A35" s="28">
        <v>2003</v>
      </c>
      <c r="B35" s="293"/>
      <c r="C35" s="394" t="s">
        <v>1161</v>
      </c>
      <c r="D35" s="394"/>
      <c r="E35" s="28">
        <v>365</v>
      </c>
      <c r="G35" s="29"/>
      <c r="H35" s="30"/>
      <c r="I35" s="30">
        <v>23</v>
      </c>
      <c r="J35" s="31">
        <v>23</v>
      </c>
      <c r="K35" s="32">
        <f t="shared" si="0"/>
        <v>0</v>
      </c>
      <c r="L35" s="32">
        <f t="shared" si="1"/>
        <v>0</v>
      </c>
      <c r="M35" s="32">
        <f t="shared" si="2"/>
        <v>100</v>
      </c>
      <c r="N35" s="33">
        <f t="shared" si="3"/>
        <v>100</v>
      </c>
      <c r="O35" s="34"/>
      <c r="P35" s="32"/>
      <c r="Q35" s="32">
        <v>44.9</v>
      </c>
      <c r="R35" s="35">
        <f t="shared" si="4"/>
        <v>44.9</v>
      </c>
      <c r="S35" s="28">
        <v>4</v>
      </c>
      <c r="T35" s="284"/>
      <c r="U35" s="293"/>
      <c r="V35" s="37" t="s">
        <v>910</v>
      </c>
      <c r="W35" s="28" t="s">
        <v>20</v>
      </c>
      <c r="X35" s="28" t="s">
        <v>12</v>
      </c>
      <c r="Y35" s="38">
        <v>44.9</v>
      </c>
      <c r="AD35" s="37"/>
      <c r="AG35" s="38"/>
      <c r="AL35" s="37"/>
      <c r="AO35" s="38"/>
      <c r="AP35" s="37"/>
      <c r="AS35" s="38"/>
      <c r="AW35" s="38"/>
      <c r="BA35" s="39"/>
    </row>
    <row r="36" spans="1:53" s="28" customFormat="1" x14ac:dyDescent="0.15">
      <c r="A36" s="28">
        <v>2004</v>
      </c>
      <c r="B36" s="293"/>
      <c r="C36" s="394" t="s">
        <v>1161</v>
      </c>
      <c r="D36" s="394"/>
      <c r="E36" s="28">
        <v>363</v>
      </c>
      <c r="G36" s="29"/>
      <c r="H36" s="30"/>
      <c r="I36" s="30">
        <v>23</v>
      </c>
      <c r="J36" s="31">
        <v>23</v>
      </c>
      <c r="K36" s="32">
        <f t="shared" si="0"/>
        <v>0</v>
      </c>
      <c r="L36" s="32">
        <f t="shared" si="1"/>
        <v>0</v>
      </c>
      <c r="M36" s="32">
        <f t="shared" si="2"/>
        <v>100</v>
      </c>
      <c r="N36" s="33">
        <f t="shared" si="3"/>
        <v>100</v>
      </c>
      <c r="O36" s="34"/>
      <c r="P36" s="32"/>
      <c r="Q36" s="32">
        <v>44.9</v>
      </c>
      <c r="R36" s="35">
        <f t="shared" si="4"/>
        <v>44.9</v>
      </c>
      <c r="S36" s="28">
        <v>4</v>
      </c>
      <c r="T36" s="284"/>
      <c r="U36" s="293"/>
      <c r="V36" s="37" t="s">
        <v>910</v>
      </c>
      <c r="W36" s="28" t="s">
        <v>20</v>
      </c>
      <c r="X36" s="28" t="s">
        <v>12</v>
      </c>
      <c r="Y36" s="38">
        <v>44.9</v>
      </c>
      <c r="AD36" s="37"/>
      <c r="AG36" s="38"/>
      <c r="AL36" s="37"/>
      <c r="AO36" s="38"/>
      <c r="AP36" s="37"/>
      <c r="AS36" s="38"/>
      <c r="AW36" s="38"/>
      <c r="BA36" s="39"/>
    </row>
    <row r="37" spans="1:53" s="170" customFormat="1" x14ac:dyDescent="0.15">
      <c r="A37" s="170">
        <v>2004</v>
      </c>
      <c r="B37" s="304">
        <v>38350</v>
      </c>
      <c r="C37" s="395" t="s">
        <v>1162</v>
      </c>
      <c r="D37" s="395"/>
      <c r="E37" s="170">
        <f xml:space="preserve"> 366-E36</f>
        <v>3</v>
      </c>
      <c r="F37" s="170">
        <v>1</v>
      </c>
      <c r="G37" s="171">
        <v>10</v>
      </c>
      <c r="H37" s="116">
        <v>7</v>
      </c>
      <c r="I37" s="116">
        <v>7</v>
      </c>
      <c r="J37" s="172">
        <v>25</v>
      </c>
      <c r="K37" s="173">
        <f t="shared" si="0"/>
        <v>40</v>
      </c>
      <c r="L37" s="173">
        <f t="shared" si="1"/>
        <v>28.000000000000004</v>
      </c>
      <c r="M37" s="173">
        <f t="shared" si="2"/>
        <v>28.000000000000004</v>
      </c>
      <c r="N37" s="174">
        <f t="shared" si="3"/>
        <v>96</v>
      </c>
      <c r="O37" s="175">
        <v>19.2</v>
      </c>
      <c r="P37" s="173">
        <v>12.3</v>
      </c>
      <c r="Q37" s="173">
        <v>14.5</v>
      </c>
      <c r="R37" s="176">
        <f t="shared" si="4"/>
        <v>46</v>
      </c>
      <c r="S37" s="170">
        <v>5</v>
      </c>
      <c r="T37" s="283">
        <v>38319</v>
      </c>
      <c r="U37" s="304">
        <v>38350</v>
      </c>
      <c r="V37" s="177" t="s">
        <v>907</v>
      </c>
      <c r="W37" s="170" t="s">
        <v>22</v>
      </c>
      <c r="X37" s="170" t="s">
        <v>11</v>
      </c>
      <c r="Y37" s="178">
        <v>19.2</v>
      </c>
      <c r="Z37" s="170" t="s">
        <v>555</v>
      </c>
      <c r="AA37" s="170" t="s">
        <v>97</v>
      </c>
      <c r="AB37" s="170" t="s">
        <v>12</v>
      </c>
      <c r="AC37" s="170">
        <v>14.5</v>
      </c>
      <c r="AD37" s="177" t="s">
        <v>915</v>
      </c>
      <c r="AE37" s="170" t="s">
        <v>89</v>
      </c>
      <c r="AF37" s="170" t="s">
        <v>18</v>
      </c>
      <c r="AG37" s="178">
        <v>6.6</v>
      </c>
      <c r="AH37" s="170" t="s">
        <v>918</v>
      </c>
      <c r="AI37" s="170" t="s">
        <v>327</v>
      </c>
      <c r="AJ37" s="170" t="s">
        <v>18</v>
      </c>
      <c r="AK37" s="170">
        <v>5.7</v>
      </c>
      <c r="AL37" s="177"/>
      <c r="AO37" s="178"/>
      <c r="AP37" s="177"/>
      <c r="AS37" s="178"/>
      <c r="AW37" s="178"/>
      <c r="BA37" s="179"/>
    </row>
    <row r="38" spans="1:53" s="170" customFormat="1" x14ac:dyDescent="0.15">
      <c r="A38" s="170">
        <v>2005</v>
      </c>
      <c r="B38" s="304"/>
      <c r="C38" s="395" t="s">
        <v>1162</v>
      </c>
      <c r="D38" s="395"/>
      <c r="E38" s="170">
        <v>20</v>
      </c>
      <c r="G38" s="171">
        <v>10</v>
      </c>
      <c r="H38" s="116">
        <v>7</v>
      </c>
      <c r="I38" s="116">
        <v>7</v>
      </c>
      <c r="J38" s="172">
        <v>25</v>
      </c>
      <c r="K38" s="173">
        <f t="shared" si="0"/>
        <v>40</v>
      </c>
      <c r="L38" s="173">
        <f t="shared" si="1"/>
        <v>28.000000000000004</v>
      </c>
      <c r="M38" s="173">
        <f t="shared" si="2"/>
        <v>28.000000000000004</v>
      </c>
      <c r="N38" s="174">
        <f t="shared" si="3"/>
        <v>96</v>
      </c>
      <c r="O38" s="175">
        <v>19.2</v>
      </c>
      <c r="P38" s="173">
        <v>12.3</v>
      </c>
      <c r="Q38" s="173">
        <v>14.5</v>
      </c>
      <c r="R38" s="176">
        <f t="shared" si="4"/>
        <v>46</v>
      </c>
      <c r="S38" s="170">
        <v>5</v>
      </c>
      <c r="T38" s="283"/>
      <c r="U38" s="281"/>
      <c r="V38" s="177" t="s">
        <v>907</v>
      </c>
      <c r="W38" s="170" t="s">
        <v>22</v>
      </c>
      <c r="X38" s="170" t="s">
        <v>11</v>
      </c>
      <c r="Y38" s="178">
        <v>19.2</v>
      </c>
      <c r="Z38" s="170" t="s">
        <v>555</v>
      </c>
      <c r="AA38" s="170" t="s">
        <v>97</v>
      </c>
      <c r="AB38" s="170" t="s">
        <v>12</v>
      </c>
      <c r="AC38" s="170">
        <v>14.5</v>
      </c>
      <c r="AD38" s="177" t="s">
        <v>915</v>
      </c>
      <c r="AE38" s="170" t="s">
        <v>89</v>
      </c>
      <c r="AF38" s="170" t="s">
        <v>18</v>
      </c>
      <c r="AG38" s="178">
        <v>6.6</v>
      </c>
      <c r="AH38" s="170" t="s">
        <v>918</v>
      </c>
      <c r="AI38" s="170" t="s">
        <v>327</v>
      </c>
      <c r="AJ38" s="170" t="s">
        <v>18</v>
      </c>
      <c r="AK38" s="170">
        <v>5.7</v>
      </c>
      <c r="AL38" s="177"/>
      <c r="AO38" s="178"/>
      <c r="AP38" s="177"/>
      <c r="AS38" s="178"/>
      <c r="AW38" s="178"/>
      <c r="BA38" s="179"/>
    </row>
    <row r="39" spans="1:53" s="170" customFormat="1" x14ac:dyDescent="0.15">
      <c r="A39" s="170">
        <v>2005</v>
      </c>
      <c r="B39" s="303">
        <v>38373</v>
      </c>
      <c r="C39" s="395" t="s">
        <v>1162</v>
      </c>
      <c r="D39" s="395"/>
      <c r="E39" s="170">
        <f>365-E38</f>
        <v>345</v>
      </c>
      <c r="F39" s="243">
        <v>0</v>
      </c>
      <c r="G39" s="171">
        <v>10</v>
      </c>
      <c r="H39" s="116">
        <v>6</v>
      </c>
      <c r="I39" s="116">
        <v>7</v>
      </c>
      <c r="J39" s="172">
        <v>24</v>
      </c>
      <c r="K39" s="173">
        <f t="shared" si="0"/>
        <v>41.666666666666671</v>
      </c>
      <c r="L39" s="173">
        <f t="shared" si="1"/>
        <v>25</v>
      </c>
      <c r="M39" s="173">
        <f t="shared" si="2"/>
        <v>29.166666666666668</v>
      </c>
      <c r="N39" s="174">
        <f t="shared" si="3"/>
        <v>95.833333333333343</v>
      </c>
      <c r="O39" s="175">
        <v>19.2</v>
      </c>
      <c r="P39" s="173">
        <v>12.3</v>
      </c>
      <c r="Q39" s="173">
        <v>14.5</v>
      </c>
      <c r="R39" s="176">
        <f t="shared" si="4"/>
        <v>46</v>
      </c>
      <c r="S39" s="170">
        <v>5</v>
      </c>
      <c r="T39" s="283"/>
      <c r="U39" s="281"/>
      <c r="V39" s="177" t="s">
        <v>907</v>
      </c>
      <c r="W39" s="170" t="s">
        <v>22</v>
      </c>
      <c r="X39" s="170" t="s">
        <v>11</v>
      </c>
      <c r="Y39" s="178">
        <v>19.2</v>
      </c>
      <c r="Z39" s="170" t="s">
        <v>555</v>
      </c>
      <c r="AA39" s="170" t="s">
        <v>97</v>
      </c>
      <c r="AB39" s="170" t="s">
        <v>12</v>
      </c>
      <c r="AC39" s="170">
        <v>14.5</v>
      </c>
      <c r="AD39" s="177" t="s">
        <v>915</v>
      </c>
      <c r="AE39" s="170" t="s">
        <v>89</v>
      </c>
      <c r="AF39" s="170" t="s">
        <v>18</v>
      </c>
      <c r="AG39" s="178">
        <v>6.6</v>
      </c>
      <c r="AH39" s="170" t="s">
        <v>918</v>
      </c>
      <c r="AI39" s="170" t="s">
        <v>327</v>
      </c>
      <c r="AJ39" s="170" t="s">
        <v>18</v>
      </c>
      <c r="AK39" s="170">
        <v>5.7</v>
      </c>
      <c r="AL39" s="177"/>
      <c r="AO39" s="178"/>
      <c r="AP39" s="177"/>
      <c r="AS39" s="178"/>
      <c r="AW39" s="178"/>
      <c r="BA39" s="179"/>
    </row>
    <row r="40" spans="1:53" s="170" customFormat="1" x14ac:dyDescent="0.15">
      <c r="A40" s="170">
        <v>2006</v>
      </c>
      <c r="B40" s="304"/>
      <c r="C40" s="395" t="s">
        <v>1162</v>
      </c>
      <c r="D40" s="395"/>
      <c r="E40" s="170">
        <v>162</v>
      </c>
      <c r="G40" s="171">
        <v>10</v>
      </c>
      <c r="H40" s="116">
        <v>6</v>
      </c>
      <c r="I40" s="116">
        <v>7</v>
      </c>
      <c r="J40" s="172">
        <v>24</v>
      </c>
      <c r="K40" s="173">
        <f>G40/J40*100</f>
        <v>41.666666666666671</v>
      </c>
      <c r="L40" s="173">
        <f>H40/J40*100</f>
        <v>25</v>
      </c>
      <c r="M40" s="173">
        <f>I40/J40*100</f>
        <v>29.166666666666668</v>
      </c>
      <c r="N40" s="174">
        <f t="shared" si="3"/>
        <v>95.833333333333343</v>
      </c>
      <c r="O40" s="175">
        <v>19.2</v>
      </c>
      <c r="P40" s="173">
        <v>12.3</v>
      </c>
      <c r="Q40" s="173">
        <v>14.5</v>
      </c>
      <c r="R40" s="176">
        <f t="shared" si="4"/>
        <v>46</v>
      </c>
      <c r="S40" s="170">
        <v>5</v>
      </c>
      <c r="T40" s="283"/>
      <c r="U40" s="281"/>
      <c r="V40" s="177" t="s">
        <v>907</v>
      </c>
      <c r="W40" s="170" t="s">
        <v>22</v>
      </c>
      <c r="X40" s="170" t="s">
        <v>11</v>
      </c>
      <c r="Y40" s="178">
        <v>19.2</v>
      </c>
      <c r="Z40" s="170" t="s">
        <v>555</v>
      </c>
      <c r="AA40" s="170" t="s">
        <v>97</v>
      </c>
      <c r="AB40" s="170" t="s">
        <v>12</v>
      </c>
      <c r="AC40" s="170">
        <v>14.5</v>
      </c>
      <c r="AD40" s="177" t="s">
        <v>915</v>
      </c>
      <c r="AE40" s="170" t="s">
        <v>89</v>
      </c>
      <c r="AF40" s="170" t="s">
        <v>18</v>
      </c>
      <c r="AG40" s="178">
        <v>6.6</v>
      </c>
      <c r="AH40" s="170" t="s">
        <v>918</v>
      </c>
      <c r="AI40" s="170" t="s">
        <v>327</v>
      </c>
      <c r="AJ40" s="170" t="s">
        <v>18</v>
      </c>
      <c r="AK40" s="170">
        <v>5.7</v>
      </c>
      <c r="AL40" s="177"/>
      <c r="AO40" s="178"/>
      <c r="AP40" s="177"/>
      <c r="AS40" s="178"/>
      <c r="AW40" s="178"/>
      <c r="BA40" s="179"/>
    </row>
    <row r="41" spans="1:53" s="170" customFormat="1" x14ac:dyDescent="0.15">
      <c r="A41" s="170">
        <v>2006</v>
      </c>
      <c r="B41" s="303">
        <v>38880</v>
      </c>
      <c r="C41" s="395" t="s">
        <v>1162</v>
      </c>
      <c r="D41" s="395"/>
      <c r="E41" s="170">
        <v>136</v>
      </c>
      <c r="F41" s="243">
        <v>0</v>
      </c>
      <c r="G41" s="171">
        <v>10</v>
      </c>
      <c r="H41" s="116">
        <v>6</v>
      </c>
      <c r="I41" s="116">
        <v>6</v>
      </c>
      <c r="J41" s="172">
        <v>23</v>
      </c>
      <c r="K41" s="173">
        <f>G41/J41*100</f>
        <v>43.478260869565219</v>
      </c>
      <c r="L41" s="173">
        <f>H41/J41*100</f>
        <v>26.086956521739129</v>
      </c>
      <c r="M41" s="173">
        <f>I41/J41*100</f>
        <v>26.086956521739129</v>
      </c>
      <c r="N41" s="174">
        <f t="shared" si="3"/>
        <v>95.65217391304347</v>
      </c>
      <c r="O41" s="175">
        <v>19.2</v>
      </c>
      <c r="P41" s="173">
        <v>12.3</v>
      </c>
      <c r="Q41" s="173">
        <v>14.5</v>
      </c>
      <c r="R41" s="176">
        <f t="shared" si="4"/>
        <v>46</v>
      </c>
      <c r="S41" s="170">
        <v>5</v>
      </c>
      <c r="T41" s="283"/>
      <c r="U41" s="281"/>
      <c r="V41" s="177" t="s">
        <v>907</v>
      </c>
      <c r="W41" s="170" t="s">
        <v>22</v>
      </c>
      <c r="X41" s="170" t="s">
        <v>11</v>
      </c>
      <c r="Y41" s="178">
        <v>19.2</v>
      </c>
      <c r="Z41" s="170" t="s">
        <v>555</v>
      </c>
      <c r="AA41" s="170" t="s">
        <v>97</v>
      </c>
      <c r="AB41" s="170" t="s">
        <v>12</v>
      </c>
      <c r="AC41" s="170">
        <v>14.5</v>
      </c>
      <c r="AD41" s="177" t="s">
        <v>915</v>
      </c>
      <c r="AE41" s="170" t="s">
        <v>89</v>
      </c>
      <c r="AF41" s="170" t="s">
        <v>18</v>
      </c>
      <c r="AG41" s="178">
        <v>6.6</v>
      </c>
      <c r="AH41" s="170" t="s">
        <v>918</v>
      </c>
      <c r="AI41" s="170" t="s">
        <v>327</v>
      </c>
      <c r="AJ41" s="170" t="s">
        <v>18</v>
      </c>
      <c r="AK41" s="170">
        <v>5.7</v>
      </c>
      <c r="AL41" s="177"/>
      <c r="AO41" s="178"/>
      <c r="AP41" s="177"/>
      <c r="AS41" s="178"/>
      <c r="AW41" s="178"/>
      <c r="BA41" s="179"/>
    </row>
    <row r="42" spans="1:53" s="170" customFormat="1" x14ac:dyDescent="0.15">
      <c r="A42" s="170">
        <v>2006</v>
      </c>
      <c r="B42" s="303">
        <v>39016</v>
      </c>
      <c r="C42" s="395" t="s">
        <v>1162</v>
      </c>
      <c r="D42" s="395"/>
      <c r="E42" s="170">
        <v>46</v>
      </c>
      <c r="F42" s="243">
        <v>0</v>
      </c>
      <c r="G42" s="171">
        <v>9</v>
      </c>
      <c r="H42" s="116">
        <v>6</v>
      </c>
      <c r="I42" s="116">
        <v>7</v>
      </c>
      <c r="J42" s="172">
        <v>23</v>
      </c>
      <c r="K42" s="173">
        <f t="shared" si="0"/>
        <v>39.130434782608695</v>
      </c>
      <c r="L42" s="173">
        <f t="shared" si="1"/>
        <v>26.086956521739129</v>
      </c>
      <c r="M42" s="173">
        <f t="shared" si="2"/>
        <v>30.434782608695656</v>
      </c>
      <c r="N42" s="174">
        <f t="shared" si="3"/>
        <v>95.652173913043484</v>
      </c>
      <c r="O42" s="175">
        <v>19.2</v>
      </c>
      <c r="P42" s="173">
        <v>12.3</v>
      </c>
      <c r="Q42" s="173">
        <v>14.5</v>
      </c>
      <c r="R42" s="176">
        <f t="shared" si="4"/>
        <v>46</v>
      </c>
      <c r="S42" s="170">
        <v>5</v>
      </c>
      <c r="T42" s="283"/>
      <c r="U42" s="281"/>
      <c r="V42" s="177" t="s">
        <v>907</v>
      </c>
      <c r="W42" s="170" t="s">
        <v>22</v>
      </c>
      <c r="X42" s="170" t="s">
        <v>11</v>
      </c>
      <c r="Y42" s="178">
        <v>19.2</v>
      </c>
      <c r="Z42" s="170" t="s">
        <v>555</v>
      </c>
      <c r="AA42" s="170" t="s">
        <v>97</v>
      </c>
      <c r="AB42" s="170" t="s">
        <v>12</v>
      </c>
      <c r="AC42" s="170">
        <v>14.5</v>
      </c>
      <c r="AD42" s="177" t="s">
        <v>915</v>
      </c>
      <c r="AE42" s="170" t="s">
        <v>89</v>
      </c>
      <c r="AF42" s="170" t="s">
        <v>18</v>
      </c>
      <c r="AG42" s="178">
        <v>6.6</v>
      </c>
      <c r="AH42" s="170" t="s">
        <v>918</v>
      </c>
      <c r="AI42" s="170" t="s">
        <v>327</v>
      </c>
      <c r="AJ42" s="170" t="s">
        <v>18</v>
      </c>
      <c r="AK42" s="170">
        <v>5.7</v>
      </c>
      <c r="AL42" s="177"/>
      <c r="AO42" s="178"/>
      <c r="AP42" s="177"/>
      <c r="AS42" s="178"/>
      <c r="AW42" s="178"/>
      <c r="BA42" s="179"/>
    </row>
    <row r="43" spans="1:53" s="170" customFormat="1" x14ac:dyDescent="0.15">
      <c r="A43" s="170">
        <v>2006</v>
      </c>
      <c r="B43" s="303">
        <v>39062</v>
      </c>
      <c r="C43" s="395" t="s">
        <v>1162</v>
      </c>
      <c r="D43" s="395"/>
      <c r="E43" s="170">
        <f xml:space="preserve"> 365-E42-E41-E40</f>
        <v>21</v>
      </c>
      <c r="F43" s="243">
        <v>0</v>
      </c>
      <c r="G43" s="171">
        <v>10</v>
      </c>
      <c r="H43" s="116">
        <v>5</v>
      </c>
      <c r="I43" s="116">
        <v>7</v>
      </c>
      <c r="J43" s="172">
        <v>23</v>
      </c>
      <c r="K43" s="173">
        <f t="shared" si="0"/>
        <v>43.478260869565219</v>
      </c>
      <c r="L43" s="173">
        <f t="shared" si="1"/>
        <v>21.739130434782609</v>
      </c>
      <c r="M43" s="173">
        <f t="shared" si="2"/>
        <v>30.434782608695656</v>
      </c>
      <c r="N43" s="174">
        <f t="shared" si="3"/>
        <v>95.652173913043484</v>
      </c>
      <c r="O43" s="175">
        <v>19.2</v>
      </c>
      <c r="P43" s="173">
        <v>12.3</v>
      </c>
      <c r="Q43" s="173">
        <v>14.5</v>
      </c>
      <c r="R43" s="176">
        <f t="shared" si="4"/>
        <v>46</v>
      </c>
      <c r="S43" s="170">
        <v>5</v>
      </c>
      <c r="T43" s="283"/>
      <c r="U43" s="281"/>
      <c r="V43" s="177" t="s">
        <v>907</v>
      </c>
      <c r="W43" s="170" t="s">
        <v>22</v>
      </c>
      <c r="X43" s="170" t="s">
        <v>11</v>
      </c>
      <c r="Y43" s="178">
        <v>19.2</v>
      </c>
      <c r="Z43" s="170" t="s">
        <v>555</v>
      </c>
      <c r="AA43" s="170" t="s">
        <v>97</v>
      </c>
      <c r="AB43" s="170" t="s">
        <v>12</v>
      </c>
      <c r="AC43" s="170">
        <v>14.5</v>
      </c>
      <c r="AD43" s="177" t="s">
        <v>915</v>
      </c>
      <c r="AE43" s="170" t="s">
        <v>89</v>
      </c>
      <c r="AF43" s="170" t="s">
        <v>18</v>
      </c>
      <c r="AG43" s="178">
        <v>6.6</v>
      </c>
      <c r="AH43" s="170" t="s">
        <v>918</v>
      </c>
      <c r="AI43" s="170" t="s">
        <v>327</v>
      </c>
      <c r="AJ43" s="170" t="s">
        <v>18</v>
      </c>
      <c r="AK43" s="170">
        <v>5.7</v>
      </c>
      <c r="AL43" s="177"/>
      <c r="AO43" s="178"/>
      <c r="AP43" s="177"/>
      <c r="AS43" s="178"/>
      <c r="AW43" s="178"/>
      <c r="BA43" s="179"/>
    </row>
    <row r="44" spans="1:53" s="170" customFormat="1" x14ac:dyDescent="0.15">
      <c r="A44" s="170">
        <v>2007</v>
      </c>
      <c r="B44" s="304"/>
      <c r="C44" s="395" t="s">
        <v>1162</v>
      </c>
      <c r="D44" s="395"/>
      <c r="E44" s="170">
        <v>94</v>
      </c>
      <c r="G44" s="171">
        <v>10</v>
      </c>
      <c r="H44" s="116">
        <v>5</v>
      </c>
      <c r="I44" s="116">
        <v>7</v>
      </c>
      <c r="J44" s="172">
        <v>23</v>
      </c>
      <c r="K44" s="173">
        <f t="shared" si="0"/>
        <v>43.478260869565219</v>
      </c>
      <c r="L44" s="173">
        <f t="shared" si="1"/>
        <v>21.739130434782609</v>
      </c>
      <c r="M44" s="173">
        <f t="shared" si="2"/>
        <v>30.434782608695656</v>
      </c>
      <c r="N44" s="174">
        <f t="shared" si="3"/>
        <v>95.652173913043484</v>
      </c>
      <c r="O44" s="175">
        <v>19.2</v>
      </c>
      <c r="P44" s="173">
        <v>12.3</v>
      </c>
      <c r="Q44" s="173">
        <v>14.5</v>
      </c>
      <c r="R44" s="176">
        <f t="shared" si="4"/>
        <v>46</v>
      </c>
      <c r="S44" s="170">
        <v>5</v>
      </c>
      <c r="T44" s="283"/>
      <c r="U44" s="281"/>
      <c r="V44" s="177" t="s">
        <v>907</v>
      </c>
      <c r="W44" s="170" t="s">
        <v>22</v>
      </c>
      <c r="X44" s="170" t="s">
        <v>11</v>
      </c>
      <c r="Y44" s="178">
        <v>19.2</v>
      </c>
      <c r="Z44" s="170" t="s">
        <v>555</v>
      </c>
      <c r="AA44" s="170" t="s">
        <v>97</v>
      </c>
      <c r="AB44" s="170" t="s">
        <v>12</v>
      </c>
      <c r="AC44" s="170">
        <v>14.5</v>
      </c>
      <c r="AD44" s="177" t="s">
        <v>915</v>
      </c>
      <c r="AE44" s="170" t="s">
        <v>89</v>
      </c>
      <c r="AF44" s="170" t="s">
        <v>18</v>
      </c>
      <c r="AG44" s="178">
        <v>6.6</v>
      </c>
      <c r="AH44" s="170" t="s">
        <v>918</v>
      </c>
      <c r="AI44" s="170" t="s">
        <v>327</v>
      </c>
      <c r="AJ44" s="170" t="s">
        <v>18</v>
      </c>
      <c r="AK44" s="170">
        <v>5.7</v>
      </c>
      <c r="AL44" s="177"/>
      <c r="AO44" s="178"/>
      <c r="AP44" s="177"/>
      <c r="AS44" s="178"/>
      <c r="AW44" s="178"/>
      <c r="BA44" s="179"/>
    </row>
    <row r="45" spans="1:53" s="28" customFormat="1" x14ac:dyDescent="0.15">
      <c r="A45" s="28">
        <v>2007</v>
      </c>
      <c r="B45" s="275">
        <v>39177</v>
      </c>
      <c r="C45" s="394" t="s">
        <v>1163</v>
      </c>
      <c r="D45" s="394"/>
      <c r="E45" s="28">
        <v>89</v>
      </c>
      <c r="F45" s="28">
        <v>4</v>
      </c>
      <c r="G45" s="29">
        <v>14</v>
      </c>
      <c r="H45" s="30">
        <v>4</v>
      </c>
      <c r="I45" s="30"/>
      <c r="J45" s="31">
        <v>18</v>
      </c>
      <c r="K45" s="32">
        <f>G45/J45*100</f>
        <v>77.777777777777786</v>
      </c>
      <c r="L45" s="32">
        <f>H45/J45*100</f>
        <v>22.222222222222221</v>
      </c>
      <c r="M45" s="32">
        <f>I45/J45*100</f>
        <v>0</v>
      </c>
      <c r="N45" s="33">
        <f>SUM(K45:M45)</f>
        <v>100</v>
      </c>
      <c r="O45" s="34">
        <v>16.899999999999999</v>
      </c>
      <c r="P45" s="32">
        <v>6.6</v>
      </c>
      <c r="Q45" s="32"/>
      <c r="R45" s="35">
        <f>SUM(O45:Q45)</f>
        <v>23.5</v>
      </c>
      <c r="S45" s="28">
        <v>5</v>
      </c>
      <c r="T45" s="284"/>
      <c r="U45" s="275">
        <v>39177</v>
      </c>
      <c r="V45" s="37" t="s">
        <v>907</v>
      </c>
      <c r="W45" s="28" t="s">
        <v>22</v>
      </c>
      <c r="X45" s="28" t="s">
        <v>11</v>
      </c>
      <c r="Y45" s="38">
        <v>19.2</v>
      </c>
      <c r="Z45" s="37" t="s">
        <v>915</v>
      </c>
      <c r="AA45" s="28" t="s">
        <v>89</v>
      </c>
      <c r="AB45" s="28" t="s">
        <v>18</v>
      </c>
      <c r="AC45" s="38">
        <v>6.6</v>
      </c>
      <c r="AD45" s="37"/>
      <c r="AG45" s="38"/>
      <c r="AL45" s="37"/>
      <c r="AO45" s="38"/>
      <c r="AP45" s="37"/>
      <c r="AS45" s="38"/>
      <c r="AW45" s="38"/>
      <c r="BA45" s="39"/>
    </row>
    <row r="46" spans="1:53" s="28" customFormat="1" x14ac:dyDescent="0.15">
      <c r="A46" s="28">
        <v>2007</v>
      </c>
      <c r="B46" s="301">
        <v>39266</v>
      </c>
      <c r="C46" s="394" t="s">
        <v>1163</v>
      </c>
      <c r="D46" s="394"/>
      <c r="E46" s="28">
        <v>100</v>
      </c>
      <c r="F46" s="83">
        <v>0</v>
      </c>
      <c r="G46" s="29">
        <v>14</v>
      </c>
      <c r="H46" s="30">
        <v>3</v>
      </c>
      <c r="I46" s="30"/>
      <c r="J46" s="31">
        <v>17</v>
      </c>
      <c r="K46" s="32">
        <f>G46/J46*100</f>
        <v>82.35294117647058</v>
      </c>
      <c r="L46" s="32">
        <f>H46/J46*100</f>
        <v>17.647058823529413</v>
      </c>
      <c r="M46" s="32">
        <f>I46/J46*100</f>
        <v>0</v>
      </c>
      <c r="N46" s="33">
        <f>SUM(K46:M46)</f>
        <v>100</v>
      </c>
      <c r="O46" s="34">
        <v>16.899999999999999</v>
      </c>
      <c r="P46" s="32">
        <v>6.6</v>
      </c>
      <c r="Q46" s="32"/>
      <c r="R46" s="35">
        <f>SUM(O46:Q46)</f>
        <v>23.5</v>
      </c>
      <c r="S46" s="28">
        <v>5</v>
      </c>
      <c r="T46" s="284"/>
      <c r="U46" s="275"/>
      <c r="V46" s="37" t="s">
        <v>907</v>
      </c>
      <c r="W46" s="28" t="s">
        <v>22</v>
      </c>
      <c r="X46" s="28" t="s">
        <v>11</v>
      </c>
      <c r="Y46" s="38">
        <v>19.2</v>
      </c>
      <c r="Z46" s="37" t="s">
        <v>915</v>
      </c>
      <c r="AA46" s="28" t="s">
        <v>89</v>
      </c>
      <c r="AB46" s="28" t="s">
        <v>18</v>
      </c>
      <c r="AC46" s="38">
        <v>6.6</v>
      </c>
      <c r="AD46" s="37"/>
      <c r="AG46" s="38"/>
      <c r="AL46" s="37"/>
      <c r="AO46" s="38"/>
      <c r="AP46" s="37"/>
      <c r="AS46" s="38"/>
      <c r="AW46" s="38"/>
      <c r="BA46" s="39"/>
    </row>
    <row r="47" spans="1:53" s="28" customFormat="1" x14ac:dyDescent="0.15">
      <c r="A47" s="28">
        <v>2007</v>
      </c>
      <c r="B47" s="301">
        <v>39366</v>
      </c>
      <c r="C47" s="394" t="s">
        <v>1163</v>
      </c>
      <c r="D47" s="394"/>
      <c r="E47" s="28">
        <v>82</v>
      </c>
      <c r="F47" s="83">
        <v>0</v>
      </c>
      <c r="G47" s="29">
        <v>13</v>
      </c>
      <c r="H47" s="30">
        <v>3</v>
      </c>
      <c r="I47" s="30"/>
      <c r="J47" s="31">
        <v>17</v>
      </c>
      <c r="K47" s="32">
        <f>G47/J47*100</f>
        <v>76.470588235294116</v>
      </c>
      <c r="L47" s="32">
        <f>H47/J47*100</f>
        <v>17.647058823529413</v>
      </c>
      <c r="M47" s="32">
        <f>I47/J47*100</f>
        <v>0</v>
      </c>
      <c r="N47" s="33">
        <f>SUM(K47:M47)</f>
        <v>94.117647058823536</v>
      </c>
      <c r="O47" s="34">
        <v>16.899999999999999</v>
      </c>
      <c r="P47" s="32">
        <v>6.6</v>
      </c>
      <c r="Q47" s="32"/>
      <c r="R47" s="35">
        <f>SUM(O47:Q47)</f>
        <v>23.5</v>
      </c>
      <c r="S47" s="28">
        <v>5</v>
      </c>
      <c r="T47" s="284"/>
      <c r="U47" s="275"/>
      <c r="V47" s="37" t="s">
        <v>907</v>
      </c>
      <c r="W47" s="28" t="s">
        <v>22</v>
      </c>
      <c r="X47" s="28" t="s">
        <v>11</v>
      </c>
      <c r="Y47" s="38">
        <v>19.2</v>
      </c>
      <c r="Z47" s="37" t="s">
        <v>915</v>
      </c>
      <c r="AA47" s="28" t="s">
        <v>89</v>
      </c>
      <c r="AB47" s="28" t="s">
        <v>18</v>
      </c>
      <c r="AC47" s="38">
        <v>6.6</v>
      </c>
      <c r="AD47" s="37"/>
      <c r="AG47" s="38"/>
      <c r="AL47" s="37"/>
      <c r="AO47" s="38"/>
      <c r="AP47" s="37"/>
      <c r="AS47" s="38"/>
      <c r="AW47" s="38"/>
      <c r="BA47" s="39"/>
    </row>
    <row r="48" spans="1:53" s="28" customFormat="1" x14ac:dyDescent="0.15">
      <c r="A48" s="28">
        <v>2008</v>
      </c>
      <c r="B48" s="275"/>
      <c r="C48" s="394" t="s">
        <v>1163</v>
      </c>
      <c r="D48" s="394"/>
      <c r="E48" s="28">
        <v>356</v>
      </c>
      <c r="G48" s="29">
        <v>13</v>
      </c>
      <c r="H48" s="30">
        <v>3</v>
      </c>
      <c r="I48" s="30"/>
      <c r="J48" s="31">
        <v>17</v>
      </c>
      <c r="K48" s="32">
        <f t="shared" si="0"/>
        <v>76.470588235294116</v>
      </c>
      <c r="L48" s="32">
        <f t="shared" si="1"/>
        <v>17.647058823529413</v>
      </c>
      <c r="M48" s="32">
        <f t="shared" si="2"/>
        <v>0</v>
      </c>
      <c r="N48" s="33">
        <f t="shared" si="3"/>
        <v>94.117647058823536</v>
      </c>
      <c r="O48" s="34">
        <v>16.899999999999999</v>
      </c>
      <c r="P48" s="32">
        <v>6.6</v>
      </c>
      <c r="Q48" s="32"/>
      <c r="R48" s="35">
        <f t="shared" si="4"/>
        <v>23.5</v>
      </c>
      <c r="S48" s="28">
        <v>5</v>
      </c>
      <c r="T48" s="284"/>
      <c r="U48" s="293"/>
      <c r="V48" s="37" t="s">
        <v>907</v>
      </c>
      <c r="W48" s="28" t="s">
        <v>22</v>
      </c>
      <c r="X48" s="28" t="s">
        <v>11</v>
      </c>
      <c r="Y48" s="38">
        <v>19.2</v>
      </c>
      <c r="Z48" s="37" t="s">
        <v>915</v>
      </c>
      <c r="AA48" s="28" t="s">
        <v>89</v>
      </c>
      <c r="AB48" s="28" t="s">
        <v>18</v>
      </c>
      <c r="AC48" s="38">
        <v>6.6</v>
      </c>
      <c r="AD48" s="37"/>
      <c r="AG48" s="38"/>
      <c r="AL48" s="37"/>
      <c r="AO48" s="38"/>
      <c r="AP48" s="37"/>
      <c r="AS48" s="38"/>
      <c r="AW48" s="38"/>
      <c r="BA48" s="39"/>
    </row>
    <row r="49" spans="1:53" s="170" customFormat="1" x14ac:dyDescent="0.15">
      <c r="A49" s="170">
        <v>2008</v>
      </c>
      <c r="B49" s="304">
        <v>39804</v>
      </c>
      <c r="C49" s="395" t="s">
        <v>920</v>
      </c>
      <c r="D49" s="395"/>
      <c r="E49" s="170">
        <f>366-E48</f>
        <v>10</v>
      </c>
      <c r="F49" s="170">
        <v>1</v>
      </c>
      <c r="G49" s="171">
        <v>10</v>
      </c>
      <c r="H49" s="116"/>
      <c r="I49" s="116">
        <v>10</v>
      </c>
      <c r="J49" s="172">
        <v>21</v>
      </c>
      <c r="K49" s="173">
        <f t="shared" si="0"/>
        <v>47.619047619047613</v>
      </c>
      <c r="L49" s="173">
        <f t="shared" si="1"/>
        <v>0</v>
      </c>
      <c r="M49" s="173">
        <f t="shared" si="2"/>
        <v>47.619047619047613</v>
      </c>
      <c r="N49" s="174">
        <f t="shared" si="3"/>
        <v>95.238095238095227</v>
      </c>
      <c r="O49" s="175">
        <v>34.4</v>
      </c>
      <c r="P49" s="173"/>
      <c r="Q49" s="116">
        <v>32.9</v>
      </c>
      <c r="R49" s="176">
        <f t="shared" si="4"/>
        <v>67.3</v>
      </c>
      <c r="S49" s="170">
        <v>2</v>
      </c>
      <c r="T49" s="283">
        <v>39782</v>
      </c>
      <c r="U49" s="304">
        <v>39804</v>
      </c>
      <c r="V49" s="177" t="s">
        <v>921</v>
      </c>
      <c r="W49" s="170" t="s">
        <v>99</v>
      </c>
      <c r="X49" s="170" t="s">
        <v>11</v>
      </c>
      <c r="Y49" s="178">
        <v>34.4</v>
      </c>
      <c r="Z49" s="170" t="s">
        <v>919</v>
      </c>
      <c r="AA49" s="170" t="s">
        <v>20</v>
      </c>
      <c r="AB49" s="170" t="s">
        <v>12</v>
      </c>
      <c r="AC49" s="170">
        <v>32.9</v>
      </c>
      <c r="AD49" s="177"/>
      <c r="AG49" s="178"/>
      <c r="AL49" s="177"/>
      <c r="AO49" s="178"/>
      <c r="AP49" s="177"/>
      <c r="AS49" s="178"/>
      <c r="AW49" s="178"/>
      <c r="BA49" s="179"/>
    </row>
    <row r="50" spans="1:53" s="170" customFormat="1" x14ac:dyDescent="0.15">
      <c r="A50" s="170">
        <v>2009</v>
      </c>
      <c r="B50" s="304"/>
      <c r="C50" s="395" t="s">
        <v>920</v>
      </c>
      <c r="D50" s="395"/>
      <c r="E50" s="170">
        <v>273</v>
      </c>
      <c r="G50" s="171">
        <v>10</v>
      </c>
      <c r="H50" s="116"/>
      <c r="I50" s="116">
        <v>10</v>
      </c>
      <c r="J50" s="172">
        <v>21</v>
      </c>
      <c r="K50" s="173">
        <f>G50/J50*100</f>
        <v>47.619047619047613</v>
      </c>
      <c r="L50" s="173">
        <f>H50/J50*100</f>
        <v>0</v>
      </c>
      <c r="M50" s="173">
        <f>I50/J50*100</f>
        <v>47.619047619047613</v>
      </c>
      <c r="N50" s="174">
        <f t="shared" si="3"/>
        <v>95.238095238095227</v>
      </c>
      <c r="O50" s="175">
        <v>34.4</v>
      </c>
      <c r="P50" s="173"/>
      <c r="Q50" s="116">
        <v>32.9</v>
      </c>
      <c r="R50" s="176">
        <f t="shared" si="4"/>
        <v>67.3</v>
      </c>
      <c r="S50" s="170">
        <v>2</v>
      </c>
      <c r="T50" s="283"/>
      <c r="U50" s="281"/>
      <c r="V50" s="177" t="s">
        <v>921</v>
      </c>
      <c r="W50" s="170" t="s">
        <v>99</v>
      </c>
      <c r="X50" s="170" t="s">
        <v>11</v>
      </c>
      <c r="Y50" s="178">
        <v>34.4</v>
      </c>
      <c r="Z50" s="170" t="s">
        <v>919</v>
      </c>
      <c r="AA50" s="170" t="s">
        <v>20</v>
      </c>
      <c r="AB50" s="170" t="s">
        <v>12</v>
      </c>
      <c r="AC50" s="170">
        <v>32.9</v>
      </c>
      <c r="AD50" s="177"/>
      <c r="AG50" s="178"/>
      <c r="AL50" s="177"/>
      <c r="AO50" s="178"/>
      <c r="AP50" s="177"/>
      <c r="AS50" s="178"/>
      <c r="AW50" s="178"/>
      <c r="BA50" s="179"/>
    </row>
    <row r="51" spans="1:53" s="28" customFormat="1" x14ac:dyDescent="0.15">
      <c r="A51" s="28">
        <v>2009</v>
      </c>
      <c r="B51" s="275">
        <v>40087</v>
      </c>
      <c r="C51" s="394" t="s">
        <v>922</v>
      </c>
      <c r="D51" s="394"/>
      <c r="E51" s="28">
        <v>83</v>
      </c>
      <c r="F51" s="28">
        <v>4</v>
      </c>
      <c r="G51" s="29">
        <v>18</v>
      </c>
      <c r="H51" s="30"/>
      <c r="I51" s="30"/>
      <c r="J51" s="31">
        <v>20</v>
      </c>
      <c r="K51" s="32">
        <f t="shared" si="0"/>
        <v>90</v>
      </c>
      <c r="L51" s="32">
        <f t="shared" si="1"/>
        <v>0</v>
      </c>
      <c r="M51" s="32">
        <f t="shared" si="2"/>
        <v>0</v>
      </c>
      <c r="N51" s="33">
        <f t="shared" si="3"/>
        <v>90</v>
      </c>
      <c r="O51" s="34">
        <v>34.4</v>
      </c>
      <c r="P51" s="32"/>
      <c r="Q51" s="32"/>
      <c r="R51" s="35">
        <f t="shared" si="4"/>
        <v>34.4</v>
      </c>
      <c r="S51" s="28">
        <v>4</v>
      </c>
      <c r="T51" s="284"/>
      <c r="U51" s="275">
        <v>40087</v>
      </c>
      <c r="V51" s="37" t="s">
        <v>921</v>
      </c>
      <c r="W51" s="28" t="s">
        <v>99</v>
      </c>
      <c r="X51" s="28" t="s">
        <v>11</v>
      </c>
      <c r="Y51" s="38">
        <v>34.4</v>
      </c>
      <c r="AD51" s="37"/>
      <c r="AG51" s="38"/>
      <c r="AL51" s="37"/>
      <c r="AO51" s="38"/>
      <c r="AP51" s="37"/>
      <c r="AS51" s="38"/>
      <c r="AW51" s="38"/>
      <c r="BA51" s="39"/>
    </row>
    <row r="52" spans="1:53" s="170" customFormat="1" x14ac:dyDescent="0.15">
      <c r="A52" s="170">
        <v>2009</v>
      </c>
      <c r="B52" s="304">
        <v>40170</v>
      </c>
      <c r="C52" s="395" t="s">
        <v>923</v>
      </c>
      <c r="D52" s="395"/>
      <c r="E52" s="170">
        <f xml:space="preserve"> 365-E51-E50</f>
        <v>9</v>
      </c>
      <c r="F52" s="170">
        <v>5</v>
      </c>
      <c r="G52" s="171">
        <v>8</v>
      </c>
      <c r="H52" s="116">
        <v>4</v>
      </c>
      <c r="I52" s="116"/>
      <c r="J52" s="172">
        <v>17</v>
      </c>
      <c r="K52" s="173">
        <f t="shared" si="0"/>
        <v>47.058823529411761</v>
      </c>
      <c r="L52" s="173">
        <f t="shared" si="1"/>
        <v>23.52941176470588</v>
      </c>
      <c r="M52" s="173">
        <f t="shared" si="2"/>
        <v>0</v>
      </c>
      <c r="N52" s="174">
        <f t="shared" si="3"/>
        <v>70.588235294117638</v>
      </c>
      <c r="O52" s="175">
        <v>34.4</v>
      </c>
      <c r="P52" s="173">
        <v>6.6</v>
      </c>
      <c r="Q52" s="173"/>
      <c r="R52" s="176">
        <f t="shared" si="4"/>
        <v>41</v>
      </c>
      <c r="S52" s="170">
        <v>5</v>
      </c>
      <c r="T52" s="283"/>
      <c r="U52" s="304">
        <v>40170</v>
      </c>
      <c r="V52" s="177" t="s">
        <v>921</v>
      </c>
      <c r="W52" s="170" t="s">
        <v>99</v>
      </c>
      <c r="X52" s="170" t="s">
        <v>11</v>
      </c>
      <c r="Y52" s="178">
        <v>34.4</v>
      </c>
      <c r="Z52" s="177" t="s">
        <v>915</v>
      </c>
      <c r="AA52" s="170" t="s">
        <v>89</v>
      </c>
      <c r="AB52" s="170" t="s">
        <v>18</v>
      </c>
      <c r="AC52" s="178">
        <v>6.6</v>
      </c>
      <c r="AD52" s="177"/>
      <c r="AG52" s="178"/>
      <c r="AL52" s="177"/>
      <c r="AO52" s="178"/>
      <c r="AP52" s="177"/>
      <c r="AS52" s="178"/>
      <c r="AW52" s="178"/>
      <c r="BA52" s="179"/>
    </row>
    <row r="53" spans="1:53" s="170" customFormat="1" x14ac:dyDescent="0.15">
      <c r="A53" s="170">
        <v>2010</v>
      </c>
      <c r="B53" s="304"/>
      <c r="C53" s="395" t="s">
        <v>923</v>
      </c>
      <c r="D53" s="395"/>
      <c r="E53" s="170">
        <v>245</v>
      </c>
      <c r="G53" s="171">
        <v>8</v>
      </c>
      <c r="H53" s="116">
        <v>4</v>
      </c>
      <c r="I53" s="116"/>
      <c r="J53" s="172">
        <v>17</v>
      </c>
      <c r="K53" s="173">
        <f>G53/J53*100</f>
        <v>47.058823529411761</v>
      </c>
      <c r="L53" s="173">
        <f>H53/J53*100</f>
        <v>23.52941176470588</v>
      </c>
      <c r="M53" s="173">
        <f>I53/J53*100</f>
        <v>0</v>
      </c>
      <c r="N53" s="174">
        <f t="shared" si="3"/>
        <v>70.588235294117638</v>
      </c>
      <c r="O53" s="175">
        <v>34.4</v>
      </c>
      <c r="P53" s="173">
        <v>6.6</v>
      </c>
      <c r="Q53" s="173"/>
      <c r="R53" s="176">
        <f t="shared" si="4"/>
        <v>41</v>
      </c>
      <c r="S53" s="170">
        <v>5</v>
      </c>
      <c r="T53" s="283"/>
      <c r="U53" s="281"/>
      <c r="V53" s="177" t="s">
        <v>921</v>
      </c>
      <c r="W53" s="170" t="s">
        <v>99</v>
      </c>
      <c r="X53" s="170" t="s">
        <v>11</v>
      </c>
      <c r="Y53" s="178">
        <v>34.4</v>
      </c>
      <c r="Z53" s="177" t="s">
        <v>915</v>
      </c>
      <c r="AA53" s="170" t="s">
        <v>89</v>
      </c>
      <c r="AB53" s="170" t="s">
        <v>18</v>
      </c>
      <c r="AC53" s="178">
        <v>6.6</v>
      </c>
      <c r="AD53" s="177"/>
      <c r="AG53" s="178"/>
      <c r="AL53" s="177"/>
      <c r="AO53" s="178"/>
      <c r="AP53" s="177"/>
      <c r="AS53" s="178"/>
      <c r="AW53" s="178"/>
      <c r="BA53" s="179"/>
    </row>
    <row r="54" spans="1:53" s="28" customFormat="1" x14ac:dyDescent="0.15">
      <c r="A54" s="28">
        <v>2010</v>
      </c>
      <c r="B54" s="275">
        <v>40424</v>
      </c>
      <c r="C54" s="394" t="s">
        <v>924</v>
      </c>
      <c r="D54" s="394"/>
      <c r="E54" s="28">
        <v>25</v>
      </c>
      <c r="F54" s="28">
        <v>7</v>
      </c>
      <c r="G54" s="29">
        <v>10</v>
      </c>
      <c r="H54" s="30">
        <v>4</v>
      </c>
      <c r="I54" s="30">
        <v>1</v>
      </c>
      <c r="J54" s="31">
        <v>17</v>
      </c>
      <c r="K54" s="32">
        <f t="shared" si="0"/>
        <v>58.82352941176471</v>
      </c>
      <c r="L54" s="32">
        <f t="shared" si="1"/>
        <v>23.52941176470588</v>
      </c>
      <c r="M54" s="32">
        <f t="shared" si="2"/>
        <v>5.8823529411764701</v>
      </c>
      <c r="N54" s="33">
        <f t="shared" si="3"/>
        <v>88.235294117647058</v>
      </c>
      <c r="O54" s="34">
        <v>37.1</v>
      </c>
      <c r="P54" s="32">
        <v>6.6</v>
      </c>
      <c r="Q54" s="32">
        <v>4.5</v>
      </c>
      <c r="R54" s="35">
        <f t="shared" si="4"/>
        <v>48.2</v>
      </c>
      <c r="S54" s="28">
        <v>5</v>
      </c>
      <c r="T54" s="284"/>
      <c r="U54" s="275">
        <v>40424</v>
      </c>
      <c r="V54" s="37" t="s">
        <v>921</v>
      </c>
      <c r="W54" s="28" t="s">
        <v>99</v>
      </c>
      <c r="X54" s="28" t="s">
        <v>11</v>
      </c>
      <c r="Y54" s="38">
        <v>37.1</v>
      </c>
      <c r="Z54" s="37" t="s">
        <v>915</v>
      </c>
      <c r="AA54" s="28" t="s">
        <v>89</v>
      </c>
      <c r="AB54" s="28" t="s">
        <v>18</v>
      </c>
      <c r="AC54" s="38">
        <v>6.6</v>
      </c>
      <c r="AD54" s="37" t="s">
        <v>925</v>
      </c>
      <c r="AE54" s="28" t="s">
        <v>327</v>
      </c>
      <c r="AF54" s="28" t="s">
        <v>12</v>
      </c>
      <c r="AG54" s="38">
        <v>4.5</v>
      </c>
      <c r="AL54" s="37"/>
      <c r="AO54" s="38"/>
      <c r="AP54" s="37"/>
      <c r="AS54" s="38"/>
      <c r="AW54" s="38"/>
      <c r="BA54" s="39"/>
    </row>
    <row r="55" spans="1:53" s="28" customFormat="1" x14ac:dyDescent="0.15">
      <c r="A55" s="28">
        <v>2010</v>
      </c>
      <c r="B55" s="301">
        <v>40449</v>
      </c>
      <c r="C55" s="394" t="s">
        <v>924</v>
      </c>
      <c r="D55" s="394"/>
      <c r="E55" s="28">
        <f xml:space="preserve"> 365-E54-E53</f>
        <v>95</v>
      </c>
      <c r="F55" s="83">
        <v>0</v>
      </c>
      <c r="G55" s="29">
        <v>11</v>
      </c>
      <c r="H55" s="30">
        <v>4</v>
      </c>
      <c r="I55" s="30">
        <v>1</v>
      </c>
      <c r="J55" s="31">
        <v>17</v>
      </c>
      <c r="K55" s="32">
        <f t="shared" si="0"/>
        <v>64.705882352941174</v>
      </c>
      <c r="L55" s="32">
        <f t="shared" si="1"/>
        <v>23.52941176470588</v>
      </c>
      <c r="M55" s="32">
        <f t="shared" si="2"/>
        <v>5.8823529411764701</v>
      </c>
      <c r="N55" s="33">
        <f t="shared" si="3"/>
        <v>94.117647058823522</v>
      </c>
      <c r="O55" s="34">
        <v>37.1</v>
      </c>
      <c r="P55" s="32">
        <v>6.6</v>
      </c>
      <c r="Q55" s="32">
        <v>4.5</v>
      </c>
      <c r="R55" s="35">
        <f t="shared" si="4"/>
        <v>48.2</v>
      </c>
      <c r="S55" s="28">
        <v>5</v>
      </c>
      <c r="T55" s="284"/>
      <c r="U55" s="293"/>
      <c r="V55" s="37" t="s">
        <v>921</v>
      </c>
      <c r="W55" s="28" t="s">
        <v>99</v>
      </c>
      <c r="X55" s="28" t="s">
        <v>11</v>
      </c>
      <c r="Y55" s="38">
        <v>37.1</v>
      </c>
      <c r="Z55" s="37" t="s">
        <v>915</v>
      </c>
      <c r="AA55" s="28" t="s">
        <v>89</v>
      </c>
      <c r="AB55" s="28" t="s">
        <v>18</v>
      </c>
      <c r="AC55" s="38">
        <v>6.6</v>
      </c>
      <c r="AD55" s="37" t="s">
        <v>925</v>
      </c>
      <c r="AE55" s="28" t="s">
        <v>327</v>
      </c>
      <c r="AF55" s="28" t="s">
        <v>12</v>
      </c>
      <c r="AG55" s="38">
        <v>4.5</v>
      </c>
      <c r="AL55" s="37"/>
      <c r="AO55" s="38"/>
      <c r="AP55" s="37"/>
      <c r="AS55" s="38"/>
      <c r="AW55" s="38"/>
      <c r="BA55" s="39"/>
    </row>
    <row r="56" spans="1:53" s="28" customFormat="1" x14ac:dyDescent="0.15">
      <c r="A56" s="28">
        <v>2011</v>
      </c>
      <c r="B56" s="275"/>
      <c r="C56" s="394" t="s">
        <v>924</v>
      </c>
      <c r="D56" s="394"/>
      <c r="E56" s="28">
        <v>153</v>
      </c>
      <c r="G56" s="29">
        <v>11</v>
      </c>
      <c r="H56" s="30">
        <v>4</v>
      </c>
      <c r="I56" s="30">
        <v>1</v>
      </c>
      <c r="J56" s="31">
        <v>17</v>
      </c>
      <c r="K56" s="32">
        <f t="shared" ref="K56:K70" si="5">G56/J56*100</f>
        <v>64.705882352941174</v>
      </c>
      <c r="L56" s="32">
        <f t="shared" ref="L56:L70" si="6">H56/J56*100</f>
        <v>23.52941176470588</v>
      </c>
      <c r="M56" s="32">
        <f t="shared" ref="M56:M70" si="7">I56/J56*100</f>
        <v>5.8823529411764701</v>
      </c>
      <c r="N56" s="33">
        <f t="shared" si="3"/>
        <v>94.117647058823522</v>
      </c>
      <c r="O56" s="34">
        <v>37.1</v>
      </c>
      <c r="P56" s="32">
        <v>6.6</v>
      </c>
      <c r="Q56" s="32">
        <v>4.5</v>
      </c>
      <c r="R56" s="35">
        <f t="shared" si="4"/>
        <v>48.2</v>
      </c>
      <c r="S56" s="28">
        <v>5</v>
      </c>
      <c r="T56" s="284"/>
      <c r="U56" s="293"/>
      <c r="V56" s="37" t="s">
        <v>921</v>
      </c>
      <c r="W56" s="28" t="s">
        <v>99</v>
      </c>
      <c r="X56" s="28" t="s">
        <v>11</v>
      </c>
      <c r="Y56" s="38">
        <v>37.1</v>
      </c>
      <c r="Z56" s="37" t="s">
        <v>915</v>
      </c>
      <c r="AA56" s="28" t="s">
        <v>89</v>
      </c>
      <c r="AB56" s="28" t="s">
        <v>18</v>
      </c>
      <c r="AC56" s="38">
        <v>6.6</v>
      </c>
      <c r="AD56" s="37" t="s">
        <v>925</v>
      </c>
      <c r="AE56" s="28" t="s">
        <v>327</v>
      </c>
      <c r="AF56" s="28" t="s">
        <v>12</v>
      </c>
      <c r="AG56" s="38">
        <v>4.5</v>
      </c>
      <c r="AL56" s="37"/>
      <c r="AO56" s="38"/>
      <c r="AP56" s="37"/>
      <c r="AS56" s="38"/>
      <c r="AW56" s="38"/>
      <c r="BA56" s="39"/>
    </row>
    <row r="57" spans="1:53" s="28" customFormat="1" x14ac:dyDescent="0.15">
      <c r="A57" s="28">
        <v>2011</v>
      </c>
      <c r="B57" s="301">
        <v>40697</v>
      </c>
      <c r="C57" s="394" t="s">
        <v>924</v>
      </c>
      <c r="D57" s="394"/>
      <c r="E57" s="28">
        <v>108</v>
      </c>
      <c r="F57" s="83">
        <v>0</v>
      </c>
      <c r="G57" s="29">
        <v>10</v>
      </c>
      <c r="H57" s="30">
        <v>4</v>
      </c>
      <c r="I57" s="30">
        <v>1</v>
      </c>
      <c r="J57" s="31">
        <v>17</v>
      </c>
      <c r="K57" s="32">
        <f t="shared" si="5"/>
        <v>58.82352941176471</v>
      </c>
      <c r="L57" s="32">
        <f t="shared" si="6"/>
        <v>23.52941176470588</v>
      </c>
      <c r="M57" s="32">
        <f t="shared" si="7"/>
        <v>5.8823529411764701</v>
      </c>
      <c r="N57" s="33">
        <f t="shared" si="3"/>
        <v>88.235294117647058</v>
      </c>
      <c r="O57" s="34">
        <v>37.1</v>
      </c>
      <c r="P57" s="32">
        <v>6.6</v>
      </c>
      <c r="Q57" s="32">
        <v>4.5</v>
      </c>
      <c r="R57" s="35">
        <f t="shared" si="4"/>
        <v>48.2</v>
      </c>
      <c r="S57" s="28">
        <v>5</v>
      </c>
      <c r="T57" s="284"/>
      <c r="U57" s="293"/>
      <c r="V57" s="37" t="s">
        <v>921</v>
      </c>
      <c r="W57" s="28" t="s">
        <v>99</v>
      </c>
      <c r="X57" s="28" t="s">
        <v>11</v>
      </c>
      <c r="Y57" s="38">
        <v>37.1</v>
      </c>
      <c r="Z57" s="37" t="s">
        <v>915</v>
      </c>
      <c r="AA57" s="28" t="s">
        <v>89</v>
      </c>
      <c r="AB57" s="28" t="s">
        <v>18</v>
      </c>
      <c r="AC57" s="38">
        <v>6.6</v>
      </c>
      <c r="AD57" s="37" t="s">
        <v>925</v>
      </c>
      <c r="AE57" s="28" t="s">
        <v>327</v>
      </c>
      <c r="AF57" s="28" t="s">
        <v>12</v>
      </c>
      <c r="AG57" s="38">
        <v>4.5</v>
      </c>
      <c r="AL57" s="37"/>
      <c r="AO57" s="38"/>
      <c r="AP57" s="37"/>
      <c r="AS57" s="38"/>
      <c r="AW57" s="38"/>
      <c r="BA57" s="39"/>
    </row>
    <row r="58" spans="1:53" s="28" customFormat="1" x14ac:dyDescent="0.15">
      <c r="A58" s="28">
        <v>2011</v>
      </c>
      <c r="B58" s="301">
        <v>40805</v>
      </c>
      <c r="C58" s="394" t="s">
        <v>924</v>
      </c>
      <c r="D58" s="394"/>
      <c r="E58" s="28">
        <v>1</v>
      </c>
      <c r="F58" s="83">
        <v>0</v>
      </c>
      <c r="G58" s="29">
        <v>11</v>
      </c>
      <c r="H58" s="30">
        <v>4</v>
      </c>
      <c r="I58" s="30">
        <v>1</v>
      </c>
      <c r="J58" s="31">
        <v>17</v>
      </c>
      <c r="K58" s="32">
        <f t="shared" si="5"/>
        <v>64.705882352941174</v>
      </c>
      <c r="L58" s="32">
        <f t="shared" si="6"/>
        <v>23.52941176470588</v>
      </c>
      <c r="M58" s="32">
        <f t="shared" si="7"/>
        <v>5.8823529411764701</v>
      </c>
      <c r="N58" s="33">
        <f t="shared" si="3"/>
        <v>94.117647058823522</v>
      </c>
      <c r="O58" s="34">
        <v>37.1</v>
      </c>
      <c r="P58" s="32">
        <v>6.6</v>
      </c>
      <c r="Q58" s="32">
        <v>4.5</v>
      </c>
      <c r="R58" s="35">
        <f t="shared" si="4"/>
        <v>48.2</v>
      </c>
      <c r="S58" s="28">
        <v>5</v>
      </c>
      <c r="T58" s="284"/>
      <c r="U58" s="293"/>
      <c r="V58" s="37" t="s">
        <v>921</v>
      </c>
      <c r="W58" s="28" t="s">
        <v>99</v>
      </c>
      <c r="X58" s="28" t="s">
        <v>11</v>
      </c>
      <c r="Y58" s="38">
        <v>37.1</v>
      </c>
      <c r="Z58" s="37" t="s">
        <v>915</v>
      </c>
      <c r="AA58" s="28" t="s">
        <v>89</v>
      </c>
      <c r="AB58" s="28" t="s">
        <v>18</v>
      </c>
      <c r="AC58" s="38">
        <v>6.6</v>
      </c>
      <c r="AD58" s="37" t="s">
        <v>925</v>
      </c>
      <c r="AE58" s="28" t="s">
        <v>327</v>
      </c>
      <c r="AF58" s="28" t="s">
        <v>12</v>
      </c>
      <c r="AG58" s="38">
        <v>4.5</v>
      </c>
      <c r="AL58" s="37"/>
      <c r="AO58" s="38"/>
      <c r="AP58" s="37"/>
      <c r="AS58" s="38"/>
      <c r="AW58" s="38"/>
      <c r="BA58" s="39"/>
    </row>
    <row r="59" spans="1:53" s="28" customFormat="1" x14ac:dyDescent="0.15">
      <c r="A59" s="28">
        <v>2011</v>
      </c>
      <c r="B59" s="301">
        <v>40806</v>
      </c>
      <c r="C59" s="394" t="s">
        <v>924</v>
      </c>
      <c r="D59" s="394"/>
      <c r="E59" s="28">
        <f xml:space="preserve"> 365-E58-E57-E56</f>
        <v>103</v>
      </c>
      <c r="F59" s="83">
        <v>0</v>
      </c>
      <c r="G59" s="29">
        <v>11</v>
      </c>
      <c r="H59" s="30">
        <v>4</v>
      </c>
      <c r="I59" s="30">
        <v>1</v>
      </c>
      <c r="J59" s="31">
        <v>18</v>
      </c>
      <c r="K59" s="32">
        <f t="shared" si="5"/>
        <v>61.111111111111114</v>
      </c>
      <c r="L59" s="32">
        <f t="shared" si="6"/>
        <v>22.222222222222221</v>
      </c>
      <c r="M59" s="32">
        <f t="shared" si="7"/>
        <v>5.5555555555555554</v>
      </c>
      <c r="N59" s="33">
        <f t="shared" si="3"/>
        <v>88.8888888888889</v>
      </c>
      <c r="O59" s="34">
        <v>37.1</v>
      </c>
      <c r="P59" s="32">
        <v>6.6</v>
      </c>
      <c r="Q59" s="32">
        <v>4.5</v>
      </c>
      <c r="R59" s="35">
        <f t="shared" si="4"/>
        <v>48.2</v>
      </c>
      <c r="S59" s="28">
        <v>5</v>
      </c>
      <c r="T59" s="284"/>
      <c r="U59" s="293"/>
      <c r="V59" s="37" t="s">
        <v>921</v>
      </c>
      <c r="W59" s="28" t="s">
        <v>99</v>
      </c>
      <c r="X59" s="28" t="s">
        <v>11</v>
      </c>
      <c r="Y59" s="38">
        <v>37.1</v>
      </c>
      <c r="Z59" s="37" t="s">
        <v>915</v>
      </c>
      <c r="AA59" s="28" t="s">
        <v>89</v>
      </c>
      <c r="AB59" s="28" t="s">
        <v>18</v>
      </c>
      <c r="AC59" s="38">
        <v>6.6</v>
      </c>
      <c r="AD59" s="37" t="s">
        <v>925</v>
      </c>
      <c r="AE59" s="28" t="s">
        <v>327</v>
      </c>
      <c r="AF59" s="28" t="s">
        <v>12</v>
      </c>
      <c r="AG59" s="38">
        <v>4.5</v>
      </c>
      <c r="AL59" s="37"/>
      <c r="AO59" s="38"/>
      <c r="AP59" s="37"/>
      <c r="AS59" s="38"/>
      <c r="AW59" s="38"/>
      <c r="BA59" s="39"/>
    </row>
    <row r="60" spans="1:53" s="28" customFormat="1" x14ac:dyDescent="0.15">
      <c r="A60" s="28">
        <v>2012</v>
      </c>
      <c r="B60" s="275"/>
      <c r="C60" s="394" t="s">
        <v>924</v>
      </c>
      <c r="D60" s="394"/>
      <c r="E60" s="28">
        <v>39</v>
      </c>
      <c r="G60" s="29">
        <v>11</v>
      </c>
      <c r="H60" s="30">
        <v>4</v>
      </c>
      <c r="I60" s="30">
        <v>1</v>
      </c>
      <c r="J60" s="31">
        <v>18</v>
      </c>
      <c r="K60" s="32">
        <f t="shared" si="5"/>
        <v>61.111111111111114</v>
      </c>
      <c r="L60" s="32">
        <f t="shared" si="6"/>
        <v>22.222222222222221</v>
      </c>
      <c r="M60" s="32">
        <f t="shared" si="7"/>
        <v>5.5555555555555554</v>
      </c>
      <c r="N60" s="33">
        <f t="shared" si="3"/>
        <v>88.8888888888889</v>
      </c>
      <c r="O60" s="34">
        <v>37.1</v>
      </c>
      <c r="P60" s="32">
        <v>6.6</v>
      </c>
      <c r="Q60" s="32">
        <v>4.5</v>
      </c>
      <c r="R60" s="35">
        <f t="shared" si="4"/>
        <v>48.2</v>
      </c>
      <c r="S60" s="28">
        <v>5</v>
      </c>
      <c r="T60" s="284"/>
      <c r="U60" s="293"/>
      <c r="V60" s="37" t="s">
        <v>921</v>
      </c>
      <c r="W60" s="28" t="s">
        <v>99</v>
      </c>
      <c r="X60" s="28" t="s">
        <v>11</v>
      </c>
      <c r="Y60" s="38">
        <v>37.1</v>
      </c>
      <c r="Z60" s="37" t="s">
        <v>915</v>
      </c>
      <c r="AA60" s="28" t="s">
        <v>89</v>
      </c>
      <c r="AB60" s="28" t="s">
        <v>18</v>
      </c>
      <c r="AC60" s="38">
        <v>6.6</v>
      </c>
      <c r="AD60" s="37" t="s">
        <v>925</v>
      </c>
      <c r="AE60" s="28" t="s">
        <v>327</v>
      </c>
      <c r="AF60" s="28" t="s">
        <v>12</v>
      </c>
      <c r="AG60" s="38">
        <v>4.5</v>
      </c>
      <c r="AL60" s="37"/>
      <c r="AO60" s="38"/>
      <c r="AP60" s="37"/>
      <c r="AS60" s="38"/>
      <c r="AW60" s="38"/>
      <c r="BA60" s="39"/>
    </row>
    <row r="61" spans="1:53" s="170" customFormat="1" x14ac:dyDescent="0.15">
      <c r="A61" s="170">
        <v>2012</v>
      </c>
      <c r="B61" s="304">
        <v>40948</v>
      </c>
      <c r="C61" s="425" t="s">
        <v>927</v>
      </c>
      <c r="D61" s="425"/>
      <c r="E61" s="170">
        <v>88</v>
      </c>
      <c r="F61" s="170">
        <v>2</v>
      </c>
      <c r="G61" s="171">
        <v>9</v>
      </c>
      <c r="H61" s="116">
        <v>3</v>
      </c>
      <c r="I61" s="116">
        <v>2</v>
      </c>
      <c r="J61" s="172">
        <v>17</v>
      </c>
      <c r="K61" s="173">
        <f t="shared" si="5"/>
        <v>52.941176470588239</v>
      </c>
      <c r="L61" s="173">
        <f t="shared" si="6"/>
        <v>17.647058823529413</v>
      </c>
      <c r="M61" s="173">
        <f t="shared" si="7"/>
        <v>11.76470588235294</v>
      </c>
      <c r="N61" s="174">
        <f t="shared" si="3"/>
        <v>82.352941176470594</v>
      </c>
      <c r="O61" s="175">
        <v>37.1</v>
      </c>
      <c r="P61" s="173">
        <v>6.6</v>
      </c>
      <c r="Q61" s="173">
        <v>4.5</v>
      </c>
      <c r="R61" s="176">
        <f t="shared" si="4"/>
        <v>48.2</v>
      </c>
      <c r="S61" s="170">
        <v>5</v>
      </c>
      <c r="T61" s="283"/>
      <c r="U61" s="304">
        <v>40948</v>
      </c>
      <c r="V61" s="177" t="s">
        <v>921</v>
      </c>
      <c r="W61" s="170" t="s">
        <v>99</v>
      </c>
      <c r="X61" s="170" t="s">
        <v>11</v>
      </c>
      <c r="Y61" s="178">
        <v>37.1</v>
      </c>
      <c r="Z61" s="177" t="s">
        <v>915</v>
      </c>
      <c r="AA61" s="170" t="s">
        <v>89</v>
      </c>
      <c r="AB61" s="170" t="s">
        <v>18</v>
      </c>
      <c r="AC61" s="178">
        <v>6.6</v>
      </c>
      <c r="AD61" s="177" t="s">
        <v>925</v>
      </c>
      <c r="AE61" s="170" t="s">
        <v>327</v>
      </c>
      <c r="AF61" s="170" t="s">
        <v>12</v>
      </c>
      <c r="AG61" s="178">
        <v>4.5</v>
      </c>
      <c r="AL61" s="177"/>
      <c r="AO61" s="178"/>
      <c r="AP61" s="177"/>
      <c r="AS61" s="178"/>
      <c r="AW61" s="178"/>
      <c r="BA61" s="179"/>
    </row>
    <row r="62" spans="1:53" s="28" customFormat="1" x14ac:dyDescent="0.15">
      <c r="A62" s="28">
        <v>2012</v>
      </c>
      <c r="B62" s="275">
        <v>41036</v>
      </c>
      <c r="C62" s="394" t="s">
        <v>926</v>
      </c>
      <c r="D62" s="394"/>
      <c r="E62" s="28">
        <v>91</v>
      </c>
      <c r="F62" s="28">
        <v>5</v>
      </c>
      <c r="G62" s="29">
        <v>6</v>
      </c>
      <c r="H62" s="30">
        <v>1</v>
      </c>
      <c r="I62" s="30">
        <v>12</v>
      </c>
      <c r="J62" s="31">
        <v>23</v>
      </c>
      <c r="K62" s="32">
        <f t="shared" si="5"/>
        <v>26.086956521739129</v>
      </c>
      <c r="L62" s="32">
        <v>3.4</v>
      </c>
      <c r="M62" s="32">
        <f t="shared" si="7"/>
        <v>52.173913043478258</v>
      </c>
      <c r="N62" s="33">
        <f t="shared" si="3"/>
        <v>81.660869565217382</v>
      </c>
      <c r="O62" s="34">
        <v>19.5</v>
      </c>
      <c r="P62" s="32">
        <v>1.2</v>
      </c>
      <c r="Q62" s="32">
        <v>32.9</v>
      </c>
      <c r="R62" s="35">
        <f t="shared" si="4"/>
        <v>53.599999999999994</v>
      </c>
      <c r="S62" s="28">
        <v>3</v>
      </c>
      <c r="T62" s="284"/>
      <c r="U62" s="275">
        <v>41036</v>
      </c>
      <c r="V62" s="37" t="s">
        <v>919</v>
      </c>
      <c r="W62" s="28" t="s">
        <v>20</v>
      </c>
      <c r="X62" s="28" t="s">
        <v>12</v>
      </c>
      <c r="Y62" s="28">
        <v>32.9</v>
      </c>
      <c r="Z62" s="37" t="s">
        <v>907</v>
      </c>
      <c r="AA62" s="28" t="s">
        <v>22</v>
      </c>
      <c r="AB62" s="28" t="s">
        <v>11</v>
      </c>
      <c r="AC62" s="28">
        <v>19.5</v>
      </c>
      <c r="AD62" s="37" t="s">
        <v>100</v>
      </c>
      <c r="AE62" s="28" t="s">
        <v>327</v>
      </c>
      <c r="AF62" s="28" t="s">
        <v>18</v>
      </c>
      <c r="AG62" s="38">
        <v>1.2</v>
      </c>
      <c r="AL62" s="37"/>
      <c r="AO62" s="38"/>
      <c r="AP62" s="37"/>
      <c r="AS62" s="38"/>
      <c r="AW62" s="38"/>
      <c r="BA62" s="39"/>
    </row>
    <row r="63" spans="1:53" s="28" customFormat="1" x14ac:dyDescent="0.15">
      <c r="A63" s="28">
        <v>2012</v>
      </c>
      <c r="B63" s="301">
        <v>41127</v>
      </c>
      <c r="C63" s="394" t="s">
        <v>926</v>
      </c>
      <c r="D63" s="394"/>
      <c r="E63" s="28">
        <v>137</v>
      </c>
      <c r="F63" s="83">
        <v>0</v>
      </c>
      <c r="G63" s="29">
        <v>8</v>
      </c>
      <c r="H63" s="30">
        <v>1</v>
      </c>
      <c r="I63" s="30">
        <v>10</v>
      </c>
      <c r="J63" s="31">
        <v>23</v>
      </c>
      <c r="K63" s="32">
        <f t="shared" si="5"/>
        <v>34.782608695652172</v>
      </c>
      <c r="L63" s="32">
        <v>3.4</v>
      </c>
      <c r="M63" s="32">
        <f t="shared" si="7"/>
        <v>43.478260869565219</v>
      </c>
      <c r="N63" s="33">
        <f t="shared" si="3"/>
        <v>81.660869565217382</v>
      </c>
      <c r="O63" s="34">
        <v>19.5</v>
      </c>
      <c r="P63" s="32">
        <v>1.2</v>
      </c>
      <c r="Q63" s="32">
        <v>32.9</v>
      </c>
      <c r="R63" s="35">
        <f t="shared" si="4"/>
        <v>53.599999999999994</v>
      </c>
      <c r="S63" s="28">
        <v>3</v>
      </c>
      <c r="T63" s="284"/>
      <c r="U63" s="293"/>
      <c r="V63" s="37" t="s">
        <v>919</v>
      </c>
      <c r="W63" s="28" t="s">
        <v>20</v>
      </c>
      <c r="X63" s="28" t="s">
        <v>12</v>
      </c>
      <c r="Y63" s="28">
        <v>32.9</v>
      </c>
      <c r="Z63" s="37" t="s">
        <v>907</v>
      </c>
      <c r="AA63" s="28" t="s">
        <v>22</v>
      </c>
      <c r="AB63" s="28" t="s">
        <v>11</v>
      </c>
      <c r="AC63" s="28">
        <v>19.5</v>
      </c>
      <c r="AD63" s="37" t="s">
        <v>100</v>
      </c>
      <c r="AE63" s="28" t="s">
        <v>327</v>
      </c>
      <c r="AF63" s="28" t="s">
        <v>18</v>
      </c>
      <c r="AG63" s="38">
        <v>1.2</v>
      </c>
      <c r="AL63" s="37"/>
      <c r="AO63" s="38"/>
      <c r="AP63" s="37"/>
      <c r="AS63" s="38"/>
      <c r="AW63" s="38"/>
      <c r="BA63" s="39"/>
    </row>
    <row r="64" spans="1:53" s="170" customFormat="1" x14ac:dyDescent="0.15">
      <c r="A64" s="170">
        <v>2012</v>
      </c>
      <c r="B64" s="304">
        <v>41264</v>
      </c>
      <c r="C64" s="395" t="s">
        <v>928</v>
      </c>
      <c r="D64" s="395"/>
      <c r="E64" s="170">
        <f xml:space="preserve"> 366-E63-E62-E61-E60</f>
        <v>11</v>
      </c>
      <c r="F64" s="170">
        <v>1</v>
      </c>
      <c r="G64" s="171">
        <v>10</v>
      </c>
      <c r="H64" s="116">
        <v>1</v>
      </c>
      <c r="I64" s="116">
        <v>14</v>
      </c>
      <c r="J64" s="172">
        <v>25</v>
      </c>
      <c r="K64" s="173">
        <f t="shared" si="5"/>
        <v>40</v>
      </c>
      <c r="L64" s="173">
        <f t="shared" si="6"/>
        <v>4</v>
      </c>
      <c r="M64" s="173">
        <f t="shared" si="7"/>
        <v>56.000000000000007</v>
      </c>
      <c r="N64" s="174">
        <f t="shared" si="3"/>
        <v>100</v>
      </c>
      <c r="O64" s="175">
        <v>25.5</v>
      </c>
      <c r="P64" s="173">
        <v>3.4</v>
      </c>
      <c r="Q64" s="173">
        <v>38.1</v>
      </c>
      <c r="R64" s="176">
        <f t="shared" si="4"/>
        <v>67</v>
      </c>
      <c r="S64" s="170">
        <v>3</v>
      </c>
      <c r="T64" s="283">
        <v>41252</v>
      </c>
      <c r="U64" s="304">
        <v>41264</v>
      </c>
      <c r="V64" s="177" t="s">
        <v>919</v>
      </c>
      <c r="W64" s="170" t="s">
        <v>20</v>
      </c>
      <c r="X64" s="170" t="s">
        <v>12</v>
      </c>
      <c r="Y64" s="178">
        <v>36.4</v>
      </c>
      <c r="Z64" s="177" t="s">
        <v>907</v>
      </c>
      <c r="AA64" s="170" t="s">
        <v>22</v>
      </c>
      <c r="AB64" s="170" t="s">
        <v>11</v>
      </c>
      <c r="AC64" s="170">
        <v>25.5</v>
      </c>
      <c r="AD64" s="177" t="s">
        <v>100</v>
      </c>
      <c r="AE64" s="170" t="s">
        <v>327</v>
      </c>
      <c r="AF64" s="170" t="s">
        <v>18</v>
      </c>
      <c r="AG64" s="178">
        <v>3.4</v>
      </c>
      <c r="AH64" s="177" t="s">
        <v>925</v>
      </c>
      <c r="AI64" s="170" t="s">
        <v>327</v>
      </c>
      <c r="AJ64" s="170" t="s">
        <v>12</v>
      </c>
      <c r="AK64" s="170">
        <v>1.7</v>
      </c>
      <c r="AL64" s="177"/>
      <c r="AO64" s="178"/>
      <c r="AP64" s="177"/>
      <c r="AS64" s="178"/>
      <c r="AW64" s="178"/>
      <c r="BA64" s="179"/>
    </row>
    <row r="65" spans="1:53" s="170" customFormat="1" x14ac:dyDescent="0.15">
      <c r="A65" s="170">
        <v>2013</v>
      </c>
      <c r="B65" s="304"/>
      <c r="C65" s="395" t="s">
        <v>928</v>
      </c>
      <c r="D65" s="395"/>
      <c r="E65" s="170">
        <v>104</v>
      </c>
      <c r="G65" s="171">
        <v>10</v>
      </c>
      <c r="H65" s="116">
        <v>1</v>
      </c>
      <c r="I65" s="116">
        <v>14</v>
      </c>
      <c r="J65" s="172">
        <v>25</v>
      </c>
      <c r="K65" s="173">
        <f t="shared" si="5"/>
        <v>40</v>
      </c>
      <c r="L65" s="173">
        <f t="shared" si="6"/>
        <v>4</v>
      </c>
      <c r="M65" s="173">
        <f t="shared" si="7"/>
        <v>56.000000000000007</v>
      </c>
      <c r="N65" s="174">
        <f t="shared" si="3"/>
        <v>100</v>
      </c>
      <c r="O65" s="175">
        <v>25.5</v>
      </c>
      <c r="P65" s="173">
        <v>3.4</v>
      </c>
      <c r="Q65" s="173">
        <v>38.1</v>
      </c>
      <c r="R65" s="176">
        <f>SUM(O65:Q65)</f>
        <v>67</v>
      </c>
      <c r="S65" s="170">
        <v>3</v>
      </c>
      <c r="T65" s="283"/>
      <c r="U65" s="304"/>
      <c r="V65" s="177" t="s">
        <v>919</v>
      </c>
      <c r="W65" s="170" t="s">
        <v>20</v>
      </c>
      <c r="X65" s="170" t="s">
        <v>12</v>
      </c>
      <c r="Y65" s="178">
        <v>36.4</v>
      </c>
      <c r="Z65" s="177" t="s">
        <v>907</v>
      </c>
      <c r="AA65" s="170" t="s">
        <v>22</v>
      </c>
      <c r="AB65" s="170" t="s">
        <v>11</v>
      </c>
      <c r="AC65" s="170">
        <v>25.5</v>
      </c>
      <c r="AD65" s="177" t="s">
        <v>100</v>
      </c>
      <c r="AE65" s="170" t="s">
        <v>327</v>
      </c>
      <c r="AF65" s="170" t="s">
        <v>18</v>
      </c>
      <c r="AG65" s="178">
        <v>3.4</v>
      </c>
      <c r="AH65" s="177" t="s">
        <v>925</v>
      </c>
      <c r="AI65" s="170" t="s">
        <v>327</v>
      </c>
      <c r="AJ65" s="170" t="s">
        <v>12</v>
      </c>
      <c r="AK65" s="170">
        <v>1.7</v>
      </c>
      <c r="AL65" s="177"/>
      <c r="AO65" s="178"/>
      <c r="AP65" s="177"/>
      <c r="AS65" s="178"/>
      <c r="AW65" s="178"/>
      <c r="BA65" s="179"/>
    </row>
    <row r="66" spans="1:53" s="170" customFormat="1" x14ac:dyDescent="0.15">
      <c r="A66" s="170">
        <v>2013</v>
      </c>
      <c r="B66" s="303">
        <v>41379</v>
      </c>
      <c r="C66" s="395" t="s">
        <v>928</v>
      </c>
      <c r="D66" s="395"/>
      <c r="E66" s="170">
        <f>365-E65</f>
        <v>261</v>
      </c>
      <c r="F66" s="243">
        <v>0</v>
      </c>
      <c r="G66" s="171">
        <v>10</v>
      </c>
      <c r="H66" s="116">
        <v>1</v>
      </c>
      <c r="I66" s="116">
        <v>13</v>
      </c>
      <c r="J66" s="172">
        <v>25</v>
      </c>
      <c r="K66" s="173">
        <f t="shared" si="5"/>
        <v>40</v>
      </c>
      <c r="L66" s="173">
        <f t="shared" si="6"/>
        <v>4</v>
      </c>
      <c r="M66" s="173">
        <f t="shared" si="7"/>
        <v>52</v>
      </c>
      <c r="N66" s="174">
        <f t="shared" si="3"/>
        <v>96</v>
      </c>
      <c r="O66" s="175">
        <v>25.5</v>
      </c>
      <c r="P66" s="173">
        <v>3.4</v>
      </c>
      <c r="Q66" s="173">
        <v>38.1</v>
      </c>
      <c r="R66" s="176">
        <f>SUM(O66:Q66)</f>
        <v>67</v>
      </c>
      <c r="S66" s="170">
        <v>3</v>
      </c>
      <c r="T66" s="283"/>
      <c r="U66" s="281"/>
      <c r="V66" s="177" t="s">
        <v>919</v>
      </c>
      <c r="W66" s="170" t="s">
        <v>20</v>
      </c>
      <c r="X66" s="170" t="s">
        <v>12</v>
      </c>
      <c r="Y66" s="178">
        <v>36.4</v>
      </c>
      <c r="Z66" s="170" t="s">
        <v>907</v>
      </c>
      <c r="AA66" s="170" t="s">
        <v>22</v>
      </c>
      <c r="AB66" s="170" t="s">
        <v>11</v>
      </c>
      <c r="AC66" s="170">
        <v>25.5</v>
      </c>
      <c r="AD66" s="177" t="s">
        <v>100</v>
      </c>
      <c r="AE66" s="170" t="s">
        <v>327</v>
      </c>
      <c r="AF66" s="170" t="s">
        <v>18</v>
      </c>
      <c r="AG66" s="178">
        <v>3.4</v>
      </c>
      <c r="AH66" s="170" t="s">
        <v>925</v>
      </c>
      <c r="AI66" s="170" t="s">
        <v>327</v>
      </c>
      <c r="AJ66" s="170" t="s">
        <v>12</v>
      </c>
      <c r="AK66" s="170">
        <v>1.7</v>
      </c>
      <c r="AL66" s="177"/>
      <c r="AO66" s="178"/>
      <c r="AP66" s="177"/>
      <c r="AS66" s="178"/>
      <c r="AW66" s="178"/>
      <c r="BA66" s="179"/>
    </row>
    <row r="67" spans="1:53" s="170" customFormat="1" x14ac:dyDescent="0.15">
      <c r="A67" s="170">
        <v>2014</v>
      </c>
      <c r="B67" s="304"/>
      <c r="C67" s="395" t="s">
        <v>928</v>
      </c>
      <c r="D67" s="395"/>
      <c r="E67" s="170">
        <v>22</v>
      </c>
      <c r="G67" s="171">
        <v>10</v>
      </c>
      <c r="H67" s="116">
        <v>1</v>
      </c>
      <c r="I67" s="116">
        <v>13</v>
      </c>
      <c r="J67" s="172">
        <v>25</v>
      </c>
      <c r="K67" s="173">
        <f t="shared" si="5"/>
        <v>40</v>
      </c>
      <c r="L67" s="173">
        <f t="shared" si="6"/>
        <v>4</v>
      </c>
      <c r="M67" s="173">
        <f t="shared" si="7"/>
        <v>52</v>
      </c>
      <c r="N67" s="174">
        <f t="shared" si="3"/>
        <v>96</v>
      </c>
      <c r="O67" s="175">
        <v>25.5</v>
      </c>
      <c r="P67" s="173">
        <v>3.4</v>
      </c>
      <c r="Q67" s="173">
        <v>38.1</v>
      </c>
      <c r="R67" s="176">
        <f>SUM(O67:Q67)</f>
        <v>67</v>
      </c>
      <c r="S67" s="170">
        <v>3</v>
      </c>
      <c r="T67" s="283"/>
      <c r="U67" s="304"/>
      <c r="V67" s="177" t="s">
        <v>919</v>
      </c>
      <c r="W67" s="170" t="s">
        <v>20</v>
      </c>
      <c r="X67" s="170" t="s">
        <v>12</v>
      </c>
      <c r="Y67" s="178">
        <v>36.4</v>
      </c>
      <c r="Z67" s="170" t="s">
        <v>907</v>
      </c>
      <c r="AA67" s="170" t="s">
        <v>22</v>
      </c>
      <c r="AB67" s="170" t="s">
        <v>11</v>
      </c>
      <c r="AC67" s="170">
        <v>25.5</v>
      </c>
      <c r="AD67" s="177" t="s">
        <v>100</v>
      </c>
      <c r="AE67" s="170" t="s">
        <v>327</v>
      </c>
      <c r="AF67" s="170" t="s">
        <v>18</v>
      </c>
      <c r="AG67" s="178">
        <v>3.4</v>
      </c>
      <c r="AH67" s="170" t="s">
        <v>925</v>
      </c>
      <c r="AI67" s="170" t="s">
        <v>327</v>
      </c>
      <c r="AJ67" s="170" t="s">
        <v>12</v>
      </c>
      <c r="AK67" s="170">
        <v>1.7</v>
      </c>
      <c r="AL67" s="177"/>
      <c r="AO67" s="178"/>
      <c r="AP67" s="177"/>
      <c r="AS67" s="178"/>
      <c r="AW67" s="178"/>
      <c r="BA67" s="179"/>
    </row>
    <row r="68" spans="1:53" s="170" customFormat="1" x14ac:dyDescent="0.15">
      <c r="A68" s="170">
        <v>2014</v>
      </c>
      <c r="B68" s="303">
        <v>41662</v>
      </c>
      <c r="C68" s="395" t="s">
        <v>928</v>
      </c>
      <c r="D68" s="395"/>
      <c r="E68" s="170">
        <v>14</v>
      </c>
      <c r="F68" s="243">
        <v>0</v>
      </c>
      <c r="G68" s="171">
        <v>9</v>
      </c>
      <c r="H68" s="116">
        <v>1</v>
      </c>
      <c r="I68" s="116">
        <v>14</v>
      </c>
      <c r="J68" s="172">
        <v>25</v>
      </c>
      <c r="K68" s="173">
        <f t="shared" si="5"/>
        <v>36</v>
      </c>
      <c r="L68" s="173">
        <f t="shared" si="6"/>
        <v>4</v>
      </c>
      <c r="M68" s="173">
        <f t="shared" si="7"/>
        <v>56.000000000000007</v>
      </c>
      <c r="N68" s="174">
        <f t="shared" si="3"/>
        <v>96</v>
      </c>
      <c r="O68" s="175">
        <v>25.5</v>
      </c>
      <c r="P68" s="173">
        <v>3.4</v>
      </c>
      <c r="Q68" s="173">
        <v>38.1</v>
      </c>
      <c r="R68" s="176">
        <f>SUM(O68:Q68)</f>
        <v>67</v>
      </c>
      <c r="S68" s="170">
        <v>3</v>
      </c>
      <c r="T68" s="283"/>
      <c r="U68" s="304"/>
      <c r="V68" s="177" t="s">
        <v>919</v>
      </c>
      <c r="W68" s="170" t="s">
        <v>20</v>
      </c>
      <c r="X68" s="170" t="s">
        <v>12</v>
      </c>
      <c r="Y68" s="178">
        <v>36.4</v>
      </c>
      <c r="Z68" s="170" t="s">
        <v>907</v>
      </c>
      <c r="AA68" s="170" t="s">
        <v>22</v>
      </c>
      <c r="AB68" s="170" t="s">
        <v>11</v>
      </c>
      <c r="AC68" s="170">
        <v>25.5</v>
      </c>
      <c r="AD68" s="177" t="s">
        <v>100</v>
      </c>
      <c r="AE68" s="170" t="s">
        <v>327</v>
      </c>
      <c r="AF68" s="170" t="s">
        <v>18</v>
      </c>
      <c r="AG68" s="178">
        <v>3.4</v>
      </c>
      <c r="AH68" s="170" t="s">
        <v>925</v>
      </c>
      <c r="AI68" s="170" t="s">
        <v>327</v>
      </c>
      <c r="AJ68" s="170" t="s">
        <v>12</v>
      </c>
      <c r="AK68" s="170">
        <v>1.7</v>
      </c>
      <c r="AL68" s="177"/>
      <c r="AO68" s="178"/>
      <c r="AP68" s="177"/>
      <c r="AS68" s="178"/>
      <c r="AW68" s="178"/>
      <c r="BA68" s="179"/>
    </row>
    <row r="69" spans="1:53" s="170" customFormat="1" x14ac:dyDescent="0.15">
      <c r="A69" s="170">
        <v>2014</v>
      </c>
      <c r="B69" s="303">
        <v>41676</v>
      </c>
      <c r="C69" s="395" t="s">
        <v>928</v>
      </c>
      <c r="D69" s="395"/>
      <c r="E69" s="170">
        <v>1</v>
      </c>
      <c r="F69" s="243">
        <v>0</v>
      </c>
      <c r="G69" s="171">
        <v>8</v>
      </c>
      <c r="H69" s="116">
        <v>1</v>
      </c>
      <c r="I69" s="116">
        <v>15</v>
      </c>
      <c r="J69" s="172">
        <v>25</v>
      </c>
      <c r="K69" s="173">
        <f t="shared" si="5"/>
        <v>32</v>
      </c>
      <c r="L69" s="173">
        <f t="shared" si="6"/>
        <v>4</v>
      </c>
      <c r="M69" s="173">
        <f t="shared" si="7"/>
        <v>60</v>
      </c>
      <c r="N69" s="174">
        <f t="shared" si="3"/>
        <v>96</v>
      </c>
      <c r="O69" s="175">
        <v>25.5</v>
      </c>
      <c r="P69" s="173">
        <v>3.4</v>
      </c>
      <c r="Q69" s="173">
        <v>38.1</v>
      </c>
      <c r="R69" s="176">
        <f t="shared" ref="R69:R74" si="8">SUM(O69:Q69)</f>
        <v>67</v>
      </c>
      <c r="S69" s="170">
        <v>3</v>
      </c>
      <c r="T69" s="283"/>
      <c r="U69" s="304"/>
      <c r="V69" s="177" t="s">
        <v>919</v>
      </c>
      <c r="W69" s="170" t="s">
        <v>20</v>
      </c>
      <c r="X69" s="170" t="s">
        <v>12</v>
      </c>
      <c r="Y69" s="178">
        <v>36.4</v>
      </c>
      <c r="Z69" s="170" t="s">
        <v>907</v>
      </c>
      <c r="AA69" s="170" t="s">
        <v>22</v>
      </c>
      <c r="AB69" s="170" t="s">
        <v>11</v>
      </c>
      <c r="AC69" s="170">
        <v>25.5</v>
      </c>
      <c r="AD69" s="177" t="s">
        <v>100</v>
      </c>
      <c r="AE69" s="170" t="s">
        <v>327</v>
      </c>
      <c r="AF69" s="170" t="s">
        <v>18</v>
      </c>
      <c r="AG69" s="178">
        <v>3.4</v>
      </c>
      <c r="AH69" s="170" t="s">
        <v>925</v>
      </c>
      <c r="AI69" s="170" t="s">
        <v>327</v>
      </c>
      <c r="AJ69" s="170" t="s">
        <v>12</v>
      </c>
      <c r="AK69" s="170">
        <v>1.7</v>
      </c>
      <c r="AL69" s="177"/>
      <c r="AO69" s="178"/>
      <c r="AP69" s="177"/>
      <c r="AS69" s="178"/>
      <c r="AW69" s="178"/>
      <c r="BA69" s="179"/>
    </row>
    <row r="70" spans="1:53" s="170" customFormat="1" x14ac:dyDescent="0.15">
      <c r="A70" s="170">
        <v>2014</v>
      </c>
      <c r="B70" s="303">
        <v>41677</v>
      </c>
      <c r="C70" s="395" t="s">
        <v>928</v>
      </c>
      <c r="D70" s="395"/>
      <c r="E70" s="170">
        <v>19</v>
      </c>
      <c r="F70" s="243">
        <v>0</v>
      </c>
      <c r="G70" s="171">
        <v>7</v>
      </c>
      <c r="H70" s="116">
        <v>1</v>
      </c>
      <c r="I70" s="116">
        <v>16</v>
      </c>
      <c r="J70" s="172">
        <v>25</v>
      </c>
      <c r="K70" s="173">
        <f t="shared" si="5"/>
        <v>28.000000000000004</v>
      </c>
      <c r="L70" s="173">
        <f t="shared" si="6"/>
        <v>4</v>
      </c>
      <c r="M70" s="173">
        <f t="shared" si="7"/>
        <v>64</v>
      </c>
      <c r="N70" s="174">
        <f t="shared" si="3"/>
        <v>96</v>
      </c>
      <c r="O70" s="175">
        <v>25.5</v>
      </c>
      <c r="P70" s="173">
        <v>3.4</v>
      </c>
      <c r="Q70" s="173">
        <v>38.1</v>
      </c>
      <c r="R70" s="176">
        <f t="shared" si="8"/>
        <v>67</v>
      </c>
      <c r="S70" s="170">
        <v>3</v>
      </c>
      <c r="T70" s="283"/>
      <c r="U70" s="304"/>
      <c r="V70" s="177" t="s">
        <v>919</v>
      </c>
      <c r="W70" s="170" t="s">
        <v>20</v>
      </c>
      <c r="X70" s="170" t="s">
        <v>12</v>
      </c>
      <c r="Y70" s="178">
        <v>36.4</v>
      </c>
      <c r="Z70" s="170" t="s">
        <v>907</v>
      </c>
      <c r="AA70" s="170" t="s">
        <v>22</v>
      </c>
      <c r="AB70" s="170" t="s">
        <v>11</v>
      </c>
      <c r="AC70" s="170">
        <v>25.5</v>
      </c>
      <c r="AD70" s="177" t="s">
        <v>100</v>
      </c>
      <c r="AE70" s="170" t="s">
        <v>327</v>
      </c>
      <c r="AF70" s="170" t="s">
        <v>18</v>
      </c>
      <c r="AG70" s="178">
        <v>3.4</v>
      </c>
      <c r="AH70" s="170" t="s">
        <v>925</v>
      </c>
      <c r="AI70" s="170" t="s">
        <v>327</v>
      </c>
      <c r="AJ70" s="170" t="s">
        <v>12</v>
      </c>
      <c r="AK70" s="170">
        <v>1.7</v>
      </c>
      <c r="AL70" s="177"/>
      <c r="AO70" s="178"/>
      <c r="AP70" s="177"/>
      <c r="AS70" s="178"/>
      <c r="AW70" s="178"/>
      <c r="BA70" s="179"/>
    </row>
    <row r="71" spans="1:53" s="170" customFormat="1" x14ac:dyDescent="0.15">
      <c r="A71" s="170">
        <v>2014</v>
      </c>
      <c r="B71" s="303">
        <v>41696</v>
      </c>
      <c r="C71" s="395" t="s">
        <v>928</v>
      </c>
      <c r="D71" s="395"/>
      <c r="E71" s="170">
        <v>7</v>
      </c>
      <c r="F71" s="243">
        <v>0</v>
      </c>
      <c r="G71" s="171"/>
      <c r="H71" s="116">
        <v>1</v>
      </c>
      <c r="I71" s="116">
        <v>23</v>
      </c>
      <c r="J71" s="172">
        <v>25</v>
      </c>
      <c r="K71" s="173">
        <f t="shared" ref="K71:K78" si="9">G71/J71*100</f>
        <v>0</v>
      </c>
      <c r="L71" s="173">
        <f t="shared" ref="L71:L78" si="10">H71/J71*100</f>
        <v>4</v>
      </c>
      <c r="M71" s="173">
        <f t="shared" ref="M71:M78" si="11">I71/J71*100</f>
        <v>92</v>
      </c>
      <c r="N71" s="174">
        <f t="shared" ref="N71:N78" si="12">SUM(K71:M71)</f>
        <v>96</v>
      </c>
      <c r="O71" s="175"/>
      <c r="P71" s="173">
        <v>3.4</v>
      </c>
      <c r="Q71" s="173">
        <v>38.1</v>
      </c>
      <c r="R71" s="176">
        <f t="shared" si="8"/>
        <v>41.5</v>
      </c>
      <c r="S71" s="170">
        <v>5</v>
      </c>
      <c r="T71" s="283"/>
      <c r="U71" s="304"/>
      <c r="V71" s="177" t="s">
        <v>919</v>
      </c>
      <c r="W71" s="170" t="s">
        <v>20</v>
      </c>
      <c r="X71" s="170" t="s">
        <v>12</v>
      </c>
      <c r="Y71" s="178">
        <v>36.4</v>
      </c>
      <c r="Z71" s="170" t="s">
        <v>100</v>
      </c>
      <c r="AA71" s="170" t="s">
        <v>327</v>
      </c>
      <c r="AB71" s="170" t="s">
        <v>18</v>
      </c>
      <c r="AC71" s="170">
        <v>3.4</v>
      </c>
      <c r="AD71" s="177" t="s">
        <v>925</v>
      </c>
      <c r="AE71" s="170" t="s">
        <v>327</v>
      </c>
      <c r="AF71" s="170" t="s">
        <v>12</v>
      </c>
      <c r="AG71" s="178">
        <v>1.7</v>
      </c>
      <c r="AL71" s="177"/>
      <c r="AO71" s="178"/>
      <c r="AP71" s="177"/>
      <c r="AS71" s="178"/>
      <c r="AW71" s="178"/>
      <c r="BA71" s="179"/>
    </row>
    <row r="72" spans="1:53" s="28" customFormat="1" x14ac:dyDescent="0.15">
      <c r="A72" s="28">
        <v>2014</v>
      </c>
      <c r="B72" s="275">
        <v>41703</v>
      </c>
      <c r="C72" s="394" t="s">
        <v>1299</v>
      </c>
      <c r="D72" s="394"/>
      <c r="E72" s="28">
        <v>264</v>
      </c>
      <c r="F72" s="28">
        <v>4</v>
      </c>
      <c r="G72" s="29"/>
      <c r="H72" s="30">
        <v>3</v>
      </c>
      <c r="I72" s="30">
        <v>17</v>
      </c>
      <c r="J72" s="31">
        <v>26</v>
      </c>
      <c r="K72" s="32">
        <f t="shared" si="9"/>
        <v>0</v>
      </c>
      <c r="L72" s="32">
        <f t="shared" si="10"/>
        <v>11.538461538461538</v>
      </c>
      <c r="M72" s="32">
        <f t="shared" si="11"/>
        <v>65.384615384615387</v>
      </c>
      <c r="N72" s="33">
        <f t="shared" si="12"/>
        <v>76.92307692307692</v>
      </c>
      <c r="O72" s="34"/>
      <c r="P72" s="32">
        <v>8.3000000000000007</v>
      </c>
      <c r="Q72" s="32">
        <v>42.5</v>
      </c>
      <c r="R72" s="35">
        <f t="shared" si="8"/>
        <v>50.8</v>
      </c>
      <c r="S72" s="28">
        <v>2</v>
      </c>
      <c r="T72" s="284"/>
      <c r="U72" s="275">
        <v>41703</v>
      </c>
      <c r="V72" s="37" t="s">
        <v>919</v>
      </c>
      <c r="W72" s="28" t="s">
        <v>20</v>
      </c>
      <c r="X72" s="28" t="s">
        <v>12</v>
      </c>
      <c r="Y72" s="28">
        <v>37.6</v>
      </c>
      <c r="Z72" s="37" t="s">
        <v>100</v>
      </c>
      <c r="AA72" s="28" t="s">
        <v>327</v>
      </c>
      <c r="AB72" s="28" t="s">
        <v>18</v>
      </c>
      <c r="AC72" s="28">
        <v>3.9</v>
      </c>
      <c r="AD72" s="37" t="s">
        <v>925</v>
      </c>
      <c r="AE72" s="28" t="s">
        <v>327</v>
      </c>
      <c r="AF72" s="28" t="s">
        <v>12</v>
      </c>
      <c r="AG72" s="38">
        <v>4.9000000000000004</v>
      </c>
      <c r="AH72" s="28" t="s">
        <v>915</v>
      </c>
      <c r="AI72" s="28" t="s">
        <v>89</v>
      </c>
      <c r="AJ72" s="28" t="s">
        <v>18</v>
      </c>
      <c r="AK72" s="28">
        <v>4.4000000000000004</v>
      </c>
      <c r="AL72" s="37"/>
      <c r="AO72" s="38"/>
      <c r="AP72" s="37"/>
      <c r="AS72" s="38"/>
      <c r="AW72" s="38"/>
      <c r="BA72" s="39"/>
    </row>
    <row r="73" spans="1:53" s="28" customFormat="1" x14ac:dyDescent="0.15">
      <c r="A73" s="28">
        <v>2014</v>
      </c>
      <c r="B73" s="301">
        <v>41967</v>
      </c>
      <c r="C73" s="394" t="s">
        <v>1299</v>
      </c>
      <c r="D73" s="394"/>
      <c r="E73" s="28">
        <v>23</v>
      </c>
      <c r="F73" s="83">
        <v>0</v>
      </c>
      <c r="G73" s="29"/>
      <c r="H73" s="30">
        <v>3</v>
      </c>
      <c r="I73" s="30">
        <v>16</v>
      </c>
      <c r="J73" s="31">
        <v>26</v>
      </c>
      <c r="K73" s="32">
        <f t="shared" si="9"/>
        <v>0</v>
      </c>
      <c r="L73" s="32">
        <f t="shared" si="10"/>
        <v>11.538461538461538</v>
      </c>
      <c r="M73" s="32">
        <f t="shared" si="11"/>
        <v>61.53846153846154</v>
      </c>
      <c r="N73" s="33">
        <f t="shared" si="12"/>
        <v>73.07692307692308</v>
      </c>
      <c r="O73" s="34"/>
      <c r="P73" s="32">
        <v>8.3000000000000007</v>
      </c>
      <c r="Q73" s="32">
        <v>42.5</v>
      </c>
      <c r="R73" s="35">
        <f t="shared" si="8"/>
        <v>50.8</v>
      </c>
      <c r="S73" s="28">
        <v>2</v>
      </c>
      <c r="T73" s="284"/>
      <c r="U73" s="293"/>
      <c r="V73" s="37" t="s">
        <v>919</v>
      </c>
      <c r="W73" s="28" t="s">
        <v>20</v>
      </c>
      <c r="X73" s="28" t="s">
        <v>12</v>
      </c>
      <c r="Y73" s="28">
        <v>37.6</v>
      </c>
      <c r="Z73" s="37" t="s">
        <v>100</v>
      </c>
      <c r="AA73" s="28" t="s">
        <v>327</v>
      </c>
      <c r="AB73" s="28" t="s">
        <v>18</v>
      </c>
      <c r="AC73" s="28">
        <v>3.9</v>
      </c>
      <c r="AD73" s="37" t="s">
        <v>925</v>
      </c>
      <c r="AE73" s="28" t="s">
        <v>327</v>
      </c>
      <c r="AF73" s="28" t="s">
        <v>12</v>
      </c>
      <c r="AG73" s="38">
        <v>4.9000000000000004</v>
      </c>
      <c r="AH73" s="28" t="s">
        <v>915</v>
      </c>
      <c r="AI73" s="28" t="s">
        <v>89</v>
      </c>
      <c r="AJ73" s="28" t="s">
        <v>18</v>
      </c>
      <c r="AK73" s="28">
        <v>4.4000000000000004</v>
      </c>
      <c r="AL73" s="37"/>
      <c r="AO73" s="38"/>
      <c r="AP73" s="37"/>
      <c r="AS73" s="38"/>
      <c r="AW73" s="38"/>
      <c r="BA73" s="39"/>
    </row>
    <row r="74" spans="1:53" s="170" customFormat="1" x14ac:dyDescent="0.15">
      <c r="A74" s="170">
        <v>2014</v>
      </c>
      <c r="B74" s="304">
        <v>41990</v>
      </c>
      <c r="C74" s="425" t="s">
        <v>1300</v>
      </c>
      <c r="D74" s="425"/>
      <c r="E74" s="170">
        <v>15</v>
      </c>
      <c r="F74" s="170">
        <v>4</v>
      </c>
      <c r="G74" s="171">
        <v>2</v>
      </c>
      <c r="H74" s="116">
        <v>2</v>
      </c>
      <c r="I74" s="116">
        <v>16</v>
      </c>
      <c r="J74" s="172">
        <v>22</v>
      </c>
      <c r="K74" s="173">
        <f t="shared" si="9"/>
        <v>9.0909090909090917</v>
      </c>
      <c r="L74" s="173">
        <f t="shared" si="10"/>
        <v>9.0909090909090917</v>
      </c>
      <c r="M74" s="173">
        <f t="shared" si="11"/>
        <v>72.727272727272734</v>
      </c>
      <c r="N74" s="174">
        <f t="shared" si="12"/>
        <v>90.909090909090921</v>
      </c>
      <c r="O74" s="175">
        <v>4</v>
      </c>
      <c r="P74" s="173">
        <v>3.2</v>
      </c>
      <c r="Q74" s="173">
        <v>45.1</v>
      </c>
      <c r="R74" s="176">
        <f t="shared" si="8"/>
        <v>52.300000000000004</v>
      </c>
      <c r="S74" s="170">
        <v>2</v>
      </c>
      <c r="T74" s="283"/>
      <c r="U74" s="304">
        <v>41990</v>
      </c>
      <c r="V74" s="177" t="s">
        <v>919</v>
      </c>
      <c r="W74" s="170" t="s">
        <v>20</v>
      </c>
      <c r="X74" s="170" t="s">
        <v>12</v>
      </c>
      <c r="Y74" s="178">
        <v>36.6</v>
      </c>
      <c r="Z74" s="177" t="s">
        <v>100</v>
      </c>
      <c r="AA74" s="170" t="s">
        <v>327</v>
      </c>
      <c r="AB74" s="170" t="s">
        <v>18</v>
      </c>
      <c r="AC74" s="178">
        <v>3.2</v>
      </c>
      <c r="AD74" s="177" t="s">
        <v>925</v>
      </c>
      <c r="AE74" s="170" t="s">
        <v>327</v>
      </c>
      <c r="AF74" s="170" t="s">
        <v>12</v>
      </c>
      <c r="AG74" s="178">
        <v>8.5</v>
      </c>
      <c r="AH74" s="170" t="s">
        <v>1301</v>
      </c>
      <c r="AI74" s="170" t="s">
        <v>327</v>
      </c>
      <c r="AJ74" s="170" t="s">
        <v>11</v>
      </c>
      <c r="AK74" s="170">
        <v>4</v>
      </c>
      <c r="AL74" s="177"/>
      <c r="AO74" s="178"/>
      <c r="AP74" s="177"/>
      <c r="AS74" s="178"/>
      <c r="AW74" s="178"/>
      <c r="BA74" s="179"/>
    </row>
    <row r="75" spans="1:53" s="170" customFormat="1" x14ac:dyDescent="0.15">
      <c r="A75" s="170">
        <v>2015</v>
      </c>
      <c r="B75" s="304"/>
      <c r="C75" s="425" t="s">
        <v>1300</v>
      </c>
      <c r="D75" s="425"/>
      <c r="E75" s="170">
        <v>308</v>
      </c>
      <c r="G75" s="171">
        <v>2</v>
      </c>
      <c r="H75" s="116">
        <v>2</v>
      </c>
      <c r="I75" s="116">
        <v>16</v>
      </c>
      <c r="J75" s="172">
        <v>22</v>
      </c>
      <c r="K75" s="173">
        <f t="shared" si="9"/>
        <v>9.0909090909090917</v>
      </c>
      <c r="L75" s="173">
        <f t="shared" si="10"/>
        <v>9.0909090909090917</v>
      </c>
      <c r="M75" s="173">
        <f t="shared" si="11"/>
        <v>72.727272727272734</v>
      </c>
      <c r="N75" s="174">
        <f t="shared" si="12"/>
        <v>90.909090909090921</v>
      </c>
      <c r="O75" s="175">
        <v>4</v>
      </c>
      <c r="P75" s="173">
        <v>3.2</v>
      </c>
      <c r="Q75" s="173">
        <v>45.1</v>
      </c>
      <c r="R75" s="176">
        <f t="shared" ref="R75" si="13">SUM(O75:Q75)</f>
        <v>52.300000000000004</v>
      </c>
      <c r="S75" s="170">
        <v>2</v>
      </c>
      <c r="T75" s="283"/>
      <c r="U75" s="304"/>
      <c r="V75" s="177" t="s">
        <v>919</v>
      </c>
      <c r="W75" s="170" t="s">
        <v>20</v>
      </c>
      <c r="X75" s="170" t="s">
        <v>12</v>
      </c>
      <c r="Y75" s="178">
        <v>36.6</v>
      </c>
      <c r="Z75" s="177" t="s">
        <v>100</v>
      </c>
      <c r="AA75" s="170" t="s">
        <v>327</v>
      </c>
      <c r="AB75" s="170" t="s">
        <v>18</v>
      </c>
      <c r="AC75" s="178">
        <v>3.2</v>
      </c>
      <c r="AD75" s="177" t="s">
        <v>925</v>
      </c>
      <c r="AE75" s="170" t="s">
        <v>327</v>
      </c>
      <c r="AF75" s="170" t="s">
        <v>12</v>
      </c>
      <c r="AG75" s="178">
        <v>8.5</v>
      </c>
      <c r="AH75" s="170" t="s">
        <v>1301</v>
      </c>
      <c r="AI75" s="170" t="s">
        <v>327</v>
      </c>
      <c r="AJ75" s="170" t="s">
        <v>11</v>
      </c>
      <c r="AK75" s="170">
        <v>4</v>
      </c>
      <c r="AL75" s="177"/>
      <c r="AO75" s="178"/>
      <c r="AP75" s="177"/>
      <c r="AS75" s="178"/>
      <c r="AW75" s="178"/>
      <c r="BA75" s="179"/>
    </row>
    <row r="76" spans="1:53" s="28" customFormat="1" x14ac:dyDescent="0.15">
      <c r="A76" s="28">
        <v>2015</v>
      </c>
      <c r="B76" s="275">
        <v>42313</v>
      </c>
      <c r="C76" s="394" t="s">
        <v>1327</v>
      </c>
      <c r="D76" s="394"/>
      <c r="E76" s="28">
        <v>4</v>
      </c>
      <c r="F76" s="28">
        <v>2</v>
      </c>
      <c r="G76" s="29">
        <v>2</v>
      </c>
      <c r="H76" s="30">
        <v>2</v>
      </c>
      <c r="I76" s="30">
        <v>15</v>
      </c>
      <c r="J76" s="31">
        <v>21</v>
      </c>
      <c r="K76" s="32">
        <f t="shared" si="9"/>
        <v>9.5238095238095237</v>
      </c>
      <c r="L76" s="32">
        <f t="shared" si="10"/>
        <v>9.5238095238095237</v>
      </c>
      <c r="M76" s="32">
        <f t="shared" si="11"/>
        <v>71.428571428571431</v>
      </c>
      <c r="N76" s="33">
        <f t="shared" si="12"/>
        <v>90.476190476190482</v>
      </c>
      <c r="O76" s="34">
        <v>4</v>
      </c>
      <c r="P76" s="32">
        <v>3.2</v>
      </c>
      <c r="Q76" s="32">
        <v>45.1</v>
      </c>
      <c r="R76" s="35">
        <v>52.300000000000004</v>
      </c>
      <c r="S76" s="28">
        <v>6</v>
      </c>
      <c r="T76" s="284"/>
      <c r="U76" s="275">
        <v>42313</v>
      </c>
      <c r="V76" s="88" t="s">
        <v>1326</v>
      </c>
      <c r="Z76" s="37" t="s">
        <v>919</v>
      </c>
      <c r="AA76" s="28" t="s">
        <v>20</v>
      </c>
      <c r="AB76" s="28" t="s">
        <v>12</v>
      </c>
      <c r="AC76" s="28">
        <v>36.6</v>
      </c>
      <c r="AD76" s="37" t="s">
        <v>100</v>
      </c>
      <c r="AE76" s="28" t="s">
        <v>327</v>
      </c>
      <c r="AF76" s="28" t="s">
        <v>18</v>
      </c>
      <c r="AG76" s="38">
        <v>3.2</v>
      </c>
      <c r="AH76" s="28" t="s">
        <v>925</v>
      </c>
      <c r="AI76" s="28" t="s">
        <v>327</v>
      </c>
      <c r="AJ76" s="28" t="s">
        <v>12</v>
      </c>
      <c r="AK76" s="28">
        <v>8.5</v>
      </c>
      <c r="AL76" s="37" t="s">
        <v>1301</v>
      </c>
      <c r="AM76" s="28" t="s">
        <v>327</v>
      </c>
      <c r="AN76" s="28" t="s">
        <v>11</v>
      </c>
      <c r="AO76" s="38">
        <v>4</v>
      </c>
      <c r="AP76" s="37"/>
      <c r="AS76" s="38"/>
      <c r="AW76" s="38"/>
      <c r="BA76" s="39"/>
    </row>
    <row r="77" spans="1:53" s="28" customFormat="1" x14ac:dyDescent="0.15">
      <c r="A77" s="28">
        <v>2015</v>
      </c>
      <c r="B77" s="301">
        <v>42317</v>
      </c>
      <c r="C77" s="394" t="s">
        <v>1327</v>
      </c>
      <c r="D77" s="394"/>
      <c r="E77" s="28">
        <v>8</v>
      </c>
      <c r="F77" s="83">
        <v>0</v>
      </c>
      <c r="G77" s="29">
        <v>2</v>
      </c>
      <c r="H77" s="30">
        <v>2</v>
      </c>
      <c r="I77" s="30">
        <v>14</v>
      </c>
      <c r="J77" s="31">
        <v>20</v>
      </c>
      <c r="K77" s="32">
        <f t="shared" si="9"/>
        <v>10</v>
      </c>
      <c r="L77" s="32">
        <f t="shared" si="10"/>
        <v>10</v>
      </c>
      <c r="M77" s="32">
        <f t="shared" si="11"/>
        <v>70</v>
      </c>
      <c r="N77" s="33">
        <f t="shared" si="12"/>
        <v>90</v>
      </c>
      <c r="O77" s="34">
        <v>4</v>
      </c>
      <c r="P77" s="32">
        <v>3.2</v>
      </c>
      <c r="Q77" s="32">
        <v>45.1</v>
      </c>
      <c r="R77" s="35">
        <v>52.300000000000004</v>
      </c>
      <c r="S77" s="28">
        <v>6</v>
      </c>
      <c r="T77" s="284"/>
      <c r="U77" s="275"/>
      <c r="V77" s="88" t="s">
        <v>1326</v>
      </c>
      <c r="Z77" s="37" t="s">
        <v>919</v>
      </c>
      <c r="AA77" s="28" t="s">
        <v>20</v>
      </c>
      <c r="AB77" s="28" t="s">
        <v>12</v>
      </c>
      <c r="AC77" s="28">
        <v>36.6</v>
      </c>
      <c r="AD77" s="37" t="s">
        <v>100</v>
      </c>
      <c r="AE77" s="28" t="s">
        <v>327</v>
      </c>
      <c r="AF77" s="28" t="s">
        <v>18</v>
      </c>
      <c r="AG77" s="38">
        <v>3.2</v>
      </c>
      <c r="AH77" s="28" t="s">
        <v>925</v>
      </c>
      <c r="AI77" s="28" t="s">
        <v>327</v>
      </c>
      <c r="AJ77" s="28" t="s">
        <v>12</v>
      </c>
      <c r="AK77" s="28">
        <v>8.5</v>
      </c>
      <c r="AL77" s="37" t="s">
        <v>1301</v>
      </c>
      <c r="AM77" s="28" t="s">
        <v>327</v>
      </c>
      <c r="AN77" s="28" t="s">
        <v>11</v>
      </c>
      <c r="AO77" s="38">
        <v>4</v>
      </c>
      <c r="AP77" s="37"/>
      <c r="AS77" s="38"/>
      <c r="AW77" s="38"/>
      <c r="BA77" s="39"/>
    </row>
    <row r="78" spans="1:53" s="170" customFormat="1" x14ac:dyDescent="0.15">
      <c r="A78" s="170">
        <v>2015</v>
      </c>
      <c r="B78" s="304">
        <v>42325</v>
      </c>
      <c r="C78" s="425" t="s">
        <v>1328</v>
      </c>
      <c r="D78" s="425"/>
      <c r="E78" s="170">
        <v>45</v>
      </c>
      <c r="F78" s="170">
        <v>2</v>
      </c>
      <c r="G78" s="171">
        <v>0</v>
      </c>
      <c r="H78" s="116">
        <v>0</v>
      </c>
      <c r="I78" s="116">
        <v>0</v>
      </c>
      <c r="J78" s="172">
        <v>23</v>
      </c>
      <c r="K78" s="173">
        <f t="shared" si="9"/>
        <v>0</v>
      </c>
      <c r="L78" s="173">
        <f t="shared" si="10"/>
        <v>0</v>
      </c>
      <c r="M78" s="173">
        <f t="shared" si="11"/>
        <v>0</v>
      </c>
      <c r="N78" s="174">
        <f t="shared" si="12"/>
        <v>0</v>
      </c>
      <c r="O78" s="175">
        <v>0</v>
      </c>
      <c r="P78" s="173">
        <v>0</v>
      </c>
      <c r="Q78" s="173">
        <v>0</v>
      </c>
      <c r="R78" s="176">
        <v>0</v>
      </c>
      <c r="S78" s="170">
        <v>7</v>
      </c>
      <c r="T78" s="283"/>
      <c r="U78" s="304">
        <v>42325</v>
      </c>
      <c r="V78" s="241" t="s">
        <v>798</v>
      </c>
      <c r="Y78" s="178"/>
      <c r="Z78" s="177"/>
      <c r="AC78" s="178"/>
      <c r="AD78" s="177"/>
      <c r="AG78" s="178"/>
      <c r="AL78" s="177"/>
      <c r="AO78" s="178"/>
      <c r="AP78" s="177"/>
      <c r="AS78" s="178"/>
      <c r="AW78" s="178"/>
      <c r="BA78" s="179"/>
    </row>
    <row r="79" spans="1:53" s="170" customFormat="1" x14ac:dyDescent="0.15">
      <c r="A79" s="170">
        <v>2016</v>
      </c>
      <c r="B79" s="304"/>
      <c r="C79" s="425" t="s">
        <v>1328</v>
      </c>
      <c r="D79" s="425"/>
      <c r="E79" s="170">
        <v>0</v>
      </c>
      <c r="G79" s="171">
        <v>0</v>
      </c>
      <c r="H79" s="116">
        <v>0</v>
      </c>
      <c r="I79" s="116">
        <v>0</v>
      </c>
      <c r="J79" s="172">
        <v>23</v>
      </c>
      <c r="K79" s="173">
        <f t="shared" ref="K79:K85" si="14">G79/J79*100</f>
        <v>0</v>
      </c>
      <c r="L79" s="173">
        <f t="shared" ref="L79:L85" si="15">H79/J79*100</f>
        <v>0</v>
      </c>
      <c r="M79" s="173">
        <f t="shared" ref="M79:M85" si="16">I79/J79*100</f>
        <v>0</v>
      </c>
      <c r="N79" s="174">
        <f t="shared" ref="N79:N85" si="17">SUM(K79:M79)</f>
        <v>0</v>
      </c>
      <c r="O79" s="175">
        <v>0</v>
      </c>
      <c r="P79" s="173">
        <v>0</v>
      </c>
      <c r="Q79" s="173">
        <v>0</v>
      </c>
      <c r="R79" s="176">
        <v>0</v>
      </c>
      <c r="S79" s="170">
        <v>7</v>
      </c>
      <c r="T79" s="283"/>
      <c r="U79" s="304"/>
      <c r="V79" s="241" t="s">
        <v>798</v>
      </c>
      <c r="Y79" s="178"/>
      <c r="Z79" s="177"/>
      <c r="AC79" s="178"/>
      <c r="AD79" s="177"/>
      <c r="AG79" s="178"/>
      <c r="AL79" s="177"/>
      <c r="AO79" s="178"/>
      <c r="AP79" s="177"/>
      <c r="AS79" s="178"/>
      <c r="AW79" s="178"/>
      <c r="BA79" s="179"/>
    </row>
    <row r="80" spans="1:53" s="170" customFormat="1" x14ac:dyDescent="0.15">
      <c r="A80" s="170">
        <v>2016</v>
      </c>
      <c r="B80" s="304"/>
      <c r="C80" s="425" t="s">
        <v>1328</v>
      </c>
      <c r="D80" s="425"/>
      <c r="E80" s="170">
        <v>366</v>
      </c>
      <c r="G80" s="171">
        <v>0</v>
      </c>
      <c r="H80" s="116">
        <v>0</v>
      </c>
      <c r="I80" s="116">
        <v>0</v>
      </c>
      <c r="J80" s="172">
        <v>23</v>
      </c>
      <c r="K80" s="173">
        <f t="shared" si="14"/>
        <v>0</v>
      </c>
      <c r="L80" s="173">
        <f t="shared" si="15"/>
        <v>0</v>
      </c>
      <c r="M80" s="173">
        <f t="shared" si="16"/>
        <v>0</v>
      </c>
      <c r="N80" s="174">
        <f t="shared" si="17"/>
        <v>0</v>
      </c>
      <c r="O80" s="175">
        <v>0</v>
      </c>
      <c r="P80" s="173">
        <v>0</v>
      </c>
      <c r="Q80" s="173">
        <v>0</v>
      </c>
      <c r="R80" s="176">
        <v>0</v>
      </c>
      <c r="S80" s="170">
        <v>7</v>
      </c>
      <c r="T80" s="283"/>
      <c r="U80" s="304"/>
      <c r="V80" s="241" t="s">
        <v>798</v>
      </c>
      <c r="Y80" s="178"/>
      <c r="Z80" s="177"/>
      <c r="AC80" s="178"/>
      <c r="AD80" s="177"/>
      <c r="AG80" s="178"/>
      <c r="AL80" s="177"/>
      <c r="AO80" s="178"/>
      <c r="AP80" s="177"/>
      <c r="AS80" s="178"/>
      <c r="AW80" s="178"/>
      <c r="BA80" s="179"/>
    </row>
    <row r="81" spans="1:53" s="170" customFormat="1" x14ac:dyDescent="0.15">
      <c r="A81" s="170">
        <v>2017</v>
      </c>
      <c r="B81" s="281"/>
      <c r="C81" s="425" t="s">
        <v>1328</v>
      </c>
      <c r="D81" s="425"/>
      <c r="E81" s="170">
        <v>3</v>
      </c>
      <c r="G81" s="171">
        <v>0</v>
      </c>
      <c r="H81" s="116">
        <v>0</v>
      </c>
      <c r="I81" s="116">
        <v>0</v>
      </c>
      <c r="J81" s="172">
        <v>23</v>
      </c>
      <c r="K81" s="173">
        <f t="shared" si="14"/>
        <v>0</v>
      </c>
      <c r="L81" s="173">
        <f t="shared" si="15"/>
        <v>0</v>
      </c>
      <c r="M81" s="173">
        <f t="shared" si="16"/>
        <v>0</v>
      </c>
      <c r="N81" s="174">
        <f t="shared" si="17"/>
        <v>0</v>
      </c>
      <c r="O81" s="175">
        <v>0</v>
      </c>
      <c r="P81" s="173">
        <v>0</v>
      </c>
      <c r="Q81" s="173">
        <v>0</v>
      </c>
      <c r="R81" s="176">
        <v>0</v>
      </c>
      <c r="S81" s="170">
        <v>7</v>
      </c>
      <c r="T81" s="283"/>
      <c r="U81" s="304"/>
      <c r="V81" s="241" t="s">
        <v>798</v>
      </c>
      <c r="Y81" s="178"/>
      <c r="Z81" s="177"/>
      <c r="AC81" s="178"/>
      <c r="AD81" s="177"/>
      <c r="AG81" s="178"/>
      <c r="AL81" s="177"/>
      <c r="AO81" s="178"/>
      <c r="AP81" s="177"/>
      <c r="AS81" s="178"/>
      <c r="AW81" s="178"/>
      <c r="BA81" s="179"/>
    </row>
    <row r="82" spans="1:53" s="28" customFormat="1" x14ac:dyDescent="0.15">
      <c r="A82" s="28">
        <v>2017</v>
      </c>
      <c r="B82" s="275">
        <v>42739</v>
      </c>
      <c r="C82" s="424" t="s">
        <v>1380</v>
      </c>
      <c r="D82" s="424"/>
      <c r="E82" s="28">
        <v>29</v>
      </c>
      <c r="F82" s="28">
        <v>1</v>
      </c>
      <c r="G82" s="29">
        <v>4</v>
      </c>
      <c r="H82" s="30">
        <v>0</v>
      </c>
      <c r="I82" s="30">
        <v>22</v>
      </c>
      <c r="J82" s="31">
        <v>27</v>
      </c>
      <c r="K82" s="32">
        <f t="shared" si="14"/>
        <v>14.814814814814813</v>
      </c>
      <c r="L82" s="32">
        <f t="shared" si="15"/>
        <v>0</v>
      </c>
      <c r="M82" s="32">
        <f t="shared" si="16"/>
        <v>81.481481481481481</v>
      </c>
      <c r="N82" s="33">
        <f t="shared" si="17"/>
        <v>96.296296296296291</v>
      </c>
      <c r="O82" s="34">
        <v>6.1</v>
      </c>
      <c r="P82" s="32">
        <v>0</v>
      </c>
      <c r="Q82" s="32">
        <v>46.8</v>
      </c>
      <c r="R82" s="35">
        <v>52.9</v>
      </c>
      <c r="S82" s="28">
        <v>2</v>
      </c>
      <c r="T82" s="284">
        <v>42715</v>
      </c>
      <c r="U82" s="275">
        <v>42739</v>
      </c>
      <c r="V82" s="90" t="s">
        <v>919</v>
      </c>
      <c r="W82" s="28" t="s">
        <v>20</v>
      </c>
      <c r="X82" s="28" t="s">
        <v>12</v>
      </c>
      <c r="Y82" s="38">
        <v>46.8</v>
      </c>
      <c r="Z82" s="37" t="s">
        <v>1382</v>
      </c>
      <c r="AA82" s="28" t="s">
        <v>106</v>
      </c>
      <c r="AB82" s="28" t="s">
        <v>11</v>
      </c>
      <c r="AC82" s="38">
        <v>6.1</v>
      </c>
      <c r="AD82" s="37"/>
      <c r="AG82" s="38"/>
      <c r="AL82" s="37"/>
      <c r="AO82" s="38"/>
      <c r="AP82" s="37"/>
      <c r="AS82" s="38"/>
      <c r="AW82" s="38"/>
      <c r="BA82" s="39"/>
    </row>
    <row r="83" spans="1:53" s="28" customFormat="1" x14ac:dyDescent="0.15">
      <c r="A83" s="28">
        <v>2017</v>
      </c>
      <c r="B83" s="301">
        <v>42768</v>
      </c>
      <c r="C83" s="424" t="s">
        <v>1380</v>
      </c>
      <c r="D83" s="424"/>
      <c r="E83" s="28">
        <v>7</v>
      </c>
      <c r="F83" s="83">
        <v>0</v>
      </c>
      <c r="G83" s="29">
        <v>4</v>
      </c>
      <c r="H83" s="30">
        <v>0</v>
      </c>
      <c r="I83" s="30">
        <v>23</v>
      </c>
      <c r="J83" s="31">
        <v>27</v>
      </c>
      <c r="K83" s="32">
        <f t="shared" si="14"/>
        <v>14.814814814814813</v>
      </c>
      <c r="L83" s="32">
        <f t="shared" si="15"/>
        <v>0</v>
      </c>
      <c r="M83" s="32">
        <f t="shared" si="16"/>
        <v>85.18518518518519</v>
      </c>
      <c r="N83" s="33">
        <f t="shared" si="17"/>
        <v>100</v>
      </c>
      <c r="O83" s="34">
        <v>6.1</v>
      </c>
      <c r="P83" s="32">
        <v>0</v>
      </c>
      <c r="Q83" s="32">
        <v>46.8</v>
      </c>
      <c r="R83" s="35">
        <v>52.9</v>
      </c>
      <c r="S83" s="28">
        <v>2</v>
      </c>
      <c r="T83" s="284"/>
      <c r="U83" s="275"/>
      <c r="V83" s="90" t="s">
        <v>919</v>
      </c>
      <c r="W83" s="28" t="s">
        <v>20</v>
      </c>
      <c r="X83" s="28" t="s">
        <v>12</v>
      </c>
      <c r="Y83" s="38">
        <v>46.8</v>
      </c>
      <c r="Z83" s="37" t="s">
        <v>1382</v>
      </c>
      <c r="AA83" s="28" t="s">
        <v>106</v>
      </c>
      <c r="AB83" s="28" t="s">
        <v>11</v>
      </c>
      <c r="AC83" s="38">
        <v>6.1</v>
      </c>
      <c r="AD83" s="37"/>
      <c r="AG83" s="38"/>
      <c r="AL83" s="37"/>
      <c r="AO83" s="38"/>
      <c r="AP83" s="37"/>
      <c r="AS83" s="38"/>
      <c r="AW83" s="38"/>
      <c r="BA83" s="39"/>
    </row>
    <row r="84" spans="1:53" s="28" customFormat="1" x14ac:dyDescent="0.15">
      <c r="A84" s="28">
        <v>2017</v>
      </c>
      <c r="B84" s="301">
        <v>42775</v>
      </c>
      <c r="C84" s="424" t="s">
        <v>1380</v>
      </c>
      <c r="D84" s="424"/>
      <c r="E84" s="28">
        <v>140</v>
      </c>
      <c r="F84" s="83">
        <v>0</v>
      </c>
      <c r="G84" s="29">
        <v>4</v>
      </c>
      <c r="H84" s="30">
        <v>0</v>
      </c>
      <c r="I84" s="30">
        <v>22</v>
      </c>
      <c r="J84" s="31">
        <v>27</v>
      </c>
      <c r="K84" s="32">
        <f t="shared" si="14"/>
        <v>14.814814814814813</v>
      </c>
      <c r="L84" s="32">
        <f t="shared" si="15"/>
        <v>0</v>
      </c>
      <c r="M84" s="32">
        <f t="shared" si="16"/>
        <v>81.481481481481481</v>
      </c>
      <c r="N84" s="33">
        <f t="shared" si="17"/>
        <v>96.296296296296291</v>
      </c>
      <c r="O84" s="34">
        <v>6.1</v>
      </c>
      <c r="P84" s="32">
        <v>0</v>
      </c>
      <c r="Q84" s="32">
        <v>46.8</v>
      </c>
      <c r="R84" s="35">
        <v>52.9</v>
      </c>
      <c r="S84" s="28">
        <v>2</v>
      </c>
      <c r="T84" s="284"/>
      <c r="U84" s="275"/>
      <c r="V84" s="90" t="s">
        <v>919</v>
      </c>
      <c r="W84" s="28" t="s">
        <v>20</v>
      </c>
      <c r="X84" s="28" t="s">
        <v>12</v>
      </c>
      <c r="Y84" s="38">
        <v>46.8</v>
      </c>
      <c r="Z84" s="37" t="s">
        <v>1382</v>
      </c>
      <c r="AA84" s="28" t="s">
        <v>106</v>
      </c>
      <c r="AB84" s="28" t="s">
        <v>11</v>
      </c>
      <c r="AC84" s="38">
        <v>6.1</v>
      </c>
      <c r="AD84" s="37"/>
      <c r="AG84" s="38"/>
      <c r="AL84" s="37"/>
      <c r="AO84" s="38"/>
      <c r="AP84" s="37"/>
      <c r="AS84" s="38"/>
      <c r="AW84" s="38"/>
      <c r="BA84" s="39"/>
    </row>
    <row r="85" spans="1:53" s="170" customFormat="1" x14ac:dyDescent="0.15">
      <c r="A85" s="170">
        <v>2017</v>
      </c>
      <c r="B85" s="304">
        <v>42915</v>
      </c>
      <c r="C85" s="425" t="s">
        <v>1381</v>
      </c>
      <c r="D85" s="425"/>
      <c r="E85" s="170">
        <v>105</v>
      </c>
      <c r="F85" s="170">
        <v>5</v>
      </c>
      <c r="G85" s="171">
        <v>4</v>
      </c>
      <c r="H85" s="116">
        <v>0</v>
      </c>
      <c r="I85" s="116">
        <v>23</v>
      </c>
      <c r="J85" s="172">
        <v>28</v>
      </c>
      <c r="K85" s="173">
        <f t="shared" si="14"/>
        <v>14.285714285714285</v>
      </c>
      <c r="L85" s="173">
        <f t="shared" si="15"/>
        <v>0</v>
      </c>
      <c r="M85" s="173">
        <f t="shared" si="16"/>
        <v>82.142857142857139</v>
      </c>
      <c r="N85" s="174">
        <f t="shared" si="17"/>
        <v>96.428571428571416</v>
      </c>
      <c r="O85" s="175">
        <v>4.5999999999999996</v>
      </c>
      <c r="P85" s="173">
        <v>0</v>
      </c>
      <c r="Q85" s="173">
        <v>46.8</v>
      </c>
      <c r="R85" s="176">
        <v>51.4</v>
      </c>
      <c r="S85" s="170">
        <v>2</v>
      </c>
      <c r="T85" s="283"/>
      <c r="U85" s="304">
        <v>42915</v>
      </c>
      <c r="V85" s="250" t="s">
        <v>919</v>
      </c>
      <c r="W85" s="170" t="s">
        <v>20</v>
      </c>
      <c r="X85" s="170" t="s">
        <v>12</v>
      </c>
      <c r="Y85" s="178">
        <v>46.8</v>
      </c>
      <c r="Z85" s="177" t="s">
        <v>1382</v>
      </c>
      <c r="AA85" s="170" t="s">
        <v>106</v>
      </c>
      <c r="AB85" s="170" t="s">
        <v>11</v>
      </c>
      <c r="AC85" s="178">
        <v>4.5999999999999996</v>
      </c>
      <c r="AD85" s="177"/>
      <c r="AG85" s="178"/>
      <c r="AL85" s="177"/>
      <c r="AO85" s="178"/>
      <c r="AP85" s="177"/>
      <c r="AS85" s="178"/>
      <c r="AW85" s="178"/>
      <c r="BA85" s="179"/>
    </row>
    <row r="86" spans="1:53" s="170" customFormat="1" x14ac:dyDescent="0.15">
      <c r="A86" s="170">
        <v>2017</v>
      </c>
      <c r="B86" s="303">
        <v>43020</v>
      </c>
      <c r="C86" s="425" t="s">
        <v>1381</v>
      </c>
      <c r="D86" s="425"/>
      <c r="E86" s="170">
        <v>81</v>
      </c>
      <c r="F86" s="243">
        <v>0</v>
      </c>
      <c r="G86" s="171">
        <v>4</v>
      </c>
      <c r="H86" s="116">
        <v>0</v>
      </c>
      <c r="I86" s="116">
        <v>22</v>
      </c>
      <c r="J86" s="172">
        <v>27</v>
      </c>
      <c r="K86" s="173">
        <f t="shared" ref="K86" si="18">G86/J86*100</f>
        <v>14.814814814814813</v>
      </c>
      <c r="L86" s="173">
        <f t="shared" ref="L86" si="19">H86/J86*100</f>
        <v>0</v>
      </c>
      <c r="M86" s="173">
        <f t="shared" ref="M86" si="20">I86/J86*100</f>
        <v>81.481481481481481</v>
      </c>
      <c r="N86" s="174">
        <f t="shared" ref="N86" si="21">SUM(K86:M86)</f>
        <v>96.296296296296291</v>
      </c>
      <c r="O86" s="175">
        <v>4.5999999999999996</v>
      </c>
      <c r="P86" s="173">
        <v>0</v>
      </c>
      <c r="Q86" s="173">
        <v>46.8</v>
      </c>
      <c r="R86" s="176">
        <v>51.4</v>
      </c>
      <c r="S86" s="170">
        <v>2</v>
      </c>
      <c r="T86" s="283"/>
      <c r="U86" s="304"/>
      <c r="V86" s="250" t="s">
        <v>919</v>
      </c>
      <c r="W86" s="170" t="s">
        <v>20</v>
      </c>
      <c r="X86" s="170" t="s">
        <v>12</v>
      </c>
      <c r="Y86" s="178">
        <v>46.8</v>
      </c>
      <c r="Z86" s="177" t="s">
        <v>1382</v>
      </c>
      <c r="AA86" s="170" t="s">
        <v>106</v>
      </c>
      <c r="AB86" s="170" t="s">
        <v>11</v>
      </c>
      <c r="AC86" s="178">
        <v>4.5999999999999996</v>
      </c>
      <c r="AD86" s="177"/>
      <c r="AG86" s="178"/>
      <c r="AL86" s="177"/>
      <c r="AO86" s="178"/>
      <c r="AP86" s="177"/>
      <c r="AS86" s="178"/>
      <c r="AW86" s="178"/>
      <c r="BA86" s="179"/>
    </row>
    <row r="87" spans="1:53" s="170" customFormat="1" x14ac:dyDescent="0.15">
      <c r="A87" s="170">
        <v>2018</v>
      </c>
      <c r="B87" s="303"/>
      <c r="C87" s="425" t="s">
        <v>1381</v>
      </c>
      <c r="D87" s="425"/>
      <c r="E87" s="170">
        <v>28</v>
      </c>
      <c r="F87" s="243"/>
      <c r="G87" s="171">
        <v>4</v>
      </c>
      <c r="H87" s="116">
        <v>0</v>
      </c>
      <c r="I87" s="116">
        <v>22</v>
      </c>
      <c r="J87" s="172">
        <v>27</v>
      </c>
      <c r="K87" s="173">
        <f t="shared" ref="K87:K89" si="22">G87/J87*100</f>
        <v>14.814814814814813</v>
      </c>
      <c r="L87" s="173">
        <f t="shared" ref="L87:L89" si="23">H87/J87*100</f>
        <v>0</v>
      </c>
      <c r="M87" s="173">
        <f t="shared" ref="M87:M89" si="24">I87/J87*100</f>
        <v>81.481481481481481</v>
      </c>
      <c r="N87" s="174">
        <f t="shared" ref="N87:N89" si="25">SUM(K87:M87)</f>
        <v>96.296296296296291</v>
      </c>
      <c r="O87" s="175">
        <v>4.5999999999999996</v>
      </c>
      <c r="P87" s="173">
        <v>0</v>
      </c>
      <c r="Q87" s="173">
        <v>46.8</v>
      </c>
      <c r="R87" s="176">
        <v>51.4</v>
      </c>
      <c r="S87" s="170">
        <v>2</v>
      </c>
      <c r="T87" s="283"/>
      <c r="U87" s="304"/>
      <c r="V87" s="250" t="s">
        <v>919</v>
      </c>
      <c r="W87" s="170" t="s">
        <v>20</v>
      </c>
      <c r="X87" s="170" t="s">
        <v>12</v>
      </c>
      <c r="Y87" s="178">
        <v>46.8</v>
      </c>
      <c r="Z87" s="177" t="s">
        <v>1382</v>
      </c>
      <c r="AA87" s="170" t="s">
        <v>106</v>
      </c>
      <c r="AB87" s="170" t="s">
        <v>11</v>
      </c>
      <c r="AC87" s="178">
        <v>4.5999999999999996</v>
      </c>
      <c r="AD87" s="177"/>
      <c r="AG87" s="178"/>
      <c r="AL87" s="177"/>
      <c r="AO87" s="178"/>
      <c r="AP87" s="177"/>
      <c r="AS87" s="178"/>
      <c r="AW87" s="178"/>
      <c r="BA87" s="179"/>
    </row>
    <row r="88" spans="1:53" s="28" customFormat="1" x14ac:dyDescent="0.15">
      <c r="A88" s="28">
        <v>2018</v>
      </c>
      <c r="B88" s="275">
        <v>43129</v>
      </c>
      <c r="C88" s="424" t="s">
        <v>1399</v>
      </c>
      <c r="D88" s="424"/>
      <c r="E88" s="28">
        <v>295</v>
      </c>
      <c r="F88" s="28">
        <v>2</v>
      </c>
      <c r="G88" s="29">
        <v>4</v>
      </c>
      <c r="H88" s="30">
        <v>0</v>
      </c>
      <c r="I88" s="30">
        <v>22</v>
      </c>
      <c r="J88" s="31">
        <v>28</v>
      </c>
      <c r="K88" s="32">
        <f t="shared" si="22"/>
        <v>14.285714285714285</v>
      </c>
      <c r="L88" s="32">
        <f t="shared" si="23"/>
        <v>0</v>
      </c>
      <c r="M88" s="32">
        <f t="shared" si="24"/>
        <v>78.571428571428569</v>
      </c>
      <c r="N88" s="33">
        <f t="shared" si="25"/>
        <v>92.857142857142861</v>
      </c>
      <c r="O88" s="34">
        <v>4.5999999999999996</v>
      </c>
      <c r="P88" s="32">
        <v>0</v>
      </c>
      <c r="Q88" s="32">
        <v>46.8</v>
      </c>
      <c r="R88" s="35">
        <v>51.4</v>
      </c>
      <c r="S88" s="28">
        <v>2</v>
      </c>
      <c r="T88" s="284"/>
      <c r="U88" s="275">
        <v>43129</v>
      </c>
      <c r="V88" s="90" t="s">
        <v>919</v>
      </c>
      <c r="W88" s="28" t="s">
        <v>20</v>
      </c>
      <c r="X88" s="28" t="s">
        <v>12</v>
      </c>
      <c r="Y88" s="38">
        <v>46.8</v>
      </c>
      <c r="Z88" s="37" t="s">
        <v>1382</v>
      </c>
      <c r="AA88" s="28" t="s">
        <v>106</v>
      </c>
      <c r="AB88" s="28" t="s">
        <v>11</v>
      </c>
      <c r="AC88" s="38">
        <v>4.5999999999999996</v>
      </c>
      <c r="AD88" s="37"/>
      <c r="AG88" s="38"/>
      <c r="AL88" s="37"/>
      <c r="AO88" s="38"/>
      <c r="AP88" s="37"/>
      <c r="AS88" s="38"/>
      <c r="AW88" s="38"/>
      <c r="BA88" s="39"/>
    </row>
    <row r="89" spans="1:53" s="28" customFormat="1" x14ac:dyDescent="0.15">
      <c r="A89" s="28">
        <v>2018</v>
      </c>
      <c r="B89" s="301">
        <v>43424</v>
      </c>
      <c r="C89" s="424" t="s">
        <v>1399</v>
      </c>
      <c r="D89" s="424"/>
      <c r="E89" s="28">
        <v>42</v>
      </c>
      <c r="F89" s="83">
        <v>0</v>
      </c>
      <c r="G89" s="29">
        <v>4</v>
      </c>
      <c r="H89" s="30">
        <v>0</v>
      </c>
      <c r="I89" s="30">
        <v>21</v>
      </c>
      <c r="J89" s="31">
        <v>26</v>
      </c>
      <c r="K89" s="32">
        <f t="shared" si="22"/>
        <v>15.384615384615385</v>
      </c>
      <c r="L89" s="32">
        <f t="shared" si="23"/>
        <v>0</v>
      </c>
      <c r="M89" s="32">
        <f t="shared" si="24"/>
        <v>80.769230769230774</v>
      </c>
      <c r="N89" s="33">
        <f t="shared" si="25"/>
        <v>96.15384615384616</v>
      </c>
      <c r="O89" s="34">
        <v>4.5999999999999996</v>
      </c>
      <c r="P89" s="32">
        <v>0</v>
      </c>
      <c r="Q89" s="32">
        <v>46.8</v>
      </c>
      <c r="R89" s="35">
        <v>51.4</v>
      </c>
      <c r="S89" s="28">
        <v>2</v>
      </c>
      <c r="T89" s="284"/>
      <c r="U89" s="275"/>
      <c r="V89" s="90" t="s">
        <v>919</v>
      </c>
      <c r="W89" s="28" t="s">
        <v>20</v>
      </c>
      <c r="X89" s="28" t="s">
        <v>12</v>
      </c>
      <c r="Y89" s="38">
        <v>46.8</v>
      </c>
      <c r="Z89" s="37" t="s">
        <v>1382</v>
      </c>
      <c r="AA89" s="28" t="s">
        <v>106</v>
      </c>
      <c r="AB89" s="28" t="s">
        <v>11</v>
      </c>
      <c r="AC89" s="38">
        <v>4.5999999999999996</v>
      </c>
      <c r="AD89" s="37"/>
      <c r="AG89" s="38"/>
      <c r="AL89" s="37"/>
      <c r="AO89" s="38"/>
      <c r="AP89" s="37"/>
      <c r="AS89" s="38"/>
      <c r="AW89" s="38"/>
      <c r="BA89" s="39"/>
    </row>
    <row r="90" spans="1:53" s="28" customFormat="1" x14ac:dyDescent="0.15">
      <c r="A90" s="28">
        <v>2019</v>
      </c>
      <c r="B90" s="293"/>
      <c r="C90" s="424" t="s">
        <v>1399</v>
      </c>
      <c r="D90" s="424"/>
      <c r="E90" s="28">
        <v>113</v>
      </c>
      <c r="G90" s="29">
        <v>4</v>
      </c>
      <c r="H90" s="30">
        <v>0</v>
      </c>
      <c r="I90" s="30">
        <v>21</v>
      </c>
      <c r="J90" s="31">
        <v>26</v>
      </c>
      <c r="K90" s="32">
        <f t="shared" ref="K90:K107" si="26">G90/J90*100</f>
        <v>15.384615384615385</v>
      </c>
      <c r="L90" s="32">
        <f t="shared" ref="L90:L107" si="27">H90/J90*100</f>
        <v>0</v>
      </c>
      <c r="M90" s="32">
        <f t="shared" ref="M90:M107" si="28">I90/J90*100</f>
        <v>80.769230769230774</v>
      </c>
      <c r="N90" s="33">
        <f t="shared" ref="N90:N107" si="29">SUM(K90:M90)</f>
        <v>96.15384615384616</v>
      </c>
      <c r="O90" s="34">
        <v>4.5999999999999996</v>
      </c>
      <c r="P90" s="32">
        <v>0</v>
      </c>
      <c r="Q90" s="32">
        <v>46.8</v>
      </c>
      <c r="R90" s="35">
        <v>51.4</v>
      </c>
      <c r="S90" s="28">
        <v>2</v>
      </c>
      <c r="T90" s="284"/>
      <c r="U90" s="275"/>
      <c r="V90" s="90" t="s">
        <v>919</v>
      </c>
      <c r="W90" s="28" t="s">
        <v>20</v>
      </c>
      <c r="X90" s="28" t="s">
        <v>12</v>
      </c>
      <c r="Y90" s="38">
        <v>46.8</v>
      </c>
      <c r="Z90" s="37" t="s">
        <v>1382</v>
      </c>
      <c r="AA90" s="28" t="s">
        <v>106</v>
      </c>
      <c r="AB90" s="28" t="s">
        <v>11</v>
      </c>
      <c r="AC90" s="38">
        <v>4.5999999999999996</v>
      </c>
      <c r="AD90" s="37"/>
      <c r="AG90" s="38"/>
      <c r="AL90" s="37"/>
      <c r="AO90" s="38"/>
      <c r="AP90" s="37"/>
      <c r="AS90" s="38"/>
      <c r="AW90" s="38"/>
      <c r="BA90" s="39"/>
    </row>
    <row r="91" spans="1:53" s="28" customFormat="1" x14ac:dyDescent="0.15">
      <c r="A91" s="28">
        <v>2019</v>
      </c>
      <c r="B91" s="301">
        <v>43579</v>
      </c>
      <c r="C91" s="424" t="s">
        <v>1399</v>
      </c>
      <c r="D91" s="424"/>
      <c r="E91" s="28">
        <v>82</v>
      </c>
      <c r="F91" s="83">
        <v>0</v>
      </c>
      <c r="G91" s="29">
        <v>4</v>
      </c>
      <c r="H91" s="30">
        <v>0</v>
      </c>
      <c r="I91" s="30">
        <v>22</v>
      </c>
      <c r="J91" s="31">
        <v>26</v>
      </c>
      <c r="K91" s="32">
        <f t="shared" si="26"/>
        <v>15.384615384615385</v>
      </c>
      <c r="L91" s="32">
        <f t="shared" si="27"/>
        <v>0</v>
      </c>
      <c r="M91" s="32">
        <f t="shared" si="28"/>
        <v>84.615384615384613</v>
      </c>
      <c r="N91" s="33">
        <f t="shared" si="29"/>
        <v>100</v>
      </c>
      <c r="O91" s="34">
        <v>4.5999999999999996</v>
      </c>
      <c r="P91" s="32">
        <v>0</v>
      </c>
      <c r="Q91" s="32">
        <v>46.8</v>
      </c>
      <c r="R91" s="35">
        <v>51.4</v>
      </c>
      <c r="S91" s="28">
        <v>2</v>
      </c>
      <c r="T91" s="284"/>
      <c r="U91" s="275"/>
      <c r="V91" s="90" t="s">
        <v>919</v>
      </c>
      <c r="W91" s="28" t="s">
        <v>20</v>
      </c>
      <c r="X91" s="28" t="s">
        <v>12</v>
      </c>
      <c r="Y91" s="38">
        <v>46.8</v>
      </c>
      <c r="Z91" s="37" t="s">
        <v>1382</v>
      </c>
      <c r="AA91" s="28" t="s">
        <v>106</v>
      </c>
      <c r="AB91" s="28" t="s">
        <v>11</v>
      </c>
      <c r="AC91" s="38">
        <v>4.5999999999999996</v>
      </c>
      <c r="AD91" s="37"/>
      <c r="AG91" s="38"/>
      <c r="AL91" s="37"/>
      <c r="AO91" s="38"/>
      <c r="AP91" s="37"/>
      <c r="AS91" s="38"/>
      <c r="AW91" s="38"/>
      <c r="BA91" s="39"/>
    </row>
    <row r="92" spans="1:53" s="28" customFormat="1" x14ac:dyDescent="0.15">
      <c r="A92" s="28">
        <v>2019</v>
      </c>
      <c r="B92" s="301">
        <v>43661</v>
      </c>
      <c r="C92" s="424" t="s">
        <v>1399</v>
      </c>
      <c r="D92" s="424"/>
      <c r="E92" s="28">
        <v>43</v>
      </c>
      <c r="F92" s="83">
        <v>0</v>
      </c>
      <c r="G92" s="29">
        <v>3</v>
      </c>
      <c r="H92" s="30">
        <v>0</v>
      </c>
      <c r="I92" s="30">
        <v>21</v>
      </c>
      <c r="J92" s="31">
        <v>25</v>
      </c>
      <c r="K92" s="32">
        <f t="shared" si="26"/>
        <v>12</v>
      </c>
      <c r="L92" s="32">
        <f t="shared" si="27"/>
        <v>0</v>
      </c>
      <c r="M92" s="32">
        <f t="shared" si="28"/>
        <v>84</v>
      </c>
      <c r="N92" s="33">
        <f t="shared" si="29"/>
        <v>96</v>
      </c>
      <c r="O92" s="34">
        <v>4.5999999999999996</v>
      </c>
      <c r="P92" s="32">
        <v>0</v>
      </c>
      <c r="Q92" s="32">
        <v>46.8</v>
      </c>
      <c r="R92" s="35">
        <v>51.4</v>
      </c>
      <c r="S92" s="28">
        <v>2</v>
      </c>
      <c r="T92" s="284"/>
      <c r="U92" s="275"/>
      <c r="V92" s="90" t="s">
        <v>919</v>
      </c>
      <c r="W92" s="28" t="s">
        <v>20</v>
      </c>
      <c r="X92" s="28" t="s">
        <v>12</v>
      </c>
      <c r="Y92" s="38">
        <v>46.8</v>
      </c>
      <c r="Z92" s="37" t="s">
        <v>1382</v>
      </c>
      <c r="AA92" s="28" t="s">
        <v>106</v>
      </c>
      <c r="AB92" s="28" t="s">
        <v>11</v>
      </c>
      <c r="AC92" s="38">
        <v>4.5999999999999996</v>
      </c>
      <c r="AD92" s="37"/>
      <c r="AG92" s="38"/>
      <c r="AL92" s="37"/>
      <c r="AO92" s="38"/>
      <c r="AP92" s="37"/>
      <c r="AS92" s="38"/>
      <c r="AW92" s="38"/>
      <c r="BA92" s="39"/>
    </row>
    <row r="93" spans="1:53" s="28" customFormat="1" x14ac:dyDescent="0.15">
      <c r="A93" s="28">
        <v>2019</v>
      </c>
      <c r="B93" s="275">
        <v>43704</v>
      </c>
      <c r="C93" s="424" t="s">
        <v>1399</v>
      </c>
      <c r="D93" s="424"/>
      <c r="E93" s="28">
        <v>69</v>
      </c>
      <c r="F93" s="28">
        <v>4</v>
      </c>
      <c r="G93" s="29">
        <v>0</v>
      </c>
      <c r="H93" s="30">
        <v>0</v>
      </c>
      <c r="I93" s="30">
        <v>21</v>
      </c>
      <c r="J93" s="31">
        <v>22</v>
      </c>
      <c r="K93" s="32">
        <f t="shared" si="26"/>
        <v>0</v>
      </c>
      <c r="L93" s="32">
        <f t="shared" si="27"/>
        <v>0</v>
      </c>
      <c r="M93" s="32">
        <f t="shared" si="28"/>
        <v>95.454545454545453</v>
      </c>
      <c r="N93" s="33">
        <f t="shared" si="29"/>
        <v>95.454545454545453</v>
      </c>
      <c r="O93" s="34">
        <v>0</v>
      </c>
      <c r="P93" s="32">
        <v>0</v>
      </c>
      <c r="Q93" s="32">
        <v>46.8</v>
      </c>
      <c r="R93" s="35">
        <f>SUM(O93:Q93)</f>
        <v>46.8</v>
      </c>
      <c r="S93" s="28">
        <v>4</v>
      </c>
      <c r="T93" s="284"/>
      <c r="U93" s="275"/>
      <c r="V93" s="90" t="s">
        <v>919</v>
      </c>
      <c r="W93" s="28" t="s">
        <v>20</v>
      </c>
      <c r="X93" s="28" t="s">
        <v>12</v>
      </c>
      <c r="Y93" s="38">
        <v>46.8</v>
      </c>
      <c r="Z93" s="37"/>
      <c r="AC93" s="38"/>
      <c r="AD93" s="37"/>
      <c r="AG93" s="38"/>
      <c r="AL93" s="37"/>
      <c r="AO93" s="38"/>
      <c r="AP93" s="37"/>
      <c r="AS93" s="38"/>
      <c r="AW93" s="38"/>
      <c r="BA93" s="39"/>
    </row>
    <row r="94" spans="1:53" s="170" customFormat="1" x14ac:dyDescent="0.15">
      <c r="A94" s="170">
        <v>2019</v>
      </c>
      <c r="B94" s="304">
        <v>43773</v>
      </c>
      <c r="C94" s="425" t="s">
        <v>1425</v>
      </c>
      <c r="D94" s="425"/>
      <c r="E94" s="170">
        <v>58</v>
      </c>
      <c r="F94" s="170">
        <v>5</v>
      </c>
      <c r="G94" s="171">
        <v>16</v>
      </c>
      <c r="H94" s="116">
        <v>0</v>
      </c>
      <c r="I94" s="116">
        <v>0</v>
      </c>
      <c r="J94" s="172">
        <v>18</v>
      </c>
      <c r="K94" s="173">
        <f t="shared" si="26"/>
        <v>88.888888888888886</v>
      </c>
      <c r="L94" s="173">
        <f t="shared" si="27"/>
        <v>0</v>
      </c>
      <c r="M94" s="173">
        <f t="shared" si="28"/>
        <v>0</v>
      </c>
      <c r="N94" s="174">
        <f t="shared" si="29"/>
        <v>88.888888888888886</v>
      </c>
      <c r="O94" s="175">
        <v>20.9</v>
      </c>
      <c r="P94" s="173">
        <v>0</v>
      </c>
      <c r="Q94" s="173">
        <v>0</v>
      </c>
      <c r="R94" s="176">
        <f>SUM(O94:Q94)</f>
        <v>20.9</v>
      </c>
      <c r="S94" s="189">
        <v>4</v>
      </c>
      <c r="T94" s="283"/>
      <c r="U94" s="338">
        <v>43773</v>
      </c>
      <c r="V94" s="252" t="s">
        <v>907</v>
      </c>
      <c r="W94" s="170" t="s">
        <v>22</v>
      </c>
      <c r="X94" s="170" t="s">
        <v>11</v>
      </c>
      <c r="Y94" s="178">
        <v>20.9</v>
      </c>
      <c r="Z94" s="177"/>
      <c r="AC94" s="178"/>
      <c r="AD94" s="177"/>
      <c r="AG94" s="178"/>
      <c r="AL94" s="177"/>
      <c r="AO94" s="178"/>
      <c r="AP94" s="177"/>
      <c r="AS94" s="178"/>
      <c r="AW94" s="178"/>
      <c r="BA94" s="179"/>
    </row>
    <row r="95" spans="1:53" s="170" customFormat="1" x14ac:dyDescent="0.15">
      <c r="A95" s="170">
        <v>2020</v>
      </c>
      <c r="B95" s="304"/>
      <c r="C95" s="425" t="s">
        <v>1425</v>
      </c>
      <c r="D95" s="425"/>
      <c r="E95" s="170">
        <v>74</v>
      </c>
      <c r="F95" s="179"/>
      <c r="G95" s="116">
        <v>16</v>
      </c>
      <c r="H95" s="116">
        <v>0</v>
      </c>
      <c r="I95" s="116">
        <v>0</v>
      </c>
      <c r="J95" s="172">
        <v>18</v>
      </c>
      <c r="K95" s="173">
        <f t="shared" si="26"/>
        <v>88.888888888888886</v>
      </c>
      <c r="L95" s="173">
        <f t="shared" si="27"/>
        <v>0</v>
      </c>
      <c r="M95" s="173">
        <f t="shared" si="28"/>
        <v>0</v>
      </c>
      <c r="N95" s="176">
        <f t="shared" si="29"/>
        <v>88.888888888888886</v>
      </c>
      <c r="O95" s="173">
        <v>20.9</v>
      </c>
      <c r="P95" s="173">
        <v>0</v>
      </c>
      <c r="Q95" s="173">
        <v>0</v>
      </c>
      <c r="R95" s="176">
        <f t="shared" ref="R95:R103" si="30">SUM(O95:Q95)</f>
        <v>20.9</v>
      </c>
      <c r="S95" s="189">
        <v>4</v>
      </c>
      <c r="T95" s="283"/>
      <c r="U95" s="338"/>
      <c r="V95" s="252" t="s">
        <v>907</v>
      </c>
      <c r="W95" s="170" t="s">
        <v>22</v>
      </c>
      <c r="X95" s="170" t="s">
        <v>11</v>
      </c>
      <c r="Y95" s="178">
        <v>20.9</v>
      </c>
      <c r="AC95" s="178"/>
      <c r="AG95" s="178"/>
      <c r="AK95" s="178"/>
      <c r="AO95" s="178"/>
      <c r="AS95" s="178"/>
      <c r="AW95" s="178"/>
      <c r="BA95" s="179"/>
    </row>
    <row r="96" spans="1:53" s="28" customFormat="1" x14ac:dyDescent="0.15">
      <c r="A96" s="28">
        <v>2020</v>
      </c>
      <c r="B96" s="275">
        <v>43904</v>
      </c>
      <c r="C96" s="424" t="s">
        <v>1468</v>
      </c>
      <c r="D96" s="424"/>
      <c r="E96" s="28">
        <v>275</v>
      </c>
      <c r="F96" s="39">
        <v>5</v>
      </c>
      <c r="G96" s="30">
        <v>16</v>
      </c>
      <c r="H96" s="30">
        <v>0</v>
      </c>
      <c r="I96" s="30">
        <v>0</v>
      </c>
      <c r="J96" s="31">
        <v>18</v>
      </c>
      <c r="K96" s="32">
        <f t="shared" si="26"/>
        <v>88.888888888888886</v>
      </c>
      <c r="L96" s="32">
        <f t="shared" si="27"/>
        <v>0</v>
      </c>
      <c r="M96" s="32">
        <f t="shared" si="28"/>
        <v>0</v>
      </c>
      <c r="N96" s="35">
        <f t="shared" si="29"/>
        <v>88.888888888888886</v>
      </c>
      <c r="O96" s="32">
        <v>20.9</v>
      </c>
      <c r="P96" s="32">
        <v>0</v>
      </c>
      <c r="Q96" s="32">
        <v>0</v>
      </c>
      <c r="R96" s="35">
        <f t="shared" si="30"/>
        <v>20.9</v>
      </c>
      <c r="S96" s="36">
        <v>4</v>
      </c>
      <c r="T96" s="284"/>
      <c r="U96" s="342">
        <v>43904</v>
      </c>
      <c r="V96" s="93" t="s">
        <v>907</v>
      </c>
      <c r="W96" s="28" t="s">
        <v>22</v>
      </c>
      <c r="X96" s="28" t="s">
        <v>11</v>
      </c>
      <c r="Y96" s="38">
        <v>20.9</v>
      </c>
      <c r="AC96" s="38"/>
      <c r="AG96" s="38"/>
      <c r="AK96" s="38"/>
      <c r="AO96" s="38"/>
      <c r="AS96" s="38"/>
      <c r="AW96" s="38"/>
      <c r="BA96" s="39"/>
    </row>
    <row r="97" spans="1:53" s="170" customFormat="1" x14ac:dyDescent="0.15">
      <c r="A97" s="170">
        <v>2020</v>
      </c>
      <c r="B97" s="304">
        <v>44188</v>
      </c>
      <c r="C97" s="425" t="s">
        <v>1470</v>
      </c>
      <c r="D97" s="425"/>
      <c r="E97" s="170">
        <v>9</v>
      </c>
      <c r="F97" s="179">
        <v>1</v>
      </c>
      <c r="G97" s="116">
        <v>16</v>
      </c>
      <c r="H97" s="116">
        <v>4</v>
      </c>
      <c r="I97" s="116">
        <v>0</v>
      </c>
      <c r="J97" s="172">
        <v>21</v>
      </c>
      <c r="K97" s="173">
        <f t="shared" si="26"/>
        <v>76.19047619047619</v>
      </c>
      <c r="L97" s="173">
        <f t="shared" si="27"/>
        <v>19.047619047619047</v>
      </c>
      <c r="M97" s="173">
        <f t="shared" si="28"/>
        <v>0</v>
      </c>
      <c r="N97" s="176">
        <f t="shared" si="29"/>
        <v>95.238095238095241</v>
      </c>
      <c r="O97" s="173">
        <v>45</v>
      </c>
      <c r="P97" s="173">
        <v>6.4</v>
      </c>
      <c r="Q97" s="173">
        <v>0</v>
      </c>
      <c r="R97" s="176">
        <f t="shared" si="30"/>
        <v>51.4</v>
      </c>
      <c r="S97" s="189">
        <v>2</v>
      </c>
      <c r="T97" s="283">
        <v>44171</v>
      </c>
      <c r="U97" s="338">
        <v>44188</v>
      </c>
      <c r="V97" s="252" t="s">
        <v>907</v>
      </c>
      <c r="W97" s="170" t="s">
        <v>22</v>
      </c>
      <c r="X97" s="170" t="s">
        <v>11</v>
      </c>
      <c r="Y97" s="178">
        <v>28.3</v>
      </c>
      <c r="Z97" s="170" t="s">
        <v>1469</v>
      </c>
      <c r="AA97" s="170" t="s">
        <v>306</v>
      </c>
      <c r="AB97" s="170" t="s">
        <v>11</v>
      </c>
      <c r="AC97" s="178">
        <v>16.7</v>
      </c>
      <c r="AD97" s="170" t="s">
        <v>915</v>
      </c>
      <c r="AE97" s="170" t="s">
        <v>89</v>
      </c>
      <c r="AF97" s="170" t="s">
        <v>18</v>
      </c>
      <c r="AG97" s="178">
        <v>6.4</v>
      </c>
      <c r="AK97" s="178"/>
      <c r="AO97" s="178"/>
      <c r="AS97" s="178"/>
      <c r="AW97" s="178"/>
      <c r="BA97" s="179"/>
    </row>
    <row r="98" spans="1:53" s="170" customFormat="1" x14ac:dyDescent="0.15">
      <c r="A98" s="170">
        <v>2021</v>
      </c>
      <c r="B98" s="304"/>
      <c r="C98" s="425" t="s">
        <v>1470</v>
      </c>
      <c r="D98" s="425"/>
      <c r="E98" s="170">
        <v>245</v>
      </c>
      <c r="F98" s="179"/>
      <c r="G98" s="116">
        <v>16</v>
      </c>
      <c r="H98" s="116">
        <v>4</v>
      </c>
      <c r="I98" s="116">
        <v>0</v>
      </c>
      <c r="J98" s="172">
        <v>21</v>
      </c>
      <c r="K98" s="173">
        <f t="shared" si="26"/>
        <v>76.19047619047619</v>
      </c>
      <c r="L98" s="173">
        <f t="shared" si="27"/>
        <v>19.047619047619047</v>
      </c>
      <c r="M98" s="173">
        <f t="shared" si="28"/>
        <v>0</v>
      </c>
      <c r="N98" s="176">
        <f t="shared" si="29"/>
        <v>95.238095238095241</v>
      </c>
      <c r="O98" s="173">
        <v>45</v>
      </c>
      <c r="P98" s="173">
        <v>6.4</v>
      </c>
      <c r="Q98" s="173">
        <v>0</v>
      </c>
      <c r="R98" s="176">
        <f t="shared" si="30"/>
        <v>51.4</v>
      </c>
      <c r="S98" s="189">
        <v>2</v>
      </c>
      <c r="T98" s="283"/>
      <c r="U98" s="338"/>
      <c r="V98" s="252" t="s">
        <v>907</v>
      </c>
      <c r="W98" s="170" t="s">
        <v>22</v>
      </c>
      <c r="X98" s="170" t="s">
        <v>11</v>
      </c>
      <c r="Y98" s="178">
        <v>28.3</v>
      </c>
      <c r="Z98" s="170" t="s">
        <v>1469</v>
      </c>
      <c r="AA98" s="170" t="s">
        <v>306</v>
      </c>
      <c r="AB98" s="170" t="s">
        <v>11</v>
      </c>
      <c r="AC98" s="178">
        <v>16.7</v>
      </c>
      <c r="AD98" s="170" t="s">
        <v>915</v>
      </c>
      <c r="AE98" s="170" t="s">
        <v>89</v>
      </c>
      <c r="AF98" s="170" t="s">
        <v>18</v>
      </c>
      <c r="AG98" s="178">
        <v>6.4</v>
      </c>
      <c r="AK98" s="178"/>
      <c r="AO98" s="178"/>
      <c r="AS98" s="178"/>
      <c r="AW98" s="178"/>
      <c r="BA98" s="179"/>
    </row>
    <row r="99" spans="1:53" s="170" customFormat="1" x14ac:dyDescent="0.15">
      <c r="A99" s="170">
        <v>2021</v>
      </c>
      <c r="B99" s="303">
        <v>44441</v>
      </c>
      <c r="C99" s="425" t="s">
        <v>1470</v>
      </c>
      <c r="D99" s="425"/>
      <c r="E99" s="170">
        <v>5</v>
      </c>
      <c r="F99" s="246">
        <v>0</v>
      </c>
      <c r="G99" s="116">
        <v>15</v>
      </c>
      <c r="H99" s="116">
        <v>4</v>
      </c>
      <c r="I99" s="116">
        <v>0</v>
      </c>
      <c r="J99" s="172">
        <v>20</v>
      </c>
      <c r="K99" s="173">
        <f t="shared" si="26"/>
        <v>75</v>
      </c>
      <c r="L99" s="173">
        <f t="shared" si="27"/>
        <v>20</v>
      </c>
      <c r="M99" s="173">
        <f t="shared" si="28"/>
        <v>0</v>
      </c>
      <c r="N99" s="176">
        <f t="shared" si="29"/>
        <v>95</v>
      </c>
      <c r="O99" s="173">
        <v>45</v>
      </c>
      <c r="P99" s="173">
        <v>6.4</v>
      </c>
      <c r="Q99" s="173">
        <v>0</v>
      </c>
      <c r="R99" s="176">
        <f t="shared" si="30"/>
        <v>51.4</v>
      </c>
      <c r="S99" s="189">
        <v>2</v>
      </c>
      <c r="T99" s="283"/>
      <c r="U99" s="338"/>
      <c r="V99" s="252" t="s">
        <v>907</v>
      </c>
      <c r="W99" s="170" t="s">
        <v>22</v>
      </c>
      <c r="X99" s="170" t="s">
        <v>11</v>
      </c>
      <c r="Y99" s="178">
        <v>28.3</v>
      </c>
      <c r="Z99" s="170" t="s">
        <v>1469</v>
      </c>
      <c r="AA99" s="170" t="s">
        <v>306</v>
      </c>
      <c r="AB99" s="170" t="s">
        <v>11</v>
      </c>
      <c r="AC99" s="178">
        <v>16.7</v>
      </c>
      <c r="AD99" s="170" t="s">
        <v>915</v>
      </c>
      <c r="AE99" s="170" t="s">
        <v>89</v>
      </c>
      <c r="AF99" s="170" t="s">
        <v>18</v>
      </c>
      <c r="AG99" s="178">
        <v>6.4</v>
      </c>
      <c r="AK99" s="178"/>
      <c r="AO99" s="178"/>
      <c r="AS99" s="178"/>
      <c r="AW99" s="178"/>
      <c r="BA99" s="179"/>
    </row>
    <row r="100" spans="1:53" s="170" customFormat="1" x14ac:dyDescent="0.15">
      <c r="A100" s="170">
        <v>2021</v>
      </c>
      <c r="B100" s="303">
        <v>44446</v>
      </c>
      <c r="C100" s="425" t="s">
        <v>1470</v>
      </c>
      <c r="D100" s="425"/>
      <c r="E100" s="170">
        <v>1</v>
      </c>
      <c r="F100" s="246">
        <v>0</v>
      </c>
      <c r="G100" s="116">
        <v>10</v>
      </c>
      <c r="H100" s="116">
        <v>4</v>
      </c>
      <c r="I100" s="116">
        <v>0</v>
      </c>
      <c r="J100" s="172">
        <v>15</v>
      </c>
      <c r="K100" s="173">
        <f t="shared" si="26"/>
        <v>66.666666666666657</v>
      </c>
      <c r="L100" s="173">
        <f t="shared" si="27"/>
        <v>26.666666666666668</v>
      </c>
      <c r="M100" s="173">
        <f t="shared" si="28"/>
        <v>0</v>
      </c>
      <c r="N100" s="176">
        <f t="shared" si="29"/>
        <v>93.333333333333329</v>
      </c>
      <c r="O100" s="173">
        <v>45</v>
      </c>
      <c r="P100" s="173">
        <v>6.4</v>
      </c>
      <c r="Q100" s="173">
        <v>0</v>
      </c>
      <c r="R100" s="176">
        <f t="shared" si="30"/>
        <v>51.4</v>
      </c>
      <c r="S100" s="189">
        <v>5</v>
      </c>
      <c r="T100" s="283"/>
      <c r="U100" s="338"/>
      <c r="V100" s="252" t="s">
        <v>907</v>
      </c>
      <c r="W100" s="170" t="s">
        <v>22</v>
      </c>
      <c r="X100" s="170" t="s">
        <v>11</v>
      </c>
      <c r="Y100" s="178">
        <v>28.3</v>
      </c>
      <c r="Z100" s="170" t="s">
        <v>915</v>
      </c>
      <c r="AA100" s="170" t="s">
        <v>89</v>
      </c>
      <c r="AB100" s="170" t="s">
        <v>18</v>
      </c>
      <c r="AC100" s="178">
        <v>6.4</v>
      </c>
      <c r="AK100" s="178"/>
      <c r="AO100" s="178"/>
      <c r="AS100" s="178"/>
      <c r="AW100" s="178"/>
      <c r="BA100" s="179"/>
    </row>
    <row r="101" spans="1:53" s="170" customFormat="1" x14ac:dyDescent="0.15">
      <c r="A101" s="170">
        <v>2021</v>
      </c>
      <c r="B101" s="303">
        <v>44447</v>
      </c>
      <c r="C101" s="425" t="s">
        <v>1470</v>
      </c>
      <c r="D101" s="425"/>
      <c r="E101" s="170">
        <v>78</v>
      </c>
      <c r="F101" s="246">
        <v>0</v>
      </c>
      <c r="G101" s="116">
        <v>9</v>
      </c>
      <c r="H101" s="116">
        <v>4</v>
      </c>
      <c r="I101" s="116">
        <v>0</v>
      </c>
      <c r="J101" s="172">
        <v>14</v>
      </c>
      <c r="K101" s="173">
        <f t="shared" si="26"/>
        <v>64.285714285714292</v>
      </c>
      <c r="L101" s="173">
        <f t="shared" si="27"/>
        <v>28.571428571428569</v>
      </c>
      <c r="M101" s="173">
        <f t="shared" si="28"/>
        <v>0</v>
      </c>
      <c r="N101" s="176">
        <f t="shared" si="29"/>
        <v>92.857142857142861</v>
      </c>
      <c r="O101" s="173">
        <v>45</v>
      </c>
      <c r="P101" s="173">
        <v>6.4</v>
      </c>
      <c r="Q101" s="173">
        <v>0</v>
      </c>
      <c r="R101" s="176">
        <f t="shared" si="30"/>
        <v>51.4</v>
      </c>
      <c r="S101" s="189">
        <v>5</v>
      </c>
      <c r="T101" s="283"/>
      <c r="U101" s="338"/>
      <c r="V101" s="252" t="s">
        <v>907</v>
      </c>
      <c r="W101" s="170" t="s">
        <v>22</v>
      </c>
      <c r="X101" s="170" t="s">
        <v>11</v>
      </c>
      <c r="Y101" s="178">
        <v>28.3</v>
      </c>
      <c r="Z101" s="170" t="s">
        <v>915</v>
      </c>
      <c r="AA101" s="170" t="s">
        <v>89</v>
      </c>
      <c r="AB101" s="170" t="s">
        <v>18</v>
      </c>
      <c r="AC101" s="178">
        <v>6.4</v>
      </c>
      <c r="AG101" s="178"/>
      <c r="AK101" s="178"/>
      <c r="AO101" s="178"/>
      <c r="AS101" s="178"/>
      <c r="AW101" s="178"/>
      <c r="BA101" s="179"/>
    </row>
    <row r="102" spans="1:53" s="28" customFormat="1" x14ac:dyDescent="0.15">
      <c r="A102" s="28">
        <v>2021</v>
      </c>
      <c r="B102" s="275">
        <v>44525</v>
      </c>
      <c r="C102" s="424" t="s">
        <v>1510</v>
      </c>
      <c r="D102" s="424"/>
      <c r="E102" s="28">
        <v>20</v>
      </c>
      <c r="F102" s="39">
        <v>5</v>
      </c>
      <c r="G102" s="30">
        <v>8</v>
      </c>
      <c r="H102" s="30">
        <v>4</v>
      </c>
      <c r="I102" s="30">
        <v>9</v>
      </c>
      <c r="J102" s="31">
        <v>22</v>
      </c>
      <c r="K102" s="32">
        <f t="shared" si="26"/>
        <v>36.363636363636367</v>
      </c>
      <c r="L102" s="32">
        <f t="shared" si="27"/>
        <v>18.181818181818183</v>
      </c>
      <c r="M102" s="32">
        <f t="shared" si="28"/>
        <v>40.909090909090914</v>
      </c>
      <c r="N102" s="35">
        <f t="shared" si="29"/>
        <v>95.454545454545467</v>
      </c>
      <c r="O102" s="32">
        <v>24</v>
      </c>
      <c r="P102" s="32">
        <v>33.4</v>
      </c>
      <c r="Q102" s="32">
        <v>6.1</v>
      </c>
      <c r="R102" s="35">
        <f t="shared" si="30"/>
        <v>63.5</v>
      </c>
      <c r="S102" s="36">
        <v>3</v>
      </c>
      <c r="T102" s="284"/>
      <c r="U102" s="342">
        <v>44525</v>
      </c>
      <c r="V102" s="93" t="s">
        <v>907</v>
      </c>
      <c r="W102" s="28" t="s">
        <v>22</v>
      </c>
      <c r="X102" s="28" t="s">
        <v>11</v>
      </c>
      <c r="Y102" s="38">
        <v>24</v>
      </c>
      <c r="Z102" s="28" t="s">
        <v>919</v>
      </c>
      <c r="AA102" s="28" t="s">
        <v>20</v>
      </c>
      <c r="AB102" s="28" t="s">
        <v>12</v>
      </c>
      <c r="AC102" s="38">
        <v>33.4</v>
      </c>
      <c r="AD102" s="28" t="s">
        <v>915</v>
      </c>
      <c r="AE102" s="28" t="s">
        <v>89</v>
      </c>
      <c r="AF102" s="28" t="s">
        <v>18</v>
      </c>
      <c r="AG102" s="38">
        <v>6.1</v>
      </c>
      <c r="AK102" s="38"/>
      <c r="AO102" s="38"/>
      <c r="AS102" s="38"/>
      <c r="AW102" s="38"/>
      <c r="BA102" s="39"/>
    </row>
    <row r="103" spans="1:53" s="28" customFormat="1" x14ac:dyDescent="0.15">
      <c r="A103" s="28">
        <v>2021</v>
      </c>
      <c r="B103" s="301">
        <v>44545</v>
      </c>
      <c r="C103" s="424" t="s">
        <v>1510</v>
      </c>
      <c r="D103" s="424"/>
      <c r="E103" s="28">
        <v>16</v>
      </c>
      <c r="F103" s="340">
        <v>0</v>
      </c>
      <c r="G103" s="30">
        <v>7</v>
      </c>
      <c r="H103" s="30">
        <v>4</v>
      </c>
      <c r="I103" s="30">
        <v>9</v>
      </c>
      <c r="J103" s="31">
        <v>21</v>
      </c>
      <c r="K103" s="32">
        <f t="shared" si="26"/>
        <v>33.333333333333329</v>
      </c>
      <c r="L103" s="32">
        <f t="shared" si="27"/>
        <v>19.047619047619047</v>
      </c>
      <c r="M103" s="32">
        <f t="shared" si="28"/>
        <v>42.857142857142854</v>
      </c>
      <c r="N103" s="35">
        <f t="shared" si="29"/>
        <v>95.238095238095241</v>
      </c>
      <c r="O103" s="32">
        <v>24</v>
      </c>
      <c r="P103" s="32">
        <v>33.4</v>
      </c>
      <c r="Q103" s="32">
        <v>6.1</v>
      </c>
      <c r="R103" s="35">
        <f t="shared" si="30"/>
        <v>63.5</v>
      </c>
      <c r="S103" s="36">
        <v>3</v>
      </c>
      <c r="T103" s="284"/>
      <c r="U103" s="342"/>
      <c r="V103" s="93" t="s">
        <v>907</v>
      </c>
      <c r="W103" s="28" t="s">
        <v>22</v>
      </c>
      <c r="X103" s="28" t="s">
        <v>11</v>
      </c>
      <c r="Y103" s="38">
        <v>24</v>
      </c>
      <c r="Z103" s="28" t="s">
        <v>919</v>
      </c>
      <c r="AA103" s="28" t="s">
        <v>20</v>
      </c>
      <c r="AB103" s="28" t="s">
        <v>12</v>
      </c>
      <c r="AC103" s="38">
        <v>33.4</v>
      </c>
      <c r="AD103" s="28" t="s">
        <v>915</v>
      </c>
      <c r="AE103" s="28" t="s">
        <v>89</v>
      </c>
      <c r="AF103" s="28" t="s">
        <v>18</v>
      </c>
      <c r="AG103" s="38">
        <v>6.1</v>
      </c>
      <c r="AK103" s="38"/>
      <c r="AO103" s="38"/>
      <c r="AS103" s="38"/>
      <c r="AW103" s="38"/>
      <c r="BA103" s="39"/>
    </row>
    <row r="104" spans="1:53" s="28" customFormat="1" x14ac:dyDescent="0.15">
      <c r="A104" s="28">
        <v>2022</v>
      </c>
      <c r="B104" s="301"/>
      <c r="C104" s="424" t="s">
        <v>1510</v>
      </c>
      <c r="D104" s="424"/>
      <c r="E104" s="28">
        <v>28</v>
      </c>
      <c r="F104" s="340"/>
      <c r="G104" s="30">
        <v>7</v>
      </c>
      <c r="H104" s="30">
        <v>4</v>
      </c>
      <c r="I104" s="30">
        <v>9</v>
      </c>
      <c r="J104" s="31">
        <v>21</v>
      </c>
      <c r="K104" s="32">
        <f t="shared" si="26"/>
        <v>33.333333333333329</v>
      </c>
      <c r="L104" s="32">
        <f t="shared" si="27"/>
        <v>19.047619047619047</v>
      </c>
      <c r="M104" s="32">
        <f t="shared" si="28"/>
        <v>42.857142857142854</v>
      </c>
      <c r="N104" s="35">
        <f t="shared" si="29"/>
        <v>95.238095238095241</v>
      </c>
      <c r="O104" s="32">
        <v>24</v>
      </c>
      <c r="P104" s="32">
        <v>33.4</v>
      </c>
      <c r="Q104" s="32">
        <v>6.1</v>
      </c>
      <c r="R104" s="35">
        <f t="shared" ref="R104" si="31">SUM(O104:Q104)</f>
        <v>63.5</v>
      </c>
      <c r="S104" s="36">
        <v>3</v>
      </c>
      <c r="T104" s="284"/>
      <c r="U104" s="342"/>
      <c r="V104" s="93" t="s">
        <v>907</v>
      </c>
      <c r="W104" s="28" t="s">
        <v>22</v>
      </c>
      <c r="X104" s="28" t="s">
        <v>11</v>
      </c>
      <c r="Y104" s="38">
        <v>24</v>
      </c>
      <c r="Z104" s="28" t="s">
        <v>919</v>
      </c>
      <c r="AA104" s="28" t="s">
        <v>20</v>
      </c>
      <c r="AB104" s="28" t="s">
        <v>12</v>
      </c>
      <c r="AC104" s="38">
        <v>33.4</v>
      </c>
      <c r="AD104" s="28" t="s">
        <v>915</v>
      </c>
      <c r="AE104" s="28" t="s">
        <v>89</v>
      </c>
      <c r="AF104" s="28" t="s">
        <v>18</v>
      </c>
      <c r="AG104" s="38">
        <v>6.1</v>
      </c>
      <c r="AK104" s="38"/>
      <c r="AO104" s="38"/>
      <c r="AS104" s="38"/>
      <c r="AW104" s="38"/>
      <c r="BA104" s="39"/>
    </row>
    <row r="105" spans="1:53" s="28" customFormat="1" x14ac:dyDescent="0.15">
      <c r="A105" s="28">
        <v>2022</v>
      </c>
      <c r="B105" s="301">
        <v>44589</v>
      </c>
      <c r="C105" s="424" t="s">
        <v>1510</v>
      </c>
      <c r="D105" s="424"/>
      <c r="E105" s="28">
        <v>68</v>
      </c>
      <c r="F105" s="340">
        <v>0</v>
      </c>
      <c r="G105" s="30">
        <v>8</v>
      </c>
      <c r="H105" s="30">
        <v>4</v>
      </c>
      <c r="I105" s="30">
        <v>9</v>
      </c>
      <c r="J105" s="31">
        <v>22</v>
      </c>
      <c r="K105" s="32">
        <f t="shared" si="26"/>
        <v>36.363636363636367</v>
      </c>
      <c r="L105" s="32">
        <f t="shared" si="27"/>
        <v>18.181818181818183</v>
      </c>
      <c r="M105" s="32">
        <f t="shared" si="28"/>
        <v>40.909090909090914</v>
      </c>
      <c r="N105" s="35">
        <f t="shared" si="29"/>
        <v>95.454545454545467</v>
      </c>
      <c r="O105" s="32">
        <v>24</v>
      </c>
      <c r="P105" s="32">
        <v>33.4</v>
      </c>
      <c r="Q105" s="32">
        <v>6.1</v>
      </c>
      <c r="R105" s="35">
        <f t="shared" ref="R105:R107" si="32">SUM(O105:Q105)</f>
        <v>63.5</v>
      </c>
      <c r="S105" s="36">
        <v>3</v>
      </c>
      <c r="T105" s="284"/>
      <c r="U105" s="342"/>
      <c r="V105" s="93" t="s">
        <v>907</v>
      </c>
      <c r="W105" s="28" t="s">
        <v>22</v>
      </c>
      <c r="X105" s="28" t="s">
        <v>11</v>
      </c>
      <c r="Y105" s="38">
        <v>24</v>
      </c>
      <c r="Z105" s="28" t="s">
        <v>919</v>
      </c>
      <c r="AA105" s="28" t="s">
        <v>20</v>
      </c>
      <c r="AB105" s="28" t="s">
        <v>12</v>
      </c>
      <c r="AC105" s="38">
        <v>33.4</v>
      </c>
      <c r="AD105" s="28" t="s">
        <v>915</v>
      </c>
      <c r="AE105" s="28" t="s">
        <v>89</v>
      </c>
      <c r="AF105" s="28" t="s">
        <v>18</v>
      </c>
      <c r="AG105" s="38">
        <v>6.1</v>
      </c>
      <c r="AK105" s="38"/>
      <c r="AO105" s="38"/>
      <c r="AS105" s="38"/>
      <c r="AW105" s="38"/>
      <c r="BA105" s="39"/>
    </row>
    <row r="106" spans="1:53" s="28" customFormat="1" x14ac:dyDescent="0.15">
      <c r="A106" s="28">
        <v>2022</v>
      </c>
      <c r="B106" s="301">
        <v>44657</v>
      </c>
      <c r="C106" s="424" t="s">
        <v>1510</v>
      </c>
      <c r="D106" s="424"/>
      <c r="E106" s="28">
        <v>27</v>
      </c>
      <c r="F106" s="340">
        <v>0</v>
      </c>
      <c r="G106" s="30">
        <v>7</v>
      </c>
      <c r="H106" s="30">
        <v>4</v>
      </c>
      <c r="I106" s="30">
        <v>9</v>
      </c>
      <c r="J106" s="31">
        <v>21</v>
      </c>
      <c r="K106" s="32">
        <f t="shared" si="26"/>
        <v>33.333333333333329</v>
      </c>
      <c r="L106" s="32">
        <f t="shared" si="27"/>
        <v>19.047619047619047</v>
      </c>
      <c r="M106" s="32">
        <f t="shared" si="28"/>
        <v>42.857142857142854</v>
      </c>
      <c r="N106" s="35">
        <f t="shared" si="29"/>
        <v>95.238095238095241</v>
      </c>
      <c r="O106" s="32">
        <v>24</v>
      </c>
      <c r="P106" s="32">
        <v>33.4</v>
      </c>
      <c r="Q106" s="32">
        <v>6.1</v>
      </c>
      <c r="R106" s="35">
        <f t="shared" si="32"/>
        <v>63.5</v>
      </c>
      <c r="S106" s="36">
        <v>3</v>
      </c>
      <c r="T106" s="284"/>
      <c r="U106" s="342"/>
      <c r="V106" s="93" t="s">
        <v>907</v>
      </c>
      <c r="W106" s="28" t="s">
        <v>22</v>
      </c>
      <c r="X106" s="28" t="s">
        <v>11</v>
      </c>
      <c r="Y106" s="38">
        <v>24</v>
      </c>
      <c r="Z106" s="28" t="s">
        <v>919</v>
      </c>
      <c r="AA106" s="28" t="s">
        <v>20</v>
      </c>
      <c r="AB106" s="28" t="s">
        <v>12</v>
      </c>
      <c r="AC106" s="38">
        <v>33.4</v>
      </c>
      <c r="AD106" s="28" t="s">
        <v>915</v>
      </c>
      <c r="AE106" s="28" t="s">
        <v>89</v>
      </c>
      <c r="AF106" s="28" t="s">
        <v>18</v>
      </c>
      <c r="AG106" s="38">
        <v>6.1</v>
      </c>
      <c r="AK106" s="38"/>
      <c r="AO106" s="38"/>
      <c r="AS106" s="38"/>
      <c r="AW106" s="38"/>
      <c r="BA106" s="39"/>
    </row>
    <row r="107" spans="1:53" s="28" customFormat="1" x14ac:dyDescent="0.15">
      <c r="A107" s="28">
        <v>2022</v>
      </c>
      <c r="B107" s="301">
        <v>44684</v>
      </c>
      <c r="C107" s="424" t="s">
        <v>1510</v>
      </c>
      <c r="D107" s="424"/>
      <c r="E107" s="28">
        <v>242</v>
      </c>
      <c r="F107" s="340">
        <v>0</v>
      </c>
      <c r="G107" s="30">
        <v>8</v>
      </c>
      <c r="H107" s="30">
        <v>4</v>
      </c>
      <c r="I107" s="30">
        <v>9</v>
      </c>
      <c r="J107" s="31">
        <v>22</v>
      </c>
      <c r="K107" s="32">
        <f t="shared" si="26"/>
        <v>36.363636363636367</v>
      </c>
      <c r="L107" s="32">
        <f t="shared" si="27"/>
        <v>18.181818181818183</v>
      </c>
      <c r="M107" s="32">
        <f t="shared" si="28"/>
        <v>40.909090909090914</v>
      </c>
      <c r="N107" s="35">
        <f t="shared" si="29"/>
        <v>95.454545454545467</v>
      </c>
      <c r="O107" s="32">
        <v>24</v>
      </c>
      <c r="P107" s="32">
        <v>33.4</v>
      </c>
      <c r="Q107" s="32">
        <v>6.1</v>
      </c>
      <c r="R107" s="35">
        <f t="shared" si="32"/>
        <v>63.5</v>
      </c>
      <c r="S107" s="36">
        <v>3</v>
      </c>
      <c r="T107" s="284"/>
      <c r="U107" s="342"/>
      <c r="V107" s="93" t="s">
        <v>907</v>
      </c>
      <c r="W107" s="28" t="s">
        <v>22</v>
      </c>
      <c r="X107" s="28" t="s">
        <v>11</v>
      </c>
      <c r="Y107" s="38">
        <v>24</v>
      </c>
      <c r="Z107" s="28" t="s">
        <v>919</v>
      </c>
      <c r="AA107" s="28" t="s">
        <v>20</v>
      </c>
      <c r="AB107" s="28" t="s">
        <v>12</v>
      </c>
      <c r="AC107" s="38">
        <v>33.4</v>
      </c>
      <c r="AD107" s="28" t="s">
        <v>915</v>
      </c>
      <c r="AE107" s="28" t="s">
        <v>89</v>
      </c>
      <c r="AF107" s="28" t="s">
        <v>18</v>
      </c>
      <c r="AG107" s="38">
        <v>6.1</v>
      </c>
      <c r="AK107" s="38"/>
      <c r="AO107" s="38"/>
      <c r="AS107" s="38"/>
      <c r="AW107" s="38"/>
      <c r="BA107" s="39"/>
    </row>
    <row r="108" spans="1:53" ht="18" customHeight="1" x14ac:dyDescent="0.15">
      <c r="B108" s="15" t="s">
        <v>1262</v>
      </c>
    </row>
    <row r="109" spans="1:53" ht="9" customHeight="1" x14ac:dyDescent="0.15"/>
    <row r="110" spans="1:53" s="194" customFormat="1" ht="9" customHeight="1" x14ac:dyDescent="0.15">
      <c r="A110" s="192"/>
      <c r="B110" s="193" t="s">
        <v>1213</v>
      </c>
      <c r="C110" s="193"/>
      <c r="D110" s="193"/>
      <c r="E110" s="193"/>
      <c r="F110" s="193"/>
      <c r="G110" s="193" t="s">
        <v>1214</v>
      </c>
      <c r="H110" s="193"/>
      <c r="I110" s="193"/>
      <c r="J110" s="193"/>
      <c r="K110" s="193"/>
      <c r="L110" s="193"/>
      <c r="M110" s="193"/>
      <c r="N110" s="193"/>
      <c r="R110" s="386" t="s">
        <v>1215</v>
      </c>
      <c r="S110" s="386"/>
      <c r="T110" s="386"/>
      <c r="U110" s="386"/>
      <c r="V110" s="386"/>
      <c r="W110" s="386"/>
      <c r="X110" s="195"/>
      <c r="Y110" s="195"/>
      <c r="AA110" s="195"/>
      <c r="AB110" s="195"/>
      <c r="AC110" s="195"/>
      <c r="AD110" s="195"/>
    </row>
    <row r="111" spans="1:53" s="199" customFormat="1" ht="9" customHeight="1" x14ac:dyDescent="0.15">
      <c r="A111" s="196"/>
      <c r="B111" s="197" t="s">
        <v>1217</v>
      </c>
      <c r="C111" s="198"/>
      <c r="D111" s="198"/>
      <c r="E111" s="198"/>
      <c r="F111" s="198"/>
      <c r="G111" s="197" t="s">
        <v>1216</v>
      </c>
      <c r="H111" s="198"/>
      <c r="I111" s="198"/>
      <c r="J111" s="198"/>
      <c r="K111" s="198"/>
      <c r="L111" s="198"/>
      <c r="M111" s="198"/>
      <c r="N111" s="198"/>
      <c r="R111" s="200" t="s">
        <v>1218</v>
      </c>
      <c r="S111" s="201"/>
      <c r="T111" s="202"/>
      <c r="U111" s="202"/>
      <c r="V111" s="202"/>
      <c r="W111" s="200" t="s">
        <v>1219</v>
      </c>
      <c r="X111" s="202"/>
      <c r="Y111" s="202"/>
      <c r="AA111" s="202"/>
      <c r="AB111" s="202"/>
      <c r="AC111" s="202"/>
      <c r="AD111" s="202"/>
    </row>
    <row r="112" spans="1:53" s="185" customFormat="1" ht="12" customHeight="1" x14ac:dyDescent="0.15">
      <c r="A112" s="203" t="s">
        <v>3</v>
      </c>
      <c r="B112" s="204" t="s">
        <v>8</v>
      </c>
      <c r="C112" s="204" t="s">
        <v>9</v>
      </c>
      <c r="D112" s="204" t="s">
        <v>10</v>
      </c>
      <c r="E112" s="205" t="s">
        <v>1193</v>
      </c>
      <c r="F112" s="204"/>
      <c r="G112" s="185" t="s">
        <v>3</v>
      </c>
      <c r="H112" s="387" t="s">
        <v>0</v>
      </c>
      <c r="I112" s="387"/>
      <c r="J112" s="387" t="s">
        <v>1</v>
      </c>
      <c r="K112" s="387"/>
      <c r="L112" s="387" t="s">
        <v>2</v>
      </c>
      <c r="M112" s="387"/>
      <c r="N112" s="388" t="s">
        <v>1193</v>
      </c>
      <c r="O112" s="388"/>
      <c r="P112" s="206"/>
      <c r="Q112" s="206"/>
      <c r="R112" s="207" t="s">
        <v>3</v>
      </c>
      <c r="S112" s="208" t="s">
        <v>135</v>
      </c>
      <c r="T112" s="206" t="s">
        <v>133</v>
      </c>
      <c r="U112" s="204" t="s">
        <v>134</v>
      </c>
      <c r="V112" s="206"/>
      <c r="W112" s="209" t="s">
        <v>26</v>
      </c>
    </row>
    <row r="113" spans="1:27" x14ac:dyDescent="0.15">
      <c r="A113" s="1">
        <v>1990</v>
      </c>
      <c r="B113" s="5">
        <f>(K7*($E7/187))</f>
        <v>0</v>
      </c>
      <c r="C113" s="5">
        <f>(L7*($E7/187))</f>
        <v>0</v>
      </c>
      <c r="D113" s="5">
        <f>(M7*($E7/187))</f>
        <v>91.304347826086953</v>
      </c>
      <c r="E113" s="23">
        <f t="shared" ref="E113:E139" si="33">B113+C113+D113</f>
        <v>91.304347826086953</v>
      </c>
      <c r="F113" s="9"/>
      <c r="G113" s="9">
        <v>1990</v>
      </c>
      <c r="H113" s="392">
        <f>(O7/$R7*100*($E7/187))</f>
        <v>0</v>
      </c>
      <c r="I113" s="392"/>
      <c r="J113" s="392">
        <f>(P7/$R7*100*($E7/187))</f>
        <v>0</v>
      </c>
      <c r="K113" s="392"/>
      <c r="L113" s="406">
        <f>(Q7/$R7*100*($E7/187))</f>
        <v>100</v>
      </c>
      <c r="M113" s="406"/>
      <c r="N113" s="413">
        <f t="shared" ref="N113:N135" si="34">H113+J113+L113</f>
        <v>100</v>
      </c>
      <c r="O113" s="413"/>
      <c r="P113" s="9"/>
      <c r="Q113" s="9"/>
      <c r="R113" s="9">
        <v>1990</v>
      </c>
      <c r="S113" s="5">
        <f>(O7*($E7/187))</f>
        <v>0</v>
      </c>
      <c r="T113" s="5">
        <f>(P7*($E7/187))</f>
        <v>0</v>
      </c>
      <c r="U113" s="5">
        <f>(Q7*($E7/187))</f>
        <v>66.400000000000006</v>
      </c>
      <c r="V113" s="9"/>
      <c r="W113" s="5">
        <f>S113+T113+U113</f>
        <v>66.400000000000006</v>
      </c>
      <c r="X113" s="24"/>
      <c r="Y113" s="124" t="s">
        <v>1199</v>
      </c>
      <c r="Z113" s="24"/>
      <c r="AA113" s="24"/>
    </row>
    <row r="114" spans="1:27" x14ac:dyDescent="0.15">
      <c r="A114" s="1">
        <v>1991</v>
      </c>
      <c r="B114" s="5">
        <f>(K8*($E8/365))+(K9*($E9/365))</f>
        <v>3.3309300648882476</v>
      </c>
      <c r="C114" s="5">
        <f>(L8*($E8/365))+(L9*($E9/365))</f>
        <v>0</v>
      </c>
      <c r="D114" s="5">
        <f>(M8*($E8/365))+(M9*($E9/365))</f>
        <v>86.476912949437306</v>
      </c>
      <c r="E114" s="23">
        <f t="shared" si="33"/>
        <v>89.807843014325556</v>
      </c>
      <c r="F114" s="9"/>
      <c r="G114" s="9">
        <v>1991</v>
      </c>
      <c r="H114" s="392">
        <f>(O8/$R8*100*($E8/365))+(O9/$R9*100*($E9/365))</f>
        <v>1.9493670886075947</v>
      </c>
      <c r="I114" s="392"/>
      <c r="J114" s="392">
        <f>(P8/$R8*100*($E8/365))+(P9/$R9*100*($E9/365))</f>
        <v>0</v>
      </c>
      <c r="K114" s="392"/>
      <c r="L114" s="392">
        <f>(Q8/$R8*100*($E8/365))+(Q9/$R9*100*($E9/365))</f>
        <v>98.050632911392412</v>
      </c>
      <c r="M114" s="392"/>
      <c r="N114" s="413">
        <f t="shared" si="34"/>
        <v>100</v>
      </c>
      <c r="O114" s="413"/>
      <c r="P114" s="9"/>
      <c r="Q114" s="9"/>
      <c r="R114" s="9">
        <v>1991</v>
      </c>
      <c r="S114" s="5">
        <f>(O8*($E8/365))+(O9*($E9/365))</f>
        <v>1.5399999999999998</v>
      </c>
      <c r="T114" s="5">
        <f>(P8*($E8/365))+(P9*($E9/365))</f>
        <v>0</v>
      </c>
      <c r="U114" s="5">
        <f>(Q8*($E8/365))+(Q9*($E9/365))</f>
        <v>67.51808219178082</v>
      </c>
      <c r="V114" s="9"/>
      <c r="W114" s="5">
        <f t="shared" ref="W114:W136" si="35">S114+T114+U114</f>
        <v>69.058082191780827</v>
      </c>
    </row>
    <row r="115" spans="1:27" x14ac:dyDescent="0.15">
      <c r="A115" s="1">
        <v>1992</v>
      </c>
      <c r="B115" s="5">
        <f>(K10*($E10/366))+(K11*($E11/366))</f>
        <v>13.675582398619499</v>
      </c>
      <c r="C115" s="5">
        <f>(L10*($E10/366))+(L11*($E11/366))</f>
        <v>0</v>
      </c>
      <c r="D115" s="5">
        <f>(M10*($E10/366))+(M11*($E11/366))</f>
        <v>71.979436295657166</v>
      </c>
      <c r="E115" s="23">
        <f t="shared" si="33"/>
        <v>85.655018694276663</v>
      </c>
      <c r="F115" s="9"/>
      <c r="G115" s="9">
        <v>1992</v>
      </c>
      <c r="H115" s="392">
        <f>(O10/$R10*100*($E10/366))+(O11/$R11*100*($E11/366))</f>
        <v>8.0033893615549552</v>
      </c>
      <c r="I115" s="392"/>
      <c r="J115" s="392">
        <f>(P10/$R10*100*($E10/366))+(P11/$R11*100*($E11/366))</f>
        <v>0</v>
      </c>
      <c r="K115" s="392"/>
      <c r="L115" s="392">
        <f>(Q10/$R10*100*($E10/366))+(Q11/$R11*100*($E11/366))</f>
        <v>91.996610638445048</v>
      </c>
      <c r="M115" s="392"/>
      <c r="N115" s="413">
        <f t="shared" si="34"/>
        <v>100</v>
      </c>
      <c r="O115" s="413"/>
      <c r="P115" s="9"/>
      <c r="Q115" s="9"/>
      <c r="R115" s="9">
        <v>1992</v>
      </c>
      <c r="S115" s="5">
        <f>(O10*($E10/366))+(O11*($E11/366))</f>
        <v>6.3226775956284147</v>
      </c>
      <c r="T115" s="5">
        <f>(P10*($E10/366))+(P11*($E11/366))</f>
        <v>0</v>
      </c>
      <c r="U115" s="5">
        <f>(Q10*($E10/366))+(Q11*($E11/366))</f>
        <v>66.692896174863392</v>
      </c>
      <c r="V115" s="9"/>
      <c r="W115" s="5">
        <f t="shared" si="35"/>
        <v>73.015573770491812</v>
      </c>
    </row>
    <row r="116" spans="1:27" x14ac:dyDescent="0.15">
      <c r="A116" s="1">
        <v>1993</v>
      </c>
      <c r="B116" s="5">
        <f>(K12*($E12/365))+(K13*($E13/365))</f>
        <v>0</v>
      </c>
      <c r="C116" s="5">
        <f>(L12*($E12/365))+(L13*($E13/365))</f>
        <v>0</v>
      </c>
      <c r="D116" s="5">
        <f>(M12*($E12/365))+(M13*($E13/365))</f>
        <v>95</v>
      </c>
      <c r="E116" s="23">
        <f t="shared" si="33"/>
        <v>95</v>
      </c>
      <c r="F116" s="9"/>
      <c r="G116" s="9">
        <v>1993</v>
      </c>
      <c r="H116" s="392">
        <f>(O12/$R12*100*($E12/365))+(O13/$R13*100*($E13/365))</f>
        <v>0</v>
      </c>
      <c r="I116" s="392"/>
      <c r="J116" s="392">
        <f>(P12/$R12*100*($E12/365))+(P13/$R13*100*($E13/365))</f>
        <v>0</v>
      </c>
      <c r="K116" s="392"/>
      <c r="L116" s="392">
        <f>(Q12/$R12*100*($E12/365))+(Q13/$R13*100*($E13/365))</f>
        <v>100</v>
      </c>
      <c r="M116" s="392"/>
      <c r="N116" s="413">
        <f t="shared" si="34"/>
        <v>100</v>
      </c>
      <c r="O116" s="413"/>
      <c r="P116" s="9"/>
      <c r="Q116" s="9"/>
      <c r="R116" s="9">
        <v>1993</v>
      </c>
      <c r="S116" s="5">
        <f>(O12*($E12/365))+(O13*($E13/365))</f>
        <v>0</v>
      </c>
      <c r="T116" s="5">
        <f>(P12*($E12/365))+(P13*($E13/365))</f>
        <v>0</v>
      </c>
      <c r="U116" s="5">
        <f>(Q12*($E12/365))+(Q13*($E13/365))</f>
        <v>34.299999999999997</v>
      </c>
      <c r="V116" s="9"/>
      <c r="W116" s="5">
        <f t="shared" si="35"/>
        <v>34.299999999999997</v>
      </c>
    </row>
    <row r="117" spans="1:27" x14ac:dyDescent="0.15">
      <c r="A117" s="1">
        <v>1994</v>
      </c>
      <c r="B117" s="5">
        <f>(K14*($E14/365))+(K15*($E15/365))</f>
        <v>3.387297633872977</v>
      </c>
      <c r="C117" s="5">
        <f>(L14*($E14/365))+(L15*($E15/365))</f>
        <v>0</v>
      </c>
      <c r="D117" s="5">
        <f>(M14*($E14/365))+(M15*($E15/365))</f>
        <v>86.701120797011214</v>
      </c>
      <c r="E117" s="23">
        <f t="shared" si="33"/>
        <v>90.08841843088419</v>
      </c>
      <c r="F117" s="9"/>
      <c r="G117" s="9">
        <v>1994</v>
      </c>
      <c r="H117" s="392">
        <f>(O14/$R14*100*($E14/365))+(O15/$R15*100*($E15/365))</f>
        <v>7.6076661475383807</v>
      </c>
      <c r="I117" s="392"/>
      <c r="J117" s="392">
        <f>(P14/$R14*100*($E14/365))+(P15/$R15*100*($E15/365))</f>
        <v>0</v>
      </c>
      <c r="K117" s="392"/>
      <c r="L117" s="392">
        <f>(Q14/$R14*100*($E14/365))+(Q15/$R15*100*($E15/365))</f>
        <v>92.392333852461633</v>
      </c>
      <c r="M117" s="392"/>
      <c r="N117" s="413">
        <f t="shared" si="34"/>
        <v>100.00000000000001</v>
      </c>
      <c r="O117" s="413"/>
      <c r="P117" s="9"/>
      <c r="Q117" s="9"/>
      <c r="R117" s="9">
        <v>1994</v>
      </c>
      <c r="S117" s="5">
        <f>(O14*($E14/365))+(O15*($E15/365))</f>
        <v>3.2789041095890417</v>
      </c>
      <c r="T117" s="5">
        <f>(P14*($E14/365))+(P15*($E15/365))</f>
        <v>0</v>
      </c>
      <c r="U117" s="5">
        <f>(Q14*($E14/365))+(Q15*($E15/365))</f>
        <v>34.299999999999997</v>
      </c>
      <c r="V117" s="9"/>
      <c r="W117" s="5">
        <f t="shared" si="35"/>
        <v>37.57890410958904</v>
      </c>
    </row>
    <row r="118" spans="1:27" x14ac:dyDescent="0.15">
      <c r="A118" s="1">
        <v>1995</v>
      </c>
      <c r="B118" s="5">
        <f>(K16*($E16/365))+(K17*($E17/365))</f>
        <v>8.9393939393939394</v>
      </c>
      <c r="C118" s="5">
        <f>(L16*($E16/365))+(L17*($E17/365))</f>
        <v>0</v>
      </c>
      <c r="D118" s="5">
        <f>(M16*($E16/365))+(M17*($E17/365))</f>
        <v>75.681818181818187</v>
      </c>
      <c r="E118" s="23">
        <f t="shared" si="33"/>
        <v>84.621212121212125</v>
      </c>
      <c r="F118" s="9"/>
      <c r="G118" s="9">
        <v>1995</v>
      </c>
      <c r="H118" s="392">
        <f>(O16/$R16*100*($E16/365))+(O17/$R17*100*($E17/365))</f>
        <v>20.41763341067286</v>
      </c>
      <c r="I118" s="392"/>
      <c r="J118" s="392">
        <f>(P16/$R16*100*($E16/365))+(P17/$R17*100*($E17/365))</f>
        <v>0</v>
      </c>
      <c r="K118" s="392"/>
      <c r="L118" s="392">
        <f>(Q16/$R16*100*($E16/365))+(Q17/$R17*100*($E17/365))</f>
        <v>79.582366589327165</v>
      </c>
      <c r="M118" s="392"/>
      <c r="N118" s="413">
        <f t="shared" si="34"/>
        <v>100.00000000000003</v>
      </c>
      <c r="O118" s="413"/>
      <c r="P118" s="9"/>
      <c r="Q118" s="9"/>
      <c r="R118" s="9">
        <v>1995</v>
      </c>
      <c r="S118" s="5">
        <f>(O16*($E16/365))+(O17*($E17/365))</f>
        <v>8.8000000000000007</v>
      </c>
      <c r="T118" s="5">
        <f>(P16*($E16/365))+(P17*($E17/365))</f>
        <v>0</v>
      </c>
      <c r="U118" s="5">
        <f>(Q16*($E16/365))+(Q17*($E17/365))</f>
        <v>34.299999999999997</v>
      </c>
      <c r="V118" s="9"/>
      <c r="W118" s="5">
        <f t="shared" si="35"/>
        <v>43.099999999999994</v>
      </c>
    </row>
    <row r="119" spans="1:27" x14ac:dyDescent="0.15">
      <c r="A119" s="1">
        <v>1996</v>
      </c>
      <c r="B119" s="5">
        <f>(K18*($E18/366))+(K19*($E19/366))+(K20*($E20/366))</f>
        <v>9.1530054644808736</v>
      </c>
      <c r="C119" s="5">
        <f>(L18*($E18/366))+(L19*($E19/366))+(L20*($E20/366))</f>
        <v>0.27322404371584696</v>
      </c>
      <c r="D119" s="5">
        <f>(M18*($E18/366))+(M19*($E19/366))+(M20*($E20/366))</f>
        <v>87.500000000000014</v>
      </c>
      <c r="E119" s="23">
        <f t="shared" si="33"/>
        <v>96.926229508196741</v>
      </c>
      <c r="F119" s="9"/>
      <c r="G119" s="9">
        <v>1996</v>
      </c>
      <c r="H119" s="392">
        <f>(O18/$R18*100*($E18/366))+(O19/$R19*100*($E19/366))+(O20/$R20*100*($E20/366))</f>
        <v>17.054415030648371</v>
      </c>
      <c r="I119" s="392"/>
      <c r="J119" s="392">
        <f>(P18/$R18*100*($E18/366))+(P19/$R19*100*($E19/366))+(P20/$R20*100*($E20/366))</f>
        <v>0.68306010928961747</v>
      </c>
      <c r="K119" s="392"/>
      <c r="L119" s="392">
        <f>(Q18/$R18*100*($E18/366))+(Q19/$R19*100*($E19/366))+(Q20/$R20*100*($E20/366))</f>
        <v>82.262524860062001</v>
      </c>
      <c r="M119" s="392"/>
      <c r="N119" s="413">
        <f t="shared" si="34"/>
        <v>99.999999999999986</v>
      </c>
      <c r="O119" s="413"/>
      <c r="P119" s="9"/>
      <c r="Q119" s="9"/>
      <c r="R119" s="9">
        <v>1996</v>
      </c>
      <c r="S119" s="5">
        <f>(O18*($E18/366))+(O19*($E19/366))+(O20*($E20/366))</f>
        <v>7.8601092896174869</v>
      </c>
      <c r="T119" s="5">
        <f>(P18*($E18/366))+(P19*($E19/366))+(P20*($E20/366))</f>
        <v>0.39890710382513661</v>
      </c>
      <c r="U119" s="5">
        <f>(Q18*($E18/366))+(Q19*($E19/366))+(Q20*($E20/366))</f>
        <v>33.272677595628409</v>
      </c>
      <c r="V119" s="9"/>
      <c r="W119" s="5">
        <f t="shared" si="35"/>
        <v>41.53169398907103</v>
      </c>
    </row>
    <row r="120" spans="1:27" x14ac:dyDescent="0.15">
      <c r="A120" s="1">
        <v>1997</v>
      </c>
      <c r="B120" s="5">
        <f>(K21*($E21/365))+(K22*($E22/365))</f>
        <v>65</v>
      </c>
      <c r="C120" s="5">
        <f>(L21*($E21/365))+(L22*($E22/365))</f>
        <v>5</v>
      </c>
      <c r="D120" s="5">
        <f>(M21*($E21/365))+(M22*($E22/365))</f>
        <v>25</v>
      </c>
      <c r="E120" s="23">
        <f t="shared" si="33"/>
        <v>95</v>
      </c>
      <c r="F120" s="9"/>
      <c r="G120" s="9">
        <v>1997</v>
      </c>
      <c r="H120" s="392">
        <f>(O21/$R21*100*($E21/365))+(O22/$R22*100*($E22/365))</f>
        <v>60.958904109589042</v>
      </c>
      <c r="I120" s="392"/>
      <c r="J120" s="392">
        <f>(P21/$R21*100*($E21/365))+(P22/$R22*100*($E22/365))</f>
        <v>12.5</v>
      </c>
      <c r="K120" s="392"/>
      <c r="L120" s="392">
        <f>(Q21/$R21*100*($E21/365))+(Q22/$R22*100*($E22/365))</f>
        <v>26.541095890410958</v>
      </c>
      <c r="M120" s="392"/>
      <c r="N120" s="413">
        <f t="shared" si="34"/>
        <v>100</v>
      </c>
      <c r="O120" s="413"/>
      <c r="P120" s="9"/>
      <c r="Q120" s="9"/>
      <c r="R120" s="9">
        <v>1997</v>
      </c>
      <c r="S120" s="5">
        <f>(O21*($E21/365))+(O22*($E22/365))</f>
        <v>35.6</v>
      </c>
      <c r="T120" s="5">
        <f>(P21*($E21/365))+(P22*($E22/365))</f>
        <v>7.3</v>
      </c>
      <c r="U120" s="5">
        <f>(Q21*($E21/365))+(Q22*($E22/365))</f>
        <v>15.5</v>
      </c>
      <c r="V120" s="9"/>
      <c r="W120" s="5">
        <f t="shared" si="35"/>
        <v>58.4</v>
      </c>
    </row>
    <row r="121" spans="1:27" x14ac:dyDescent="0.15">
      <c r="A121" s="1">
        <v>1998</v>
      </c>
      <c r="B121" s="5">
        <f>(K23*($E23/365))+(K24*($E24/365))+(K25*($E25/365))</f>
        <v>55.423352902804965</v>
      </c>
      <c r="C121" s="5">
        <f>(L23*($E23/365))+(L24*($E24/365))+(L25*($E25/365))</f>
        <v>4.8193085453359421</v>
      </c>
      <c r="D121" s="5">
        <f>(M23*($E23/365))+(M24*($E24/365))+(M25*($E25/365))</f>
        <v>31.115459882583163</v>
      </c>
      <c r="E121" s="23">
        <f t="shared" si="33"/>
        <v>91.358121330724074</v>
      </c>
      <c r="F121" s="9"/>
      <c r="G121" s="9">
        <v>1998</v>
      </c>
      <c r="H121" s="392">
        <f>(O23/$R23*100*($E23/365))+(O24/$R24*100*($E24/365))+(O25/$R25*100*($E25/365))</f>
        <v>53.997081261618597</v>
      </c>
      <c r="I121" s="392"/>
      <c r="J121" s="392">
        <f>(P23/$R23*100*($E23/365))+(P24/$R24*100*($E24/365))+(P25/$R25*100*($E25/365))</f>
        <v>11.072435202522913</v>
      </c>
      <c r="K121" s="392"/>
      <c r="L121" s="392">
        <f>(Q23/$R23*100*($E23/365))+(Q24/$R24*100*($E24/365))+(Q25/$R25*100*($E25/365))</f>
        <v>34.9304835358585</v>
      </c>
      <c r="M121" s="392"/>
      <c r="N121" s="413">
        <f t="shared" si="34"/>
        <v>100.00000000000001</v>
      </c>
      <c r="O121" s="413"/>
      <c r="P121" s="9"/>
      <c r="Q121" s="9"/>
      <c r="R121" s="9">
        <v>1998</v>
      </c>
      <c r="S121" s="5">
        <f>(O23*($E23/365))+(O24*($E24/365))+(O25*($E25/365))</f>
        <v>35.6</v>
      </c>
      <c r="T121" s="5">
        <f>(P23*($E23/365))+(P24*($E24/365))+(P25*($E25/365))</f>
        <v>7.3</v>
      </c>
      <c r="U121" s="5">
        <f>(Q23*($E23/365))+(Q24*($E24/365))+(Q25*($E25/365))</f>
        <v>23.437260273972605</v>
      </c>
      <c r="V121" s="9"/>
      <c r="W121" s="5">
        <f t="shared" si="35"/>
        <v>66.337260273972603</v>
      </c>
    </row>
    <row r="122" spans="1:27" x14ac:dyDescent="0.15">
      <c r="A122" s="1">
        <v>1999</v>
      </c>
      <c r="B122" s="5">
        <f>(K26*($E26/365))+(K27*($E27/365))</f>
        <v>52.859317242878895</v>
      </c>
      <c r="C122" s="5">
        <f>(L26*($E26/365))+(L27*($E27/365))</f>
        <v>4.8053924766253537</v>
      </c>
      <c r="D122" s="5">
        <f>(M26*($E26/365))+(M27*($E27/365))</f>
        <v>33.333333333333329</v>
      </c>
      <c r="E122" s="23">
        <f t="shared" si="33"/>
        <v>90.998043052837573</v>
      </c>
      <c r="F122" s="9"/>
      <c r="G122" s="9">
        <v>1999</v>
      </c>
      <c r="H122" s="392">
        <f>(O26/$R26*100*($E26/365))+(O27/$R27*100*($E27/365))</f>
        <v>51.756494597903966</v>
      </c>
      <c r="I122" s="392"/>
      <c r="J122" s="392">
        <f>(P26/$R26*100*($E26/365))+(P27/$R27*100*($E27/365))</f>
        <v>10.61298906080615</v>
      </c>
      <c r="K122" s="392"/>
      <c r="L122" s="392">
        <f>(Q26/$R26*100*($E26/365))+(Q27/$R27*100*($E27/365))</f>
        <v>37.630516341289891</v>
      </c>
      <c r="M122" s="392"/>
      <c r="N122" s="413">
        <f t="shared" si="34"/>
        <v>100</v>
      </c>
      <c r="O122" s="413"/>
      <c r="P122" s="9"/>
      <c r="Q122" s="9"/>
      <c r="R122" s="9">
        <v>1999</v>
      </c>
      <c r="S122" s="5">
        <f>(O26*($E26/365))+(O27*($E27/365))</f>
        <v>35.6</v>
      </c>
      <c r="T122" s="5">
        <f>(P26*($E26/365))+(P27*($E27/365))</f>
        <v>7.3</v>
      </c>
      <c r="U122" s="5">
        <f>(Q26*($E26/365))+(Q27*($E27/365))</f>
        <v>25.991780821917811</v>
      </c>
      <c r="V122" s="9"/>
      <c r="W122" s="5">
        <f t="shared" si="35"/>
        <v>68.891780821917806</v>
      </c>
    </row>
    <row r="123" spans="1:27" x14ac:dyDescent="0.15">
      <c r="A123" s="1">
        <v>2000</v>
      </c>
      <c r="B123" s="5">
        <f>(K28*($E28/366))+(K29*($E29/366))</f>
        <v>60.443230115361267</v>
      </c>
      <c r="C123" s="5">
        <f>(L28*($E28/366))+(L29*($E29/366))</f>
        <v>5.4948391013964786</v>
      </c>
      <c r="D123" s="5">
        <f>(M28*($E28/366))+(M29*($E29/366))</f>
        <v>34.061930783242254</v>
      </c>
      <c r="E123" s="23">
        <f t="shared" si="33"/>
        <v>100</v>
      </c>
      <c r="F123" s="9"/>
      <c r="G123" s="9">
        <v>2000</v>
      </c>
      <c r="H123" s="392">
        <f>(O28/$R28*100*($E28/366))+(O29/$R29*100*($E29/366))</f>
        <v>60.292686578336699</v>
      </c>
      <c r="I123" s="392"/>
      <c r="J123" s="392">
        <f>(P28/$R28*100*($E28/366))+(P29/$R29*100*($E29/366))</f>
        <v>12.363387978142077</v>
      </c>
      <c r="K123" s="392"/>
      <c r="L123" s="392">
        <f>(Q28/$R28*100*($E28/366))+(Q29/$R29*100*($E29/366))</f>
        <v>27.343925443521218</v>
      </c>
      <c r="M123" s="392"/>
      <c r="N123" s="413">
        <f t="shared" si="34"/>
        <v>99.999999999999986</v>
      </c>
      <c r="O123" s="413"/>
      <c r="P123" s="9"/>
      <c r="Q123" s="9"/>
      <c r="R123" s="9">
        <v>2000</v>
      </c>
      <c r="S123" s="5">
        <f>(O28*($E28/366))+(O29*($E29/366))</f>
        <v>35.210928961748635</v>
      </c>
      <c r="T123" s="5">
        <f>(P28*($E28/366))+(P29*($E29/366))</f>
        <v>7.220218579234972</v>
      </c>
      <c r="U123" s="5">
        <f>(Q28*($E28/366))+(Q29*($E29/366))</f>
        <v>15.821311475409836</v>
      </c>
      <c r="V123" s="9"/>
      <c r="W123" s="5">
        <f t="shared" si="35"/>
        <v>58.252459016393445</v>
      </c>
    </row>
    <row r="124" spans="1:27" x14ac:dyDescent="0.15">
      <c r="A124" s="1">
        <v>2001</v>
      </c>
      <c r="B124" s="5">
        <f>(K30*($E30/365))+(K31*($E31/365))</f>
        <v>0</v>
      </c>
      <c r="C124" s="5">
        <f>(L30*($E30/365))+(L31*($E31/365))</f>
        <v>0</v>
      </c>
      <c r="D124" s="5">
        <f>(M30*($E30/365))+(M31*($E31/365))</f>
        <v>100</v>
      </c>
      <c r="E124" s="23">
        <f t="shared" si="33"/>
        <v>100</v>
      </c>
      <c r="F124" s="9"/>
      <c r="G124" s="9">
        <v>2001</v>
      </c>
      <c r="H124" s="392">
        <f>(O30/$R30*100*($E30/365))+(O31/$R31*100*($E31/365))</f>
        <v>0</v>
      </c>
      <c r="I124" s="392"/>
      <c r="J124" s="392">
        <f>(P30/$R30*100*($E30/365))+(P31/$R31*100*($E31/365))</f>
        <v>0</v>
      </c>
      <c r="K124" s="392"/>
      <c r="L124" s="392">
        <f>(Q30/$R30*100*($E30/365))+(Q31/$R31*100*($E31/365))</f>
        <v>100</v>
      </c>
      <c r="M124" s="392"/>
      <c r="N124" s="413">
        <f t="shared" si="34"/>
        <v>100</v>
      </c>
      <c r="O124" s="413"/>
      <c r="P124" s="9"/>
      <c r="Q124" s="9"/>
      <c r="R124" s="9">
        <v>2001</v>
      </c>
      <c r="S124" s="5">
        <f>(O30*($E30/365))+(O31*($E31/365))</f>
        <v>0</v>
      </c>
      <c r="T124" s="5">
        <f>(P30*($E30/365))+(P31*($E31/365))</f>
        <v>0</v>
      </c>
      <c r="U124" s="5">
        <f>(Q30*($E30/365))+(Q31*($E31/365))</f>
        <v>44.9</v>
      </c>
      <c r="V124" s="9"/>
      <c r="W124" s="5">
        <f t="shared" si="35"/>
        <v>44.9</v>
      </c>
    </row>
    <row r="125" spans="1:27" x14ac:dyDescent="0.15">
      <c r="A125" s="1">
        <v>2002</v>
      </c>
      <c r="B125" s="5">
        <f>(K32*($E32/365))+(K33*($E33/365))</f>
        <v>0</v>
      </c>
      <c r="C125" s="5">
        <f>(L32*($E32/365))+(L33*($E33/365))</f>
        <v>0</v>
      </c>
      <c r="D125" s="5">
        <f>(M32*($E32/365))+(M33*($E33/365))</f>
        <v>100</v>
      </c>
      <c r="E125" s="23">
        <f t="shared" si="33"/>
        <v>100</v>
      </c>
      <c r="F125" s="9"/>
      <c r="G125" s="9">
        <v>2002</v>
      </c>
      <c r="H125" s="392">
        <f>(O32/$R32*100*($E32/365))+(O33/$R33*100*($E33/365))</f>
        <v>0</v>
      </c>
      <c r="I125" s="392"/>
      <c r="J125" s="392">
        <f>(P32/$R32*100*($E32/365))+(P33/$R33*100*($E33/365))</f>
        <v>0</v>
      </c>
      <c r="K125" s="392"/>
      <c r="L125" s="392">
        <f>(Q32/$R32*100*($E32/365))+(Q33/$R33*100*($E33/365))</f>
        <v>100</v>
      </c>
      <c r="M125" s="392"/>
      <c r="N125" s="413">
        <f t="shared" si="34"/>
        <v>100</v>
      </c>
      <c r="O125" s="413"/>
      <c r="P125" s="9"/>
      <c r="Q125" s="9"/>
      <c r="R125" s="9">
        <v>2002</v>
      </c>
      <c r="S125" s="5">
        <f>(O32*($E32/365))+(O33*($E33/365))</f>
        <v>0</v>
      </c>
      <c r="T125" s="5">
        <f>(P32*($E32/365))+(P33*($E33/365))</f>
        <v>0</v>
      </c>
      <c r="U125" s="5">
        <f>(Q32*($E32/365))+(Q33*($E33/365))</f>
        <v>44.9</v>
      </c>
      <c r="V125" s="9"/>
      <c r="W125" s="5">
        <f t="shared" si="35"/>
        <v>44.9</v>
      </c>
    </row>
    <row r="126" spans="1:27" x14ac:dyDescent="0.15">
      <c r="A126" s="1">
        <v>2003</v>
      </c>
      <c r="B126" s="5">
        <f>(K34*($E34/365))+(K35*($E35/365))</f>
        <v>0</v>
      </c>
      <c r="C126" s="5">
        <f>(L34*($E34/365))+(L35*($E35/365))</f>
        <v>0</v>
      </c>
      <c r="D126" s="5">
        <f>(M34*($E34/365))+(M35*($E35/365))</f>
        <v>100</v>
      </c>
      <c r="E126" s="23">
        <f t="shared" si="33"/>
        <v>100</v>
      </c>
      <c r="F126" s="9"/>
      <c r="G126" s="9">
        <v>2003</v>
      </c>
      <c r="H126" s="392">
        <f>(O34/$R34*100*($E34/365))+(O35/$R35*100*($E35/365))</f>
        <v>0</v>
      </c>
      <c r="I126" s="392"/>
      <c r="J126" s="392">
        <f>(P34/$R34*100*($E34/365))+(P35/$R35*100*($E35/365))</f>
        <v>0</v>
      </c>
      <c r="K126" s="392"/>
      <c r="L126" s="392">
        <f>(Q34/$R34*100*($E34/365))+(Q35/$R35*100*($E35/365))</f>
        <v>100</v>
      </c>
      <c r="M126" s="392"/>
      <c r="N126" s="413">
        <f t="shared" si="34"/>
        <v>100</v>
      </c>
      <c r="O126" s="413"/>
      <c r="P126" s="9"/>
      <c r="Q126" s="9"/>
      <c r="R126" s="9">
        <v>2003</v>
      </c>
      <c r="S126" s="5">
        <f>(O34*($E34/365))+(O35*($E35/365))</f>
        <v>0</v>
      </c>
      <c r="T126" s="5">
        <f>(P34*($E34/365))+(P35*($E35/365))</f>
        <v>0</v>
      </c>
      <c r="U126" s="5">
        <f>(Q34*($E34/365))+(Q35*($E35/365))</f>
        <v>44.9</v>
      </c>
      <c r="V126" s="9"/>
      <c r="W126" s="5">
        <f t="shared" si="35"/>
        <v>44.9</v>
      </c>
    </row>
    <row r="127" spans="1:27" x14ac:dyDescent="0.15">
      <c r="A127" s="1">
        <v>2004</v>
      </c>
      <c r="B127" s="5">
        <f>(K36*($E36/366))+(K37*($E37/366))</f>
        <v>0.32786885245901642</v>
      </c>
      <c r="C127" s="5">
        <f>(L36*($E36/366))+(L37*($E37/366))</f>
        <v>0.22950819672131151</v>
      </c>
      <c r="D127" s="5">
        <f>(M36*($E36/366))+(M37*($E37/366))</f>
        <v>99.409836065573771</v>
      </c>
      <c r="E127" s="23">
        <f t="shared" si="33"/>
        <v>99.967213114754102</v>
      </c>
      <c r="F127" s="9"/>
      <c r="G127" s="9">
        <v>2004</v>
      </c>
      <c r="H127" s="392">
        <f>(O36/$R36*100*($E36/366))+(O37/$R37*100*($E37/366))</f>
        <v>0.34212401995723452</v>
      </c>
      <c r="I127" s="392"/>
      <c r="J127" s="392">
        <f>(P36/$R36*100*($E36/366))+(P37/$R37*100*($E37/366))</f>
        <v>0.21917320028510337</v>
      </c>
      <c r="K127" s="392"/>
      <c r="L127" s="392">
        <f>(Q36/$R36*100*($E36/366))+(Q37/$R37*100*($E37/366))</f>
        <v>99.438702779757662</v>
      </c>
      <c r="M127" s="392"/>
      <c r="N127" s="413">
        <f t="shared" si="34"/>
        <v>100</v>
      </c>
      <c r="O127" s="413"/>
      <c r="P127" s="9"/>
      <c r="Q127" s="9"/>
      <c r="R127" s="9">
        <v>2004</v>
      </c>
      <c r="S127" s="5">
        <f>(O36*($E36/366))+(O37*($E37/366))</f>
        <v>0.15737704918032788</v>
      </c>
      <c r="T127" s="5">
        <f>(P36*($E36/366))+(P37*($E37/366))</f>
        <v>0.10081967213114755</v>
      </c>
      <c r="U127" s="5">
        <f>(Q36*($E36/366))+(Q37*($E37/366))</f>
        <v>44.650819672131149</v>
      </c>
      <c r="V127" s="9"/>
      <c r="W127" s="5">
        <f t="shared" si="35"/>
        <v>44.909016393442627</v>
      </c>
    </row>
    <row r="128" spans="1:27" x14ac:dyDescent="0.15">
      <c r="A128" s="1">
        <v>2005</v>
      </c>
      <c r="B128" s="5">
        <f>(K38*($E38/365))+(K39*($E39/365))</f>
        <v>41.57534246575343</v>
      </c>
      <c r="C128" s="5">
        <f>(L38*($E38/365))+(L39*($E39/365))</f>
        <v>25.164383561643834</v>
      </c>
      <c r="D128" s="5">
        <f>(M38*($E38/365))+(M39*($E39/365))</f>
        <v>29.102739726027398</v>
      </c>
      <c r="E128" s="23">
        <f t="shared" si="33"/>
        <v>95.842465753424662</v>
      </c>
      <c r="F128" s="9"/>
      <c r="G128" s="9">
        <v>2005</v>
      </c>
      <c r="H128" s="392">
        <f>(O38/$R38*100*($E38/365))+(O39/$R39*100*($E39/365))</f>
        <v>41.739130434782609</v>
      </c>
      <c r="I128" s="392"/>
      <c r="J128" s="392">
        <f>(P38/$R38*100*($E38/365))+(P39/$R39*100*($E39/365))</f>
        <v>26.739130434782609</v>
      </c>
      <c r="K128" s="392"/>
      <c r="L128" s="392">
        <f>(Q38/$R38*100*($E38/365))+(Q39/$R39*100*($E39/365))</f>
        <v>31.521739130434785</v>
      </c>
      <c r="M128" s="392"/>
      <c r="N128" s="413">
        <f t="shared" si="34"/>
        <v>100</v>
      </c>
      <c r="O128" s="413"/>
      <c r="P128" s="9"/>
      <c r="Q128" s="9"/>
      <c r="R128" s="9">
        <v>2005</v>
      </c>
      <c r="S128" s="5">
        <f>(O38*($E38/365))+(O39*($E39/365))</f>
        <v>19.2</v>
      </c>
      <c r="T128" s="5">
        <f>(P38*($E38/365))+(P39*($E39/365))</f>
        <v>12.3</v>
      </c>
      <c r="U128" s="5">
        <f>(Q38*($E38/365))+(Q39*($E39/365))</f>
        <v>14.5</v>
      </c>
      <c r="V128" s="9"/>
      <c r="W128" s="5">
        <f t="shared" si="35"/>
        <v>46</v>
      </c>
    </row>
    <row r="129" spans="1:23" x14ac:dyDescent="0.15">
      <c r="A129" s="1">
        <v>2006</v>
      </c>
      <c r="B129" s="5">
        <f>(K40*($E40/365))+(K41*($E41/365))+(K42*($E42/365))+(K43*($E43/365))</f>
        <v>42.126265634306144</v>
      </c>
      <c r="C129" s="5">
        <f>(L40*($E40/365))+(L41*($E41/365))+(L42*($E42/365))+(L43*($E43/365))</f>
        <v>25.354377605717691</v>
      </c>
      <c r="D129" s="5">
        <f>(M40*($E40/365))+(M41*($E41/365))+(M42*($E42/365))+(M43*($E43/365))</f>
        <v>28.251935675997622</v>
      </c>
      <c r="E129" s="23">
        <f t="shared" si="33"/>
        <v>95.732578916021453</v>
      </c>
      <c r="F129" s="9"/>
      <c r="G129" s="9">
        <v>2006</v>
      </c>
      <c r="H129" s="392">
        <f>(O40/$R40*100*($E40/365))+(O41/$R41*100*($E41/365))+(O42/$R42*100*($E42/365))+(O43/$R43*100*($E43/365))</f>
        <v>41.739130434782609</v>
      </c>
      <c r="I129" s="392"/>
      <c r="J129" s="392">
        <f>(P40/$R40*100*($E40/365))+(P41/$R41*100*($E41/365))+(P42/$R42*100*($E42/365))+(P43/$R43*100*($E43/365))</f>
        <v>26.739130434782609</v>
      </c>
      <c r="K129" s="392"/>
      <c r="L129" s="392">
        <f>(Q40/$R40*100*($E40/365))+(Q41/$R41*100*($E41/365))+(Q42/$R42*100*($E42/365))+(Q43/$R43*100*($E43/365))</f>
        <v>31.521739130434785</v>
      </c>
      <c r="M129" s="392"/>
      <c r="N129" s="413">
        <f t="shared" si="34"/>
        <v>100</v>
      </c>
      <c r="O129" s="413"/>
      <c r="P129" s="9"/>
      <c r="Q129" s="9"/>
      <c r="R129" s="9">
        <v>2006</v>
      </c>
      <c r="S129" s="5">
        <f>(O40*($E40/365))+(O41*($E41/365))+(O42*($E42/365))+(O43*($E43/365))</f>
        <v>19.2</v>
      </c>
      <c r="T129" s="5">
        <f>(P40*($E40/365))+(P41*($E41/365))+(P42*($E42/365))+(P43*($E43/365))</f>
        <v>12.300000000000002</v>
      </c>
      <c r="U129" s="5">
        <f>(Q40*($E40/365))+(Q41*($E41/365))+(Q42*($E42/365))+(Q43*($E43/365))</f>
        <v>14.5</v>
      </c>
      <c r="V129" s="9"/>
      <c r="W129" s="5">
        <f t="shared" si="35"/>
        <v>46</v>
      </c>
    </row>
    <row r="130" spans="1:23" x14ac:dyDescent="0.15">
      <c r="A130" s="1">
        <v>2007</v>
      </c>
      <c r="B130" s="5">
        <f>(K44*($E44/365))+(K45*($E45/365))+(K46*($E46/365))+(K47*($E47/365))</f>
        <v>69.904276977815144</v>
      </c>
      <c r="C130" s="5">
        <f>(L44*($E44/365))+(L45*($E45/365))+(L46*($E46/365))+(L47*($E47/365))</f>
        <v>19.816495190492319</v>
      </c>
      <c r="D130" s="5">
        <f>(M44*($E44/365))+(M45*($E45/365))+(M46*($E46/365))+(M47*($E47/365))</f>
        <v>7.8379988088147714</v>
      </c>
      <c r="E130" s="23">
        <f t="shared" si="33"/>
        <v>97.558770977122236</v>
      </c>
      <c r="F130" s="9"/>
      <c r="G130" s="9">
        <v>2007</v>
      </c>
      <c r="H130" s="392">
        <f>(O44/$R44*100*($E44/365))+(O45/$R45*100*($E45/365))+(O46/$R46*100*($E46/365))+(O47/$R47*100*($E47/365))</f>
        <v>64.143601181047472</v>
      </c>
      <c r="I130" s="392"/>
      <c r="J130" s="392">
        <f>(P44/$R44*100*($E44/365))+(P45/$R45*100*($E45/365))+(P46/$R46*100*($E46/365))+(P47/$R47*100*($E47/365))</f>
        <v>27.738471481251501</v>
      </c>
      <c r="K130" s="392"/>
      <c r="L130" s="392">
        <f>(Q44/$R44*100*($E44/365))+(Q45/$R45*100*($E45/365))+(Q46/$R46*100*($E46/365))+(Q47/$R47*100*($E47/365))</f>
        <v>8.1179273377010137</v>
      </c>
      <c r="M130" s="392"/>
      <c r="N130" s="413">
        <f t="shared" si="34"/>
        <v>100</v>
      </c>
      <c r="O130" s="413"/>
      <c r="P130" s="9"/>
      <c r="Q130" s="9"/>
      <c r="R130" s="9">
        <v>2007</v>
      </c>
      <c r="S130" s="5">
        <f>(O44*($E44/365))+(O45*($E45/365))+(O46*($E46/365))+(O47*($E47/365))</f>
        <v>17.492328767123286</v>
      </c>
      <c r="T130" s="5">
        <f>(P44*($E44/365))+(P45*($E45/365))+(P46*($E46/365))+(P47*($E47/365))</f>
        <v>8.067945205479452</v>
      </c>
      <c r="U130" s="5">
        <f>(Q44*($E44/365))+(Q45*($E45/365))+(Q46*($E46/365))+(Q47*($E47/365))</f>
        <v>3.7342465753424658</v>
      </c>
      <c r="V130" s="9"/>
      <c r="W130" s="5">
        <f t="shared" si="35"/>
        <v>29.294520547945204</v>
      </c>
    </row>
    <row r="131" spans="1:23" x14ac:dyDescent="0.15">
      <c r="A131" s="1">
        <v>2008</v>
      </c>
      <c r="B131" s="5">
        <f>(K48*($E48/366))+(K49*($E49/366))</f>
        <v>75.682294775833824</v>
      </c>
      <c r="C131" s="5">
        <f>(L48*($E48/366))+(L49*($E49/366))</f>
        <v>17.164898746383802</v>
      </c>
      <c r="D131" s="5">
        <f>(M48*($E48/366))+(M49*($E49/366))</f>
        <v>1.3010668748373664</v>
      </c>
      <c r="E131" s="23">
        <f t="shared" si="33"/>
        <v>94.148260397054983</v>
      </c>
      <c r="F131" s="9"/>
      <c r="G131" s="9">
        <v>2008</v>
      </c>
      <c r="H131" s="392">
        <f>(O48/$R48*100*($E48/366))+(O49/$R49*100*($E49/366))</f>
        <v>71.346574476550188</v>
      </c>
      <c r="I131" s="392"/>
      <c r="J131" s="392">
        <f>(P48/$R48*100*($E48/366))+(P49/$R49*100*($E49/366))</f>
        <v>27.317753749563998</v>
      </c>
      <c r="K131" s="392"/>
      <c r="L131" s="392">
        <f>(Q48/$R48*100*($E48/366))+(Q49/$R49*100*($E49/366))</f>
        <v>1.3356717738857897</v>
      </c>
      <c r="M131" s="392"/>
      <c r="N131" s="413">
        <f t="shared" si="34"/>
        <v>99.999999999999972</v>
      </c>
      <c r="O131" s="413"/>
      <c r="P131" s="9"/>
      <c r="Q131" s="9"/>
      <c r="R131" s="9">
        <v>2008</v>
      </c>
      <c r="S131" s="5">
        <f>(O48*($E48/366))+(O49*($E49/366))</f>
        <v>17.37814207650273</v>
      </c>
      <c r="T131" s="5">
        <f>(P48*($E48/366))+(P49*($E49/366))</f>
        <v>6.4196721311475402</v>
      </c>
      <c r="U131" s="5">
        <f>(Q48*($E48/366))+(Q49*($E49/366))</f>
        <v>0.8989071038251365</v>
      </c>
      <c r="V131" s="9"/>
      <c r="W131" s="5">
        <f t="shared" si="35"/>
        <v>24.696721311475407</v>
      </c>
    </row>
    <row r="132" spans="1:23" x14ac:dyDescent="0.15">
      <c r="A132" s="1">
        <v>2009</v>
      </c>
      <c r="B132" s="5">
        <f>(K50*($E50/365))+(K51*($E51/365))+(K52*($E52/365))</f>
        <v>57.242546333601929</v>
      </c>
      <c r="C132" s="5">
        <f>(L50*($E50/365))+(L51*($E51/365))+(L52*($E52/365))</f>
        <v>0.58017727639000805</v>
      </c>
      <c r="D132" s="5">
        <f>(M50*($E50/365))+(M51*($E51/365))+(M52*($E52/365))</f>
        <v>35.61643835616438</v>
      </c>
      <c r="E132" s="23">
        <f t="shared" si="33"/>
        <v>93.43916196615632</v>
      </c>
      <c r="F132" s="9"/>
      <c r="G132" s="9">
        <v>2009</v>
      </c>
      <c r="H132" s="392">
        <f>(O50/$R50*100*($E50/365))+(O51/$R51*100*($E51/365))+(O52/$R52*100*($E52/365))</f>
        <v>63.039333481938286</v>
      </c>
      <c r="I132" s="392"/>
      <c r="J132" s="392">
        <f>(P50/$R50*100*($E50/365))+(P51/$R51*100*($E51/365))+(P52/$R52*100*($E52/365))</f>
        <v>0.39692616104243233</v>
      </c>
      <c r="K132" s="392"/>
      <c r="L132" s="392">
        <f>(Q50/$R50*100*($E50/365))+(Q51/$R51*100*($E51/365))+(Q52/$R52*100*($E52/365))</f>
        <v>36.563740357019277</v>
      </c>
      <c r="M132" s="392"/>
      <c r="N132" s="413">
        <f t="shared" si="34"/>
        <v>100</v>
      </c>
      <c r="O132" s="413"/>
      <c r="P132" s="9"/>
      <c r="Q132" s="9"/>
      <c r="R132" s="9">
        <v>2009</v>
      </c>
      <c r="S132" s="5">
        <f>(O50*($E50/365))+(O51*($E51/365))+(O52*($E52/365))</f>
        <v>34.4</v>
      </c>
      <c r="T132" s="5">
        <f>(P50*($E50/365))+(P51*($E51/365))+(P52*($E52/365))</f>
        <v>0.16273972602739725</v>
      </c>
      <c r="U132" s="5">
        <f>(Q50*($E50/365))+(Q51*($E51/365))+(Q52*($E52/365))</f>
        <v>24.607397260273974</v>
      </c>
      <c r="V132" s="9"/>
      <c r="W132" s="5">
        <f t="shared" si="35"/>
        <v>59.170136986301372</v>
      </c>
    </row>
    <row r="133" spans="1:23" x14ac:dyDescent="0.15">
      <c r="A133" s="1">
        <v>2010</v>
      </c>
      <c r="B133" s="5">
        <f>(K53*($E53/365))+(K54*($E54/365))+(K55*($E55/365))</f>
        <v>52.457695406929886</v>
      </c>
      <c r="C133" s="5">
        <f>(L53*($E53/365))+(L54*($E54/365))+(L55*($E55/365))</f>
        <v>23.52941176470588</v>
      </c>
      <c r="D133" s="5">
        <f>(M53*($E53/365))+(M54*($E54/365))+(M55*($E55/365))</f>
        <v>1.9339242546333599</v>
      </c>
      <c r="E133" s="23">
        <f t="shared" si="33"/>
        <v>77.921031426269124</v>
      </c>
      <c r="F133" s="9"/>
      <c r="G133" s="9">
        <v>2010</v>
      </c>
      <c r="H133" s="392">
        <f>(O53/$R53*100*($E53/365))+(O54/$R54*100*($E54/365))+(O55/$R55*100*($E55/365))</f>
        <v>81.623594750129286</v>
      </c>
      <c r="I133" s="392"/>
      <c r="J133" s="392">
        <f>(P53/$R53*100*($E53/365))+(P54/$R54*100*($E54/365))+(P55/$R55*100*($E55/365))</f>
        <v>15.307002646562587</v>
      </c>
      <c r="K133" s="392"/>
      <c r="L133" s="392">
        <f>(Q53/$R53*100*($E53/365))+(Q54/$R54*100*($E54/365))+(Q55/$R55*100*($E55/365))</f>
        <v>3.0694026033081343</v>
      </c>
      <c r="M133" s="392"/>
      <c r="N133" s="413">
        <f t="shared" si="34"/>
        <v>100</v>
      </c>
      <c r="O133" s="413"/>
      <c r="P133" s="9"/>
      <c r="Q133" s="9"/>
      <c r="R133" s="9">
        <v>2010</v>
      </c>
      <c r="S133" s="5">
        <f>(O53*($E53/365))+(O54*($E54/365))+(O55*($E55/365))</f>
        <v>35.287671232876711</v>
      </c>
      <c r="T133" s="5">
        <f>(P53*($E53/365))+(P54*($E54/365))+(P55*($E55/365))</f>
        <v>6.5999999999999988</v>
      </c>
      <c r="U133" s="5">
        <f>(Q53*($E53/365))+(Q54*($E54/365))+(Q55*($E55/365))</f>
        <v>1.4794520547945207</v>
      </c>
      <c r="V133" s="9"/>
      <c r="W133" s="5">
        <f t="shared" si="35"/>
        <v>43.367123287671234</v>
      </c>
    </row>
    <row r="134" spans="1:23" x14ac:dyDescent="0.15">
      <c r="A134" s="1">
        <v>2011</v>
      </c>
      <c r="B134" s="5">
        <f>(K56*($E56/365))+(K57*($E57/365))+(K58*($E58/365))+(K59*($E59/365))</f>
        <v>61.950935625391715</v>
      </c>
      <c r="C134" s="5">
        <f>(L56*($E56/365))+(L57*($E57/365))+(L58*($E58/365))+(L59*($E59/365))</f>
        <v>23.160533619840628</v>
      </c>
      <c r="D134" s="5">
        <f>(M56*($E56/365))+(M57*($E57/365))+(M58*($E58/365))+(M59*($E59/365))</f>
        <v>5.7901334049601569</v>
      </c>
      <c r="E134" s="23">
        <f t="shared" si="33"/>
        <v>90.901602650192501</v>
      </c>
      <c r="F134" s="9"/>
      <c r="G134" s="9">
        <v>2011</v>
      </c>
      <c r="H134" s="392">
        <f>(O56/$R56*100*($E56/365))+(O57/$R57*100*($E57/365))+(O58/$R58*100*($E58/365))+(O59/$R59*100*($E59/365))</f>
        <v>76.970954356846462</v>
      </c>
      <c r="I134" s="392"/>
      <c r="J134" s="392">
        <f>(P56/$R56*100*($E56/365))+(P57/$R57*100*($E57/365))+(P58/$R58*100*($E58/365))+(P59/$R59*100*($E59/365))</f>
        <v>13.692946058091286</v>
      </c>
      <c r="K134" s="392"/>
      <c r="L134" s="392">
        <f>(Q56/$R56*100*($E56/365))+(Q57/$R57*100*($E57/365))+(Q58/$R58*100*($E58/365))+(Q59/$R59*100*($E59/365))</f>
        <v>9.3360995850622412</v>
      </c>
      <c r="M134" s="392"/>
      <c r="N134" s="413">
        <f t="shared" si="34"/>
        <v>99.999999999999986</v>
      </c>
      <c r="O134" s="413"/>
      <c r="P134" s="9"/>
      <c r="Q134" s="9"/>
      <c r="R134" s="9">
        <v>2011</v>
      </c>
      <c r="S134" s="5">
        <f>(O56*($E56/365))+(O57*($E57/365))+(O58*($E58/365))+(O59*($E59/365))</f>
        <v>37.1</v>
      </c>
      <c r="T134" s="5">
        <f>(P56*($E56/365))+(P57*($E57/365))+(P58*($E58/365))+(P59*($E59/365))</f>
        <v>6.6</v>
      </c>
      <c r="U134" s="5">
        <f>(Q56*($E56/365))+(Q57*($E57/365))+(Q58*($E58/365))+(Q59*($E59/365))</f>
        <v>4.5</v>
      </c>
      <c r="V134" s="9"/>
      <c r="W134" s="5">
        <f t="shared" si="35"/>
        <v>48.2</v>
      </c>
    </row>
    <row r="135" spans="1:23" x14ac:dyDescent="0.15">
      <c r="A135" s="1">
        <v>2012</v>
      </c>
      <c r="B135" s="5">
        <f>(K60*($E60/366))+(K61*($E61/366))+(K62*($E62/366))+(K63*($E63/366))+(K64*($E64/366))</f>
        <v>39.948872397616682</v>
      </c>
      <c r="C135" s="5">
        <f>(L60*($E60/366))+(L61*($E61/366))+(L62*($E62/366))+(L63*($E63/366))+(L64*($E64/366))</f>
        <v>8.8492017572056145</v>
      </c>
      <c r="D135" s="5">
        <f>(M60*($E60/366))+(M61*($E61/366))+(M62*($E62/366))+(M63*($E63/366))+(M64*($E64/366))</f>
        <v>34.350569973772359</v>
      </c>
      <c r="E135" s="23">
        <f t="shared" si="33"/>
        <v>83.148644128594654</v>
      </c>
      <c r="F135" s="9"/>
      <c r="G135" s="9">
        <v>2012</v>
      </c>
      <c r="H135" s="392">
        <f>(O60/$R60*100*($E60/366))+(O61/$R61*100*($E61/366))+(O62/$R62*100*($E62/366))+(O63/$R63*100*($E63/366))+(O64/$R64*100*($E64/366))</f>
        <v>50.515694096012012</v>
      </c>
      <c r="I135" s="392"/>
      <c r="J135" s="392">
        <f>(P60/$R60*100*($E60/366))+(P61/$R61*100*($E61/366))+(P62/$R62*100*($E62/366))+(P63/$R63*100*($E63/366))+(P64/$R64*100*($E64/366))</f>
        <v>6.2985595794918341</v>
      </c>
      <c r="K135" s="392"/>
      <c r="L135" s="392">
        <f>(Q60/$R60*100*($E60/366))+(Q61/$R61*100*($E61/366))+(Q62/$R62*100*($E62/366))+(Q63/$R63*100*($E63/366))+(Q64/$R64*100*($E64/366))</f>
        <v>43.185746324496158</v>
      </c>
      <c r="M135" s="392"/>
      <c r="N135" s="413">
        <f t="shared" si="34"/>
        <v>100</v>
      </c>
      <c r="O135" s="413"/>
      <c r="P135" s="9"/>
      <c r="Q135" s="9"/>
      <c r="R135" s="9">
        <v>2012</v>
      </c>
      <c r="S135" s="5">
        <f>(O60*($E60/366))+(O61*($E61/366))+(O62*($E62/366))+(O63*($E63/366))+(O64*($E64/366))</f>
        <v>25.787431693989074</v>
      </c>
      <c r="T135" s="5">
        <f>(P60*($E60/366))+(P61*($E61/366))+(P62*($E62/366))+(P63*($E63/366))+(P64*($E64/366))</f>
        <v>3.1398907103825136</v>
      </c>
      <c r="U135" s="5">
        <f>(Q60*($E60/366))+(Q61*($E61/366))+(Q62*($E62/366))+(Q63*($E63/366))+(Q64*($E64/366))</f>
        <v>23.201639344262297</v>
      </c>
      <c r="V135" s="9"/>
      <c r="W135" s="5">
        <f t="shared" si="35"/>
        <v>52.128961748633884</v>
      </c>
    </row>
    <row r="136" spans="1:23" x14ac:dyDescent="0.15">
      <c r="A136" s="1">
        <v>2013</v>
      </c>
      <c r="B136" s="5">
        <f>(K65*($E65/365))+(K66*($E66/365))</f>
        <v>40</v>
      </c>
      <c r="C136" s="5">
        <f>(L65*($E65/365))+(L66*($E66/365))</f>
        <v>4</v>
      </c>
      <c r="D136" s="5">
        <f>(M65*($E65/365))+(M66*($E66/365))</f>
        <v>53.139726027397259</v>
      </c>
      <c r="E136" s="23">
        <f t="shared" si="33"/>
        <v>97.139726027397259</v>
      </c>
      <c r="F136" s="9"/>
      <c r="G136" s="9">
        <v>2013</v>
      </c>
      <c r="H136" s="392">
        <f>(O65/$R65*100*($E65/365))+(O66/$R66*100*($E66/365))</f>
        <v>38.059701492537314</v>
      </c>
      <c r="I136" s="392"/>
      <c r="J136" s="392">
        <f>(P65/$R65*100*($E65/365))+(P66/$R66*100*($E66/365))</f>
        <v>5.0746268656716413</v>
      </c>
      <c r="K136" s="392"/>
      <c r="L136" s="392">
        <f>(Q65/$R65*100*($E65/365))+(Q66/$R66*100*($E66/365))</f>
        <v>56.865671641791039</v>
      </c>
      <c r="M136" s="392"/>
      <c r="N136" s="413">
        <f t="shared" ref="N136:N141" si="36">H136+J136+L136</f>
        <v>100</v>
      </c>
      <c r="O136" s="413"/>
      <c r="P136" s="9"/>
      <c r="Q136" s="9"/>
      <c r="R136" s="9">
        <v>2013</v>
      </c>
      <c r="S136" s="5">
        <f>(O65*($E65/365))+(O66*($E66/365))</f>
        <v>25.5</v>
      </c>
      <c r="T136" s="5">
        <f>(P65*($E65/365))+(P66*($E66/365))</f>
        <v>3.4</v>
      </c>
      <c r="U136" s="5">
        <f>(Q65*($E65/365))+(Q66*($E66/365))</f>
        <v>38.1</v>
      </c>
      <c r="V136" s="9"/>
      <c r="W136" s="5">
        <f t="shared" si="35"/>
        <v>67</v>
      </c>
    </row>
    <row r="137" spans="1:23" x14ac:dyDescent="0.15">
      <c r="A137" s="1">
        <v>2014</v>
      </c>
      <c r="B137" s="5">
        <f>(K67*($E67/365))+(K68*($E68/365))+(K69*($E69/365))+(K70*($E70/365))+(K71*($E71/365))+(K72*($E72/365))+(K73*($E73/365))+(K74*($E74/365))</f>
        <v>5.7105853051058535</v>
      </c>
      <c r="C137" s="5">
        <f>(L67*($E67/365))+(L68*($E68/365))+(L69*($E69/365))+(L70*($E70/365))+(L71*($E71/365))+(L72*($E72/365))+(L73*($E73/365))+(L74*($E74/365))</f>
        <v>10.136718076444103</v>
      </c>
      <c r="D137" s="5">
        <f>(M67*($E67/365))+(M68*($E68/365))+(M69*($E69/365))+(M70*($E70/365))+(M71*($E71/365))+(M72*($E72/365))+(M73*($E73/365))+(M74*($E74/365))</f>
        <v>64.700910048855263</v>
      </c>
      <c r="E137" s="23">
        <f t="shared" si="33"/>
        <v>80.548213430405212</v>
      </c>
      <c r="F137" s="9"/>
      <c r="G137" s="9">
        <v>2014</v>
      </c>
      <c r="H137" s="392">
        <f>(O67/$R67*100*($E67/365))+(O68/$R68*100*($E68/365))+(O69/$R69*100*($E69/365))+(O70/$R70*100*($E70/365))+(O71/$R71*100*($E71/365))+(O72/$R72*100*($E72/365))+(O73/$R73*100*($E73/365))+(O74/$R74*100*($E74/365))</f>
        <v>6.153605580625122</v>
      </c>
      <c r="I137" s="392"/>
      <c r="J137" s="392">
        <f>(P67/$R67*100*($E67/365))+(P68/$R68*100*($E68/365))+(P69/$R69*100*($E69/365))+(P70/$R70*100*($E70/365))+(P71/$R71*100*($E71/365))+(P72/$R72*100*($E72/365))+(P73/$R73*100*($E73/365))+(P74/$R74*100*($E74/365))</f>
        <v>14.034191597510397</v>
      </c>
      <c r="K137" s="392"/>
      <c r="L137" s="392">
        <f>(Q67/$R67*100*($E67/365))+(Q68/$R68*100*($E68/365))+(Q69/$R69*100*($E69/365))+(Q70/$R70*100*($E70/365))+(Q71/$R71*100*($E71/365))+(Q72/$R72*100*($E72/365))+(Q73/$R73*100*($E73/365))+(Q74/$R74*100*($E74/365))</f>
        <v>79.812202821864489</v>
      </c>
      <c r="M137" s="392"/>
      <c r="N137" s="413">
        <f t="shared" si="36"/>
        <v>100</v>
      </c>
      <c r="O137" s="413"/>
      <c r="P137" s="9"/>
      <c r="Q137" s="9"/>
      <c r="R137" s="9">
        <v>2014</v>
      </c>
      <c r="S137" s="5">
        <f>(O67*($E67/365))+(O68*($E68/365))+(O69*($E69/365))+(O70*($E70/365))+(O71*($E71/365))+(O72*($E72/365))+(O73*($E73/365))+(O74*($E74/365))</f>
        <v>4.0767123287671234</v>
      </c>
      <c r="T137" s="5">
        <f>(P67*($E67/365))+(P68*($E68/365))+(P69*($E69/365))+(P70*($E70/365))+(P71*($E71/365))+(P72*($E72/365))+(P73*($E73/365))+(P74*($E74/365))</f>
        <v>7.2446575342465769</v>
      </c>
      <c r="U137" s="5">
        <f>(Q67*($E67/365))+(Q68*($E68/365))+(Q69*($E69/365))+(Q70*($E70/365))+(Q71*($E71/365))+(Q72*($E72/365))+(Q73*($E73/365))+(Q74*($E74/365))</f>
        <v>41.847397260273979</v>
      </c>
      <c r="V137" s="9"/>
      <c r="W137" s="5">
        <f>S137+T137+U137</f>
        <v>53.16876712328768</v>
      </c>
    </row>
    <row r="138" spans="1:23" x14ac:dyDescent="0.15">
      <c r="A138" s="1">
        <v>2015</v>
      </c>
      <c r="B138" s="5">
        <f>(K75*($E75/365))+(K76*($E76/365))+(K77*($E77/365))+(K78*($E78/365))</f>
        <v>7.9947814742335295</v>
      </c>
      <c r="C138" s="5">
        <f>(L75*($E75/365))+(L76*($E76/365))+(L77*($E77/365))+(L78*($E78/365))</f>
        <v>7.9947814742335295</v>
      </c>
      <c r="D138" s="5">
        <f>(M75*($E75/365))+(M76*($E76/365))+(M77*($E77/365))+(M78*($E78/365))</f>
        <v>63.686888454011743</v>
      </c>
      <c r="E138" s="23">
        <f t="shared" si="33"/>
        <v>79.676451402478804</v>
      </c>
      <c r="F138" s="9"/>
      <c r="G138" s="9">
        <v>2015</v>
      </c>
      <c r="H138" s="392">
        <f>(O75/$R75*100*($E75/365))+(O76/$R76*100*($E76/365))+(O77/$R77*100*($E77/365))</f>
        <v>6.7052568165745559</v>
      </c>
      <c r="I138" s="392"/>
      <c r="J138" s="392">
        <f>(P75/$R75*100*($E75/365))+(P76/$R76*100*($E76/365))+(P77/$R77*100*($E77/365))</f>
        <v>5.364205453259645</v>
      </c>
      <c r="K138" s="392"/>
      <c r="L138" s="392">
        <f>(Q75/$R75*100*($E75/365))+(Q76/$R76*100*($E76/365))+(Q77/$R77*100*($E77/365))</f>
        <v>75.601770606878119</v>
      </c>
      <c r="M138" s="392"/>
      <c r="N138" s="413">
        <f t="shared" si="36"/>
        <v>87.671232876712324</v>
      </c>
      <c r="O138" s="413"/>
      <c r="P138" s="9"/>
      <c r="Q138" s="9"/>
      <c r="R138" s="9">
        <v>2015</v>
      </c>
      <c r="S138" s="5">
        <f>(O75*($E75/365))+(O76*($E76/365))+(O77*($E77/365))+(O78*($E78/365))</f>
        <v>3.506849315068493</v>
      </c>
      <c r="T138" s="5">
        <f>(P75*($E75/365))+(P76*($E76/365))+(P77*($E77/365))+(P78*($E78/365))</f>
        <v>2.8054794520547945</v>
      </c>
      <c r="U138" s="5">
        <f>(Q75*($E75/365))+(Q76*($E76/365))+(Q77*($E77/365))+(Q78*($E78/365))</f>
        <v>39.539726027397258</v>
      </c>
      <c r="V138" s="9"/>
      <c r="W138" s="5">
        <f>S138+T138+U138</f>
        <v>45.852054794520548</v>
      </c>
    </row>
    <row r="139" spans="1:23" x14ac:dyDescent="0.15">
      <c r="A139" s="1">
        <v>2016</v>
      </c>
      <c r="B139" s="5">
        <f>(K79*($E79/366))+(K80*($E80/366))</f>
        <v>0</v>
      </c>
      <c r="C139" s="5">
        <f>(L79*($E79/366))+(L80*($E80/366))</f>
        <v>0</v>
      </c>
      <c r="D139" s="5">
        <f>(M79*($E79/366))+(M80*($E80/366))</f>
        <v>0</v>
      </c>
      <c r="E139" s="23">
        <f t="shared" si="33"/>
        <v>0</v>
      </c>
      <c r="G139" s="9">
        <v>2016</v>
      </c>
      <c r="H139" s="392">
        <v>0</v>
      </c>
      <c r="I139" s="392"/>
      <c r="J139" s="392">
        <v>0</v>
      </c>
      <c r="K139" s="392"/>
      <c r="L139" s="392">
        <v>0</v>
      </c>
      <c r="M139" s="392"/>
      <c r="N139" s="413">
        <f t="shared" si="36"/>
        <v>0</v>
      </c>
      <c r="O139" s="413"/>
      <c r="R139" s="9">
        <v>2016</v>
      </c>
      <c r="S139" s="5">
        <f>(O79*($E79/366))+(O80*($E80/366))</f>
        <v>0</v>
      </c>
      <c r="T139" s="5">
        <f>(P79*($E79/366))+(P80*($E80/366))</f>
        <v>0</v>
      </c>
      <c r="U139" s="5">
        <f>(Q79*($E79/366))+(Q80*($E80/366))</f>
        <v>0</v>
      </c>
      <c r="V139" s="9"/>
      <c r="W139" s="5">
        <f>S139+T139+U139</f>
        <v>0</v>
      </c>
    </row>
    <row r="140" spans="1:23" x14ac:dyDescent="0.15">
      <c r="A140" s="1">
        <v>2017</v>
      </c>
      <c r="B140" s="5">
        <f>(K81*($E81/365))+(K82*($E82/365))+(K83*($E83/365))+(K84*($E84/365))+(K85*($E85/365))+(K86*($E86/365))</f>
        <v>14.540842212075088</v>
      </c>
      <c r="C140" s="5">
        <f>(L81*($E81/365))+(L82*($E82/365))+(L83*($E83/365))+(L84*($E84/365))+(L85*($E85/365))+(L86*($E86/365))</f>
        <v>0</v>
      </c>
      <c r="D140" s="5">
        <f>(M81*($E81/365))+(M82*($E82/365))+(M83*($E83/365))+(M84*($E84/365))+(M85*($E85/365))+(M86*($E86/365))</f>
        <v>81.073059360730582</v>
      </c>
      <c r="E140" s="23">
        <f t="shared" ref="E140" si="37">B140+C140+D140</f>
        <v>95.613901572805673</v>
      </c>
      <c r="G140" s="9">
        <v>2017</v>
      </c>
      <c r="H140" s="392">
        <f>(O82/$R82*100*($E82/365))+(O83/$R83*100*($E83/365))+(O84/$R84*100*($E84/365))+(O85/$R85*100*($E85/365))+(O86/$R86*100*($E86/365))</f>
        <v>10.120769980036414</v>
      </c>
      <c r="I140" s="392"/>
      <c r="J140" s="392">
        <f>(P82/$R82*100*($E82/365))+(P83/$R83*100*($E83/365))+(P84/$R84*100*($E84/365))+(P85/$R85*100*($E85/365))+(P86/$R86*100*($E86/365))</f>
        <v>0</v>
      </c>
      <c r="K140" s="392"/>
      <c r="L140" s="392">
        <f>(Q82/$R82*100*($E82/365))+(Q83/$R83*100*($E83/365))+(Q84/$R84*100*($E84/365))+(Q85/$R85*100*($E85/365))+(Q86/$R86*100*($E86/365))</f>
        <v>89.057312211744403</v>
      </c>
      <c r="M140" s="392"/>
      <c r="N140" s="413">
        <f t="shared" si="36"/>
        <v>99.178082191780817</v>
      </c>
      <c r="O140" s="413"/>
      <c r="R140" s="9">
        <v>2017</v>
      </c>
      <c r="S140" s="5">
        <f>(O81*($E81/365))+(O82*($E82/365))+(O83*($E83/365))+(O84*($E84/365))+(O85*($E85/365))+(O86*($E86/365))</f>
        <v>5.285479452054795</v>
      </c>
      <c r="T140" s="5">
        <f>(P81*($E81/365))+(P82*($E82/365))+(P83*($E83/365))+(P84*($E84/365))+(P85*($E85/365))+(P86*($E86/365))</f>
        <v>0</v>
      </c>
      <c r="U140" s="5">
        <f>(Q81*($E81/365))+(Q82*($E82/365))+(Q83*($E83/365))+(Q84*($E84/365))+(Q85*($E85/365))+(Q86*($E86/365))</f>
        <v>46.415342465753426</v>
      </c>
      <c r="V140" s="9"/>
      <c r="W140" s="5">
        <f>S140+T140+U140</f>
        <v>51.70082191780822</v>
      </c>
    </row>
    <row r="141" spans="1:23" x14ac:dyDescent="0.15">
      <c r="A141" s="1">
        <v>2018</v>
      </c>
      <c r="B141" s="5">
        <f>(K87*($E87/365))+(K88*($E88/365))+(K89*($E89/365))</f>
        <v>14.452751713025684</v>
      </c>
      <c r="C141" s="5">
        <f>(L87*($E87/365))+(L88*($E88/365))+(L89*($E89/365))</f>
        <v>0</v>
      </c>
      <c r="D141" s="5">
        <f>(M87*($E87/365))+(M88*($E88/365))+(M89*($E89/365))</f>
        <v>79.047563294138641</v>
      </c>
      <c r="E141" s="23">
        <f t="shared" ref="E141" si="38">B141+C141+D141</f>
        <v>93.500315007164318</v>
      </c>
      <c r="G141" s="9">
        <v>2018</v>
      </c>
      <c r="H141" s="392">
        <f>(O87/$R87*100*($E87/365))+(O88/$R88*100*($E88/365))+(O89/$R89*100*($E89/365))</f>
        <v>8.9494163424124515</v>
      </c>
      <c r="I141" s="392"/>
      <c r="J141" s="392">
        <f>(P87/$R87*100*($E87/365))+(P88/$R88*100*($E88/365))+(P89/$R89*100*($E89/365))</f>
        <v>0</v>
      </c>
      <c r="K141" s="392"/>
      <c r="L141" s="392">
        <f>(Q87/$R87*100*($E87/365))+(Q88/$R88*100*($E88/365))+(Q89/$R89*100*($E89/365))</f>
        <v>91.050583657587552</v>
      </c>
      <c r="M141" s="392"/>
      <c r="N141" s="413">
        <f t="shared" si="36"/>
        <v>100</v>
      </c>
      <c r="O141" s="413"/>
      <c r="R141" s="9">
        <v>2018</v>
      </c>
      <c r="S141" s="5">
        <f>(O87*($E87/365))+(O88*($E88/365))+(O89*($E89/365))</f>
        <v>4.5999999999999996</v>
      </c>
      <c r="T141" s="5">
        <f>(P87*($E87/365))+(P88*($E88/365))+(P89*($E89/365))</f>
        <v>0</v>
      </c>
      <c r="U141" s="5">
        <f>(Q87*($E87/365))+(Q88*($E88/365))+(Q89*($E89/365))</f>
        <v>46.8</v>
      </c>
      <c r="V141" s="9"/>
      <c r="W141" s="5">
        <f>S141+T141+U141</f>
        <v>51.4</v>
      </c>
    </row>
    <row r="142" spans="1:23" x14ac:dyDescent="0.15">
      <c r="A142" s="1">
        <v>2019</v>
      </c>
      <c r="B142" s="5">
        <f>(K90*($E90/365))+(K91*($E91/365))+(K92*($E92/365))+(K93*(E93/365))+(K94*(E94/365))</f>
        <v>23.757686453576866</v>
      </c>
      <c r="C142" s="5">
        <f>(L90*($E90/365))+(L91*($E91/365))+(L92*($E92/365))+(L93*(E93/365))+(L94*(E94/365))</f>
        <v>0</v>
      </c>
      <c r="D142" s="5">
        <f>(M90*($E90/365))+(M91*($E91/365))+(M92*($E92/365))+(M93*(E93/365))+(M94*(E94/365))</f>
        <v>71.955474662323979</v>
      </c>
      <c r="E142" s="23">
        <f t="shared" ref="E142:E143" si="39">B142+C142+D142</f>
        <v>95.713161115900846</v>
      </c>
      <c r="G142" s="9">
        <v>2019</v>
      </c>
      <c r="H142" s="392">
        <f>(O90/$R90*100*($E90/365))+(O91/$R91*100*($E91/365))+(O92/$R92*100*($E92/365))+(O93/R93*100*(E93/365))+(O94/R94*100*(E94/365))</f>
        <v>21.725920793134698</v>
      </c>
      <c r="I142" s="392"/>
      <c r="J142" s="392">
        <f>(P90/$R90*100*($E90/365))+(P91/$R91*100*($E91/365))+(P92/$R92*100*($E92/365))+(P93/R93*100*(E93/365))+(P94/R94*100*(E94/365))</f>
        <v>0</v>
      </c>
      <c r="K142" s="392"/>
      <c r="L142" s="392">
        <f>(Q90/$R90*100*($E90/365))+(Q91/$R91*100*($E91/365))+(Q92/$R92*100*($E92/365))+(Q93/R93*100*(E93/365))+(Q94/R94*100*(E94/365))</f>
        <v>78.274079206865309</v>
      </c>
      <c r="M142" s="392"/>
      <c r="N142" s="413">
        <f t="shared" ref="N142" si="40">H142+J142+L142</f>
        <v>100</v>
      </c>
      <c r="O142" s="413"/>
      <c r="R142" s="9">
        <v>2019</v>
      </c>
      <c r="S142" s="5">
        <f>(O90*($E90/365))+(O91*($E91/365))+(O92*($E92/365))+(O93*(E93/365))+(O94*(E94/365))</f>
        <v>6.3205479452054796</v>
      </c>
      <c r="T142" s="5">
        <f>(P90*($E90/365))+(P91*($E91/365))+(P92*($E92/365))+(P93*(E93/365))+(P94*(E94/365))</f>
        <v>0</v>
      </c>
      <c r="U142" s="5">
        <f>(Q90*($E90/365))+(Q91*($E91/365))+(Q92*($E92/365))+(Q93*(E93/365))+(Q94*(E94/365))</f>
        <v>39.363287671232875</v>
      </c>
      <c r="V142" s="9"/>
      <c r="W142" s="5">
        <f t="shared" ref="W142:W143" si="41">S142+T142+U142</f>
        <v>45.683835616438358</v>
      </c>
    </row>
    <row r="143" spans="1:23" x14ac:dyDescent="0.15">
      <c r="A143" s="1">
        <v>2020</v>
      </c>
      <c r="B143" s="5">
        <f>(K95*($E95/366))+(K96*($E96/366))+(K97*($E97/366))</f>
        <v>86.633706305837435</v>
      </c>
      <c r="C143" s="5">
        <f>(L95*($E95/366))+(L96*($E96/366))+(L97*($E97/366))</f>
        <v>0.46838407494145196</v>
      </c>
      <c r="D143" s="5">
        <f>(M95*($E95/366))+(M96*($E96/366))+(M97*($E97/366))</f>
        <v>0</v>
      </c>
      <c r="E143" s="23">
        <f t="shared" si="39"/>
        <v>87.10209038077889</v>
      </c>
      <c r="G143" s="9">
        <v>2020</v>
      </c>
      <c r="H143" s="392">
        <f>(O95/$R95*100*($E95/366))+(O96/$R96*100*($E96/366)) + (O97/$R97*100*($E97/366))</f>
        <v>97.5080266207395</v>
      </c>
      <c r="I143" s="392"/>
      <c r="J143" s="392">
        <f>(P95/$R95*100*($E95/366))+(P96/$R96*100*($E96/366)) + (P97/$R97*100*($E97/366))</f>
        <v>0.30618102953371185</v>
      </c>
      <c r="K143" s="392"/>
      <c r="L143" s="392">
        <f>(Q95/$R95*100*($E95/366))+(Q96/$R96*100*($E96/366)) + (Q97/$R97*100*($E97/366))</f>
        <v>0</v>
      </c>
      <c r="M143" s="392"/>
      <c r="N143" s="413">
        <f t="shared" ref="N143" si="42">H143+J143+L143</f>
        <v>97.814207650273218</v>
      </c>
      <c r="O143" s="413"/>
      <c r="R143" s="1">
        <v>2020</v>
      </c>
      <c r="S143" s="5">
        <f>(O95*($E95/366))+(O96*($E96/366))+(O97*($E97/366))</f>
        <v>21.035792349726776</v>
      </c>
      <c r="T143" s="5">
        <f>(P95*($E95/366))+(P96*($E96/366))+(P97*($E97/366))</f>
        <v>0.15737704918032788</v>
      </c>
      <c r="U143" s="5">
        <f>(Q95*($E95/366))+(Q96*($E96/366))+(Q97*($E97/366))</f>
        <v>0</v>
      </c>
      <c r="W143" s="5">
        <f t="shared" si="41"/>
        <v>21.193169398907106</v>
      </c>
    </row>
    <row r="144" spans="1:23" x14ac:dyDescent="0.15">
      <c r="A144" s="1">
        <v>2021</v>
      </c>
      <c r="B144" s="5">
        <f>(K98*($E98/365))+(K99*($E99/365))+(K100*($E100/365))+(K101*($E101/365))+(K102*($E102/365))+(K103*($E103/365))</f>
        <v>69.543082488287965</v>
      </c>
      <c r="C144" s="5">
        <f>(L98*($E98/365))+(L99*($E99/365))+(L100*($E100/365))+(L101*($E101/365))+(L102*($E102/365))+(L103*($E103/365))</f>
        <v>21.069323370693233</v>
      </c>
      <c r="D144" s="5">
        <f>(M98*($E98/365))+(M99*($E99/365))+(M100*($E100/365))+(M101*($E101/365))+(M102*($E102/365))+(M103*($E103/365))</f>
        <v>4.1202632983454901</v>
      </c>
      <c r="E144" s="23">
        <f t="shared" ref="E144" si="43">B144+C144+D144</f>
        <v>94.732669157326683</v>
      </c>
      <c r="G144" s="9">
        <v>2021</v>
      </c>
      <c r="H144" s="392">
        <f>(O98/$R98*100*($E98/365))+(O99/$R99*100*($E99/365))+(O100/$R100*100*($E100/365))+(O101/$R101*100*($E101/365))+(O102/$R102*100*($E102/365))+(O103/$R103*100*($E103/365))</f>
        <v>82.641457169274346</v>
      </c>
      <c r="I144" s="392"/>
      <c r="J144" s="392">
        <f>(P98/$R98*100*($E98/365))+(P99/$R99*100*($E99/365))+(P100/$R100*100*($E100/365))+(P101/$R101*100*($E101/365))+(P102/$R102*100*($E102/365))+(P103/$R103*100*($E103/365))</f>
        <v>16.41107222345568</v>
      </c>
      <c r="K144" s="392"/>
      <c r="L144" s="392">
        <f>(Q98/$R98*100*($E98/365))+(Q99/$R99*100*($E99/365))+(Q100/$R100*100*($E100/365))+(Q101/$R101*100*($E101/365))+(Q102/$R102*100*($E102/365))+(Q103/$R103*100*($E103/365))</f>
        <v>0.94747060726998167</v>
      </c>
      <c r="M144" s="392"/>
      <c r="N144" s="413">
        <f t="shared" ref="N144" si="44">H144+J144+L144</f>
        <v>100</v>
      </c>
      <c r="O144" s="413"/>
      <c r="R144" s="1">
        <v>2021</v>
      </c>
      <c r="S144" s="5">
        <f>(O98*($E98/365))+(O99*($E99/365))+(O100*($E100/365))+(O101*($E101/365))+(O102*($E102/365))+(O103*($E103/365))</f>
        <v>42.92876712328767</v>
      </c>
      <c r="T144" s="5">
        <f>(P98*($E98/365))+(P99*($E99/365))+(P100*($E100/365))+(P101*($E101/365))+(P102*($E102/365))+(P103*($E103/365))</f>
        <v>9.0630136986301366</v>
      </c>
      <c r="U144" s="5">
        <f>(Q98*($E98/365))+(Q99*($E99/365))+(Q100*($E100/365))+(Q101*($E101/365))+(Q102*($E102/365))+(Q103*($E103/365))</f>
        <v>0.60164383561643831</v>
      </c>
      <c r="W144" s="5">
        <f t="shared" ref="W144" si="45">S144+T144+U144</f>
        <v>52.593424657534243</v>
      </c>
    </row>
    <row r="145" spans="1:23" x14ac:dyDescent="0.15">
      <c r="A145" s="1">
        <v>2022</v>
      </c>
      <c r="B145" s="5">
        <f>(K104*($E104/365))+(K105*($E105/365))+(K106*($E106/365))+(K107*($E107/365))</f>
        <v>35.907015359070158</v>
      </c>
      <c r="C145" s="5">
        <f>(L104*($E104/365))+(L105*($E105/365))+(L106*($E106/365))+(L107*($E107/365))</f>
        <v>18.31228132597996</v>
      </c>
      <c r="D145" s="5">
        <f>(M104*($E104/365))+(M105*($E105/365))+(M106*($E106/365))+(M107*($E107/365))</f>
        <v>41.202632983454905</v>
      </c>
      <c r="E145" s="23">
        <f t="shared" ref="E145" si="46">B145+C145+D145</f>
        <v>95.421929668505015</v>
      </c>
      <c r="G145" s="9">
        <v>2022</v>
      </c>
      <c r="H145" s="392">
        <f>(O104/$R104*100*($E104/365))+(O105/$R105*100*($E105/365))+(O106/$R106*100*($E106/365))+(O107/$R107*100*($E107/365))</f>
        <v>37.795275590551178</v>
      </c>
      <c r="I145" s="392"/>
      <c r="J145" s="392">
        <f>(P104/$R104*100*($E104/365))+(P105/$R105*100*($E105/365))+(P106/$R106*100*($E106/365))+(P107/$R107*100*($E107/365))</f>
        <v>52.5984251968504</v>
      </c>
      <c r="K145" s="392"/>
      <c r="L145" s="392">
        <f>(Q104/$R104*100*($E104/365))+(Q105/$R105*100*($E105/365))+(Q106/$R106*100*($E106/365))+(Q107/$R107*100*($E107/365))</f>
        <v>9.6062992125984259</v>
      </c>
      <c r="M145" s="392"/>
      <c r="N145" s="413">
        <f t="shared" ref="N145" si="47">H145+J145+L145</f>
        <v>100</v>
      </c>
      <c r="O145" s="413"/>
      <c r="R145" s="1">
        <v>2022</v>
      </c>
      <c r="S145" s="5">
        <f>(O104*($E104/365))+(O105*($E105/365))+(O106*($E106/365))+(O107*($E107/365))</f>
        <v>24</v>
      </c>
      <c r="T145" s="5">
        <f>(P104*($E104/365))+(P105*($E105/365))+(P106*($E106/365))+(P107*($E107/365))</f>
        <v>33.4</v>
      </c>
      <c r="U145" s="5">
        <f>(Q104*($E104/365))+(Q105*($E105/365))+(Q106*($E106/365))+(Q107*($E107/365))</f>
        <v>6.1</v>
      </c>
      <c r="W145" s="5">
        <f t="shared" ref="W145" si="48">S145+T145+U145</f>
        <v>63.5</v>
      </c>
    </row>
  </sheetData>
  <mergeCells count="260">
    <mergeCell ref="C95:D95"/>
    <mergeCell ref="C96:D96"/>
    <mergeCell ref="C87:D87"/>
    <mergeCell ref="C88:D88"/>
    <mergeCell ref="C89:D89"/>
    <mergeCell ref="H141:I141"/>
    <mergeCell ref="L141:M141"/>
    <mergeCell ref="N141:O141"/>
    <mergeCell ref="J141:K141"/>
    <mergeCell ref="N113:O113"/>
    <mergeCell ref="N115:O115"/>
    <mergeCell ref="H116:I116"/>
    <mergeCell ref="J116:K116"/>
    <mergeCell ref="L116:M116"/>
    <mergeCell ref="N116:O116"/>
    <mergeCell ref="H117:I117"/>
    <mergeCell ref="J117:K117"/>
    <mergeCell ref="L117:M117"/>
    <mergeCell ref="N117:O117"/>
    <mergeCell ref="N127:O127"/>
    <mergeCell ref="H128:I128"/>
    <mergeCell ref="J128:K128"/>
    <mergeCell ref="L128:M128"/>
    <mergeCell ref="J118:K118"/>
    <mergeCell ref="AT4:AW4"/>
    <mergeCell ref="AX4:BA4"/>
    <mergeCell ref="C65:D65"/>
    <mergeCell ref="H136:I136"/>
    <mergeCell ref="J136:K136"/>
    <mergeCell ref="L136:M136"/>
    <mergeCell ref="N136:O136"/>
    <mergeCell ref="Z4:AC4"/>
    <mergeCell ref="C9:D9"/>
    <mergeCell ref="C10:D10"/>
    <mergeCell ref="AL4:AO4"/>
    <mergeCell ref="AP4:AS4"/>
    <mergeCell ref="C7:D7"/>
    <mergeCell ref="C8:D8"/>
    <mergeCell ref="C13:D13"/>
    <mergeCell ref="C6:D6"/>
    <mergeCell ref="C14:D14"/>
    <mergeCell ref="C15:D15"/>
    <mergeCell ref="C11:D11"/>
    <mergeCell ref="C12:D12"/>
    <mergeCell ref="C16:D16"/>
    <mergeCell ref="C17:D17"/>
    <mergeCell ref="C18:D18"/>
    <mergeCell ref="C19:D19"/>
    <mergeCell ref="G3:M3"/>
    <mergeCell ref="O3:Q3"/>
    <mergeCell ref="A4:A5"/>
    <mergeCell ref="B4:B5"/>
    <mergeCell ref="C4:D5"/>
    <mergeCell ref="E4:E5"/>
    <mergeCell ref="F4:F5"/>
    <mergeCell ref="O4:R4"/>
    <mergeCell ref="AH4:AK4"/>
    <mergeCell ref="S4:S5"/>
    <mergeCell ref="T4:T5"/>
    <mergeCell ref="U4:U5"/>
    <mergeCell ref="V4:Y4"/>
    <mergeCell ref="AD4:AG4"/>
    <mergeCell ref="G4:J4"/>
    <mergeCell ref="K4:N4"/>
    <mergeCell ref="C37:D37"/>
    <mergeCell ref="C21:D21"/>
    <mergeCell ref="C20:D20"/>
    <mergeCell ref="C22:D22"/>
    <mergeCell ref="C23:D23"/>
    <mergeCell ref="C24:D24"/>
    <mergeCell ref="C26:D26"/>
    <mergeCell ref="C44:D44"/>
    <mergeCell ref="C45:D45"/>
    <mergeCell ref="C27:D27"/>
    <mergeCell ref="C28:D28"/>
    <mergeCell ref="C25:D25"/>
    <mergeCell ref="C29:D29"/>
    <mergeCell ref="C30:D30"/>
    <mergeCell ref="C31:D31"/>
    <mergeCell ref="C35:D35"/>
    <mergeCell ref="C32:D32"/>
    <mergeCell ref="C33:D33"/>
    <mergeCell ref="C34:D34"/>
    <mergeCell ref="C38:D38"/>
    <mergeCell ref="C39:D39"/>
    <mergeCell ref="C42:D42"/>
    <mergeCell ref="C36:D36"/>
    <mergeCell ref="C58:D58"/>
    <mergeCell ref="C48:D48"/>
    <mergeCell ref="C49:D49"/>
    <mergeCell ref="C40:D40"/>
    <mergeCell ref="C41:D41"/>
    <mergeCell ref="C50:D50"/>
    <mergeCell ref="C53:D53"/>
    <mergeCell ref="C56:D56"/>
    <mergeCell ref="C57:D57"/>
    <mergeCell ref="C43:D43"/>
    <mergeCell ref="C46:D46"/>
    <mergeCell ref="C47:D47"/>
    <mergeCell ref="C51:D51"/>
    <mergeCell ref="C52:D52"/>
    <mergeCell ref="C54:D54"/>
    <mergeCell ref="C55:D55"/>
    <mergeCell ref="C59:D59"/>
    <mergeCell ref="H113:I113"/>
    <mergeCell ref="J113:K113"/>
    <mergeCell ref="C63:D63"/>
    <mergeCell ref="C60:D60"/>
    <mergeCell ref="L113:M113"/>
    <mergeCell ref="C64:D64"/>
    <mergeCell ref="C61:D61"/>
    <mergeCell ref="C62:D62"/>
    <mergeCell ref="C66:D66"/>
    <mergeCell ref="C75:D75"/>
    <mergeCell ref="C76:D76"/>
    <mergeCell ref="C77:D77"/>
    <mergeCell ref="C78:D78"/>
    <mergeCell ref="C67:D67"/>
    <mergeCell ref="C68:D68"/>
    <mergeCell ref="C69:D69"/>
    <mergeCell ref="C70:D70"/>
    <mergeCell ref="C71:D71"/>
    <mergeCell ref="C73:D73"/>
    <mergeCell ref="C72:D72"/>
    <mergeCell ref="C74:D74"/>
    <mergeCell ref="C79:D79"/>
    <mergeCell ref="C80:D80"/>
    <mergeCell ref="J120:K120"/>
    <mergeCell ref="L120:M120"/>
    <mergeCell ref="N120:O120"/>
    <mergeCell ref="H118:I118"/>
    <mergeCell ref="R110:W110"/>
    <mergeCell ref="H112:I112"/>
    <mergeCell ref="J112:K112"/>
    <mergeCell ref="L112:M112"/>
    <mergeCell ref="N112:O112"/>
    <mergeCell ref="H114:I114"/>
    <mergeCell ref="J114:K114"/>
    <mergeCell ref="L114:M114"/>
    <mergeCell ref="N114:O114"/>
    <mergeCell ref="C81:D81"/>
    <mergeCell ref="C82:D82"/>
    <mergeCell ref="C83:D83"/>
    <mergeCell ref="C85:D85"/>
    <mergeCell ref="C84:D84"/>
    <mergeCell ref="C86:D86"/>
    <mergeCell ref="H139:I139"/>
    <mergeCell ref="J139:K139"/>
    <mergeCell ref="L139:M139"/>
    <mergeCell ref="H125:I125"/>
    <mergeCell ref="J125:K125"/>
    <mergeCell ref="L125:M125"/>
    <mergeCell ref="H122:I122"/>
    <mergeCell ref="J122:K122"/>
    <mergeCell ref="L122:M122"/>
    <mergeCell ref="H115:I115"/>
    <mergeCell ref="J115:K115"/>
    <mergeCell ref="L115:M115"/>
    <mergeCell ref="H127:I127"/>
    <mergeCell ref="J127:K127"/>
    <mergeCell ref="L127:M127"/>
    <mergeCell ref="L123:M123"/>
    <mergeCell ref="H137:I137"/>
    <mergeCell ref="J137:K137"/>
    <mergeCell ref="C90:D90"/>
    <mergeCell ref="C92:D92"/>
    <mergeCell ref="C93:D93"/>
    <mergeCell ref="C94:D94"/>
    <mergeCell ref="C91:D91"/>
    <mergeCell ref="H140:I140"/>
    <mergeCell ref="J140:K140"/>
    <mergeCell ref="L140:M140"/>
    <mergeCell ref="N140:O140"/>
    <mergeCell ref="N139:O139"/>
    <mergeCell ref="N131:O131"/>
    <mergeCell ref="L132:M132"/>
    <mergeCell ref="H130:I130"/>
    <mergeCell ref="J130:K130"/>
    <mergeCell ref="L130:M130"/>
    <mergeCell ref="N130:O130"/>
    <mergeCell ref="H138:I138"/>
    <mergeCell ref="J138:K138"/>
    <mergeCell ref="L138:M138"/>
    <mergeCell ref="N138:O138"/>
    <mergeCell ref="L137:M137"/>
    <mergeCell ref="N137:O137"/>
    <mergeCell ref="H135:I135"/>
    <mergeCell ref="J135:K135"/>
    <mergeCell ref="C97:D97"/>
    <mergeCell ref="L142:M142"/>
    <mergeCell ref="J142:K142"/>
    <mergeCell ref="H142:I142"/>
    <mergeCell ref="N142:O142"/>
    <mergeCell ref="L135:M135"/>
    <mergeCell ref="N135:O135"/>
    <mergeCell ref="H134:I134"/>
    <mergeCell ref="J134:K134"/>
    <mergeCell ref="L134:M134"/>
    <mergeCell ref="N134:O134"/>
    <mergeCell ref="H131:I131"/>
    <mergeCell ref="J131:K131"/>
    <mergeCell ref="N132:O132"/>
    <mergeCell ref="H129:I129"/>
    <mergeCell ref="J129:K129"/>
    <mergeCell ref="L129:M129"/>
    <mergeCell ref="N129:O129"/>
    <mergeCell ref="H133:I133"/>
    <mergeCell ref="J133:K133"/>
    <mergeCell ref="L133:M133"/>
    <mergeCell ref="N133:O133"/>
    <mergeCell ref="L131:M131"/>
    <mergeCell ref="H132:I132"/>
    <mergeCell ref="C98:D98"/>
    <mergeCell ref="C99:D99"/>
    <mergeCell ref="C100:D100"/>
    <mergeCell ref="C101:D101"/>
    <mergeCell ref="C102:D102"/>
    <mergeCell ref="C103:D103"/>
    <mergeCell ref="H144:I144"/>
    <mergeCell ref="J144:K144"/>
    <mergeCell ref="L144:M144"/>
    <mergeCell ref="H143:I143"/>
    <mergeCell ref="J143:K143"/>
    <mergeCell ref="L143:M143"/>
    <mergeCell ref="J132:K132"/>
    <mergeCell ref="H121:I121"/>
    <mergeCell ref="J121:K121"/>
    <mergeCell ref="L121:M121"/>
    <mergeCell ref="H123:I123"/>
    <mergeCell ref="J123:K123"/>
    <mergeCell ref="H124:I124"/>
    <mergeCell ref="J124:K124"/>
    <mergeCell ref="L124:M124"/>
    <mergeCell ref="H126:I126"/>
    <mergeCell ref="J126:K126"/>
    <mergeCell ref="L126:M126"/>
    <mergeCell ref="N145:O145"/>
    <mergeCell ref="C104:D104"/>
    <mergeCell ref="C105:D105"/>
    <mergeCell ref="C106:D106"/>
    <mergeCell ref="C107:D107"/>
    <mergeCell ref="H145:I145"/>
    <mergeCell ref="J145:K145"/>
    <mergeCell ref="L145:M145"/>
    <mergeCell ref="N144:O144"/>
    <mergeCell ref="N143:O143"/>
    <mergeCell ref="N128:O128"/>
    <mergeCell ref="N121:O121"/>
    <mergeCell ref="N122:O122"/>
    <mergeCell ref="N123:O123"/>
    <mergeCell ref="N124:O124"/>
    <mergeCell ref="N125:O125"/>
    <mergeCell ref="N126:O126"/>
    <mergeCell ref="L118:M118"/>
    <mergeCell ref="N118:O118"/>
    <mergeCell ref="H119:I119"/>
    <mergeCell ref="J119:K119"/>
    <mergeCell ref="L119:M119"/>
    <mergeCell ref="N119:O119"/>
    <mergeCell ref="H120:I120"/>
  </mergeCells>
  <phoneticPr fontId="23"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BA141"/>
  <sheetViews>
    <sheetView zoomScale="120" zoomScaleNormal="120" workbookViewId="0">
      <pane xSplit="1" ySplit="5" topLeftCell="I6"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145</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28" customFormat="1" x14ac:dyDescent="0.15">
      <c r="A6" s="28">
        <v>1990</v>
      </c>
      <c r="B6" s="293"/>
      <c r="C6" s="405" t="s">
        <v>1261</v>
      </c>
      <c r="D6" s="405"/>
      <c r="E6" s="28">
        <v>177</v>
      </c>
      <c r="G6" s="65"/>
      <c r="J6" s="72"/>
      <c r="K6" s="46"/>
      <c r="L6" s="46"/>
      <c r="M6" s="46"/>
      <c r="N6" s="67"/>
      <c r="O6" s="45"/>
      <c r="P6" s="46"/>
      <c r="Q6" s="46"/>
      <c r="R6" s="47"/>
      <c r="T6" s="284"/>
      <c r="U6" s="293"/>
      <c r="V6" s="37"/>
      <c r="Y6" s="38"/>
      <c r="AD6" s="37"/>
      <c r="AG6" s="38"/>
      <c r="AL6" s="37"/>
      <c r="AO6" s="38"/>
      <c r="AP6" s="37"/>
      <c r="AS6" s="38"/>
      <c r="AW6" s="38"/>
      <c r="BA6" s="39"/>
    </row>
    <row r="7" spans="1:53" s="170" customFormat="1" x14ac:dyDescent="0.15">
      <c r="A7" s="170">
        <v>1990</v>
      </c>
      <c r="B7" s="281">
        <v>33051</v>
      </c>
      <c r="C7" s="395" t="s">
        <v>1066</v>
      </c>
      <c r="D7" s="395"/>
      <c r="E7" s="170">
        <v>188</v>
      </c>
      <c r="F7" s="170" t="s">
        <v>335</v>
      </c>
      <c r="G7" s="232">
        <v>15</v>
      </c>
      <c r="H7" s="170">
        <v>8</v>
      </c>
      <c r="J7" s="240">
        <v>23</v>
      </c>
      <c r="K7" s="213">
        <f>G7/J7*100</f>
        <v>65.217391304347828</v>
      </c>
      <c r="L7" s="213">
        <f>H7/J7*100</f>
        <v>34.782608695652172</v>
      </c>
      <c r="M7" s="213">
        <f>I7/J7*100</f>
        <v>0</v>
      </c>
      <c r="N7" s="234">
        <f>K7+L7+M7</f>
        <v>100</v>
      </c>
      <c r="O7" s="212">
        <v>36.700000000000003</v>
      </c>
      <c r="P7" s="213">
        <v>20.7</v>
      </c>
      <c r="Q7" s="213"/>
      <c r="R7" s="214">
        <f t="shared" ref="R7:R60" si="0">SUM(O7:Q7)</f>
        <v>57.400000000000006</v>
      </c>
      <c r="S7" s="170">
        <v>3</v>
      </c>
      <c r="T7" s="283">
        <v>33033</v>
      </c>
      <c r="U7" s="281">
        <v>33051</v>
      </c>
      <c r="V7" s="177" t="s">
        <v>1051</v>
      </c>
      <c r="W7" s="170" t="s">
        <v>22</v>
      </c>
      <c r="X7" s="170" t="s">
        <v>11</v>
      </c>
      <c r="Y7" s="178">
        <v>32</v>
      </c>
      <c r="Z7" s="170" t="s">
        <v>883</v>
      </c>
      <c r="AA7" s="170" t="s">
        <v>17</v>
      </c>
      <c r="AB7" s="170" t="s">
        <v>18</v>
      </c>
      <c r="AC7" s="170">
        <v>20.7</v>
      </c>
      <c r="AD7" s="177" t="s">
        <v>1052</v>
      </c>
      <c r="AE7" s="170" t="s">
        <v>87</v>
      </c>
      <c r="AF7" s="170" t="s">
        <v>11</v>
      </c>
      <c r="AG7" s="178">
        <v>4.7</v>
      </c>
      <c r="AL7" s="177"/>
      <c r="AO7" s="178"/>
      <c r="AP7" s="177"/>
      <c r="AS7" s="178"/>
      <c r="AW7" s="178"/>
      <c r="BA7" s="179"/>
    </row>
    <row r="8" spans="1:53" s="170" customFormat="1" x14ac:dyDescent="0.15">
      <c r="A8" s="170">
        <v>1991</v>
      </c>
      <c r="B8" s="281"/>
      <c r="C8" s="395" t="s">
        <v>1066</v>
      </c>
      <c r="D8" s="395"/>
      <c r="E8" s="170">
        <v>112</v>
      </c>
      <c r="G8" s="232">
        <v>15</v>
      </c>
      <c r="H8" s="170">
        <v>8</v>
      </c>
      <c r="J8" s="240">
        <v>23</v>
      </c>
      <c r="K8" s="213">
        <f>G8/J8*100</f>
        <v>65.217391304347828</v>
      </c>
      <c r="L8" s="213">
        <f>H8/J8*100</f>
        <v>34.782608695652172</v>
      </c>
      <c r="M8" s="213">
        <f>I8/J8*100</f>
        <v>0</v>
      </c>
      <c r="N8" s="234">
        <f>K8+L8+M8</f>
        <v>100</v>
      </c>
      <c r="O8" s="212">
        <v>36.700000000000003</v>
      </c>
      <c r="P8" s="213">
        <v>20.7</v>
      </c>
      <c r="Q8" s="213"/>
      <c r="R8" s="214">
        <f t="shared" si="0"/>
        <v>57.400000000000006</v>
      </c>
      <c r="S8" s="170">
        <v>3</v>
      </c>
      <c r="T8" s="283"/>
      <c r="U8" s="281"/>
      <c r="V8" s="177" t="s">
        <v>1051</v>
      </c>
      <c r="W8" s="170" t="s">
        <v>22</v>
      </c>
      <c r="X8" s="170" t="s">
        <v>11</v>
      </c>
      <c r="Y8" s="178">
        <v>32</v>
      </c>
      <c r="Z8" s="170" t="s">
        <v>883</v>
      </c>
      <c r="AA8" s="170" t="s">
        <v>17</v>
      </c>
      <c r="AB8" s="170" t="s">
        <v>18</v>
      </c>
      <c r="AC8" s="170">
        <v>20.7</v>
      </c>
      <c r="AD8" s="177" t="s">
        <v>1052</v>
      </c>
      <c r="AE8" s="170" t="s">
        <v>87</v>
      </c>
      <c r="AF8" s="170" t="s">
        <v>11</v>
      </c>
      <c r="AG8" s="178">
        <v>4.7</v>
      </c>
      <c r="AL8" s="177"/>
      <c r="AO8" s="178"/>
      <c r="AP8" s="177"/>
      <c r="AS8" s="178"/>
      <c r="AW8" s="178"/>
      <c r="BA8" s="179"/>
    </row>
    <row r="9" spans="1:53" s="28" customFormat="1" x14ac:dyDescent="0.15">
      <c r="A9" s="28">
        <v>1991</v>
      </c>
      <c r="B9" s="293">
        <v>33351</v>
      </c>
      <c r="C9" s="394" t="s">
        <v>1067</v>
      </c>
      <c r="D9" s="394"/>
      <c r="E9" s="28">
        <v>253</v>
      </c>
      <c r="F9" s="28">
        <v>5</v>
      </c>
      <c r="G9" s="65">
        <v>14</v>
      </c>
      <c r="H9" s="28">
        <v>9</v>
      </c>
      <c r="J9" s="72">
        <v>23</v>
      </c>
      <c r="K9" s="46">
        <f>G9/J9*100</f>
        <v>60.869565217391312</v>
      </c>
      <c r="L9" s="46">
        <f>H9/J9*100</f>
        <v>39.130434782608695</v>
      </c>
      <c r="M9" s="46">
        <f>I9/J9*100</f>
        <v>0</v>
      </c>
      <c r="N9" s="67">
        <f>K9+L9+M9</f>
        <v>100</v>
      </c>
      <c r="O9" s="45">
        <v>36.700000000000003</v>
      </c>
      <c r="P9" s="46">
        <v>20.7</v>
      </c>
      <c r="Q9" s="46"/>
      <c r="R9" s="47">
        <f t="shared" si="0"/>
        <v>57.400000000000006</v>
      </c>
      <c r="S9" s="28">
        <v>3</v>
      </c>
      <c r="T9" s="284"/>
      <c r="U9" s="293">
        <v>33351</v>
      </c>
      <c r="V9" s="37" t="s">
        <v>1051</v>
      </c>
      <c r="W9" s="28" t="s">
        <v>22</v>
      </c>
      <c r="X9" s="28" t="s">
        <v>11</v>
      </c>
      <c r="Y9" s="38">
        <v>32</v>
      </c>
      <c r="Z9" s="28" t="s">
        <v>883</v>
      </c>
      <c r="AA9" s="28" t="s">
        <v>17</v>
      </c>
      <c r="AB9" s="28" t="s">
        <v>18</v>
      </c>
      <c r="AC9" s="28">
        <v>20.7</v>
      </c>
      <c r="AD9" s="37" t="s">
        <v>1052</v>
      </c>
      <c r="AE9" s="28" t="s">
        <v>87</v>
      </c>
      <c r="AF9" s="28" t="s">
        <v>11</v>
      </c>
      <c r="AG9" s="38">
        <v>4.7</v>
      </c>
      <c r="AL9" s="37"/>
      <c r="AO9" s="38"/>
      <c r="AP9" s="37"/>
      <c r="AS9" s="38"/>
      <c r="AW9" s="38"/>
      <c r="BA9" s="39"/>
    </row>
    <row r="10" spans="1:53" s="28" customFormat="1" x14ac:dyDescent="0.15">
      <c r="A10" s="28">
        <v>1992</v>
      </c>
      <c r="B10" s="293"/>
      <c r="C10" s="394" t="s">
        <v>1067</v>
      </c>
      <c r="D10" s="394"/>
      <c r="E10" s="28">
        <v>175</v>
      </c>
      <c r="G10" s="65">
        <v>14</v>
      </c>
      <c r="H10" s="28">
        <v>9</v>
      </c>
      <c r="J10" s="72">
        <v>23</v>
      </c>
      <c r="K10" s="46">
        <f>G10/J10*100</f>
        <v>60.869565217391312</v>
      </c>
      <c r="L10" s="46">
        <f>H10/J10*100</f>
        <v>39.130434782608695</v>
      </c>
      <c r="M10" s="46">
        <f>I10/J10*100</f>
        <v>0</v>
      </c>
      <c r="N10" s="67">
        <f>K10+L10+M10</f>
        <v>100</v>
      </c>
      <c r="O10" s="45">
        <v>36.700000000000003</v>
      </c>
      <c r="P10" s="46">
        <v>20.7</v>
      </c>
      <c r="Q10" s="46"/>
      <c r="R10" s="47">
        <f t="shared" si="0"/>
        <v>57.400000000000006</v>
      </c>
      <c r="S10" s="28">
        <v>3</v>
      </c>
      <c r="T10" s="284"/>
      <c r="U10" s="293"/>
      <c r="V10" s="37" t="s">
        <v>1051</v>
      </c>
      <c r="W10" s="28" t="s">
        <v>22</v>
      </c>
      <c r="X10" s="28" t="s">
        <v>11</v>
      </c>
      <c r="Y10" s="38">
        <v>32</v>
      </c>
      <c r="Z10" s="28" t="s">
        <v>883</v>
      </c>
      <c r="AA10" s="28" t="s">
        <v>17</v>
      </c>
      <c r="AB10" s="28" t="s">
        <v>18</v>
      </c>
      <c r="AC10" s="28">
        <v>20.7</v>
      </c>
      <c r="AD10" s="37" t="s">
        <v>1052</v>
      </c>
      <c r="AE10" s="28" t="s">
        <v>87</v>
      </c>
      <c r="AF10" s="28" t="s">
        <v>11</v>
      </c>
      <c r="AG10" s="38">
        <v>4.7</v>
      </c>
      <c r="AL10" s="37"/>
      <c r="AO10" s="38"/>
      <c r="AP10" s="37"/>
      <c r="AS10" s="38"/>
      <c r="AW10" s="38"/>
      <c r="BA10" s="39"/>
    </row>
    <row r="11" spans="1:53" s="170" customFormat="1" x14ac:dyDescent="0.15">
      <c r="A11" s="170">
        <v>1992</v>
      </c>
      <c r="B11" s="304">
        <v>33779</v>
      </c>
      <c r="C11" s="395" t="s">
        <v>879</v>
      </c>
      <c r="D11" s="395"/>
      <c r="E11" s="170">
        <v>191</v>
      </c>
      <c r="F11" s="170">
        <v>1</v>
      </c>
      <c r="G11" s="232">
        <v>17</v>
      </c>
      <c r="J11" s="240">
        <v>17</v>
      </c>
      <c r="K11" s="213">
        <f t="shared" ref="K11:K54" si="1">G11/J11*100</f>
        <v>100</v>
      </c>
      <c r="L11" s="213">
        <f>H11/J11*100</f>
        <v>0</v>
      </c>
      <c r="M11" s="213">
        <f t="shared" ref="M11:M54" si="2">I11/J11*100</f>
        <v>0</v>
      </c>
      <c r="N11" s="234">
        <f t="shared" ref="N11:N60" si="3">SUM(K11:M11)</f>
        <v>100</v>
      </c>
      <c r="O11" s="212">
        <v>59.3</v>
      </c>
      <c r="P11" s="213"/>
      <c r="Q11" s="213"/>
      <c r="R11" s="214">
        <f t="shared" si="0"/>
        <v>59.3</v>
      </c>
      <c r="S11" s="170">
        <v>2</v>
      </c>
      <c r="T11" s="283">
        <v>33761</v>
      </c>
      <c r="U11" s="304">
        <v>33779</v>
      </c>
      <c r="V11" s="177" t="s">
        <v>877</v>
      </c>
      <c r="W11" s="170" t="s">
        <v>294</v>
      </c>
      <c r="X11" s="170" t="s">
        <v>11</v>
      </c>
      <c r="Y11" s="178">
        <v>49.3</v>
      </c>
      <c r="Z11" s="170" t="s">
        <v>878</v>
      </c>
      <c r="AA11" s="170" t="s">
        <v>27</v>
      </c>
      <c r="AB11" s="170" t="s">
        <v>11</v>
      </c>
      <c r="AC11" s="170">
        <v>10</v>
      </c>
      <c r="AD11" s="177"/>
      <c r="AG11" s="178"/>
      <c r="AL11" s="177"/>
      <c r="AO11" s="178"/>
      <c r="AP11" s="177"/>
      <c r="AS11" s="178"/>
      <c r="AW11" s="178"/>
      <c r="BA11" s="179"/>
    </row>
    <row r="12" spans="1:53" s="170" customFormat="1" x14ac:dyDescent="0.15">
      <c r="A12" s="170">
        <v>1993</v>
      </c>
      <c r="B12" s="281"/>
      <c r="C12" s="395" t="s">
        <v>879</v>
      </c>
      <c r="D12" s="395"/>
      <c r="E12" s="170">
        <v>11</v>
      </c>
      <c r="G12" s="232">
        <v>17</v>
      </c>
      <c r="J12" s="240">
        <v>17</v>
      </c>
      <c r="K12" s="213">
        <f t="shared" si="1"/>
        <v>100</v>
      </c>
      <c r="L12" s="213">
        <f t="shared" ref="L12:L54" si="4">H12/J12*100</f>
        <v>0</v>
      </c>
      <c r="M12" s="213">
        <f t="shared" si="2"/>
        <v>0</v>
      </c>
      <c r="N12" s="234">
        <f t="shared" si="3"/>
        <v>100</v>
      </c>
      <c r="O12" s="212">
        <v>59.3</v>
      </c>
      <c r="P12" s="213"/>
      <c r="Q12" s="213"/>
      <c r="R12" s="214">
        <f t="shared" si="0"/>
        <v>59.3</v>
      </c>
      <c r="S12" s="170">
        <v>2</v>
      </c>
      <c r="T12" s="283"/>
      <c r="U12" s="281"/>
      <c r="V12" s="177" t="s">
        <v>877</v>
      </c>
      <c r="W12" s="170" t="s">
        <v>294</v>
      </c>
      <c r="X12" s="170" t="s">
        <v>11</v>
      </c>
      <c r="Y12" s="178">
        <v>49.3</v>
      </c>
      <c r="Z12" s="170" t="s">
        <v>878</v>
      </c>
      <c r="AA12" s="170" t="s">
        <v>27</v>
      </c>
      <c r="AB12" s="170" t="s">
        <v>11</v>
      </c>
      <c r="AC12" s="170">
        <v>10</v>
      </c>
      <c r="AD12" s="177"/>
      <c r="AG12" s="178"/>
      <c r="AL12" s="177"/>
      <c r="AO12" s="178"/>
      <c r="AP12" s="177"/>
      <c r="AS12" s="178"/>
      <c r="AW12" s="178"/>
      <c r="BA12" s="179"/>
    </row>
    <row r="13" spans="1:53" s="170" customFormat="1" x14ac:dyDescent="0.15">
      <c r="A13" s="170">
        <v>1993</v>
      </c>
      <c r="B13" s="303">
        <v>33981</v>
      </c>
      <c r="C13" s="395" t="s">
        <v>879</v>
      </c>
      <c r="D13" s="395"/>
      <c r="E13" s="170">
        <v>66</v>
      </c>
      <c r="F13" s="243">
        <v>0</v>
      </c>
      <c r="G13" s="232">
        <v>19</v>
      </c>
      <c r="J13" s="240">
        <v>19</v>
      </c>
      <c r="K13" s="213">
        <f t="shared" si="1"/>
        <v>100</v>
      </c>
      <c r="L13" s="213">
        <f t="shared" si="4"/>
        <v>0</v>
      </c>
      <c r="M13" s="213">
        <f t="shared" si="2"/>
        <v>0</v>
      </c>
      <c r="N13" s="234">
        <f t="shared" si="3"/>
        <v>100</v>
      </c>
      <c r="O13" s="212">
        <v>59.3</v>
      </c>
      <c r="P13" s="213"/>
      <c r="Q13" s="213"/>
      <c r="R13" s="214">
        <f t="shared" si="0"/>
        <v>59.3</v>
      </c>
      <c r="S13" s="170">
        <v>2</v>
      </c>
      <c r="T13" s="283"/>
      <c r="U13" s="304"/>
      <c r="V13" s="177" t="s">
        <v>877</v>
      </c>
      <c r="W13" s="170" t="s">
        <v>294</v>
      </c>
      <c r="X13" s="170" t="s">
        <v>11</v>
      </c>
      <c r="Y13" s="178">
        <v>49.3</v>
      </c>
      <c r="Z13" s="170" t="s">
        <v>878</v>
      </c>
      <c r="AA13" s="170" t="s">
        <v>27</v>
      </c>
      <c r="AB13" s="170" t="s">
        <v>11</v>
      </c>
      <c r="AC13" s="170">
        <v>10</v>
      </c>
      <c r="AD13" s="177"/>
      <c r="AG13" s="178"/>
      <c r="AL13" s="177"/>
      <c r="AO13" s="178"/>
      <c r="AP13" s="177"/>
      <c r="AS13" s="178"/>
      <c r="AW13" s="178"/>
      <c r="BA13" s="179"/>
    </row>
    <row r="14" spans="1:53" s="28" customFormat="1" x14ac:dyDescent="0.15">
      <c r="A14" s="28">
        <v>1993</v>
      </c>
      <c r="B14" s="275">
        <v>34047</v>
      </c>
      <c r="C14" s="394" t="s">
        <v>880</v>
      </c>
      <c r="D14" s="394"/>
      <c r="E14" s="28">
        <v>243</v>
      </c>
      <c r="F14" s="28">
        <v>4</v>
      </c>
      <c r="G14" s="65">
        <v>16</v>
      </c>
      <c r="J14" s="72">
        <v>16</v>
      </c>
      <c r="K14" s="46">
        <f t="shared" si="1"/>
        <v>100</v>
      </c>
      <c r="L14" s="46">
        <f t="shared" si="4"/>
        <v>0</v>
      </c>
      <c r="M14" s="46">
        <f t="shared" si="2"/>
        <v>0</v>
      </c>
      <c r="N14" s="67">
        <f t="shared" si="3"/>
        <v>100</v>
      </c>
      <c r="O14" s="45">
        <v>49.3</v>
      </c>
      <c r="P14" s="46"/>
      <c r="Q14" s="46"/>
      <c r="R14" s="47">
        <f t="shared" si="0"/>
        <v>49.3</v>
      </c>
      <c r="S14" s="28">
        <v>4</v>
      </c>
      <c r="T14" s="284"/>
      <c r="U14" s="275">
        <v>34047</v>
      </c>
      <c r="V14" s="37" t="s">
        <v>877</v>
      </c>
      <c r="W14" s="28" t="s">
        <v>294</v>
      </c>
      <c r="X14" s="28" t="s">
        <v>11</v>
      </c>
      <c r="Y14" s="38">
        <v>49.3</v>
      </c>
      <c r="AD14" s="37"/>
      <c r="AG14" s="38"/>
      <c r="AL14" s="37"/>
      <c r="AO14" s="38"/>
      <c r="AP14" s="37"/>
      <c r="AS14" s="38"/>
      <c r="AW14" s="38"/>
      <c r="BA14" s="39"/>
    </row>
    <row r="15" spans="1:53" s="170" customFormat="1" x14ac:dyDescent="0.15">
      <c r="A15" s="170">
        <v>1993</v>
      </c>
      <c r="B15" s="304">
        <v>34290</v>
      </c>
      <c r="C15" s="395" t="s">
        <v>881</v>
      </c>
      <c r="D15" s="395"/>
      <c r="E15" s="170">
        <f xml:space="preserve"> 365-E14-E13-E12</f>
        <v>45</v>
      </c>
      <c r="F15" s="170">
        <v>7</v>
      </c>
      <c r="G15" s="232">
        <v>19</v>
      </c>
      <c r="J15" s="240">
        <v>19</v>
      </c>
      <c r="K15" s="213">
        <f t="shared" si="1"/>
        <v>100</v>
      </c>
      <c r="L15" s="213">
        <f t="shared" si="4"/>
        <v>0</v>
      </c>
      <c r="M15" s="213">
        <f t="shared" si="2"/>
        <v>0</v>
      </c>
      <c r="N15" s="234">
        <f t="shared" si="3"/>
        <v>100</v>
      </c>
      <c r="O15" s="212">
        <v>59.3</v>
      </c>
      <c r="P15" s="213"/>
      <c r="Q15" s="213"/>
      <c r="R15" s="214">
        <f t="shared" si="0"/>
        <v>59.3</v>
      </c>
      <c r="S15" s="170">
        <v>2</v>
      </c>
      <c r="T15" s="283"/>
      <c r="U15" s="304">
        <v>34290</v>
      </c>
      <c r="V15" s="177" t="s">
        <v>877</v>
      </c>
      <c r="W15" s="170" t="s">
        <v>294</v>
      </c>
      <c r="X15" s="170" t="s">
        <v>11</v>
      </c>
      <c r="Y15" s="178">
        <v>49.3</v>
      </c>
      <c r="Z15" s="170" t="s">
        <v>878</v>
      </c>
      <c r="AA15" s="170" t="s">
        <v>27</v>
      </c>
      <c r="AB15" s="170" t="s">
        <v>11</v>
      </c>
      <c r="AC15" s="170">
        <v>10</v>
      </c>
      <c r="AD15" s="177"/>
      <c r="AG15" s="178"/>
      <c r="AL15" s="177"/>
      <c r="AO15" s="178"/>
      <c r="AP15" s="177"/>
      <c r="AS15" s="178"/>
      <c r="AW15" s="178"/>
      <c r="BA15" s="179"/>
    </row>
    <row r="16" spans="1:53" s="170" customFormat="1" x14ac:dyDescent="0.15">
      <c r="A16" s="170">
        <v>1994</v>
      </c>
      <c r="B16" s="304"/>
      <c r="C16" s="395" t="s">
        <v>881</v>
      </c>
      <c r="D16" s="395"/>
      <c r="E16" s="170">
        <v>74</v>
      </c>
      <c r="G16" s="232">
        <v>19</v>
      </c>
      <c r="J16" s="240">
        <v>19</v>
      </c>
      <c r="K16" s="213">
        <f t="shared" si="1"/>
        <v>100</v>
      </c>
      <c r="L16" s="213">
        <f t="shared" si="4"/>
        <v>0</v>
      </c>
      <c r="M16" s="213">
        <f t="shared" si="2"/>
        <v>0</v>
      </c>
      <c r="N16" s="234">
        <f t="shared" si="3"/>
        <v>100</v>
      </c>
      <c r="O16" s="212">
        <v>59.3</v>
      </c>
      <c r="P16" s="213"/>
      <c r="Q16" s="213"/>
      <c r="R16" s="214">
        <f t="shared" si="0"/>
        <v>59.3</v>
      </c>
      <c r="S16" s="170">
        <v>2</v>
      </c>
      <c r="T16" s="283"/>
      <c r="U16" s="304"/>
      <c r="V16" s="177" t="s">
        <v>877</v>
      </c>
      <c r="W16" s="170" t="s">
        <v>294</v>
      </c>
      <c r="X16" s="170" t="s">
        <v>11</v>
      </c>
      <c r="Y16" s="178">
        <v>49.3</v>
      </c>
      <c r="Z16" s="170" t="s">
        <v>878</v>
      </c>
      <c r="AA16" s="170" t="s">
        <v>27</v>
      </c>
      <c r="AB16" s="170" t="s">
        <v>11</v>
      </c>
      <c r="AC16" s="170">
        <v>10</v>
      </c>
      <c r="AD16" s="177"/>
      <c r="AG16" s="178"/>
      <c r="AL16" s="177"/>
      <c r="AO16" s="178"/>
      <c r="AP16" s="177"/>
      <c r="AS16" s="178"/>
      <c r="AW16" s="178"/>
      <c r="BA16" s="179"/>
    </row>
    <row r="17" spans="1:53" s="28" customFormat="1" x14ac:dyDescent="0.15">
      <c r="A17" s="28">
        <v>1994</v>
      </c>
      <c r="B17" s="275">
        <v>34409</v>
      </c>
      <c r="C17" s="394" t="s">
        <v>1200</v>
      </c>
      <c r="D17" s="394"/>
      <c r="E17" s="28">
        <v>271</v>
      </c>
      <c r="F17" s="28">
        <v>5</v>
      </c>
      <c r="G17" s="65">
        <v>6</v>
      </c>
      <c r="H17" s="28">
        <v>5</v>
      </c>
      <c r="I17" s="28">
        <v>7</v>
      </c>
      <c r="J17" s="72">
        <v>18</v>
      </c>
      <c r="K17" s="46">
        <f t="shared" si="1"/>
        <v>33.333333333333329</v>
      </c>
      <c r="L17" s="46">
        <f t="shared" si="4"/>
        <v>27.777777777777779</v>
      </c>
      <c r="M17" s="46">
        <f t="shared" si="2"/>
        <v>38.888888888888893</v>
      </c>
      <c r="N17" s="67">
        <f t="shared" si="3"/>
        <v>100</v>
      </c>
      <c r="O17" s="45">
        <v>13.3</v>
      </c>
      <c r="P17" s="46">
        <v>12</v>
      </c>
      <c r="Q17" s="46">
        <v>19.3</v>
      </c>
      <c r="R17" s="47">
        <f t="shared" si="0"/>
        <v>44.6</v>
      </c>
      <c r="S17" s="28">
        <v>5</v>
      </c>
      <c r="T17" s="284"/>
      <c r="U17" s="275">
        <v>34409</v>
      </c>
      <c r="V17" s="37" t="s">
        <v>882</v>
      </c>
      <c r="W17" s="28" t="s">
        <v>979</v>
      </c>
      <c r="X17" s="28" t="s">
        <v>12</v>
      </c>
      <c r="Y17" s="38">
        <v>19.3</v>
      </c>
      <c r="Z17" s="28" t="s">
        <v>883</v>
      </c>
      <c r="AA17" s="28" t="s">
        <v>17</v>
      </c>
      <c r="AB17" s="28" t="s">
        <v>18</v>
      </c>
      <c r="AC17" s="28">
        <v>12</v>
      </c>
      <c r="AD17" s="37" t="s">
        <v>1201</v>
      </c>
      <c r="AE17" s="28" t="s">
        <v>327</v>
      </c>
      <c r="AF17" s="28" t="s">
        <v>11</v>
      </c>
      <c r="AG17" s="38">
        <v>5.3</v>
      </c>
      <c r="AH17" s="28" t="s">
        <v>1053</v>
      </c>
      <c r="AI17" s="28" t="s">
        <v>106</v>
      </c>
      <c r="AJ17" s="28" t="s">
        <v>11</v>
      </c>
      <c r="AK17" s="28">
        <v>4.7</v>
      </c>
      <c r="AL17" s="37" t="s">
        <v>1202</v>
      </c>
      <c r="AM17" s="28" t="s">
        <v>327</v>
      </c>
      <c r="AN17" s="28" t="s">
        <v>11</v>
      </c>
      <c r="AO17" s="38">
        <v>3.3</v>
      </c>
      <c r="AP17" s="37"/>
      <c r="AS17" s="38"/>
      <c r="AW17" s="38"/>
      <c r="BA17" s="39"/>
    </row>
    <row r="18" spans="1:53" s="170" customFormat="1" x14ac:dyDescent="0.15">
      <c r="A18" s="170">
        <v>1994</v>
      </c>
      <c r="B18" s="304">
        <v>34680</v>
      </c>
      <c r="C18" s="395" t="s">
        <v>1203</v>
      </c>
      <c r="D18" s="395"/>
      <c r="E18" s="170">
        <f>365-E17-E16</f>
        <v>20</v>
      </c>
      <c r="F18" s="170">
        <v>1</v>
      </c>
      <c r="G18" s="232">
        <v>14</v>
      </c>
      <c r="I18" s="170">
        <v>4</v>
      </c>
      <c r="J18" s="240">
        <v>18</v>
      </c>
      <c r="K18" s="213">
        <f t="shared" si="1"/>
        <v>77.777777777777786</v>
      </c>
      <c r="L18" s="213">
        <f t="shared" si="4"/>
        <v>0</v>
      </c>
      <c r="M18" s="213">
        <f t="shared" si="2"/>
        <v>22.222222222222221</v>
      </c>
      <c r="N18" s="234">
        <f t="shared" si="3"/>
        <v>100</v>
      </c>
      <c r="O18" s="212">
        <v>46.5</v>
      </c>
      <c r="P18" s="213"/>
      <c r="Q18" s="213">
        <v>8.1</v>
      </c>
      <c r="R18" s="214">
        <f t="shared" si="0"/>
        <v>54.6</v>
      </c>
      <c r="S18" s="170">
        <v>2</v>
      </c>
      <c r="T18" s="283">
        <v>34608</v>
      </c>
      <c r="U18" s="304">
        <v>34680</v>
      </c>
      <c r="V18" s="177" t="s">
        <v>877</v>
      </c>
      <c r="W18" s="170" t="s">
        <v>294</v>
      </c>
      <c r="X18" s="170" t="s">
        <v>11</v>
      </c>
      <c r="Y18" s="178">
        <v>40.5</v>
      </c>
      <c r="Z18" s="170" t="s">
        <v>887</v>
      </c>
      <c r="AA18" s="170" t="s">
        <v>305</v>
      </c>
      <c r="AB18" s="170" t="s">
        <v>12</v>
      </c>
      <c r="AC18" s="170">
        <v>8.1</v>
      </c>
      <c r="AD18" s="177" t="s">
        <v>878</v>
      </c>
      <c r="AE18" s="170" t="s">
        <v>27</v>
      </c>
      <c r="AF18" s="170" t="s">
        <v>11</v>
      </c>
      <c r="AG18" s="178">
        <v>6</v>
      </c>
      <c r="AL18" s="177"/>
      <c r="AO18" s="178"/>
      <c r="AP18" s="177"/>
      <c r="AS18" s="178"/>
      <c r="AW18" s="178"/>
      <c r="BA18" s="179"/>
    </row>
    <row r="19" spans="1:53" s="170" customFormat="1" x14ac:dyDescent="0.15">
      <c r="A19" s="170">
        <v>1995</v>
      </c>
      <c r="B19" s="304"/>
      <c r="C19" s="395" t="s">
        <v>1203</v>
      </c>
      <c r="D19" s="395"/>
      <c r="E19" s="170">
        <v>0</v>
      </c>
      <c r="G19" s="232">
        <v>14</v>
      </c>
      <c r="I19" s="170">
        <v>4</v>
      </c>
      <c r="J19" s="240">
        <v>18</v>
      </c>
      <c r="K19" s="213">
        <f t="shared" si="1"/>
        <v>77.777777777777786</v>
      </c>
      <c r="L19" s="213">
        <f t="shared" si="4"/>
        <v>0</v>
      </c>
      <c r="M19" s="213">
        <f t="shared" si="2"/>
        <v>22.222222222222221</v>
      </c>
      <c r="N19" s="234">
        <f t="shared" si="3"/>
        <v>100</v>
      </c>
      <c r="O19" s="212">
        <v>46.5</v>
      </c>
      <c r="P19" s="213"/>
      <c r="Q19" s="213">
        <v>8.1</v>
      </c>
      <c r="R19" s="214">
        <f t="shared" si="0"/>
        <v>54.6</v>
      </c>
      <c r="S19" s="170">
        <v>2</v>
      </c>
      <c r="T19" s="283"/>
      <c r="U19" s="281"/>
      <c r="V19" s="177" t="s">
        <v>877</v>
      </c>
      <c r="W19" s="170" t="s">
        <v>294</v>
      </c>
      <c r="X19" s="170" t="s">
        <v>11</v>
      </c>
      <c r="Y19" s="178">
        <v>40.5</v>
      </c>
      <c r="Z19" s="170" t="s">
        <v>887</v>
      </c>
      <c r="AA19" s="170" t="s">
        <v>305</v>
      </c>
      <c r="AB19" s="170" t="s">
        <v>12</v>
      </c>
      <c r="AC19" s="170">
        <v>8.1</v>
      </c>
      <c r="AD19" s="177" t="s">
        <v>878</v>
      </c>
      <c r="AE19" s="170" t="s">
        <v>27</v>
      </c>
      <c r="AF19" s="170" t="s">
        <v>11</v>
      </c>
      <c r="AG19" s="178">
        <v>6</v>
      </c>
      <c r="AL19" s="177"/>
      <c r="AO19" s="178"/>
      <c r="AP19" s="177"/>
      <c r="AS19" s="178"/>
      <c r="AW19" s="178"/>
      <c r="BA19" s="179"/>
    </row>
    <row r="20" spans="1:53" s="170" customFormat="1" x14ac:dyDescent="0.15">
      <c r="A20" s="170">
        <v>1995</v>
      </c>
      <c r="B20" s="304"/>
      <c r="C20" s="395" t="s">
        <v>1203</v>
      </c>
      <c r="D20" s="395"/>
      <c r="E20" s="170">
        <v>365</v>
      </c>
      <c r="G20" s="232">
        <v>14</v>
      </c>
      <c r="I20" s="170">
        <v>4</v>
      </c>
      <c r="J20" s="240">
        <v>18</v>
      </c>
      <c r="K20" s="213">
        <f t="shared" si="1"/>
        <v>77.777777777777786</v>
      </c>
      <c r="L20" s="213">
        <f t="shared" si="4"/>
        <v>0</v>
      </c>
      <c r="M20" s="213">
        <f t="shared" si="2"/>
        <v>22.222222222222221</v>
      </c>
      <c r="N20" s="234">
        <f t="shared" si="3"/>
        <v>100</v>
      </c>
      <c r="O20" s="212">
        <v>46.5</v>
      </c>
      <c r="P20" s="213"/>
      <c r="Q20" s="213">
        <v>8.1</v>
      </c>
      <c r="R20" s="214">
        <f t="shared" si="0"/>
        <v>54.6</v>
      </c>
      <c r="S20" s="170">
        <v>2</v>
      </c>
      <c r="T20" s="283"/>
      <c r="U20" s="281"/>
      <c r="V20" s="177" t="s">
        <v>877</v>
      </c>
      <c r="W20" s="170" t="s">
        <v>294</v>
      </c>
      <c r="X20" s="170" t="s">
        <v>11</v>
      </c>
      <c r="Y20" s="178">
        <v>40.5</v>
      </c>
      <c r="Z20" s="170" t="s">
        <v>887</v>
      </c>
      <c r="AA20" s="170" t="s">
        <v>305</v>
      </c>
      <c r="AB20" s="170" t="s">
        <v>12</v>
      </c>
      <c r="AC20" s="170">
        <v>8.1</v>
      </c>
      <c r="AD20" s="177" t="s">
        <v>878</v>
      </c>
      <c r="AE20" s="170" t="s">
        <v>27</v>
      </c>
      <c r="AF20" s="170" t="s">
        <v>11</v>
      </c>
      <c r="AG20" s="178">
        <v>6</v>
      </c>
      <c r="AL20" s="177"/>
      <c r="AO20" s="178"/>
      <c r="AP20" s="177"/>
      <c r="AS20" s="178"/>
      <c r="AW20" s="178"/>
      <c r="BA20" s="179"/>
    </row>
    <row r="21" spans="1:53" s="170" customFormat="1" x14ac:dyDescent="0.15">
      <c r="A21" s="170">
        <v>1996</v>
      </c>
      <c r="B21" s="304"/>
      <c r="C21" s="395" t="s">
        <v>1203</v>
      </c>
      <c r="D21" s="395"/>
      <c r="E21" s="170">
        <v>0</v>
      </c>
      <c r="G21" s="232">
        <v>14</v>
      </c>
      <c r="I21" s="170">
        <v>4</v>
      </c>
      <c r="J21" s="240">
        <v>18</v>
      </c>
      <c r="K21" s="213">
        <f t="shared" si="1"/>
        <v>77.777777777777786</v>
      </c>
      <c r="L21" s="213">
        <f t="shared" si="4"/>
        <v>0</v>
      </c>
      <c r="M21" s="213">
        <f t="shared" si="2"/>
        <v>22.222222222222221</v>
      </c>
      <c r="N21" s="234">
        <f t="shared" si="3"/>
        <v>100</v>
      </c>
      <c r="O21" s="212">
        <v>46.5</v>
      </c>
      <c r="P21" s="213"/>
      <c r="Q21" s="213">
        <v>8.1</v>
      </c>
      <c r="R21" s="214">
        <f t="shared" si="0"/>
        <v>54.6</v>
      </c>
      <c r="S21" s="170">
        <v>2</v>
      </c>
      <c r="T21" s="283"/>
      <c r="U21" s="281"/>
      <c r="V21" s="177" t="s">
        <v>877</v>
      </c>
      <c r="W21" s="170" t="s">
        <v>294</v>
      </c>
      <c r="X21" s="170" t="s">
        <v>11</v>
      </c>
      <c r="Y21" s="178">
        <v>40.5</v>
      </c>
      <c r="Z21" s="170" t="s">
        <v>887</v>
      </c>
      <c r="AA21" s="170" t="s">
        <v>305</v>
      </c>
      <c r="AB21" s="170" t="s">
        <v>12</v>
      </c>
      <c r="AC21" s="170">
        <v>8.1</v>
      </c>
      <c r="AD21" s="177" t="s">
        <v>878</v>
      </c>
      <c r="AE21" s="170" t="s">
        <v>27</v>
      </c>
      <c r="AF21" s="170" t="s">
        <v>11</v>
      </c>
      <c r="AG21" s="178">
        <v>6</v>
      </c>
      <c r="AL21" s="177"/>
      <c r="AO21" s="178"/>
      <c r="AP21" s="177"/>
      <c r="AS21" s="178"/>
      <c r="AW21" s="178"/>
      <c r="BA21" s="179"/>
    </row>
    <row r="22" spans="1:53" s="170" customFormat="1" x14ac:dyDescent="0.15">
      <c r="A22" s="170">
        <v>1996</v>
      </c>
      <c r="B22" s="304"/>
      <c r="C22" s="395" t="s">
        <v>1203</v>
      </c>
      <c r="D22" s="395"/>
      <c r="E22" s="170">
        <v>366</v>
      </c>
      <c r="G22" s="232">
        <v>14</v>
      </c>
      <c r="I22" s="170">
        <v>4</v>
      </c>
      <c r="J22" s="240">
        <v>18</v>
      </c>
      <c r="K22" s="213">
        <f t="shared" si="1"/>
        <v>77.777777777777786</v>
      </c>
      <c r="L22" s="213">
        <f t="shared" si="4"/>
        <v>0</v>
      </c>
      <c r="M22" s="213">
        <f t="shared" si="2"/>
        <v>22.222222222222221</v>
      </c>
      <c r="N22" s="234">
        <f t="shared" si="3"/>
        <v>100</v>
      </c>
      <c r="O22" s="212">
        <v>46.5</v>
      </c>
      <c r="P22" s="213"/>
      <c r="Q22" s="213">
        <v>8.1</v>
      </c>
      <c r="R22" s="214">
        <f t="shared" si="0"/>
        <v>54.6</v>
      </c>
      <c r="S22" s="170">
        <v>2</v>
      </c>
      <c r="T22" s="283"/>
      <c r="U22" s="281"/>
      <c r="V22" s="177" t="s">
        <v>877</v>
      </c>
      <c r="W22" s="170" t="s">
        <v>294</v>
      </c>
      <c r="X22" s="170" t="s">
        <v>11</v>
      </c>
      <c r="Y22" s="178">
        <v>40.5</v>
      </c>
      <c r="Z22" s="170" t="s">
        <v>887</v>
      </c>
      <c r="AA22" s="170" t="s">
        <v>305</v>
      </c>
      <c r="AB22" s="170" t="s">
        <v>12</v>
      </c>
      <c r="AC22" s="170">
        <v>8.1</v>
      </c>
      <c r="AD22" s="177" t="s">
        <v>878</v>
      </c>
      <c r="AE22" s="170" t="s">
        <v>27</v>
      </c>
      <c r="AF22" s="170" t="s">
        <v>11</v>
      </c>
      <c r="AG22" s="178">
        <v>6</v>
      </c>
      <c r="AL22" s="177"/>
      <c r="AO22" s="178"/>
      <c r="AP22" s="177"/>
      <c r="AS22" s="178"/>
      <c r="AW22" s="178"/>
      <c r="BA22" s="179"/>
    </row>
    <row r="23" spans="1:53" s="170" customFormat="1" x14ac:dyDescent="0.15">
      <c r="A23" s="170">
        <v>1997</v>
      </c>
      <c r="B23" s="304"/>
      <c r="C23" s="395" t="s">
        <v>1203</v>
      </c>
      <c r="D23" s="395"/>
      <c r="E23" s="170">
        <v>0</v>
      </c>
      <c r="G23" s="232">
        <v>14</v>
      </c>
      <c r="I23" s="170">
        <v>4</v>
      </c>
      <c r="J23" s="240">
        <v>18</v>
      </c>
      <c r="K23" s="213">
        <f t="shared" si="1"/>
        <v>77.777777777777786</v>
      </c>
      <c r="L23" s="213">
        <f t="shared" si="4"/>
        <v>0</v>
      </c>
      <c r="M23" s="213">
        <f t="shared" si="2"/>
        <v>22.222222222222221</v>
      </c>
      <c r="N23" s="234">
        <f t="shared" si="3"/>
        <v>100</v>
      </c>
      <c r="O23" s="212">
        <v>46.5</v>
      </c>
      <c r="P23" s="213"/>
      <c r="Q23" s="213">
        <v>8.1</v>
      </c>
      <c r="R23" s="214">
        <f t="shared" si="0"/>
        <v>54.6</v>
      </c>
      <c r="S23" s="170">
        <v>2</v>
      </c>
      <c r="T23" s="283"/>
      <c r="U23" s="281"/>
      <c r="V23" s="177" t="s">
        <v>877</v>
      </c>
      <c r="W23" s="170" t="s">
        <v>294</v>
      </c>
      <c r="X23" s="170" t="s">
        <v>11</v>
      </c>
      <c r="Y23" s="178">
        <v>40.5</v>
      </c>
      <c r="Z23" s="170" t="s">
        <v>887</v>
      </c>
      <c r="AA23" s="170" t="s">
        <v>305</v>
      </c>
      <c r="AB23" s="170" t="s">
        <v>12</v>
      </c>
      <c r="AC23" s="170">
        <v>8.1</v>
      </c>
      <c r="AD23" s="177" t="s">
        <v>878</v>
      </c>
      <c r="AE23" s="170" t="s">
        <v>27</v>
      </c>
      <c r="AF23" s="170" t="s">
        <v>11</v>
      </c>
      <c r="AG23" s="178">
        <v>6</v>
      </c>
      <c r="AL23" s="177"/>
      <c r="AO23" s="178"/>
      <c r="AP23" s="177"/>
      <c r="AS23" s="178"/>
      <c r="AW23" s="178"/>
      <c r="BA23" s="179"/>
    </row>
    <row r="24" spans="1:53" s="170" customFormat="1" x14ac:dyDescent="0.15">
      <c r="A24" s="170">
        <v>1997</v>
      </c>
      <c r="B24" s="304"/>
      <c r="C24" s="395" t="s">
        <v>1203</v>
      </c>
      <c r="D24" s="395"/>
      <c r="E24" s="170">
        <v>365</v>
      </c>
      <c r="G24" s="232">
        <v>14</v>
      </c>
      <c r="I24" s="170">
        <v>4</v>
      </c>
      <c r="J24" s="240">
        <v>18</v>
      </c>
      <c r="K24" s="213">
        <f t="shared" si="1"/>
        <v>77.777777777777786</v>
      </c>
      <c r="L24" s="213">
        <f t="shared" si="4"/>
        <v>0</v>
      </c>
      <c r="M24" s="213">
        <f t="shared" si="2"/>
        <v>22.222222222222221</v>
      </c>
      <c r="N24" s="234">
        <f t="shared" si="3"/>
        <v>100</v>
      </c>
      <c r="O24" s="212">
        <v>46.5</v>
      </c>
      <c r="P24" s="213"/>
      <c r="Q24" s="213">
        <v>8.1</v>
      </c>
      <c r="R24" s="214">
        <f t="shared" si="0"/>
        <v>54.6</v>
      </c>
      <c r="S24" s="170">
        <v>2</v>
      </c>
      <c r="T24" s="283"/>
      <c r="U24" s="281"/>
      <c r="V24" s="177" t="s">
        <v>877</v>
      </c>
      <c r="W24" s="170" t="s">
        <v>294</v>
      </c>
      <c r="X24" s="170" t="s">
        <v>11</v>
      </c>
      <c r="Y24" s="178">
        <v>40.5</v>
      </c>
      <c r="Z24" s="170" t="s">
        <v>887</v>
      </c>
      <c r="AA24" s="170" t="s">
        <v>305</v>
      </c>
      <c r="AB24" s="170" t="s">
        <v>12</v>
      </c>
      <c r="AC24" s="170">
        <v>8.1</v>
      </c>
      <c r="AD24" s="177" t="s">
        <v>878</v>
      </c>
      <c r="AE24" s="170" t="s">
        <v>27</v>
      </c>
      <c r="AF24" s="170" t="s">
        <v>11</v>
      </c>
      <c r="AG24" s="178">
        <v>6</v>
      </c>
      <c r="AL24" s="177"/>
      <c r="AO24" s="178"/>
      <c r="AP24" s="177"/>
      <c r="AS24" s="178"/>
      <c r="AW24" s="178"/>
      <c r="BA24" s="179"/>
    </row>
    <row r="25" spans="1:53" s="170" customFormat="1" x14ac:dyDescent="0.15">
      <c r="A25" s="170">
        <v>1998</v>
      </c>
      <c r="B25" s="304"/>
      <c r="C25" s="395" t="s">
        <v>1203</v>
      </c>
      <c r="D25" s="395"/>
      <c r="E25" s="170">
        <v>57</v>
      </c>
      <c r="G25" s="232">
        <v>14</v>
      </c>
      <c r="I25" s="170">
        <v>4</v>
      </c>
      <c r="J25" s="240">
        <v>18</v>
      </c>
      <c r="K25" s="213">
        <f t="shared" si="1"/>
        <v>77.777777777777786</v>
      </c>
      <c r="L25" s="213">
        <f t="shared" si="4"/>
        <v>0</v>
      </c>
      <c r="M25" s="213">
        <f t="shared" si="2"/>
        <v>22.222222222222221</v>
      </c>
      <c r="N25" s="234">
        <f t="shared" si="3"/>
        <v>100</v>
      </c>
      <c r="O25" s="212">
        <v>46.5</v>
      </c>
      <c r="P25" s="213"/>
      <c r="Q25" s="213">
        <v>8.1</v>
      </c>
      <c r="R25" s="214">
        <f t="shared" si="0"/>
        <v>54.6</v>
      </c>
      <c r="S25" s="170">
        <v>2</v>
      </c>
      <c r="T25" s="283"/>
      <c r="U25" s="281"/>
      <c r="V25" s="177" t="s">
        <v>877</v>
      </c>
      <c r="W25" s="170" t="s">
        <v>294</v>
      </c>
      <c r="X25" s="170" t="s">
        <v>11</v>
      </c>
      <c r="Y25" s="178">
        <v>40.5</v>
      </c>
      <c r="Z25" s="170" t="s">
        <v>887</v>
      </c>
      <c r="AA25" s="170" t="s">
        <v>305</v>
      </c>
      <c r="AB25" s="170" t="s">
        <v>12</v>
      </c>
      <c r="AC25" s="170">
        <v>8.1</v>
      </c>
      <c r="AD25" s="177" t="s">
        <v>878</v>
      </c>
      <c r="AE25" s="170" t="s">
        <v>27</v>
      </c>
      <c r="AF25" s="170" t="s">
        <v>11</v>
      </c>
      <c r="AG25" s="178">
        <v>6</v>
      </c>
      <c r="AL25" s="177"/>
      <c r="AO25" s="178"/>
      <c r="AP25" s="177"/>
      <c r="AS25" s="178"/>
      <c r="AW25" s="178"/>
      <c r="BA25" s="179"/>
    </row>
    <row r="26" spans="1:53" s="170" customFormat="1" x14ac:dyDescent="0.15">
      <c r="A26" s="170">
        <v>1998</v>
      </c>
      <c r="B26" s="303">
        <v>35853</v>
      </c>
      <c r="C26" s="395" t="s">
        <v>1203</v>
      </c>
      <c r="D26" s="395"/>
      <c r="E26" s="170">
        <v>221</v>
      </c>
      <c r="F26" s="243">
        <v>0</v>
      </c>
      <c r="G26" s="232">
        <v>13</v>
      </c>
      <c r="I26" s="170">
        <v>4</v>
      </c>
      <c r="J26" s="240">
        <v>18</v>
      </c>
      <c r="K26" s="213">
        <f>G26/J26*100</f>
        <v>72.222222222222214</v>
      </c>
      <c r="L26" s="213">
        <f>H26/J26*100</f>
        <v>0</v>
      </c>
      <c r="M26" s="213">
        <f>I26/J26*100</f>
        <v>22.222222222222221</v>
      </c>
      <c r="N26" s="234">
        <f>SUM(K26:M26)</f>
        <v>94.444444444444429</v>
      </c>
      <c r="O26" s="212">
        <v>46.5</v>
      </c>
      <c r="P26" s="213"/>
      <c r="Q26" s="213">
        <v>8.1</v>
      </c>
      <c r="R26" s="214">
        <f>SUM(O26:Q26)</f>
        <v>54.6</v>
      </c>
      <c r="S26" s="170">
        <v>2</v>
      </c>
      <c r="T26" s="283"/>
      <c r="U26" s="281"/>
      <c r="V26" s="177" t="s">
        <v>877</v>
      </c>
      <c r="W26" s="170" t="s">
        <v>294</v>
      </c>
      <c r="X26" s="170" t="s">
        <v>11</v>
      </c>
      <c r="Y26" s="178">
        <v>40.5</v>
      </c>
      <c r="Z26" s="170" t="s">
        <v>887</v>
      </c>
      <c r="AA26" s="170" t="s">
        <v>305</v>
      </c>
      <c r="AB26" s="170" t="s">
        <v>12</v>
      </c>
      <c r="AC26" s="170">
        <v>8.1</v>
      </c>
      <c r="AD26" s="177" t="s">
        <v>878</v>
      </c>
      <c r="AE26" s="170" t="s">
        <v>27</v>
      </c>
      <c r="AF26" s="170" t="s">
        <v>11</v>
      </c>
      <c r="AG26" s="178">
        <v>6</v>
      </c>
      <c r="AL26" s="177"/>
      <c r="AO26" s="178"/>
      <c r="AP26" s="177"/>
      <c r="AS26" s="178"/>
      <c r="AW26" s="178"/>
      <c r="BA26" s="179"/>
    </row>
    <row r="27" spans="1:53" s="170" customFormat="1" x14ac:dyDescent="0.15">
      <c r="A27" s="170">
        <v>1998</v>
      </c>
      <c r="B27" s="303">
        <v>36074</v>
      </c>
      <c r="C27" s="395" t="s">
        <v>1203</v>
      </c>
      <c r="D27" s="395"/>
      <c r="E27" s="170">
        <v>55</v>
      </c>
      <c r="F27" s="243">
        <v>0</v>
      </c>
      <c r="G27" s="232">
        <v>12</v>
      </c>
      <c r="I27" s="170">
        <v>5</v>
      </c>
      <c r="J27" s="240">
        <v>18</v>
      </c>
      <c r="K27" s="213">
        <f t="shared" si="1"/>
        <v>66.666666666666657</v>
      </c>
      <c r="L27" s="213">
        <f t="shared" si="4"/>
        <v>0</v>
      </c>
      <c r="M27" s="213">
        <f t="shared" si="2"/>
        <v>27.777777777777779</v>
      </c>
      <c r="N27" s="234">
        <f t="shared" si="3"/>
        <v>94.444444444444429</v>
      </c>
      <c r="O27" s="212">
        <v>46.5</v>
      </c>
      <c r="P27" s="213"/>
      <c r="Q27" s="213">
        <v>8.1</v>
      </c>
      <c r="R27" s="214">
        <f t="shared" si="0"/>
        <v>54.6</v>
      </c>
      <c r="S27" s="170">
        <v>2</v>
      </c>
      <c r="T27" s="283"/>
      <c r="U27" s="281"/>
      <c r="V27" s="177" t="s">
        <v>877</v>
      </c>
      <c r="W27" s="170" t="s">
        <v>294</v>
      </c>
      <c r="X27" s="170" t="s">
        <v>11</v>
      </c>
      <c r="Y27" s="178">
        <v>40.5</v>
      </c>
      <c r="Z27" s="170" t="s">
        <v>887</v>
      </c>
      <c r="AA27" s="170" t="s">
        <v>305</v>
      </c>
      <c r="AB27" s="170" t="s">
        <v>12</v>
      </c>
      <c r="AC27" s="170">
        <v>8.1</v>
      </c>
      <c r="AD27" s="177" t="s">
        <v>878</v>
      </c>
      <c r="AE27" s="170" t="s">
        <v>27</v>
      </c>
      <c r="AF27" s="170" t="s">
        <v>11</v>
      </c>
      <c r="AG27" s="178">
        <v>6</v>
      </c>
      <c r="AL27" s="177"/>
      <c r="AO27" s="178"/>
      <c r="AP27" s="177"/>
      <c r="AS27" s="178"/>
      <c r="AW27" s="178"/>
      <c r="BA27" s="179"/>
    </row>
    <row r="28" spans="1:53" s="28" customFormat="1" x14ac:dyDescent="0.15">
      <c r="A28" s="28">
        <v>1998</v>
      </c>
      <c r="B28" s="275">
        <v>36129</v>
      </c>
      <c r="C28" s="394" t="s">
        <v>886</v>
      </c>
      <c r="D28" s="394"/>
      <c r="E28" s="28">
        <v>32</v>
      </c>
      <c r="F28" s="28">
        <v>1</v>
      </c>
      <c r="G28" s="65">
        <v>11</v>
      </c>
      <c r="H28" s="28">
        <v>3</v>
      </c>
      <c r="I28" s="28">
        <v>6</v>
      </c>
      <c r="J28" s="72">
        <v>20</v>
      </c>
      <c r="K28" s="46">
        <f t="shared" si="1"/>
        <v>55.000000000000007</v>
      </c>
      <c r="L28" s="46">
        <f t="shared" si="4"/>
        <v>15</v>
      </c>
      <c r="M28" s="46">
        <f t="shared" si="2"/>
        <v>30</v>
      </c>
      <c r="N28" s="67">
        <f t="shared" si="3"/>
        <v>100</v>
      </c>
      <c r="O28" s="45">
        <v>36.700000000000003</v>
      </c>
      <c r="P28" s="46">
        <v>10</v>
      </c>
      <c r="Q28" s="46">
        <v>15.3</v>
      </c>
      <c r="R28" s="47">
        <f t="shared" si="0"/>
        <v>62</v>
      </c>
      <c r="S28" s="28">
        <v>3</v>
      </c>
      <c r="T28" s="284">
        <v>36069</v>
      </c>
      <c r="U28" s="275">
        <v>36129</v>
      </c>
      <c r="V28" s="37" t="s">
        <v>884</v>
      </c>
      <c r="W28" s="28" t="s">
        <v>306</v>
      </c>
      <c r="X28" s="28" t="s">
        <v>11</v>
      </c>
      <c r="Y28" s="38">
        <v>28</v>
      </c>
      <c r="Z28" s="28" t="s">
        <v>882</v>
      </c>
      <c r="AA28" s="28" t="s">
        <v>115</v>
      </c>
      <c r="AB28" s="28" t="s">
        <v>12</v>
      </c>
      <c r="AC28" s="28">
        <v>15.3</v>
      </c>
      <c r="AD28" s="37" t="s">
        <v>891</v>
      </c>
      <c r="AE28" s="28" t="s">
        <v>93</v>
      </c>
      <c r="AF28" s="28" t="s">
        <v>18</v>
      </c>
      <c r="AG28" s="38">
        <v>10</v>
      </c>
      <c r="AH28" s="28" t="s">
        <v>888</v>
      </c>
      <c r="AI28" s="28" t="s">
        <v>892</v>
      </c>
      <c r="AJ28" s="28" t="s">
        <v>11</v>
      </c>
      <c r="AK28" s="28">
        <v>8.6999999999999993</v>
      </c>
      <c r="AL28" s="37"/>
      <c r="AO28" s="38"/>
      <c r="AP28" s="37"/>
      <c r="AS28" s="38"/>
      <c r="AW28" s="38"/>
      <c r="BA28" s="39"/>
    </row>
    <row r="29" spans="1:53" s="28" customFormat="1" x14ac:dyDescent="0.15">
      <c r="A29" s="28">
        <v>1999</v>
      </c>
      <c r="B29" s="275"/>
      <c r="C29" s="394" t="s">
        <v>886</v>
      </c>
      <c r="D29" s="394"/>
      <c r="E29" s="28">
        <v>0</v>
      </c>
      <c r="G29" s="65">
        <v>11</v>
      </c>
      <c r="H29" s="28">
        <v>3</v>
      </c>
      <c r="I29" s="28">
        <v>6</v>
      </c>
      <c r="J29" s="72">
        <v>20</v>
      </c>
      <c r="K29" s="46">
        <f t="shared" si="1"/>
        <v>55.000000000000007</v>
      </c>
      <c r="L29" s="46">
        <f t="shared" si="4"/>
        <v>15</v>
      </c>
      <c r="M29" s="46">
        <f t="shared" si="2"/>
        <v>30</v>
      </c>
      <c r="N29" s="67">
        <f t="shared" si="3"/>
        <v>100</v>
      </c>
      <c r="O29" s="45">
        <v>36.700000000000003</v>
      </c>
      <c r="P29" s="46">
        <v>10</v>
      </c>
      <c r="Q29" s="46">
        <v>15.3</v>
      </c>
      <c r="R29" s="47">
        <f t="shared" si="0"/>
        <v>62</v>
      </c>
      <c r="S29" s="28">
        <v>3</v>
      </c>
      <c r="T29" s="284"/>
      <c r="U29" s="293"/>
      <c r="V29" s="37" t="s">
        <v>884</v>
      </c>
      <c r="W29" s="28" t="s">
        <v>306</v>
      </c>
      <c r="X29" s="28" t="s">
        <v>11</v>
      </c>
      <c r="Y29" s="38">
        <v>28</v>
      </c>
      <c r="Z29" s="28" t="s">
        <v>882</v>
      </c>
      <c r="AA29" s="28" t="s">
        <v>115</v>
      </c>
      <c r="AB29" s="28" t="s">
        <v>12</v>
      </c>
      <c r="AC29" s="28">
        <v>15.3</v>
      </c>
      <c r="AD29" s="37" t="s">
        <v>891</v>
      </c>
      <c r="AE29" s="28" t="s">
        <v>93</v>
      </c>
      <c r="AF29" s="28" t="s">
        <v>18</v>
      </c>
      <c r="AG29" s="38">
        <v>10</v>
      </c>
      <c r="AH29" s="28" t="s">
        <v>888</v>
      </c>
      <c r="AI29" s="28" t="s">
        <v>892</v>
      </c>
      <c r="AJ29" s="28" t="s">
        <v>11</v>
      </c>
      <c r="AK29" s="28">
        <v>8.6999999999999993</v>
      </c>
      <c r="AL29" s="37"/>
      <c r="AO29" s="38"/>
      <c r="AP29" s="37"/>
      <c r="AS29" s="38"/>
      <c r="AW29" s="38"/>
      <c r="BA29" s="39"/>
    </row>
    <row r="30" spans="1:53" s="28" customFormat="1" x14ac:dyDescent="0.15">
      <c r="A30" s="28">
        <v>1999</v>
      </c>
      <c r="B30" s="275"/>
      <c r="C30" s="394" t="s">
        <v>886</v>
      </c>
      <c r="D30" s="394"/>
      <c r="E30" s="28">
        <v>365</v>
      </c>
      <c r="G30" s="65">
        <v>11</v>
      </c>
      <c r="H30" s="28">
        <v>3</v>
      </c>
      <c r="I30" s="28">
        <v>6</v>
      </c>
      <c r="J30" s="72">
        <v>20</v>
      </c>
      <c r="K30" s="46">
        <f t="shared" si="1"/>
        <v>55.000000000000007</v>
      </c>
      <c r="L30" s="46">
        <f t="shared" si="4"/>
        <v>15</v>
      </c>
      <c r="M30" s="46">
        <f t="shared" si="2"/>
        <v>30</v>
      </c>
      <c r="N30" s="67">
        <f t="shared" si="3"/>
        <v>100</v>
      </c>
      <c r="O30" s="45">
        <v>36.700000000000003</v>
      </c>
      <c r="P30" s="46">
        <v>10</v>
      </c>
      <c r="Q30" s="46">
        <v>15.3</v>
      </c>
      <c r="R30" s="47">
        <f t="shared" si="0"/>
        <v>62</v>
      </c>
      <c r="S30" s="28">
        <v>3</v>
      </c>
      <c r="T30" s="284"/>
      <c r="U30" s="293"/>
      <c r="V30" s="37" t="s">
        <v>884</v>
      </c>
      <c r="W30" s="28" t="s">
        <v>306</v>
      </c>
      <c r="X30" s="28" t="s">
        <v>11</v>
      </c>
      <c r="Y30" s="38">
        <v>28</v>
      </c>
      <c r="Z30" s="28" t="s">
        <v>882</v>
      </c>
      <c r="AA30" s="28" t="s">
        <v>115</v>
      </c>
      <c r="AB30" s="28" t="s">
        <v>12</v>
      </c>
      <c r="AC30" s="28">
        <v>15.3</v>
      </c>
      <c r="AD30" s="37" t="s">
        <v>891</v>
      </c>
      <c r="AE30" s="28" t="s">
        <v>93</v>
      </c>
      <c r="AF30" s="28" t="s">
        <v>18</v>
      </c>
      <c r="AG30" s="38">
        <v>10</v>
      </c>
      <c r="AH30" s="28" t="s">
        <v>888</v>
      </c>
      <c r="AI30" s="28" t="s">
        <v>892</v>
      </c>
      <c r="AJ30" s="28" t="s">
        <v>11</v>
      </c>
      <c r="AK30" s="28">
        <v>8.6999999999999993</v>
      </c>
      <c r="AL30" s="37"/>
      <c r="AO30" s="38"/>
      <c r="AP30" s="37"/>
      <c r="AS30" s="38"/>
      <c r="AW30" s="38"/>
      <c r="BA30" s="39"/>
    </row>
    <row r="31" spans="1:53" s="28" customFormat="1" x14ac:dyDescent="0.15">
      <c r="A31" s="28">
        <v>2000</v>
      </c>
      <c r="B31" s="275"/>
      <c r="C31" s="394" t="s">
        <v>886</v>
      </c>
      <c r="D31" s="394"/>
      <c r="E31" s="28">
        <v>0</v>
      </c>
      <c r="G31" s="65">
        <v>11</v>
      </c>
      <c r="H31" s="28">
        <v>3</v>
      </c>
      <c r="I31" s="28">
        <v>6</v>
      </c>
      <c r="J31" s="72">
        <v>20</v>
      </c>
      <c r="K31" s="46">
        <f t="shared" si="1"/>
        <v>55.000000000000007</v>
      </c>
      <c r="L31" s="46">
        <f t="shared" si="4"/>
        <v>15</v>
      </c>
      <c r="M31" s="46">
        <f t="shared" si="2"/>
        <v>30</v>
      </c>
      <c r="N31" s="67">
        <f t="shared" si="3"/>
        <v>100</v>
      </c>
      <c r="O31" s="45">
        <v>36.700000000000003</v>
      </c>
      <c r="P31" s="46">
        <v>10</v>
      </c>
      <c r="Q31" s="46">
        <v>15.3</v>
      </c>
      <c r="R31" s="47">
        <f t="shared" si="0"/>
        <v>62</v>
      </c>
      <c r="S31" s="28">
        <v>3</v>
      </c>
      <c r="T31" s="284"/>
      <c r="U31" s="293"/>
      <c r="V31" s="37" t="s">
        <v>884</v>
      </c>
      <c r="W31" s="28" t="s">
        <v>306</v>
      </c>
      <c r="X31" s="28" t="s">
        <v>11</v>
      </c>
      <c r="Y31" s="38">
        <v>28</v>
      </c>
      <c r="Z31" s="28" t="s">
        <v>882</v>
      </c>
      <c r="AA31" s="28" t="s">
        <v>115</v>
      </c>
      <c r="AB31" s="28" t="s">
        <v>12</v>
      </c>
      <c r="AC31" s="28">
        <v>15.3</v>
      </c>
      <c r="AD31" s="37" t="s">
        <v>891</v>
      </c>
      <c r="AE31" s="28" t="s">
        <v>93</v>
      </c>
      <c r="AF31" s="28" t="s">
        <v>18</v>
      </c>
      <c r="AG31" s="38">
        <v>10</v>
      </c>
      <c r="AH31" s="28" t="s">
        <v>888</v>
      </c>
      <c r="AI31" s="28" t="s">
        <v>892</v>
      </c>
      <c r="AJ31" s="28" t="s">
        <v>11</v>
      </c>
      <c r="AK31" s="28">
        <v>8.6999999999999993</v>
      </c>
      <c r="AL31" s="37"/>
      <c r="AO31" s="38"/>
      <c r="AP31" s="37"/>
      <c r="AS31" s="38"/>
      <c r="AW31" s="38"/>
      <c r="BA31" s="39"/>
    </row>
    <row r="32" spans="1:53" s="28" customFormat="1" x14ac:dyDescent="0.15">
      <c r="A32" s="28">
        <v>2000</v>
      </c>
      <c r="B32" s="275"/>
      <c r="C32" s="394" t="s">
        <v>886</v>
      </c>
      <c r="D32" s="394"/>
      <c r="E32" s="28">
        <v>366</v>
      </c>
      <c r="G32" s="65">
        <v>11</v>
      </c>
      <c r="H32" s="28">
        <v>3</v>
      </c>
      <c r="I32" s="28">
        <v>6</v>
      </c>
      <c r="J32" s="72">
        <v>20</v>
      </c>
      <c r="K32" s="46">
        <f t="shared" si="1"/>
        <v>55.000000000000007</v>
      </c>
      <c r="L32" s="46">
        <f t="shared" si="4"/>
        <v>15</v>
      </c>
      <c r="M32" s="46">
        <f t="shared" si="2"/>
        <v>30</v>
      </c>
      <c r="N32" s="67">
        <f t="shared" si="3"/>
        <v>100</v>
      </c>
      <c r="O32" s="45">
        <v>36.700000000000003</v>
      </c>
      <c r="P32" s="46">
        <v>10</v>
      </c>
      <c r="Q32" s="46">
        <v>15.3</v>
      </c>
      <c r="R32" s="47">
        <f t="shared" si="0"/>
        <v>62</v>
      </c>
      <c r="S32" s="28">
        <v>3</v>
      </c>
      <c r="T32" s="284"/>
      <c r="U32" s="293"/>
      <c r="V32" s="37" t="s">
        <v>884</v>
      </c>
      <c r="W32" s="28" t="s">
        <v>306</v>
      </c>
      <c r="X32" s="28" t="s">
        <v>11</v>
      </c>
      <c r="Y32" s="38">
        <v>28</v>
      </c>
      <c r="Z32" s="28" t="s">
        <v>882</v>
      </c>
      <c r="AA32" s="28" t="s">
        <v>115</v>
      </c>
      <c r="AB32" s="28" t="s">
        <v>12</v>
      </c>
      <c r="AC32" s="28">
        <v>15.3</v>
      </c>
      <c r="AD32" s="37" t="s">
        <v>891</v>
      </c>
      <c r="AE32" s="28" t="s">
        <v>93</v>
      </c>
      <c r="AF32" s="28" t="s">
        <v>18</v>
      </c>
      <c r="AG32" s="38">
        <v>10</v>
      </c>
      <c r="AH32" s="28" t="s">
        <v>888</v>
      </c>
      <c r="AI32" s="28" t="s">
        <v>892</v>
      </c>
      <c r="AJ32" s="28" t="s">
        <v>11</v>
      </c>
      <c r="AK32" s="28">
        <v>8.6999999999999993</v>
      </c>
      <c r="AL32" s="37"/>
      <c r="AO32" s="38"/>
      <c r="AP32" s="37"/>
      <c r="AS32" s="38"/>
      <c r="AW32" s="38"/>
      <c r="BA32" s="39"/>
    </row>
    <row r="33" spans="1:53" s="28" customFormat="1" x14ac:dyDescent="0.15">
      <c r="A33" s="28">
        <v>2001</v>
      </c>
      <c r="B33" s="275"/>
      <c r="C33" s="394" t="s">
        <v>886</v>
      </c>
      <c r="D33" s="394"/>
      <c r="E33" s="28">
        <v>0</v>
      </c>
      <c r="G33" s="65">
        <v>11</v>
      </c>
      <c r="H33" s="28">
        <v>3</v>
      </c>
      <c r="I33" s="28">
        <v>6</v>
      </c>
      <c r="J33" s="72">
        <v>20</v>
      </c>
      <c r="K33" s="46">
        <f t="shared" si="1"/>
        <v>55.000000000000007</v>
      </c>
      <c r="L33" s="46">
        <f t="shared" si="4"/>
        <v>15</v>
      </c>
      <c r="M33" s="46">
        <f t="shared" si="2"/>
        <v>30</v>
      </c>
      <c r="N33" s="67">
        <f t="shared" si="3"/>
        <v>100</v>
      </c>
      <c r="O33" s="45">
        <v>36.700000000000003</v>
      </c>
      <c r="P33" s="46">
        <v>10</v>
      </c>
      <c r="Q33" s="46">
        <v>15.3</v>
      </c>
      <c r="R33" s="47">
        <f t="shared" si="0"/>
        <v>62</v>
      </c>
      <c r="S33" s="28">
        <v>3</v>
      </c>
      <c r="T33" s="284"/>
      <c r="U33" s="293"/>
      <c r="V33" s="37" t="s">
        <v>884</v>
      </c>
      <c r="W33" s="28" t="s">
        <v>306</v>
      </c>
      <c r="X33" s="28" t="s">
        <v>11</v>
      </c>
      <c r="Y33" s="38">
        <v>28</v>
      </c>
      <c r="Z33" s="28" t="s">
        <v>882</v>
      </c>
      <c r="AA33" s="28" t="s">
        <v>115</v>
      </c>
      <c r="AB33" s="28" t="s">
        <v>12</v>
      </c>
      <c r="AC33" s="28">
        <v>15.3</v>
      </c>
      <c r="AD33" s="37" t="s">
        <v>891</v>
      </c>
      <c r="AE33" s="28" t="s">
        <v>93</v>
      </c>
      <c r="AF33" s="28" t="s">
        <v>18</v>
      </c>
      <c r="AG33" s="38">
        <v>10</v>
      </c>
      <c r="AH33" s="28" t="s">
        <v>888</v>
      </c>
      <c r="AI33" s="28" t="s">
        <v>892</v>
      </c>
      <c r="AJ33" s="28" t="s">
        <v>11</v>
      </c>
      <c r="AK33" s="28">
        <v>8.6999999999999993</v>
      </c>
      <c r="AL33" s="37"/>
      <c r="AO33" s="38"/>
      <c r="AP33" s="37"/>
      <c r="AS33" s="38"/>
      <c r="AW33" s="38"/>
      <c r="BA33" s="39"/>
    </row>
    <row r="34" spans="1:53" s="28" customFormat="1" x14ac:dyDescent="0.15">
      <c r="A34" s="28">
        <v>2001</v>
      </c>
      <c r="B34" s="275"/>
      <c r="C34" s="394" t="s">
        <v>886</v>
      </c>
      <c r="D34" s="394"/>
      <c r="E34" s="28">
        <v>365</v>
      </c>
      <c r="G34" s="65">
        <v>11</v>
      </c>
      <c r="H34" s="28">
        <v>3</v>
      </c>
      <c r="I34" s="28">
        <v>6</v>
      </c>
      <c r="J34" s="72">
        <v>20</v>
      </c>
      <c r="K34" s="46">
        <f t="shared" si="1"/>
        <v>55.000000000000007</v>
      </c>
      <c r="L34" s="46">
        <f t="shared" si="4"/>
        <v>15</v>
      </c>
      <c r="M34" s="46">
        <f t="shared" si="2"/>
        <v>30</v>
      </c>
      <c r="N34" s="67">
        <f t="shared" si="3"/>
        <v>100</v>
      </c>
      <c r="O34" s="45">
        <v>36.700000000000003</v>
      </c>
      <c r="P34" s="46">
        <v>10</v>
      </c>
      <c r="Q34" s="46">
        <v>15.3</v>
      </c>
      <c r="R34" s="47">
        <f t="shared" si="0"/>
        <v>62</v>
      </c>
      <c r="S34" s="28">
        <v>3</v>
      </c>
      <c r="T34" s="284"/>
      <c r="U34" s="293"/>
      <c r="V34" s="37" t="s">
        <v>884</v>
      </c>
      <c r="W34" s="28" t="s">
        <v>306</v>
      </c>
      <c r="X34" s="28" t="s">
        <v>11</v>
      </c>
      <c r="Y34" s="38">
        <v>28</v>
      </c>
      <c r="Z34" s="28" t="s">
        <v>882</v>
      </c>
      <c r="AA34" s="28" t="s">
        <v>115</v>
      </c>
      <c r="AB34" s="28" t="s">
        <v>12</v>
      </c>
      <c r="AC34" s="28">
        <v>15.3</v>
      </c>
      <c r="AD34" s="37" t="s">
        <v>891</v>
      </c>
      <c r="AE34" s="28" t="s">
        <v>93</v>
      </c>
      <c r="AF34" s="28" t="s">
        <v>18</v>
      </c>
      <c r="AG34" s="38">
        <v>10</v>
      </c>
      <c r="AH34" s="28" t="s">
        <v>888</v>
      </c>
      <c r="AI34" s="28" t="s">
        <v>892</v>
      </c>
      <c r="AJ34" s="28" t="s">
        <v>11</v>
      </c>
      <c r="AK34" s="28">
        <v>8.6999999999999993</v>
      </c>
      <c r="AL34" s="37"/>
      <c r="AO34" s="38"/>
      <c r="AP34" s="37"/>
      <c r="AS34" s="38"/>
      <c r="AW34" s="38"/>
      <c r="BA34" s="39"/>
    </row>
    <row r="35" spans="1:53" s="28" customFormat="1" x14ac:dyDescent="0.15">
      <c r="A35" s="28">
        <v>2002</v>
      </c>
      <c r="B35" s="275"/>
      <c r="C35" s="394" t="s">
        <v>886</v>
      </c>
      <c r="D35" s="394"/>
      <c r="E35" s="28">
        <v>319</v>
      </c>
      <c r="G35" s="65">
        <v>11</v>
      </c>
      <c r="H35" s="28">
        <v>3</v>
      </c>
      <c r="I35" s="28">
        <v>6</v>
      </c>
      <c r="J35" s="72">
        <v>20</v>
      </c>
      <c r="K35" s="46">
        <f t="shared" si="1"/>
        <v>55.000000000000007</v>
      </c>
      <c r="L35" s="46">
        <f t="shared" si="4"/>
        <v>15</v>
      </c>
      <c r="M35" s="46">
        <f t="shared" si="2"/>
        <v>30</v>
      </c>
      <c r="N35" s="67">
        <f t="shared" si="3"/>
        <v>100</v>
      </c>
      <c r="O35" s="45">
        <v>36.700000000000003</v>
      </c>
      <c r="P35" s="46">
        <v>10</v>
      </c>
      <c r="Q35" s="46">
        <v>15.3</v>
      </c>
      <c r="R35" s="47">
        <f t="shared" si="0"/>
        <v>62</v>
      </c>
      <c r="S35" s="28">
        <v>3</v>
      </c>
      <c r="T35" s="284"/>
      <c r="U35" s="293"/>
      <c r="V35" s="37" t="s">
        <v>884</v>
      </c>
      <c r="W35" s="28" t="s">
        <v>306</v>
      </c>
      <c r="X35" s="28" t="s">
        <v>11</v>
      </c>
      <c r="Y35" s="38">
        <v>28</v>
      </c>
      <c r="Z35" s="28" t="s">
        <v>882</v>
      </c>
      <c r="AA35" s="28" t="s">
        <v>115</v>
      </c>
      <c r="AB35" s="28" t="s">
        <v>12</v>
      </c>
      <c r="AC35" s="28">
        <v>15.3</v>
      </c>
      <c r="AD35" s="37" t="s">
        <v>891</v>
      </c>
      <c r="AE35" s="28" t="s">
        <v>93</v>
      </c>
      <c r="AF35" s="28" t="s">
        <v>18</v>
      </c>
      <c r="AG35" s="38">
        <v>10</v>
      </c>
      <c r="AH35" s="28" t="s">
        <v>888</v>
      </c>
      <c r="AI35" s="28" t="s">
        <v>892</v>
      </c>
      <c r="AJ35" s="28" t="s">
        <v>11</v>
      </c>
      <c r="AK35" s="28">
        <v>8.6999999999999993</v>
      </c>
      <c r="AL35" s="37"/>
      <c r="AO35" s="38"/>
      <c r="AP35" s="37"/>
      <c r="AS35" s="38"/>
      <c r="AW35" s="38"/>
      <c r="BA35" s="39"/>
    </row>
    <row r="36" spans="1:53" s="170" customFormat="1" x14ac:dyDescent="0.15">
      <c r="A36" s="170">
        <v>2002</v>
      </c>
      <c r="B36" s="304">
        <v>37576</v>
      </c>
      <c r="C36" s="395" t="s">
        <v>1204</v>
      </c>
      <c r="D36" s="395"/>
      <c r="E36" s="170">
        <f>365-E35</f>
        <v>46</v>
      </c>
      <c r="F36" s="170">
        <v>1</v>
      </c>
      <c r="G36" s="232">
        <v>3</v>
      </c>
      <c r="H36" s="170">
        <v>13</v>
      </c>
      <c r="J36" s="240">
        <v>16</v>
      </c>
      <c r="K36" s="213">
        <f t="shared" si="1"/>
        <v>18.75</v>
      </c>
      <c r="L36" s="213">
        <f t="shared" si="4"/>
        <v>81.25</v>
      </c>
      <c r="M36" s="213">
        <f t="shared" si="2"/>
        <v>0</v>
      </c>
      <c r="N36" s="234">
        <f t="shared" si="3"/>
        <v>100</v>
      </c>
      <c r="O36" s="212">
        <v>10</v>
      </c>
      <c r="P36" s="213">
        <v>42</v>
      </c>
      <c r="Q36" s="213"/>
      <c r="R36" s="214">
        <f t="shared" si="0"/>
        <v>52</v>
      </c>
      <c r="S36" s="170">
        <v>2</v>
      </c>
      <c r="T36" s="283">
        <v>37520</v>
      </c>
      <c r="U36" s="304">
        <v>37576</v>
      </c>
      <c r="V36" s="177" t="s">
        <v>889</v>
      </c>
      <c r="W36" s="170" t="s">
        <v>81</v>
      </c>
      <c r="X36" s="170" t="s">
        <v>18</v>
      </c>
      <c r="Y36" s="178">
        <v>18.7</v>
      </c>
      <c r="Z36" s="170" t="s">
        <v>891</v>
      </c>
      <c r="AA36" s="170" t="s">
        <v>93</v>
      </c>
      <c r="AB36" s="170" t="s">
        <v>18</v>
      </c>
      <c r="AC36" s="170">
        <v>13.3</v>
      </c>
      <c r="AD36" s="177" t="s">
        <v>883</v>
      </c>
      <c r="AE36" s="170" t="s">
        <v>17</v>
      </c>
      <c r="AF36" s="170" t="s">
        <v>18</v>
      </c>
      <c r="AG36" s="178">
        <v>10</v>
      </c>
      <c r="AH36" s="170" t="s">
        <v>890</v>
      </c>
      <c r="AI36" s="170" t="s">
        <v>893</v>
      </c>
      <c r="AJ36" s="170" t="s">
        <v>11</v>
      </c>
      <c r="AK36" s="170">
        <v>10</v>
      </c>
      <c r="AL36" s="177"/>
      <c r="AO36" s="178"/>
      <c r="AP36" s="177"/>
      <c r="AS36" s="178"/>
      <c r="AW36" s="178"/>
      <c r="BA36" s="179"/>
    </row>
    <row r="37" spans="1:53" s="170" customFormat="1" x14ac:dyDescent="0.15">
      <c r="A37" s="170">
        <v>2003</v>
      </c>
      <c r="B37" s="304"/>
      <c r="C37" s="395" t="s">
        <v>1204</v>
      </c>
      <c r="D37" s="395"/>
      <c r="E37" s="170">
        <v>0</v>
      </c>
      <c r="G37" s="232">
        <v>3</v>
      </c>
      <c r="H37" s="170">
        <v>13</v>
      </c>
      <c r="J37" s="240">
        <v>16</v>
      </c>
      <c r="K37" s="213">
        <f t="shared" si="1"/>
        <v>18.75</v>
      </c>
      <c r="L37" s="213">
        <f t="shared" si="4"/>
        <v>81.25</v>
      </c>
      <c r="M37" s="213">
        <f t="shared" si="2"/>
        <v>0</v>
      </c>
      <c r="N37" s="234">
        <f t="shared" si="3"/>
        <v>100</v>
      </c>
      <c r="O37" s="212">
        <v>10</v>
      </c>
      <c r="P37" s="213">
        <v>42</v>
      </c>
      <c r="Q37" s="213"/>
      <c r="R37" s="214">
        <f t="shared" si="0"/>
        <v>52</v>
      </c>
      <c r="S37" s="170">
        <v>2</v>
      </c>
      <c r="T37" s="283"/>
      <c r="U37" s="281"/>
      <c r="V37" s="177" t="s">
        <v>889</v>
      </c>
      <c r="W37" s="170" t="s">
        <v>81</v>
      </c>
      <c r="X37" s="170" t="s">
        <v>18</v>
      </c>
      <c r="Y37" s="178">
        <v>18.7</v>
      </c>
      <c r="Z37" s="170" t="s">
        <v>891</v>
      </c>
      <c r="AA37" s="170" t="s">
        <v>93</v>
      </c>
      <c r="AB37" s="170" t="s">
        <v>18</v>
      </c>
      <c r="AC37" s="170">
        <v>13.3</v>
      </c>
      <c r="AD37" s="177" t="s">
        <v>883</v>
      </c>
      <c r="AE37" s="170" t="s">
        <v>17</v>
      </c>
      <c r="AF37" s="170" t="s">
        <v>18</v>
      </c>
      <c r="AG37" s="178">
        <v>10</v>
      </c>
      <c r="AH37" s="170" t="s">
        <v>890</v>
      </c>
      <c r="AI37" s="170" t="s">
        <v>893</v>
      </c>
      <c r="AJ37" s="170" t="s">
        <v>11</v>
      </c>
      <c r="AK37" s="170">
        <v>10</v>
      </c>
      <c r="AL37" s="177"/>
      <c r="AO37" s="178"/>
      <c r="AP37" s="177"/>
      <c r="AS37" s="178"/>
      <c r="AW37" s="178"/>
      <c r="BA37" s="179"/>
    </row>
    <row r="38" spans="1:53" s="170" customFormat="1" x14ac:dyDescent="0.15">
      <c r="A38" s="170">
        <v>2003</v>
      </c>
      <c r="B38" s="304"/>
      <c r="C38" s="395" t="s">
        <v>1204</v>
      </c>
      <c r="D38" s="395"/>
      <c r="E38" s="170">
        <v>365</v>
      </c>
      <c r="G38" s="232">
        <v>3</v>
      </c>
      <c r="H38" s="170">
        <v>13</v>
      </c>
      <c r="J38" s="240">
        <v>16</v>
      </c>
      <c r="K38" s="213">
        <f t="shared" si="1"/>
        <v>18.75</v>
      </c>
      <c r="L38" s="213">
        <f t="shared" si="4"/>
        <v>81.25</v>
      </c>
      <c r="M38" s="213">
        <f t="shared" si="2"/>
        <v>0</v>
      </c>
      <c r="N38" s="234">
        <f t="shared" si="3"/>
        <v>100</v>
      </c>
      <c r="O38" s="212">
        <v>10</v>
      </c>
      <c r="P38" s="213">
        <v>42</v>
      </c>
      <c r="Q38" s="213"/>
      <c r="R38" s="214">
        <f t="shared" si="0"/>
        <v>52</v>
      </c>
      <c r="S38" s="170">
        <v>2</v>
      </c>
      <c r="T38" s="283"/>
      <c r="U38" s="281"/>
      <c r="V38" s="177" t="s">
        <v>889</v>
      </c>
      <c r="W38" s="170" t="s">
        <v>81</v>
      </c>
      <c r="X38" s="170" t="s">
        <v>18</v>
      </c>
      <c r="Y38" s="178">
        <v>18.7</v>
      </c>
      <c r="Z38" s="170" t="s">
        <v>891</v>
      </c>
      <c r="AA38" s="170" t="s">
        <v>93</v>
      </c>
      <c r="AB38" s="170" t="s">
        <v>18</v>
      </c>
      <c r="AC38" s="170">
        <v>13.3</v>
      </c>
      <c r="AD38" s="177" t="s">
        <v>883</v>
      </c>
      <c r="AE38" s="170" t="s">
        <v>17</v>
      </c>
      <c r="AF38" s="170" t="s">
        <v>18</v>
      </c>
      <c r="AG38" s="178">
        <v>10</v>
      </c>
      <c r="AH38" s="170" t="s">
        <v>890</v>
      </c>
      <c r="AI38" s="170" t="s">
        <v>893</v>
      </c>
      <c r="AJ38" s="170" t="s">
        <v>11</v>
      </c>
      <c r="AK38" s="170">
        <v>10</v>
      </c>
      <c r="AL38" s="177"/>
      <c r="AO38" s="178"/>
      <c r="AP38" s="177"/>
      <c r="AS38" s="178"/>
      <c r="AW38" s="178"/>
      <c r="BA38" s="179"/>
    </row>
    <row r="39" spans="1:53" s="170" customFormat="1" x14ac:dyDescent="0.15">
      <c r="A39" s="170">
        <v>2004</v>
      </c>
      <c r="B39" s="304"/>
      <c r="C39" s="395" t="s">
        <v>1204</v>
      </c>
      <c r="D39" s="395"/>
      <c r="E39" s="170">
        <v>0</v>
      </c>
      <c r="G39" s="232">
        <v>3</v>
      </c>
      <c r="H39" s="170">
        <v>13</v>
      </c>
      <c r="J39" s="240">
        <v>16</v>
      </c>
      <c r="K39" s="213">
        <f t="shared" si="1"/>
        <v>18.75</v>
      </c>
      <c r="L39" s="213">
        <f t="shared" si="4"/>
        <v>81.25</v>
      </c>
      <c r="M39" s="213">
        <f t="shared" si="2"/>
        <v>0</v>
      </c>
      <c r="N39" s="234">
        <f t="shared" si="3"/>
        <v>100</v>
      </c>
      <c r="O39" s="212">
        <v>10</v>
      </c>
      <c r="P39" s="213">
        <v>42</v>
      </c>
      <c r="Q39" s="213"/>
      <c r="R39" s="214">
        <f t="shared" si="0"/>
        <v>52</v>
      </c>
      <c r="S39" s="170">
        <v>2</v>
      </c>
      <c r="T39" s="283"/>
      <c r="U39" s="281"/>
      <c r="V39" s="177" t="s">
        <v>889</v>
      </c>
      <c r="W39" s="170" t="s">
        <v>81</v>
      </c>
      <c r="X39" s="170" t="s">
        <v>18</v>
      </c>
      <c r="Y39" s="178">
        <v>18.7</v>
      </c>
      <c r="Z39" s="170" t="s">
        <v>891</v>
      </c>
      <c r="AA39" s="170" t="s">
        <v>93</v>
      </c>
      <c r="AB39" s="170" t="s">
        <v>18</v>
      </c>
      <c r="AC39" s="170">
        <v>13.3</v>
      </c>
      <c r="AD39" s="177" t="s">
        <v>883</v>
      </c>
      <c r="AE39" s="170" t="s">
        <v>17</v>
      </c>
      <c r="AF39" s="170" t="s">
        <v>18</v>
      </c>
      <c r="AG39" s="178">
        <v>10</v>
      </c>
      <c r="AH39" s="170" t="s">
        <v>890</v>
      </c>
      <c r="AI39" s="170" t="s">
        <v>893</v>
      </c>
      <c r="AJ39" s="170" t="s">
        <v>11</v>
      </c>
      <c r="AK39" s="170">
        <v>10</v>
      </c>
      <c r="AL39" s="177"/>
      <c r="AO39" s="178"/>
      <c r="AP39" s="177"/>
      <c r="AS39" s="178"/>
      <c r="AW39" s="178"/>
      <c r="BA39" s="179"/>
    </row>
    <row r="40" spans="1:53" s="170" customFormat="1" x14ac:dyDescent="0.15">
      <c r="A40" s="170">
        <v>2004</v>
      </c>
      <c r="B40" s="304"/>
      <c r="C40" s="395" t="s">
        <v>1204</v>
      </c>
      <c r="D40" s="395"/>
      <c r="E40" s="170">
        <v>366</v>
      </c>
      <c r="G40" s="232">
        <v>3</v>
      </c>
      <c r="H40" s="170">
        <v>13</v>
      </c>
      <c r="J40" s="240">
        <v>16</v>
      </c>
      <c r="K40" s="213">
        <f t="shared" si="1"/>
        <v>18.75</v>
      </c>
      <c r="L40" s="213">
        <f t="shared" si="4"/>
        <v>81.25</v>
      </c>
      <c r="M40" s="213">
        <f t="shared" si="2"/>
        <v>0</v>
      </c>
      <c r="N40" s="234">
        <f t="shared" si="3"/>
        <v>100</v>
      </c>
      <c r="O40" s="212">
        <v>10</v>
      </c>
      <c r="P40" s="213">
        <v>42</v>
      </c>
      <c r="Q40" s="213"/>
      <c r="R40" s="214">
        <f t="shared" si="0"/>
        <v>52</v>
      </c>
      <c r="S40" s="170">
        <v>2</v>
      </c>
      <c r="T40" s="283"/>
      <c r="U40" s="281"/>
      <c r="V40" s="177" t="s">
        <v>889</v>
      </c>
      <c r="W40" s="170" t="s">
        <v>81</v>
      </c>
      <c r="X40" s="170" t="s">
        <v>18</v>
      </c>
      <c r="Y40" s="178">
        <v>18.7</v>
      </c>
      <c r="Z40" s="170" t="s">
        <v>891</v>
      </c>
      <c r="AA40" s="170" t="s">
        <v>93</v>
      </c>
      <c r="AB40" s="170" t="s">
        <v>18</v>
      </c>
      <c r="AC40" s="170">
        <v>13.3</v>
      </c>
      <c r="AD40" s="177" t="s">
        <v>883</v>
      </c>
      <c r="AE40" s="170" t="s">
        <v>17</v>
      </c>
      <c r="AF40" s="170" t="s">
        <v>18</v>
      </c>
      <c r="AG40" s="178">
        <v>10</v>
      </c>
      <c r="AH40" s="170" t="s">
        <v>890</v>
      </c>
      <c r="AI40" s="170" t="s">
        <v>893</v>
      </c>
      <c r="AJ40" s="170" t="s">
        <v>11</v>
      </c>
      <c r="AK40" s="170">
        <v>10</v>
      </c>
      <c r="AL40" s="177"/>
      <c r="AO40" s="178"/>
      <c r="AP40" s="177"/>
      <c r="AS40" s="178"/>
      <c r="AW40" s="178"/>
      <c r="BA40" s="179"/>
    </row>
    <row r="41" spans="1:53" s="170" customFormat="1" x14ac:dyDescent="0.15">
      <c r="A41" s="170">
        <v>2005</v>
      </c>
      <c r="B41" s="304"/>
      <c r="C41" s="395" t="s">
        <v>1204</v>
      </c>
      <c r="D41" s="395"/>
      <c r="E41" s="170">
        <v>0</v>
      </c>
      <c r="G41" s="232">
        <v>3</v>
      </c>
      <c r="H41" s="170">
        <v>13</v>
      </c>
      <c r="J41" s="240">
        <v>16</v>
      </c>
      <c r="K41" s="213">
        <f t="shared" si="1"/>
        <v>18.75</v>
      </c>
      <c r="L41" s="213">
        <f t="shared" si="4"/>
        <v>81.25</v>
      </c>
      <c r="M41" s="213">
        <f t="shared" si="2"/>
        <v>0</v>
      </c>
      <c r="N41" s="234">
        <f t="shared" si="3"/>
        <v>100</v>
      </c>
      <c r="O41" s="212">
        <v>10</v>
      </c>
      <c r="P41" s="213">
        <v>42</v>
      </c>
      <c r="Q41" s="213"/>
      <c r="R41" s="214">
        <f t="shared" si="0"/>
        <v>52</v>
      </c>
      <c r="S41" s="170">
        <v>2</v>
      </c>
      <c r="T41" s="283"/>
      <c r="U41" s="281"/>
      <c r="V41" s="177" t="s">
        <v>889</v>
      </c>
      <c r="W41" s="170" t="s">
        <v>81</v>
      </c>
      <c r="X41" s="170" t="s">
        <v>18</v>
      </c>
      <c r="Y41" s="178">
        <v>18.7</v>
      </c>
      <c r="Z41" s="170" t="s">
        <v>891</v>
      </c>
      <c r="AA41" s="170" t="s">
        <v>93</v>
      </c>
      <c r="AB41" s="170" t="s">
        <v>18</v>
      </c>
      <c r="AC41" s="170">
        <v>13.3</v>
      </c>
      <c r="AD41" s="177" t="s">
        <v>883</v>
      </c>
      <c r="AE41" s="170" t="s">
        <v>17</v>
      </c>
      <c r="AF41" s="170" t="s">
        <v>18</v>
      </c>
      <c r="AG41" s="178">
        <v>10</v>
      </c>
      <c r="AH41" s="170" t="s">
        <v>890</v>
      </c>
      <c r="AI41" s="170" t="s">
        <v>893</v>
      </c>
      <c r="AJ41" s="170" t="s">
        <v>11</v>
      </c>
      <c r="AK41" s="170">
        <v>10</v>
      </c>
      <c r="AL41" s="177"/>
      <c r="AO41" s="178"/>
      <c r="AP41" s="177"/>
      <c r="AS41" s="178"/>
      <c r="AW41" s="178"/>
      <c r="BA41" s="179"/>
    </row>
    <row r="42" spans="1:53" s="170" customFormat="1" x14ac:dyDescent="0.15">
      <c r="A42" s="170">
        <v>2005</v>
      </c>
      <c r="B42" s="304"/>
      <c r="C42" s="395" t="s">
        <v>1204</v>
      </c>
      <c r="D42" s="395"/>
      <c r="E42" s="170">
        <v>365</v>
      </c>
      <c r="G42" s="232">
        <v>3</v>
      </c>
      <c r="H42" s="170">
        <v>13</v>
      </c>
      <c r="J42" s="240">
        <v>16</v>
      </c>
      <c r="K42" s="213">
        <f t="shared" si="1"/>
        <v>18.75</v>
      </c>
      <c r="L42" s="213">
        <f t="shared" si="4"/>
        <v>81.25</v>
      </c>
      <c r="M42" s="213">
        <f t="shared" si="2"/>
        <v>0</v>
      </c>
      <c r="N42" s="234">
        <f t="shared" si="3"/>
        <v>100</v>
      </c>
      <c r="O42" s="212">
        <v>10</v>
      </c>
      <c r="P42" s="213">
        <v>42</v>
      </c>
      <c r="Q42" s="213"/>
      <c r="R42" s="214">
        <f t="shared" si="0"/>
        <v>52</v>
      </c>
      <c r="S42" s="170">
        <v>2</v>
      </c>
      <c r="T42" s="283"/>
      <c r="U42" s="281"/>
      <c r="V42" s="177" t="s">
        <v>889</v>
      </c>
      <c r="W42" s="170" t="s">
        <v>81</v>
      </c>
      <c r="X42" s="170" t="s">
        <v>18</v>
      </c>
      <c r="Y42" s="178">
        <v>18.7</v>
      </c>
      <c r="Z42" s="170" t="s">
        <v>891</v>
      </c>
      <c r="AA42" s="170" t="s">
        <v>93</v>
      </c>
      <c r="AB42" s="170" t="s">
        <v>18</v>
      </c>
      <c r="AC42" s="170">
        <v>13.3</v>
      </c>
      <c r="AD42" s="177" t="s">
        <v>883</v>
      </c>
      <c r="AE42" s="170" t="s">
        <v>17</v>
      </c>
      <c r="AF42" s="170" t="s">
        <v>18</v>
      </c>
      <c r="AG42" s="178">
        <v>10</v>
      </c>
      <c r="AH42" s="170" t="s">
        <v>890</v>
      </c>
      <c r="AI42" s="170" t="s">
        <v>893</v>
      </c>
      <c r="AJ42" s="170" t="s">
        <v>11</v>
      </c>
      <c r="AK42" s="170">
        <v>10</v>
      </c>
      <c r="AL42" s="177"/>
      <c r="AO42" s="178"/>
      <c r="AP42" s="177"/>
      <c r="AS42" s="178"/>
      <c r="AW42" s="178"/>
      <c r="BA42" s="179"/>
    </row>
    <row r="43" spans="1:53" s="170" customFormat="1" x14ac:dyDescent="0.15">
      <c r="A43" s="170">
        <v>2006</v>
      </c>
      <c r="B43" s="304"/>
      <c r="C43" s="395" t="s">
        <v>1204</v>
      </c>
      <c r="D43" s="395"/>
      <c r="E43" s="170">
        <v>38</v>
      </c>
      <c r="G43" s="232">
        <v>3</v>
      </c>
      <c r="H43" s="170">
        <v>13</v>
      </c>
      <c r="J43" s="240">
        <v>16</v>
      </c>
      <c r="K43" s="213">
        <f t="shared" si="1"/>
        <v>18.75</v>
      </c>
      <c r="L43" s="213">
        <f t="shared" si="4"/>
        <v>81.25</v>
      </c>
      <c r="M43" s="213">
        <f t="shared" si="2"/>
        <v>0</v>
      </c>
      <c r="N43" s="234">
        <f t="shared" si="3"/>
        <v>100</v>
      </c>
      <c r="O43" s="212">
        <v>10</v>
      </c>
      <c r="P43" s="213">
        <v>42</v>
      </c>
      <c r="Q43" s="213"/>
      <c r="R43" s="214">
        <f t="shared" si="0"/>
        <v>52</v>
      </c>
      <c r="S43" s="170">
        <v>2</v>
      </c>
      <c r="T43" s="283"/>
      <c r="U43" s="281"/>
      <c r="V43" s="177" t="s">
        <v>889</v>
      </c>
      <c r="W43" s="170" t="s">
        <v>81</v>
      </c>
      <c r="X43" s="170" t="s">
        <v>18</v>
      </c>
      <c r="Y43" s="178">
        <v>18.7</v>
      </c>
      <c r="Z43" s="170" t="s">
        <v>891</v>
      </c>
      <c r="AA43" s="170" t="s">
        <v>93</v>
      </c>
      <c r="AB43" s="170" t="s">
        <v>18</v>
      </c>
      <c r="AC43" s="170">
        <v>13.3</v>
      </c>
      <c r="AD43" s="177" t="s">
        <v>883</v>
      </c>
      <c r="AE43" s="170" t="s">
        <v>17</v>
      </c>
      <c r="AF43" s="170" t="s">
        <v>18</v>
      </c>
      <c r="AG43" s="178">
        <v>10</v>
      </c>
      <c r="AH43" s="170" t="s">
        <v>890</v>
      </c>
      <c r="AI43" s="170" t="s">
        <v>893</v>
      </c>
      <c r="AJ43" s="170" t="s">
        <v>11</v>
      </c>
      <c r="AK43" s="170">
        <v>10</v>
      </c>
      <c r="AL43" s="177"/>
      <c r="AO43" s="178"/>
      <c r="AP43" s="177"/>
      <c r="AS43" s="178"/>
      <c r="AW43" s="178"/>
      <c r="BA43" s="179"/>
    </row>
    <row r="44" spans="1:53" s="28" customFormat="1" x14ac:dyDescent="0.15">
      <c r="A44" s="28">
        <v>2006</v>
      </c>
      <c r="B44" s="275">
        <v>38756</v>
      </c>
      <c r="C44" s="394" t="s">
        <v>1206</v>
      </c>
      <c r="D44" s="394"/>
      <c r="E44" s="28">
        <v>50</v>
      </c>
      <c r="F44" s="28">
        <v>4</v>
      </c>
      <c r="G44" s="65">
        <v>3</v>
      </c>
      <c r="H44" s="28">
        <v>12</v>
      </c>
      <c r="J44" s="72">
        <v>16</v>
      </c>
      <c r="K44" s="46">
        <f>G44/J44*100</f>
        <v>18.75</v>
      </c>
      <c r="L44" s="46">
        <f>H44/J44*100</f>
        <v>75</v>
      </c>
      <c r="M44" s="46">
        <f>I44/J44*100</f>
        <v>0</v>
      </c>
      <c r="N44" s="67">
        <f>SUM(K44:M44)</f>
        <v>93.75</v>
      </c>
      <c r="O44" s="45">
        <v>10</v>
      </c>
      <c r="P44" s="46">
        <v>32</v>
      </c>
      <c r="Q44" s="46"/>
      <c r="R44" s="47">
        <f>SUM(O44:Q44)</f>
        <v>42</v>
      </c>
      <c r="S44" s="28">
        <v>5</v>
      </c>
      <c r="T44" s="284"/>
      <c r="U44" s="275">
        <v>38756</v>
      </c>
      <c r="V44" s="37" t="s">
        <v>894</v>
      </c>
      <c r="W44" s="28" t="s">
        <v>81</v>
      </c>
      <c r="X44" s="28" t="s">
        <v>18</v>
      </c>
      <c r="Y44" s="38">
        <v>18.7</v>
      </c>
      <c r="Z44" s="28" t="s">
        <v>891</v>
      </c>
      <c r="AA44" s="28" t="s">
        <v>93</v>
      </c>
      <c r="AB44" s="28" t="s">
        <v>18</v>
      </c>
      <c r="AC44" s="28">
        <v>13.3</v>
      </c>
      <c r="AD44" s="37" t="s">
        <v>885</v>
      </c>
      <c r="AE44" s="28" t="s">
        <v>893</v>
      </c>
      <c r="AF44" s="28" t="s">
        <v>11</v>
      </c>
      <c r="AG44" s="38">
        <v>10</v>
      </c>
      <c r="AL44" s="37"/>
      <c r="AO44" s="38"/>
      <c r="AP44" s="37"/>
      <c r="AS44" s="38"/>
      <c r="AW44" s="38"/>
      <c r="BA44" s="39"/>
    </row>
    <row r="45" spans="1:53" s="28" customFormat="1" x14ac:dyDescent="0.15">
      <c r="A45" s="28">
        <v>2006</v>
      </c>
      <c r="B45" s="301">
        <v>38806</v>
      </c>
      <c r="C45" s="394" t="s">
        <v>1206</v>
      </c>
      <c r="D45" s="394"/>
      <c r="E45" s="28">
        <v>96</v>
      </c>
      <c r="F45" s="83">
        <v>0</v>
      </c>
      <c r="G45" s="65">
        <v>2</v>
      </c>
      <c r="H45" s="28">
        <v>12</v>
      </c>
      <c r="J45" s="72">
        <v>16</v>
      </c>
      <c r="K45" s="46">
        <f>G45/J45*100</f>
        <v>12.5</v>
      </c>
      <c r="L45" s="46">
        <f>H45/J45*100</f>
        <v>75</v>
      </c>
      <c r="M45" s="46">
        <f>I45/J45*100</f>
        <v>0</v>
      </c>
      <c r="N45" s="67">
        <f t="shared" si="3"/>
        <v>87.5</v>
      </c>
      <c r="O45" s="45">
        <v>10</v>
      </c>
      <c r="P45" s="46">
        <v>32</v>
      </c>
      <c r="Q45" s="46"/>
      <c r="R45" s="47">
        <f t="shared" si="0"/>
        <v>42</v>
      </c>
      <c r="S45" s="28">
        <v>5</v>
      </c>
      <c r="T45" s="284"/>
      <c r="U45" s="275"/>
      <c r="V45" s="37" t="s">
        <v>894</v>
      </c>
      <c r="W45" s="28" t="s">
        <v>81</v>
      </c>
      <c r="X45" s="28" t="s">
        <v>18</v>
      </c>
      <c r="Y45" s="38">
        <v>18.7</v>
      </c>
      <c r="Z45" s="28" t="s">
        <v>891</v>
      </c>
      <c r="AA45" s="28" t="s">
        <v>93</v>
      </c>
      <c r="AB45" s="28" t="s">
        <v>18</v>
      </c>
      <c r="AC45" s="28">
        <v>13.3</v>
      </c>
      <c r="AD45" s="37" t="s">
        <v>885</v>
      </c>
      <c r="AE45" s="28" t="s">
        <v>893</v>
      </c>
      <c r="AF45" s="28" t="s">
        <v>11</v>
      </c>
      <c r="AG45" s="38">
        <v>10</v>
      </c>
      <c r="AL45" s="37"/>
      <c r="AO45" s="38"/>
      <c r="AP45" s="37"/>
      <c r="AS45" s="38"/>
      <c r="AW45" s="38"/>
      <c r="BA45" s="39"/>
    </row>
    <row r="46" spans="1:53" s="170" customFormat="1" x14ac:dyDescent="0.15">
      <c r="A46" s="170">
        <v>2006</v>
      </c>
      <c r="B46" s="304">
        <v>38902</v>
      </c>
      <c r="C46" s="395" t="s">
        <v>903</v>
      </c>
      <c r="D46" s="395"/>
      <c r="E46" s="170">
        <v>181</v>
      </c>
      <c r="F46" s="170">
        <v>1</v>
      </c>
      <c r="G46" s="232">
        <v>5</v>
      </c>
      <c r="I46" s="170">
        <v>11</v>
      </c>
      <c r="J46" s="240">
        <v>16</v>
      </c>
      <c r="K46" s="213">
        <f t="shared" si="1"/>
        <v>31.25</v>
      </c>
      <c r="L46" s="213">
        <f t="shared" si="4"/>
        <v>0</v>
      </c>
      <c r="M46" s="213">
        <f t="shared" si="2"/>
        <v>68.75</v>
      </c>
      <c r="N46" s="234">
        <f t="shared" si="3"/>
        <v>100</v>
      </c>
      <c r="O46" s="212">
        <v>23.33</v>
      </c>
      <c r="P46" s="213"/>
      <c r="Q46" s="213">
        <v>33.33</v>
      </c>
      <c r="R46" s="214">
        <f t="shared" si="0"/>
        <v>56.66</v>
      </c>
      <c r="S46" s="170">
        <v>2</v>
      </c>
      <c r="T46" s="283">
        <v>38885</v>
      </c>
      <c r="U46" s="304">
        <v>38902</v>
      </c>
      <c r="V46" s="177" t="s">
        <v>901</v>
      </c>
      <c r="W46" s="170" t="s">
        <v>96</v>
      </c>
      <c r="X46" s="170" t="s">
        <v>12</v>
      </c>
      <c r="Y46" s="178">
        <v>33.299999999999997</v>
      </c>
      <c r="Z46" s="170" t="s">
        <v>878</v>
      </c>
      <c r="AA46" s="170" t="s">
        <v>27</v>
      </c>
      <c r="AB46" s="170" t="s">
        <v>11</v>
      </c>
      <c r="AC46" s="170">
        <v>13.3</v>
      </c>
      <c r="AD46" s="177" t="s">
        <v>895</v>
      </c>
      <c r="AE46" s="170" t="s">
        <v>294</v>
      </c>
      <c r="AF46" s="170" t="s">
        <v>11</v>
      </c>
      <c r="AG46" s="178">
        <v>10</v>
      </c>
      <c r="AL46" s="177"/>
      <c r="AO46" s="178"/>
      <c r="AP46" s="177"/>
      <c r="AS46" s="178"/>
      <c r="AW46" s="178"/>
      <c r="BA46" s="179"/>
    </row>
    <row r="47" spans="1:53" s="170" customFormat="1" x14ac:dyDescent="0.15">
      <c r="A47" s="170">
        <v>2007</v>
      </c>
      <c r="B47" s="304"/>
      <c r="C47" s="395" t="s">
        <v>903</v>
      </c>
      <c r="D47" s="395"/>
      <c r="E47" s="170">
        <v>0</v>
      </c>
      <c r="G47" s="232">
        <v>5</v>
      </c>
      <c r="I47" s="170">
        <v>11</v>
      </c>
      <c r="J47" s="240">
        <v>16</v>
      </c>
      <c r="K47" s="213">
        <f t="shared" si="1"/>
        <v>31.25</v>
      </c>
      <c r="L47" s="213">
        <f t="shared" si="4"/>
        <v>0</v>
      </c>
      <c r="M47" s="213">
        <f t="shared" si="2"/>
        <v>68.75</v>
      </c>
      <c r="N47" s="234">
        <f t="shared" si="3"/>
        <v>100</v>
      </c>
      <c r="O47" s="212">
        <v>23.33</v>
      </c>
      <c r="P47" s="213"/>
      <c r="Q47" s="213">
        <v>33.33</v>
      </c>
      <c r="R47" s="214">
        <f t="shared" si="0"/>
        <v>56.66</v>
      </c>
      <c r="S47" s="170">
        <v>2</v>
      </c>
      <c r="T47" s="283"/>
      <c r="U47" s="304"/>
      <c r="V47" s="177" t="s">
        <v>901</v>
      </c>
      <c r="W47" s="170" t="s">
        <v>96</v>
      </c>
      <c r="X47" s="170" t="s">
        <v>12</v>
      </c>
      <c r="Y47" s="178">
        <v>33.299999999999997</v>
      </c>
      <c r="Z47" s="170" t="s">
        <v>878</v>
      </c>
      <c r="AA47" s="170" t="s">
        <v>27</v>
      </c>
      <c r="AB47" s="170" t="s">
        <v>11</v>
      </c>
      <c r="AC47" s="170">
        <v>13.3</v>
      </c>
      <c r="AD47" s="177" t="s">
        <v>895</v>
      </c>
      <c r="AE47" s="170" t="s">
        <v>294</v>
      </c>
      <c r="AF47" s="170" t="s">
        <v>11</v>
      </c>
      <c r="AG47" s="178">
        <v>10</v>
      </c>
      <c r="AL47" s="177"/>
      <c r="AO47" s="178"/>
      <c r="AP47" s="177"/>
      <c r="AS47" s="178"/>
      <c r="AW47" s="178"/>
      <c r="BA47" s="179"/>
    </row>
    <row r="48" spans="1:53" s="170" customFormat="1" x14ac:dyDescent="0.15">
      <c r="A48" s="170">
        <v>2007</v>
      </c>
      <c r="B48" s="304"/>
      <c r="C48" s="395" t="s">
        <v>903</v>
      </c>
      <c r="D48" s="395"/>
      <c r="E48" s="170">
        <v>365</v>
      </c>
      <c r="G48" s="232">
        <v>5</v>
      </c>
      <c r="I48" s="170">
        <v>11</v>
      </c>
      <c r="J48" s="240">
        <v>16</v>
      </c>
      <c r="K48" s="213">
        <f t="shared" si="1"/>
        <v>31.25</v>
      </c>
      <c r="L48" s="213">
        <f t="shared" si="4"/>
        <v>0</v>
      </c>
      <c r="M48" s="213">
        <f t="shared" si="2"/>
        <v>68.75</v>
      </c>
      <c r="N48" s="234">
        <f t="shared" si="3"/>
        <v>100</v>
      </c>
      <c r="O48" s="212">
        <v>23.33</v>
      </c>
      <c r="P48" s="213"/>
      <c r="Q48" s="213">
        <v>33.33</v>
      </c>
      <c r="R48" s="214">
        <f t="shared" si="0"/>
        <v>56.66</v>
      </c>
      <c r="S48" s="170">
        <v>2</v>
      </c>
      <c r="T48" s="283"/>
      <c r="U48" s="304"/>
      <c r="V48" s="177" t="s">
        <v>901</v>
      </c>
      <c r="W48" s="170" t="s">
        <v>96</v>
      </c>
      <c r="X48" s="170" t="s">
        <v>12</v>
      </c>
      <c r="Y48" s="178">
        <v>33.299999999999997</v>
      </c>
      <c r="Z48" s="170" t="s">
        <v>878</v>
      </c>
      <c r="AA48" s="170" t="s">
        <v>27</v>
      </c>
      <c r="AB48" s="170" t="s">
        <v>11</v>
      </c>
      <c r="AC48" s="170">
        <v>13.3</v>
      </c>
      <c r="AD48" s="177" t="s">
        <v>895</v>
      </c>
      <c r="AE48" s="170" t="s">
        <v>294</v>
      </c>
      <c r="AF48" s="170" t="s">
        <v>11</v>
      </c>
      <c r="AG48" s="178">
        <v>10</v>
      </c>
      <c r="AL48" s="177"/>
      <c r="AO48" s="178"/>
      <c r="AP48" s="177"/>
      <c r="AS48" s="178"/>
      <c r="AW48" s="178"/>
      <c r="BA48" s="179"/>
    </row>
    <row r="49" spans="1:53" s="170" customFormat="1" x14ac:dyDescent="0.15">
      <c r="A49" s="170">
        <v>2008</v>
      </c>
      <c r="B49" s="304"/>
      <c r="C49" s="395" t="s">
        <v>903</v>
      </c>
      <c r="D49" s="395"/>
      <c r="E49" s="170">
        <v>0</v>
      </c>
      <c r="G49" s="232">
        <v>5</v>
      </c>
      <c r="I49" s="170">
        <v>11</v>
      </c>
      <c r="J49" s="240">
        <v>16</v>
      </c>
      <c r="K49" s="213">
        <f t="shared" si="1"/>
        <v>31.25</v>
      </c>
      <c r="L49" s="213">
        <f t="shared" si="4"/>
        <v>0</v>
      </c>
      <c r="M49" s="213">
        <f t="shared" si="2"/>
        <v>68.75</v>
      </c>
      <c r="N49" s="234">
        <f t="shared" si="3"/>
        <v>100</v>
      </c>
      <c r="O49" s="212">
        <v>23.33</v>
      </c>
      <c r="P49" s="213"/>
      <c r="Q49" s="213">
        <v>33.33</v>
      </c>
      <c r="R49" s="214">
        <f t="shared" si="0"/>
        <v>56.66</v>
      </c>
      <c r="S49" s="170">
        <v>2</v>
      </c>
      <c r="T49" s="283"/>
      <c r="U49" s="304"/>
      <c r="V49" s="177" t="s">
        <v>901</v>
      </c>
      <c r="W49" s="170" t="s">
        <v>96</v>
      </c>
      <c r="X49" s="170" t="s">
        <v>12</v>
      </c>
      <c r="Y49" s="178">
        <v>33.299999999999997</v>
      </c>
      <c r="Z49" s="170" t="s">
        <v>878</v>
      </c>
      <c r="AA49" s="170" t="s">
        <v>27</v>
      </c>
      <c r="AB49" s="170" t="s">
        <v>11</v>
      </c>
      <c r="AC49" s="170">
        <v>13.3</v>
      </c>
      <c r="AD49" s="177" t="s">
        <v>895</v>
      </c>
      <c r="AE49" s="170" t="s">
        <v>294</v>
      </c>
      <c r="AF49" s="170" t="s">
        <v>11</v>
      </c>
      <c r="AG49" s="178">
        <v>10</v>
      </c>
      <c r="AL49" s="177"/>
      <c r="AO49" s="178"/>
      <c r="AP49" s="177"/>
      <c r="AS49" s="178"/>
      <c r="AW49" s="178"/>
      <c r="BA49" s="179"/>
    </row>
    <row r="50" spans="1:53" s="170" customFormat="1" x14ac:dyDescent="0.15">
      <c r="A50" s="170">
        <v>2008</v>
      </c>
      <c r="B50" s="304"/>
      <c r="C50" s="395" t="s">
        <v>903</v>
      </c>
      <c r="D50" s="395"/>
      <c r="E50" s="170">
        <v>366</v>
      </c>
      <c r="G50" s="232">
        <v>5</v>
      </c>
      <c r="I50" s="170">
        <v>11</v>
      </c>
      <c r="J50" s="240">
        <v>16</v>
      </c>
      <c r="K50" s="213">
        <f t="shared" si="1"/>
        <v>31.25</v>
      </c>
      <c r="L50" s="213">
        <f t="shared" si="4"/>
        <v>0</v>
      </c>
      <c r="M50" s="213">
        <f t="shared" si="2"/>
        <v>68.75</v>
      </c>
      <c r="N50" s="234">
        <f t="shared" si="3"/>
        <v>100</v>
      </c>
      <c r="O50" s="212">
        <v>23.33</v>
      </c>
      <c r="P50" s="213"/>
      <c r="Q50" s="213">
        <v>33.33</v>
      </c>
      <c r="R50" s="214">
        <f t="shared" si="0"/>
        <v>56.66</v>
      </c>
      <c r="S50" s="170">
        <v>2</v>
      </c>
      <c r="T50" s="283"/>
      <c r="U50" s="304"/>
      <c r="V50" s="177" t="s">
        <v>901</v>
      </c>
      <c r="W50" s="170" t="s">
        <v>96</v>
      </c>
      <c r="X50" s="170" t="s">
        <v>12</v>
      </c>
      <c r="Y50" s="178">
        <v>33.299999999999997</v>
      </c>
      <c r="Z50" s="170" t="s">
        <v>878</v>
      </c>
      <c r="AA50" s="170" t="s">
        <v>27</v>
      </c>
      <c r="AB50" s="170" t="s">
        <v>11</v>
      </c>
      <c r="AC50" s="170">
        <v>13.3</v>
      </c>
      <c r="AD50" s="177" t="s">
        <v>895</v>
      </c>
      <c r="AE50" s="170" t="s">
        <v>294</v>
      </c>
      <c r="AF50" s="170" t="s">
        <v>11</v>
      </c>
      <c r="AG50" s="178">
        <v>10</v>
      </c>
      <c r="AL50" s="177"/>
      <c r="AO50" s="178"/>
      <c r="AP50" s="177"/>
      <c r="AS50" s="178"/>
      <c r="AW50" s="178"/>
      <c r="BA50" s="179"/>
    </row>
    <row r="51" spans="1:53" s="170" customFormat="1" x14ac:dyDescent="0.15">
      <c r="A51" s="170">
        <v>2009</v>
      </c>
      <c r="B51" s="304"/>
      <c r="C51" s="395" t="s">
        <v>903</v>
      </c>
      <c r="D51" s="395"/>
      <c r="E51" s="170">
        <v>239</v>
      </c>
      <c r="G51" s="232">
        <v>5</v>
      </c>
      <c r="I51" s="170">
        <v>11</v>
      </c>
      <c r="J51" s="240">
        <v>16</v>
      </c>
      <c r="K51" s="213">
        <f t="shared" si="1"/>
        <v>31.25</v>
      </c>
      <c r="L51" s="213">
        <f t="shared" si="4"/>
        <v>0</v>
      </c>
      <c r="M51" s="213">
        <f t="shared" si="2"/>
        <v>68.75</v>
      </c>
      <c r="N51" s="234">
        <f t="shared" si="3"/>
        <v>100</v>
      </c>
      <c r="O51" s="212">
        <v>23.33</v>
      </c>
      <c r="P51" s="213"/>
      <c r="Q51" s="213">
        <v>33.33</v>
      </c>
      <c r="R51" s="214">
        <f t="shared" si="0"/>
        <v>56.66</v>
      </c>
      <c r="S51" s="170">
        <v>2</v>
      </c>
      <c r="T51" s="283"/>
      <c r="U51" s="304"/>
      <c r="V51" s="177" t="s">
        <v>901</v>
      </c>
      <c r="W51" s="170" t="s">
        <v>96</v>
      </c>
      <c r="X51" s="170" t="s">
        <v>12</v>
      </c>
      <c r="Y51" s="178">
        <v>33.299999999999997</v>
      </c>
      <c r="Z51" s="170" t="s">
        <v>878</v>
      </c>
      <c r="AA51" s="170" t="s">
        <v>27</v>
      </c>
      <c r="AB51" s="170" t="s">
        <v>11</v>
      </c>
      <c r="AC51" s="170">
        <v>13.3</v>
      </c>
      <c r="AD51" s="177" t="s">
        <v>895</v>
      </c>
      <c r="AE51" s="170" t="s">
        <v>294</v>
      </c>
      <c r="AF51" s="170" t="s">
        <v>11</v>
      </c>
      <c r="AG51" s="178">
        <v>10</v>
      </c>
      <c r="AL51" s="177"/>
      <c r="AO51" s="178"/>
      <c r="AP51" s="177"/>
      <c r="AS51" s="178"/>
      <c r="AW51" s="178"/>
      <c r="BA51" s="179"/>
    </row>
    <row r="52" spans="1:53" s="170" customFormat="1" x14ac:dyDescent="0.15">
      <c r="A52" s="170">
        <v>2009</v>
      </c>
      <c r="B52" s="303">
        <v>40053</v>
      </c>
      <c r="C52" s="395" t="s">
        <v>903</v>
      </c>
      <c r="D52" s="395"/>
      <c r="E52" s="170">
        <f>365-E51</f>
        <v>126</v>
      </c>
      <c r="F52" s="243">
        <v>0</v>
      </c>
      <c r="G52" s="232">
        <v>4</v>
      </c>
      <c r="I52" s="170">
        <v>12</v>
      </c>
      <c r="J52" s="240">
        <v>16</v>
      </c>
      <c r="K52" s="213">
        <f t="shared" si="1"/>
        <v>25</v>
      </c>
      <c r="L52" s="213">
        <f t="shared" si="4"/>
        <v>0</v>
      </c>
      <c r="M52" s="213">
        <f t="shared" si="2"/>
        <v>75</v>
      </c>
      <c r="N52" s="234">
        <f t="shared" si="3"/>
        <v>100</v>
      </c>
      <c r="O52" s="212">
        <v>23.33</v>
      </c>
      <c r="P52" s="213"/>
      <c r="Q52" s="213">
        <v>33.33</v>
      </c>
      <c r="R52" s="214">
        <f t="shared" si="0"/>
        <v>56.66</v>
      </c>
      <c r="S52" s="170">
        <v>2</v>
      </c>
      <c r="T52" s="283"/>
      <c r="U52" s="304"/>
      <c r="V52" s="177" t="s">
        <v>901</v>
      </c>
      <c r="W52" s="170" t="s">
        <v>96</v>
      </c>
      <c r="X52" s="170" t="s">
        <v>12</v>
      </c>
      <c r="Y52" s="178">
        <v>33.299999999999997</v>
      </c>
      <c r="Z52" s="170" t="s">
        <v>878</v>
      </c>
      <c r="AA52" s="170" t="s">
        <v>27</v>
      </c>
      <c r="AB52" s="170" t="s">
        <v>11</v>
      </c>
      <c r="AC52" s="170">
        <v>13.3</v>
      </c>
      <c r="AD52" s="177" t="s">
        <v>895</v>
      </c>
      <c r="AE52" s="170" t="s">
        <v>294</v>
      </c>
      <c r="AF52" s="170" t="s">
        <v>11</v>
      </c>
      <c r="AG52" s="178">
        <v>10</v>
      </c>
      <c r="AL52" s="177"/>
      <c r="AO52" s="178"/>
      <c r="AP52" s="177"/>
      <c r="AS52" s="178"/>
      <c r="AW52" s="178"/>
      <c r="BA52" s="179"/>
    </row>
    <row r="53" spans="1:53" s="170" customFormat="1" x14ac:dyDescent="0.15">
      <c r="A53" s="170">
        <v>2010</v>
      </c>
      <c r="B53" s="304"/>
      <c r="C53" s="395" t="s">
        <v>903</v>
      </c>
      <c r="D53" s="395"/>
      <c r="E53" s="170">
        <v>189</v>
      </c>
      <c r="G53" s="232">
        <v>4</v>
      </c>
      <c r="I53" s="170">
        <v>12</v>
      </c>
      <c r="J53" s="240">
        <v>16</v>
      </c>
      <c r="K53" s="213">
        <f t="shared" si="1"/>
        <v>25</v>
      </c>
      <c r="L53" s="213">
        <f t="shared" si="4"/>
        <v>0</v>
      </c>
      <c r="M53" s="213">
        <f t="shared" si="2"/>
        <v>75</v>
      </c>
      <c r="N53" s="234">
        <f t="shared" si="3"/>
        <v>100</v>
      </c>
      <c r="O53" s="212">
        <v>23.33</v>
      </c>
      <c r="P53" s="213"/>
      <c r="Q53" s="213">
        <v>33.33</v>
      </c>
      <c r="R53" s="214">
        <f t="shared" si="0"/>
        <v>56.66</v>
      </c>
      <c r="S53" s="170">
        <v>2</v>
      </c>
      <c r="T53" s="283"/>
      <c r="U53" s="304"/>
      <c r="V53" s="177" t="s">
        <v>901</v>
      </c>
      <c r="W53" s="170" t="s">
        <v>96</v>
      </c>
      <c r="X53" s="170" t="s">
        <v>12</v>
      </c>
      <c r="Y53" s="178">
        <v>33.299999999999997</v>
      </c>
      <c r="Z53" s="170" t="s">
        <v>878</v>
      </c>
      <c r="AA53" s="170" t="s">
        <v>27</v>
      </c>
      <c r="AB53" s="170" t="s">
        <v>11</v>
      </c>
      <c r="AC53" s="170">
        <v>13.3</v>
      </c>
      <c r="AD53" s="177" t="s">
        <v>895</v>
      </c>
      <c r="AE53" s="170" t="s">
        <v>294</v>
      </c>
      <c r="AF53" s="170" t="s">
        <v>11</v>
      </c>
      <c r="AG53" s="178">
        <v>10</v>
      </c>
      <c r="AL53" s="177"/>
      <c r="AO53" s="178"/>
      <c r="AP53" s="177"/>
      <c r="AS53" s="178"/>
      <c r="AW53" s="178"/>
      <c r="BA53" s="179"/>
    </row>
    <row r="54" spans="1:53" s="28" customFormat="1" x14ac:dyDescent="0.15">
      <c r="A54" s="28">
        <v>2010</v>
      </c>
      <c r="B54" s="275">
        <v>40368</v>
      </c>
      <c r="C54" s="394" t="s">
        <v>896</v>
      </c>
      <c r="D54" s="394"/>
      <c r="E54" s="28">
        <f xml:space="preserve"> 365-E53</f>
        <v>176</v>
      </c>
      <c r="F54" s="28">
        <v>1</v>
      </c>
      <c r="G54" s="65">
        <v>7</v>
      </c>
      <c r="H54" s="28">
        <v>8</v>
      </c>
      <c r="J54" s="72">
        <v>15</v>
      </c>
      <c r="K54" s="46">
        <f t="shared" si="1"/>
        <v>46.666666666666664</v>
      </c>
      <c r="L54" s="46">
        <f t="shared" si="4"/>
        <v>53.333333333333336</v>
      </c>
      <c r="M54" s="46">
        <f t="shared" si="2"/>
        <v>0</v>
      </c>
      <c r="N54" s="67">
        <f t="shared" si="3"/>
        <v>100</v>
      </c>
      <c r="O54" s="45">
        <v>24</v>
      </c>
      <c r="P54" s="46">
        <v>28.66</v>
      </c>
      <c r="Q54" s="46"/>
      <c r="R54" s="47">
        <f t="shared" si="0"/>
        <v>52.66</v>
      </c>
      <c r="S54" s="28">
        <v>2</v>
      </c>
      <c r="T54" s="284">
        <v>40341</v>
      </c>
      <c r="U54" s="275">
        <v>40368</v>
      </c>
      <c r="V54" s="37" t="s">
        <v>894</v>
      </c>
      <c r="W54" s="28" t="s">
        <v>81</v>
      </c>
      <c r="X54" s="28" t="s">
        <v>18</v>
      </c>
      <c r="Y54" s="38">
        <v>18.7</v>
      </c>
      <c r="Z54" s="28" t="s">
        <v>897</v>
      </c>
      <c r="AA54" s="28" t="s">
        <v>899</v>
      </c>
      <c r="AB54" s="28" t="s">
        <v>11</v>
      </c>
      <c r="AC54" s="28">
        <v>14.7</v>
      </c>
      <c r="AD54" s="37" t="s">
        <v>883</v>
      </c>
      <c r="AE54" s="28" t="s">
        <v>17</v>
      </c>
      <c r="AF54" s="28" t="s">
        <v>18</v>
      </c>
      <c r="AG54" s="38">
        <v>10</v>
      </c>
      <c r="AH54" s="28" t="s">
        <v>898</v>
      </c>
      <c r="AI54" s="28" t="s">
        <v>900</v>
      </c>
      <c r="AJ54" s="28" t="s">
        <v>11</v>
      </c>
      <c r="AK54" s="28">
        <v>9.3000000000000007</v>
      </c>
      <c r="AL54" s="37"/>
      <c r="AO54" s="38"/>
      <c r="AP54" s="37"/>
      <c r="AS54" s="38"/>
      <c r="AW54" s="38"/>
      <c r="BA54" s="39"/>
    </row>
    <row r="55" spans="1:53" s="28" customFormat="1" x14ac:dyDescent="0.15">
      <c r="A55" s="28">
        <v>2011</v>
      </c>
      <c r="B55" s="275"/>
      <c r="C55" s="394" t="s">
        <v>896</v>
      </c>
      <c r="D55" s="394"/>
      <c r="E55" s="28">
        <v>331</v>
      </c>
      <c r="G55" s="65">
        <v>7</v>
      </c>
      <c r="H55" s="28">
        <v>8</v>
      </c>
      <c r="J55" s="72">
        <v>15</v>
      </c>
      <c r="K55" s="46">
        <f t="shared" ref="K55:K60" si="5">G55/J55*100</f>
        <v>46.666666666666664</v>
      </c>
      <c r="L55" s="46">
        <f t="shared" ref="L55:L60" si="6">H55/J55*100</f>
        <v>53.333333333333336</v>
      </c>
      <c r="M55" s="46">
        <f t="shared" ref="M55:M60" si="7">I55/J55*100</f>
        <v>0</v>
      </c>
      <c r="N55" s="67">
        <f t="shared" si="3"/>
        <v>100</v>
      </c>
      <c r="O55" s="45">
        <v>24</v>
      </c>
      <c r="P55" s="46">
        <v>28.66</v>
      </c>
      <c r="Q55" s="46"/>
      <c r="R55" s="47">
        <f t="shared" si="0"/>
        <v>52.66</v>
      </c>
      <c r="S55" s="28">
        <v>2</v>
      </c>
      <c r="T55" s="284"/>
      <c r="U55" s="275"/>
      <c r="V55" s="37" t="s">
        <v>894</v>
      </c>
      <c r="W55" s="28" t="s">
        <v>81</v>
      </c>
      <c r="X55" s="28" t="s">
        <v>18</v>
      </c>
      <c r="Y55" s="38">
        <v>18.7</v>
      </c>
      <c r="Z55" s="28" t="s">
        <v>897</v>
      </c>
      <c r="AA55" s="28" t="s">
        <v>899</v>
      </c>
      <c r="AB55" s="28" t="s">
        <v>11</v>
      </c>
      <c r="AC55" s="28">
        <v>14.7</v>
      </c>
      <c r="AD55" s="37" t="s">
        <v>883</v>
      </c>
      <c r="AE55" s="28" t="s">
        <v>17</v>
      </c>
      <c r="AF55" s="28" t="s">
        <v>18</v>
      </c>
      <c r="AG55" s="38">
        <v>10</v>
      </c>
      <c r="AH55" s="28" t="s">
        <v>898</v>
      </c>
      <c r="AI55" s="28" t="s">
        <v>900</v>
      </c>
      <c r="AJ55" s="28" t="s">
        <v>11</v>
      </c>
      <c r="AK55" s="28">
        <v>9.3000000000000007</v>
      </c>
      <c r="AL55" s="37"/>
      <c r="AO55" s="38"/>
      <c r="AP55" s="37"/>
      <c r="AS55" s="38"/>
      <c r="AW55" s="38"/>
      <c r="BA55" s="39"/>
    </row>
    <row r="56" spans="1:53" s="28" customFormat="1" x14ac:dyDescent="0.15">
      <c r="A56" s="28">
        <v>2011</v>
      </c>
      <c r="B56" s="301">
        <v>40875</v>
      </c>
      <c r="C56" s="394" t="s">
        <v>896</v>
      </c>
      <c r="D56" s="394"/>
      <c r="E56" s="28">
        <f xml:space="preserve"> 365-E55</f>
        <v>34</v>
      </c>
      <c r="F56" s="69"/>
      <c r="G56" s="65">
        <v>6</v>
      </c>
      <c r="H56" s="28">
        <v>9</v>
      </c>
      <c r="J56" s="72">
        <v>15</v>
      </c>
      <c r="K56" s="46">
        <f t="shared" si="5"/>
        <v>40</v>
      </c>
      <c r="L56" s="46">
        <f t="shared" si="6"/>
        <v>60</v>
      </c>
      <c r="M56" s="46">
        <f t="shared" si="7"/>
        <v>0</v>
      </c>
      <c r="N56" s="67">
        <f t="shared" si="3"/>
        <v>100</v>
      </c>
      <c r="O56" s="45">
        <v>24</v>
      </c>
      <c r="P56" s="46">
        <v>28.66</v>
      </c>
      <c r="Q56" s="46"/>
      <c r="R56" s="47">
        <f t="shared" si="0"/>
        <v>52.66</v>
      </c>
      <c r="S56" s="28">
        <v>2</v>
      </c>
      <c r="T56" s="284"/>
      <c r="U56" s="275"/>
      <c r="V56" s="37" t="s">
        <v>894</v>
      </c>
      <c r="W56" s="28" t="s">
        <v>81</v>
      </c>
      <c r="X56" s="28" t="s">
        <v>18</v>
      </c>
      <c r="Y56" s="38">
        <v>18.7</v>
      </c>
      <c r="Z56" s="28" t="s">
        <v>897</v>
      </c>
      <c r="AA56" s="28" t="s">
        <v>899</v>
      </c>
      <c r="AB56" s="28" t="s">
        <v>11</v>
      </c>
      <c r="AC56" s="28">
        <v>14.7</v>
      </c>
      <c r="AD56" s="37" t="s">
        <v>883</v>
      </c>
      <c r="AE56" s="28" t="s">
        <v>17</v>
      </c>
      <c r="AF56" s="28" t="s">
        <v>18</v>
      </c>
      <c r="AG56" s="38">
        <v>10</v>
      </c>
      <c r="AH56" s="28" t="s">
        <v>898</v>
      </c>
      <c r="AI56" s="28" t="s">
        <v>900</v>
      </c>
      <c r="AJ56" s="28" t="s">
        <v>11</v>
      </c>
      <c r="AK56" s="28">
        <v>9.3000000000000007</v>
      </c>
      <c r="AL56" s="37"/>
      <c r="AO56" s="38"/>
      <c r="AP56" s="37"/>
      <c r="AS56" s="38"/>
      <c r="AW56" s="38"/>
      <c r="BA56" s="39"/>
    </row>
    <row r="57" spans="1:53" s="28" customFormat="1" x14ac:dyDescent="0.15">
      <c r="A57" s="28">
        <v>2012</v>
      </c>
      <c r="B57" s="275"/>
      <c r="C57" s="394" t="s">
        <v>896</v>
      </c>
      <c r="D57" s="394"/>
      <c r="E57" s="28">
        <v>94</v>
      </c>
      <c r="G57" s="65">
        <v>6</v>
      </c>
      <c r="H57" s="28">
        <v>9</v>
      </c>
      <c r="J57" s="72">
        <v>15</v>
      </c>
      <c r="K57" s="46">
        <f t="shared" si="5"/>
        <v>40</v>
      </c>
      <c r="L57" s="46">
        <f t="shared" si="6"/>
        <v>60</v>
      </c>
      <c r="M57" s="46">
        <f t="shared" si="7"/>
        <v>0</v>
      </c>
      <c r="N57" s="67">
        <f t="shared" si="3"/>
        <v>100</v>
      </c>
      <c r="O57" s="45">
        <v>24</v>
      </c>
      <c r="P57" s="46">
        <v>28.66</v>
      </c>
      <c r="Q57" s="46"/>
      <c r="R57" s="47">
        <f t="shared" si="0"/>
        <v>52.66</v>
      </c>
      <c r="S57" s="28">
        <v>2</v>
      </c>
      <c r="T57" s="284"/>
      <c r="U57" s="275"/>
      <c r="V57" s="37" t="s">
        <v>894</v>
      </c>
      <c r="W57" s="28" t="s">
        <v>81</v>
      </c>
      <c r="X57" s="28" t="s">
        <v>18</v>
      </c>
      <c r="Y57" s="38">
        <v>18.7</v>
      </c>
      <c r="Z57" s="28" t="s">
        <v>897</v>
      </c>
      <c r="AA57" s="28" t="s">
        <v>899</v>
      </c>
      <c r="AB57" s="28" t="s">
        <v>11</v>
      </c>
      <c r="AC57" s="28">
        <v>14.7</v>
      </c>
      <c r="AD57" s="37" t="s">
        <v>883</v>
      </c>
      <c r="AE57" s="28" t="s">
        <v>17</v>
      </c>
      <c r="AF57" s="28" t="s">
        <v>18</v>
      </c>
      <c r="AG57" s="38">
        <v>10</v>
      </c>
      <c r="AH57" s="28" t="s">
        <v>898</v>
      </c>
      <c r="AI57" s="28" t="s">
        <v>900</v>
      </c>
      <c r="AJ57" s="28" t="s">
        <v>11</v>
      </c>
      <c r="AK57" s="28">
        <v>9.3000000000000007</v>
      </c>
      <c r="AL57" s="37"/>
      <c r="AO57" s="38"/>
      <c r="AP57" s="37"/>
      <c r="AS57" s="38"/>
      <c r="AW57" s="38"/>
      <c r="BA57" s="39"/>
    </row>
    <row r="58" spans="1:53" s="170" customFormat="1" x14ac:dyDescent="0.15">
      <c r="A58" s="170">
        <v>2012</v>
      </c>
      <c r="B58" s="304">
        <v>41003</v>
      </c>
      <c r="C58" s="425" t="s">
        <v>902</v>
      </c>
      <c r="D58" s="425"/>
      <c r="E58" s="170">
        <f xml:space="preserve"> 366-E57</f>
        <v>272</v>
      </c>
      <c r="F58" s="170">
        <v>1</v>
      </c>
      <c r="G58" s="232"/>
      <c r="I58" s="170">
        <v>15</v>
      </c>
      <c r="J58" s="240">
        <v>15</v>
      </c>
      <c r="K58" s="213">
        <f t="shared" si="5"/>
        <v>0</v>
      </c>
      <c r="L58" s="213">
        <f t="shared" si="6"/>
        <v>0</v>
      </c>
      <c r="M58" s="213">
        <f t="shared" si="7"/>
        <v>100</v>
      </c>
      <c r="N58" s="234">
        <f t="shared" si="3"/>
        <v>100</v>
      </c>
      <c r="O58" s="212"/>
      <c r="P58" s="213"/>
      <c r="Q58" s="213">
        <v>55.3</v>
      </c>
      <c r="R58" s="214">
        <f t="shared" si="0"/>
        <v>55.3</v>
      </c>
      <c r="S58" s="170">
        <v>1</v>
      </c>
      <c r="T58" s="283">
        <v>40978</v>
      </c>
      <c r="U58" s="304">
        <v>41003</v>
      </c>
      <c r="V58" s="177" t="s">
        <v>901</v>
      </c>
      <c r="W58" s="170" t="s">
        <v>96</v>
      </c>
      <c r="X58" s="170" t="s">
        <v>12</v>
      </c>
      <c r="Y58" s="178">
        <v>55.3</v>
      </c>
      <c r="AD58" s="177"/>
      <c r="AG58" s="178"/>
      <c r="AL58" s="177"/>
      <c r="AO58" s="178"/>
      <c r="AP58" s="177"/>
      <c r="AS58" s="178"/>
      <c r="AW58" s="178"/>
      <c r="BA58" s="179"/>
    </row>
    <row r="59" spans="1:53" s="170" customFormat="1" x14ac:dyDescent="0.15">
      <c r="A59" s="170">
        <v>2013</v>
      </c>
      <c r="B59" s="304"/>
      <c r="C59" s="425" t="s">
        <v>902</v>
      </c>
      <c r="D59" s="425"/>
      <c r="E59" s="170">
        <v>0</v>
      </c>
      <c r="G59" s="232"/>
      <c r="I59" s="170">
        <v>15</v>
      </c>
      <c r="J59" s="240">
        <v>15</v>
      </c>
      <c r="K59" s="213">
        <f t="shared" si="5"/>
        <v>0</v>
      </c>
      <c r="L59" s="213">
        <f t="shared" si="6"/>
        <v>0</v>
      </c>
      <c r="M59" s="213">
        <f t="shared" si="7"/>
        <v>100</v>
      </c>
      <c r="N59" s="234">
        <f t="shared" si="3"/>
        <v>100</v>
      </c>
      <c r="O59" s="212"/>
      <c r="P59" s="213"/>
      <c r="Q59" s="213">
        <v>55.3</v>
      </c>
      <c r="R59" s="214">
        <f t="shared" si="0"/>
        <v>55.3</v>
      </c>
      <c r="S59" s="170">
        <v>1</v>
      </c>
      <c r="T59" s="283"/>
      <c r="U59" s="304"/>
      <c r="V59" s="177" t="s">
        <v>901</v>
      </c>
      <c r="W59" s="170" t="s">
        <v>96</v>
      </c>
      <c r="X59" s="170" t="s">
        <v>12</v>
      </c>
      <c r="Y59" s="178">
        <v>55.3</v>
      </c>
      <c r="AD59" s="177"/>
      <c r="AG59" s="178"/>
      <c r="AL59" s="177"/>
      <c r="AO59" s="178"/>
      <c r="AP59" s="177"/>
      <c r="AS59" s="178"/>
      <c r="AW59" s="178"/>
      <c r="BA59" s="179"/>
    </row>
    <row r="60" spans="1:53" s="170" customFormat="1" x14ac:dyDescent="0.15">
      <c r="A60" s="170">
        <v>2013</v>
      </c>
      <c r="B60" s="304"/>
      <c r="C60" s="425" t="s">
        <v>902</v>
      </c>
      <c r="D60" s="425"/>
      <c r="E60" s="170">
        <v>365</v>
      </c>
      <c r="G60" s="232"/>
      <c r="I60" s="170">
        <v>15</v>
      </c>
      <c r="J60" s="240">
        <v>15</v>
      </c>
      <c r="K60" s="213">
        <f t="shared" si="5"/>
        <v>0</v>
      </c>
      <c r="L60" s="213">
        <f t="shared" si="6"/>
        <v>0</v>
      </c>
      <c r="M60" s="213">
        <f t="shared" si="7"/>
        <v>100</v>
      </c>
      <c r="N60" s="234">
        <f t="shared" si="3"/>
        <v>100</v>
      </c>
      <c r="O60" s="212"/>
      <c r="P60" s="213"/>
      <c r="Q60" s="213">
        <v>55.3</v>
      </c>
      <c r="R60" s="214">
        <f t="shared" si="0"/>
        <v>55.3</v>
      </c>
      <c r="S60" s="170">
        <v>1</v>
      </c>
      <c r="T60" s="283"/>
      <c r="U60" s="304"/>
      <c r="V60" s="177" t="s">
        <v>901</v>
      </c>
      <c r="W60" s="170" t="s">
        <v>96</v>
      </c>
      <c r="X60" s="170" t="s">
        <v>12</v>
      </c>
      <c r="Y60" s="178">
        <v>55.3</v>
      </c>
      <c r="AD60" s="177"/>
      <c r="AG60" s="178"/>
      <c r="AL60" s="177"/>
      <c r="AO60" s="178"/>
      <c r="AP60" s="177"/>
      <c r="AS60" s="178"/>
      <c r="AW60" s="178"/>
      <c r="BA60" s="179"/>
    </row>
    <row r="61" spans="1:53" s="170" customFormat="1" x14ac:dyDescent="0.15">
      <c r="A61" s="170">
        <v>2014</v>
      </c>
      <c r="B61" s="304"/>
      <c r="C61" s="425" t="s">
        <v>902</v>
      </c>
      <c r="D61" s="425"/>
      <c r="E61" s="170">
        <v>0</v>
      </c>
      <c r="G61" s="232"/>
      <c r="I61" s="170">
        <v>15</v>
      </c>
      <c r="J61" s="240">
        <v>15</v>
      </c>
      <c r="K61" s="213">
        <f>G61/J61*100</f>
        <v>0</v>
      </c>
      <c r="L61" s="213">
        <f>H61/J61*100</f>
        <v>0</v>
      </c>
      <c r="M61" s="213">
        <f>I61/J61*100</f>
        <v>100</v>
      </c>
      <c r="N61" s="234">
        <f>SUM(K61:M61)</f>
        <v>100</v>
      </c>
      <c r="O61" s="212"/>
      <c r="P61" s="213"/>
      <c r="Q61" s="213">
        <v>55.3</v>
      </c>
      <c r="R61" s="214">
        <f>SUM(O61:Q61)</f>
        <v>55.3</v>
      </c>
      <c r="S61" s="170">
        <v>1</v>
      </c>
      <c r="T61" s="283"/>
      <c r="U61" s="304"/>
      <c r="V61" s="177" t="s">
        <v>901</v>
      </c>
      <c r="W61" s="170" t="s">
        <v>96</v>
      </c>
      <c r="X61" s="170" t="s">
        <v>12</v>
      </c>
      <c r="Y61" s="178">
        <v>55.3</v>
      </c>
      <c r="AD61" s="177"/>
      <c r="AG61" s="178"/>
      <c r="AL61" s="177"/>
      <c r="AO61" s="178"/>
      <c r="AP61" s="177"/>
      <c r="AS61" s="178"/>
      <c r="AW61" s="178"/>
      <c r="BA61" s="179"/>
    </row>
    <row r="62" spans="1:53" s="170" customFormat="1" x14ac:dyDescent="0.15">
      <c r="A62" s="170">
        <v>2014</v>
      </c>
      <c r="B62" s="304"/>
      <c r="C62" s="425" t="s">
        <v>902</v>
      </c>
      <c r="D62" s="425"/>
      <c r="E62" s="170">
        <v>365</v>
      </c>
      <c r="G62" s="232"/>
      <c r="I62" s="170">
        <v>15</v>
      </c>
      <c r="J62" s="240">
        <v>15</v>
      </c>
      <c r="K62" s="213">
        <f>G62/J62*100</f>
        <v>0</v>
      </c>
      <c r="L62" s="213">
        <f>H62/J62*100</f>
        <v>0</v>
      </c>
      <c r="M62" s="213">
        <f>I62/J62*100</f>
        <v>100</v>
      </c>
      <c r="N62" s="234">
        <f>SUM(K62:M62)</f>
        <v>100</v>
      </c>
      <c r="O62" s="212"/>
      <c r="P62" s="213"/>
      <c r="Q62" s="213">
        <v>55.3</v>
      </c>
      <c r="R62" s="214">
        <f>SUM(O62:Q62)</f>
        <v>55.3</v>
      </c>
      <c r="S62" s="170">
        <v>1</v>
      </c>
      <c r="T62" s="283"/>
      <c r="U62" s="304"/>
      <c r="V62" s="177" t="s">
        <v>901</v>
      </c>
      <c r="W62" s="170" t="s">
        <v>96</v>
      </c>
      <c r="X62" s="170" t="s">
        <v>12</v>
      </c>
      <c r="Y62" s="178">
        <v>55.3</v>
      </c>
      <c r="AD62" s="177"/>
      <c r="AG62" s="178"/>
      <c r="AL62" s="177"/>
      <c r="AO62" s="178"/>
      <c r="AP62" s="177"/>
      <c r="AS62" s="178"/>
      <c r="AW62" s="178"/>
      <c r="BA62" s="179"/>
    </row>
    <row r="63" spans="1:53" s="170" customFormat="1" x14ac:dyDescent="0.15">
      <c r="A63" s="170">
        <v>2015</v>
      </c>
      <c r="B63" s="304"/>
      <c r="C63" s="425" t="s">
        <v>902</v>
      </c>
      <c r="D63" s="425"/>
      <c r="E63" s="170">
        <v>0</v>
      </c>
      <c r="G63" s="232"/>
      <c r="I63" s="170">
        <v>15</v>
      </c>
      <c r="J63" s="240">
        <v>15</v>
      </c>
      <c r="K63" s="213">
        <f t="shared" ref="K63:K65" si="8">G63/J63*100</f>
        <v>0</v>
      </c>
      <c r="L63" s="213">
        <f t="shared" ref="L63:L65" si="9">H63/J63*100</f>
        <v>0</v>
      </c>
      <c r="M63" s="213">
        <f t="shared" ref="M63:M65" si="10">I63/J63*100</f>
        <v>100</v>
      </c>
      <c r="N63" s="234">
        <f t="shared" ref="N63:N65" si="11">SUM(K63:M63)</f>
        <v>100</v>
      </c>
      <c r="O63" s="212"/>
      <c r="P63" s="213"/>
      <c r="Q63" s="213">
        <v>55.3</v>
      </c>
      <c r="R63" s="214">
        <f t="shared" ref="R63:R66" si="12">SUM(O63:Q63)</f>
        <v>55.3</v>
      </c>
      <c r="S63" s="170">
        <v>1</v>
      </c>
      <c r="T63" s="283"/>
      <c r="U63" s="304"/>
      <c r="V63" s="177" t="s">
        <v>901</v>
      </c>
      <c r="W63" s="170" t="s">
        <v>96</v>
      </c>
      <c r="X63" s="170" t="s">
        <v>12</v>
      </c>
      <c r="Y63" s="178">
        <v>55.3</v>
      </c>
      <c r="AD63" s="177"/>
      <c r="AG63" s="178"/>
      <c r="AL63" s="177"/>
      <c r="AO63" s="178"/>
      <c r="AP63" s="177"/>
      <c r="AS63" s="178"/>
      <c r="AW63" s="178"/>
      <c r="BA63" s="179"/>
    </row>
    <row r="64" spans="1:53" s="170" customFormat="1" x14ac:dyDescent="0.15">
      <c r="A64" s="170">
        <v>2015</v>
      </c>
      <c r="B64" s="304"/>
      <c r="C64" s="425" t="s">
        <v>902</v>
      </c>
      <c r="D64" s="425"/>
      <c r="E64" s="170">
        <v>365</v>
      </c>
      <c r="G64" s="232"/>
      <c r="I64" s="170">
        <v>15</v>
      </c>
      <c r="J64" s="240">
        <v>15</v>
      </c>
      <c r="K64" s="213">
        <f t="shared" si="8"/>
        <v>0</v>
      </c>
      <c r="L64" s="213">
        <f t="shared" si="9"/>
        <v>0</v>
      </c>
      <c r="M64" s="213">
        <f t="shared" si="10"/>
        <v>100</v>
      </c>
      <c r="N64" s="234">
        <f t="shared" si="11"/>
        <v>100</v>
      </c>
      <c r="O64" s="212"/>
      <c r="P64" s="213"/>
      <c r="Q64" s="213">
        <v>55.3</v>
      </c>
      <c r="R64" s="214">
        <f t="shared" si="12"/>
        <v>55.3</v>
      </c>
      <c r="S64" s="170">
        <v>1</v>
      </c>
      <c r="T64" s="283"/>
      <c r="U64" s="304"/>
      <c r="V64" s="177" t="s">
        <v>901</v>
      </c>
      <c r="W64" s="170" t="s">
        <v>96</v>
      </c>
      <c r="X64" s="170" t="s">
        <v>12</v>
      </c>
      <c r="Y64" s="178">
        <v>55.3</v>
      </c>
      <c r="AD64" s="177"/>
      <c r="AG64" s="178"/>
      <c r="AL64" s="177"/>
      <c r="AO64" s="178"/>
      <c r="AP64" s="177"/>
      <c r="AS64" s="178"/>
      <c r="AW64" s="178"/>
      <c r="BA64" s="179"/>
    </row>
    <row r="65" spans="1:53" s="170" customFormat="1" x14ac:dyDescent="0.15">
      <c r="A65" s="170">
        <v>2016</v>
      </c>
      <c r="B65" s="304"/>
      <c r="C65" s="425" t="s">
        <v>902</v>
      </c>
      <c r="D65" s="425"/>
      <c r="E65" s="170">
        <v>82</v>
      </c>
      <c r="G65" s="232"/>
      <c r="I65" s="170">
        <v>15</v>
      </c>
      <c r="J65" s="240">
        <v>15</v>
      </c>
      <c r="K65" s="213">
        <f t="shared" si="8"/>
        <v>0</v>
      </c>
      <c r="L65" s="213">
        <f t="shared" si="9"/>
        <v>0</v>
      </c>
      <c r="M65" s="213">
        <f t="shared" si="10"/>
        <v>100</v>
      </c>
      <c r="N65" s="234">
        <f t="shared" si="11"/>
        <v>100</v>
      </c>
      <c r="O65" s="212"/>
      <c r="P65" s="213"/>
      <c r="Q65" s="213">
        <v>55.3</v>
      </c>
      <c r="R65" s="214">
        <f t="shared" si="12"/>
        <v>55.3</v>
      </c>
      <c r="S65" s="170">
        <v>1</v>
      </c>
      <c r="T65" s="283"/>
      <c r="U65" s="304"/>
      <c r="V65" s="177" t="s">
        <v>901</v>
      </c>
      <c r="W65" s="170" t="s">
        <v>96</v>
      </c>
      <c r="X65" s="170" t="s">
        <v>12</v>
      </c>
      <c r="Y65" s="178">
        <v>55.3</v>
      </c>
      <c r="AD65" s="177"/>
      <c r="AG65" s="178"/>
      <c r="AL65" s="177"/>
      <c r="AO65" s="178"/>
      <c r="AP65" s="177"/>
      <c r="AS65" s="178"/>
      <c r="AW65" s="178"/>
      <c r="BA65" s="179"/>
    </row>
    <row r="66" spans="1:53" s="28" customFormat="1" x14ac:dyDescent="0.15">
      <c r="A66" s="28">
        <v>2016</v>
      </c>
      <c r="B66" s="275">
        <v>42452</v>
      </c>
      <c r="C66" s="424" t="s">
        <v>1347</v>
      </c>
      <c r="D66" s="424"/>
      <c r="E66" s="28">
        <v>161</v>
      </c>
      <c r="F66" s="28">
        <v>1</v>
      </c>
      <c r="G66" s="65">
        <v>5</v>
      </c>
      <c r="H66" s="28">
        <v>1</v>
      </c>
      <c r="I66" s="28">
        <v>9</v>
      </c>
      <c r="J66" s="72">
        <v>15</v>
      </c>
      <c r="K66" s="46">
        <f t="shared" ref="K66" si="13">G66/J66*100</f>
        <v>33.333333333333329</v>
      </c>
      <c r="L66" s="46">
        <f t="shared" ref="L66" si="14">H66/J66*100</f>
        <v>6.666666666666667</v>
      </c>
      <c r="M66" s="46">
        <f t="shared" ref="M66" si="15">I66/J66*100</f>
        <v>60</v>
      </c>
      <c r="N66" s="67">
        <f t="shared" ref="N66" si="16">SUM(K66:M66)</f>
        <v>100</v>
      </c>
      <c r="O66" s="45">
        <v>32.700000000000003</v>
      </c>
      <c r="P66" s="46">
        <v>4.7</v>
      </c>
      <c r="Q66" s="46">
        <v>17.3</v>
      </c>
      <c r="R66" s="47">
        <f t="shared" si="12"/>
        <v>54.7</v>
      </c>
      <c r="S66" s="28">
        <v>2</v>
      </c>
      <c r="T66" s="284">
        <v>42434</v>
      </c>
      <c r="U66" s="275">
        <v>42452</v>
      </c>
      <c r="V66" s="37" t="s">
        <v>901</v>
      </c>
      <c r="W66" s="28" t="s">
        <v>304</v>
      </c>
      <c r="X66" s="28" t="s">
        <v>12</v>
      </c>
      <c r="Y66" s="38">
        <v>32.700000000000003</v>
      </c>
      <c r="Z66" s="28" t="s">
        <v>878</v>
      </c>
      <c r="AA66" s="28" t="s">
        <v>27</v>
      </c>
      <c r="AB66" s="28" t="s">
        <v>11</v>
      </c>
      <c r="AC66" s="28">
        <v>10</v>
      </c>
      <c r="AD66" s="37" t="s">
        <v>898</v>
      </c>
      <c r="AE66" s="28" t="s">
        <v>900</v>
      </c>
      <c r="AF66" s="28" t="s">
        <v>11</v>
      </c>
      <c r="AG66" s="38">
        <v>7.3</v>
      </c>
      <c r="AH66" s="28" t="s">
        <v>1348</v>
      </c>
      <c r="AI66" s="28" t="s">
        <v>75</v>
      </c>
      <c r="AJ66" s="28" t="s">
        <v>18</v>
      </c>
      <c r="AK66" s="28">
        <v>4.7</v>
      </c>
      <c r="AL66" s="37"/>
      <c r="AO66" s="38"/>
      <c r="AP66" s="37"/>
      <c r="AS66" s="38"/>
      <c r="AW66" s="38"/>
      <c r="BA66" s="39"/>
    </row>
    <row r="67" spans="1:53" s="170" customFormat="1" x14ac:dyDescent="0.15">
      <c r="A67" s="170">
        <v>2016</v>
      </c>
      <c r="B67" s="304">
        <v>42613</v>
      </c>
      <c r="C67" s="425" t="s">
        <v>1478</v>
      </c>
      <c r="D67" s="425"/>
      <c r="E67" s="170">
        <v>123</v>
      </c>
      <c r="F67" s="190">
        <v>4</v>
      </c>
      <c r="G67" s="232">
        <v>6</v>
      </c>
      <c r="I67" s="170">
        <v>9</v>
      </c>
      <c r="J67" s="240">
        <v>15</v>
      </c>
      <c r="K67" s="213">
        <f t="shared" ref="K67" si="17">G67/J67*100</f>
        <v>40</v>
      </c>
      <c r="L67" s="213">
        <f t="shared" ref="L67" si="18">H67/J67*100</f>
        <v>0</v>
      </c>
      <c r="M67" s="213">
        <f t="shared" ref="M67" si="19">I67/J67*100</f>
        <v>60</v>
      </c>
      <c r="N67" s="234">
        <f t="shared" ref="N67" si="20">SUM(K67:M67)</f>
        <v>100</v>
      </c>
      <c r="O67" s="212">
        <v>32.700000000000003</v>
      </c>
      <c r="P67" s="213"/>
      <c r="Q67" s="213">
        <v>17.3</v>
      </c>
      <c r="R67" s="214">
        <f t="shared" ref="R67" si="21">SUM(O67:Q67)</f>
        <v>50</v>
      </c>
      <c r="S67" s="170">
        <v>2</v>
      </c>
      <c r="T67" s="283"/>
      <c r="U67" s="304"/>
      <c r="V67" s="177" t="s">
        <v>901</v>
      </c>
      <c r="W67" s="170" t="s">
        <v>304</v>
      </c>
      <c r="X67" s="170" t="s">
        <v>12</v>
      </c>
      <c r="Y67" s="178">
        <v>32.700000000000003</v>
      </c>
      <c r="Z67" s="170" t="s">
        <v>878</v>
      </c>
      <c r="AA67" s="170" t="s">
        <v>27</v>
      </c>
      <c r="AB67" s="170" t="s">
        <v>11</v>
      </c>
      <c r="AC67" s="170">
        <v>10</v>
      </c>
      <c r="AD67" s="177" t="s">
        <v>898</v>
      </c>
      <c r="AE67" s="170" t="s">
        <v>900</v>
      </c>
      <c r="AF67" s="170" t="s">
        <v>11</v>
      </c>
      <c r="AG67" s="178">
        <v>7.3</v>
      </c>
      <c r="AL67" s="177"/>
      <c r="AO67" s="178"/>
      <c r="AP67" s="177"/>
      <c r="AS67" s="178"/>
      <c r="AW67" s="178"/>
      <c r="BA67" s="179"/>
    </row>
    <row r="68" spans="1:53" s="170" customFormat="1" x14ac:dyDescent="0.15">
      <c r="A68" s="170">
        <v>2017</v>
      </c>
      <c r="B68" s="303"/>
      <c r="C68" s="425" t="s">
        <v>1478</v>
      </c>
      <c r="D68" s="425"/>
      <c r="E68" s="170">
        <v>0</v>
      </c>
      <c r="F68" s="243"/>
      <c r="G68" s="232">
        <v>6</v>
      </c>
      <c r="I68" s="170">
        <v>9</v>
      </c>
      <c r="J68" s="240">
        <v>15</v>
      </c>
      <c r="K68" s="213">
        <f t="shared" ref="K68:K69" si="22">G68/J68*100</f>
        <v>40</v>
      </c>
      <c r="L68" s="213">
        <f t="shared" ref="L68:L69" si="23">H68/J68*100</f>
        <v>0</v>
      </c>
      <c r="M68" s="213">
        <f t="shared" ref="M68:M69" si="24">I68/J68*100</f>
        <v>60</v>
      </c>
      <c r="N68" s="234">
        <f t="shared" ref="N68:N69" si="25">SUM(K68:M68)</f>
        <v>100</v>
      </c>
      <c r="O68" s="212">
        <v>32.700000000000003</v>
      </c>
      <c r="P68" s="213"/>
      <c r="Q68" s="213">
        <v>17.3</v>
      </c>
      <c r="R68" s="214">
        <f t="shared" ref="R68:R69" si="26">SUM(O68:Q68)</f>
        <v>50</v>
      </c>
      <c r="S68" s="170">
        <v>2</v>
      </c>
      <c r="T68" s="283"/>
      <c r="U68" s="304"/>
      <c r="V68" s="177" t="s">
        <v>901</v>
      </c>
      <c r="W68" s="170" t="s">
        <v>304</v>
      </c>
      <c r="X68" s="170" t="s">
        <v>12</v>
      </c>
      <c r="Y68" s="178">
        <v>32.700000000000003</v>
      </c>
      <c r="Z68" s="170" t="s">
        <v>878</v>
      </c>
      <c r="AA68" s="170" t="s">
        <v>27</v>
      </c>
      <c r="AB68" s="170" t="s">
        <v>11</v>
      </c>
      <c r="AC68" s="170">
        <v>10</v>
      </c>
      <c r="AD68" s="177" t="s">
        <v>898</v>
      </c>
      <c r="AE68" s="170" t="s">
        <v>900</v>
      </c>
      <c r="AF68" s="170" t="s">
        <v>11</v>
      </c>
      <c r="AG68" s="178">
        <v>7.3</v>
      </c>
      <c r="AL68" s="177"/>
      <c r="AO68" s="178"/>
      <c r="AP68" s="177"/>
      <c r="AS68" s="178"/>
      <c r="AW68" s="178"/>
      <c r="BA68" s="179"/>
    </row>
    <row r="69" spans="1:53" s="170" customFormat="1" x14ac:dyDescent="0.15">
      <c r="A69" s="170">
        <v>2017</v>
      </c>
      <c r="B69" s="303"/>
      <c r="C69" s="425" t="s">
        <v>1478</v>
      </c>
      <c r="D69" s="425"/>
      <c r="E69" s="170">
        <v>365</v>
      </c>
      <c r="F69" s="243"/>
      <c r="G69" s="232">
        <v>6</v>
      </c>
      <c r="I69" s="170">
        <v>9</v>
      </c>
      <c r="J69" s="240">
        <v>15</v>
      </c>
      <c r="K69" s="213">
        <f t="shared" si="22"/>
        <v>40</v>
      </c>
      <c r="L69" s="213">
        <f t="shared" si="23"/>
        <v>0</v>
      </c>
      <c r="M69" s="213">
        <f t="shared" si="24"/>
        <v>60</v>
      </c>
      <c r="N69" s="234">
        <f t="shared" si="25"/>
        <v>100</v>
      </c>
      <c r="O69" s="212">
        <v>32.700000000000003</v>
      </c>
      <c r="P69" s="213"/>
      <c r="Q69" s="213">
        <v>17.3</v>
      </c>
      <c r="R69" s="214">
        <f t="shared" si="26"/>
        <v>50</v>
      </c>
      <c r="S69" s="170">
        <v>2</v>
      </c>
      <c r="T69" s="283"/>
      <c r="U69" s="304"/>
      <c r="V69" s="177" t="s">
        <v>901</v>
      </c>
      <c r="W69" s="170" t="s">
        <v>304</v>
      </c>
      <c r="X69" s="170" t="s">
        <v>12</v>
      </c>
      <c r="Y69" s="178">
        <v>32.700000000000003</v>
      </c>
      <c r="Z69" s="170" t="s">
        <v>878</v>
      </c>
      <c r="AA69" s="170" t="s">
        <v>27</v>
      </c>
      <c r="AB69" s="170" t="s">
        <v>11</v>
      </c>
      <c r="AC69" s="170">
        <v>10</v>
      </c>
      <c r="AD69" s="177" t="s">
        <v>898</v>
      </c>
      <c r="AE69" s="170" t="s">
        <v>900</v>
      </c>
      <c r="AF69" s="170" t="s">
        <v>11</v>
      </c>
      <c r="AG69" s="178">
        <v>7.3</v>
      </c>
      <c r="AL69" s="177"/>
      <c r="AO69" s="178"/>
      <c r="AP69" s="177"/>
      <c r="AS69" s="178"/>
      <c r="AW69" s="178"/>
      <c r="BA69" s="179"/>
    </row>
    <row r="70" spans="1:53" s="170" customFormat="1" x14ac:dyDescent="0.15">
      <c r="A70" s="170">
        <v>2018</v>
      </c>
      <c r="B70" s="303"/>
      <c r="C70" s="425" t="s">
        <v>1478</v>
      </c>
      <c r="D70" s="425"/>
      <c r="E70" s="170">
        <v>52</v>
      </c>
      <c r="F70" s="243"/>
      <c r="G70" s="232">
        <v>6</v>
      </c>
      <c r="I70" s="170">
        <v>9</v>
      </c>
      <c r="J70" s="240">
        <v>15</v>
      </c>
      <c r="K70" s="213">
        <f t="shared" ref="K70" si="27">G70/J70*100</f>
        <v>40</v>
      </c>
      <c r="L70" s="213">
        <f t="shared" ref="L70" si="28">H70/J70*100</f>
        <v>0</v>
      </c>
      <c r="M70" s="213">
        <f t="shared" ref="M70" si="29">I70/J70*100</f>
        <v>60</v>
      </c>
      <c r="N70" s="234">
        <f t="shared" ref="N70" si="30">SUM(K70:M70)</f>
        <v>100</v>
      </c>
      <c r="O70" s="212">
        <v>32.700000000000003</v>
      </c>
      <c r="P70" s="213"/>
      <c r="Q70" s="213">
        <v>17.3</v>
      </c>
      <c r="R70" s="214">
        <f t="shared" ref="R70:R71" si="31">SUM(O70:Q70)</f>
        <v>50</v>
      </c>
      <c r="S70" s="170">
        <v>2</v>
      </c>
      <c r="T70" s="283"/>
      <c r="U70" s="304"/>
      <c r="V70" s="177" t="s">
        <v>901</v>
      </c>
      <c r="W70" s="170" t="s">
        <v>304</v>
      </c>
      <c r="X70" s="170" t="s">
        <v>12</v>
      </c>
      <c r="Y70" s="178">
        <v>32.700000000000003</v>
      </c>
      <c r="Z70" s="170" t="s">
        <v>878</v>
      </c>
      <c r="AA70" s="170" t="s">
        <v>27</v>
      </c>
      <c r="AB70" s="170" t="s">
        <v>11</v>
      </c>
      <c r="AC70" s="170">
        <v>10</v>
      </c>
      <c r="AD70" s="177" t="s">
        <v>898</v>
      </c>
      <c r="AE70" s="170" t="s">
        <v>900</v>
      </c>
      <c r="AF70" s="170" t="s">
        <v>11</v>
      </c>
      <c r="AG70" s="178">
        <v>7.3</v>
      </c>
      <c r="AL70" s="177"/>
      <c r="AO70" s="178"/>
      <c r="AP70" s="177"/>
      <c r="AS70" s="178"/>
      <c r="AW70" s="178"/>
      <c r="BA70" s="179"/>
    </row>
    <row r="71" spans="1:53" s="28" customFormat="1" x14ac:dyDescent="0.15">
      <c r="A71" s="28">
        <v>2018</v>
      </c>
      <c r="B71" s="275">
        <v>43153</v>
      </c>
      <c r="C71" s="424" t="s">
        <v>1452</v>
      </c>
      <c r="D71" s="424"/>
      <c r="E71" s="28">
        <v>313</v>
      </c>
      <c r="F71" s="28">
        <v>2</v>
      </c>
      <c r="G71" s="65">
        <v>6</v>
      </c>
      <c r="I71" s="28">
        <v>9</v>
      </c>
      <c r="J71" s="72">
        <v>15</v>
      </c>
      <c r="K71" s="46">
        <f t="shared" ref="K71" si="32">G71/J71*100</f>
        <v>40</v>
      </c>
      <c r="L71" s="46">
        <f t="shared" ref="L71" si="33">H71/J71*100</f>
        <v>0</v>
      </c>
      <c r="M71" s="46">
        <f t="shared" ref="M71" si="34">I71/J71*100</f>
        <v>60</v>
      </c>
      <c r="N71" s="67">
        <f t="shared" ref="N71" si="35">SUM(K71:M71)</f>
        <v>100</v>
      </c>
      <c r="O71" s="45">
        <v>32.700000000000003</v>
      </c>
      <c r="P71" s="46"/>
      <c r="Q71" s="46">
        <v>17.3</v>
      </c>
      <c r="R71" s="47">
        <f t="shared" si="31"/>
        <v>50</v>
      </c>
      <c r="S71" s="28">
        <v>2</v>
      </c>
      <c r="T71" s="284"/>
      <c r="U71" s="275">
        <v>43153</v>
      </c>
      <c r="V71" s="37" t="s">
        <v>901</v>
      </c>
      <c r="W71" s="28" t="s">
        <v>304</v>
      </c>
      <c r="X71" s="28" t="s">
        <v>12</v>
      </c>
      <c r="Y71" s="38">
        <v>32.700000000000003</v>
      </c>
      <c r="Z71" s="28" t="s">
        <v>878</v>
      </c>
      <c r="AA71" s="28" t="s">
        <v>27</v>
      </c>
      <c r="AB71" s="28" t="s">
        <v>11</v>
      </c>
      <c r="AC71" s="28">
        <v>10</v>
      </c>
      <c r="AD71" s="37" t="s">
        <v>898</v>
      </c>
      <c r="AE71" s="28" t="s">
        <v>900</v>
      </c>
      <c r="AF71" s="28" t="s">
        <v>11</v>
      </c>
      <c r="AG71" s="38">
        <v>7.3</v>
      </c>
      <c r="AL71" s="37"/>
      <c r="AO71" s="38"/>
      <c r="AP71" s="37"/>
      <c r="AS71" s="38"/>
      <c r="AW71" s="38"/>
      <c r="BA71" s="39"/>
    </row>
    <row r="72" spans="1:53" s="28" customFormat="1" x14ac:dyDescent="0.15">
      <c r="A72" s="28">
        <v>2019</v>
      </c>
      <c r="B72" s="275"/>
      <c r="C72" s="424" t="s">
        <v>1452</v>
      </c>
      <c r="D72" s="424"/>
      <c r="E72" s="28">
        <v>0</v>
      </c>
      <c r="G72" s="65">
        <v>6</v>
      </c>
      <c r="I72" s="28">
        <v>9</v>
      </c>
      <c r="J72" s="72">
        <v>15</v>
      </c>
      <c r="K72" s="46">
        <f t="shared" ref="K72:K85" si="36">G72/J72*100</f>
        <v>40</v>
      </c>
      <c r="L72" s="46">
        <f t="shared" ref="L72:L85" si="37">H72/J72*100</f>
        <v>0</v>
      </c>
      <c r="M72" s="46">
        <f t="shared" ref="M72:M85" si="38">I72/J72*100</f>
        <v>60</v>
      </c>
      <c r="N72" s="47">
        <f t="shared" ref="N72:N85" si="39">SUM(K72:M72)</f>
        <v>100</v>
      </c>
      <c r="O72" s="46">
        <v>32.700000000000003</v>
      </c>
      <c r="P72" s="46"/>
      <c r="Q72" s="46">
        <v>17.3</v>
      </c>
      <c r="R72" s="47">
        <f t="shared" ref="R72:R79" si="40">SUM(O72:Q72)</f>
        <v>50</v>
      </c>
      <c r="S72" s="28">
        <v>2</v>
      </c>
      <c r="T72" s="284"/>
      <c r="U72" s="275"/>
      <c r="V72" s="37" t="s">
        <v>901</v>
      </c>
      <c r="W72" s="28" t="s">
        <v>304</v>
      </c>
      <c r="X72" s="28" t="s">
        <v>12</v>
      </c>
      <c r="Y72" s="38">
        <v>32.700000000000003</v>
      </c>
      <c r="Z72" s="28" t="s">
        <v>878</v>
      </c>
      <c r="AA72" s="28" t="s">
        <v>27</v>
      </c>
      <c r="AB72" s="28" t="s">
        <v>11</v>
      </c>
      <c r="AC72" s="28">
        <v>10</v>
      </c>
      <c r="AD72" s="37" t="s">
        <v>898</v>
      </c>
      <c r="AE72" s="28" t="s">
        <v>900</v>
      </c>
      <c r="AF72" s="28" t="s">
        <v>11</v>
      </c>
      <c r="AG72" s="38">
        <v>7.3</v>
      </c>
      <c r="AL72" s="37"/>
      <c r="AO72" s="38"/>
      <c r="AS72" s="38"/>
      <c r="AW72" s="38"/>
      <c r="BA72" s="39"/>
    </row>
    <row r="73" spans="1:53" s="28" customFormat="1" x14ac:dyDescent="0.15">
      <c r="A73" s="28">
        <v>2019</v>
      </c>
      <c r="B73" s="275"/>
      <c r="C73" s="424" t="s">
        <v>1452</v>
      </c>
      <c r="D73" s="424"/>
      <c r="E73" s="28">
        <v>365</v>
      </c>
      <c r="F73" s="39"/>
      <c r="G73" s="28">
        <v>6</v>
      </c>
      <c r="I73" s="28">
        <v>9</v>
      </c>
      <c r="J73" s="72">
        <v>15</v>
      </c>
      <c r="K73" s="46">
        <f t="shared" si="36"/>
        <v>40</v>
      </c>
      <c r="L73" s="46">
        <f t="shared" si="37"/>
        <v>0</v>
      </c>
      <c r="M73" s="46">
        <f t="shared" si="38"/>
        <v>60</v>
      </c>
      <c r="N73" s="47">
        <f t="shared" si="39"/>
        <v>100</v>
      </c>
      <c r="O73" s="46">
        <v>32.700000000000003</v>
      </c>
      <c r="P73" s="46"/>
      <c r="Q73" s="46">
        <v>17.3</v>
      </c>
      <c r="R73" s="47">
        <f t="shared" si="40"/>
        <v>50</v>
      </c>
      <c r="S73" s="39">
        <v>2</v>
      </c>
      <c r="T73" s="319"/>
      <c r="U73" s="275"/>
      <c r="V73" s="37" t="s">
        <v>901</v>
      </c>
      <c r="W73" s="28" t="s">
        <v>304</v>
      </c>
      <c r="X73" s="28" t="s">
        <v>12</v>
      </c>
      <c r="Y73" s="38">
        <v>32.700000000000003</v>
      </c>
      <c r="Z73" s="28" t="s">
        <v>878</v>
      </c>
      <c r="AA73" s="28" t="s">
        <v>27</v>
      </c>
      <c r="AB73" s="28" t="s">
        <v>11</v>
      </c>
      <c r="AC73" s="38">
        <v>10</v>
      </c>
      <c r="AD73" s="28" t="s">
        <v>898</v>
      </c>
      <c r="AE73" s="28" t="s">
        <v>900</v>
      </c>
      <c r="AF73" s="28" t="s">
        <v>11</v>
      </c>
      <c r="AG73" s="38">
        <v>7.3</v>
      </c>
      <c r="AK73" s="38"/>
      <c r="AO73" s="38"/>
      <c r="AS73" s="38"/>
      <c r="AW73" s="38"/>
      <c r="BA73" s="39"/>
    </row>
    <row r="74" spans="1:53" s="28" customFormat="1" x14ac:dyDescent="0.15">
      <c r="A74" s="28">
        <v>2020</v>
      </c>
      <c r="B74" s="275"/>
      <c r="C74" s="424" t="s">
        <v>1452</v>
      </c>
      <c r="D74" s="424"/>
      <c r="E74" s="28">
        <v>80</v>
      </c>
      <c r="F74" s="39"/>
      <c r="G74" s="28">
        <v>6</v>
      </c>
      <c r="I74" s="28">
        <v>9</v>
      </c>
      <c r="J74" s="72">
        <v>15</v>
      </c>
      <c r="K74" s="46">
        <f t="shared" si="36"/>
        <v>40</v>
      </c>
      <c r="L74" s="46">
        <f t="shared" si="37"/>
        <v>0</v>
      </c>
      <c r="M74" s="46">
        <f t="shared" si="38"/>
        <v>60</v>
      </c>
      <c r="N74" s="47">
        <f t="shared" si="39"/>
        <v>100</v>
      </c>
      <c r="O74" s="46">
        <v>32.700000000000003</v>
      </c>
      <c r="P74" s="46"/>
      <c r="Q74" s="46">
        <v>17.3</v>
      </c>
      <c r="R74" s="47">
        <f t="shared" si="40"/>
        <v>50</v>
      </c>
      <c r="S74" s="39">
        <v>2</v>
      </c>
      <c r="T74" s="319"/>
      <c r="U74" s="342"/>
      <c r="V74" s="28" t="s">
        <v>901</v>
      </c>
      <c r="W74" s="28" t="s">
        <v>304</v>
      </c>
      <c r="X74" s="28" t="s">
        <v>12</v>
      </c>
      <c r="Y74" s="38">
        <v>32.700000000000003</v>
      </c>
      <c r="Z74" s="28" t="s">
        <v>878</v>
      </c>
      <c r="AA74" s="28" t="s">
        <v>27</v>
      </c>
      <c r="AB74" s="28" t="s">
        <v>11</v>
      </c>
      <c r="AC74" s="38">
        <v>10</v>
      </c>
      <c r="AD74" s="28" t="s">
        <v>898</v>
      </c>
      <c r="AE74" s="28" t="s">
        <v>900</v>
      </c>
      <c r="AF74" s="28" t="s">
        <v>11</v>
      </c>
      <c r="AG74" s="38">
        <v>7.3</v>
      </c>
      <c r="AK74" s="38"/>
      <c r="AO74" s="38"/>
      <c r="AS74" s="38"/>
      <c r="AW74" s="38"/>
      <c r="BA74" s="39"/>
    </row>
    <row r="75" spans="1:53" s="170" customFormat="1" x14ac:dyDescent="0.15">
      <c r="A75" s="170">
        <v>2020</v>
      </c>
      <c r="B75" s="304">
        <v>43911</v>
      </c>
      <c r="C75" s="425" t="s">
        <v>1507</v>
      </c>
      <c r="D75" s="425"/>
      <c r="E75" s="170">
        <v>286</v>
      </c>
      <c r="F75" s="179">
        <v>1</v>
      </c>
      <c r="G75" s="170">
        <v>15</v>
      </c>
      <c r="J75" s="240">
        <v>15</v>
      </c>
      <c r="K75" s="213">
        <f t="shared" si="36"/>
        <v>100</v>
      </c>
      <c r="L75" s="213">
        <f t="shared" si="37"/>
        <v>0</v>
      </c>
      <c r="M75" s="213">
        <f t="shared" si="38"/>
        <v>0</v>
      </c>
      <c r="N75" s="214">
        <f t="shared" si="39"/>
        <v>100</v>
      </c>
      <c r="O75" s="213">
        <v>63.3</v>
      </c>
      <c r="P75" s="213"/>
      <c r="Q75" s="213"/>
      <c r="R75" s="214">
        <f t="shared" si="40"/>
        <v>63.3</v>
      </c>
      <c r="S75" s="179">
        <v>3</v>
      </c>
      <c r="T75" s="346">
        <v>43890</v>
      </c>
      <c r="U75" s="338">
        <v>43911</v>
      </c>
      <c r="V75" s="170" t="s">
        <v>1471</v>
      </c>
      <c r="W75" s="170" t="s">
        <v>74</v>
      </c>
      <c r="X75" s="170" t="s">
        <v>11</v>
      </c>
      <c r="Y75" s="178">
        <v>35.299999999999997</v>
      </c>
      <c r="Z75" s="170" t="s">
        <v>897</v>
      </c>
      <c r="AA75" s="170" t="s">
        <v>899</v>
      </c>
      <c r="AB75" s="170" t="s">
        <v>11</v>
      </c>
      <c r="AC75" s="178">
        <v>8.6999999999999993</v>
      </c>
      <c r="AD75" s="170" t="s">
        <v>1479</v>
      </c>
      <c r="AE75" s="170" t="s">
        <v>1481</v>
      </c>
      <c r="AF75" s="170" t="s">
        <v>11</v>
      </c>
      <c r="AG75" s="178">
        <v>11.3</v>
      </c>
      <c r="AH75" s="170" t="s">
        <v>1472</v>
      </c>
      <c r="AI75" s="170" t="s">
        <v>1308</v>
      </c>
      <c r="AJ75" s="170" t="s">
        <v>11</v>
      </c>
      <c r="AK75" s="178">
        <v>8</v>
      </c>
      <c r="AO75" s="178"/>
      <c r="AS75" s="178"/>
      <c r="AW75" s="178"/>
      <c r="BA75" s="179"/>
    </row>
    <row r="76" spans="1:53" s="170" customFormat="1" x14ac:dyDescent="0.15">
      <c r="A76" s="170">
        <v>2021</v>
      </c>
      <c r="B76" s="304"/>
      <c r="C76" s="425" t="s">
        <v>1507</v>
      </c>
      <c r="D76" s="425"/>
      <c r="E76" s="170">
        <v>71</v>
      </c>
      <c r="F76" s="179"/>
      <c r="G76" s="170">
        <v>15</v>
      </c>
      <c r="J76" s="240">
        <v>15</v>
      </c>
      <c r="K76" s="213">
        <f t="shared" si="36"/>
        <v>100</v>
      </c>
      <c r="L76" s="213">
        <f t="shared" si="37"/>
        <v>0</v>
      </c>
      <c r="M76" s="213">
        <f t="shared" si="38"/>
        <v>0</v>
      </c>
      <c r="N76" s="214">
        <f t="shared" si="39"/>
        <v>100</v>
      </c>
      <c r="O76" s="213">
        <v>63.3</v>
      </c>
      <c r="P76" s="213"/>
      <c r="Q76" s="213"/>
      <c r="R76" s="214">
        <f t="shared" si="40"/>
        <v>63.3</v>
      </c>
      <c r="S76" s="179">
        <v>3</v>
      </c>
      <c r="T76" s="346"/>
      <c r="U76" s="338"/>
      <c r="V76" s="170" t="s">
        <v>1471</v>
      </c>
      <c r="W76" s="170" t="s">
        <v>74</v>
      </c>
      <c r="X76" s="170" t="s">
        <v>11</v>
      </c>
      <c r="Y76" s="178">
        <v>35.299999999999997</v>
      </c>
      <c r="Z76" s="170" t="s">
        <v>897</v>
      </c>
      <c r="AA76" s="170" t="s">
        <v>899</v>
      </c>
      <c r="AB76" s="170" t="s">
        <v>11</v>
      </c>
      <c r="AC76" s="178">
        <v>8.6999999999999993</v>
      </c>
      <c r="AD76" s="170" t="s">
        <v>1479</v>
      </c>
      <c r="AE76" s="170" t="s">
        <v>1481</v>
      </c>
      <c r="AF76" s="170" t="s">
        <v>11</v>
      </c>
      <c r="AG76" s="178">
        <v>11.3</v>
      </c>
      <c r="AH76" s="170" t="s">
        <v>1472</v>
      </c>
      <c r="AI76" s="170" t="s">
        <v>1308</v>
      </c>
      <c r="AJ76" s="170" t="s">
        <v>11</v>
      </c>
      <c r="AK76" s="178">
        <v>8</v>
      </c>
      <c r="AO76" s="178"/>
      <c r="AS76" s="178"/>
      <c r="AW76" s="178"/>
      <c r="BA76" s="179"/>
    </row>
    <row r="77" spans="1:53" s="170" customFormat="1" x14ac:dyDescent="0.15">
      <c r="A77" s="170">
        <v>2021</v>
      </c>
      <c r="B77" s="303">
        <v>44267</v>
      </c>
      <c r="C77" s="425" t="s">
        <v>1507</v>
      </c>
      <c r="D77" s="425"/>
      <c r="E77" s="170">
        <v>5</v>
      </c>
      <c r="F77" s="246">
        <v>0</v>
      </c>
      <c r="G77" s="170">
        <v>14</v>
      </c>
      <c r="J77" s="240">
        <v>14</v>
      </c>
      <c r="K77" s="213">
        <f t="shared" si="36"/>
        <v>100</v>
      </c>
      <c r="L77" s="213">
        <f t="shared" si="37"/>
        <v>0</v>
      </c>
      <c r="M77" s="213">
        <f t="shared" si="38"/>
        <v>0</v>
      </c>
      <c r="N77" s="214">
        <f t="shared" si="39"/>
        <v>100</v>
      </c>
      <c r="O77" s="213">
        <v>63.3</v>
      </c>
      <c r="P77" s="213"/>
      <c r="Q77" s="213"/>
      <c r="R77" s="214">
        <f t="shared" si="40"/>
        <v>63.3</v>
      </c>
      <c r="S77" s="179">
        <v>3</v>
      </c>
      <c r="T77" s="346"/>
      <c r="U77" s="338"/>
      <c r="V77" s="170" t="s">
        <v>1471</v>
      </c>
      <c r="W77" s="170" t="s">
        <v>74</v>
      </c>
      <c r="X77" s="170" t="s">
        <v>11</v>
      </c>
      <c r="Y77" s="178">
        <v>35.299999999999997</v>
      </c>
      <c r="Z77" s="170" t="s">
        <v>897</v>
      </c>
      <c r="AA77" s="170" t="s">
        <v>899</v>
      </c>
      <c r="AB77" s="170" t="s">
        <v>11</v>
      </c>
      <c r="AC77" s="178">
        <v>8.6999999999999993</v>
      </c>
      <c r="AD77" s="170" t="s">
        <v>1479</v>
      </c>
      <c r="AE77" s="170" t="s">
        <v>1481</v>
      </c>
      <c r="AF77" s="170" t="s">
        <v>11</v>
      </c>
      <c r="AG77" s="178">
        <v>11.3</v>
      </c>
      <c r="AH77" s="170" t="s">
        <v>1472</v>
      </c>
      <c r="AI77" s="170" t="s">
        <v>1308</v>
      </c>
      <c r="AJ77" s="170" t="s">
        <v>11</v>
      </c>
      <c r="AK77" s="178">
        <v>8</v>
      </c>
      <c r="AO77" s="178"/>
      <c r="AS77" s="178"/>
      <c r="AW77" s="178"/>
      <c r="BA77" s="179"/>
    </row>
    <row r="78" spans="1:53" s="170" customFormat="1" x14ac:dyDescent="0.15">
      <c r="A78" s="170">
        <v>2021</v>
      </c>
      <c r="B78" s="303">
        <v>44272</v>
      </c>
      <c r="C78" s="425" t="s">
        <v>1507</v>
      </c>
      <c r="D78" s="425"/>
      <c r="E78" s="170">
        <v>14</v>
      </c>
      <c r="F78" s="246">
        <v>0</v>
      </c>
      <c r="G78" s="170">
        <v>13</v>
      </c>
      <c r="J78" s="240">
        <v>13</v>
      </c>
      <c r="K78" s="213">
        <f t="shared" si="36"/>
        <v>100</v>
      </c>
      <c r="L78" s="213">
        <f t="shared" si="37"/>
        <v>0</v>
      </c>
      <c r="M78" s="213">
        <f t="shared" si="38"/>
        <v>0</v>
      </c>
      <c r="N78" s="214">
        <f t="shared" si="39"/>
        <v>100</v>
      </c>
      <c r="O78" s="213">
        <v>63.3</v>
      </c>
      <c r="P78" s="213"/>
      <c r="Q78" s="213"/>
      <c r="R78" s="214">
        <f t="shared" si="40"/>
        <v>63.3</v>
      </c>
      <c r="S78" s="179">
        <v>3</v>
      </c>
      <c r="T78" s="346"/>
      <c r="U78" s="338"/>
      <c r="V78" s="170" t="s">
        <v>1471</v>
      </c>
      <c r="W78" s="170" t="s">
        <v>74</v>
      </c>
      <c r="X78" s="170" t="s">
        <v>11</v>
      </c>
      <c r="Y78" s="178">
        <v>35.299999999999997</v>
      </c>
      <c r="Z78" s="170" t="s">
        <v>897</v>
      </c>
      <c r="AA78" s="170" t="s">
        <v>899</v>
      </c>
      <c r="AB78" s="170" t="s">
        <v>11</v>
      </c>
      <c r="AC78" s="178">
        <v>8.6999999999999993</v>
      </c>
      <c r="AD78" s="170" t="s">
        <v>1479</v>
      </c>
      <c r="AE78" s="170" t="s">
        <v>1481</v>
      </c>
      <c r="AF78" s="170" t="s">
        <v>11</v>
      </c>
      <c r="AG78" s="178">
        <v>11.3</v>
      </c>
      <c r="AH78" s="170" t="s">
        <v>1472</v>
      </c>
      <c r="AI78" s="170" t="s">
        <v>1308</v>
      </c>
      <c r="AJ78" s="170" t="s">
        <v>11</v>
      </c>
      <c r="AK78" s="178">
        <v>8</v>
      </c>
      <c r="AO78" s="178"/>
      <c r="AS78" s="178"/>
      <c r="AW78" s="178"/>
      <c r="BA78" s="179"/>
    </row>
    <row r="79" spans="1:53" s="28" customFormat="1" x14ac:dyDescent="0.15">
      <c r="A79" s="28">
        <v>2021</v>
      </c>
      <c r="B79" s="275">
        <v>44287</v>
      </c>
      <c r="C79" s="424" t="s">
        <v>1506</v>
      </c>
      <c r="D79" s="424"/>
      <c r="E79" s="28">
        <v>275</v>
      </c>
      <c r="F79" s="39">
        <v>2</v>
      </c>
      <c r="G79" s="28">
        <v>15</v>
      </c>
      <c r="J79" s="72">
        <v>15</v>
      </c>
      <c r="K79" s="46">
        <f t="shared" si="36"/>
        <v>100</v>
      </c>
      <c r="L79" s="46">
        <f t="shared" si="37"/>
        <v>0</v>
      </c>
      <c r="M79" s="46">
        <f t="shared" si="38"/>
        <v>0</v>
      </c>
      <c r="N79" s="47">
        <f t="shared" si="39"/>
        <v>100</v>
      </c>
      <c r="O79" s="46">
        <v>62</v>
      </c>
      <c r="P79" s="46"/>
      <c r="Q79" s="46"/>
      <c r="R79" s="47">
        <f t="shared" si="40"/>
        <v>62</v>
      </c>
      <c r="S79" s="39">
        <v>3</v>
      </c>
      <c r="T79" s="319"/>
      <c r="U79" s="342">
        <v>44287</v>
      </c>
      <c r="V79" s="28" t="s">
        <v>1471</v>
      </c>
      <c r="W79" s="28" t="s">
        <v>74</v>
      </c>
      <c r="X79" s="28" t="s">
        <v>11</v>
      </c>
      <c r="Y79" s="38">
        <v>35.299999999999997</v>
      </c>
      <c r="Z79" s="28" t="s">
        <v>897</v>
      </c>
      <c r="AA79" s="28" t="s">
        <v>899</v>
      </c>
      <c r="AB79" s="28" t="s">
        <v>11</v>
      </c>
      <c r="AC79" s="38">
        <v>8.6999999999999993</v>
      </c>
      <c r="AD79" s="28" t="s">
        <v>1479</v>
      </c>
      <c r="AE79" s="28" t="s">
        <v>1481</v>
      </c>
      <c r="AF79" s="28" t="s">
        <v>11</v>
      </c>
      <c r="AG79" s="38">
        <v>11.3</v>
      </c>
      <c r="AH79" s="28" t="s">
        <v>1472</v>
      </c>
      <c r="AI79" s="28" t="s">
        <v>1308</v>
      </c>
      <c r="AJ79" s="28" t="s">
        <v>11</v>
      </c>
      <c r="AK79" s="38">
        <v>6.7</v>
      </c>
      <c r="AO79" s="38"/>
      <c r="AS79" s="38"/>
      <c r="AW79" s="38"/>
      <c r="BA79" s="39"/>
    </row>
    <row r="80" spans="1:53" s="28" customFormat="1" x14ac:dyDescent="0.15">
      <c r="A80" s="28">
        <v>2022</v>
      </c>
      <c r="C80" s="424" t="s">
        <v>1506</v>
      </c>
      <c r="D80" s="424"/>
      <c r="E80" s="28">
        <v>243</v>
      </c>
      <c r="F80" s="340"/>
      <c r="G80" s="28">
        <v>15</v>
      </c>
      <c r="J80" s="72">
        <v>15</v>
      </c>
      <c r="K80" s="46">
        <f t="shared" si="36"/>
        <v>100</v>
      </c>
      <c r="L80" s="46">
        <f t="shared" si="37"/>
        <v>0</v>
      </c>
      <c r="M80" s="46">
        <f t="shared" si="38"/>
        <v>0</v>
      </c>
      <c r="N80" s="47">
        <f t="shared" si="39"/>
        <v>100</v>
      </c>
      <c r="O80" s="46">
        <v>62</v>
      </c>
      <c r="P80" s="46"/>
      <c r="Q80" s="46"/>
      <c r="R80" s="47">
        <f t="shared" ref="R80:R85" si="41">SUM(O80:Q80)</f>
        <v>62</v>
      </c>
      <c r="S80" s="39">
        <v>3</v>
      </c>
      <c r="T80" s="319"/>
      <c r="U80" s="342"/>
      <c r="V80" s="28" t="s">
        <v>1471</v>
      </c>
      <c r="W80" s="28" t="s">
        <v>74</v>
      </c>
      <c r="X80" s="28" t="s">
        <v>11</v>
      </c>
      <c r="Y80" s="38">
        <v>35.299999999999997</v>
      </c>
      <c r="Z80" s="28" t="s">
        <v>897</v>
      </c>
      <c r="AA80" s="28" t="s">
        <v>899</v>
      </c>
      <c r="AB80" s="28" t="s">
        <v>11</v>
      </c>
      <c r="AC80" s="38">
        <v>8.6999999999999993</v>
      </c>
      <c r="AD80" s="28" t="s">
        <v>1479</v>
      </c>
      <c r="AE80" s="28" t="s">
        <v>1481</v>
      </c>
      <c r="AF80" s="28" t="s">
        <v>11</v>
      </c>
      <c r="AG80" s="38">
        <v>11.3</v>
      </c>
      <c r="AH80" s="28" t="s">
        <v>1472</v>
      </c>
      <c r="AI80" s="28" t="s">
        <v>1308</v>
      </c>
      <c r="AJ80" s="28" t="s">
        <v>11</v>
      </c>
      <c r="AK80" s="38">
        <v>6.7</v>
      </c>
      <c r="AO80" s="38"/>
      <c r="AS80" s="38"/>
      <c r="AW80" s="38"/>
      <c r="BA80" s="39"/>
    </row>
    <row r="81" spans="1:53" s="28" customFormat="1" x14ac:dyDescent="0.15">
      <c r="A81" s="28">
        <v>2022</v>
      </c>
      <c r="B81" s="301">
        <v>44804</v>
      </c>
      <c r="C81" s="424" t="s">
        <v>1506</v>
      </c>
      <c r="D81" s="424"/>
      <c r="E81" s="28">
        <v>5</v>
      </c>
      <c r="F81" s="340">
        <v>0</v>
      </c>
      <c r="G81" s="28">
        <v>14</v>
      </c>
      <c r="J81" s="72">
        <v>14</v>
      </c>
      <c r="K81" s="46">
        <f t="shared" si="36"/>
        <v>100</v>
      </c>
      <c r="L81" s="46">
        <f t="shared" si="37"/>
        <v>0</v>
      </c>
      <c r="M81" s="46">
        <f t="shared" si="38"/>
        <v>0</v>
      </c>
      <c r="N81" s="47">
        <f t="shared" si="39"/>
        <v>100</v>
      </c>
      <c r="O81" s="46">
        <v>62</v>
      </c>
      <c r="P81" s="46"/>
      <c r="Q81" s="46"/>
      <c r="R81" s="47">
        <f t="shared" si="41"/>
        <v>62</v>
      </c>
      <c r="S81" s="39">
        <v>3</v>
      </c>
      <c r="T81" s="319"/>
      <c r="U81" s="342"/>
      <c r="V81" s="28" t="s">
        <v>1471</v>
      </c>
      <c r="W81" s="28" t="s">
        <v>74</v>
      </c>
      <c r="X81" s="28" t="s">
        <v>11</v>
      </c>
      <c r="Y81" s="38">
        <v>35.299999999999997</v>
      </c>
      <c r="Z81" s="28" t="s">
        <v>897</v>
      </c>
      <c r="AA81" s="28" t="s">
        <v>899</v>
      </c>
      <c r="AB81" s="28" t="s">
        <v>11</v>
      </c>
      <c r="AC81" s="38">
        <v>8.6999999999999993</v>
      </c>
      <c r="AD81" s="28" t="s">
        <v>1479</v>
      </c>
      <c r="AE81" s="28" t="s">
        <v>1481</v>
      </c>
      <c r="AF81" s="28" t="s">
        <v>11</v>
      </c>
      <c r="AG81" s="38">
        <v>11.3</v>
      </c>
      <c r="AH81" s="28" t="s">
        <v>1472</v>
      </c>
      <c r="AI81" s="28" t="s">
        <v>1308</v>
      </c>
      <c r="AJ81" s="28" t="s">
        <v>11</v>
      </c>
      <c r="AK81" s="38">
        <v>6.7</v>
      </c>
      <c r="AO81" s="38"/>
      <c r="AS81" s="38"/>
      <c r="AW81" s="38"/>
      <c r="BA81" s="39"/>
    </row>
    <row r="82" spans="1:53" s="28" customFormat="1" x14ac:dyDescent="0.15">
      <c r="A82" s="28">
        <v>2022</v>
      </c>
      <c r="B82" s="301">
        <v>44809</v>
      </c>
      <c r="C82" s="424" t="s">
        <v>1506</v>
      </c>
      <c r="D82" s="424"/>
      <c r="E82" s="28">
        <v>8</v>
      </c>
      <c r="F82" s="340">
        <v>0</v>
      </c>
      <c r="G82" s="28">
        <v>11</v>
      </c>
      <c r="J82" s="72">
        <v>11</v>
      </c>
      <c r="K82" s="46">
        <f t="shared" si="36"/>
        <v>100</v>
      </c>
      <c r="L82" s="46">
        <f t="shared" si="37"/>
        <v>0</v>
      </c>
      <c r="M82" s="46">
        <f t="shared" si="38"/>
        <v>0</v>
      </c>
      <c r="N82" s="47">
        <f t="shared" si="39"/>
        <v>100</v>
      </c>
      <c r="O82" s="46">
        <v>62</v>
      </c>
      <c r="P82" s="46"/>
      <c r="Q82" s="46"/>
      <c r="R82" s="47">
        <f t="shared" si="41"/>
        <v>62</v>
      </c>
      <c r="S82" s="39">
        <v>3</v>
      </c>
      <c r="T82" s="319"/>
      <c r="U82" s="342"/>
      <c r="V82" s="28" t="s">
        <v>1471</v>
      </c>
      <c r="W82" s="28" t="s">
        <v>74</v>
      </c>
      <c r="X82" s="28" t="s">
        <v>11</v>
      </c>
      <c r="Y82" s="38">
        <v>35.299999999999997</v>
      </c>
      <c r="Z82" s="28" t="s">
        <v>897</v>
      </c>
      <c r="AA82" s="28" t="s">
        <v>899</v>
      </c>
      <c r="AB82" s="28" t="s">
        <v>11</v>
      </c>
      <c r="AC82" s="38">
        <v>8.6999999999999993</v>
      </c>
      <c r="AD82" s="28" t="s">
        <v>1479</v>
      </c>
      <c r="AE82" s="28" t="s">
        <v>1481</v>
      </c>
      <c r="AF82" s="28" t="s">
        <v>11</v>
      </c>
      <c r="AG82" s="38">
        <v>11.3</v>
      </c>
      <c r="AH82" s="28" t="s">
        <v>1472</v>
      </c>
      <c r="AI82" s="28" t="s">
        <v>1308</v>
      </c>
      <c r="AJ82" s="28" t="s">
        <v>11</v>
      </c>
      <c r="AK82" s="38">
        <v>6.7</v>
      </c>
      <c r="AO82" s="38"/>
      <c r="AS82" s="38"/>
      <c r="AW82" s="38"/>
      <c r="BA82" s="39"/>
    </row>
    <row r="83" spans="1:53" s="170" customFormat="1" x14ac:dyDescent="0.15">
      <c r="A83" s="170">
        <v>2022</v>
      </c>
      <c r="B83" s="281">
        <v>44817</v>
      </c>
      <c r="C83" s="425" t="s">
        <v>1538</v>
      </c>
      <c r="D83" s="425"/>
      <c r="E83" s="170">
        <v>94</v>
      </c>
      <c r="F83" s="179">
        <v>4</v>
      </c>
      <c r="G83" s="170">
        <v>11</v>
      </c>
      <c r="J83" s="240">
        <v>15</v>
      </c>
      <c r="K83" s="213">
        <f t="shared" si="36"/>
        <v>73.333333333333329</v>
      </c>
      <c r="L83" s="213">
        <f t="shared" si="37"/>
        <v>0</v>
      </c>
      <c r="M83" s="213">
        <f t="shared" si="38"/>
        <v>0</v>
      </c>
      <c r="N83" s="214">
        <f t="shared" si="39"/>
        <v>73.333333333333329</v>
      </c>
      <c r="O83" s="213">
        <v>45.3</v>
      </c>
      <c r="P83" s="213"/>
      <c r="Q83" s="213"/>
      <c r="R83" s="214">
        <f t="shared" si="41"/>
        <v>45.3</v>
      </c>
      <c r="S83" s="179">
        <v>5</v>
      </c>
      <c r="T83" s="346"/>
      <c r="U83" s="281">
        <v>44817</v>
      </c>
      <c r="V83" s="170" t="s">
        <v>1471</v>
      </c>
      <c r="W83" s="170" t="s">
        <v>74</v>
      </c>
      <c r="X83" s="170" t="s">
        <v>11</v>
      </c>
      <c r="Y83" s="178">
        <v>34</v>
      </c>
      <c r="Z83" s="170" t="s">
        <v>1479</v>
      </c>
      <c r="AA83" s="170" t="s">
        <v>1481</v>
      </c>
      <c r="AB83" s="170" t="s">
        <v>11</v>
      </c>
      <c r="AC83" s="178">
        <v>11.3</v>
      </c>
      <c r="AD83" s="170" t="s">
        <v>1472</v>
      </c>
      <c r="AE83" s="170" t="s">
        <v>1308</v>
      </c>
      <c r="AF83" s="170" t="s">
        <v>11</v>
      </c>
      <c r="AG83" s="178" t="s">
        <v>327</v>
      </c>
      <c r="AK83" s="178"/>
      <c r="AO83" s="178"/>
      <c r="AS83" s="178"/>
      <c r="AW83" s="178"/>
      <c r="BA83" s="179"/>
    </row>
    <row r="84" spans="1:53" s="28" customFormat="1" x14ac:dyDescent="0.15">
      <c r="A84" s="28">
        <v>2022</v>
      </c>
      <c r="B84" s="293">
        <v>44911</v>
      </c>
      <c r="C84" s="424" t="s">
        <v>1539</v>
      </c>
      <c r="D84" s="424"/>
      <c r="E84" s="28">
        <v>7</v>
      </c>
      <c r="F84" s="39">
        <v>5</v>
      </c>
      <c r="G84" s="28">
        <v>11</v>
      </c>
      <c r="J84" s="72">
        <v>15</v>
      </c>
      <c r="K84" s="46">
        <f t="shared" si="36"/>
        <v>73.333333333333329</v>
      </c>
      <c r="L84" s="46">
        <f t="shared" si="37"/>
        <v>0</v>
      </c>
      <c r="M84" s="46">
        <f t="shared" si="38"/>
        <v>0</v>
      </c>
      <c r="N84" s="47">
        <f t="shared" si="39"/>
        <v>73.333333333333329</v>
      </c>
      <c r="O84" s="46">
        <v>45.3</v>
      </c>
      <c r="P84" s="46"/>
      <c r="Q84" s="46"/>
      <c r="R84" s="47">
        <f t="shared" si="41"/>
        <v>45.3</v>
      </c>
      <c r="S84" s="39">
        <v>6</v>
      </c>
      <c r="T84" s="319"/>
      <c r="U84" s="342">
        <v>44911</v>
      </c>
      <c r="V84" s="88" t="s">
        <v>1326</v>
      </c>
      <c r="Z84" s="28" t="s">
        <v>1471</v>
      </c>
      <c r="AA84" s="28" t="s">
        <v>74</v>
      </c>
      <c r="AB84" s="28" t="s">
        <v>11</v>
      </c>
      <c r="AC84" s="38">
        <v>34</v>
      </c>
      <c r="AD84" s="28" t="s">
        <v>1479</v>
      </c>
      <c r="AE84" s="28" t="s">
        <v>1481</v>
      </c>
      <c r="AF84" s="28" t="s">
        <v>11</v>
      </c>
      <c r="AG84" s="38">
        <v>11.3</v>
      </c>
      <c r="AH84" s="28" t="s">
        <v>1472</v>
      </c>
      <c r="AI84" s="28" t="s">
        <v>1308</v>
      </c>
      <c r="AJ84" s="28" t="s">
        <v>11</v>
      </c>
      <c r="AK84" s="38" t="s">
        <v>327</v>
      </c>
      <c r="AO84" s="38"/>
      <c r="AS84" s="38"/>
      <c r="AW84" s="38"/>
      <c r="BA84" s="39"/>
    </row>
    <row r="85" spans="1:53" s="28" customFormat="1" x14ac:dyDescent="0.15">
      <c r="A85" s="28">
        <v>2022</v>
      </c>
      <c r="B85" s="301">
        <v>44918</v>
      </c>
      <c r="C85" s="424" t="s">
        <v>1539</v>
      </c>
      <c r="D85" s="424"/>
      <c r="E85" s="28">
        <v>8</v>
      </c>
      <c r="F85" s="340">
        <v>0</v>
      </c>
      <c r="G85" s="28">
        <v>10</v>
      </c>
      <c r="J85" s="72">
        <v>14</v>
      </c>
      <c r="K85" s="46">
        <f t="shared" si="36"/>
        <v>71.428571428571431</v>
      </c>
      <c r="L85" s="46">
        <f t="shared" si="37"/>
        <v>0</v>
      </c>
      <c r="M85" s="46">
        <f t="shared" si="38"/>
        <v>0</v>
      </c>
      <c r="N85" s="47">
        <f t="shared" si="39"/>
        <v>71.428571428571431</v>
      </c>
      <c r="O85" s="46">
        <v>45.3</v>
      </c>
      <c r="P85" s="46"/>
      <c r="Q85" s="46"/>
      <c r="R85" s="47">
        <f t="shared" si="41"/>
        <v>45.3</v>
      </c>
      <c r="S85" s="39">
        <v>6</v>
      </c>
      <c r="T85" s="319"/>
      <c r="U85" s="342"/>
      <c r="V85" s="88" t="s">
        <v>1326</v>
      </c>
      <c r="Z85" s="28" t="s">
        <v>1471</v>
      </c>
      <c r="AA85" s="28" t="s">
        <v>74</v>
      </c>
      <c r="AB85" s="28" t="s">
        <v>11</v>
      </c>
      <c r="AC85" s="38">
        <v>34</v>
      </c>
      <c r="AD85" s="28" t="s">
        <v>1479</v>
      </c>
      <c r="AE85" s="28" t="s">
        <v>1481</v>
      </c>
      <c r="AF85" s="28" t="s">
        <v>11</v>
      </c>
      <c r="AG85" s="38">
        <v>11.3</v>
      </c>
      <c r="AH85" s="28" t="s">
        <v>1472</v>
      </c>
      <c r="AI85" s="28" t="s">
        <v>1308</v>
      </c>
      <c r="AJ85" s="28" t="s">
        <v>11</v>
      </c>
      <c r="AK85" s="38" t="s">
        <v>327</v>
      </c>
      <c r="AO85" s="38"/>
      <c r="AS85" s="38"/>
      <c r="AW85" s="38"/>
      <c r="BA85" s="39"/>
    </row>
    <row r="86" spans="1:53" ht="18" customHeight="1" x14ac:dyDescent="0.15">
      <c r="B86" s="15" t="s">
        <v>1262</v>
      </c>
    </row>
    <row r="87" spans="1:53" ht="9" customHeight="1" x14ac:dyDescent="0.15"/>
    <row r="88" spans="1:53" s="194" customFormat="1" ht="9" customHeight="1" x14ac:dyDescent="0.15">
      <c r="A88" s="192"/>
      <c r="B88" s="193" t="s">
        <v>1213</v>
      </c>
      <c r="C88" s="193"/>
      <c r="D88" s="193"/>
      <c r="E88" s="193"/>
      <c r="F88" s="193"/>
      <c r="G88" s="193" t="s">
        <v>1214</v>
      </c>
      <c r="H88" s="193"/>
      <c r="I88" s="193"/>
      <c r="J88" s="193"/>
      <c r="K88" s="193"/>
      <c r="L88" s="193"/>
      <c r="M88" s="193"/>
      <c r="N88" s="193"/>
      <c r="R88" s="386" t="s">
        <v>1215</v>
      </c>
      <c r="S88" s="386"/>
      <c r="T88" s="386"/>
      <c r="U88" s="386"/>
      <c r="V88" s="386"/>
      <c r="W88" s="386"/>
      <c r="X88" s="195"/>
      <c r="Y88" s="195"/>
      <c r="AA88" s="195"/>
      <c r="AB88" s="195"/>
      <c r="AC88" s="195"/>
      <c r="AD88" s="195"/>
    </row>
    <row r="89" spans="1:53" s="199" customFormat="1" ht="9" customHeight="1" x14ac:dyDescent="0.15">
      <c r="A89" s="196"/>
      <c r="B89" s="197" t="s">
        <v>1217</v>
      </c>
      <c r="C89" s="198"/>
      <c r="D89" s="198"/>
      <c r="E89" s="198"/>
      <c r="F89" s="198"/>
      <c r="G89" s="197" t="s">
        <v>1216</v>
      </c>
      <c r="H89" s="198"/>
      <c r="I89" s="198"/>
      <c r="J89" s="198"/>
      <c r="K89" s="198"/>
      <c r="L89" s="198"/>
      <c r="M89" s="198"/>
      <c r="N89" s="198"/>
      <c r="R89" s="200" t="s">
        <v>1218</v>
      </c>
      <c r="S89" s="201"/>
      <c r="T89" s="202"/>
      <c r="U89" s="202"/>
      <c r="V89" s="202"/>
      <c r="W89" s="200" t="s">
        <v>1219</v>
      </c>
      <c r="X89" s="202"/>
      <c r="Y89" s="202"/>
      <c r="AA89" s="202"/>
      <c r="AB89" s="202"/>
      <c r="AC89" s="202"/>
      <c r="AD89" s="202"/>
    </row>
    <row r="90" spans="1:53" s="185" customFormat="1" ht="12" customHeight="1" x14ac:dyDescent="0.15">
      <c r="A90" s="203" t="s">
        <v>3</v>
      </c>
      <c r="B90" s="204" t="s">
        <v>8</v>
      </c>
      <c r="C90" s="204" t="s">
        <v>9</v>
      </c>
      <c r="D90" s="204" t="s">
        <v>10</v>
      </c>
      <c r="E90" s="205" t="s">
        <v>1193</v>
      </c>
      <c r="F90" s="204"/>
      <c r="G90" s="185" t="s">
        <v>3</v>
      </c>
      <c r="H90" s="387" t="s">
        <v>0</v>
      </c>
      <c r="I90" s="387"/>
      <c r="J90" s="387" t="s">
        <v>1</v>
      </c>
      <c r="K90" s="387"/>
      <c r="L90" s="387" t="s">
        <v>2</v>
      </c>
      <c r="M90" s="387"/>
      <c r="N90" s="388" t="s">
        <v>1193</v>
      </c>
      <c r="O90" s="388"/>
      <c r="P90" s="206"/>
      <c r="Q90" s="206"/>
      <c r="R90" s="207" t="s">
        <v>3</v>
      </c>
      <c r="S90" s="208" t="s">
        <v>135</v>
      </c>
      <c r="T90" s="206" t="s">
        <v>133</v>
      </c>
      <c r="U90" s="204" t="s">
        <v>134</v>
      </c>
      <c r="V90" s="206"/>
      <c r="W90" s="209" t="s">
        <v>26</v>
      </c>
    </row>
    <row r="91" spans="1:53" x14ac:dyDescent="0.15">
      <c r="A91" s="1">
        <v>1990</v>
      </c>
      <c r="B91" s="5">
        <f>(K7*($E7/188))</f>
        <v>65.217391304347828</v>
      </c>
      <c r="C91" s="5">
        <f>(L7*($E7/188))</f>
        <v>34.782608695652172</v>
      </c>
      <c r="D91" s="5">
        <f>(M7*($E7/188))</f>
        <v>0</v>
      </c>
      <c r="E91" s="23">
        <f>B91+C91+D91</f>
        <v>100</v>
      </c>
      <c r="F91" s="9"/>
      <c r="G91" s="9">
        <v>1990</v>
      </c>
      <c r="H91" s="392">
        <f>((O7/$R7*100*($E7/188)))</f>
        <v>63.937282229965156</v>
      </c>
      <c r="I91" s="392"/>
      <c r="J91" s="392">
        <f>((P7/$R7*100*($E7/188)))</f>
        <v>36.062717770034844</v>
      </c>
      <c r="K91" s="392"/>
      <c r="L91" s="392">
        <f>((Q7/$R7*100*($E7/188)))</f>
        <v>0</v>
      </c>
      <c r="M91" s="392"/>
      <c r="N91" s="413">
        <f>H91+J91+L91</f>
        <v>100</v>
      </c>
      <c r="O91" s="413"/>
      <c r="P91" s="9"/>
      <c r="Q91" s="9"/>
      <c r="R91" s="9">
        <v>1990</v>
      </c>
      <c r="S91" s="5">
        <f>(O7*($E7/188))</f>
        <v>36.700000000000003</v>
      </c>
      <c r="T91" s="5">
        <f>(P7*($E7/188))</f>
        <v>20.7</v>
      </c>
      <c r="U91" s="5">
        <f>(Q7*($E7/188))</f>
        <v>0</v>
      </c>
      <c r="V91" s="9"/>
      <c r="W91" s="5">
        <f>S91+T91+U91</f>
        <v>57.400000000000006</v>
      </c>
      <c r="X91" s="24"/>
      <c r="Y91" s="124" t="s">
        <v>1205</v>
      </c>
      <c r="Z91" s="24"/>
    </row>
    <row r="92" spans="1:53" x14ac:dyDescent="0.15">
      <c r="A92" s="1">
        <v>1991</v>
      </c>
      <c r="B92" s="5">
        <f>(K8*($E8/365))+(K9*($E9/365))</f>
        <v>62.203692674210849</v>
      </c>
      <c r="C92" s="5">
        <f>(L8*($E8/365))+(L9*($E9/365))</f>
        <v>37.796307325789158</v>
      </c>
      <c r="D92" s="5">
        <f>(M8*($E8/365))+(M9*($E9/365))</f>
        <v>0</v>
      </c>
      <c r="E92" s="23">
        <f>B92+C92+D92</f>
        <v>100</v>
      </c>
      <c r="F92" s="9"/>
      <c r="G92" s="9">
        <v>1991</v>
      </c>
      <c r="H92" s="392">
        <f>(O8/$R8*100*($E8/365))+(O9/$R9*100*($E9/365))</f>
        <v>63.937282229965163</v>
      </c>
      <c r="I92" s="392"/>
      <c r="J92" s="392">
        <f>(P8/$R8*100*($E8/365))+(P9/$R9*100*($E9/365))</f>
        <v>36.062717770034844</v>
      </c>
      <c r="K92" s="392"/>
      <c r="L92" s="392">
        <f>(Q8/$R8*100*($E8/365))+(Q9/$R9*100*($E9/365))</f>
        <v>0</v>
      </c>
      <c r="M92" s="392"/>
      <c r="N92" s="413">
        <f>H92+J92+L92</f>
        <v>100</v>
      </c>
      <c r="O92" s="413"/>
      <c r="P92" s="9"/>
      <c r="Q92" s="9"/>
      <c r="R92" s="9">
        <v>1991</v>
      </c>
      <c r="S92" s="5">
        <f>(O8*($E8/365))+(O9*($E9/365))</f>
        <v>36.700000000000003</v>
      </c>
      <c r="T92" s="5">
        <f>(P8*($E8/365))+(P9*($E9/365))</f>
        <v>20.700000000000003</v>
      </c>
      <c r="U92" s="5">
        <f>(Q8*($E8/365))+(Q9*($E9/365))</f>
        <v>0</v>
      </c>
      <c r="V92" s="9"/>
      <c r="W92" s="5">
        <f>S92+T92+U92</f>
        <v>57.400000000000006</v>
      </c>
      <c r="X92" s="24"/>
      <c r="Y92" s="24"/>
      <c r="Z92" s="24"/>
    </row>
    <row r="93" spans="1:53" x14ac:dyDescent="0.15">
      <c r="A93" s="1">
        <v>1992</v>
      </c>
      <c r="B93" s="5">
        <f>(K10*($E10/366))+(K11*($E11/366))</f>
        <v>81.290092658588748</v>
      </c>
      <c r="C93" s="5">
        <f>(L10*($E10/366))+(L11*($E11/366))</f>
        <v>18.70990734141126</v>
      </c>
      <c r="D93" s="5">
        <f>(M10*($E10/366))+(M11*($E11/366))</f>
        <v>0</v>
      </c>
      <c r="E93" s="23">
        <f>B93+C93+D93</f>
        <v>100</v>
      </c>
      <c r="F93" s="9"/>
      <c r="G93" s="9">
        <v>1992</v>
      </c>
      <c r="H93" s="392">
        <f>(O10/$R10*100*($E10/366))+(O11/$R11*100*($E11/366))</f>
        <v>82.756897241103559</v>
      </c>
      <c r="I93" s="392"/>
      <c r="J93" s="392">
        <f>(P10/$R10*100*($E10/366))+(P11/$R11*100*($E11/366))</f>
        <v>17.243102758896441</v>
      </c>
      <c r="K93" s="392"/>
      <c r="L93" s="392">
        <f>(Q10/$R10*100*($E10/366))+(Q11/$R11*100*($E11/366))</f>
        <v>0</v>
      </c>
      <c r="M93" s="392"/>
      <c r="N93" s="413">
        <f>H93+J93+L93</f>
        <v>100</v>
      </c>
      <c r="O93" s="413"/>
      <c r="P93" s="9"/>
      <c r="Q93" s="9"/>
      <c r="R93" s="9">
        <v>1992</v>
      </c>
      <c r="S93" s="5">
        <f>(O10*($E10/366))+(O11*($E11/366))</f>
        <v>48.49398907103825</v>
      </c>
      <c r="T93" s="5">
        <f>(P10*($E10/366))+(P11*($E11/366))</f>
        <v>9.8975409836065573</v>
      </c>
      <c r="U93" s="5">
        <f>(Q10*($E10/366))+(Q11*($E11/366))</f>
        <v>0</v>
      </c>
      <c r="V93" s="9"/>
      <c r="W93" s="5">
        <f>S93+T93+U93</f>
        <v>58.391530054644804</v>
      </c>
    </row>
    <row r="94" spans="1:53" x14ac:dyDescent="0.15">
      <c r="A94" s="1">
        <v>1993</v>
      </c>
      <c r="B94" s="5">
        <f>(K12*($E12/365))+(K13*($E13/365))+(K14*($E14/365))+(K15*($E15/365))</f>
        <v>100</v>
      </c>
      <c r="C94" s="5">
        <f>(L12*($E12/365))+(L13*($E13/365))+(L14*($E14/365))+(L15*($E15/365))</f>
        <v>0</v>
      </c>
      <c r="D94" s="5">
        <f>(M12*($E12/365))+(M13*($E13/365))+(M14*($E14/365))+(M15*($E15/365))</f>
        <v>0</v>
      </c>
      <c r="E94" s="23">
        <f t="shared" ref="E94:E113" si="42">B94+C94+D94</f>
        <v>100</v>
      </c>
      <c r="F94" s="9"/>
      <c r="G94" s="9">
        <v>1993</v>
      </c>
      <c r="H94" s="392">
        <f>(O12/$R12*100*($E12/365))+(O13/$R13*100*($E13/365))+(O14/$R14*100*($E14/365))+(O15/$R15*100*($E15/365))</f>
        <v>100</v>
      </c>
      <c r="I94" s="392"/>
      <c r="J94" s="392">
        <f>(P12/$R12*100*($E12/365))+(P13/$R13*100*($E13/365))+(P14/$R14*100*($E14/365))+(P15/$R15*100*($E15/365))</f>
        <v>0</v>
      </c>
      <c r="K94" s="392"/>
      <c r="L94" s="392">
        <f>(Q12/$R12*100*($E12/365))+(Q13/$R13*100*($E13/365))+(Q14/$R14*100*($E14/365))+(Q15/$R15*100*($E15/365))</f>
        <v>0</v>
      </c>
      <c r="M94" s="392"/>
      <c r="N94" s="413">
        <f t="shared" ref="N94:N113" si="43">H94+J94+L94</f>
        <v>100</v>
      </c>
      <c r="O94" s="413"/>
      <c r="P94" s="9"/>
      <c r="Q94" s="9"/>
      <c r="R94" s="9">
        <v>1993</v>
      </c>
      <c r="S94" s="5">
        <f>(O12*($E12/365))+(O13*($E13/365))+(O14*($E14/365))+(O15*($E15/365))</f>
        <v>52.642465753424666</v>
      </c>
      <c r="T94" s="5">
        <f>(P12*($E12/365))+(P13*($E13/365))+(P14*($E14/365))+(P15*($E15/365))</f>
        <v>0</v>
      </c>
      <c r="U94" s="5">
        <f>(Q12*($E12/365))+(Q13*($E13/365))+(Q14*($E14/365))+(Q15*($E15/365))</f>
        <v>0</v>
      </c>
      <c r="V94" s="9"/>
      <c r="W94" s="5">
        <f t="shared" ref="W94:W113" si="44">S94+T94+U94</f>
        <v>52.642465753424666</v>
      </c>
    </row>
    <row r="95" spans="1:53" x14ac:dyDescent="0.15">
      <c r="A95" s="1">
        <v>1994</v>
      </c>
      <c r="B95" s="5">
        <f>(K16*($E16/365))+(K17*($E17/365))+(K18*($E18/365))</f>
        <v>49.284627092846264</v>
      </c>
      <c r="C95" s="5">
        <f>(L16*($E16/365))+(L17*($E17/365))+(L18*($E18/365))</f>
        <v>20.624048706240487</v>
      </c>
      <c r="D95" s="5">
        <f>(M16*($E16/365))+(M17*($E17/365))+(M18*($E18/365))</f>
        <v>30.091324200913242</v>
      </c>
      <c r="E95" s="23">
        <f t="shared" si="42"/>
        <v>100</v>
      </c>
      <c r="F95" s="9"/>
      <c r="G95" s="9">
        <v>1994</v>
      </c>
      <c r="H95" s="392">
        <f>(O16/$R16*100*($E16/365))+(O17/$R17*100*($E17/365))+(O18/$R18*100*($E18/365))</f>
        <v>47.081333802262606</v>
      </c>
      <c r="I95" s="392"/>
      <c r="J95" s="392">
        <f>(P16/$R16*100*($E16/365))+(P17/$R17*100*($E17/365))+(P18/$R18*100*($E18/365))</f>
        <v>19.976657042815894</v>
      </c>
      <c r="K95" s="392"/>
      <c r="L95" s="392">
        <f>(Q16/$R16*100*($E16/365))+(Q17/$R17*100*($E17/365))+(Q18/$R18*100*($E18/365))</f>
        <v>32.942009154921493</v>
      </c>
      <c r="M95" s="392"/>
      <c r="N95" s="413">
        <f t="shared" si="43"/>
        <v>100</v>
      </c>
      <c r="O95" s="413"/>
      <c r="P95" s="9"/>
      <c r="Q95" s="9"/>
      <c r="R95" s="9">
        <v>1994</v>
      </c>
      <c r="S95" s="5">
        <f>(O16*($E16/365))+(O17*($E17/365))+(O18*($E18/365))</f>
        <v>24.445205479452053</v>
      </c>
      <c r="T95" s="5">
        <f>(P16*($E16/365))+(P17*($E17/365))+(P18*($E18/365))</f>
        <v>8.9095890410958898</v>
      </c>
      <c r="U95" s="5">
        <f>(Q16*($E16/365))+(Q17*($E17/365))+(Q18*($E18/365))</f>
        <v>14.773424657534246</v>
      </c>
      <c r="V95" s="9"/>
      <c r="W95" s="5">
        <f t="shared" si="44"/>
        <v>48.12821917808219</v>
      </c>
    </row>
    <row r="96" spans="1:53" x14ac:dyDescent="0.15">
      <c r="A96" s="1">
        <v>1995</v>
      </c>
      <c r="B96" s="5">
        <f>(K19*($E19/365))+(K20*($E20/365))</f>
        <v>77.777777777777786</v>
      </c>
      <c r="C96" s="5">
        <f>(L19*($E19/365))+(L20*($E20/365))</f>
        <v>0</v>
      </c>
      <c r="D96" s="5">
        <f>(M19*($E19/365))+(M20*($E20/365))</f>
        <v>22.222222222222221</v>
      </c>
      <c r="E96" s="23">
        <f t="shared" si="42"/>
        <v>100</v>
      </c>
      <c r="F96" s="9"/>
      <c r="G96" s="9">
        <v>1995</v>
      </c>
      <c r="H96" s="392">
        <f>(O19/$R19*100*($E19/365))+(O20/$R20*100*($E20/365))</f>
        <v>85.164835164835168</v>
      </c>
      <c r="I96" s="392"/>
      <c r="J96" s="392">
        <f>(P19/$R19*100*($E19/365))+(P20/$R20*100*($E20/365))</f>
        <v>0</v>
      </c>
      <c r="K96" s="392"/>
      <c r="L96" s="392">
        <f>(Q19/$R19*100*($E19/365))+(Q20/$R20*100*($E20/365))</f>
        <v>14.835164835164836</v>
      </c>
      <c r="M96" s="392"/>
      <c r="N96" s="413">
        <f t="shared" si="43"/>
        <v>100</v>
      </c>
      <c r="O96" s="413"/>
      <c r="P96" s="9"/>
      <c r="Q96" s="9"/>
      <c r="R96" s="9">
        <v>1995</v>
      </c>
      <c r="S96" s="5">
        <f>(O19*($E19/365))+(O20*($E20/365))</f>
        <v>46.5</v>
      </c>
      <c r="T96" s="5">
        <f>(P19*($E19/365))+(P20*($E20/365))</f>
        <v>0</v>
      </c>
      <c r="U96" s="5">
        <f>(Q19*($E19/365))+(Q20*($E20/365))</f>
        <v>8.1</v>
      </c>
      <c r="V96" s="9"/>
      <c r="W96" s="5">
        <f t="shared" si="44"/>
        <v>54.6</v>
      </c>
    </row>
    <row r="97" spans="1:23" x14ac:dyDescent="0.15">
      <c r="A97" s="1">
        <v>1996</v>
      </c>
      <c r="B97" s="5">
        <f>(K21*($E21/366))+(K22*($E22/366))</f>
        <v>77.777777777777786</v>
      </c>
      <c r="C97" s="5">
        <f>(L21*($E21/366))+(L22*($E22/366))</f>
        <v>0</v>
      </c>
      <c r="D97" s="5">
        <f>(M21*($E21/366))+(M22*($E22/366))</f>
        <v>22.222222222222221</v>
      </c>
      <c r="E97" s="23">
        <f t="shared" si="42"/>
        <v>100</v>
      </c>
      <c r="F97" s="9"/>
      <c r="G97" s="9">
        <v>1996</v>
      </c>
      <c r="H97" s="392">
        <f>(O21/$R21*100*($E21/366))+(O22/$R22*100*($E22/366))</f>
        <v>85.164835164835168</v>
      </c>
      <c r="I97" s="392"/>
      <c r="J97" s="392">
        <f>(P21/$R21*100*($E21/366))+(P22/$R22*100*($E22/366))</f>
        <v>0</v>
      </c>
      <c r="K97" s="392"/>
      <c r="L97" s="392">
        <f>(Q21/$R21*100*($E21/366))+(Q22/$R22*100*($E22/366))</f>
        <v>14.835164835164836</v>
      </c>
      <c r="M97" s="392"/>
      <c r="N97" s="413">
        <f t="shared" si="43"/>
        <v>100</v>
      </c>
      <c r="O97" s="413"/>
      <c r="P97" s="9"/>
      <c r="Q97" s="9"/>
      <c r="R97" s="9">
        <v>1996</v>
      </c>
      <c r="S97" s="5">
        <f>(O21*($E21/366))+(O22*($E22/366))</f>
        <v>46.5</v>
      </c>
      <c r="T97" s="5">
        <f>(P21*($E21/366))+(P22*($E22/366))</f>
        <v>0</v>
      </c>
      <c r="U97" s="5">
        <f>(Q21*($E21/366))+(Q22*($E22/366))</f>
        <v>8.1</v>
      </c>
      <c r="V97" s="9"/>
      <c r="W97" s="5">
        <f t="shared" si="44"/>
        <v>54.6</v>
      </c>
    </row>
    <row r="98" spans="1:23" x14ac:dyDescent="0.15">
      <c r="A98" s="1">
        <v>1997</v>
      </c>
      <c r="B98" s="5">
        <f>(K23*($E23/365))+(K24*($E24/365))</f>
        <v>77.777777777777786</v>
      </c>
      <c r="C98" s="5">
        <f>(L23*($E23/365))+(L24*($E24/365))</f>
        <v>0</v>
      </c>
      <c r="D98" s="5">
        <f>(M23*($E23/365))+(M24*($E24/365))</f>
        <v>22.222222222222221</v>
      </c>
      <c r="E98" s="23">
        <f t="shared" si="42"/>
        <v>100</v>
      </c>
      <c r="F98" s="9"/>
      <c r="G98" s="9">
        <v>1997</v>
      </c>
      <c r="H98" s="392">
        <f>(O23/$R23*100*($E23/365))+(O24/$R24*100*($E24/365))</f>
        <v>85.164835164835168</v>
      </c>
      <c r="I98" s="392"/>
      <c r="J98" s="392">
        <f>(P23/$R23*100*($E23/365))+(P24/$R24*100*($E24/365))</f>
        <v>0</v>
      </c>
      <c r="K98" s="392"/>
      <c r="L98" s="392">
        <f>(Q23/$R23*100*($E23/365))+(Q24/$R24*100*($E24/365))</f>
        <v>14.835164835164836</v>
      </c>
      <c r="M98" s="392"/>
      <c r="N98" s="413">
        <f t="shared" si="43"/>
        <v>100</v>
      </c>
      <c r="O98" s="413"/>
      <c r="P98" s="9"/>
      <c r="Q98" s="9"/>
      <c r="R98" s="9">
        <v>1997</v>
      </c>
      <c r="S98" s="5">
        <f>(O23*($E23/365))+(O24*($E24/365))</f>
        <v>46.5</v>
      </c>
      <c r="T98" s="5">
        <f>(P23*($E23/365))+(P24*($E24/365))</f>
        <v>0</v>
      </c>
      <c r="U98" s="5">
        <f>(Q23*($E23/365))+(Q24*($E24/365))</f>
        <v>8.1</v>
      </c>
      <c r="V98" s="9"/>
      <c r="W98" s="5">
        <f t="shared" si="44"/>
        <v>54.6</v>
      </c>
    </row>
    <row r="99" spans="1:23" x14ac:dyDescent="0.15">
      <c r="A99" s="1">
        <v>1998</v>
      </c>
      <c r="B99" s="5">
        <f>(K25*($E25/365))+(K26*($E26/365))+(K27*($E27/365))+(K28*($E28/365))</f>
        <v>70.742770167427707</v>
      </c>
      <c r="C99" s="5">
        <f>(L25*($E25/365))+(L26*($E26/365))+(L27*($E27/365))+(L28*($E28/365))</f>
        <v>1.3150684931506849</v>
      </c>
      <c r="D99" s="5">
        <f>(M25*($E25/365))+(M26*($E26/365))+(M27*($E27/365))+(M28*($E28/365))</f>
        <v>23.741248097412477</v>
      </c>
      <c r="E99" s="23">
        <f t="shared" si="42"/>
        <v>95.799086757990878</v>
      </c>
      <c r="F99" s="9"/>
      <c r="G99" s="9">
        <v>1998</v>
      </c>
      <c r="H99" s="392">
        <f>(O25/$R25*100*($E25/365))+(O26/$R26*100*($E26/365))+(O27/$R27*100*($E27/365))+(O28/$R28*100*($E28/365))</f>
        <v>82.887900433636176</v>
      </c>
      <c r="I99" s="392"/>
      <c r="J99" s="392">
        <f>(P25/$R25*100*($E25/365))+(P26/$R26*100*($E26/365))+(P27/$R27*100*($E27/365))+(P28/$R28*100*($E28/365))</f>
        <v>1.4140521431727795</v>
      </c>
      <c r="K99" s="392"/>
      <c r="L99" s="392">
        <f>(Q25/$R25*100*($E25/365))+(Q26/$R26*100*($E26/365))+(Q27/$R27*100*($E27/365))+(Q28/$R28*100*($E28/365))</f>
        <v>15.69804742319104</v>
      </c>
      <c r="M99" s="392"/>
      <c r="N99" s="413">
        <f t="shared" si="43"/>
        <v>100</v>
      </c>
      <c r="O99" s="413"/>
      <c r="P99" s="9"/>
      <c r="Q99" s="9"/>
      <c r="R99" s="9">
        <v>1998</v>
      </c>
      <c r="S99" s="5">
        <f>(O25*($E25/365))+(O26*($E26/365))+(O27*($E27/365))+(O28*($E28/365))</f>
        <v>45.640821917808211</v>
      </c>
      <c r="T99" s="5">
        <f>(P25*($E25/365))+(P26*($E26/365))+(P27*($E27/365))+(P28*($E28/365))</f>
        <v>0.87671232876712324</v>
      </c>
      <c r="U99" s="5">
        <f>(Q25*($E25/365))+(Q26*($E26/365))+(Q27*($E27/365))+(Q28*($E28/365))</f>
        <v>8.731232876712328</v>
      </c>
      <c r="V99" s="9"/>
      <c r="W99" s="5">
        <f t="shared" si="44"/>
        <v>55.248767123287664</v>
      </c>
    </row>
    <row r="100" spans="1:23" x14ac:dyDescent="0.15">
      <c r="A100" s="1">
        <v>1999</v>
      </c>
      <c r="B100" s="5">
        <f>(K29*($E29/365))+(K30*($E30/365))</f>
        <v>55.000000000000007</v>
      </c>
      <c r="C100" s="5">
        <f>(L29*($E29/365))+(L30*($E30/365))</f>
        <v>15</v>
      </c>
      <c r="D100" s="5">
        <f>(M29*($E29/365))+(M30*($E30/365))</f>
        <v>30</v>
      </c>
      <c r="E100" s="23">
        <f t="shared" si="42"/>
        <v>100</v>
      </c>
      <c r="F100" s="9"/>
      <c r="G100" s="9">
        <v>1999</v>
      </c>
      <c r="H100" s="392">
        <f>(O29/$R29*100*($E29/365))+(O30/$R30*100*($E30/365))</f>
        <v>59.193548387096783</v>
      </c>
      <c r="I100" s="392"/>
      <c r="J100" s="392">
        <f>(P29/$R29*100*($E29/365))+(P30/$R30*100*($E30/365))</f>
        <v>16.129032258064516</v>
      </c>
      <c r="K100" s="392"/>
      <c r="L100" s="392">
        <f>(Q29/$R29*100*($E29/365))+(Q30/$R30*100*($E30/365))</f>
        <v>24.677419354838712</v>
      </c>
      <c r="M100" s="392"/>
      <c r="N100" s="413">
        <f t="shared" si="43"/>
        <v>100</v>
      </c>
      <c r="O100" s="413"/>
      <c r="P100" s="9"/>
      <c r="Q100" s="9"/>
      <c r="R100" s="9">
        <v>1999</v>
      </c>
      <c r="S100" s="5">
        <f>(O29*($E29/365))+(O30*($E30/365))</f>
        <v>36.700000000000003</v>
      </c>
      <c r="T100" s="5">
        <f>(P29*($E29/365))+(P30*($E30/365))</f>
        <v>10</v>
      </c>
      <c r="U100" s="5">
        <f>(Q29*($E29/365))+(Q30*($E30/365))</f>
        <v>15.3</v>
      </c>
      <c r="V100" s="9"/>
      <c r="W100" s="5">
        <f t="shared" si="44"/>
        <v>62</v>
      </c>
    </row>
    <row r="101" spans="1:23" x14ac:dyDescent="0.15">
      <c r="A101" s="1">
        <v>2000</v>
      </c>
      <c r="B101" s="5">
        <f>(K31*($E31/366))+(K32*($E32/366))</f>
        <v>55.000000000000007</v>
      </c>
      <c r="C101" s="5">
        <f>(L31*($E31/366))+(L32*($E32/366))</f>
        <v>15</v>
      </c>
      <c r="D101" s="5">
        <f>(M31*($E31/366))+(M32*($E32/366))</f>
        <v>30</v>
      </c>
      <c r="E101" s="23">
        <f t="shared" si="42"/>
        <v>100</v>
      </c>
      <c r="F101" s="9"/>
      <c r="G101" s="9">
        <v>2000</v>
      </c>
      <c r="H101" s="392">
        <f>(O31/$R31*100*($E31/366))+(O32/$R32*100*($E32/366))</f>
        <v>59.193548387096783</v>
      </c>
      <c r="I101" s="392"/>
      <c r="J101" s="392">
        <f>(P31/$R31*100*($E31/366))+(P32/$R32*100*($E32/366))</f>
        <v>16.129032258064516</v>
      </c>
      <c r="K101" s="392"/>
      <c r="L101" s="392">
        <f>(Q31/$R31*100*($E31/366))+(Q32/$R32*100*($E32/366))</f>
        <v>24.677419354838712</v>
      </c>
      <c r="M101" s="392"/>
      <c r="N101" s="413">
        <f t="shared" si="43"/>
        <v>100</v>
      </c>
      <c r="O101" s="413"/>
      <c r="P101" s="9"/>
      <c r="Q101" s="9"/>
      <c r="R101" s="9">
        <v>2000</v>
      </c>
      <c r="S101" s="5">
        <f>(O31*($E31/366))+(O32*($E32/366))</f>
        <v>36.700000000000003</v>
      </c>
      <c r="T101" s="5">
        <f>(P31*($E31/366))+(P32*($E32/366))</f>
        <v>10</v>
      </c>
      <c r="U101" s="5">
        <f>(Q31*($E31/366))+(Q32*($E32/366))</f>
        <v>15.3</v>
      </c>
      <c r="V101" s="9"/>
      <c r="W101" s="5">
        <f t="shared" si="44"/>
        <v>62</v>
      </c>
    </row>
    <row r="102" spans="1:23" x14ac:dyDescent="0.15">
      <c r="A102" s="1">
        <v>2001</v>
      </c>
      <c r="B102" s="5">
        <f>(K33*($E33/365))+(K34*($E34/365))</f>
        <v>55.000000000000007</v>
      </c>
      <c r="C102" s="5">
        <f>(L33*($E33/365))+(L34*($E34/365))</f>
        <v>15</v>
      </c>
      <c r="D102" s="5">
        <f>(M33*($E33/365))+(M34*($E34/365))</f>
        <v>30</v>
      </c>
      <c r="E102" s="23">
        <f t="shared" si="42"/>
        <v>100</v>
      </c>
      <c r="F102" s="9"/>
      <c r="G102" s="9">
        <v>2001</v>
      </c>
      <c r="H102" s="392">
        <f>(O33/$R33*100*($E33/365))+(O34/$R34*100*($E34/365))</f>
        <v>59.193548387096783</v>
      </c>
      <c r="I102" s="392"/>
      <c r="J102" s="392">
        <f>(P33/$R33*100*($E33/365))+(P34/$R34*100*($E34/365))</f>
        <v>16.129032258064516</v>
      </c>
      <c r="K102" s="392"/>
      <c r="L102" s="392">
        <f>(Q33/$R33*100*($E33/365))+(Q34/$R34*100*($E34/365))</f>
        <v>24.677419354838712</v>
      </c>
      <c r="M102" s="392"/>
      <c r="N102" s="413">
        <f t="shared" si="43"/>
        <v>100</v>
      </c>
      <c r="O102" s="413"/>
      <c r="P102" s="9"/>
      <c r="Q102" s="9"/>
      <c r="R102" s="9">
        <v>2001</v>
      </c>
      <c r="S102" s="5">
        <f>(O33*($E33/365))+(O34*($E34/365))</f>
        <v>36.700000000000003</v>
      </c>
      <c r="T102" s="5">
        <f>(P33*($E33/365))+(P34*($E34/365))</f>
        <v>10</v>
      </c>
      <c r="U102" s="5">
        <f>(Q33*($E33/365))+(Q34*($E34/365))</f>
        <v>15.3</v>
      </c>
      <c r="V102" s="9"/>
      <c r="W102" s="5">
        <f t="shared" si="44"/>
        <v>62</v>
      </c>
    </row>
    <row r="103" spans="1:23" x14ac:dyDescent="0.15">
      <c r="A103" s="1">
        <v>2002</v>
      </c>
      <c r="B103" s="5">
        <f>(K35*($E35/365))+(K36*($E36/365))</f>
        <v>50.43150684931507</v>
      </c>
      <c r="C103" s="5">
        <f>(L35*($E35/365))+(L36*($E36/365))</f>
        <v>23.349315068493148</v>
      </c>
      <c r="D103" s="5">
        <f>(M35*($E35/365))+(M36*($E36/365))</f>
        <v>26.219178082191778</v>
      </c>
      <c r="E103" s="23">
        <f t="shared" si="42"/>
        <v>100</v>
      </c>
      <c r="F103" s="9"/>
      <c r="G103" s="9">
        <v>2002</v>
      </c>
      <c r="H103" s="392">
        <f>(O35/$R35*100*($E35/365))+(O36/$R36*100*($E36/365))</f>
        <v>54.157143342737697</v>
      </c>
      <c r="I103" s="392"/>
      <c r="J103" s="392">
        <f>(P35/$R35*100*($E35/365))+(P36/$R36*100*($E36/365))</f>
        <v>24.275468234814234</v>
      </c>
      <c r="K103" s="392"/>
      <c r="L103" s="392">
        <f>(Q35/$R35*100*($E35/365))+(Q36/$R36*100*($E36/365))</f>
        <v>21.567388422448079</v>
      </c>
      <c r="M103" s="392"/>
      <c r="N103" s="413">
        <f t="shared" si="43"/>
        <v>100.00000000000001</v>
      </c>
      <c r="O103" s="413"/>
      <c r="P103" s="9"/>
      <c r="Q103" s="9"/>
      <c r="R103" s="9">
        <v>2002</v>
      </c>
      <c r="S103" s="5">
        <f>(O35*($E35/365))+(O36*($E36/365))</f>
        <v>33.335068493150686</v>
      </c>
      <c r="T103" s="5">
        <f>(P35*($E35/365))+(P36*($E36/365))</f>
        <v>14.032876712328768</v>
      </c>
      <c r="U103" s="5">
        <f>(Q35*($E35/365))+(Q36*($E36/365))</f>
        <v>13.371780821917808</v>
      </c>
      <c r="V103" s="9"/>
      <c r="W103" s="5">
        <f t="shared" si="44"/>
        <v>60.739726027397268</v>
      </c>
    </row>
    <row r="104" spans="1:23" x14ac:dyDescent="0.15">
      <c r="A104" s="1">
        <v>2003</v>
      </c>
      <c r="B104" s="5">
        <f>(K37*($E37/365))+(K38*($E38/365))</f>
        <v>18.75</v>
      </c>
      <c r="C104" s="5">
        <f>(L37*($E37/365))+(L38*($E38/365))</f>
        <v>81.25</v>
      </c>
      <c r="D104" s="5">
        <f>(M37*($E37/365))+(M38*($E38/365))</f>
        <v>0</v>
      </c>
      <c r="E104" s="23">
        <f t="shared" si="42"/>
        <v>100</v>
      </c>
      <c r="F104" s="9"/>
      <c r="G104" s="9">
        <v>2003</v>
      </c>
      <c r="H104" s="392">
        <f>(O37/$R37*100*($E37/365))+(O38/$R38*100*($E38/365))</f>
        <v>19.230769230769234</v>
      </c>
      <c r="I104" s="392"/>
      <c r="J104" s="392">
        <f>(P37/$R37*100*($E37/365))+(P38/$R38*100*($E38/365))</f>
        <v>80.769230769230774</v>
      </c>
      <c r="K104" s="392"/>
      <c r="L104" s="392">
        <f>(Q37/$R37*100*($E37/365))+(Q38/$R38*100*($E38/365))</f>
        <v>0</v>
      </c>
      <c r="M104" s="392"/>
      <c r="N104" s="413">
        <f t="shared" si="43"/>
        <v>100</v>
      </c>
      <c r="O104" s="413"/>
      <c r="P104" s="9"/>
      <c r="Q104" s="9"/>
      <c r="R104" s="9">
        <v>2003</v>
      </c>
      <c r="S104" s="5">
        <f>(O37*($E37/365))+(O38*($E38/365))</f>
        <v>10</v>
      </c>
      <c r="T104" s="5">
        <f>(P37*($E37/365))+(P38*($E38/365))</f>
        <v>42</v>
      </c>
      <c r="U104" s="5">
        <f>(Q37*($E37/365))+(Q38*($E38/365))</f>
        <v>0</v>
      </c>
      <c r="V104" s="9"/>
      <c r="W104" s="5">
        <f t="shared" si="44"/>
        <v>52</v>
      </c>
    </row>
    <row r="105" spans="1:23" x14ac:dyDescent="0.15">
      <c r="A105" s="1">
        <v>2004</v>
      </c>
      <c r="B105" s="5">
        <f>(K39*($E39/366))+(K40*($E40/366))</f>
        <v>18.75</v>
      </c>
      <c r="C105" s="5">
        <f>(L39*($E39/366))+(L40*($E40/366))</f>
        <v>81.25</v>
      </c>
      <c r="D105" s="5">
        <f>(M39*($E39/366))+(M40*($E40/366))</f>
        <v>0</v>
      </c>
      <c r="E105" s="23">
        <f t="shared" si="42"/>
        <v>100</v>
      </c>
      <c r="F105" s="9"/>
      <c r="G105" s="9">
        <v>2004</v>
      </c>
      <c r="H105" s="392">
        <f>(O39/$R39*100*($E39/366))+(O40/$R40*100*($E40/366))</f>
        <v>19.230769230769234</v>
      </c>
      <c r="I105" s="392"/>
      <c r="J105" s="392">
        <f>(P39/$R39*100*($E39/366))+(P40/$R40*100*($E40/366))</f>
        <v>80.769230769230774</v>
      </c>
      <c r="K105" s="392"/>
      <c r="L105" s="392">
        <f>(Q39/$R39*100*($E39/366))+(Q40/$R40*100*($E40/366))</f>
        <v>0</v>
      </c>
      <c r="M105" s="392"/>
      <c r="N105" s="413">
        <f t="shared" si="43"/>
        <v>100</v>
      </c>
      <c r="O105" s="413"/>
      <c r="P105" s="9"/>
      <c r="Q105" s="9"/>
      <c r="R105" s="9">
        <v>2004</v>
      </c>
      <c r="S105" s="5">
        <f>(O39*($E39/366))+(O40*($E40/366))</f>
        <v>10</v>
      </c>
      <c r="T105" s="5">
        <f>(P39*($E39/366))+(P40*($E40/366))</f>
        <v>42</v>
      </c>
      <c r="U105" s="5">
        <f>(Q39*($E39/366))+(Q40*($E40/366))</f>
        <v>0</v>
      </c>
      <c r="V105" s="9"/>
      <c r="W105" s="5">
        <f t="shared" si="44"/>
        <v>52</v>
      </c>
    </row>
    <row r="106" spans="1:23" x14ac:dyDescent="0.15">
      <c r="A106" s="1">
        <v>2005</v>
      </c>
      <c r="B106" s="5">
        <f>(K41*($E41/365))+(K42*($E42/365))</f>
        <v>18.75</v>
      </c>
      <c r="C106" s="5">
        <f>(L41*($E41/365))+(L42*($E42/365))</f>
        <v>81.25</v>
      </c>
      <c r="D106" s="5">
        <f>(M41*($E41/365))+(M42*($E42/365))</f>
        <v>0</v>
      </c>
      <c r="E106" s="23">
        <f t="shared" si="42"/>
        <v>100</v>
      </c>
      <c r="F106" s="9"/>
      <c r="G106" s="9">
        <v>2005</v>
      </c>
      <c r="H106" s="392">
        <f>(O41/$R41*100*($E41/365))+(O42/$R42*100*($E42/365))</f>
        <v>19.230769230769234</v>
      </c>
      <c r="I106" s="392"/>
      <c r="J106" s="392">
        <f>(P41/$R41*100*($E41/365))+(P42/$R42*100*($E42/365))</f>
        <v>80.769230769230774</v>
      </c>
      <c r="K106" s="392"/>
      <c r="L106" s="392">
        <f>(Q41/$R41*100*($E41/365))+(Q42/$R42*100*($E42/365))</f>
        <v>0</v>
      </c>
      <c r="M106" s="392"/>
      <c r="N106" s="413">
        <f t="shared" si="43"/>
        <v>100</v>
      </c>
      <c r="O106" s="413"/>
      <c r="P106" s="9"/>
      <c r="Q106" s="9"/>
      <c r="R106" s="9">
        <v>2005</v>
      </c>
      <c r="S106" s="5">
        <f>(O41*($E41/365))+(O42*($E42/365))</f>
        <v>10</v>
      </c>
      <c r="T106" s="5">
        <f>(P41*($E41/365))+(P42*($E42/365))</f>
        <v>42</v>
      </c>
      <c r="U106" s="5">
        <f>(Q41*($E41/365))+(Q42*($E42/365))</f>
        <v>0</v>
      </c>
      <c r="V106" s="9"/>
      <c r="W106" s="5">
        <f t="shared" si="44"/>
        <v>52</v>
      </c>
    </row>
    <row r="107" spans="1:23" x14ac:dyDescent="0.15">
      <c r="A107" s="1">
        <v>2006</v>
      </c>
      <c r="B107" s="5">
        <f>(K43*($E43/365))+(K44*($E44/365))+(K45*($E45/365))+(K46*($E46/365))</f>
        <v>23.304794520547944</v>
      </c>
      <c r="C107" s="5">
        <f>(L43*($E43/365))+(L44*($E44/365))+(L45*($E45/365))+(L46*($E46/365))</f>
        <v>38.458904109589042</v>
      </c>
      <c r="D107" s="5">
        <f>(M43*($E43/365))+(M44*($E44/365))+(M45*($E45/365))+(M46*($E46/365))</f>
        <v>34.092465753424662</v>
      </c>
      <c r="E107" s="23">
        <f t="shared" si="42"/>
        <v>95.856164383561648</v>
      </c>
      <c r="F107" s="9"/>
      <c r="G107" s="9">
        <v>2006</v>
      </c>
      <c r="H107" s="392">
        <f>(O43/$R43*100*($E43/365))+(O44/$R44*100*($E44/365))+(O45/$R45*100*($E45/365))+(O46/$R46*100*($E46/365))</f>
        <v>31.944419101506075</v>
      </c>
      <c r="I107" s="392"/>
      <c r="J107" s="392">
        <f>(P43/$R43*100*($E43/365))+(P44/$R44*100*($E44/365))+(P45/$R45*100*($E45/365))+(P46/$R46*100*($E46/365))</f>
        <v>38.885041898740525</v>
      </c>
      <c r="K107" s="392"/>
      <c r="L107" s="392">
        <f>(Q43/$R43*100*($E43/365))+(Q44/$R44*100*($E44/365))+(Q45/$R45*100*($E45/365))+(Q46/$R46*100*($E46/365))</f>
        <v>29.170538999753393</v>
      </c>
      <c r="M107" s="392"/>
      <c r="N107" s="413">
        <f t="shared" si="43"/>
        <v>99.999999999999986</v>
      </c>
      <c r="O107" s="413"/>
      <c r="P107" s="9"/>
      <c r="Q107" s="9"/>
      <c r="R107" s="9">
        <v>2006</v>
      </c>
      <c r="S107" s="5">
        <f>(O43*($E43/365))+(O44*($E44/365))+(O45*($E45/365))+(O46*($E46/365))</f>
        <v>16.61021917808219</v>
      </c>
      <c r="T107" s="5">
        <f>(P43*($E43/365))+(P44*($E44/365))+(P45*($E45/365))+(P46*($E46/365))</f>
        <v>17.172602739726024</v>
      </c>
      <c r="U107" s="5">
        <f>(Q43*($E43/365))+(Q44*($E44/365))+(Q45*($E45/365))+(Q46*($E46/365))</f>
        <v>16.528027397260274</v>
      </c>
      <c r="V107" s="9"/>
      <c r="W107" s="5">
        <f t="shared" si="44"/>
        <v>50.310849315068488</v>
      </c>
    </row>
    <row r="108" spans="1:23" x14ac:dyDescent="0.15">
      <c r="A108" s="1">
        <v>2007</v>
      </c>
      <c r="B108" s="5">
        <f>(K47*($E47/365))+(K48*($E48/365))</f>
        <v>31.25</v>
      </c>
      <c r="C108" s="5">
        <f>(L47*($E47/365))+(L48*($E48/365))</f>
        <v>0</v>
      </c>
      <c r="D108" s="5">
        <f>(M47*($E47/365))+(M48*($E48/365))</f>
        <v>68.75</v>
      </c>
      <c r="E108" s="23">
        <f t="shared" si="42"/>
        <v>100</v>
      </c>
      <c r="F108" s="9"/>
      <c r="G108" s="9">
        <v>2007</v>
      </c>
      <c r="H108" s="392">
        <f>(O47/$R47*100*($E47/365))+(O48/$R48*100*($E48/365))</f>
        <v>41.175432403812209</v>
      </c>
      <c r="I108" s="392"/>
      <c r="J108" s="392">
        <f>(P47/$R47*100*($E47/365))+(P48/$R48*100*($E48/365))</f>
        <v>0</v>
      </c>
      <c r="K108" s="392"/>
      <c r="L108" s="392">
        <f>(Q47/$R47*100*($E47/365))+(Q48/$R48*100*($E48/365))</f>
        <v>58.824567596187784</v>
      </c>
      <c r="M108" s="392"/>
      <c r="N108" s="413">
        <f t="shared" si="43"/>
        <v>100</v>
      </c>
      <c r="O108" s="413"/>
      <c r="P108" s="9"/>
      <c r="Q108" s="9"/>
      <c r="R108" s="9">
        <v>2007</v>
      </c>
      <c r="S108" s="5">
        <f>(O47*($E47/365))+(O48*($E48/365))</f>
        <v>23.33</v>
      </c>
      <c r="T108" s="5">
        <f>(P47*($E47/365))+(P48*($E48/365))</f>
        <v>0</v>
      </c>
      <c r="U108" s="5">
        <f>(Q47*($E47/365))+(Q48*($E48/365))</f>
        <v>33.33</v>
      </c>
      <c r="V108" s="9"/>
      <c r="W108" s="5">
        <f t="shared" si="44"/>
        <v>56.66</v>
      </c>
    </row>
    <row r="109" spans="1:23" x14ac:dyDescent="0.15">
      <c r="A109" s="1">
        <v>2008</v>
      </c>
      <c r="B109" s="5">
        <f>(K49*($E49/366))+(K50*($E50/366))</f>
        <v>31.25</v>
      </c>
      <c r="C109" s="5">
        <f>(L49*($E49/366))+(L50*($E50/366))</f>
        <v>0</v>
      </c>
      <c r="D109" s="5">
        <f>(M49*($E49/366))+(M50*($E50/366))</f>
        <v>68.75</v>
      </c>
      <c r="E109" s="23">
        <f t="shared" si="42"/>
        <v>100</v>
      </c>
      <c r="F109" s="9"/>
      <c r="G109" s="9">
        <v>2008</v>
      </c>
      <c r="H109" s="392">
        <f>(O49/$R49*100*($E49/366))+(O50/$R50*100*($E50/366))</f>
        <v>41.175432403812209</v>
      </c>
      <c r="I109" s="392"/>
      <c r="J109" s="392">
        <f>(P49/$R49*100*($E49/366))+(P50/$R50*100*($E50/366))</f>
        <v>0</v>
      </c>
      <c r="K109" s="392"/>
      <c r="L109" s="392">
        <f>(Q49/$R49*100*($E49/366))+(Q50/$R50*100*($E50/366))</f>
        <v>58.824567596187784</v>
      </c>
      <c r="M109" s="392"/>
      <c r="N109" s="413">
        <f t="shared" si="43"/>
        <v>100</v>
      </c>
      <c r="O109" s="413"/>
      <c r="P109" s="9"/>
      <c r="Q109" s="9"/>
      <c r="R109" s="9">
        <v>2008</v>
      </c>
      <c r="S109" s="5">
        <f>(O49*($E49/366))+(O50*($E50/366))</f>
        <v>23.33</v>
      </c>
      <c r="T109" s="5">
        <f>(P49*($E49/366))+(P50*($E50/366))</f>
        <v>0</v>
      </c>
      <c r="U109" s="5">
        <f>(Q49*($E49/366))+(Q50*($E50/366))</f>
        <v>33.33</v>
      </c>
      <c r="V109" s="9"/>
      <c r="W109" s="5">
        <f t="shared" si="44"/>
        <v>56.66</v>
      </c>
    </row>
    <row r="110" spans="1:23" x14ac:dyDescent="0.15">
      <c r="A110" s="1">
        <v>2009</v>
      </c>
      <c r="B110" s="5">
        <f>(K51*($E51/365))+(K52*($E52/365))</f>
        <v>29.092465753424655</v>
      </c>
      <c r="C110" s="5">
        <f>(L51*($E51/365))+(L52*($E52/365))</f>
        <v>0</v>
      </c>
      <c r="D110" s="5">
        <f>(M51*($E51/365))+(M52*($E52/365))</f>
        <v>70.907534246575352</v>
      </c>
      <c r="E110" s="23">
        <f t="shared" si="42"/>
        <v>100</v>
      </c>
      <c r="F110" s="9"/>
      <c r="G110" s="9">
        <v>2009</v>
      </c>
      <c r="H110" s="392">
        <f>(O51/$R51*100*($E51/365))+(O52/$R52*100*($E52/365))</f>
        <v>41.175432403812209</v>
      </c>
      <c r="I110" s="392"/>
      <c r="J110" s="392">
        <f>(P51/$R51*100*($E51/365))+(P52/$R52*100*($E52/365))</f>
        <v>0</v>
      </c>
      <c r="K110" s="392"/>
      <c r="L110" s="392">
        <f>(Q51/$R51*100*($E51/365))+(Q52/$R52*100*($E52/365))</f>
        <v>58.824567596187784</v>
      </c>
      <c r="M110" s="392"/>
      <c r="N110" s="413">
        <f t="shared" si="43"/>
        <v>100</v>
      </c>
      <c r="O110" s="413"/>
      <c r="P110" s="9"/>
      <c r="Q110" s="9"/>
      <c r="R110" s="9">
        <v>2009</v>
      </c>
      <c r="S110" s="5">
        <f>(O51*($E51/365))+(O52*($E52/365))</f>
        <v>23.33</v>
      </c>
      <c r="T110" s="5">
        <f>(P51*($E51/365))+(P52*($E52/365))</f>
        <v>0</v>
      </c>
      <c r="U110" s="5">
        <f>(Q51*($E51/365))+(Q52*($E52/365))</f>
        <v>33.33</v>
      </c>
      <c r="V110" s="9"/>
      <c r="W110" s="5">
        <f t="shared" si="44"/>
        <v>56.66</v>
      </c>
    </row>
    <row r="111" spans="1:23" x14ac:dyDescent="0.15">
      <c r="A111" s="1">
        <v>2010</v>
      </c>
      <c r="B111" s="5">
        <f>(K53*($E53/365))+(K54*($E54/365))</f>
        <v>35.447488584474883</v>
      </c>
      <c r="C111" s="5">
        <f>(L53*($E53/365))+(L54*($E54/365))</f>
        <v>25.716894977168952</v>
      </c>
      <c r="D111" s="5">
        <f>(M53*($E53/365))+(M54*($E54/365))</f>
        <v>38.835616438356162</v>
      </c>
      <c r="E111" s="23">
        <f t="shared" si="42"/>
        <v>100</v>
      </c>
      <c r="F111" s="9"/>
      <c r="G111" s="9">
        <v>2010</v>
      </c>
      <c r="H111" s="392">
        <f>(O53/$R53*100*($E53/365))+(O54/$R54*100*($E54/365))</f>
        <v>43.297055450198371</v>
      </c>
      <c r="I111" s="392"/>
      <c r="J111" s="392">
        <f>(P53/$R53*100*($E53/365))+(P54/$R54*100*($E54/365))</f>
        <v>26.243099958898913</v>
      </c>
      <c r="K111" s="392"/>
      <c r="L111" s="392">
        <f>(Q53/$R53*100*($E53/365))+(Q54/$R54*100*($E54/365))</f>
        <v>30.459844590902716</v>
      </c>
      <c r="M111" s="392"/>
      <c r="N111" s="413">
        <f t="shared" si="43"/>
        <v>100</v>
      </c>
      <c r="O111" s="413"/>
      <c r="P111" s="9"/>
      <c r="Q111" s="9"/>
      <c r="R111" s="9">
        <v>2010</v>
      </c>
      <c r="S111" s="5">
        <f>(O53*($E53/365))+(O54*($E54/365))</f>
        <v>23.653068493150684</v>
      </c>
      <c r="T111" s="5">
        <f>(P53*($E53/365))+(P54*($E54/365))</f>
        <v>13.819616438356165</v>
      </c>
      <c r="U111" s="5">
        <f>(Q53*($E53/365))+(Q54*($E54/365))</f>
        <v>17.258547945205478</v>
      </c>
      <c r="V111" s="9"/>
      <c r="W111" s="5">
        <f t="shared" si="44"/>
        <v>54.731232876712326</v>
      </c>
    </row>
    <row r="112" spans="1:23" x14ac:dyDescent="0.15">
      <c r="A112" s="1">
        <v>2011</v>
      </c>
      <c r="B112" s="5">
        <f>(K55*($E55/365))+(K56*($E56/365))</f>
        <v>46.045662100456624</v>
      </c>
      <c r="C112" s="5">
        <f>(L55*($E55/365))+(L56*($E56/365))</f>
        <v>53.954337899543383</v>
      </c>
      <c r="D112" s="5">
        <f>(M55*($E55/365))+(M56*($E56/365))</f>
        <v>0</v>
      </c>
      <c r="E112" s="23">
        <f t="shared" si="42"/>
        <v>100</v>
      </c>
      <c r="F112" s="9"/>
      <c r="G112" s="9">
        <v>2011</v>
      </c>
      <c r="H112" s="392">
        <f>(O55/$R55*100*($E55/365))+(O56/$R56*100*($E56/365))</f>
        <v>45.575389289783523</v>
      </c>
      <c r="I112" s="392"/>
      <c r="J112" s="392">
        <f>(P55/$R55*100*($E55/365))+(P56/$R56*100*($E56/365))</f>
        <v>54.424610710216498</v>
      </c>
      <c r="K112" s="392"/>
      <c r="L112" s="392">
        <f>(Q55/$R55*100*($E55/365))+(Q56/$R56*100*($E56/365))</f>
        <v>0</v>
      </c>
      <c r="M112" s="392"/>
      <c r="N112" s="413">
        <f t="shared" si="43"/>
        <v>100.00000000000003</v>
      </c>
      <c r="O112" s="413"/>
      <c r="P112" s="9"/>
      <c r="Q112" s="9"/>
      <c r="R112" s="9">
        <v>2011</v>
      </c>
      <c r="S112" s="5">
        <f>(O55*($E55/365))+(O56*($E56/365))</f>
        <v>24</v>
      </c>
      <c r="T112" s="5">
        <f>(P55*($E55/365))+(P56*($E56/365))</f>
        <v>28.660000000000004</v>
      </c>
      <c r="U112" s="5">
        <f>(Q55*($E55/365))+(Q56*($E56/365))</f>
        <v>0</v>
      </c>
      <c r="V112" s="9"/>
      <c r="W112" s="5">
        <f t="shared" si="44"/>
        <v>52.660000000000004</v>
      </c>
    </row>
    <row r="113" spans="1:23" x14ac:dyDescent="0.15">
      <c r="A113" s="1">
        <v>2012</v>
      </c>
      <c r="B113" s="5">
        <f>(K57*($E57/366))+(K58*($E58/366))</f>
        <v>10.273224043715848</v>
      </c>
      <c r="C113" s="5">
        <f>(L57*($E57/366))+(L58*($E58/366))</f>
        <v>15.409836065573771</v>
      </c>
      <c r="D113" s="5">
        <f>(M57*($E57/366))+(M58*($E58/366))</f>
        <v>74.316939890710387</v>
      </c>
      <c r="E113" s="23">
        <f t="shared" si="42"/>
        <v>100</v>
      </c>
      <c r="F113" s="9"/>
      <c r="G113" s="9">
        <v>2012</v>
      </c>
      <c r="H113" s="392">
        <f>(O57/$R57*100*($E57/366))+(O58/$R58*100*($E58/366))</f>
        <v>11.705154626337842</v>
      </c>
      <c r="I113" s="392"/>
      <c r="J113" s="392">
        <f>(P57/$R57*100*($E57/366))+(P58/$R58*100*($E58/366))</f>
        <v>13.977905482951776</v>
      </c>
      <c r="K113" s="392"/>
      <c r="L113" s="392">
        <f>(Q57/$R57*100*($E57/366))+(Q58/$R58*100*($E58/366))</f>
        <v>74.316939890710387</v>
      </c>
      <c r="M113" s="392"/>
      <c r="N113" s="413">
        <f t="shared" si="43"/>
        <v>100</v>
      </c>
      <c r="O113" s="413"/>
      <c r="P113" s="9"/>
      <c r="Q113" s="9"/>
      <c r="R113" s="9">
        <v>2012</v>
      </c>
      <c r="S113" s="5">
        <f>(O57*($E57/366))+(O58*($E58/366))</f>
        <v>6.1639344262295079</v>
      </c>
      <c r="T113" s="5">
        <f>(P57*($E57/366))+(P58*($E58/366))</f>
        <v>7.3607650273224046</v>
      </c>
      <c r="U113" s="5">
        <f>(Q57*($E57/366))+(Q58*($E58/366))</f>
        <v>41.09726775956284</v>
      </c>
      <c r="V113" s="9"/>
      <c r="W113" s="5">
        <f t="shared" si="44"/>
        <v>54.62196721311475</v>
      </c>
    </row>
    <row r="114" spans="1:23" x14ac:dyDescent="0.15">
      <c r="A114" s="1">
        <v>2013</v>
      </c>
      <c r="B114" s="5">
        <f>(K59*($E59/365))+(K60*($E60/365))</f>
        <v>0</v>
      </c>
      <c r="C114" s="5">
        <f>(L59*($E59/365))+(L60*($E60/365))</f>
        <v>0</v>
      </c>
      <c r="D114" s="5">
        <f>(M59*($E59/365))+(M60*($E60/365))</f>
        <v>100</v>
      </c>
      <c r="E114" s="23">
        <f>B114+C114+D114</f>
        <v>100</v>
      </c>
      <c r="G114" s="9">
        <v>2013</v>
      </c>
      <c r="H114" s="392">
        <f>(O59/$R59*100*($E59/365))+(O60/$R60*100*($E60/365))</f>
        <v>0</v>
      </c>
      <c r="I114" s="392"/>
      <c r="J114" s="392">
        <f>(P59/$R59*100*($E59/365))+(P60/$R60*100*($E60/365))</f>
        <v>0</v>
      </c>
      <c r="K114" s="392"/>
      <c r="L114" s="392">
        <f>(Q59/$R59*100*($E59/365))+(Q60/$R60*100*($E60/365))</f>
        <v>100</v>
      </c>
      <c r="M114" s="392"/>
      <c r="N114" s="413">
        <f>H114+J114+L114</f>
        <v>100</v>
      </c>
      <c r="O114" s="413"/>
      <c r="R114" s="9">
        <v>2013</v>
      </c>
      <c r="S114" s="5">
        <f>(O59*($E59/365))+(O60*($E60/365))</f>
        <v>0</v>
      </c>
      <c r="T114" s="5">
        <f>(P59*($E59/365))+(P60*($E60/365))</f>
        <v>0</v>
      </c>
      <c r="U114" s="5">
        <f>(Q59*($E59/365))+(Q60*($E60/365))</f>
        <v>55.3</v>
      </c>
      <c r="V114" s="9"/>
      <c r="W114" s="5">
        <f t="shared" ref="W114:W119" si="45">S114+T114+U114</f>
        <v>55.3</v>
      </c>
    </row>
    <row r="115" spans="1:23" x14ac:dyDescent="0.15">
      <c r="A115" s="1">
        <v>2014</v>
      </c>
      <c r="B115" s="5">
        <f>(K61*($E61/365))+(K62*($E62/365))</f>
        <v>0</v>
      </c>
      <c r="C115" s="5">
        <f>(L61*($E61/365))+(L62*($E62/365))</f>
        <v>0</v>
      </c>
      <c r="D115" s="5">
        <f>(M61*($E61/365))+(M62*($E62/365))</f>
        <v>100</v>
      </c>
      <c r="E115" s="23">
        <f>B115+C115+D115</f>
        <v>100</v>
      </c>
      <c r="G115" s="9">
        <v>2014</v>
      </c>
      <c r="H115" s="392">
        <f>(O61/$R61*100*($E61/365))+(O62/$R62*100*($E62/365))</f>
        <v>0</v>
      </c>
      <c r="I115" s="392"/>
      <c r="J115" s="392">
        <f>(P61/$R61*100*($E61/365))+(P62/$R62*100*($E62/365))</f>
        <v>0</v>
      </c>
      <c r="K115" s="392"/>
      <c r="L115" s="392">
        <f>(Q61/$R61*100*($E61/365))+(Q62/$R62*100*($E62/365))</f>
        <v>100</v>
      </c>
      <c r="M115" s="392"/>
      <c r="N115" s="413">
        <f>H115+J115+L115</f>
        <v>100</v>
      </c>
      <c r="O115" s="413"/>
      <c r="R115" s="9">
        <v>2014</v>
      </c>
      <c r="S115" s="5">
        <f>(O61*($E61/365))+(O62*($E62/365))</f>
        <v>0</v>
      </c>
      <c r="T115" s="5">
        <f>(P61*($E61/365))+(P62*($E62/365))</f>
        <v>0</v>
      </c>
      <c r="U115" s="5">
        <f>(Q61*($E61/365))+(Q62*($E62/365))</f>
        <v>55.3</v>
      </c>
      <c r="V115" s="9"/>
      <c r="W115" s="5">
        <f t="shared" si="45"/>
        <v>55.3</v>
      </c>
    </row>
    <row r="116" spans="1:23" x14ac:dyDescent="0.15">
      <c r="A116" s="1">
        <v>2015</v>
      </c>
      <c r="B116" s="5">
        <f>(K63*($E63/365))+(K64*($E64/365))</f>
        <v>0</v>
      </c>
      <c r="C116" s="5">
        <f>(L63*($E63/365))+(L64*($E64/365))</f>
        <v>0</v>
      </c>
      <c r="D116" s="5">
        <f>(M63*($E63/365))+(M64*($E64/365))</f>
        <v>100</v>
      </c>
      <c r="E116" s="23">
        <f>B116+C116+D116</f>
        <v>100</v>
      </c>
      <c r="G116" s="9">
        <v>2015</v>
      </c>
      <c r="H116" s="392">
        <f>(O63/$R63*100*($E63/365))+(O64/$R64*100*($E64/365))</f>
        <v>0</v>
      </c>
      <c r="I116" s="392"/>
      <c r="J116" s="392">
        <f>(P63/$R63*100*($E63/365))+(P64/$R64*100*($E64/365))</f>
        <v>0</v>
      </c>
      <c r="K116" s="392"/>
      <c r="L116" s="392">
        <f>(Q63/$R63*100*($E63/365))+(Q64/$R64*100*($E64/365))</f>
        <v>100</v>
      </c>
      <c r="M116" s="392"/>
      <c r="N116" s="413">
        <f>H116+J116+L116</f>
        <v>100</v>
      </c>
      <c r="O116" s="413"/>
      <c r="R116" s="9">
        <v>2015</v>
      </c>
      <c r="S116" s="5">
        <f>(O63*($E63/365))+(O64*($E64/365))</f>
        <v>0</v>
      </c>
      <c r="T116" s="5">
        <f>(P63*($E63/365))+(P64*($E64/365))</f>
        <v>0</v>
      </c>
      <c r="U116" s="5">
        <f>(Q63*($E63/365))+(Q64*($E64/365))</f>
        <v>55.3</v>
      </c>
      <c r="V116" s="9"/>
      <c r="W116" s="5">
        <f t="shared" si="45"/>
        <v>55.3</v>
      </c>
    </row>
    <row r="117" spans="1:23" s="272" customFormat="1" x14ac:dyDescent="0.15">
      <c r="A117" s="1">
        <v>2016</v>
      </c>
      <c r="B117" s="5">
        <f>(K65*($E65/366))+(K66*($E66/366))+(K67*($E67/366))</f>
        <v>28.105646630236791</v>
      </c>
      <c r="C117" s="5">
        <f>(L65*($E65/366))+(L66*($E66/366))+(L67*($E67/366))</f>
        <v>2.9326047358834244</v>
      </c>
      <c r="D117" s="5">
        <f>(M65*($E65/366))+(M66*($E66/366))+(M67*($E67/366))</f>
        <v>68.961748633879779</v>
      </c>
      <c r="E117" s="23">
        <f>B117+C117+D117</f>
        <v>100</v>
      </c>
      <c r="F117" s="1"/>
      <c r="G117" s="9">
        <v>2016</v>
      </c>
      <c r="H117" s="392">
        <f>(O65/$R65*100*($E65/366))+(O66/$R66*100*($E66/366))+(O67/$R67*100*($E67/366))</f>
        <v>48.275628615098753</v>
      </c>
      <c r="I117" s="392"/>
      <c r="J117" s="392">
        <f>(P65/$R65*100*($E65/366))+(P66/$R66*100*($E66/366))+(P67/$R67*100*($E67/366))</f>
        <v>3.7796825206541391</v>
      </c>
      <c r="K117" s="392"/>
      <c r="L117" s="392">
        <f>(Q65/$R65*100*($E65/366))+(Q66/$R66*100*($E66/366))+(Q67/$R67*100*($E67/366))</f>
        <v>47.944688864247112</v>
      </c>
      <c r="M117" s="392"/>
      <c r="N117" s="413">
        <f>H117+J117+L117</f>
        <v>100</v>
      </c>
      <c r="O117" s="413"/>
      <c r="P117" s="1"/>
      <c r="Q117" s="1"/>
      <c r="R117" s="9">
        <v>2016</v>
      </c>
      <c r="S117" s="5">
        <f>(O65*($E65/366))+(O66*($E66/366))+(O67*($E67/366))</f>
        <v>25.373770491803278</v>
      </c>
      <c r="T117" s="5">
        <f>(P65*($E65/366))+(P66*($E66/366))+(P67*($E67/366))</f>
        <v>2.0674863387978144</v>
      </c>
      <c r="U117" s="5">
        <f>(Q65*($E65/366))+(Q66*($E66/366))+(Q67*($E67/367))</f>
        <v>25.797819419008054</v>
      </c>
      <c r="V117" s="9"/>
      <c r="W117" s="5">
        <f t="shared" si="45"/>
        <v>53.239076249609141</v>
      </c>
    </row>
    <row r="118" spans="1:23" x14ac:dyDescent="0.15">
      <c r="A118" s="1">
        <v>2017</v>
      </c>
      <c r="B118" s="5">
        <f>(K68*($E68/365))+(K69*($E69/365))</f>
        <v>40</v>
      </c>
      <c r="C118" s="5">
        <f>(L68*($E68/365))+(L69*($E69/365))</f>
        <v>0</v>
      </c>
      <c r="D118" s="5">
        <f>(M68*($E68/365))+(M69*($E69/365))</f>
        <v>60</v>
      </c>
      <c r="E118" s="23">
        <f>B118+C118+D118</f>
        <v>100</v>
      </c>
      <c r="G118" s="9">
        <v>2017</v>
      </c>
      <c r="H118" s="392">
        <f>(O68/$R68*100*($E68/365))+(O69/$R69*100*($E69/365))</f>
        <v>65.400000000000006</v>
      </c>
      <c r="I118" s="392"/>
      <c r="J118" s="392">
        <f>(P68/$R68*100*($E68/365))+(P69/$R69*100*($E69/365))</f>
        <v>0</v>
      </c>
      <c r="K118" s="392"/>
      <c r="L118" s="392">
        <f>(Q68/$R68*100*($E68/365))+(Q69/$R69*100*($E69/365))</f>
        <v>34.6</v>
      </c>
      <c r="M118" s="392"/>
      <c r="N118" s="413">
        <f>H118+J118+L118</f>
        <v>100</v>
      </c>
      <c r="O118" s="413"/>
      <c r="R118" s="9">
        <v>2017</v>
      </c>
      <c r="S118" s="5">
        <f>(O68*($E68/365))+(O69*($E69/365))</f>
        <v>32.700000000000003</v>
      </c>
      <c r="T118" s="5">
        <f>(P68*($E68/365))+(P69*($E69/365))</f>
        <v>0</v>
      </c>
      <c r="U118" s="5">
        <f>(Q68*($E68/365))+(Q69*($E69/365))</f>
        <v>17.3</v>
      </c>
      <c r="V118" s="9"/>
      <c r="W118" s="5">
        <f t="shared" si="45"/>
        <v>50</v>
      </c>
    </row>
    <row r="119" spans="1:23" x14ac:dyDescent="0.15">
      <c r="A119" s="1">
        <v>2018</v>
      </c>
      <c r="B119" s="5">
        <f>(K70*($E70/365))+(K71*($E71/365))</f>
        <v>40</v>
      </c>
      <c r="C119" s="5">
        <f>(L70*($E70/365))+(L71*($E71/365))</f>
        <v>0</v>
      </c>
      <c r="D119" s="5">
        <f>(M70*($E70/365))+(M71*($E71/365))</f>
        <v>60</v>
      </c>
      <c r="E119" s="23">
        <f t="shared" ref="E119" si="46">B119+C119+D119</f>
        <v>100</v>
      </c>
      <c r="G119" s="9">
        <v>2018</v>
      </c>
      <c r="H119" s="392">
        <f>(O70/$R70*100*($E70/365))+(O71/$R71*100*($E71/365))</f>
        <v>65.400000000000006</v>
      </c>
      <c r="I119" s="392"/>
      <c r="J119" s="392">
        <f>(P70/$R70*100*($E70/365))+(P71/$R71*100*($E71/365))</f>
        <v>0</v>
      </c>
      <c r="K119" s="392"/>
      <c r="L119" s="392">
        <f>(Q70/$R70*100*($E70/365))+(Q71/$R71*100*($E71/365))</f>
        <v>34.6</v>
      </c>
      <c r="M119" s="392"/>
      <c r="N119" s="413">
        <f t="shared" ref="N119" si="47">H119+J119+L119</f>
        <v>100</v>
      </c>
      <c r="O119" s="413"/>
      <c r="R119" s="9">
        <v>2018</v>
      </c>
      <c r="S119" s="5">
        <f>(O70*($E70/365))+(O71*($E71/365))</f>
        <v>32.700000000000003</v>
      </c>
      <c r="T119" s="5">
        <f>(P70*($E70/365))+(P71*($E71/365))</f>
        <v>0</v>
      </c>
      <c r="U119" s="5">
        <f>(Q70*($E70/365))+(Q71*($E71/365))</f>
        <v>17.3</v>
      </c>
      <c r="V119" s="9"/>
      <c r="W119" s="5">
        <f t="shared" si="45"/>
        <v>50</v>
      </c>
    </row>
    <row r="120" spans="1:23" x14ac:dyDescent="0.15">
      <c r="A120" s="1">
        <v>2019</v>
      </c>
      <c r="B120" s="5">
        <f>(K72*($E72/365))+(K73*($E73/365))</f>
        <v>40</v>
      </c>
      <c r="C120" s="5">
        <f>(L72*($E72/365))+(L73*($E73/365))</f>
        <v>0</v>
      </c>
      <c r="D120" s="5">
        <f>(M72*($E72/365))+(M73*($E73/365))</f>
        <v>60</v>
      </c>
      <c r="E120" s="23">
        <f t="shared" ref="E120:E121" si="48">B120+C120+D120</f>
        <v>100</v>
      </c>
      <c r="G120" s="9">
        <v>2019</v>
      </c>
      <c r="H120" s="392">
        <f>(O72/$R72*100*($E72/365))+(O73/$R73*100*($E73/365))</f>
        <v>65.400000000000006</v>
      </c>
      <c r="I120" s="392"/>
      <c r="J120" s="392">
        <f>(P72/$R72*100*($E72/365))+(P73/$R73*100*($E73/365))</f>
        <v>0</v>
      </c>
      <c r="K120" s="392"/>
      <c r="L120" s="392">
        <f>(Q72/$R72*100*($E72/365))+(Q73/$R73*100*($E73/365))</f>
        <v>34.6</v>
      </c>
      <c r="M120" s="392"/>
      <c r="N120" s="413">
        <f t="shared" ref="N120" si="49">H120+J120+L120</f>
        <v>100</v>
      </c>
      <c r="O120" s="413"/>
      <c r="R120" s="9">
        <v>2019</v>
      </c>
      <c r="S120" s="5">
        <f>(O72*($E72/365))+(O73*($E73/365))</f>
        <v>32.700000000000003</v>
      </c>
      <c r="T120" s="5">
        <f>(P72*($E72/365))+(P73*($E73/365))</f>
        <v>0</v>
      </c>
      <c r="U120" s="5">
        <f>(Q72*($E72/365))+(Q73*($E73/365))</f>
        <v>17.3</v>
      </c>
      <c r="V120" s="9"/>
      <c r="W120" s="5">
        <f t="shared" ref="W120:W121" si="50">S120+T120+U120</f>
        <v>50</v>
      </c>
    </row>
    <row r="121" spans="1:23" x14ac:dyDescent="0.15">
      <c r="A121" s="1">
        <v>2020</v>
      </c>
      <c r="B121" s="5">
        <f>(K74*($E74/366))+(K75*($E75/366))</f>
        <v>86.885245901639337</v>
      </c>
      <c r="C121" s="5">
        <f>(L74*($E74/366))+(L75*($E75/366))</f>
        <v>0</v>
      </c>
      <c r="D121" s="5">
        <f>(M74*($E74/366))+(M75*($E75/366))</f>
        <v>13.114754098360656</v>
      </c>
      <c r="E121" s="23">
        <f t="shared" si="48"/>
        <v>100</v>
      </c>
      <c r="G121" s="9">
        <v>2020</v>
      </c>
      <c r="H121" s="392">
        <f>(O74/$R74*100*($E74/366))+(O75/$R75*100*($E75/366))</f>
        <v>92.437158469945359</v>
      </c>
      <c r="I121" s="392"/>
      <c r="J121" s="392">
        <f>(P74/$R74*100*($E74/366))+(P75/$R75*100*($E75/366))</f>
        <v>0</v>
      </c>
      <c r="K121" s="392"/>
      <c r="L121" s="392">
        <f>(Q74/$R74*100*($E74/366))+(Q75/$R75*100*($E75/366))</f>
        <v>7.5628415300546452</v>
      </c>
      <c r="M121" s="392"/>
      <c r="N121" s="413">
        <f t="shared" ref="N121" si="51">H121+J121+L121</f>
        <v>100</v>
      </c>
      <c r="O121" s="413"/>
      <c r="R121" s="9">
        <v>2020</v>
      </c>
      <c r="S121" s="5">
        <f>(O74*($E74/366))+(O75*($E75/366))</f>
        <v>56.611475409836068</v>
      </c>
      <c r="T121" s="5">
        <f>(P74*($E74/366))+(P75*($E75/366))</f>
        <v>0</v>
      </c>
      <c r="U121" s="5">
        <f>(Q74*($E74/366))+(Q75*($E75/366))</f>
        <v>3.7814207650273226</v>
      </c>
      <c r="W121" s="5">
        <f t="shared" si="50"/>
        <v>60.392896174863388</v>
      </c>
    </row>
    <row r="122" spans="1:23" x14ac:dyDescent="0.15">
      <c r="A122" s="1">
        <v>2021</v>
      </c>
      <c r="B122" s="5">
        <f>(K76*($E76/365))+(K77*($E77/365))+(K78*($E78/365))+(K79*($E79/365))</f>
        <v>100</v>
      </c>
      <c r="C122" s="5">
        <f>(L76*($E76/365))+(L77*($E77/365))+(L78*($E78/365))+(L79*($E79/365))</f>
        <v>0</v>
      </c>
      <c r="D122" s="5">
        <f>(M76*($E76/365)+(M77*($E77/365))+(M78*($E78/365)))+(M79*($E79/365))</f>
        <v>0</v>
      </c>
      <c r="E122" s="23">
        <f t="shared" ref="E122" si="52">B122+C122+D122</f>
        <v>100</v>
      </c>
      <c r="G122" s="9">
        <v>2021</v>
      </c>
      <c r="H122" s="392">
        <f>(O76/$R76*100*($E76/365))+(O77/$R77*100*($E77/365))+(O78/$R78*100*($E78/365))+(O79/$R79*100*($E79/365))</f>
        <v>100</v>
      </c>
      <c r="I122" s="392"/>
      <c r="J122" s="392">
        <f>(P76/$R76*100*($E76/365))+(P77/$R77*100*($E77/365))+(P78/$R78*100*($E78/365))+(P79/$R79*100*($E79/365))</f>
        <v>0</v>
      </c>
      <c r="K122" s="392"/>
      <c r="L122" s="392">
        <f>(Q76/$R76*100*($E76/365))+(Q77/$R77*100*($E77/365))+(Q78/$R78*100*($E78/365))+(Q79/$R79*100*($E79/365))</f>
        <v>0</v>
      </c>
      <c r="M122" s="392"/>
      <c r="N122" s="413">
        <f t="shared" ref="N122" si="53">H122+J122+L122</f>
        <v>100</v>
      </c>
      <c r="O122" s="413"/>
      <c r="R122" s="9">
        <v>2021</v>
      </c>
      <c r="S122" s="5">
        <f>(O76*($E76/365))+(O77*($E77/365))+(O78*($E78/365))+(O79*($E79/365))</f>
        <v>62.320547945205476</v>
      </c>
      <c r="T122" s="5">
        <f>(P76*($E76/365))+(P77*($E77/365))+(P78*($E78/365))+(P79*($E79/365))</f>
        <v>0</v>
      </c>
      <c r="U122" s="5">
        <f>(Q76*($E76/365))+(Q77*($E77/365))+(Q78*($E78/365))+(Q79*($E79/365))</f>
        <v>0</v>
      </c>
      <c r="W122" s="5">
        <f t="shared" ref="W122" si="54">S122+T122+U122</f>
        <v>62.320547945205476</v>
      </c>
    </row>
    <row r="123" spans="1:23" x14ac:dyDescent="0.15">
      <c r="A123" s="1">
        <v>2022</v>
      </c>
      <c r="B123" s="5">
        <f>(K80*($E80/365))+(K81*($E81/365))+(K82*($E82/365))+(K83*($E83/365))+(K84*($E84/365))+(K85*($E85/365))</f>
        <v>91.99478147423352</v>
      </c>
      <c r="C123" s="5">
        <f>(L80*($E80/365))+(L81*($E81/365))+(L82*($E82/365))+(L83*($E83/365))+(L84*($E84/365))+(L85*($E85/365))</f>
        <v>0</v>
      </c>
      <c r="D123" s="5">
        <f>(M80*($E80/365))+(M81*($E81/365))+(M82*($E82/365))+(M83*($E83/365))+(M84*($E84/365))+(M85*($E85/365))+(M86*($E86/365))</f>
        <v>0</v>
      </c>
      <c r="E123" s="23">
        <f t="shared" ref="E123" si="55">B123+C123+D123</f>
        <v>91.99478147423352</v>
      </c>
      <c r="G123" s="9">
        <v>2022</v>
      </c>
      <c r="H123" s="392">
        <f>(O80/$R80*100*($E80/365))+(O81/$R81*100*($E81/365))+(O82/$R82*100*($E82/365))+(O83/$R83*100*($E83/365))+(O84/$R84*100*($E84/365))+(O85/$R85*100*($E85/365))</f>
        <v>100</v>
      </c>
      <c r="I123" s="392"/>
      <c r="J123" s="392">
        <f>(P80/$R80*100*($E80/365))+(P81/$R81*100*($E81/365))+(P82/$R82*100*($E82/365))+(P83/$R83*100*($E83/365))+(P84/$R84*100*($E84/365))+(P85/$R85*100*($E85/365))</f>
        <v>0</v>
      </c>
      <c r="K123" s="392"/>
      <c r="L123" s="392">
        <f>(Q80/$R80*100*($E80/365))+(Q81/$R81*100*($E81/365))+(Q82/$R82*100*($E82/365))+(Q83/$R83*100*($E83/365))+(Q84/$R84*100*($E84/365))+(Q85/$R85*100*($E85/365))</f>
        <v>0</v>
      </c>
      <c r="M123" s="392"/>
      <c r="N123" s="413">
        <f t="shared" ref="N123" si="56">H123+J123+L123</f>
        <v>100</v>
      </c>
      <c r="O123" s="413"/>
      <c r="R123" s="9">
        <v>2022</v>
      </c>
      <c r="S123" s="5">
        <f>(O80*($E80/365))+(O81*($E81/365))+(O82*($E82/365))+(O83*($E83/365))+(O84*($E84/365))+(O85*($E85/365))</f>
        <v>57.012876712328762</v>
      </c>
      <c r="T123" s="5">
        <f>(P80*($E80/365))+(P81*($E81/365))+(P82*($E82/365))+(P83*($E83/365))+(P84*($E84/365))+(P85*($E85/365))</f>
        <v>0</v>
      </c>
      <c r="U123" s="5">
        <f>(Q80*($E80/365))+(Q81*($E81/365))+(Q82*($E82/365))+(Q83*($E83/365))+(Q84*($E84/365))+(Q85*($E85/365))</f>
        <v>0</v>
      </c>
      <c r="W123" s="5">
        <f t="shared" ref="W123" si="57">S123+T123+U123</f>
        <v>57.012876712328762</v>
      </c>
    </row>
    <row r="124" spans="1:23" x14ac:dyDescent="0.15">
      <c r="B124" s="5"/>
      <c r="C124" s="5"/>
      <c r="D124" s="5"/>
      <c r="H124" s="4"/>
      <c r="I124" s="4"/>
      <c r="J124" s="4"/>
    </row>
    <row r="125" spans="1:23" x14ac:dyDescent="0.15">
      <c r="B125" s="5"/>
      <c r="C125" s="5"/>
      <c r="D125" s="5"/>
      <c r="H125" s="4"/>
      <c r="I125" s="4"/>
      <c r="J125" s="4"/>
    </row>
    <row r="126" spans="1:23" x14ac:dyDescent="0.15">
      <c r="B126" s="5"/>
      <c r="C126" s="5"/>
      <c r="D126" s="5"/>
      <c r="H126" s="4"/>
      <c r="I126" s="4"/>
      <c r="J126" s="4"/>
    </row>
    <row r="127" spans="1:23" x14ac:dyDescent="0.15">
      <c r="B127" s="5"/>
      <c r="C127" s="5"/>
      <c r="D127" s="5"/>
      <c r="H127" s="4"/>
      <c r="I127" s="4"/>
      <c r="J127" s="4"/>
    </row>
    <row r="128" spans="1:23" x14ac:dyDescent="0.15">
      <c r="B128" s="5"/>
      <c r="C128" s="5"/>
      <c r="D128" s="5"/>
      <c r="H128" s="4"/>
      <c r="I128" s="4"/>
      <c r="J128" s="4"/>
    </row>
    <row r="129" spans="2:10" x14ac:dyDescent="0.15">
      <c r="B129" s="5"/>
      <c r="C129" s="5"/>
      <c r="D129" s="5"/>
      <c r="H129" s="4"/>
      <c r="I129" s="4"/>
      <c r="J129" s="4"/>
    </row>
    <row r="130" spans="2:10" x14ac:dyDescent="0.15">
      <c r="B130" s="5"/>
      <c r="C130" s="5"/>
      <c r="D130" s="5"/>
      <c r="H130" s="4"/>
      <c r="I130" s="4"/>
      <c r="J130" s="4"/>
    </row>
    <row r="131" spans="2:10" x14ac:dyDescent="0.15">
      <c r="B131" s="5"/>
      <c r="C131" s="5"/>
      <c r="D131" s="5"/>
      <c r="H131" s="4"/>
      <c r="I131" s="4"/>
      <c r="J131" s="4"/>
    </row>
    <row r="132" spans="2:10" x14ac:dyDescent="0.15">
      <c r="B132" s="5"/>
      <c r="C132" s="5"/>
      <c r="D132" s="5"/>
      <c r="H132" s="4"/>
      <c r="I132" s="4"/>
      <c r="J132" s="4"/>
    </row>
    <row r="133" spans="2:10" x14ac:dyDescent="0.15">
      <c r="B133" s="5"/>
      <c r="C133" s="5"/>
      <c r="D133" s="5"/>
      <c r="H133" s="4"/>
      <c r="I133" s="4"/>
      <c r="J133" s="4"/>
    </row>
    <row r="134" spans="2:10" x14ac:dyDescent="0.15">
      <c r="B134" s="5"/>
      <c r="C134" s="5"/>
      <c r="D134" s="5"/>
      <c r="H134" s="4"/>
      <c r="I134" s="4"/>
      <c r="J134" s="4"/>
    </row>
    <row r="135" spans="2:10" x14ac:dyDescent="0.15">
      <c r="B135" s="5"/>
      <c r="C135" s="5"/>
      <c r="D135" s="5"/>
      <c r="H135" s="4"/>
      <c r="I135" s="4"/>
      <c r="J135" s="4"/>
    </row>
    <row r="136" spans="2:10" x14ac:dyDescent="0.15">
      <c r="B136" s="5"/>
      <c r="C136" s="5"/>
      <c r="D136" s="5"/>
      <c r="H136" s="4"/>
      <c r="I136" s="4"/>
      <c r="J136" s="4"/>
    </row>
    <row r="137" spans="2:10" x14ac:dyDescent="0.15">
      <c r="B137" s="5"/>
      <c r="C137" s="5"/>
      <c r="D137" s="5"/>
      <c r="H137" s="4"/>
      <c r="I137" s="4"/>
      <c r="J137" s="4"/>
    </row>
    <row r="138" spans="2:10" x14ac:dyDescent="0.15">
      <c r="B138" s="5"/>
      <c r="C138" s="5"/>
      <c r="D138" s="5"/>
      <c r="H138" s="4"/>
      <c r="I138" s="4"/>
      <c r="J138" s="4"/>
    </row>
    <row r="139" spans="2:10" x14ac:dyDescent="0.15">
      <c r="B139" s="5"/>
      <c r="C139" s="5"/>
      <c r="D139" s="5"/>
      <c r="H139" s="4"/>
      <c r="I139" s="4"/>
      <c r="J139" s="4"/>
    </row>
    <row r="140" spans="2:10" x14ac:dyDescent="0.15">
      <c r="B140" s="5"/>
      <c r="C140" s="5"/>
      <c r="D140" s="5"/>
      <c r="H140" s="4"/>
      <c r="I140" s="4"/>
      <c r="J140" s="4"/>
    </row>
    <row r="141" spans="2:10" x14ac:dyDescent="0.15">
      <c r="B141" s="5"/>
      <c r="C141" s="5"/>
      <c r="D141" s="5"/>
      <c r="H141" s="4"/>
      <c r="I141" s="4"/>
      <c r="J141" s="4"/>
    </row>
  </sheetData>
  <mergeCells count="238">
    <mergeCell ref="C70:D70"/>
    <mergeCell ref="C71:D71"/>
    <mergeCell ref="C72:D72"/>
    <mergeCell ref="C80:D80"/>
    <mergeCell ref="L102:M102"/>
    <mergeCell ref="N98:O98"/>
    <mergeCell ref="J100:K100"/>
    <mergeCell ref="N101:O101"/>
    <mergeCell ref="H102:I102"/>
    <mergeCell ref="L97:M97"/>
    <mergeCell ref="J93:K93"/>
    <mergeCell ref="L93:M93"/>
    <mergeCell ref="N93:O93"/>
    <mergeCell ref="H94:I94"/>
    <mergeCell ref="J94:K94"/>
    <mergeCell ref="L94:M94"/>
    <mergeCell ref="N94:O94"/>
    <mergeCell ref="L95:M95"/>
    <mergeCell ref="J95:K95"/>
    <mergeCell ref="N99:O99"/>
    <mergeCell ref="H100:I100"/>
    <mergeCell ref="N100:O100"/>
    <mergeCell ref="L100:M100"/>
    <mergeCell ref="H101:I101"/>
    <mergeCell ref="C64:D64"/>
    <mergeCell ref="C65:D65"/>
    <mergeCell ref="C57:D57"/>
    <mergeCell ref="C58:D58"/>
    <mergeCell ref="C66:D66"/>
    <mergeCell ref="C50:D50"/>
    <mergeCell ref="C51:D51"/>
    <mergeCell ref="C55:D55"/>
    <mergeCell ref="C52:D52"/>
    <mergeCell ref="C49:D49"/>
    <mergeCell ref="C44:D44"/>
    <mergeCell ref="C46:D46"/>
    <mergeCell ref="C45:D45"/>
    <mergeCell ref="N102:O102"/>
    <mergeCell ref="H99:I99"/>
    <mergeCell ref="J99:K99"/>
    <mergeCell ref="L99:M99"/>
    <mergeCell ref="C11:D11"/>
    <mergeCell ref="C12:D12"/>
    <mergeCell ref="C13:D13"/>
    <mergeCell ref="C16:D16"/>
    <mergeCell ref="H98:I98"/>
    <mergeCell ref="J98:K98"/>
    <mergeCell ref="L98:M98"/>
    <mergeCell ref="N97:O97"/>
    <mergeCell ref="J102:K102"/>
    <mergeCell ref="C54:D54"/>
    <mergeCell ref="C56:D56"/>
    <mergeCell ref="C59:D59"/>
    <mergeCell ref="C60:D60"/>
    <mergeCell ref="C61:D61"/>
    <mergeCell ref="C62:D62"/>
    <mergeCell ref="C63:D63"/>
    <mergeCell ref="C37:D37"/>
    <mergeCell ref="C29:D29"/>
    <mergeCell ref="C30:D30"/>
    <mergeCell ref="C31:D31"/>
    <mergeCell ref="C26:D26"/>
    <mergeCell ref="C32:D32"/>
    <mergeCell ref="C33:D33"/>
    <mergeCell ref="C34:D34"/>
    <mergeCell ref="C35:D35"/>
    <mergeCell ref="C36:D36"/>
    <mergeCell ref="AT4:AW4"/>
    <mergeCell ref="AX4:BA4"/>
    <mergeCell ref="H114:I114"/>
    <mergeCell ref="J114:K114"/>
    <mergeCell ref="L114:M114"/>
    <mergeCell ref="N114:O114"/>
    <mergeCell ref="AH4:AK4"/>
    <mergeCell ref="AL4:AO4"/>
    <mergeCell ref="AP4:AS4"/>
    <mergeCell ref="R88:W88"/>
    <mergeCell ref="J92:K92"/>
    <mergeCell ref="L92:M92"/>
    <mergeCell ref="N92:O92"/>
    <mergeCell ref="H90:I90"/>
    <mergeCell ref="J90:K90"/>
    <mergeCell ref="L90:M90"/>
    <mergeCell ref="N90:O90"/>
    <mergeCell ref="N91:O91"/>
    <mergeCell ref="AD4:AG4"/>
    <mergeCell ref="S4:S5"/>
    <mergeCell ref="T4:T5"/>
    <mergeCell ref="U4:U5"/>
    <mergeCell ref="V4:Y4"/>
    <mergeCell ref="Z4:AC4"/>
    <mergeCell ref="C6:D6"/>
    <mergeCell ref="C7:D7"/>
    <mergeCell ref="J97:K97"/>
    <mergeCell ref="N95:O95"/>
    <mergeCell ref="H96:I96"/>
    <mergeCell ref="J96:K96"/>
    <mergeCell ref="L96:M96"/>
    <mergeCell ref="N96:O96"/>
    <mergeCell ref="G3:M3"/>
    <mergeCell ref="O3:Q3"/>
    <mergeCell ref="C38:D38"/>
    <mergeCell ref="C39:D39"/>
    <mergeCell ref="C40:D40"/>
    <mergeCell ref="C10:D10"/>
    <mergeCell ref="C8:D8"/>
    <mergeCell ref="C17:D17"/>
    <mergeCell ref="C19:D19"/>
    <mergeCell ref="C20:D20"/>
    <mergeCell ref="C21:D21"/>
    <mergeCell ref="C25:D25"/>
    <mergeCell ref="H91:I91"/>
    <mergeCell ref="C67:D67"/>
    <mergeCell ref="C68:D68"/>
    <mergeCell ref="C69:D69"/>
    <mergeCell ref="A4:A5"/>
    <mergeCell ref="B4:B5"/>
    <mergeCell ref="C4:D5"/>
    <mergeCell ref="E4:E5"/>
    <mergeCell ref="F4:F5"/>
    <mergeCell ref="G4:J4"/>
    <mergeCell ref="K4:N4"/>
    <mergeCell ref="O4:R4"/>
    <mergeCell ref="C74:D74"/>
    <mergeCell ref="C53:D53"/>
    <mergeCell ref="C24:D24"/>
    <mergeCell ref="C27:D27"/>
    <mergeCell ref="C28:D28"/>
    <mergeCell ref="C43:D43"/>
    <mergeCell ref="C47:D47"/>
    <mergeCell ref="C48:D48"/>
    <mergeCell ref="C9:D9"/>
    <mergeCell ref="C41:D41"/>
    <mergeCell ref="C42:D42"/>
    <mergeCell ref="C14:D14"/>
    <mergeCell ref="C15:D15"/>
    <mergeCell ref="C22:D22"/>
    <mergeCell ref="C23:D23"/>
    <mergeCell ref="C18:D18"/>
    <mergeCell ref="J103:K103"/>
    <mergeCell ref="N103:O103"/>
    <mergeCell ref="N107:O107"/>
    <mergeCell ref="H108:I108"/>
    <mergeCell ref="H105:I105"/>
    <mergeCell ref="H112:I112"/>
    <mergeCell ref="J112:K112"/>
    <mergeCell ref="L106:M106"/>
    <mergeCell ref="L107:M107"/>
    <mergeCell ref="L105:M105"/>
    <mergeCell ref="H106:I106"/>
    <mergeCell ref="J106:K106"/>
    <mergeCell ref="L108:M108"/>
    <mergeCell ref="H107:I107"/>
    <mergeCell ref="H111:I111"/>
    <mergeCell ref="J111:K111"/>
    <mergeCell ref="H103:I103"/>
    <mergeCell ref="L103:M103"/>
    <mergeCell ref="H104:I104"/>
    <mergeCell ref="J104:K104"/>
    <mergeCell ref="L104:M104"/>
    <mergeCell ref="N111:O111"/>
    <mergeCell ref="N106:O106"/>
    <mergeCell ref="J107:K107"/>
    <mergeCell ref="J101:K101"/>
    <mergeCell ref="L101:M101"/>
    <mergeCell ref="C75:D75"/>
    <mergeCell ref="C73:D73"/>
    <mergeCell ref="C85:D85"/>
    <mergeCell ref="J91:K91"/>
    <mergeCell ref="L91:M91"/>
    <mergeCell ref="H92:I92"/>
    <mergeCell ref="H93:I93"/>
    <mergeCell ref="H97:I97"/>
    <mergeCell ref="H95:I95"/>
    <mergeCell ref="C77:D77"/>
    <mergeCell ref="C78:D78"/>
    <mergeCell ref="C76:D76"/>
    <mergeCell ref="C79:D79"/>
    <mergeCell ref="C81:D81"/>
    <mergeCell ref="C82:D82"/>
    <mergeCell ref="C83:D83"/>
    <mergeCell ref="C84:D84"/>
    <mergeCell ref="H120:I120"/>
    <mergeCell ref="J120:K120"/>
    <mergeCell ref="L120:M120"/>
    <mergeCell ref="N120:O120"/>
    <mergeCell ref="H118:I118"/>
    <mergeCell ref="J118:K118"/>
    <mergeCell ref="L118:M118"/>
    <mergeCell ref="N118:O118"/>
    <mergeCell ref="H117:I117"/>
    <mergeCell ref="J117:K117"/>
    <mergeCell ref="L117:M117"/>
    <mergeCell ref="N117:O117"/>
    <mergeCell ref="L116:M116"/>
    <mergeCell ref="N116:O116"/>
    <mergeCell ref="N104:O104"/>
    <mergeCell ref="H115:I115"/>
    <mergeCell ref="J115:K115"/>
    <mergeCell ref="N105:O105"/>
    <mergeCell ref="J105:K105"/>
    <mergeCell ref="N112:O112"/>
    <mergeCell ref="N109:O109"/>
    <mergeCell ref="H110:I110"/>
    <mergeCell ref="J108:K108"/>
    <mergeCell ref="L111:M111"/>
    <mergeCell ref="N110:O110"/>
    <mergeCell ref="L112:M112"/>
    <mergeCell ref="J110:K110"/>
    <mergeCell ref="L110:M110"/>
    <mergeCell ref="N108:O108"/>
    <mergeCell ref="L109:M109"/>
    <mergeCell ref="H109:I109"/>
    <mergeCell ref="J109:K109"/>
    <mergeCell ref="H123:I123"/>
    <mergeCell ref="J123:K123"/>
    <mergeCell ref="L123:M123"/>
    <mergeCell ref="N123:O123"/>
    <mergeCell ref="H121:I121"/>
    <mergeCell ref="J121:K121"/>
    <mergeCell ref="L121:M121"/>
    <mergeCell ref="N121:O121"/>
    <mergeCell ref="H113:I113"/>
    <mergeCell ref="J113:K113"/>
    <mergeCell ref="L113:M113"/>
    <mergeCell ref="H122:I122"/>
    <mergeCell ref="J122:K122"/>
    <mergeCell ref="L122:M122"/>
    <mergeCell ref="N122:O122"/>
    <mergeCell ref="H119:I119"/>
    <mergeCell ref="J119:K119"/>
    <mergeCell ref="L119:M119"/>
    <mergeCell ref="N119:O119"/>
    <mergeCell ref="N113:O113"/>
    <mergeCell ref="N115:O115"/>
    <mergeCell ref="L115:M115"/>
    <mergeCell ref="H116:I116"/>
    <mergeCell ref="J116:K116"/>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BA118"/>
  <sheetViews>
    <sheetView zoomScale="123" zoomScaleNormal="160" workbookViewId="0">
      <pane xSplit="1" ySplit="5" topLeftCell="AQ70"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146</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28" customFormat="1" ht="9" customHeight="1" x14ac:dyDescent="0.15">
      <c r="A6" s="28">
        <v>1993</v>
      </c>
      <c r="B6" s="293"/>
      <c r="C6" s="405" t="s">
        <v>1261</v>
      </c>
      <c r="D6" s="405"/>
      <c r="E6" s="28">
        <v>11</v>
      </c>
      <c r="F6" s="71"/>
      <c r="G6" s="65"/>
      <c r="J6" s="72"/>
      <c r="K6" s="46"/>
      <c r="L6" s="46"/>
      <c r="M6" s="46"/>
      <c r="N6" s="67"/>
      <c r="O6" s="45"/>
      <c r="P6" s="46"/>
      <c r="Q6" s="46"/>
      <c r="R6" s="47"/>
      <c r="T6" s="284">
        <v>33944</v>
      </c>
      <c r="U6" s="293"/>
      <c r="V6" s="37"/>
      <c r="Y6" s="38"/>
      <c r="AD6" s="37"/>
      <c r="AG6" s="38"/>
      <c r="AL6" s="37"/>
      <c r="AO6" s="38"/>
      <c r="AP6" s="37"/>
      <c r="AS6" s="38"/>
      <c r="AW6" s="38"/>
      <c r="BA6" s="39"/>
    </row>
    <row r="7" spans="1:53" s="170" customFormat="1" x14ac:dyDescent="0.15">
      <c r="A7" s="170">
        <v>1993</v>
      </c>
      <c r="B7" s="281">
        <v>33981</v>
      </c>
      <c r="C7" s="395" t="s">
        <v>856</v>
      </c>
      <c r="D7" s="395"/>
      <c r="E7" s="170">
        <v>354</v>
      </c>
      <c r="F7" s="170" t="s">
        <v>335</v>
      </c>
      <c r="G7" s="232">
        <v>7</v>
      </c>
      <c r="H7" s="170">
        <v>4</v>
      </c>
      <c r="I7" s="170">
        <v>5</v>
      </c>
      <c r="J7" s="240">
        <v>16</v>
      </c>
      <c r="K7" s="213">
        <f t="shared" ref="K7:K45" si="0">G7/J7*100</f>
        <v>43.75</v>
      </c>
      <c r="L7" s="213">
        <f t="shared" ref="L7:L45" si="1">H7/J7*100</f>
        <v>25</v>
      </c>
      <c r="M7" s="213">
        <f t="shared" ref="M7:M45" si="2">I7/J7*100</f>
        <v>31.25</v>
      </c>
      <c r="N7" s="234">
        <f>K7+L7+M7</f>
        <v>100</v>
      </c>
      <c r="O7" s="212">
        <v>28.9</v>
      </c>
      <c r="P7" s="213">
        <v>16.7</v>
      </c>
      <c r="Q7" s="213">
        <v>21.2</v>
      </c>
      <c r="R7" s="214">
        <f>O7+P7+Q7</f>
        <v>66.8</v>
      </c>
      <c r="S7" s="170">
        <v>3</v>
      </c>
      <c r="T7" s="283"/>
      <c r="U7" s="281">
        <v>33981</v>
      </c>
      <c r="V7" s="177" t="s">
        <v>863</v>
      </c>
      <c r="W7" s="170" t="s">
        <v>22</v>
      </c>
      <c r="X7" s="170" t="s">
        <v>11</v>
      </c>
      <c r="Y7" s="178">
        <v>24.5</v>
      </c>
      <c r="Z7" s="170" t="s">
        <v>864</v>
      </c>
      <c r="AA7" s="170" t="s">
        <v>17</v>
      </c>
      <c r="AB7" s="170" t="s">
        <v>18</v>
      </c>
      <c r="AC7" s="170">
        <v>16.7</v>
      </c>
      <c r="AD7" s="177" t="s">
        <v>865</v>
      </c>
      <c r="AE7" s="170" t="s">
        <v>97</v>
      </c>
      <c r="AF7" s="170" t="s">
        <v>12</v>
      </c>
      <c r="AG7" s="178">
        <v>15.6</v>
      </c>
      <c r="AH7" s="170" t="s">
        <v>866</v>
      </c>
      <c r="AI7" s="170" t="s">
        <v>216</v>
      </c>
      <c r="AJ7" s="170" t="s">
        <v>12</v>
      </c>
      <c r="AK7" s="170">
        <v>5.6</v>
      </c>
      <c r="AL7" s="177" t="s">
        <v>867</v>
      </c>
      <c r="AM7" s="170" t="s">
        <v>294</v>
      </c>
      <c r="AN7" s="170" t="s">
        <v>11</v>
      </c>
      <c r="AO7" s="178">
        <v>4.4000000000000004</v>
      </c>
      <c r="AP7" s="177"/>
      <c r="AS7" s="178"/>
      <c r="AW7" s="178"/>
      <c r="BA7" s="179"/>
    </row>
    <row r="8" spans="1:53" s="170" customFormat="1" x14ac:dyDescent="0.15">
      <c r="A8" s="170">
        <v>1994</v>
      </c>
      <c r="B8" s="281"/>
      <c r="C8" s="395" t="s">
        <v>856</v>
      </c>
      <c r="D8" s="395"/>
      <c r="E8" s="170">
        <v>87</v>
      </c>
      <c r="G8" s="232">
        <v>7</v>
      </c>
      <c r="H8" s="170">
        <v>4</v>
      </c>
      <c r="I8" s="170">
        <v>5</v>
      </c>
      <c r="J8" s="240">
        <v>16</v>
      </c>
      <c r="K8" s="213">
        <f t="shared" si="0"/>
        <v>43.75</v>
      </c>
      <c r="L8" s="213">
        <f t="shared" si="1"/>
        <v>25</v>
      </c>
      <c r="M8" s="213">
        <f t="shared" si="2"/>
        <v>31.25</v>
      </c>
      <c r="N8" s="234">
        <f t="shared" ref="N8:N51" si="3">K8+L8+M8</f>
        <v>100</v>
      </c>
      <c r="O8" s="212">
        <v>28.9</v>
      </c>
      <c r="P8" s="213">
        <v>16.7</v>
      </c>
      <c r="Q8" s="213">
        <v>21.2</v>
      </c>
      <c r="R8" s="214">
        <f t="shared" ref="R8:R51" si="4">O8+P8+Q8</f>
        <v>66.8</v>
      </c>
      <c r="S8" s="170">
        <v>3</v>
      </c>
      <c r="T8" s="283"/>
      <c r="U8" s="281"/>
      <c r="V8" s="177" t="s">
        <v>863</v>
      </c>
      <c r="W8" s="170" t="s">
        <v>22</v>
      </c>
      <c r="X8" s="170" t="s">
        <v>11</v>
      </c>
      <c r="Y8" s="178">
        <v>24.5</v>
      </c>
      <c r="Z8" s="170" t="s">
        <v>864</v>
      </c>
      <c r="AA8" s="170" t="s">
        <v>17</v>
      </c>
      <c r="AB8" s="170" t="s">
        <v>18</v>
      </c>
      <c r="AC8" s="170">
        <v>16.7</v>
      </c>
      <c r="AD8" s="177" t="s">
        <v>865</v>
      </c>
      <c r="AE8" s="170" t="s">
        <v>97</v>
      </c>
      <c r="AF8" s="170" t="s">
        <v>12</v>
      </c>
      <c r="AG8" s="178">
        <v>15.6</v>
      </c>
      <c r="AH8" s="170" t="s">
        <v>866</v>
      </c>
      <c r="AI8" s="170" t="s">
        <v>216</v>
      </c>
      <c r="AJ8" s="170" t="s">
        <v>12</v>
      </c>
      <c r="AK8" s="170">
        <v>5.6</v>
      </c>
      <c r="AL8" s="177" t="s">
        <v>867</v>
      </c>
      <c r="AM8" s="170" t="s">
        <v>294</v>
      </c>
      <c r="AN8" s="170" t="s">
        <v>11</v>
      </c>
      <c r="AO8" s="178">
        <v>4.4000000000000004</v>
      </c>
      <c r="AP8" s="177"/>
      <c r="AS8" s="178"/>
      <c r="AW8" s="178"/>
      <c r="BA8" s="179"/>
    </row>
    <row r="9" spans="1:53" s="28" customFormat="1" x14ac:dyDescent="0.15">
      <c r="A9" s="28">
        <v>1994</v>
      </c>
      <c r="B9" s="293">
        <v>34422</v>
      </c>
      <c r="C9" s="394" t="s">
        <v>857</v>
      </c>
      <c r="D9" s="394"/>
      <c r="E9" s="28">
        <f>365-E8</f>
        <v>278</v>
      </c>
      <c r="F9" s="28">
        <v>4</v>
      </c>
      <c r="G9" s="65">
        <v>8</v>
      </c>
      <c r="H9" s="28">
        <v>3</v>
      </c>
      <c r="I9" s="28">
        <v>4</v>
      </c>
      <c r="J9" s="72">
        <v>16</v>
      </c>
      <c r="K9" s="46">
        <f t="shared" si="0"/>
        <v>50</v>
      </c>
      <c r="L9" s="46">
        <f t="shared" si="1"/>
        <v>18.75</v>
      </c>
      <c r="M9" s="46">
        <f t="shared" si="2"/>
        <v>25</v>
      </c>
      <c r="N9" s="67">
        <f t="shared" si="3"/>
        <v>93.75</v>
      </c>
      <c r="O9" s="45">
        <v>24.5</v>
      </c>
      <c r="P9" s="46">
        <v>16.7</v>
      </c>
      <c r="Q9" s="46">
        <v>15.6</v>
      </c>
      <c r="R9" s="47">
        <f t="shared" si="4"/>
        <v>56.800000000000004</v>
      </c>
      <c r="S9" s="28">
        <v>2</v>
      </c>
      <c r="T9" s="284"/>
      <c r="U9" s="293">
        <v>34422</v>
      </c>
      <c r="V9" s="37" t="s">
        <v>863</v>
      </c>
      <c r="W9" s="28" t="s">
        <v>22</v>
      </c>
      <c r="X9" s="28" t="s">
        <v>11</v>
      </c>
      <c r="Y9" s="38">
        <v>24.5</v>
      </c>
      <c r="Z9" s="28" t="s">
        <v>864</v>
      </c>
      <c r="AA9" s="28" t="s">
        <v>17</v>
      </c>
      <c r="AB9" s="28" t="s">
        <v>18</v>
      </c>
      <c r="AC9" s="28">
        <v>16.7</v>
      </c>
      <c r="AD9" s="37" t="s">
        <v>865</v>
      </c>
      <c r="AE9" s="28" t="s">
        <v>97</v>
      </c>
      <c r="AF9" s="28" t="s">
        <v>12</v>
      </c>
      <c r="AG9" s="38">
        <v>15.6</v>
      </c>
      <c r="AL9" s="37"/>
      <c r="AO9" s="38"/>
      <c r="AP9" s="37"/>
      <c r="AS9" s="38"/>
      <c r="AW9" s="38"/>
      <c r="BA9" s="39"/>
    </row>
    <row r="10" spans="1:53" s="28" customFormat="1" x14ac:dyDescent="0.15">
      <c r="A10" s="28">
        <v>1995</v>
      </c>
      <c r="B10" s="293"/>
      <c r="C10" s="394" t="s">
        <v>857</v>
      </c>
      <c r="D10" s="394"/>
      <c r="E10" s="28">
        <v>0</v>
      </c>
      <c r="G10" s="65">
        <v>8</v>
      </c>
      <c r="H10" s="28">
        <v>3</v>
      </c>
      <c r="I10" s="28">
        <v>4</v>
      </c>
      <c r="J10" s="72">
        <v>16</v>
      </c>
      <c r="K10" s="46">
        <f t="shared" si="0"/>
        <v>50</v>
      </c>
      <c r="L10" s="46">
        <f t="shared" si="1"/>
        <v>18.75</v>
      </c>
      <c r="M10" s="46">
        <f t="shared" si="2"/>
        <v>25</v>
      </c>
      <c r="N10" s="67">
        <f t="shared" si="3"/>
        <v>93.75</v>
      </c>
      <c r="O10" s="45">
        <v>24.5</v>
      </c>
      <c r="P10" s="46">
        <v>16.7</v>
      </c>
      <c r="Q10" s="46">
        <v>15.6</v>
      </c>
      <c r="R10" s="47">
        <f t="shared" si="4"/>
        <v>56.800000000000004</v>
      </c>
      <c r="S10" s="28">
        <v>2</v>
      </c>
      <c r="T10" s="284"/>
      <c r="U10" s="293"/>
      <c r="V10" s="37" t="s">
        <v>863</v>
      </c>
      <c r="W10" s="28" t="s">
        <v>22</v>
      </c>
      <c r="X10" s="28" t="s">
        <v>11</v>
      </c>
      <c r="Y10" s="38">
        <v>24.5</v>
      </c>
      <c r="Z10" s="28" t="s">
        <v>864</v>
      </c>
      <c r="AA10" s="28" t="s">
        <v>17</v>
      </c>
      <c r="AB10" s="28" t="s">
        <v>18</v>
      </c>
      <c r="AC10" s="28">
        <v>16.7</v>
      </c>
      <c r="AD10" s="37" t="s">
        <v>865</v>
      </c>
      <c r="AE10" s="28" t="s">
        <v>97</v>
      </c>
      <c r="AF10" s="28" t="s">
        <v>12</v>
      </c>
      <c r="AG10" s="38">
        <v>15.6</v>
      </c>
      <c r="AL10" s="37"/>
      <c r="AO10" s="38"/>
      <c r="AP10" s="37"/>
      <c r="AS10" s="38"/>
      <c r="AW10" s="38"/>
      <c r="BA10" s="39"/>
    </row>
    <row r="11" spans="1:53" s="28" customFormat="1" x14ac:dyDescent="0.15">
      <c r="A11" s="28">
        <v>1995</v>
      </c>
      <c r="B11" s="293"/>
      <c r="C11" s="394" t="s">
        <v>857</v>
      </c>
      <c r="D11" s="394"/>
      <c r="E11" s="28">
        <v>365</v>
      </c>
      <c r="G11" s="65">
        <v>8</v>
      </c>
      <c r="H11" s="28">
        <v>3</v>
      </c>
      <c r="I11" s="28">
        <v>4</v>
      </c>
      <c r="J11" s="72">
        <v>16</v>
      </c>
      <c r="K11" s="46">
        <f t="shared" si="0"/>
        <v>50</v>
      </c>
      <c r="L11" s="46">
        <f t="shared" si="1"/>
        <v>18.75</v>
      </c>
      <c r="M11" s="46">
        <f t="shared" si="2"/>
        <v>25</v>
      </c>
      <c r="N11" s="67">
        <f t="shared" si="3"/>
        <v>93.75</v>
      </c>
      <c r="O11" s="45">
        <v>24.5</v>
      </c>
      <c r="P11" s="46">
        <v>16.7</v>
      </c>
      <c r="Q11" s="46">
        <v>15.6</v>
      </c>
      <c r="R11" s="47">
        <f t="shared" si="4"/>
        <v>56.800000000000004</v>
      </c>
      <c r="S11" s="28">
        <v>2</v>
      </c>
      <c r="T11" s="284"/>
      <c r="U11" s="293"/>
      <c r="V11" s="37" t="s">
        <v>863</v>
      </c>
      <c r="W11" s="28" t="s">
        <v>22</v>
      </c>
      <c r="X11" s="28" t="s">
        <v>11</v>
      </c>
      <c r="Y11" s="38">
        <v>24.5</v>
      </c>
      <c r="Z11" s="28" t="s">
        <v>864</v>
      </c>
      <c r="AA11" s="28" t="s">
        <v>17</v>
      </c>
      <c r="AB11" s="28" t="s">
        <v>18</v>
      </c>
      <c r="AC11" s="28">
        <v>16.7</v>
      </c>
      <c r="AD11" s="37" t="s">
        <v>865</v>
      </c>
      <c r="AE11" s="28" t="s">
        <v>97</v>
      </c>
      <c r="AF11" s="28" t="s">
        <v>12</v>
      </c>
      <c r="AG11" s="38">
        <v>15.6</v>
      </c>
      <c r="AL11" s="37"/>
      <c r="AO11" s="38"/>
      <c r="AP11" s="37"/>
      <c r="AS11" s="38"/>
      <c r="AW11" s="38"/>
      <c r="BA11" s="39"/>
    </row>
    <row r="12" spans="1:53" s="28" customFormat="1" x14ac:dyDescent="0.15">
      <c r="A12" s="28">
        <v>1996</v>
      </c>
      <c r="B12" s="293"/>
      <c r="C12" s="394" t="s">
        <v>857</v>
      </c>
      <c r="D12" s="394"/>
      <c r="E12" s="28">
        <v>37</v>
      </c>
      <c r="G12" s="65">
        <v>8</v>
      </c>
      <c r="H12" s="28">
        <v>3</v>
      </c>
      <c r="I12" s="28">
        <v>4</v>
      </c>
      <c r="J12" s="72">
        <v>16</v>
      </c>
      <c r="K12" s="46">
        <f t="shared" si="0"/>
        <v>50</v>
      </c>
      <c r="L12" s="46">
        <f t="shared" si="1"/>
        <v>18.75</v>
      </c>
      <c r="M12" s="46">
        <f t="shared" si="2"/>
        <v>25</v>
      </c>
      <c r="N12" s="67">
        <f t="shared" si="3"/>
        <v>93.75</v>
      </c>
      <c r="O12" s="45">
        <v>24.5</v>
      </c>
      <c r="P12" s="46">
        <v>16.7</v>
      </c>
      <c r="Q12" s="46">
        <v>15.6</v>
      </c>
      <c r="R12" s="47">
        <f t="shared" si="4"/>
        <v>56.800000000000004</v>
      </c>
      <c r="S12" s="28">
        <v>2</v>
      </c>
      <c r="T12" s="284"/>
      <c r="U12" s="293"/>
      <c r="V12" s="37" t="s">
        <v>863</v>
      </c>
      <c r="W12" s="28" t="s">
        <v>22</v>
      </c>
      <c r="X12" s="28" t="s">
        <v>11</v>
      </c>
      <c r="Y12" s="38">
        <v>24.5</v>
      </c>
      <c r="Z12" s="28" t="s">
        <v>864</v>
      </c>
      <c r="AA12" s="28" t="s">
        <v>17</v>
      </c>
      <c r="AB12" s="28" t="s">
        <v>18</v>
      </c>
      <c r="AC12" s="28">
        <v>16.7</v>
      </c>
      <c r="AD12" s="37" t="s">
        <v>865</v>
      </c>
      <c r="AE12" s="28" t="s">
        <v>97</v>
      </c>
      <c r="AF12" s="28" t="s">
        <v>12</v>
      </c>
      <c r="AG12" s="38">
        <v>15.6</v>
      </c>
      <c r="AL12" s="37"/>
      <c r="AO12" s="38"/>
      <c r="AP12" s="37"/>
      <c r="AS12" s="38"/>
      <c r="AW12" s="38"/>
      <c r="BA12" s="39"/>
    </row>
    <row r="13" spans="1:53" s="170" customFormat="1" x14ac:dyDescent="0.15">
      <c r="A13" s="170">
        <v>1996</v>
      </c>
      <c r="B13" s="281">
        <v>35102</v>
      </c>
      <c r="C13" s="395" t="s">
        <v>858</v>
      </c>
      <c r="D13" s="395"/>
      <c r="E13" s="170">
        <f>366-E12</f>
        <v>329</v>
      </c>
      <c r="F13" s="170">
        <v>4</v>
      </c>
      <c r="G13" s="232">
        <v>9</v>
      </c>
      <c r="H13" s="170">
        <v>6</v>
      </c>
      <c r="J13" s="240">
        <v>18</v>
      </c>
      <c r="K13" s="213">
        <f t="shared" si="0"/>
        <v>50</v>
      </c>
      <c r="L13" s="213">
        <f t="shared" si="1"/>
        <v>33.333333333333329</v>
      </c>
      <c r="M13" s="213">
        <f t="shared" si="2"/>
        <v>0</v>
      </c>
      <c r="N13" s="234">
        <f t="shared" si="3"/>
        <v>83.333333333333329</v>
      </c>
      <c r="O13" s="212">
        <v>24.5</v>
      </c>
      <c r="P13" s="213">
        <v>16.7</v>
      </c>
      <c r="Q13" s="213"/>
      <c r="R13" s="214">
        <f t="shared" si="4"/>
        <v>41.2</v>
      </c>
      <c r="S13" s="170">
        <v>5</v>
      </c>
      <c r="T13" s="283"/>
      <c r="U13" s="281">
        <v>35102</v>
      </c>
      <c r="V13" s="177" t="s">
        <v>863</v>
      </c>
      <c r="W13" s="170" t="s">
        <v>22</v>
      </c>
      <c r="X13" s="170" t="s">
        <v>11</v>
      </c>
      <c r="Y13" s="178">
        <v>24.5</v>
      </c>
      <c r="Z13" s="170" t="s">
        <v>864</v>
      </c>
      <c r="AA13" s="170" t="s">
        <v>17</v>
      </c>
      <c r="AB13" s="170" t="s">
        <v>18</v>
      </c>
      <c r="AC13" s="170">
        <v>16.7</v>
      </c>
      <c r="AD13" s="177"/>
      <c r="AG13" s="178"/>
      <c r="AL13" s="177"/>
      <c r="AO13" s="178"/>
      <c r="AP13" s="177"/>
      <c r="AS13" s="178"/>
      <c r="AW13" s="178"/>
      <c r="BA13" s="179"/>
    </row>
    <row r="14" spans="1:53" s="170" customFormat="1" x14ac:dyDescent="0.15">
      <c r="A14" s="170">
        <v>1997</v>
      </c>
      <c r="B14" s="281"/>
      <c r="C14" s="395" t="s">
        <v>858</v>
      </c>
      <c r="D14" s="395"/>
      <c r="E14" s="170">
        <v>57</v>
      </c>
      <c r="G14" s="232">
        <v>9</v>
      </c>
      <c r="H14" s="170">
        <v>6</v>
      </c>
      <c r="J14" s="240">
        <v>18</v>
      </c>
      <c r="K14" s="213">
        <f t="shared" si="0"/>
        <v>50</v>
      </c>
      <c r="L14" s="213">
        <f t="shared" si="1"/>
        <v>33.333333333333329</v>
      </c>
      <c r="M14" s="213">
        <f t="shared" si="2"/>
        <v>0</v>
      </c>
      <c r="N14" s="234">
        <f t="shared" si="3"/>
        <v>83.333333333333329</v>
      </c>
      <c r="O14" s="212">
        <v>24.5</v>
      </c>
      <c r="P14" s="213">
        <v>16.7</v>
      </c>
      <c r="Q14" s="213"/>
      <c r="R14" s="214">
        <f t="shared" si="4"/>
        <v>41.2</v>
      </c>
      <c r="S14" s="170">
        <v>5</v>
      </c>
      <c r="T14" s="283">
        <v>35379</v>
      </c>
      <c r="U14" s="281"/>
      <c r="V14" s="177" t="s">
        <v>863</v>
      </c>
      <c r="W14" s="170" t="s">
        <v>22</v>
      </c>
      <c r="X14" s="170" t="s">
        <v>11</v>
      </c>
      <c r="Y14" s="178">
        <v>24.5</v>
      </c>
      <c r="Z14" s="170" t="s">
        <v>864</v>
      </c>
      <c r="AA14" s="170" t="s">
        <v>17</v>
      </c>
      <c r="AB14" s="170" t="s">
        <v>18</v>
      </c>
      <c r="AC14" s="170">
        <v>16.7</v>
      </c>
      <c r="AD14" s="177"/>
      <c r="AG14" s="178"/>
      <c r="AL14" s="177"/>
      <c r="AO14" s="178"/>
      <c r="AP14" s="177"/>
      <c r="AS14" s="178"/>
      <c r="AW14" s="178"/>
      <c r="BA14" s="179"/>
    </row>
    <row r="15" spans="1:53" s="28" customFormat="1" x14ac:dyDescent="0.15">
      <c r="A15" s="28">
        <v>1997</v>
      </c>
      <c r="B15" s="293">
        <v>35488</v>
      </c>
      <c r="C15" s="394" t="s">
        <v>859</v>
      </c>
      <c r="D15" s="394"/>
      <c r="E15" s="28">
        <f>365-E14</f>
        <v>308</v>
      </c>
      <c r="F15" s="28">
        <v>1</v>
      </c>
      <c r="G15" s="65">
        <v>8</v>
      </c>
      <c r="I15" s="28">
        <v>10</v>
      </c>
      <c r="J15" s="72">
        <v>19</v>
      </c>
      <c r="K15" s="46">
        <f t="shared" si="0"/>
        <v>42.105263157894733</v>
      </c>
      <c r="L15" s="46">
        <f t="shared" si="1"/>
        <v>0</v>
      </c>
      <c r="M15" s="46">
        <f t="shared" si="2"/>
        <v>52.631578947368418</v>
      </c>
      <c r="N15" s="67">
        <f t="shared" si="3"/>
        <v>94.73684210526315</v>
      </c>
      <c r="O15" s="45">
        <v>27.8</v>
      </c>
      <c r="P15" s="46"/>
      <c r="Q15" s="46">
        <v>26.7</v>
      </c>
      <c r="R15" s="47">
        <f t="shared" si="4"/>
        <v>54.5</v>
      </c>
      <c r="S15" s="28">
        <v>2</v>
      </c>
      <c r="T15" s="284"/>
      <c r="U15" s="293">
        <v>35488</v>
      </c>
      <c r="V15" s="37" t="s">
        <v>863</v>
      </c>
      <c r="W15" s="28" t="s">
        <v>22</v>
      </c>
      <c r="X15" s="28" t="s">
        <v>11</v>
      </c>
      <c r="Y15" s="38">
        <v>27.8</v>
      </c>
      <c r="Z15" s="28" t="s">
        <v>868</v>
      </c>
      <c r="AA15" s="28" t="s">
        <v>869</v>
      </c>
      <c r="AB15" s="28" t="s">
        <v>12</v>
      </c>
      <c r="AC15" s="28">
        <v>21.1</v>
      </c>
      <c r="AD15" s="37" t="s">
        <v>870</v>
      </c>
      <c r="AE15" s="28" t="s">
        <v>1484</v>
      </c>
      <c r="AF15" s="28" t="s">
        <v>12</v>
      </c>
      <c r="AG15" s="38">
        <v>5.6</v>
      </c>
      <c r="AL15" s="37"/>
      <c r="AO15" s="38"/>
      <c r="AP15" s="37"/>
      <c r="AS15" s="38"/>
      <c r="AW15" s="38"/>
      <c r="BA15" s="39"/>
    </row>
    <row r="16" spans="1:53" s="28" customFormat="1" x14ac:dyDescent="0.15">
      <c r="A16" s="28">
        <v>1998</v>
      </c>
      <c r="B16" s="293"/>
      <c r="C16" s="394" t="s">
        <v>859</v>
      </c>
      <c r="D16" s="394"/>
      <c r="E16" s="28">
        <v>0</v>
      </c>
      <c r="G16" s="65">
        <v>8</v>
      </c>
      <c r="I16" s="28">
        <v>10</v>
      </c>
      <c r="J16" s="72">
        <v>19</v>
      </c>
      <c r="K16" s="46">
        <f t="shared" si="0"/>
        <v>42.105263157894733</v>
      </c>
      <c r="L16" s="46">
        <f t="shared" si="1"/>
        <v>0</v>
      </c>
      <c r="M16" s="46">
        <f t="shared" si="2"/>
        <v>52.631578947368418</v>
      </c>
      <c r="N16" s="67">
        <f t="shared" si="3"/>
        <v>94.73684210526315</v>
      </c>
      <c r="O16" s="45">
        <v>27.8</v>
      </c>
      <c r="P16" s="46"/>
      <c r="Q16" s="46">
        <v>26.7</v>
      </c>
      <c r="R16" s="47">
        <f t="shared" si="4"/>
        <v>54.5</v>
      </c>
      <c r="S16" s="28">
        <v>2</v>
      </c>
      <c r="T16" s="284"/>
      <c r="U16" s="293"/>
      <c r="V16" s="37" t="s">
        <v>863</v>
      </c>
      <c r="W16" s="28" t="s">
        <v>22</v>
      </c>
      <c r="X16" s="28" t="s">
        <v>11</v>
      </c>
      <c r="Y16" s="38">
        <v>27.8</v>
      </c>
      <c r="Z16" s="28" t="s">
        <v>868</v>
      </c>
      <c r="AA16" s="28" t="s">
        <v>869</v>
      </c>
      <c r="AB16" s="28" t="s">
        <v>12</v>
      </c>
      <c r="AC16" s="28">
        <v>21.1</v>
      </c>
      <c r="AD16" s="37" t="s">
        <v>870</v>
      </c>
      <c r="AE16" s="28" t="s">
        <v>1484</v>
      </c>
      <c r="AF16" s="28" t="s">
        <v>12</v>
      </c>
      <c r="AG16" s="38">
        <v>5.6</v>
      </c>
      <c r="AL16" s="37"/>
      <c r="AO16" s="38"/>
      <c r="AP16" s="37"/>
      <c r="AS16" s="38"/>
      <c r="AW16" s="38"/>
      <c r="BA16" s="39"/>
    </row>
    <row r="17" spans="1:53" s="28" customFormat="1" x14ac:dyDescent="0.15">
      <c r="A17" s="28">
        <v>1998</v>
      </c>
      <c r="B17" s="293"/>
      <c r="C17" s="394" t="s">
        <v>859</v>
      </c>
      <c r="D17" s="394"/>
      <c r="E17" s="28">
        <v>365</v>
      </c>
      <c r="G17" s="65">
        <v>8</v>
      </c>
      <c r="I17" s="28">
        <v>10</v>
      </c>
      <c r="J17" s="72">
        <v>19</v>
      </c>
      <c r="K17" s="46">
        <f t="shared" si="0"/>
        <v>42.105263157894733</v>
      </c>
      <c r="L17" s="46">
        <f t="shared" si="1"/>
        <v>0</v>
      </c>
      <c r="M17" s="46">
        <f t="shared" si="2"/>
        <v>52.631578947368418</v>
      </c>
      <c r="N17" s="67">
        <f t="shared" si="3"/>
        <v>94.73684210526315</v>
      </c>
      <c r="O17" s="45">
        <v>27.8</v>
      </c>
      <c r="P17" s="46"/>
      <c r="Q17" s="46">
        <v>26.7</v>
      </c>
      <c r="R17" s="47">
        <f t="shared" si="4"/>
        <v>54.5</v>
      </c>
      <c r="S17" s="28">
        <v>2</v>
      </c>
      <c r="T17" s="284"/>
      <c r="U17" s="293"/>
      <c r="V17" s="37" t="s">
        <v>863</v>
      </c>
      <c r="W17" s="28" t="s">
        <v>22</v>
      </c>
      <c r="X17" s="28" t="s">
        <v>11</v>
      </c>
      <c r="Y17" s="38">
        <v>27.8</v>
      </c>
      <c r="Z17" s="28" t="s">
        <v>868</v>
      </c>
      <c r="AA17" s="28" t="s">
        <v>869</v>
      </c>
      <c r="AB17" s="28" t="s">
        <v>12</v>
      </c>
      <c r="AC17" s="28">
        <v>21.1</v>
      </c>
      <c r="AD17" s="37" t="s">
        <v>870</v>
      </c>
      <c r="AE17" s="28" t="s">
        <v>1484</v>
      </c>
      <c r="AF17" s="28" t="s">
        <v>12</v>
      </c>
      <c r="AG17" s="38">
        <v>5.6</v>
      </c>
      <c r="AL17" s="37"/>
      <c r="AO17" s="38"/>
      <c r="AP17" s="37"/>
      <c r="AS17" s="38"/>
      <c r="AW17" s="38"/>
      <c r="BA17" s="39"/>
    </row>
    <row r="18" spans="1:53" s="28" customFormat="1" x14ac:dyDescent="0.15">
      <c r="A18" s="28">
        <v>1999</v>
      </c>
      <c r="B18" s="293"/>
      <c r="C18" s="394" t="s">
        <v>859</v>
      </c>
      <c r="D18" s="394"/>
      <c r="E18" s="28">
        <v>0</v>
      </c>
      <c r="G18" s="65">
        <v>8</v>
      </c>
      <c r="I18" s="28">
        <v>10</v>
      </c>
      <c r="J18" s="72">
        <v>19</v>
      </c>
      <c r="K18" s="46">
        <f t="shared" si="0"/>
        <v>42.105263157894733</v>
      </c>
      <c r="L18" s="46">
        <f t="shared" si="1"/>
        <v>0</v>
      </c>
      <c r="M18" s="46">
        <f t="shared" si="2"/>
        <v>52.631578947368418</v>
      </c>
      <c r="N18" s="67">
        <f t="shared" si="3"/>
        <v>94.73684210526315</v>
      </c>
      <c r="O18" s="45">
        <v>27.8</v>
      </c>
      <c r="P18" s="46"/>
      <c r="Q18" s="46">
        <v>26.7</v>
      </c>
      <c r="R18" s="47">
        <f t="shared" si="4"/>
        <v>54.5</v>
      </c>
      <c r="S18" s="28">
        <v>2</v>
      </c>
      <c r="T18" s="284"/>
      <c r="U18" s="293"/>
      <c r="V18" s="37" t="s">
        <v>863</v>
      </c>
      <c r="W18" s="28" t="s">
        <v>22</v>
      </c>
      <c r="X18" s="28" t="s">
        <v>11</v>
      </c>
      <c r="Y18" s="38">
        <v>27.8</v>
      </c>
      <c r="Z18" s="28" t="s">
        <v>868</v>
      </c>
      <c r="AA18" s="28" t="s">
        <v>869</v>
      </c>
      <c r="AB18" s="28" t="s">
        <v>12</v>
      </c>
      <c r="AC18" s="28">
        <v>21.1</v>
      </c>
      <c r="AD18" s="37" t="s">
        <v>870</v>
      </c>
      <c r="AE18" s="28" t="s">
        <v>1484</v>
      </c>
      <c r="AF18" s="28" t="s">
        <v>12</v>
      </c>
      <c r="AG18" s="38">
        <v>5.6</v>
      </c>
      <c r="AL18" s="37"/>
      <c r="AO18" s="38"/>
      <c r="AP18" s="37"/>
      <c r="AS18" s="38"/>
      <c r="AW18" s="38"/>
      <c r="BA18" s="39"/>
    </row>
    <row r="19" spans="1:53" s="28" customFormat="1" x14ac:dyDescent="0.15">
      <c r="A19" s="28">
        <v>1999</v>
      </c>
      <c r="B19" s="293"/>
      <c r="C19" s="394" t="s">
        <v>859</v>
      </c>
      <c r="D19" s="394"/>
      <c r="E19" s="28">
        <v>365</v>
      </c>
      <c r="G19" s="65">
        <v>8</v>
      </c>
      <c r="I19" s="28">
        <v>10</v>
      </c>
      <c r="J19" s="72">
        <v>19</v>
      </c>
      <c r="K19" s="46">
        <f t="shared" si="0"/>
        <v>42.105263157894733</v>
      </c>
      <c r="L19" s="46">
        <f t="shared" si="1"/>
        <v>0</v>
      </c>
      <c r="M19" s="46">
        <f t="shared" si="2"/>
        <v>52.631578947368418</v>
      </c>
      <c r="N19" s="67">
        <f t="shared" si="3"/>
        <v>94.73684210526315</v>
      </c>
      <c r="O19" s="45">
        <v>27.8</v>
      </c>
      <c r="P19" s="46"/>
      <c r="Q19" s="46">
        <v>26.7</v>
      </c>
      <c r="R19" s="47">
        <f t="shared" si="4"/>
        <v>54.5</v>
      </c>
      <c r="S19" s="28">
        <v>2</v>
      </c>
      <c r="T19" s="284"/>
      <c r="U19" s="293"/>
      <c r="V19" s="37" t="s">
        <v>863</v>
      </c>
      <c r="W19" s="28" t="s">
        <v>22</v>
      </c>
      <c r="X19" s="28" t="s">
        <v>11</v>
      </c>
      <c r="Y19" s="38">
        <v>27.8</v>
      </c>
      <c r="Z19" s="28" t="s">
        <v>868</v>
      </c>
      <c r="AA19" s="28" t="s">
        <v>869</v>
      </c>
      <c r="AB19" s="28" t="s">
        <v>12</v>
      </c>
      <c r="AC19" s="28">
        <v>21.1</v>
      </c>
      <c r="AD19" s="37" t="s">
        <v>870</v>
      </c>
      <c r="AE19" s="28" t="s">
        <v>1484</v>
      </c>
      <c r="AF19" s="28" t="s">
        <v>12</v>
      </c>
      <c r="AG19" s="38">
        <v>5.6</v>
      </c>
      <c r="AL19" s="37"/>
      <c r="AO19" s="38"/>
      <c r="AP19" s="37"/>
      <c r="AS19" s="38"/>
      <c r="AW19" s="38"/>
      <c r="BA19" s="39"/>
    </row>
    <row r="20" spans="1:53" s="28" customFormat="1" x14ac:dyDescent="0.15">
      <c r="A20" s="28">
        <v>2000</v>
      </c>
      <c r="B20" s="293"/>
      <c r="C20" s="394" t="s">
        <v>859</v>
      </c>
      <c r="D20" s="394"/>
      <c r="E20" s="28">
        <v>158</v>
      </c>
      <c r="G20" s="65">
        <v>8</v>
      </c>
      <c r="I20" s="28">
        <v>10</v>
      </c>
      <c r="J20" s="72">
        <v>19</v>
      </c>
      <c r="K20" s="46">
        <f t="shared" si="0"/>
        <v>42.105263157894733</v>
      </c>
      <c r="L20" s="46">
        <f t="shared" si="1"/>
        <v>0</v>
      </c>
      <c r="M20" s="46">
        <f t="shared" si="2"/>
        <v>52.631578947368418</v>
      </c>
      <c r="N20" s="67">
        <f t="shared" si="3"/>
        <v>94.73684210526315</v>
      </c>
      <c r="O20" s="45">
        <v>27.8</v>
      </c>
      <c r="P20" s="46"/>
      <c r="Q20" s="46">
        <v>26.7</v>
      </c>
      <c r="R20" s="47">
        <f t="shared" si="4"/>
        <v>54.5</v>
      </c>
      <c r="S20" s="28">
        <v>2</v>
      </c>
      <c r="T20" s="284"/>
      <c r="U20" s="293"/>
      <c r="V20" s="37" t="s">
        <v>863</v>
      </c>
      <c r="W20" s="28" t="s">
        <v>22</v>
      </c>
      <c r="X20" s="28" t="s">
        <v>11</v>
      </c>
      <c r="Y20" s="38">
        <v>27.8</v>
      </c>
      <c r="Z20" s="28" t="s">
        <v>868</v>
      </c>
      <c r="AA20" s="28" t="s">
        <v>869</v>
      </c>
      <c r="AB20" s="28" t="s">
        <v>12</v>
      </c>
      <c r="AC20" s="28">
        <v>21.1</v>
      </c>
      <c r="AD20" s="37" t="s">
        <v>870</v>
      </c>
      <c r="AE20" s="28" t="s">
        <v>1484</v>
      </c>
      <c r="AF20" s="28" t="s">
        <v>12</v>
      </c>
      <c r="AG20" s="38">
        <v>5.6</v>
      </c>
      <c r="AL20" s="37"/>
      <c r="AO20" s="38"/>
      <c r="AP20" s="37"/>
      <c r="AS20" s="38"/>
      <c r="AW20" s="38"/>
      <c r="BA20" s="39"/>
    </row>
    <row r="21" spans="1:53" s="170" customFormat="1" x14ac:dyDescent="0.15">
      <c r="A21" s="170">
        <v>2000</v>
      </c>
      <c r="B21" s="281">
        <v>36684</v>
      </c>
      <c r="C21" s="395" t="s">
        <v>861</v>
      </c>
      <c r="D21" s="395"/>
      <c r="E21" s="170">
        <v>176</v>
      </c>
      <c r="F21" s="170">
        <v>5</v>
      </c>
      <c r="G21" s="232">
        <v>5</v>
      </c>
      <c r="H21" s="170">
        <v>3</v>
      </c>
      <c r="I21" s="170">
        <v>5</v>
      </c>
      <c r="J21" s="240">
        <v>17</v>
      </c>
      <c r="K21" s="213">
        <f t="shared" si="0"/>
        <v>29.411764705882355</v>
      </c>
      <c r="L21" s="213">
        <f t="shared" si="1"/>
        <v>17.647058823529413</v>
      </c>
      <c r="M21" s="213">
        <f t="shared" si="2"/>
        <v>29.411764705882355</v>
      </c>
      <c r="N21" s="234">
        <f t="shared" si="3"/>
        <v>76.470588235294116</v>
      </c>
      <c r="O21" s="212">
        <v>17.8</v>
      </c>
      <c r="P21" s="213">
        <v>11.1</v>
      </c>
      <c r="Q21" s="213">
        <v>21.1</v>
      </c>
      <c r="R21" s="214">
        <f t="shared" si="4"/>
        <v>50</v>
      </c>
      <c r="S21" s="170">
        <v>5</v>
      </c>
      <c r="T21" s="283"/>
      <c r="U21" s="281">
        <v>36684</v>
      </c>
      <c r="V21" s="177" t="s">
        <v>868</v>
      </c>
      <c r="W21" s="170" t="s">
        <v>869</v>
      </c>
      <c r="X21" s="170" t="s">
        <v>12</v>
      </c>
      <c r="Y21" s="178">
        <v>21.1</v>
      </c>
      <c r="Z21" s="177" t="s">
        <v>867</v>
      </c>
      <c r="AA21" s="170" t="s">
        <v>294</v>
      </c>
      <c r="AB21" s="170" t="s">
        <v>11</v>
      </c>
      <c r="AC21" s="170">
        <v>17.8</v>
      </c>
      <c r="AD21" s="177" t="s">
        <v>864</v>
      </c>
      <c r="AE21" s="170" t="s">
        <v>17</v>
      </c>
      <c r="AF21" s="170" t="s">
        <v>18</v>
      </c>
      <c r="AG21" s="178">
        <v>11.1</v>
      </c>
      <c r="AL21" s="177"/>
      <c r="AO21" s="178"/>
      <c r="AP21" s="177"/>
      <c r="AS21" s="178"/>
      <c r="AW21" s="178"/>
      <c r="BA21" s="179"/>
    </row>
    <row r="22" spans="1:53" s="28" customFormat="1" x14ac:dyDescent="0.15">
      <c r="A22" s="28">
        <v>2000</v>
      </c>
      <c r="B22" s="293">
        <v>36860</v>
      </c>
      <c r="C22" s="394" t="s">
        <v>1207</v>
      </c>
      <c r="D22" s="394"/>
      <c r="E22" s="28">
        <f>366-E21-E20</f>
        <v>32</v>
      </c>
      <c r="F22" s="28">
        <v>1</v>
      </c>
      <c r="G22" s="65">
        <v>10</v>
      </c>
      <c r="I22" s="28">
        <v>6</v>
      </c>
      <c r="J22" s="72">
        <v>16</v>
      </c>
      <c r="K22" s="46">
        <f t="shared" si="0"/>
        <v>62.5</v>
      </c>
      <c r="L22" s="46">
        <f t="shared" si="1"/>
        <v>0</v>
      </c>
      <c r="M22" s="46">
        <f t="shared" si="2"/>
        <v>37.5</v>
      </c>
      <c r="N22" s="67">
        <f t="shared" si="3"/>
        <v>100</v>
      </c>
      <c r="O22" s="45">
        <v>37.799999999999997</v>
      </c>
      <c r="P22" s="46"/>
      <c r="Q22" s="46">
        <v>22.2</v>
      </c>
      <c r="R22" s="47">
        <f t="shared" si="4"/>
        <v>60</v>
      </c>
      <c r="S22" s="28">
        <v>2</v>
      </c>
      <c r="T22" s="284">
        <v>36814</v>
      </c>
      <c r="U22" s="293">
        <v>36860</v>
      </c>
      <c r="V22" s="37" t="s">
        <v>863</v>
      </c>
      <c r="W22" s="28" t="s">
        <v>22</v>
      </c>
      <c r="X22" s="28" t="s">
        <v>11</v>
      </c>
      <c r="Y22" s="38">
        <v>37.799999999999997</v>
      </c>
      <c r="Z22" s="37" t="s">
        <v>865</v>
      </c>
      <c r="AA22" s="28" t="s">
        <v>97</v>
      </c>
      <c r="AB22" s="28" t="s">
        <v>12</v>
      </c>
      <c r="AC22" s="28">
        <v>12.2</v>
      </c>
      <c r="AD22" s="37" t="s">
        <v>875</v>
      </c>
      <c r="AE22" s="28" t="s">
        <v>876</v>
      </c>
      <c r="AF22" s="28" t="s">
        <v>12</v>
      </c>
      <c r="AG22" s="38">
        <v>10</v>
      </c>
      <c r="AL22" s="37"/>
      <c r="AO22" s="38"/>
      <c r="AP22" s="37"/>
      <c r="AS22" s="38"/>
      <c r="AW22" s="38"/>
      <c r="BA22" s="39"/>
    </row>
    <row r="23" spans="1:53" s="28" customFormat="1" x14ac:dyDescent="0.15">
      <c r="A23" s="28">
        <v>2001</v>
      </c>
      <c r="B23" s="293"/>
      <c r="C23" s="394" t="s">
        <v>1207</v>
      </c>
      <c r="D23" s="394"/>
      <c r="E23" s="28">
        <v>0</v>
      </c>
      <c r="G23" s="65">
        <v>10</v>
      </c>
      <c r="I23" s="28">
        <v>6</v>
      </c>
      <c r="J23" s="72">
        <v>16</v>
      </c>
      <c r="K23" s="46">
        <f t="shared" si="0"/>
        <v>62.5</v>
      </c>
      <c r="L23" s="46">
        <f t="shared" si="1"/>
        <v>0</v>
      </c>
      <c r="M23" s="46">
        <f t="shared" si="2"/>
        <v>37.5</v>
      </c>
      <c r="N23" s="67">
        <f t="shared" si="3"/>
        <v>100</v>
      </c>
      <c r="O23" s="45">
        <v>37.799999999999997</v>
      </c>
      <c r="P23" s="46"/>
      <c r="Q23" s="46">
        <v>22.2</v>
      </c>
      <c r="R23" s="47">
        <f t="shared" si="4"/>
        <v>60</v>
      </c>
      <c r="S23" s="28">
        <v>2</v>
      </c>
      <c r="T23" s="284"/>
      <c r="U23" s="293"/>
      <c r="V23" s="37" t="s">
        <v>863</v>
      </c>
      <c r="W23" s="28" t="s">
        <v>22</v>
      </c>
      <c r="X23" s="28" t="s">
        <v>11</v>
      </c>
      <c r="Y23" s="38">
        <v>37.799999999999997</v>
      </c>
      <c r="Z23" s="37" t="s">
        <v>865</v>
      </c>
      <c r="AA23" s="28" t="s">
        <v>97</v>
      </c>
      <c r="AB23" s="28" t="s">
        <v>12</v>
      </c>
      <c r="AC23" s="28">
        <v>12.2</v>
      </c>
      <c r="AD23" s="37" t="s">
        <v>875</v>
      </c>
      <c r="AE23" s="28" t="s">
        <v>876</v>
      </c>
      <c r="AF23" s="28" t="s">
        <v>12</v>
      </c>
      <c r="AG23" s="38">
        <v>10</v>
      </c>
      <c r="AL23" s="37"/>
      <c r="AO23" s="38"/>
      <c r="AP23" s="37"/>
      <c r="AS23" s="38"/>
      <c r="AW23" s="38"/>
      <c r="BA23" s="39"/>
    </row>
    <row r="24" spans="1:53" s="28" customFormat="1" x14ac:dyDescent="0.15">
      <c r="A24" s="28">
        <v>2001</v>
      </c>
      <c r="B24" s="293"/>
      <c r="C24" s="394" t="s">
        <v>1207</v>
      </c>
      <c r="D24" s="394"/>
      <c r="E24" s="28">
        <v>365</v>
      </c>
      <c r="G24" s="65">
        <v>10</v>
      </c>
      <c r="I24" s="28">
        <v>6</v>
      </c>
      <c r="J24" s="72">
        <v>16</v>
      </c>
      <c r="K24" s="46">
        <f t="shared" si="0"/>
        <v>62.5</v>
      </c>
      <c r="L24" s="46">
        <f t="shared" si="1"/>
        <v>0</v>
      </c>
      <c r="M24" s="46">
        <f t="shared" si="2"/>
        <v>37.5</v>
      </c>
      <c r="N24" s="67">
        <f t="shared" si="3"/>
        <v>100</v>
      </c>
      <c r="O24" s="45">
        <v>37.799999999999997</v>
      </c>
      <c r="P24" s="46"/>
      <c r="Q24" s="46">
        <v>22.2</v>
      </c>
      <c r="R24" s="47">
        <f t="shared" si="4"/>
        <v>60</v>
      </c>
      <c r="S24" s="28">
        <v>2</v>
      </c>
      <c r="T24" s="284"/>
      <c r="U24" s="293"/>
      <c r="V24" s="37" t="s">
        <v>863</v>
      </c>
      <c r="W24" s="28" t="s">
        <v>22</v>
      </c>
      <c r="X24" s="28" t="s">
        <v>11</v>
      </c>
      <c r="Y24" s="38">
        <v>37.799999999999997</v>
      </c>
      <c r="Z24" s="37" t="s">
        <v>865</v>
      </c>
      <c r="AA24" s="28" t="s">
        <v>97</v>
      </c>
      <c r="AB24" s="28" t="s">
        <v>12</v>
      </c>
      <c r="AC24" s="28">
        <v>12.2</v>
      </c>
      <c r="AD24" s="37" t="s">
        <v>875</v>
      </c>
      <c r="AE24" s="28" t="s">
        <v>876</v>
      </c>
      <c r="AF24" s="28" t="s">
        <v>12</v>
      </c>
      <c r="AG24" s="38">
        <v>10</v>
      </c>
      <c r="AL24" s="37"/>
      <c r="AO24" s="38"/>
      <c r="AP24" s="37"/>
      <c r="AS24" s="38"/>
      <c r="AW24" s="38"/>
      <c r="BA24" s="39"/>
    </row>
    <row r="25" spans="1:53" s="28" customFormat="1" x14ac:dyDescent="0.15">
      <c r="A25" s="28">
        <v>2002</v>
      </c>
      <c r="B25" s="293"/>
      <c r="C25" s="394" t="s">
        <v>1207</v>
      </c>
      <c r="D25" s="394"/>
      <c r="E25" s="28">
        <v>23</v>
      </c>
      <c r="G25" s="65">
        <v>10</v>
      </c>
      <c r="I25" s="28">
        <v>6</v>
      </c>
      <c r="J25" s="72">
        <v>16</v>
      </c>
      <c r="K25" s="46">
        <f>G25/J25*100</f>
        <v>62.5</v>
      </c>
      <c r="L25" s="46">
        <f>H25/J25*100</f>
        <v>0</v>
      </c>
      <c r="M25" s="46">
        <f>I25/J25*100</f>
        <v>37.5</v>
      </c>
      <c r="N25" s="67">
        <f>K25+L25+M25</f>
        <v>100</v>
      </c>
      <c r="O25" s="45">
        <v>37.799999999999997</v>
      </c>
      <c r="P25" s="46"/>
      <c r="Q25" s="46">
        <v>22.2</v>
      </c>
      <c r="R25" s="47">
        <f>O25+P25+Q25</f>
        <v>60</v>
      </c>
      <c r="S25" s="28">
        <v>2</v>
      </c>
      <c r="T25" s="284"/>
      <c r="U25" s="293"/>
      <c r="V25" s="37" t="s">
        <v>863</v>
      </c>
      <c r="W25" s="28" t="s">
        <v>22</v>
      </c>
      <c r="X25" s="28" t="s">
        <v>11</v>
      </c>
      <c r="Y25" s="38">
        <v>37.799999999999997</v>
      </c>
      <c r="Z25" s="37" t="s">
        <v>865</v>
      </c>
      <c r="AA25" s="28" t="s">
        <v>97</v>
      </c>
      <c r="AB25" s="28" t="s">
        <v>12</v>
      </c>
      <c r="AC25" s="28">
        <v>12.2</v>
      </c>
      <c r="AD25" s="37" t="s">
        <v>875</v>
      </c>
      <c r="AE25" s="28" t="s">
        <v>876</v>
      </c>
      <c r="AF25" s="28" t="s">
        <v>12</v>
      </c>
      <c r="AG25" s="38">
        <v>10</v>
      </c>
      <c r="AL25" s="37"/>
      <c r="AO25" s="38"/>
      <c r="AP25" s="37"/>
      <c r="AS25" s="38"/>
      <c r="AW25" s="38"/>
      <c r="BA25" s="39"/>
    </row>
    <row r="26" spans="1:53" s="28" customFormat="1" x14ac:dyDescent="0.15">
      <c r="A26" s="28">
        <v>2002</v>
      </c>
      <c r="B26" s="301">
        <v>37280</v>
      </c>
      <c r="C26" s="394" t="s">
        <v>1207</v>
      </c>
      <c r="D26" s="394"/>
      <c r="E26" s="28">
        <v>329</v>
      </c>
      <c r="F26" s="83">
        <v>0</v>
      </c>
      <c r="G26" s="65">
        <v>9</v>
      </c>
      <c r="I26" s="28">
        <v>6</v>
      </c>
      <c r="J26" s="72">
        <v>16</v>
      </c>
      <c r="K26" s="46">
        <f t="shared" si="0"/>
        <v>56.25</v>
      </c>
      <c r="L26" s="46">
        <f t="shared" si="1"/>
        <v>0</v>
      </c>
      <c r="M26" s="46">
        <f t="shared" si="2"/>
        <v>37.5</v>
      </c>
      <c r="N26" s="67">
        <f t="shared" si="3"/>
        <v>93.75</v>
      </c>
      <c r="O26" s="45">
        <v>37.799999999999997</v>
      </c>
      <c r="P26" s="46"/>
      <c r="Q26" s="46">
        <v>22.2</v>
      </c>
      <c r="R26" s="47">
        <f t="shared" si="4"/>
        <v>60</v>
      </c>
      <c r="S26" s="28">
        <v>2</v>
      </c>
      <c r="T26" s="284"/>
      <c r="U26" s="293"/>
      <c r="V26" s="37" t="s">
        <v>863</v>
      </c>
      <c r="W26" s="28" t="s">
        <v>22</v>
      </c>
      <c r="X26" s="28" t="s">
        <v>11</v>
      </c>
      <c r="Y26" s="38">
        <v>37.799999999999997</v>
      </c>
      <c r="Z26" s="37" t="s">
        <v>865</v>
      </c>
      <c r="AA26" s="28" t="s">
        <v>97</v>
      </c>
      <c r="AB26" s="28" t="s">
        <v>12</v>
      </c>
      <c r="AC26" s="28">
        <v>12.2</v>
      </c>
      <c r="AD26" s="37" t="s">
        <v>875</v>
      </c>
      <c r="AE26" s="28" t="s">
        <v>876</v>
      </c>
      <c r="AF26" s="28" t="s">
        <v>12</v>
      </c>
      <c r="AG26" s="38">
        <v>10</v>
      </c>
      <c r="AL26" s="37"/>
      <c r="AO26" s="38"/>
      <c r="AP26" s="37"/>
      <c r="AS26" s="38"/>
      <c r="AW26" s="38"/>
      <c r="BA26" s="39"/>
    </row>
    <row r="27" spans="1:53" s="170" customFormat="1" x14ac:dyDescent="0.15">
      <c r="A27" s="170">
        <v>2002</v>
      </c>
      <c r="B27" s="281">
        <v>37609</v>
      </c>
      <c r="C27" s="395" t="s">
        <v>860</v>
      </c>
      <c r="D27" s="395"/>
      <c r="E27" s="170">
        <v>13</v>
      </c>
      <c r="F27" s="170">
        <v>2</v>
      </c>
      <c r="G27" s="232">
        <v>10</v>
      </c>
      <c r="I27" s="170">
        <v>7</v>
      </c>
      <c r="J27" s="240">
        <v>17</v>
      </c>
      <c r="K27" s="213">
        <f t="shared" si="0"/>
        <v>58.82352941176471</v>
      </c>
      <c r="L27" s="213">
        <f t="shared" si="1"/>
        <v>0</v>
      </c>
      <c r="M27" s="213">
        <f t="shared" si="2"/>
        <v>41.17647058823529</v>
      </c>
      <c r="N27" s="234">
        <f t="shared" si="3"/>
        <v>100</v>
      </c>
      <c r="O27" s="212">
        <v>37.799999999999997</v>
      </c>
      <c r="P27" s="213"/>
      <c r="Q27" s="213">
        <v>26.6</v>
      </c>
      <c r="R27" s="214">
        <f t="shared" si="4"/>
        <v>64.400000000000006</v>
      </c>
      <c r="S27" s="170">
        <v>3</v>
      </c>
      <c r="T27" s="283"/>
      <c r="U27" s="281">
        <v>37609</v>
      </c>
      <c r="V27" s="177" t="s">
        <v>863</v>
      </c>
      <c r="W27" s="170" t="s">
        <v>22</v>
      </c>
      <c r="X27" s="170" t="s">
        <v>11</v>
      </c>
      <c r="Y27" s="178">
        <v>37.799999999999997</v>
      </c>
      <c r="Z27" s="177" t="s">
        <v>865</v>
      </c>
      <c r="AA27" s="170" t="s">
        <v>97</v>
      </c>
      <c r="AB27" s="170" t="s">
        <v>12</v>
      </c>
      <c r="AC27" s="170">
        <v>12.2</v>
      </c>
      <c r="AD27" s="177" t="s">
        <v>875</v>
      </c>
      <c r="AE27" s="170" t="s">
        <v>876</v>
      </c>
      <c r="AF27" s="170" t="s">
        <v>12</v>
      </c>
      <c r="AG27" s="178">
        <v>10</v>
      </c>
      <c r="AH27" s="177" t="s">
        <v>870</v>
      </c>
      <c r="AI27" s="170" t="s">
        <v>1484</v>
      </c>
      <c r="AJ27" s="170" t="s">
        <v>12</v>
      </c>
      <c r="AK27" s="170">
        <v>4.4000000000000004</v>
      </c>
      <c r="AL27" s="177"/>
      <c r="AO27" s="178"/>
      <c r="AP27" s="177"/>
      <c r="AS27" s="178"/>
      <c r="AW27" s="178"/>
      <c r="BA27" s="179"/>
    </row>
    <row r="28" spans="1:53" s="170" customFormat="1" x14ac:dyDescent="0.15">
      <c r="A28" s="170">
        <v>2003</v>
      </c>
      <c r="B28" s="281"/>
      <c r="C28" s="395" t="s">
        <v>860</v>
      </c>
      <c r="D28" s="395"/>
      <c r="E28" s="170">
        <v>0</v>
      </c>
      <c r="G28" s="232">
        <v>10</v>
      </c>
      <c r="I28" s="170">
        <v>7</v>
      </c>
      <c r="J28" s="240">
        <v>17</v>
      </c>
      <c r="K28" s="213">
        <f t="shared" si="0"/>
        <v>58.82352941176471</v>
      </c>
      <c r="L28" s="213">
        <f t="shared" si="1"/>
        <v>0</v>
      </c>
      <c r="M28" s="213">
        <f t="shared" si="2"/>
        <v>41.17647058823529</v>
      </c>
      <c r="N28" s="234">
        <f t="shared" si="3"/>
        <v>100</v>
      </c>
      <c r="O28" s="212">
        <v>37.799999999999997</v>
      </c>
      <c r="P28" s="213"/>
      <c r="Q28" s="213">
        <v>26.6</v>
      </c>
      <c r="R28" s="214">
        <f t="shared" si="4"/>
        <v>64.400000000000006</v>
      </c>
      <c r="S28" s="170">
        <v>3</v>
      </c>
      <c r="T28" s="283"/>
      <c r="U28" s="281"/>
      <c r="V28" s="177" t="s">
        <v>863</v>
      </c>
      <c r="W28" s="170" t="s">
        <v>22</v>
      </c>
      <c r="X28" s="170" t="s">
        <v>11</v>
      </c>
      <c r="Y28" s="178">
        <v>37.799999999999997</v>
      </c>
      <c r="Z28" s="177" t="s">
        <v>865</v>
      </c>
      <c r="AA28" s="170" t="s">
        <v>97</v>
      </c>
      <c r="AB28" s="170" t="s">
        <v>12</v>
      </c>
      <c r="AC28" s="170">
        <v>12.2</v>
      </c>
      <c r="AD28" s="177" t="s">
        <v>875</v>
      </c>
      <c r="AE28" s="170" t="s">
        <v>876</v>
      </c>
      <c r="AF28" s="170" t="s">
        <v>12</v>
      </c>
      <c r="AG28" s="178">
        <v>10</v>
      </c>
      <c r="AH28" s="177" t="s">
        <v>870</v>
      </c>
      <c r="AI28" s="170" t="s">
        <v>1484</v>
      </c>
      <c r="AJ28" s="170" t="s">
        <v>12</v>
      </c>
      <c r="AK28" s="170">
        <v>4.4000000000000004</v>
      </c>
      <c r="AL28" s="177"/>
      <c r="AO28" s="178"/>
      <c r="AP28" s="177"/>
      <c r="AS28" s="178"/>
      <c r="AW28" s="178"/>
      <c r="BA28" s="179"/>
    </row>
    <row r="29" spans="1:53" s="170" customFormat="1" x14ac:dyDescent="0.15">
      <c r="A29" s="170">
        <v>2003</v>
      </c>
      <c r="B29" s="281"/>
      <c r="C29" s="395" t="s">
        <v>860</v>
      </c>
      <c r="D29" s="395"/>
      <c r="E29" s="170">
        <v>365</v>
      </c>
      <c r="G29" s="232">
        <v>10</v>
      </c>
      <c r="I29" s="170">
        <v>7</v>
      </c>
      <c r="J29" s="240">
        <v>17</v>
      </c>
      <c r="K29" s="213">
        <f t="shared" si="0"/>
        <v>58.82352941176471</v>
      </c>
      <c r="L29" s="213">
        <f t="shared" si="1"/>
        <v>0</v>
      </c>
      <c r="M29" s="213">
        <f t="shared" si="2"/>
        <v>41.17647058823529</v>
      </c>
      <c r="N29" s="234">
        <f t="shared" si="3"/>
        <v>100</v>
      </c>
      <c r="O29" s="212">
        <v>37.799999999999997</v>
      </c>
      <c r="P29" s="213"/>
      <c r="Q29" s="213">
        <v>26.6</v>
      </c>
      <c r="R29" s="214">
        <f t="shared" si="4"/>
        <v>64.400000000000006</v>
      </c>
      <c r="S29" s="170">
        <v>3</v>
      </c>
      <c r="T29" s="283"/>
      <c r="U29" s="281"/>
      <c r="V29" s="177" t="s">
        <v>863</v>
      </c>
      <c r="W29" s="170" t="s">
        <v>22</v>
      </c>
      <c r="X29" s="170" t="s">
        <v>11</v>
      </c>
      <c r="Y29" s="178">
        <v>37.799999999999997</v>
      </c>
      <c r="Z29" s="177" t="s">
        <v>865</v>
      </c>
      <c r="AA29" s="170" t="s">
        <v>97</v>
      </c>
      <c r="AB29" s="170" t="s">
        <v>12</v>
      </c>
      <c r="AC29" s="170">
        <v>12.2</v>
      </c>
      <c r="AD29" s="177" t="s">
        <v>875</v>
      </c>
      <c r="AE29" s="170" t="s">
        <v>876</v>
      </c>
      <c r="AF29" s="170" t="s">
        <v>12</v>
      </c>
      <c r="AG29" s="178">
        <v>10</v>
      </c>
      <c r="AH29" s="177" t="s">
        <v>870</v>
      </c>
      <c r="AI29" s="170" t="s">
        <v>1484</v>
      </c>
      <c r="AJ29" s="170" t="s">
        <v>12</v>
      </c>
      <c r="AK29" s="170">
        <v>4.4000000000000004</v>
      </c>
      <c r="AL29" s="177"/>
      <c r="AO29" s="178"/>
      <c r="AP29" s="177"/>
      <c r="AS29" s="178"/>
      <c r="AW29" s="178"/>
      <c r="BA29" s="179"/>
    </row>
    <row r="30" spans="1:53" s="170" customFormat="1" x14ac:dyDescent="0.15">
      <c r="A30" s="170">
        <v>2004</v>
      </c>
      <c r="B30" s="281"/>
      <c r="C30" s="395" t="s">
        <v>860</v>
      </c>
      <c r="D30" s="395"/>
      <c r="E30" s="170">
        <v>110</v>
      </c>
      <c r="G30" s="232">
        <v>10</v>
      </c>
      <c r="I30" s="170">
        <v>7</v>
      </c>
      <c r="J30" s="240">
        <v>17</v>
      </c>
      <c r="K30" s="213">
        <f t="shared" si="0"/>
        <v>58.82352941176471</v>
      </c>
      <c r="L30" s="213">
        <f t="shared" si="1"/>
        <v>0</v>
      </c>
      <c r="M30" s="213">
        <f t="shared" si="2"/>
        <v>41.17647058823529</v>
      </c>
      <c r="N30" s="234">
        <f t="shared" si="3"/>
        <v>100</v>
      </c>
      <c r="O30" s="212">
        <v>37.799999999999997</v>
      </c>
      <c r="P30" s="213"/>
      <c r="Q30" s="213">
        <v>26.6</v>
      </c>
      <c r="R30" s="214">
        <f t="shared" si="4"/>
        <v>64.400000000000006</v>
      </c>
      <c r="S30" s="170">
        <v>3</v>
      </c>
      <c r="T30" s="283"/>
      <c r="U30" s="281"/>
      <c r="V30" s="177" t="s">
        <v>863</v>
      </c>
      <c r="W30" s="170" t="s">
        <v>22</v>
      </c>
      <c r="X30" s="170" t="s">
        <v>11</v>
      </c>
      <c r="Y30" s="178">
        <v>37.799999999999997</v>
      </c>
      <c r="Z30" s="177" t="s">
        <v>865</v>
      </c>
      <c r="AA30" s="170" t="s">
        <v>97</v>
      </c>
      <c r="AB30" s="170" t="s">
        <v>12</v>
      </c>
      <c r="AC30" s="170">
        <v>12.2</v>
      </c>
      <c r="AD30" s="177" t="s">
        <v>875</v>
      </c>
      <c r="AE30" s="170" t="s">
        <v>876</v>
      </c>
      <c r="AF30" s="170" t="s">
        <v>12</v>
      </c>
      <c r="AG30" s="178">
        <v>10</v>
      </c>
      <c r="AH30" s="177" t="s">
        <v>870</v>
      </c>
      <c r="AI30" s="170" t="s">
        <v>1484</v>
      </c>
      <c r="AJ30" s="170" t="s">
        <v>12</v>
      </c>
      <c r="AK30" s="170">
        <v>4.4000000000000004</v>
      </c>
      <c r="AL30" s="177"/>
      <c r="AO30" s="178"/>
      <c r="AP30" s="177"/>
      <c r="AS30" s="178"/>
      <c r="AW30" s="178"/>
      <c r="BA30" s="179"/>
    </row>
    <row r="31" spans="1:53" s="28" customFormat="1" x14ac:dyDescent="0.15">
      <c r="A31" s="28">
        <v>2004</v>
      </c>
      <c r="B31" s="293">
        <v>38097</v>
      </c>
      <c r="C31" s="394" t="s">
        <v>862</v>
      </c>
      <c r="D31" s="394"/>
      <c r="E31" s="28">
        <v>227</v>
      </c>
      <c r="F31" s="28">
        <v>4</v>
      </c>
      <c r="G31" s="65">
        <v>13</v>
      </c>
      <c r="I31" s="28">
        <v>4</v>
      </c>
      <c r="J31" s="72">
        <v>17</v>
      </c>
      <c r="K31" s="46">
        <f t="shared" si="0"/>
        <v>76.470588235294116</v>
      </c>
      <c r="L31" s="46">
        <f t="shared" si="1"/>
        <v>0</v>
      </c>
      <c r="M31" s="46">
        <f t="shared" si="2"/>
        <v>23.52941176470588</v>
      </c>
      <c r="N31" s="67">
        <f t="shared" si="3"/>
        <v>100</v>
      </c>
      <c r="O31" s="45">
        <v>37.799999999999997</v>
      </c>
      <c r="P31" s="46"/>
      <c r="Q31" s="46">
        <v>16.600000000000001</v>
      </c>
      <c r="R31" s="47">
        <f t="shared" si="4"/>
        <v>54.4</v>
      </c>
      <c r="S31" s="28">
        <v>2</v>
      </c>
      <c r="T31" s="284"/>
      <c r="U31" s="293">
        <v>38097</v>
      </c>
      <c r="V31" s="37" t="s">
        <v>863</v>
      </c>
      <c r="W31" s="28" t="s">
        <v>22</v>
      </c>
      <c r="X31" s="28" t="s">
        <v>11</v>
      </c>
      <c r="Y31" s="38">
        <v>37.799999999999997</v>
      </c>
      <c r="Z31" s="37" t="s">
        <v>865</v>
      </c>
      <c r="AA31" s="28" t="s">
        <v>97</v>
      </c>
      <c r="AB31" s="28" t="s">
        <v>12</v>
      </c>
      <c r="AC31" s="28">
        <v>12.2</v>
      </c>
      <c r="AD31" s="37" t="s">
        <v>870</v>
      </c>
      <c r="AE31" s="28" t="s">
        <v>1484</v>
      </c>
      <c r="AF31" s="28" t="s">
        <v>12</v>
      </c>
      <c r="AG31" s="38">
        <v>4.4000000000000004</v>
      </c>
      <c r="AL31" s="37"/>
      <c r="AO31" s="38"/>
      <c r="AP31" s="37"/>
      <c r="AS31" s="38"/>
      <c r="AW31" s="38"/>
      <c r="BA31" s="39"/>
    </row>
    <row r="32" spans="1:53" s="170" customFormat="1" x14ac:dyDescent="0.15">
      <c r="A32" s="170">
        <v>2004</v>
      </c>
      <c r="B32" s="281">
        <v>38324</v>
      </c>
      <c r="C32" s="395" t="s">
        <v>1209</v>
      </c>
      <c r="D32" s="395"/>
      <c r="E32" s="170">
        <f>366-E31-E30</f>
        <v>29</v>
      </c>
      <c r="F32" s="170">
        <v>1</v>
      </c>
      <c r="G32" s="232">
        <v>8</v>
      </c>
      <c r="H32" s="170">
        <v>4</v>
      </c>
      <c r="I32" s="170">
        <v>5</v>
      </c>
      <c r="J32" s="240">
        <v>17</v>
      </c>
      <c r="K32" s="213">
        <f t="shared" si="0"/>
        <v>47.058823529411761</v>
      </c>
      <c r="L32" s="213">
        <f t="shared" si="1"/>
        <v>23.52941176470588</v>
      </c>
      <c r="M32" s="213">
        <f t="shared" si="2"/>
        <v>29.411764705882355</v>
      </c>
      <c r="N32" s="234">
        <f t="shared" si="3"/>
        <v>100</v>
      </c>
      <c r="O32" s="212">
        <v>32.200000000000003</v>
      </c>
      <c r="P32" s="213">
        <v>10</v>
      </c>
      <c r="Q32" s="213">
        <v>12.2</v>
      </c>
      <c r="R32" s="214">
        <f t="shared" si="4"/>
        <v>54.400000000000006</v>
      </c>
      <c r="S32" s="170">
        <v>2</v>
      </c>
      <c r="T32" s="283">
        <v>38263</v>
      </c>
      <c r="U32" s="281">
        <v>38324</v>
      </c>
      <c r="V32" s="177" t="s">
        <v>867</v>
      </c>
      <c r="W32" s="170" t="s">
        <v>294</v>
      </c>
      <c r="X32" s="170" t="s">
        <v>11</v>
      </c>
      <c r="Y32" s="178">
        <v>32.200000000000003</v>
      </c>
      <c r="Z32" s="170" t="s">
        <v>871</v>
      </c>
      <c r="AA32" s="170" t="s">
        <v>81</v>
      </c>
      <c r="AB32" s="170" t="s">
        <v>18</v>
      </c>
      <c r="AC32" s="170">
        <v>10</v>
      </c>
      <c r="AD32" s="177" t="s">
        <v>868</v>
      </c>
      <c r="AE32" s="170" t="s">
        <v>869</v>
      </c>
      <c r="AF32" s="170" t="s">
        <v>12</v>
      </c>
      <c r="AG32" s="178">
        <v>7.8</v>
      </c>
      <c r="AH32" s="177" t="s">
        <v>870</v>
      </c>
      <c r="AI32" s="170" t="s">
        <v>1484</v>
      </c>
      <c r="AJ32" s="170" t="s">
        <v>12</v>
      </c>
      <c r="AK32" s="170">
        <v>4.4000000000000004</v>
      </c>
      <c r="AL32" s="177"/>
      <c r="AO32" s="178"/>
      <c r="AP32" s="177"/>
      <c r="AS32" s="178"/>
      <c r="AW32" s="178"/>
      <c r="BA32" s="179"/>
    </row>
    <row r="33" spans="1:53" s="170" customFormat="1" x14ac:dyDescent="0.15">
      <c r="A33" s="170">
        <v>2005</v>
      </c>
      <c r="B33" s="304"/>
      <c r="C33" s="395" t="s">
        <v>1209</v>
      </c>
      <c r="D33" s="395"/>
      <c r="E33" s="170">
        <v>353</v>
      </c>
      <c r="G33" s="232">
        <v>8</v>
      </c>
      <c r="H33" s="170">
        <v>4</v>
      </c>
      <c r="I33" s="170">
        <v>5</v>
      </c>
      <c r="J33" s="240">
        <v>17</v>
      </c>
      <c r="K33" s="213">
        <f t="shared" si="0"/>
        <v>47.058823529411761</v>
      </c>
      <c r="L33" s="213">
        <f t="shared" si="1"/>
        <v>23.52941176470588</v>
      </c>
      <c r="M33" s="213">
        <f t="shared" si="2"/>
        <v>29.411764705882355</v>
      </c>
      <c r="N33" s="234">
        <f t="shared" si="3"/>
        <v>100</v>
      </c>
      <c r="O33" s="212">
        <v>32.200000000000003</v>
      </c>
      <c r="P33" s="213">
        <v>10</v>
      </c>
      <c r="Q33" s="213">
        <v>12.2</v>
      </c>
      <c r="R33" s="214">
        <f t="shared" si="4"/>
        <v>54.400000000000006</v>
      </c>
      <c r="S33" s="170">
        <v>2</v>
      </c>
      <c r="T33" s="283"/>
      <c r="U33" s="281"/>
      <c r="V33" s="177" t="s">
        <v>867</v>
      </c>
      <c r="W33" s="170" t="s">
        <v>294</v>
      </c>
      <c r="X33" s="170" t="s">
        <v>11</v>
      </c>
      <c r="Y33" s="178">
        <v>32.200000000000003</v>
      </c>
      <c r="Z33" s="170" t="s">
        <v>871</v>
      </c>
      <c r="AA33" s="170" t="s">
        <v>81</v>
      </c>
      <c r="AB33" s="170" t="s">
        <v>18</v>
      </c>
      <c r="AC33" s="170">
        <v>10</v>
      </c>
      <c r="AD33" s="177" t="s">
        <v>868</v>
      </c>
      <c r="AE33" s="170" t="s">
        <v>869</v>
      </c>
      <c r="AF33" s="170" t="s">
        <v>12</v>
      </c>
      <c r="AG33" s="178">
        <v>7.8</v>
      </c>
      <c r="AH33" s="177" t="s">
        <v>870</v>
      </c>
      <c r="AI33" s="170" t="s">
        <v>1484</v>
      </c>
      <c r="AJ33" s="170" t="s">
        <v>12</v>
      </c>
      <c r="AK33" s="170">
        <v>4.4000000000000004</v>
      </c>
      <c r="AL33" s="177"/>
      <c r="AO33" s="178"/>
      <c r="AP33" s="177"/>
      <c r="AS33" s="178"/>
      <c r="AW33" s="178"/>
      <c r="BA33" s="179"/>
    </row>
    <row r="34" spans="1:53" s="170" customFormat="1" x14ac:dyDescent="0.15">
      <c r="A34" s="170">
        <v>2005</v>
      </c>
      <c r="B34" s="303">
        <v>38706</v>
      </c>
      <c r="C34" s="395" t="s">
        <v>1209</v>
      </c>
      <c r="D34" s="395"/>
      <c r="E34" s="170">
        <f>365-E33</f>
        <v>12</v>
      </c>
      <c r="F34" s="243">
        <v>0</v>
      </c>
      <c r="G34" s="232">
        <v>9</v>
      </c>
      <c r="H34" s="170">
        <v>4</v>
      </c>
      <c r="I34" s="170">
        <v>5</v>
      </c>
      <c r="J34" s="240">
        <v>18</v>
      </c>
      <c r="K34" s="213">
        <f t="shared" si="0"/>
        <v>50</v>
      </c>
      <c r="L34" s="213">
        <f t="shared" si="1"/>
        <v>22.222222222222221</v>
      </c>
      <c r="M34" s="213">
        <f t="shared" si="2"/>
        <v>27.777777777777779</v>
      </c>
      <c r="N34" s="234">
        <f t="shared" si="3"/>
        <v>100</v>
      </c>
      <c r="O34" s="212">
        <v>32.200000000000003</v>
      </c>
      <c r="P34" s="213">
        <v>10</v>
      </c>
      <c r="Q34" s="213">
        <v>12.2</v>
      </c>
      <c r="R34" s="214">
        <f t="shared" si="4"/>
        <v>54.400000000000006</v>
      </c>
      <c r="S34" s="170">
        <v>2</v>
      </c>
      <c r="T34" s="283"/>
      <c r="U34" s="281"/>
      <c r="V34" s="177" t="s">
        <v>867</v>
      </c>
      <c r="W34" s="170" t="s">
        <v>294</v>
      </c>
      <c r="X34" s="170" t="s">
        <v>11</v>
      </c>
      <c r="Y34" s="178">
        <v>32.200000000000003</v>
      </c>
      <c r="Z34" s="170" t="s">
        <v>871</v>
      </c>
      <c r="AA34" s="170" t="s">
        <v>81</v>
      </c>
      <c r="AB34" s="170" t="s">
        <v>18</v>
      </c>
      <c r="AC34" s="170">
        <v>10</v>
      </c>
      <c r="AD34" s="177" t="s">
        <v>868</v>
      </c>
      <c r="AE34" s="170" t="s">
        <v>869</v>
      </c>
      <c r="AF34" s="170" t="s">
        <v>12</v>
      </c>
      <c r="AG34" s="178">
        <v>7.8</v>
      </c>
      <c r="AH34" s="177" t="s">
        <v>870</v>
      </c>
      <c r="AI34" s="170" t="s">
        <v>1484</v>
      </c>
      <c r="AJ34" s="170" t="s">
        <v>12</v>
      </c>
      <c r="AK34" s="170">
        <v>4.4000000000000004</v>
      </c>
      <c r="AL34" s="177"/>
      <c r="AO34" s="178"/>
      <c r="AP34" s="177"/>
      <c r="AS34" s="178"/>
      <c r="AW34" s="178"/>
      <c r="BA34" s="179"/>
    </row>
    <row r="35" spans="1:53" s="170" customFormat="1" x14ac:dyDescent="0.15">
      <c r="A35" s="170">
        <v>2006</v>
      </c>
      <c r="B35" s="304"/>
      <c r="C35" s="395" t="s">
        <v>1209</v>
      </c>
      <c r="D35" s="395"/>
      <c r="E35" s="170">
        <v>79</v>
      </c>
      <c r="G35" s="232">
        <v>9</v>
      </c>
      <c r="H35" s="170">
        <v>4</v>
      </c>
      <c r="I35" s="170">
        <v>5</v>
      </c>
      <c r="J35" s="240">
        <v>18</v>
      </c>
      <c r="K35" s="213">
        <f t="shared" si="0"/>
        <v>50</v>
      </c>
      <c r="L35" s="213">
        <f t="shared" si="1"/>
        <v>22.222222222222221</v>
      </c>
      <c r="M35" s="213">
        <f t="shared" si="2"/>
        <v>27.777777777777779</v>
      </c>
      <c r="N35" s="234">
        <f t="shared" si="3"/>
        <v>100</v>
      </c>
      <c r="O35" s="212">
        <v>32.200000000000003</v>
      </c>
      <c r="P35" s="213">
        <v>10</v>
      </c>
      <c r="Q35" s="213">
        <v>12.2</v>
      </c>
      <c r="R35" s="214">
        <f t="shared" si="4"/>
        <v>54.400000000000006</v>
      </c>
      <c r="S35" s="170">
        <v>2</v>
      </c>
      <c r="T35" s="283"/>
      <c r="U35" s="281"/>
      <c r="V35" s="177" t="s">
        <v>867</v>
      </c>
      <c r="W35" s="170" t="s">
        <v>294</v>
      </c>
      <c r="X35" s="170" t="s">
        <v>11</v>
      </c>
      <c r="Y35" s="178">
        <v>32.200000000000003</v>
      </c>
      <c r="Z35" s="170" t="s">
        <v>871</v>
      </c>
      <c r="AA35" s="170" t="s">
        <v>81</v>
      </c>
      <c r="AB35" s="170" t="s">
        <v>18</v>
      </c>
      <c r="AC35" s="170">
        <v>10</v>
      </c>
      <c r="AD35" s="177" t="s">
        <v>868</v>
      </c>
      <c r="AE35" s="170" t="s">
        <v>869</v>
      </c>
      <c r="AF35" s="170" t="s">
        <v>12</v>
      </c>
      <c r="AG35" s="178">
        <v>7.8</v>
      </c>
      <c r="AH35" s="177" t="s">
        <v>870</v>
      </c>
      <c r="AI35" s="170" t="s">
        <v>1484</v>
      </c>
      <c r="AJ35" s="170" t="s">
        <v>12</v>
      </c>
      <c r="AK35" s="170">
        <v>4.4000000000000004</v>
      </c>
      <c r="AL35" s="177"/>
      <c r="AO35" s="178"/>
      <c r="AP35" s="177"/>
      <c r="AS35" s="178"/>
      <c r="AW35" s="178"/>
      <c r="BA35" s="179"/>
    </row>
    <row r="36" spans="1:53" s="170" customFormat="1" x14ac:dyDescent="0.15">
      <c r="A36" s="170">
        <v>2006</v>
      </c>
      <c r="B36" s="303">
        <v>38797</v>
      </c>
      <c r="C36" s="395" t="s">
        <v>1209</v>
      </c>
      <c r="D36" s="395"/>
      <c r="E36" s="170">
        <v>267</v>
      </c>
      <c r="F36" s="243">
        <v>0</v>
      </c>
      <c r="G36" s="232">
        <v>8</v>
      </c>
      <c r="H36" s="170">
        <v>4</v>
      </c>
      <c r="I36" s="170">
        <v>5</v>
      </c>
      <c r="J36" s="240">
        <v>17</v>
      </c>
      <c r="K36" s="213">
        <f>G36/J36*100</f>
        <v>47.058823529411761</v>
      </c>
      <c r="L36" s="213">
        <f>H36/J36*100</f>
        <v>23.52941176470588</v>
      </c>
      <c r="M36" s="213">
        <f>I36/J36*100</f>
        <v>29.411764705882355</v>
      </c>
      <c r="N36" s="234">
        <f t="shared" si="3"/>
        <v>100</v>
      </c>
      <c r="O36" s="212">
        <v>32.200000000000003</v>
      </c>
      <c r="P36" s="213">
        <v>10</v>
      </c>
      <c r="Q36" s="213">
        <v>12.2</v>
      </c>
      <c r="R36" s="214">
        <f t="shared" si="4"/>
        <v>54.400000000000006</v>
      </c>
      <c r="S36" s="170">
        <v>2</v>
      </c>
      <c r="T36" s="283"/>
      <c r="U36" s="281"/>
      <c r="V36" s="177" t="s">
        <v>867</v>
      </c>
      <c r="W36" s="170" t="s">
        <v>294</v>
      </c>
      <c r="X36" s="170" t="s">
        <v>11</v>
      </c>
      <c r="Y36" s="178">
        <v>32.200000000000003</v>
      </c>
      <c r="Z36" s="170" t="s">
        <v>871</v>
      </c>
      <c r="AA36" s="170" t="s">
        <v>81</v>
      </c>
      <c r="AB36" s="170" t="s">
        <v>18</v>
      </c>
      <c r="AC36" s="170">
        <v>10</v>
      </c>
      <c r="AD36" s="177" t="s">
        <v>868</v>
      </c>
      <c r="AE36" s="170" t="s">
        <v>869</v>
      </c>
      <c r="AF36" s="170" t="s">
        <v>12</v>
      </c>
      <c r="AG36" s="178">
        <v>7.8</v>
      </c>
      <c r="AH36" s="177" t="s">
        <v>870</v>
      </c>
      <c r="AI36" s="170" t="s">
        <v>1484</v>
      </c>
      <c r="AJ36" s="170" t="s">
        <v>12</v>
      </c>
      <c r="AK36" s="170">
        <v>4.4000000000000004</v>
      </c>
      <c r="AL36" s="177"/>
      <c r="AO36" s="178"/>
      <c r="AP36" s="177"/>
      <c r="AS36" s="178"/>
      <c r="AW36" s="178"/>
      <c r="BA36" s="179"/>
    </row>
    <row r="37" spans="1:53" s="170" customFormat="1" x14ac:dyDescent="0.15">
      <c r="A37" s="170">
        <v>2006</v>
      </c>
      <c r="B37" s="303">
        <v>39064</v>
      </c>
      <c r="C37" s="395" t="s">
        <v>1209</v>
      </c>
      <c r="D37" s="395"/>
      <c r="E37" s="170">
        <f>365-E36-E35</f>
        <v>19</v>
      </c>
      <c r="F37" s="243">
        <v>0</v>
      </c>
      <c r="G37" s="232">
        <v>9</v>
      </c>
      <c r="H37" s="170">
        <v>3</v>
      </c>
      <c r="I37" s="170">
        <v>5</v>
      </c>
      <c r="J37" s="240">
        <v>17</v>
      </c>
      <c r="K37" s="213">
        <f t="shared" si="0"/>
        <v>52.941176470588239</v>
      </c>
      <c r="L37" s="213">
        <f t="shared" si="1"/>
        <v>17.647058823529413</v>
      </c>
      <c r="M37" s="213">
        <f t="shared" si="2"/>
        <v>29.411764705882355</v>
      </c>
      <c r="N37" s="234">
        <f t="shared" si="3"/>
        <v>100</v>
      </c>
      <c r="O37" s="212">
        <v>32.200000000000003</v>
      </c>
      <c r="P37" s="213">
        <v>10</v>
      </c>
      <c r="Q37" s="213">
        <v>12.2</v>
      </c>
      <c r="R37" s="214">
        <f t="shared" si="4"/>
        <v>54.400000000000006</v>
      </c>
      <c r="S37" s="170">
        <v>2</v>
      </c>
      <c r="T37" s="283"/>
      <c r="U37" s="281"/>
      <c r="V37" s="177" t="s">
        <v>867</v>
      </c>
      <c r="W37" s="170" t="s">
        <v>294</v>
      </c>
      <c r="X37" s="170" t="s">
        <v>11</v>
      </c>
      <c r="Y37" s="178">
        <v>32.200000000000003</v>
      </c>
      <c r="Z37" s="170" t="s">
        <v>871</v>
      </c>
      <c r="AA37" s="170" t="s">
        <v>81</v>
      </c>
      <c r="AB37" s="170" t="s">
        <v>18</v>
      </c>
      <c r="AC37" s="170">
        <v>10</v>
      </c>
      <c r="AD37" s="177" t="s">
        <v>868</v>
      </c>
      <c r="AE37" s="170" t="s">
        <v>869</v>
      </c>
      <c r="AF37" s="170" t="s">
        <v>12</v>
      </c>
      <c r="AG37" s="178">
        <v>7.8</v>
      </c>
      <c r="AH37" s="177" t="s">
        <v>870</v>
      </c>
      <c r="AI37" s="170" t="s">
        <v>1484</v>
      </c>
      <c r="AJ37" s="170" t="s">
        <v>12</v>
      </c>
      <c r="AK37" s="170">
        <v>4.4000000000000004</v>
      </c>
      <c r="AL37" s="177"/>
      <c r="AO37" s="178"/>
      <c r="AP37" s="177"/>
      <c r="AS37" s="178"/>
      <c r="AW37" s="178"/>
      <c r="BA37" s="179"/>
    </row>
    <row r="38" spans="1:53" s="170" customFormat="1" x14ac:dyDescent="0.15">
      <c r="A38" s="170">
        <v>2007</v>
      </c>
      <c r="B38" s="304"/>
      <c r="C38" s="395" t="s">
        <v>1209</v>
      </c>
      <c r="D38" s="395"/>
      <c r="E38" s="170">
        <v>0</v>
      </c>
      <c r="G38" s="232">
        <v>9</v>
      </c>
      <c r="H38" s="170">
        <v>3</v>
      </c>
      <c r="I38" s="170">
        <v>5</v>
      </c>
      <c r="J38" s="240">
        <v>17</v>
      </c>
      <c r="K38" s="213">
        <f t="shared" si="0"/>
        <v>52.941176470588239</v>
      </c>
      <c r="L38" s="213">
        <f t="shared" si="1"/>
        <v>17.647058823529413</v>
      </c>
      <c r="M38" s="213">
        <f t="shared" si="2"/>
        <v>29.411764705882355</v>
      </c>
      <c r="N38" s="234">
        <f t="shared" si="3"/>
        <v>100</v>
      </c>
      <c r="O38" s="212">
        <v>32.200000000000003</v>
      </c>
      <c r="P38" s="213">
        <v>10</v>
      </c>
      <c r="Q38" s="213">
        <v>12.2</v>
      </c>
      <c r="R38" s="214">
        <f t="shared" si="4"/>
        <v>54.400000000000006</v>
      </c>
      <c r="S38" s="170">
        <v>2</v>
      </c>
      <c r="T38" s="283"/>
      <c r="U38" s="281"/>
      <c r="V38" s="177" t="s">
        <v>867</v>
      </c>
      <c r="W38" s="170" t="s">
        <v>294</v>
      </c>
      <c r="X38" s="170" t="s">
        <v>11</v>
      </c>
      <c r="Y38" s="178">
        <v>32.200000000000003</v>
      </c>
      <c r="Z38" s="170" t="s">
        <v>871</v>
      </c>
      <c r="AA38" s="170" t="s">
        <v>81</v>
      </c>
      <c r="AB38" s="170" t="s">
        <v>18</v>
      </c>
      <c r="AC38" s="170">
        <v>10</v>
      </c>
      <c r="AD38" s="177" t="s">
        <v>868</v>
      </c>
      <c r="AE38" s="170" t="s">
        <v>869</v>
      </c>
      <c r="AF38" s="170" t="s">
        <v>12</v>
      </c>
      <c r="AG38" s="178">
        <v>7.8</v>
      </c>
      <c r="AH38" s="177" t="s">
        <v>870</v>
      </c>
      <c r="AI38" s="170" t="s">
        <v>1484</v>
      </c>
      <c r="AJ38" s="170" t="s">
        <v>12</v>
      </c>
      <c r="AK38" s="170">
        <v>4.4000000000000004</v>
      </c>
      <c r="AL38" s="177"/>
      <c r="AO38" s="178"/>
      <c r="AP38" s="177"/>
      <c r="AS38" s="178"/>
      <c r="AW38" s="178"/>
      <c r="BA38" s="179"/>
    </row>
    <row r="39" spans="1:53" s="170" customFormat="1" x14ac:dyDescent="0.15">
      <c r="A39" s="170">
        <v>2007</v>
      </c>
      <c r="B39" s="304"/>
      <c r="C39" s="395" t="s">
        <v>1209</v>
      </c>
      <c r="D39" s="395"/>
      <c r="E39" s="170">
        <v>365</v>
      </c>
      <c r="G39" s="232">
        <v>9</v>
      </c>
      <c r="H39" s="170">
        <v>3</v>
      </c>
      <c r="I39" s="170">
        <v>5</v>
      </c>
      <c r="J39" s="240">
        <v>17</v>
      </c>
      <c r="K39" s="213">
        <f t="shared" si="0"/>
        <v>52.941176470588239</v>
      </c>
      <c r="L39" s="213">
        <f t="shared" si="1"/>
        <v>17.647058823529413</v>
      </c>
      <c r="M39" s="213">
        <f t="shared" si="2"/>
        <v>29.411764705882355</v>
      </c>
      <c r="N39" s="234">
        <f t="shared" si="3"/>
        <v>100</v>
      </c>
      <c r="O39" s="212">
        <v>32.200000000000003</v>
      </c>
      <c r="P39" s="213">
        <v>10</v>
      </c>
      <c r="Q39" s="213">
        <v>12.2</v>
      </c>
      <c r="R39" s="214">
        <f t="shared" si="4"/>
        <v>54.400000000000006</v>
      </c>
      <c r="S39" s="170">
        <v>2</v>
      </c>
      <c r="T39" s="283"/>
      <c r="U39" s="281"/>
      <c r="V39" s="177" t="s">
        <v>867</v>
      </c>
      <c r="W39" s="170" t="s">
        <v>294</v>
      </c>
      <c r="X39" s="170" t="s">
        <v>11</v>
      </c>
      <c r="Y39" s="178">
        <v>32.200000000000003</v>
      </c>
      <c r="Z39" s="170" t="s">
        <v>871</v>
      </c>
      <c r="AA39" s="170" t="s">
        <v>81</v>
      </c>
      <c r="AB39" s="170" t="s">
        <v>18</v>
      </c>
      <c r="AC39" s="170">
        <v>10</v>
      </c>
      <c r="AD39" s="177" t="s">
        <v>868</v>
      </c>
      <c r="AE39" s="170" t="s">
        <v>869</v>
      </c>
      <c r="AF39" s="170" t="s">
        <v>12</v>
      </c>
      <c r="AG39" s="178">
        <v>7.8</v>
      </c>
      <c r="AH39" s="177" t="s">
        <v>870</v>
      </c>
      <c r="AI39" s="170" t="s">
        <v>1484</v>
      </c>
      <c r="AJ39" s="170" t="s">
        <v>12</v>
      </c>
      <c r="AK39" s="170">
        <v>4.4000000000000004</v>
      </c>
      <c r="AL39" s="177"/>
      <c r="AO39" s="178"/>
      <c r="AP39" s="177"/>
      <c r="AS39" s="178"/>
      <c r="AW39" s="178"/>
      <c r="BA39" s="179"/>
    </row>
    <row r="40" spans="1:53" s="170" customFormat="1" x14ac:dyDescent="0.15">
      <c r="A40" s="170">
        <v>2008</v>
      </c>
      <c r="B40" s="304"/>
      <c r="C40" s="395" t="s">
        <v>1209</v>
      </c>
      <c r="D40" s="395"/>
      <c r="E40" s="170">
        <v>325</v>
      </c>
      <c r="G40" s="232">
        <v>9</v>
      </c>
      <c r="H40" s="170">
        <v>3</v>
      </c>
      <c r="I40" s="170">
        <v>5</v>
      </c>
      <c r="J40" s="240">
        <v>17</v>
      </c>
      <c r="K40" s="213">
        <f t="shared" si="0"/>
        <v>52.941176470588239</v>
      </c>
      <c r="L40" s="213">
        <f t="shared" si="1"/>
        <v>17.647058823529413</v>
      </c>
      <c r="M40" s="213">
        <f t="shared" si="2"/>
        <v>29.411764705882355</v>
      </c>
      <c r="N40" s="234">
        <f t="shared" si="3"/>
        <v>100</v>
      </c>
      <c r="O40" s="212">
        <v>32.200000000000003</v>
      </c>
      <c r="P40" s="213">
        <v>10</v>
      </c>
      <c r="Q40" s="213">
        <v>12.2</v>
      </c>
      <c r="R40" s="214">
        <f t="shared" si="4"/>
        <v>54.400000000000006</v>
      </c>
      <c r="S40" s="170">
        <v>2</v>
      </c>
      <c r="T40" s="283"/>
      <c r="U40" s="281"/>
      <c r="V40" s="177" t="s">
        <v>867</v>
      </c>
      <c r="W40" s="170" t="s">
        <v>294</v>
      </c>
      <c r="X40" s="170" t="s">
        <v>11</v>
      </c>
      <c r="Y40" s="178">
        <v>32.200000000000003</v>
      </c>
      <c r="Z40" s="170" t="s">
        <v>871</v>
      </c>
      <c r="AA40" s="170" t="s">
        <v>81</v>
      </c>
      <c r="AB40" s="170" t="s">
        <v>18</v>
      </c>
      <c r="AC40" s="170">
        <v>10</v>
      </c>
      <c r="AD40" s="177" t="s">
        <v>868</v>
      </c>
      <c r="AE40" s="170" t="s">
        <v>869</v>
      </c>
      <c r="AF40" s="170" t="s">
        <v>12</v>
      </c>
      <c r="AG40" s="178">
        <v>7.8</v>
      </c>
      <c r="AH40" s="177" t="s">
        <v>870</v>
      </c>
      <c r="AI40" s="170" t="s">
        <v>1484</v>
      </c>
      <c r="AJ40" s="170" t="s">
        <v>12</v>
      </c>
      <c r="AK40" s="170">
        <v>4.4000000000000004</v>
      </c>
      <c r="AL40" s="177"/>
      <c r="AO40" s="178"/>
      <c r="AP40" s="177"/>
      <c r="AS40" s="178"/>
      <c r="AW40" s="178"/>
      <c r="BA40" s="179"/>
    </row>
    <row r="41" spans="1:53" s="28" customFormat="1" x14ac:dyDescent="0.15">
      <c r="A41" s="28">
        <v>2008</v>
      </c>
      <c r="B41" s="275">
        <v>39773</v>
      </c>
      <c r="C41" s="394" t="s">
        <v>872</v>
      </c>
      <c r="D41" s="394"/>
      <c r="E41" s="28">
        <f>366-E40</f>
        <v>41</v>
      </c>
      <c r="F41" s="28">
        <v>1</v>
      </c>
      <c r="G41" s="65">
        <v>6</v>
      </c>
      <c r="I41" s="28">
        <v>13</v>
      </c>
      <c r="J41" s="72">
        <v>19</v>
      </c>
      <c r="K41" s="46">
        <f t="shared" si="0"/>
        <v>31.578947368421051</v>
      </c>
      <c r="L41" s="46">
        <f t="shared" si="1"/>
        <v>0</v>
      </c>
      <c r="M41" s="46">
        <f t="shared" si="2"/>
        <v>68.421052631578945</v>
      </c>
      <c r="N41" s="67">
        <f t="shared" si="3"/>
        <v>100</v>
      </c>
      <c r="O41" s="45">
        <v>15.6</v>
      </c>
      <c r="P41" s="46"/>
      <c r="Q41" s="46">
        <v>40</v>
      </c>
      <c r="R41" s="47">
        <f t="shared" si="4"/>
        <v>55.6</v>
      </c>
      <c r="S41" s="28">
        <v>2</v>
      </c>
      <c r="T41" s="284">
        <v>39712</v>
      </c>
      <c r="U41" s="275">
        <v>39773</v>
      </c>
      <c r="V41" s="37" t="s">
        <v>101</v>
      </c>
      <c r="W41" s="28" t="s">
        <v>97</v>
      </c>
      <c r="X41" s="28" t="s">
        <v>12</v>
      </c>
      <c r="Y41" s="38">
        <v>32.200000000000003</v>
      </c>
      <c r="Z41" s="28" t="s">
        <v>873</v>
      </c>
      <c r="AA41" s="28" t="s">
        <v>106</v>
      </c>
      <c r="AB41" s="28" t="s">
        <v>11</v>
      </c>
      <c r="AC41" s="28">
        <v>10</v>
      </c>
      <c r="AD41" s="37" t="s">
        <v>870</v>
      </c>
      <c r="AE41" s="28" t="s">
        <v>1484</v>
      </c>
      <c r="AF41" s="28" t="s">
        <v>12</v>
      </c>
      <c r="AG41" s="38">
        <v>7.8</v>
      </c>
      <c r="AH41" s="37" t="s">
        <v>863</v>
      </c>
      <c r="AI41" s="28" t="s">
        <v>22</v>
      </c>
      <c r="AJ41" s="28" t="s">
        <v>11</v>
      </c>
      <c r="AK41" s="28">
        <v>5.6</v>
      </c>
      <c r="AL41" s="37"/>
      <c r="AO41" s="38"/>
      <c r="AP41" s="37"/>
      <c r="AS41" s="38"/>
      <c r="AW41" s="38"/>
      <c r="BA41" s="39"/>
    </row>
    <row r="42" spans="1:53" s="28" customFormat="1" x14ac:dyDescent="0.15">
      <c r="A42" s="28">
        <v>2009</v>
      </c>
      <c r="B42" s="275"/>
      <c r="C42" s="394" t="s">
        <v>872</v>
      </c>
      <c r="D42" s="394"/>
      <c r="E42" s="28">
        <v>0</v>
      </c>
      <c r="G42" s="65">
        <v>6</v>
      </c>
      <c r="I42" s="28">
        <v>13</v>
      </c>
      <c r="J42" s="72">
        <v>19</v>
      </c>
      <c r="K42" s="46">
        <f t="shared" si="0"/>
        <v>31.578947368421051</v>
      </c>
      <c r="L42" s="46">
        <f t="shared" si="1"/>
        <v>0</v>
      </c>
      <c r="M42" s="46">
        <f t="shared" si="2"/>
        <v>68.421052631578945</v>
      </c>
      <c r="N42" s="67">
        <f t="shared" si="3"/>
        <v>100</v>
      </c>
      <c r="O42" s="45">
        <v>15.6</v>
      </c>
      <c r="P42" s="46"/>
      <c r="Q42" s="46">
        <v>40</v>
      </c>
      <c r="R42" s="47">
        <f t="shared" si="4"/>
        <v>55.6</v>
      </c>
      <c r="S42" s="28">
        <v>2</v>
      </c>
      <c r="T42" s="284"/>
      <c r="U42" s="293"/>
      <c r="V42" s="37" t="s">
        <v>101</v>
      </c>
      <c r="W42" s="28" t="s">
        <v>97</v>
      </c>
      <c r="X42" s="28" t="s">
        <v>12</v>
      </c>
      <c r="Y42" s="38">
        <v>32.200000000000003</v>
      </c>
      <c r="Z42" s="28" t="s">
        <v>873</v>
      </c>
      <c r="AA42" s="28" t="s">
        <v>106</v>
      </c>
      <c r="AB42" s="28" t="s">
        <v>11</v>
      </c>
      <c r="AC42" s="28">
        <v>10</v>
      </c>
      <c r="AD42" s="37" t="s">
        <v>870</v>
      </c>
      <c r="AE42" s="28" t="s">
        <v>1484</v>
      </c>
      <c r="AF42" s="28" t="s">
        <v>12</v>
      </c>
      <c r="AG42" s="38">
        <v>7.8</v>
      </c>
      <c r="AH42" s="37" t="s">
        <v>863</v>
      </c>
      <c r="AI42" s="28" t="s">
        <v>22</v>
      </c>
      <c r="AJ42" s="28" t="s">
        <v>11</v>
      </c>
      <c r="AK42" s="28">
        <v>5.6</v>
      </c>
      <c r="AL42" s="37"/>
      <c r="AO42" s="38"/>
      <c r="AP42" s="37"/>
      <c r="AS42" s="38"/>
      <c r="AW42" s="38"/>
      <c r="BA42" s="39"/>
    </row>
    <row r="43" spans="1:53" s="28" customFormat="1" x14ac:dyDescent="0.15">
      <c r="A43" s="28">
        <v>2009</v>
      </c>
      <c r="B43" s="275"/>
      <c r="C43" s="394" t="s">
        <v>872</v>
      </c>
      <c r="D43" s="394"/>
      <c r="E43" s="28">
        <v>365</v>
      </c>
      <c r="G43" s="65">
        <v>6</v>
      </c>
      <c r="I43" s="28">
        <v>13</v>
      </c>
      <c r="J43" s="72">
        <v>19</v>
      </c>
      <c r="K43" s="46">
        <f t="shared" si="0"/>
        <v>31.578947368421051</v>
      </c>
      <c r="L43" s="46">
        <f t="shared" si="1"/>
        <v>0</v>
      </c>
      <c r="M43" s="46">
        <f t="shared" si="2"/>
        <v>68.421052631578945</v>
      </c>
      <c r="N43" s="67">
        <f t="shared" si="3"/>
        <v>100</v>
      </c>
      <c r="O43" s="45">
        <v>15.6</v>
      </c>
      <c r="P43" s="46"/>
      <c r="Q43" s="46">
        <v>40</v>
      </c>
      <c r="R43" s="47">
        <f t="shared" si="4"/>
        <v>55.6</v>
      </c>
      <c r="S43" s="28">
        <v>2</v>
      </c>
      <c r="T43" s="284"/>
      <c r="U43" s="293"/>
      <c r="V43" s="37" t="s">
        <v>101</v>
      </c>
      <c r="W43" s="28" t="s">
        <v>97</v>
      </c>
      <c r="X43" s="28" t="s">
        <v>12</v>
      </c>
      <c r="Y43" s="38">
        <v>32.200000000000003</v>
      </c>
      <c r="Z43" s="28" t="s">
        <v>873</v>
      </c>
      <c r="AA43" s="28" t="s">
        <v>106</v>
      </c>
      <c r="AB43" s="28" t="s">
        <v>11</v>
      </c>
      <c r="AC43" s="28">
        <v>10</v>
      </c>
      <c r="AD43" s="37" t="s">
        <v>870</v>
      </c>
      <c r="AE43" s="28" t="s">
        <v>1484</v>
      </c>
      <c r="AF43" s="28" t="s">
        <v>12</v>
      </c>
      <c r="AG43" s="38">
        <v>7.8</v>
      </c>
      <c r="AH43" s="37" t="s">
        <v>863</v>
      </c>
      <c r="AI43" s="28" t="s">
        <v>22</v>
      </c>
      <c r="AJ43" s="28" t="s">
        <v>11</v>
      </c>
      <c r="AK43" s="28">
        <v>5.6</v>
      </c>
      <c r="AL43" s="37"/>
      <c r="AO43" s="38"/>
      <c r="AP43" s="37"/>
      <c r="AS43" s="38"/>
      <c r="AW43" s="38"/>
      <c r="BA43" s="39"/>
    </row>
    <row r="44" spans="1:53" s="28" customFormat="1" x14ac:dyDescent="0.15">
      <c r="A44" s="28">
        <v>2010</v>
      </c>
      <c r="B44" s="275"/>
      <c r="C44" s="394" t="s">
        <v>872</v>
      </c>
      <c r="D44" s="394"/>
      <c r="E44" s="28">
        <v>0</v>
      </c>
      <c r="G44" s="65">
        <v>6</v>
      </c>
      <c r="I44" s="28">
        <v>13</v>
      </c>
      <c r="J44" s="72">
        <v>19</v>
      </c>
      <c r="K44" s="46">
        <f t="shared" si="0"/>
        <v>31.578947368421051</v>
      </c>
      <c r="L44" s="46">
        <f t="shared" si="1"/>
        <v>0</v>
      </c>
      <c r="M44" s="46">
        <f t="shared" si="2"/>
        <v>68.421052631578945</v>
      </c>
      <c r="N44" s="67">
        <f t="shared" si="3"/>
        <v>100</v>
      </c>
      <c r="O44" s="45">
        <v>15.6</v>
      </c>
      <c r="P44" s="46"/>
      <c r="Q44" s="46">
        <v>40</v>
      </c>
      <c r="R44" s="47">
        <f t="shared" si="4"/>
        <v>55.6</v>
      </c>
      <c r="S44" s="28">
        <v>2</v>
      </c>
      <c r="T44" s="284"/>
      <c r="U44" s="293"/>
      <c r="V44" s="37" t="s">
        <v>101</v>
      </c>
      <c r="W44" s="28" t="s">
        <v>97</v>
      </c>
      <c r="X44" s="28" t="s">
        <v>12</v>
      </c>
      <c r="Y44" s="38">
        <v>32.200000000000003</v>
      </c>
      <c r="Z44" s="28" t="s">
        <v>873</v>
      </c>
      <c r="AA44" s="28" t="s">
        <v>106</v>
      </c>
      <c r="AB44" s="28" t="s">
        <v>11</v>
      </c>
      <c r="AC44" s="28">
        <v>10</v>
      </c>
      <c r="AD44" s="37" t="s">
        <v>870</v>
      </c>
      <c r="AE44" s="28" t="s">
        <v>1484</v>
      </c>
      <c r="AF44" s="28" t="s">
        <v>12</v>
      </c>
      <c r="AG44" s="38">
        <v>7.8</v>
      </c>
      <c r="AH44" s="37" t="s">
        <v>863</v>
      </c>
      <c r="AI44" s="28" t="s">
        <v>22</v>
      </c>
      <c r="AJ44" s="28" t="s">
        <v>11</v>
      </c>
      <c r="AK44" s="28">
        <v>5.6</v>
      </c>
      <c r="AL44" s="37"/>
      <c r="AO44" s="38"/>
      <c r="AP44" s="37"/>
      <c r="AS44" s="38"/>
      <c r="AW44" s="38"/>
      <c r="BA44" s="39"/>
    </row>
    <row r="45" spans="1:53" s="28" customFormat="1" x14ac:dyDescent="0.15">
      <c r="A45" s="28">
        <v>2010</v>
      </c>
      <c r="B45" s="275"/>
      <c r="C45" s="394" t="s">
        <v>872</v>
      </c>
      <c r="D45" s="394"/>
      <c r="E45" s="28">
        <v>365</v>
      </c>
      <c r="G45" s="65">
        <v>6</v>
      </c>
      <c r="I45" s="28">
        <v>13</v>
      </c>
      <c r="J45" s="72">
        <v>19</v>
      </c>
      <c r="K45" s="46">
        <f t="shared" si="0"/>
        <v>31.578947368421051</v>
      </c>
      <c r="L45" s="46">
        <f t="shared" si="1"/>
        <v>0</v>
      </c>
      <c r="M45" s="46">
        <f t="shared" si="2"/>
        <v>68.421052631578945</v>
      </c>
      <c r="N45" s="67">
        <f t="shared" si="3"/>
        <v>100</v>
      </c>
      <c r="O45" s="45">
        <v>15.6</v>
      </c>
      <c r="P45" s="46"/>
      <c r="Q45" s="46">
        <v>40</v>
      </c>
      <c r="R45" s="47">
        <f t="shared" si="4"/>
        <v>55.6</v>
      </c>
      <c r="S45" s="28">
        <v>2</v>
      </c>
      <c r="T45" s="284"/>
      <c r="U45" s="293"/>
      <c r="V45" s="37" t="s">
        <v>101</v>
      </c>
      <c r="W45" s="28" t="s">
        <v>97</v>
      </c>
      <c r="X45" s="28" t="s">
        <v>12</v>
      </c>
      <c r="Y45" s="38">
        <v>32.200000000000003</v>
      </c>
      <c r="Z45" s="28" t="s">
        <v>873</v>
      </c>
      <c r="AA45" s="28" t="s">
        <v>106</v>
      </c>
      <c r="AB45" s="28" t="s">
        <v>11</v>
      </c>
      <c r="AC45" s="28">
        <v>10</v>
      </c>
      <c r="AD45" s="37" t="s">
        <v>870</v>
      </c>
      <c r="AE45" s="28" t="s">
        <v>1484</v>
      </c>
      <c r="AF45" s="28" t="s">
        <v>12</v>
      </c>
      <c r="AG45" s="38">
        <v>7.8</v>
      </c>
      <c r="AH45" s="37" t="s">
        <v>863</v>
      </c>
      <c r="AI45" s="28" t="s">
        <v>22</v>
      </c>
      <c r="AJ45" s="28" t="s">
        <v>11</v>
      </c>
      <c r="AK45" s="28">
        <v>5.6</v>
      </c>
      <c r="AL45" s="37"/>
      <c r="AO45" s="38"/>
      <c r="AP45" s="37"/>
      <c r="AS45" s="38"/>
      <c r="AW45" s="38"/>
      <c r="BA45" s="39"/>
    </row>
    <row r="46" spans="1:53" s="28" customFormat="1" x14ac:dyDescent="0.15">
      <c r="A46" s="28">
        <v>2011</v>
      </c>
      <c r="B46" s="275"/>
      <c r="C46" s="394" t="s">
        <v>872</v>
      </c>
      <c r="D46" s="394"/>
      <c r="E46" s="28">
        <v>176</v>
      </c>
      <c r="G46" s="65">
        <v>6</v>
      </c>
      <c r="I46" s="28">
        <v>13</v>
      </c>
      <c r="J46" s="72">
        <v>19</v>
      </c>
      <c r="K46" s="46">
        <f t="shared" ref="K46:K51" si="5">G46/J46*100</f>
        <v>31.578947368421051</v>
      </c>
      <c r="L46" s="46">
        <f t="shared" ref="L46:L51" si="6">H46/J46*100</f>
        <v>0</v>
      </c>
      <c r="M46" s="46">
        <f t="shared" ref="M46:M51" si="7">I46/J46*100</f>
        <v>68.421052631578945</v>
      </c>
      <c r="N46" s="67">
        <f t="shared" si="3"/>
        <v>100</v>
      </c>
      <c r="O46" s="45">
        <v>15.6</v>
      </c>
      <c r="P46" s="46"/>
      <c r="Q46" s="46">
        <v>40</v>
      </c>
      <c r="R46" s="47">
        <f t="shared" si="4"/>
        <v>55.6</v>
      </c>
      <c r="S46" s="28">
        <v>2</v>
      </c>
      <c r="T46" s="284"/>
      <c r="U46" s="293"/>
      <c r="V46" s="37" t="s">
        <v>101</v>
      </c>
      <c r="W46" s="28" t="s">
        <v>97</v>
      </c>
      <c r="X46" s="28" t="s">
        <v>12</v>
      </c>
      <c r="Y46" s="38">
        <v>32.200000000000003</v>
      </c>
      <c r="Z46" s="28" t="s">
        <v>873</v>
      </c>
      <c r="AA46" s="28" t="s">
        <v>106</v>
      </c>
      <c r="AB46" s="28" t="s">
        <v>11</v>
      </c>
      <c r="AC46" s="28">
        <v>10</v>
      </c>
      <c r="AD46" s="37" t="s">
        <v>870</v>
      </c>
      <c r="AE46" s="28" t="s">
        <v>1484</v>
      </c>
      <c r="AF46" s="28" t="s">
        <v>12</v>
      </c>
      <c r="AG46" s="38">
        <v>7.8</v>
      </c>
      <c r="AH46" s="37" t="s">
        <v>863</v>
      </c>
      <c r="AI46" s="28" t="s">
        <v>22</v>
      </c>
      <c r="AJ46" s="28" t="s">
        <v>11</v>
      </c>
      <c r="AK46" s="28">
        <v>5.6</v>
      </c>
      <c r="AL46" s="37"/>
      <c r="AO46" s="38"/>
      <c r="AP46" s="37"/>
      <c r="AS46" s="38"/>
      <c r="AW46" s="38"/>
      <c r="BA46" s="39"/>
    </row>
    <row r="47" spans="1:53" s="28" customFormat="1" x14ac:dyDescent="0.15">
      <c r="A47" s="28">
        <v>2011</v>
      </c>
      <c r="B47" s="301">
        <v>40720</v>
      </c>
      <c r="C47" s="394" t="s">
        <v>872</v>
      </c>
      <c r="D47" s="394"/>
      <c r="E47" s="28">
        <v>15</v>
      </c>
      <c r="F47" s="83">
        <v>0</v>
      </c>
      <c r="G47" s="65">
        <v>5</v>
      </c>
      <c r="I47" s="28">
        <v>13</v>
      </c>
      <c r="J47" s="72">
        <v>18</v>
      </c>
      <c r="K47" s="46">
        <f t="shared" si="5"/>
        <v>27.777777777777779</v>
      </c>
      <c r="L47" s="46">
        <f t="shared" si="6"/>
        <v>0</v>
      </c>
      <c r="M47" s="46">
        <f t="shared" si="7"/>
        <v>72.222222222222214</v>
      </c>
      <c r="N47" s="67">
        <f t="shared" si="3"/>
        <v>100</v>
      </c>
      <c r="O47" s="45">
        <v>15.6</v>
      </c>
      <c r="P47" s="46"/>
      <c r="Q47" s="46">
        <v>40</v>
      </c>
      <c r="R47" s="47">
        <f t="shared" si="4"/>
        <v>55.6</v>
      </c>
      <c r="S47" s="28">
        <v>2</v>
      </c>
      <c r="T47" s="284"/>
      <c r="U47" s="293"/>
      <c r="V47" s="37" t="s">
        <v>101</v>
      </c>
      <c r="W47" s="28" t="s">
        <v>97</v>
      </c>
      <c r="X47" s="28" t="s">
        <v>12</v>
      </c>
      <c r="Y47" s="38">
        <v>32.200000000000003</v>
      </c>
      <c r="Z47" s="28" t="s">
        <v>873</v>
      </c>
      <c r="AA47" s="28" t="s">
        <v>106</v>
      </c>
      <c r="AB47" s="28" t="s">
        <v>11</v>
      </c>
      <c r="AC47" s="28">
        <v>10</v>
      </c>
      <c r="AD47" s="37" t="s">
        <v>870</v>
      </c>
      <c r="AE47" s="28" t="s">
        <v>1484</v>
      </c>
      <c r="AF47" s="28" t="s">
        <v>12</v>
      </c>
      <c r="AG47" s="38">
        <v>7.8</v>
      </c>
      <c r="AH47" s="37" t="s">
        <v>863</v>
      </c>
      <c r="AI47" s="28" t="s">
        <v>22</v>
      </c>
      <c r="AJ47" s="28" t="s">
        <v>11</v>
      </c>
      <c r="AK47" s="28">
        <v>5.6</v>
      </c>
      <c r="AL47" s="37"/>
      <c r="AO47" s="38"/>
      <c r="AP47" s="37"/>
      <c r="AS47" s="38"/>
      <c r="AW47" s="38"/>
      <c r="BA47" s="39"/>
    </row>
    <row r="48" spans="1:53" s="170" customFormat="1" x14ac:dyDescent="0.15">
      <c r="A48" s="170">
        <v>2011</v>
      </c>
      <c r="B48" s="304">
        <v>40735</v>
      </c>
      <c r="C48" s="395" t="s">
        <v>874</v>
      </c>
      <c r="D48" s="395"/>
      <c r="E48" s="170">
        <v>53</v>
      </c>
      <c r="F48" s="170">
        <v>4</v>
      </c>
      <c r="G48" s="232">
        <v>2</v>
      </c>
      <c r="I48" s="170">
        <v>13</v>
      </c>
      <c r="J48" s="240">
        <v>15</v>
      </c>
      <c r="K48" s="213">
        <f t="shared" si="5"/>
        <v>13.333333333333334</v>
      </c>
      <c r="L48" s="213">
        <f t="shared" si="6"/>
        <v>0</v>
      </c>
      <c r="M48" s="213">
        <f t="shared" si="7"/>
        <v>86.666666666666671</v>
      </c>
      <c r="N48" s="234">
        <f t="shared" si="3"/>
        <v>100</v>
      </c>
      <c r="O48" s="212">
        <v>5.6</v>
      </c>
      <c r="P48" s="213"/>
      <c r="Q48" s="213">
        <v>40</v>
      </c>
      <c r="R48" s="214">
        <f t="shared" si="4"/>
        <v>45.6</v>
      </c>
      <c r="S48" s="170">
        <v>5</v>
      </c>
      <c r="T48" s="283"/>
      <c r="U48" s="304">
        <v>40735</v>
      </c>
      <c r="V48" s="177" t="s">
        <v>101</v>
      </c>
      <c r="W48" s="170" t="s">
        <v>97</v>
      </c>
      <c r="X48" s="170" t="s">
        <v>12</v>
      </c>
      <c r="Y48" s="178">
        <v>32.200000000000003</v>
      </c>
      <c r="Z48" s="177" t="s">
        <v>870</v>
      </c>
      <c r="AA48" s="170" t="s">
        <v>1484</v>
      </c>
      <c r="AB48" s="170" t="s">
        <v>12</v>
      </c>
      <c r="AC48" s="178">
        <v>7.8</v>
      </c>
      <c r="AD48" s="177" t="s">
        <v>863</v>
      </c>
      <c r="AE48" s="170" t="s">
        <v>22</v>
      </c>
      <c r="AF48" s="170" t="s">
        <v>11</v>
      </c>
      <c r="AG48" s="178">
        <v>5.6</v>
      </c>
      <c r="AH48" s="177"/>
      <c r="AL48" s="177"/>
      <c r="AO48" s="178"/>
      <c r="AP48" s="177"/>
      <c r="AS48" s="178"/>
      <c r="AW48" s="178"/>
      <c r="BA48" s="179"/>
    </row>
    <row r="49" spans="1:53" s="170" customFormat="1" x14ac:dyDescent="0.15">
      <c r="A49" s="170">
        <v>2011</v>
      </c>
      <c r="B49" s="303">
        <v>40788</v>
      </c>
      <c r="C49" s="395" t="s">
        <v>874</v>
      </c>
      <c r="D49" s="395"/>
      <c r="E49" s="170">
        <f>365-E48-E47-E46</f>
        <v>121</v>
      </c>
      <c r="F49" s="243">
        <v>0</v>
      </c>
      <c r="G49" s="232">
        <v>1</v>
      </c>
      <c r="I49" s="170">
        <v>13</v>
      </c>
      <c r="J49" s="240">
        <v>14</v>
      </c>
      <c r="K49" s="213">
        <f t="shared" si="5"/>
        <v>7.1428571428571423</v>
      </c>
      <c r="L49" s="213">
        <f t="shared" si="6"/>
        <v>0</v>
      </c>
      <c r="M49" s="213">
        <f t="shared" si="7"/>
        <v>92.857142857142861</v>
      </c>
      <c r="N49" s="234">
        <f t="shared" si="3"/>
        <v>100</v>
      </c>
      <c r="O49" s="212">
        <v>5.6</v>
      </c>
      <c r="P49" s="213"/>
      <c r="Q49" s="213">
        <v>40</v>
      </c>
      <c r="R49" s="214">
        <f t="shared" si="4"/>
        <v>45.6</v>
      </c>
      <c r="S49" s="170">
        <v>5</v>
      </c>
      <c r="T49" s="283">
        <v>40881</v>
      </c>
      <c r="U49" s="281"/>
      <c r="V49" s="177" t="s">
        <v>101</v>
      </c>
      <c r="W49" s="170" t="s">
        <v>97</v>
      </c>
      <c r="X49" s="170" t="s">
        <v>12</v>
      </c>
      <c r="Y49" s="178">
        <v>32.200000000000003</v>
      </c>
      <c r="Z49" s="177" t="s">
        <v>870</v>
      </c>
      <c r="AA49" s="170" t="s">
        <v>1484</v>
      </c>
      <c r="AB49" s="170" t="s">
        <v>12</v>
      </c>
      <c r="AC49" s="178">
        <v>7.8</v>
      </c>
      <c r="AD49" s="177" t="s">
        <v>863</v>
      </c>
      <c r="AE49" s="170" t="s">
        <v>22</v>
      </c>
      <c r="AF49" s="170" t="s">
        <v>11</v>
      </c>
      <c r="AG49" s="178">
        <v>5.6</v>
      </c>
      <c r="AL49" s="177"/>
      <c r="AO49" s="178"/>
      <c r="AP49" s="177"/>
      <c r="AS49" s="178"/>
      <c r="AW49" s="178"/>
      <c r="BA49" s="179"/>
    </row>
    <row r="50" spans="1:53" s="170" customFormat="1" x14ac:dyDescent="0.15">
      <c r="A50" s="170">
        <v>2012</v>
      </c>
      <c r="B50" s="304"/>
      <c r="C50" s="395" t="s">
        <v>874</v>
      </c>
      <c r="D50" s="395"/>
      <c r="E50" s="170">
        <v>40</v>
      </c>
      <c r="G50" s="232">
        <v>1</v>
      </c>
      <c r="I50" s="170">
        <v>13</v>
      </c>
      <c r="J50" s="240">
        <v>14</v>
      </c>
      <c r="K50" s="213">
        <f t="shared" si="5"/>
        <v>7.1428571428571423</v>
      </c>
      <c r="L50" s="213">
        <f t="shared" si="6"/>
        <v>0</v>
      </c>
      <c r="M50" s="213">
        <f t="shared" si="7"/>
        <v>92.857142857142861</v>
      </c>
      <c r="N50" s="234">
        <f t="shared" si="3"/>
        <v>100</v>
      </c>
      <c r="O50" s="212">
        <v>5.6</v>
      </c>
      <c r="P50" s="213"/>
      <c r="Q50" s="213">
        <v>40</v>
      </c>
      <c r="R50" s="214">
        <f t="shared" si="4"/>
        <v>45.6</v>
      </c>
      <c r="S50" s="170">
        <v>5</v>
      </c>
      <c r="T50" s="283"/>
      <c r="U50" s="281"/>
      <c r="V50" s="177" t="s">
        <v>101</v>
      </c>
      <c r="W50" s="170" t="s">
        <v>97</v>
      </c>
      <c r="X50" s="170" t="s">
        <v>12</v>
      </c>
      <c r="Y50" s="178">
        <v>32.200000000000003</v>
      </c>
      <c r="Z50" s="177" t="s">
        <v>870</v>
      </c>
      <c r="AA50" s="170" t="s">
        <v>1484</v>
      </c>
      <c r="AB50" s="170" t="s">
        <v>12</v>
      </c>
      <c r="AC50" s="178">
        <v>7.8</v>
      </c>
      <c r="AD50" s="177" t="s">
        <v>863</v>
      </c>
      <c r="AE50" s="170" t="s">
        <v>22</v>
      </c>
      <c r="AF50" s="170" t="s">
        <v>11</v>
      </c>
      <c r="AG50" s="178">
        <v>5.6</v>
      </c>
      <c r="AL50" s="177"/>
      <c r="AO50" s="178"/>
      <c r="AP50" s="177"/>
      <c r="AS50" s="178"/>
      <c r="AW50" s="178"/>
      <c r="BA50" s="179"/>
    </row>
    <row r="51" spans="1:53" s="28" customFormat="1" x14ac:dyDescent="0.15">
      <c r="A51" s="28">
        <v>2012</v>
      </c>
      <c r="B51" s="275">
        <v>40949</v>
      </c>
      <c r="C51" s="394" t="s">
        <v>1208</v>
      </c>
      <c r="D51" s="394"/>
      <c r="E51" s="28">
        <f>366-E50</f>
        <v>326</v>
      </c>
      <c r="F51" s="28">
        <v>1</v>
      </c>
      <c r="G51" s="65">
        <v>7</v>
      </c>
      <c r="H51" s="28">
        <v>2</v>
      </c>
      <c r="I51" s="28">
        <v>4</v>
      </c>
      <c r="J51" s="72">
        <v>13</v>
      </c>
      <c r="K51" s="46">
        <f t="shared" si="5"/>
        <v>53.846153846153847</v>
      </c>
      <c r="L51" s="46">
        <f t="shared" si="6"/>
        <v>15.384615384615385</v>
      </c>
      <c r="M51" s="46">
        <f t="shared" si="7"/>
        <v>30.76923076923077</v>
      </c>
      <c r="N51" s="67">
        <f t="shared" si="3"/>
        <v>100</v>
      </c>
      <c r="O51" s="45">
        <v>37.799999999999997</v>
      </c>
      <c r="P51" s="46">
        <v>4.4000000000000004</v>
      </c>
      <c r="Q51" s="46">
        <v>13.4</v>
      </c>
      <c r="R51" s="47">
        <f t="shared" si="4"/>
        <v>55.599999999999994</v>
      </c>
      <c r="S51" s="28">
        <v>3</v>
      </c>
      <c r="T51" s="284"/>
      <c r="U51" s="275">
        <v>40949</v>
      </c>
      <c r="V51" s="37" t="s">
        <v>867</v>
      </c>
      <c r="W51" s="28" t="s">
        <v>294</v>
      </c>
      <c r="X51" s="28" t="s">
        <v>11</v>
      </c>
      <c r="Y51" s="38">
        <v>28.9</v>
      </c>
      <c r="Z51" s="28" t="s">
        <v>556</v>
      </c>
      <c r="AA51" s="28" t="s">
        <v>306</v>
      </c>
      <c r="AB51" s="28" t="s">
        <v>11</v>
      </c>
      <c r="AC51" s="28">
        <v>8.9</v>
      </c>
      <c r="AD51" s="37" t="s">
        <v>870</v>
      </c>
      <c r="AE51" s="28" t="s">
        <v>1484</v>
      </c>
      <c r="AF51" s="28" t="s">
        <v>12</v>
      </c>
      <c r="AG51" s="38">
        <v>6.7</v>
      </c>
      <c r="AH51" s="28" t="s">
        <v>868</v>
      </c>
      <c r="AI51" s="28" t="s">
        <v>869</v>
      </c>
      <c r="AJ51" s="28" t="s">
        <v>12</v>
      </c>
      <c r="AK51" s="28">
        <v>6.7</v>
      </c>
      <c r="AL51" s="37" t="s">
        <v>871</v>
      </c>
      <c r="AM51" s="28" t="s">
        <v>81</v>
      </c>
      <c r="AN51" s="28" t="s">
        <v>18</v>
      </c>
      <c r="AO51" s="38">
        <v>4.4000000000000004</v>
      </c>
      <c r="AP51" s="37"/>
      <c r="AS51" s="38"/>
      <c r="AW51" s="38"/>
      <c r="BA51" s="39"/>
    </row>
    <row r="52" spans="1:53" s="28" customFormat="1" x14ac:dyDescent="0.15">
      <c r="A52" s="28">
        <v>2013</v>
      </c>
      <c r="B52" s="275"/>
      <c r="C52" s="394" t="s">
        <v>1208</v>
      </c>
      <c r="D52" s="394"/>
      <c r="E52" s="28">
        <v>31</v>
      </c>
      <c r="G52" s="65">
        <v>7</v>
      </c>
      <c r="H52" s="28">
        <v>2</v>
      </c>
      <c r="I52" s="28">
        <v>4</v>
      </c>
      <c r="J52" s="72">
        <v>13</v>
      </c>
      <c r="K52" s="46">
        <f t="shared" ref="K52:K59" si="8">G52/J52*100</f>
        <v>53.846153846153847</v>
      </c>
      <c r="L52" s="46">
        <f t="shared" ref="L52:L59" si="9">H52/J52*100</f>
        <v>15.384615384615385</v>
      </c>
      <c r="M52" s="46">
        <f t="shared" ref="M52:M59" si="10">I52/J52*100</f>
        <v>30.76923076923077</v>
      </c>
      <c r="N52" s="67">
        <f>K52+L52+M52</f>
        <v>100</v>
      </c>
      <c r="O52" s="45">
        <v>37.799999999999997</v>
      </c>
      <c r="P52" s="46">
        <v>4.4000000000000004</v>
      </c>
      <c r="Q52" s="46">
        <v>13.4</v>
      </c>
      <c r="R52" s="47">
        <f t="shared" ref="R52:R59" si="11">O52+P52+Q52</f>
        <v>55.599999999999994</v>
      </c>
      <c r="S52" s="28">
        <v>3</v>
      </c>
      <c r="T52" s="284"/>
      <c r="U52" s="275"/>
      <c r="V52" s="37" t="s">
        <v>867</v>
      </c>
      <c r="W52" s="28" t="s">
        <v>294</v>
      </c>
      <c r="X52" s="28" t="s">
        <v>11</v>
      </c>
      <c r="Y52" s="38">
        <v>28.9</v>
      </c>
      <c r="Z52" s="28" t="s">
        <v>556</v>
      </c>
      <c r="AA52" s="28" t="s">
        <v>306</v>
      </c>
      <c r="AB52" s="28" t="s">
        <v>11</v>
      </c>
      <c r="AC52" s="28">
        <v>8.9</v>
      </c>
      <c r="AD52" s="37" t="s">
        <v>870</v>
      </c>
      <c r="AE52" s="28" t="s">
        <v>1484</v>
      </c>
      <c r="AF52" s="28" t="s">
        <v>12</v>
      </c>
      <c r="AG52" s="38">
        <v>6.7</v>
      </c>
      <c r="AH52" s="28" t="s">
        <v>868</v>
      </c>
      <c r="AI52" s="28" t="s">
        <v>869</v>
      </c>
      <c r="AJ52" s="28" t="s">
        <v>12</v>
      </c>
      <c r="AK52" s="28">
        <v>6.7</v>
      </c>
      <c r="AL52" s="37" t="s">
        <v>871</v>
      </c>
      <c r="AM52" s="28" t="s">
        <v>81</v>
      </c>
      <c r="AN52" s="28" t="s">
        <v>18</v>
      </c>
      <c r="AO52" s="38">
        <v>4.4000000000000004</v>
      </c>
      <c r="AP52" s="37"/>
      <c r="AS52" s="38"/>
      <c r="AW52" s="38"/>
      <c r="BA52" s="39"/>
    </row>
    <row r="53" spans="1:53" s="170" customFormat="1" x14ac:dyDescent="0.15">
      <c r="A53" s="170">
        <v>2013</v>
      </c>
      <c r="B53" s="281">
        <v>41306</v>
      </c>
      <c r="C53" s="395" t="s">
        <v>1266</v>
      </c>
      <c r="D53" s="395"/>
      <c r="E53" s="170">
        <v>47</v>
      </c>
      <c r="F53" s="170">
        <v>4</v>
      </c>
      <c r="G53" s="232">
        <v>5</v>
      </c>
      <c r="H53" s="170">
        <v>2</v>
      </c>
      <c r="I53" s="170">
        <v>4</v>
      </c>
      <c r="J53" s="240">
        <v>11</v>
      </c>
      <c r="K53" s="213">
        <f t="shared" si="8"/>
        <v>45.454545454545453</v>
      </c>
      <c r="L53" s="213">
        <f t="shared" si="9"/>
        <v>18.181818181818183</v>
      </c>
      <c r="M53" s="213">
        <f t="shared" si="10"/>
        <v>36.363636363636367</v>
      </c>
      <c r="N53" s="234">
        <f>K52+L52+M52</f>
        <v>100</v>
      </c>
      <c r="O53" s="212">
        <v>28.9</v>
      </c>
      <c r="P53" s="213">
        <v>4.4000000000000004</v>
      </c>
      <c r="Q53" s="213">
        <v>13.4</v>
      </c>
      <c r="R53" s="214">
        <f t="shared" si="11"/>
        <v>46.699999999999996</v>
      </c>
      <c r="S53" s="170">
        <v>5</v>
      </c>
      <c r="T53" s="283"/>
      <c r="U53" s="281">
        <v>41306</v>
      </c>
      <c r="V53" s="177" t="s">
        <v>867</v>
      </c>
      <c r="W53" s="170" t="s">
        <v>294</v>
      </c>
      <c r="X53" s="170" t="s">
        <v>11</v>
      </c>
      <c r="Y53" s="178">
        <v>28.9</v>
      </c>
      <c r="Z53" s="170" t="s">
        <v>870</v>
      </c>
      <c r="AA53" s="170" t="s">
        <v>1484</v>
      </c>
      <c r="AB53" s="170" t="s">
        <v>12</v>
      </c>
      <c r="AC53" s="170">
        <v>5.6</v>
      </c>
      <c r="AD53" s="177" t="s">
        <v>868</v>
      </c>
      <c r="AE53" s="170" t="s">
        <v>869</v>
      </c>
      <c r="AF53" s="170" t="s">
        <v>12</v>
      </c>
      <c r="AG53" s="178">
        <v>6.7</v>
      </c>
      <c r="AH53" s="177" t="s">
        <v>871</v>
      </c>
      <c r="AI53" s="170" t="s">
        <v>81</v>
      </c>
      <c r="AJ53" s="170" t="s">
        <v>18</v>
      </c>
      <c r="AK53" s="170">
        <v>4.4000000000000004</v>
      </c>
      <c r="AL53" s="177"/>
      <c r="AO53" s="178"/>
      <c r="AP53" s="177"/>
      <c r="AS53" s="178"/>
      <c r="AW53" s="178"/>
      <c r="BA53" s="179"/>
    </row>
    <row r="54" spans="1:53" s="28" customFormat="1" x14ac:dyDescent="0.15">
      <c r="A54" s="28">
        <v>2013</v>
      </c>
      <c r="B54" s="275">
        <v>41353</v>
      </c>
      <c r="C54" s="394" t="s">
        <v>1253</v>
      </c>
      <c r="D54" s="394"/>
      <c r="E54" s="28">
        <v>245</v>
      </c>
      <c r="F54" s="28">
        <v>5</v>
      </c>
      <c r="G54" s="65">
        <v>3</v>
      </c>
      <c r="I54" s="28">
        <v>11</v>
      </c>
      <c r="J54" s="72">
        <v>14</v>
      </c>
      <c r="K54" s="46">
        <f t="shared" si="8"/>
        <v>21.428571428571427</v>
      </c>
      <c r="L54" s="46">
        <f t="shared" si="9"/>
        <v>0</v>
      </c>
      <c r="M54" s="46">
        <f t="shared" si="10"/>
        <v>78.571428571428569</v>
      </c>
      <c r="N54" s="67">
        <f>K53+L53+M53</f>
        <v>100</v>
      </c>
      <c r="O54" s="45">
        <v>7.8</v>
      </c>
      <c r="P54" s="46"/>
      <c r="Q54" s="46">
        <v>46.7</v>
      </c>
      <c r="R54" s="47">
        <f t="shared" si="11"/>
        <v>54.5</v>
      </c>
      <c r="S54" s="28">
        <v>2</v>
      </c>
      <c r="T54" s="284"/>
      <c r="U54" s="275">
        <v>41353</v>
      </c>
      <c r="V54" s="37" t="s">
        <v>95</v>
      </c>
      <c r="W54" s="28" t="s">
        <v>1031</v>
      </c>
      <c r="X54" s="28" t="s">
        <v>12</v>
      </c>
      <c r="Y54" s="38">
        <v>30</v>
      </c>
      <c r="Z54" s="37" t="s">
        <v>101</v>
      </c>
      <c r="AA54" s="28" t="s">
        <v>97</v>
      </c>
      <c r="AB54" s="28" t="s">
        <v>12</v>
      </c>
      <c r="AC54" s="38">
        <v>11.1</v>
      </c>
      <c r="AD54" s="37" t="s">
        <v>556</v>
      </c>
      <c r="AE54" s="28" t="s">
        <v>306</v>
      </c>
      <c r="AF54" s="28" t="s">
        <v>11</v>
      </c>
      <c r="AG54" s="38">
        <v>7.8</v>
      </c>
      <c r="AH54" s="37" t="s">
        <v>870</v>
      </c>
      <c r="AI54" s="28" t="s">
        <v>1484</v>
      </c>
      <c r="AJ54" s="28" t="s">
        <v>12</v>
      </c>
      <c r="AK54" s="28">
        <v>5.6</v>
      </c>
      <c r="AL54" s="37"/>
      <c r="AO54" s="38"/>
      <c r="AP54" s="37"/>
      <c r="AS54" s="38"/>
      <c r="AW54" s="38"/>
      <c r="BA54" s="39"/>
    </row>
    <row r="55" spans="1:53" s="28" customFormat="1" x14ac:dyDescent="0.15">
      <c r="A55" s="28">
        <v>2013</v>
      </c>
      <c r="B55" s="301">
        <v>41598</v>
      </c>
      <c r="C55" s="394" t="s">
        <v>1253</v>
      </c>
      <c r="D55" s="394"/>
      <c r="E55" s="28">
        <v>5</v>
      </c>
      <c r="F55" s="83">
        <v>0</v>
      </c>
      <c r="G55" s="65">
        <v>3</v>
      </c>
      <c r="I55" s="28">
        <v>10</v>
      </c>
      <c r="J55" s="72">
        <v>13</v>
      </c>
      <c r="K55" s="46">
        <f t="shared" si="8"/>
        <v>23.076923076923077</v>
      </c>
      <c r="L55" s="46">
        <f t="shared" si="9"/>
        <v>0</v>
      </c>
      <c r="M55" s="46">
        <f t="shared" si="10"/>
        <v>76.923076923076934</v>
      </c>
      <c r="N55" s="67">
        <f>K54+L54+M54</f>
        <v>100</v>
      </c>
      <c r="O55" s="45">
        <v>7.8</v>
      </c>
      <c r="P55" s="46"/>
      <c r="Q55" s="46">
        <v>46.7</v>
      </c>
      <c r="R55" s="47">
        <f t="shared" si="11"/>
        <v>54.5</v>
      </c>
      <c r="S55" s="28">
        <v>2</v>
      </c>
      <c r="T55" s="284"/>
      <c r="U55" s="275"/>
      <c r="V55" s="37" t="s">
        <v>95</v>
      </c>
      <c r="W55" s="28" t="s">
        <v>1031</v>
      </c>
      <c r="X55" s="28" t="s">
        <v>12</v>
      </c>
      <c r="Y55" s="38">
        <v>30</v>
      </c>
      <c r="Z55" s="37" t="s">
        <v>101</v>
      </c>
      <c r="AA55" s="28" t="s">
        <v>97</v>
      </c>
      <c r="AB55" s="28" t="s">
        <v>12</v>
      </c>
      <c r="AC55" s="38">
        <v>11.1</v>
      </c>
      <c r="AD55" s="37" t="s">
        <v>556</v>
      </c>
      <c r="AE55" s="28" t="s">
        <v>306</v>
      </c>
      <c r="AF55" s="28" t="s">
        <v>11</v>
      </c>
      <c r="AG55" s="38">
        <v>7.8</v>
      </c>
      <c r="AH55" s="37" t="s">
        <v>870</v>
      </c>
      <c r="AI55" s="28" t="s">
        <v>1484</v>
      </c>
      <c r="AJ55" s="28" t="s">
        <v>12</v>
      </c>
      <c r="AK55" s="28">
        <v>5.6</v>
      </c>
      <c r="AL55" s="37"/>
      <c r="AO55" s="38"/>
      <c r="AP55" s="37"/>
      <c r="AS55" s="38"/>
      <c r="AW55" s="38"/>
      <c r="BA55" s="39"/>
    </row>
    <row r="56" spans="1:53" s="28" customFormat="1" x14ac:dyDescent="0.15">
      <c r="A56" s="28">
        <v>2013</v>
      </c>
      <c r="B56" s="301">
        <v>41603</v>
      </c>
      <c r="C56" s="394" t="s">
        <v>1253</v>
      </c>
      <c r="D56" s="394"/>
      <c r="E56" s="28">
        <f>365-E55-E54-E53-E52</f>
        <v>37</v>
      </c>
      <c r="F56" s="83">
        <v>0</v>
      </c>
      <c r="G56" s="65">
        <v>3</v>
      </c>
      <c r="I56" s="28">
        <v>9</v>
      </c>
      <c r="J56" s="72">
        <v>12</v>
      </c>
      <c r="K56" s="46">
        <f t="shared" si="8"/>
        <v>25</v>
      </c>
      <c r="L56" s="46">
        <f t="shared" si="9"/>
        <v>0</v>
      </c>
      <c r="M56" s="46">
        <f t="shared" si="10"/>
        <v>75</v>
      </c>
      <c r="N56" s="67">
        <f>K55+L55+M55</f>
        <v>100.00000000000001</v>
      </c>
      <c r="O56" s="45">
        <v>7.8</v>
      </c>
      <c r="P56" s="46"/>
      <c r="Q56" s="46">
        <v>46.7</v>
      </c>
      <c r="R56" s="47">
        <f t="shared" si="11"/>
        <v>54.5</v>
      </c>
      <c r="S56" s="28">
        <v>2</v>
      </c>
      <c r="T56" s="284"/>
      <c r="U56" s="275"/>
      <c r="V56" s="37" t="s">
        <v>95</v>
      </c>
      <c r="W56" s="28" t="s">
        <v>1031</v>
      </c>
      <c r="X56" s="28" t="s">
        <v>12</v>
      </c>
      <c r="Y56" s="38">
        <v>30</v>
      </c>
      <c r="Z56" s="37" t="s">
        <v>101</v>
      </c>
      <c r="AA56" s="28" t="s">
        <v>97</v>
      </c>
      <c r="AB56" s="28" t="s">
        <v>12</v>
      </c>
      <c r="AC56" s="38">
        <v>11.1</v>
      </c>
      <c r="AD56" s="37" t="s">
        <v>556</v>
      </c>
      <c r="AE56" s="28" t="s">
        <v>306</v>
      </c>
      <c r="AF56" s="28" t="s">
        <v>11</v>
      </c>
      <c r="AG56" s="38">
        <v>7.8</v>
      </c>
      <c r="AH56" s="37" t="s">
        <v>870</v>
      </c>
      <c r="AI56" s="28" t="s">
        <v>1484</v>
      </c>
      <c r="AJ56" s="28" t="s">
        <v>12</v>
      </c>
      <c r="AK56" s="28">
        <v>5.6</v>
      </c>
      <c r="AL56" s="37"/>
      <c r="AO56" s="38"/>
      <c r="AP56" s="37"/>
      <c r="AS56" s="38"/>
      <c r="AW56" s="38"/>
      <c r="BA56" s="39"/>
    </row>
    <row r="57" spans="1:53" s="28" customFormat="1" x14ac:dyDescent="0.15">
      <c r="A57" s="28">
        <v>2014</v>
      </c>
      <c r="B57" s="301"/>
      <c r="C57" s="394" t="s">
        <v>1253</v>
      </c>
      <c r="D57" s="394"/>
      <c r="E57" s="28">
        <v>192</v>
      </c>
      <c r="F57" s="83"/>
      <c r="G57" s="65">
        <v>3</v>
      </c>
      <c r="I57" s="28">
        <v>9</v>
      </c>
      <c r="J57" s="72">
        <v>12</v>
      </c>
      <c r="K57" s="46">
        <f t="shared" si="8"/>
        <v>25</v>
      </c>
      <c r="L57" s="46">
        <f t="shared" si="9"/>
        <v>0</v>
      </c>
      <c r="M57" s="46">
        <f t="shared" si="10"/>
        <v>75</v>
      </c>
      <c r="N57" s="67">
        <f t="shared" ref="N57:N59" si="12">K56+L56+M56</f>
        <v>100</v>
      </c>
      <c r="O57" s="45">
        <v>7.8</v>
      </c>
      <c r="P57" s="46"/>
      <c r="Q57" s="46">
        <v>46.7</v>
      </c>
      <c r="R57" s="47">
        <f t="shared" si="11"/>
        <v>54.5</v>
      </c>
      <c r="S57" s="28">
        <v>2</v>
      </c>
      <c r="T57" s="284"/>
      <c r="U57" s="275"/>
      <c r="V57" s="37" t="s">
        <v>95</v>
      </c>
      <c r="W57" s="28" t="s">
        <v>1031</v>
      </c>
      <c r="X57" s="28" t="s">
        <v>12</v>
      </c>
      <c r="Y57" s="38">
        <v>30</v>
      </c>
      <c r="Z57" s="37" t="s">
        <v>101</v>
      </c>
      <c r="AA57" s="28" t="s">
        <v>97</v>
      </c>
      <c r="AB57" s="28" t="s">
        <v>12</v>
      </c>
      <c r="AC57" s="38">
        <v>11.1</v>
      </c>
      <c r="AD57" s="37" t="s">
        <v>556</v>
      </c>
      <c r="AE57" s="28" t="s">
        <v>306</v>
      </c>
      <c r="AF57" s="28" t="s">
        <v>11</v>
      </c>
      <c r="AG57" s="38">
        <v>7.8</v>
      </c>
      <c r="AH57" s="37" t="s">
        <v>870</v>
      </c>
      <c r="AI57" s="28" t="s">
        <v>1484</v>
      </c>
      <c r="AJ57" s="28" t="s">
        <v>12</v>
      </c>
      <c r="AK57" s="28">
        <v>5.6</v>
      </c>
      <c r="AL57" s="37"/>
      <c r="AO57" s="38"/>
      <c r="AP57" s="37"/>
      <c r="AS57" s="38"/>
      <c r="AW57" s="38"/>
      <c r="BA57" s="39"/>
    </row>
    <row r="58" spans="1:53" s="28" customFormat="1" x14ac:dyDescent="0.15">
      <c r="A58" s="28">
        <v>2014</v>
      </c>
      <c r="B58" s="301">
        <v>41832</v>
      </c>
      <c r="C58" s="394" t="s">
        <v>1253</v>
      </c>
      <c r="D58" s="394"/>
      <c r="E58" s="28">
        <v>68</v>
      </c>
      <c r="F58" s="83">
        <v>0</v>
      </c>
      <c r="G58" s="65">
        <v>7</v>
      </c>
      <c r="I58" s="28">
        <v>6</v>
      </c>
      <c r="J58" s="72">
        <v>13</v>
      </c>
      <c r="K58" s="46">
        <f t="shared" si="8"/>
        <v>53.846153846153847</v>
      </c>
      <c r="L58" s="46">
        <f t="shared" si="9"/>
        <v>0</v>
      </c>
      <c r="M58" s="46">
        <f t="shared" si="10"/>
        <v>46.153846153846153</v>
      </c>
      <c r="N58" s="67">
        <f t="shared" si="12"/>
        <v>100</v>
      </c>
      <c r="O58" s="45">
        <v>18.899999999999999</v>
      </c>
      <c r="P58" s="46"/>
      <c r="Q58" s="46">
        <v>32.299999999999997</v>
      </c>
      <c r="R58" s="47">
        <f t="shared" si="11"/>
        <v>51.199999999999996</v>
      </c>
      <c r="S58" s="28">
        <v>2</v>
      </c>
      <c r="T58" s="284"/>
      <c r="U58" s="275"/>
      <c r="V58" s="37" t="s">
        <v>1305</v>
      </c>
      <c r="W58" s="28" t="s">
        <v>892</v>
      </c>
      <c r="X58" s="28" t="s">
        <v>11</v>
      </c>
      <c r="Y58" s="38">
        <v>11.1</v>
      </c>
      <c r="Z58" s="37" t="s">
        <v>95</v>
      </c>
      <c r="AA58" s="28" t="s">
        <v>1031</v>
      </c>
      <c r="AB58" s="28" t="s">
        <v>12</v>
      </c>
      <c r="AC58" s="38">
        <v>15.5</v>
      </c>
      <c r="AD58" s="37" t="s">
        <v>101</v>
      </c>
      <c r="AE58" s="28" t="s">
        <v>97</v>
      </c>
      <c r="AF58" s="28" t="s">
        <v>12</v>
      </c>
      <c r="AG58" s="38">
        <v>11.1</v>
      </c>
      <c r="AH58" s="37" t="s">
        <v>556</v>
      </c>
      <c r="AI58" s="28" t="s">
        <v>22</v>
      </c>
      <c r="AJ58" s="28" t="s">
        <v>11</v>
      </c>
      <c r="AK58" s="28">
        <v>7.8</v>
      </c>
      <c r="AL58" s="37" t="s">
        <v>870</v>
      </c>
      <c r="AM58" s="28" t="s">
        <v>1484</v>
      </c>
      <c r="AN58" s="28" t="s">
        <v>12</v>
      </c>
      <c r="AO58" s="38">
        <v>5.6</v>
      </c>
      <c r="AP58" s="37"/>
      <c r="AS58" s="38"/>
      <c r="AW58" s="38"/>
      <c r="BA58" s="39"/>
    </row>
    <row r="59" spans="1:53" s="170" customFormat="1" x14ac:dyDescent="0.15">
      <c r="A59" s="170">
        <v>2014</v>
      </c>
      <c r="B59" s="281">
        <v>41900</v>
      </c>
      <c r="C59" s="395" t="s">
        <v>1306</v>
      </c>
      <c r="D59" s="395"/>
      <c r="E59" s="170">
        <v>105</v>
      </c>
      <c r="F59" s="170">
        <v>1</v>
      </c>
      <c r="G59" s="232">
        <v>10</v>
      </c>
      <c r="I59" s="170">
        <v>7</v>
      </c>
      <c r="J59" s="240">
        <v>17</v>
      </c>
      <c r="K59" s="213">
        <f t="shared" si="8"/>
        <v>58.82352941176471</v>
      </c>
      <c r="L59" s="213">
        <f t="shared" si="9"/>
        <v>0</v>
      </c>
      <c r="M59" s="213">
        <f t="shared" si="10"/>
        <v>41.17647058823529</v>
      </c>
      <c r="N59" s="234">
        <f t="shared" si="12"/>
        <v>100</v>
      </c>
      <c r="O59" s="212">
        <v>40</v>
      </c>
      <c r="P59" s="213"/>
      <c r="Q59" s="213">
        <v>17.8</v>
      </c>
      <c r="R59" s="214">
        <f t="shared" si="11"/>
        <v>57.8</v>
      </c>
      <c r="S59" s="170">
        <v>3</v>
      </c>
      <c r="T59" s="283">
        <v>41833</v>
      </c>
      <c r="U59" s="281">
        <v>41900</v>
      </c>
      <c r="V59" s="177" t="s">
        <v>1307</v>
      </c>
      <c r="W59" s="170" t="s">
        <v>893</v>
      </c>
      <c r="X59" s="170" t="s">
        <v>11</v>
      </c>
      <c r="Y59" s="178">
        <v>40</v>
      </c>
      <c r="Z59" s="170" t="s">
        <v>870</v>
      </c>
      <c r="AA59" s="170" t="s">
        <v>1484</v>
      </c>
      <c r="AB59" s="170" t="s">
        <v>12</v>
      </c>
      <c r="AC59" s="170">
        <v>11.1</v>
      </c>
      <c r="AD59" s="177" t="s">
        <v>101</v>
      </c>
      <c r="AE59" s="170" t="s">
        <v>97</v>
      </c>
      <c r="AF59" s="170" t="s">
        <v>12</v>
      </c>
      <c r="AG59" s="178">
        <v>6.7</v>
      </c>
      <c r="AH59" s="177"/>
      <c r="AL59" s="177"/>
      <c r="AO59" s="178"/>
      <c r="AP59" s="177"/>
      <c r="AS59" s="178"/>
      <c r="AW59" s="178"/>
      <c r="BA59" s="179"/>
    </row>
    <row r="60" spans="1:53" s="170" customFormat="1" x14ac:dyDescent="0.15">
      <c r="A60" s="170">
        <v>2015</v>
      </c>
      <c r="B60" s="281"/>
      <c r="C60" s="395" t="s">
        <v>1306</v>
      </c>
      <c r="D60" s="395"/>
      <c r="E60" s="170">
        <v>0</v>
      </c>
      <c r="G60" s="232">
        <v>10</v>
      </c>
      <c r="I60" s="170">
        <v>7</v>
      </c>
      <c r="J60" s="240">
        <v>17</v>
      </c>
      <c r="K60" s="213">
        <f t="shared" ref="K60:K63" si="13">G60/J60*100</f>
        <v>58.82352941176471</v>
      </c>
      <c r="L60" s="213">
        <f t="shared" ref="L60:L63" si="14">H60/J60*100</f>
        <v>0</v>
      </c>
      <c r="M60" s="213">
        <f t="shared" ref="M60:M63" si="15">I60/J60*100</f>
        <v>41.17647058823529</v>
      </c>
      <c r="N60" s="234">
        <f t="shared" ref="N60:N63" si="16">K59+L59+M59</f>
        <v>100</v>
      </c>
      <c r="O60" s="212">
        <v>40</v>
      </c>
      <c r="P60" s="213"/>
      <c r="Q60" s="213">
        <v>17.8</v>
      </c>
      <c r="R60" s="214">
        <f t="shared" ref="R60:R61" si="17">O60+P60+Q60</f>
        <v>57.8</v>
      </c>
      <c r="S60" s="170">
        <v>3</v>
      </c>
      <c r="T60" s="283"/>
      <c r="U60" s="281"/>
      <c r="V60" s="177" t="s">
        <v>1307</v>
      </c>
      <c r="W60" s="170" t="s">
        <v>893</v>
      </c>
      <c r="X60" s="170" t="s">
        <v>11</v>
      </c>
      <c r="Y60" s="178">
        <v>40</v>
      </c>
      <c r="Z60" s="170" t="s">
        <v>870</v>
      </c>
      <c r="AA60" s="170" t="s">
        <v>1484</v>
      </c>
      <c r="AB60" s="170" t="s">
        <v>12</v>
      </c>
      <c r="AC60" s="170">
        <v>11.1</v>
      </c>
      <c r="AD60" s="177" t="s">
        <v>101</v>
      </c>
      <c r="AE60" s="170" t="s">
        <v>97</v>
      </c>
      <c r="AF60" s="170" t="s">
        <v>12</v>
      </c>
      <c r="AG60" s="178">
        <v>6.7</v>
      </c>
      <c r="AH60" s="177"/>
      <c r="AL60" s="177"/>
      <c r="AO60" s="178"/>
      <c r="AP60" s="177"/>
      <c r="AS60" s="178"/>
      <c r="AW60" s="178"/>
      <c r="BA60" s="179"/>
    </row>
    <row r="61" spans="1:53" s="170" customFormat="1" x14ac:dyDescent="0.15">
      <c r="A61" s="170">
        <v>2015</v>
      </c>
      <c r="B61" s="281"/>
      <c r="C61" s="395" t="s">
        <v>1306</v>
      </c>
      <c r="D61" s="395"/>
      <c r="E61" s="170">
        <v>365</v>
      </c>
      <c r="G61" s="232">
        <v>10</v>
      </c>
      <c r="I61" s="170">
        <v>7</v>
      </c>
      <c r="J61" s="240">
        <v>17</v>
      </c>
      <c r="K61" s="213">
        <f t="shared" si="13"/>
        <v>58.82352941176471</v>
      </c>
      <c r="L61" s="213">
        <f t="shared" si="14"/>
        <v>0</v>
      </c>
      <c r="M61" s="213">
        <f t="shared" si="15"/>
        <v>41.17647058823529</v>
      </c>
      <c r="N61" s="234">
        <f t="shared" si="16"/>
        <v>100</v>
      </c>
      <c r="O61" s="212">
        <v>40</v>
      </c>
      <c r="P61" s="213"/>
      <c r="Q61" s="213">
        <v>17.8</v>
      </c>
      <c r="R61" s="214">
        <f t="shared" si="17"/>
        <v>57.8</v>
      </c>
      <c r="S61" s="170">
        <v>3</v>
      </c>
      <c r="T61" s="283"/>
      <c r="U61" s="281"/>
      <c r="V61" s="177" t="s">
        <v>1307</v>
      </c>
      <c r="W61" s="170" t="s">
        <v>893</v>
      </c>
      <c r="X61" s="170" t="s">
        <v>11</v>
      </c>
      <c r="Y61" s="178">
        <v>40</v>
      </c>
      <c r="Z61" s="170" t="s">
        <v>870</v>
      </c>
      <c r="AA61" s="170" t="s">
        <v>1484</v>
      </c>
      <c r="AB61" s="170" t="s">
        <v>12</v>
      </c>
      <c r="AC61" s="170">
        <v>11.1</v>
      </c>
      <c r="AD61" s="177" t="s">
        <v>101</v>
      </c>
      <c r="AE61" s="170" t="s">
        <v>97</v>
      </c>
      <c r="AF61" s="170" t="s">
        <v>12</v>
      </c>
      <c r="AG61" s="178">
        <v>6.7</v>
      </c>
      <c r="AH61" s="177"/>
      <c r="AL61" s="177"/>
      <c r="AO61" s="178"/>
      <c r="AP61" s="177"/>
      <c r="AS61" s="178"/>
      <c r="AW61" s="178"/>
      <c r="BA61" s="179"/>
    </row>
    <row r="62" spans="1:53" s="170" customFormat="1" x14ac:dyDescent="0.15">
      <c r="A62" s="170">
        <v>2016</v>
      </c>
      <c r="B62" s="281"/>
      <c r="C62" s="395" t="s">
        <v>1306</v>
      </c>
      <c r="D62" s="395"/>
      <c r="E62" s="170">
        <v>0</v>
      </c>
      <c r="G62" s="232">
        <v>10</v>
      </c>
      <c r="I62" s="170">
        <v>7</v>
      </c>
      <c r="J62" s="240">
        <v>17</v>
      </c>
      <c r="K62" s="213">
        <f t="shared" si="13"/>
        <v>58.82352941176471</v>
      </c>
      <c r="L62" s="213">
        <f t="shared" si="14"/>
        <v>0</v>
      </c>
      <c r="M62" s="213">
        <f t="shared" si="15"/>
        <v>41.17647058823529</v>
      </c>
      <c r="N62" s="234">
        <f t="shared" si="16"/>
        <v>100</v>
      </c>
      <c r="O62" s="212">
        <v>40</v>
      </c>
      <c r="P62" s="213"/>
      <c r="Q62" s="213">
        <v>17.8</v>
      </c>
      <c r="R62" s="214">
        <f t="shared" ref="R62:R63" si="18">O62+P62+Q62</f>
        <v>57.8</v>
      </c>
      <c r="S62" s="170">
        <v>3</v>
      </c>
      <c r="T62" s="283"/>
      <c r="U62" s="281"/>
      <c r="V62" s="177" t="s">
        <v>1307</v>
      </c>
      <c r="W62" s="170" t="s">
        <v>893</v>
      </c>
      <c r="X62" s="170" t="s">
        <v>11</v>
      </c>
      <c r="Y62" s="178">
        <v>40</v>
      </c>
      <c r="Z62" s="170" t="s">
        <v>870</v>
      </c>
      <c r="AA62" s="170" t="s">
        <v>1484</v>
      </c>
      <c r="AB62" s="170" t="s">
        <v>12</v>
      </c>
      <c r="AC62" s="170">
        <v>11.1</v>
      </c>
      <c r="AD62" s="177" t="s">
        <v>101</v>
      </c>
      <c r="AE62" s="170" t="s">
        <v>97</v>
      </c>
      <c r="AF62" s="170" t="s">
        <v>12</v>
      </c>
      <c r="AG62" s="178">
        <v>6.7</v>
      </c>
      <c r="AH62" s="177"/>
      <c r="AL62" s="177"/>
      <c r="AO62" s="178"/>
      <c r="AP62" s="177"/>
      <c r="AS62" s="178"/>
      <c r="AW62" s="178"/>
      <c r="BA62" s="179"/>
    </row>
    <row r="63" spans="1:53" s="170" customFormat="1" x14ac:dyDescent="0.15">
      <c r="A63" s="170">
        <v>2016</v>
      </c>
      <c r="B63" s="281"/>
      <c r="C63" s="395" t="s">
        <v>1306</v>
      </c>
      <c r="D63" s="395"/>
      <c r="E63" s="170">
        <v>366</v>
      </c>
      <c r="G63" s="232">
        <v>10</v>
      </c>
      <c r="I63" s="170">
        <v>7</v>
      </c>
      <c r="J63" s="240">
        <v>17</v>
      </c>
      <c r="K63" s="213">
        <f t="shared" si="13"/>
        <v>58.82352941176471</v>
      </c>
      <c r="L63" s="213">
        <f t="shared" si="14"/>
        <v>0</v>
      </c>
      <c r="M63" s="213">
        <f t="shared" si="15"/>
        <v>41.17647058823529</v>
      </c>
      <c r="N63" s="234">
        <f t="shared" si="16"/>
        <v>100</v>
      </c>
      <c r="O63" s="212">
        <v>40</v>
      </c>
      <c r="P63" s="213"/>
      <c r="Q63" s="213">
        <v>17.8</v>
      </c>
      <c r="R63" s="214">
        <f t="shared" si="18"/>
        <v>57.8</v>
      </c>
      <c r="S63" s="170">
        <v>3</v>
      </c>
      <c r="T63" s="283"/>
      <c r="U63" s="281"/>
      <c r="V63" s="177" t="s">
        <v>1307</v>
      </c>
      <c r="W63" s="170" t="s">
        <v>893</v>
      </c>
      <c r="X63" s="170" t="s">
        <v>11</v>
      </c>
      <c r="Y63" s="178">
        <v>40</v>
      </c>
      <c r="Z63" s="170" t="s">
        <v>870</v>
      </c>
      <c r="AA63" s="170" t="s">
        <v>1484</v>
      </c>
      <c r="AB63" s="170" t="s">
        <v>12</v>
      </c>
      <c r="AC63" s="170">
        <v>11.1</v>
      </c>
      <c r="AD63" s="177" t="s">
        <v>101</v>
      </c>
      <c r="AE63" s="170" t="s">
        <v>97</v>
      </c>
      <c r="AF63" s="170" t="s">
        <v>12</v>
      </c>
      <c r="AG63" s="178">
        <v>6.7</v>
      </c>
      <c r="AH63" s="177"/>
      <c r="AL63" s="177"/>
      <c r="AO63" s="178"/>
      <c r="AP63" s="177"/>
      <c r="AS63" s="178"/>
      <c r="AW63" s="178"/>
      <c r="BA63" s="179"/>
    </row>
    <row r="64" spans="1:53" s="170" customFormat="1" x14ac:dyDescent="0.15">
      <c r="A64" s="170">
        <v>2017</v>
      </c>
      <c r="B64" s="281"/>
      <c r="C64" s="395" t="s">
        <v>1306</v>
      </c>
      <c r="D64" s="395"/>
      <c r="E64" s="170">
        <v>0</v>
      </c>
      <c r="G64" s="232">
        <v>10</v>
      </c>
      <c r="I64" s="170">
        <v>7</v>
      </c>
      <c r="J64" s="240">
        <v>17</v>
      </c>
      <c r="K64" s="213">
        <f t="shared" ref="K64:K65" si="19">G64/J64*100</f>
        <v>58.82352941176471</v>
      </c>
      <c r="L64" s="213">
        <f t="shared" ref="L64:L65" si="20">H64/J64*100</f>
        <v>0</v>
      </c>
      <c r="M64" s="213">
        <f t="shared" ref="M64:M65" si="21">I64/J64*100</f>
        <v>41.17647058823529</v>
      </c>
      <c r="N64" s="234">
        <f t="shared" ref="N64:N65" si="22">K63+L63+M63</f>
        <v>100</v>
      </c>
      <c r="O64" s="212">
        <v>40</v>
      </c>
      <c r="P64" s="213"/>
      <c r="Q64" s="213">
        <v>17.8</v>
      </c>
      <c r="R64" s="214">
        <f t="shared" ref="R64:R65" si="23">O64+P64+Q64</f>
        <v>57.8</v>
      </c>
      <c r="S64" s="170">
        <v>3</v>
      </c>
      <c r="T64" s="283"/>
      <c r="U64" s="281"/>
      <c r="V64" s="177" t="s">
        <v>1307</v>
      </c>
      <c r="W64" s="170" t="s">
        <v>893</v>
      </c>
      <c r="X64" s="170" t="s">
        <v>11</v>
      </c>
      <c r="Y64" s="178">
        <v>40</v>
      </c>
      <c r="Z64" s="170" t="s">
        <v>870</v>
      </c>
      <c r="AA64" s="170" t="s">
        <v>1484</v>
      </c>
      <c r="AB64" s="170" t="s">
        <v>12</v>
      </c>
      <c r="AC64" s="170">
        <v>11.1</v>
      </c>
      <c r="AD64" s="177" t="s">
        <v>101</v>
      </c>
      <c r="AE64" s="170" t="s">
        <v>97</v>
      </c>
      <c r="AF64" s="170" t="s">
        <v>12</v>
      </c>
      <c r="AG64" s="178">
        <v>6.7</v>
      </c>
      <c r="AH64" s="177"/>
      <c r="AL64" s="177"/>
      <c r="AO64" s="178"/>
      <c r="AP64" s="177"/>
      <c r="AS64" s="178"/>
      <c r="AW64" s="178"/>
      <c r="BA64" s="179"/>
    </row>
    <row r="65" spans="1:53" s="170" customFormat="1" x14ac:dyDescent="0.15">
      <c r="A65" s="170">
        <v>2017</v>
      </c>
      <c r="B65" s="281"/>
      <c r="C65" s="395" t="s">
        <v>1306</v>
      </c>
      <c r="D65" s="395"/>
      <c r="E65" s="170">
        <v>365</v>
      </c>
      <c r="G65" s="232">
        <v>10</v>
      </c>
      <c r="I65" s="170">
        <v>7</v>
      </c>
      <c r="J65" s="240">
        <v>17</v>
      </c>
      <c r="K65" s="213">
        <f t="shared" si="19"/>
        <v>58.82352941176471</v>
      </c>
      <c r="L65" s="213">
        <f t="shared" si="20"/>
        <v>0</v>
      </c>
      <c r="M65" s="213">
        <f t="shared" si="21"/>
        <v>41.17647058823529</v>
      </c>
      <c r="N65" s="234">
        <f t="shared" si="22"/>
        <v>100</v>
      </c>
      <c r="O65" s="212">
        <v>40</v>
      </c>
      <c r="P65" s="213"/>
      <c r="Q65" s="213">
        <v>17.8</v>
      </c>
      <c r="R65" s="214">
        <f t="shared" si="23"/>
        <v>57.8</v>
      </c>
      <c r="S65" s="170">
        <v>3</v>
      </c>
      <c r="T65" s="283"/>
      <c r="U65" s="281"/>
      <c r="V65" s="177" t="s">
        <v>1307</v>
      </c>
      <c r="W65" s="170" t="s">
        <v>893</v>
      </c>
      <c r="X65" s="170" t="s">
        <v>11</v>
      </c>
      <c r="Y65" s="178">
        <v>40</v>
      </c>
      <c r="Z65" s="170" t="s">
        <v>870</v>
      </c>
      <c r="AA65" s="170" t="s">
        <v>1484</v>
      </c>
      <c r="AB65" s="170" t="s">
        <v>12</v>
      </c>
      <c r="AC65" s="170">
        <v>11.1</v>
      </c>
      <c r="AD65" s="177" t="s">
        <v>101</v>
      </c>
      <c r="AE65" s="170" t="s">
        <v>97</v>
      </c>
      <c r="AF65" s="170" t="s">
        <v>12</v>
      </c>
      <c r="AG65" s="178">
        <v>6.7</v>
      </c>
      <c r="AH65" s="177"/>
      <c r="AL65" s="177"/>
      <c r="AO65" s="178"/>
      <c r="AP65" s="177"/>
      <c r="AS65" s="178"/>
      <c r="AW65" s="178"/>
      <c r="BA65" s="179"/>
    </row>
    <row r="66" spans="1:53" s="170" customFormat="1" x14ac:dyDescent="0.15">
      <c r="A66" s="170">
        <v>2018</v>
      </c>
      <c r="B66" s="281"/>
      <c r="C66" s="395" t="s">
        <v>1306</v>
      </c>
      <c r="D66" s="395"/>
      <c r="E66" s="170">
        <v>255</v>
      </c>
      <c r="G66" s="232">
        <v>10</v>
      </c>
      <c r="I66" s="170">
        <v>7</v>
      </c>
      <c r="J66" s="240">
        <v>17</v>
      </c>
      <c r="K66" s="213">
        <f t="shared" ref="K66" si="24">G66/J66*100</f>
        <v>58.82352941176471</v>
      </c>
      <c r="L66" s="213">
        <f t="shared" ref="L66" si="25">H66/J66*100</f>
        <v>0</v>
      </c>
      <c r="M66" s="213">
        <f t="shared" ref="M66" si="26">I66/J66*100</f>
        <v>41.17647058823529</v>
      </c>
      <c r="N66" s="234">
        <f t="shared" ref="N66" si="27">K65+L65+M65</f>
        <v>100</v>
      </c>
      <c r="O66" s="212">
        <v>40</v>
      </c>
      <c r="P66" s="213"/>
      <c r="Q66" s="213">
        <v>17.8</v>
      </c>
      <c r="R66" s="214">
        <f t="shared" ref="R66:R67" si="28">O66+P66+Q66</f>
        <v>57.8</v>
      </c>
      <c r="S66" s="170">
        <v>3</v>
      </c>
      <c r="T66" s="283"/>
      <c r="U66" s="281"/>
      <c r="V66" s="177" t="s">
        <v>1307</v>
      </c>
      <c r="W66" s="170" t="s">
        <v>893</v>
      </c>
      <c r="X66" s="170" t="s">
        <v>11</v>
      </c>
      <c r="Y66" s="178">
        <v>40</v>
      </c>
      <c r="Z66" s="170" t="s">
        <v>870</v>
      </c>
      <c r="AA66" s="170" t="s">
        <v>1484</v>
      </c>
      <c r="AB66" s="170" t="s">
        <v>12</v>
      </c>
      <c r="AC66" s="170">
        <v>11.1</v>
      </c>
      <c r="AD66" s="177" t="s">
        <v>101</v>
      </c>
      <c r="AE66" s="170" t="s">
        <v>97</v>
      </c>
      <c r="AF66" s="170" t="s">
        <v>12</v>
      </c>
      <c r="AG66" s="178">
        <v>6.7</v>
      </c>
      <c r="AH66" s="177"/>
      <c r="AL66" s="177"/>
      <c r="AO66" s="178"/>
      <c r="AP66" s="177"/>
      <c r="AS66" s="178"/>
      <c r="AW66" s="178"/>
      <c r="BA66" s="179"/>
    </row>
    <row r="67" spans="1:53" s="28" customFormat="1" x14ac:dyDescent="0.15">
      <c r="A67" s="28">
        <v>2018</v>
      </c>
      <c r="B67" s="275">
        <v>43356</v>
      </c>
      <c r="C67" s="394" t="s">
        <v>1400</v>
      </c>
      <c r="D67" s="394"/>
      <c r="E67" s="28">
        <v>110</v>
      </c>
      <c r="F67" s="28">
        <v>1</v>
      </c>
      <c r="G67" s="65">
        <v>7</v>
      </c>
      <c r="H67" s="28">
        <v>5</v>
      </c>
      <c r="I67" s="28">
        <v>5</v>
      </c>
      <c r="J67" s="72">
        <v>17</v>
      </c>
      <c r="K67" s="46">
        <f>G67/J67*100</f>
        <v>41.17647058823529</v>
      </c>
      <c r="L67" s="46">
        <f>H67/J67*100</f>
        <v>29.411764705882355</v>
      </c>
      <c r="M67" s="46">
        <f>I67/J67*100</f>
        <v>29.411764705882355</v>
      </c>
      <c r="N67" s="67">
        <f>K66+L66+M66</f>
        <v>100</v>
      </c>
      <c r="O67" s="45">
        <v>16.7</v>
      </c>
      <c r="P67" s="46">
        <v>14.4</v>
      </c>
      <c r="Q67" s="46">
        <v>16.7</v>
      </c>
      <c r="R67" s="47">
        <f t="shared" si="28"/>
        <v>47.8</v>
      </c>
      <c r="S67" s="28">
        <v>5</v>
      </c>
      <c r="T67" s="284">
        <v>43254</v>
      </c>
      <c r="U67" s="275">
        <v>43356</v>
      </c>
      <c r="V67" s="37" t="s">
        <v>1401</v>
      </c>
      <c r="W67" s="28" t="s">
        <v>899</v>
      </c>
      <c r="X67" s="28" t="s">
        <v>18</v>
      </c>
      <c r="Y67" s="38">
        <v>14.2</v>
      </c>
      <c r="Z67" s="37" t="s">
        <v>101</v>
      </c>
      <c r="AA67" s="28" t="s">
        <v>97</v>
      </c>
      <c r="AB67" s="28" t="s">
        <v>12</v>
      </c>
      <c r="AC67" s="38">
        <v>11.1</v>
      </c>
      <c r="AD67" s="37" t="s">
        <v>1307</v>
      </c>
      <c r="AE67" s="28" t="s">
        <v>893</v>
      </c>
      <c r="AF67" s="28" t="s">
        <v>11</v>
      </c>
      <c r="AG67" s="38">
        <v>11.1</v>
      </c>
      <c r="AH67" s="37" t="s">
        <v>1305</v>
      </c>
      <c r="AI67" s="28" t="s">
        <v>892</v>
      </c>
      <c r="AJ67" s="28" t="s">
        <v>11</v>
      </c>
      <c r="AK67" s="28">
        <v>5.6</v>
      </c>
      <c r="AL67" s="37" t="s">
        <v>870</v>
      </c>
      <c r="AM67" s="28" t="s">
        <v>1484</v>
      </c>
      <c r="AN67" s="28" t="s">
        <v>12</v>
      </c>
      <c r="AO67" s="28">
        <v>5.6</v>
      </c>
      <c r="AP67" s="37"/>
      <c r="AS67" s="38"/>
      <c r="AW67" s="38"/>
      <c r="BA67" s="39"/>
    </row>
    <row r="68" spans="1:53" s="28" customFormat="1" x14ac:dyDescent="0.15">
      <c r="A68" s="28">
        <v>2019</v>
      </c>
      <c r="B68" s="275"/>
      <c r="C68" s="394" t="s">
        <v>1400</v>
      </c>
      <c r="D68" s="394"/>
      <c r="E68" s="28">
        <v>0</v>
      </c>
      <c r="G68" s="65">
        <v>7</v>
      </c>
      <c r="H68" s="28">
        <v>5</v>
      </c>
      <c r="I68" s="28">
        <v>5</v>
      </c>
      <c r="J68" s="72">
        <v>17</v>
      </c>
      <c r="K68" s="46">
        <f t="shared" ref="K68:K77" si="29">G68/J68*100</f>
        <v>41.17647058823529</v>
      </c>
      <c r="L68" s="46">
        <f t="shared" ref="L68:L77" si="30">H68/J68*100</f>
        <v>29.411764705882355</v>
      </c>
      <c r="M68" s="46">
        <f t="shared" ref="M68:M79" si="31">I68/J68*100</f>
        <v>29.411764705882355</v>
      </c>
      <c r="N68" s="67">
        <f t="shared" ref="N68:N70" si="32">K67+L67+M67</f>
        <v>100</v>
      </c>
      <c r="O68" s="45">
        <v>16.7</v>
      </c>
      <c r="P68" s="46">
        <v>14.4</v>
      </c>
      <c r="Q68" s="46">
        <v>16.7</v>
      </c>
      <c r="R68" s="47">
        <f t="shared" ref="R68:R71" si="33">O68+P68+Q68</f>
        <v>47.8</v>
      </c>
      <c r="S68" s="28">
        <v>5</v>
      </c>
      <c r="T68" s="284"/>
      <c r="U68" s="275"/>
      <c r="V68" s="37" t="s">
        <v>1401</v>
      </c>
      <c r="W68" s="28" t="s">
        <v>899</v>
      </c>
      <c r="X68" s="28" t="s">
        <v>18</v>
      </c>
      <c r="Y68" s="38">
        <v>14.2</v>
      </c>
      <c r="Z68" s="37" t="s">
        <v>101</v>
      </c>
      <c r="AA68" s="28" t="s">
        <v>97</v>
      </c>
      <c r="AB68" s="28" t="s">
        <v>12</v>
      </c>
      <c r="AC68" s="38">
        <v>11.1</v>
      </c>
      <c r="AD68" s="37" t="s">
        <v>1307</v>
      </c>
      <c r="AE68" s="28" t="s">
        <v>893</v>
      </c>
      <c r="AF68" s="28" t="s">
        <v>11</v>
      </c>
      <c r="AG68" s="38">
        <v>11.1</v>
      </c>
      <c r="AH68" s="37" t="s">
        <v>1305</v>
      </c>
      <c r="AI68" s="28" t="s">
        <v>892</v>
      </c>
      <c r="AJ68" s="28" t="s">
        <v>11</v>
      </c>
      <c r="AK68" s="28">
        <v>5.6</v>
      </c>
      <c r="AL68" s="37" t="s">
        <v>870</v>
      </c>
      <c r="AM68" s="28" t="s">
        <v>1484</v>
      </c>
      <c r="AN68" s="28" t="s">
        <v>12</v>
      </c>
      <c r="AO68" s="28">
        <v>5.6</v>
      </c>
      <c r="AP68" s="37"/>
      <c r="AS68" s="38"/>
      <c r="AW68" s="38"/>
      <c r="BA68" s="39"/>
    </row>
    <row r="69" spans="1:53" s="28" customFormat="1" x14ac:dyDescent="0.15">
      <c r="A69" s="28">
        <v>2019</v>
      </c>
      <c r="B69" s="275"/>
      <c r="C69" s="394" t="s">
        <v>1400</v>
      </c>
      <c r="D69" s="394"/>
      <c r="E69" s="28">
        <v>365</v>
      </c>
      <c r="G69" s="65">
        <v>7</v>
      </c>
      <c r="H69" s="28">
        <v>5</v>
      </c>
      <c r="I69" s="28">
        <v>5</v>
      </c>
      <c r="J69" s="72">
        <v>17</v>
      </c>
      <c r="K69" s="46">
        <f t="shared" si="29"/>
        <v>41.17647058823529</v>
      </c>
      <c r="L69" s="46">
        <f t="shared" si="30"/>
        <v>29.411764705882355</v>
      </c>
      <c r="M69" s="46">
        <f t="shared" si="31"/>
        <v>29.411764705882355</v>
      </c>
      <c r="N69" s="47">
        <f t="shared" si="32"/>
        <v>100</v>
      </c>
      <c r="O69" s="46">
        <v>16.7</v>
      </c>
      <c r="P69" s="46">
        <v>14.4</v>
      </c>
      <c r="Q69" s="46">
        <v>16.7</v>
      </c>
      <c r="R69" s="47">
        <f t="shared" si="33"/>
        <v>47.8</v>
      </c>
      <c r="S69" s="39">
        <v>5</v>
      </c>
      <c r="T69" s="319"/>
      <c r="U69" s="341"/>
      <c r="V69" s="28" t="s">
        <v>1401</v>
      </c>
      <c r="W69" s="28" t="s">
        <v>899</v>
      </c>
      <c r="X69" s="28" t="s">
        <v>18</v>
      </c>
      <c r="Y69" s="38">
        <v>14.2</v>
      </c>
      <c r="Z69" s="37" t="s">
        <v>101</v>
      </c>
      <c r="AA69" s="28" t="s">
        <v>97</v>
      </c>
      <c r="AB69" s="28" t="s">
        <v>12</v>
      </c>
      <c r="AC69" s="38">
        <v>11.1</v>
      </c>
      <c r="AD69" s="37" t="s">
        <v>1307</v>
      </c>
      <c r="AE69" s="28" t="s">
        <v>893</v>
      </c>
      <c r="AF69" s="28" t="s">
        <v>11</v>
      </c>
      <c r="AG69" s="38">
        <v>11.1</v>
      </c>
      <c r="AH69" s="37" t="s">
        <v>1305</v>
      </c>
      <c r="AI69" s="28" t="s">
        <v>892</v>
      </c>
      <c r="AJ69" s="28" t="s">
        <v>11</v>
      </c>
      <c r="AK69" s="28">
        <v>5.6</v>
      </c>
      <c r="AL69" s="37" t="s">
        <v>870</v>
      </c>
      <c r="AM69" s="28" t="s">
        <v>1484</v>
      </c>
      <c r="AN69" s="28" t="s">
        <v>12</v>
      </c>
      <c r="AO69" s="38">
        <v>5.6</v>
      </c>
      <c r="AS69" s="38"/>
      <c r="AW69" s="38"/>
      <c r="BA69" s="39"/>
    </row>
    <row r="70" spans="1:53" s="28" customFormat="1" x14ac:dyDescent="0.15">
      <c r="A70" s="28">
        <v>2020</v>
      </c>
      <c r="B70" s="275"/>
      <c r="C70" s="394" t="s">
        <v>1400</v>
      </c>
      <c r="D70" s="394"/>
      <c r="E70" s="28">
        <v>72</v>
      </c>
      <c r="F70" s="39"/>
      <c r="G70" s="28">
        <v>7</v>
      </c>
      <c r="H70" s="28">
        <v>5</v>
      </c>
      <c r="I70" s="28">
        <v>5</v>
      </c>
      <c r="J70" s="72">
        <v>17</v>
      </c>
      <c r="K70" s="46">
        <f t="shared" si="29"/>
        <v>41.17647058823529</v>
      </c>
      <c r="L70" s="46">
        <f t="shared" si="30"/>
        <v>29.411764705882355</v>
      </c>
      <c r="M70" s="46">
        <f t="shared" si="31"/>
        <v>29.411764705882355</v>
      </c>
      <c r="N70" s="47">
        <f t="shared" si="32"/>
        <v>100</v>
      </c>
      <c r="O70" s="46">
        <v>16.7</v>
      </c>
      <c r="P70" s="46">
        <v>14.4</v>
      </c>
      <c r="Q70" s="46">
        <v>16.7</v>
      </c>
      <c r="R70" s="47">
        <f t="shared" si="33"/>
        <v>47.8</v>
      </c>
      <c r="S70" s="39">
        <v>5</v>
      </c>
      <c r="T70" s="319"/>
      <c r="U70" s="341"/>
      <c r="V70" s="28" t="s">
        <v>1401</v>
      </c>
      <c r="W70" s="28" t="s">
        <v>899</v>
      </c>
      <c r="X70" s="28" t="s">
        <v>18</v>
      </c>
      <c r="Y70" s="38">
        <v>14.2</v>
      </c>
      <c r="Z70" s="28" t="s">
        <v>101</v>
      </c>
      <c r="AA70" s="28" t="s">
        <v>97</v>
      </c>
      <c r="AB70" s="28" t="s">
        <v>12</v>
      </c>
      <c r="AC70" s="38">
        <v>11.1</v>
      </c>
      <c r="AD70" s="28" t="s">
        <v>1307</v>
      </c>
      <c r="AE70" s="28" t="s">
        <v>893</v>
      </c>
      <c r="AF70" s="28" t="s">
        <v>11</v>
      </c>
      <c r="AG70" s="38">
        <v>11.1</v>
      </c>
      <c r="AH70" s="28" t="s">
        <v>1305</v>
      </c>
      <c r="AI70" s="28" t="s">
        <v>892</v>
      </c>
      <c r="AJ70" s="28" t="s">
        <v>11</v>
      </c>
      <c r="AK70" s="38">
        <v>5.6</v>
      </c>
      <c r="AL70" s="28" t="s">
        <v>870</v>
      </c>
      <c r="AM70" s="28" t="s">
        <v>1484</v>
      </c>
      <c r="AN70" s="28" t="s">
        <v>12</v>
      </c>
      <c r="AO70" s="38">
        <v>5.6</v>
      </c>
      <c r="AS70" s="38"/>
      <c r="AW70" s="38"/>
      <c r="BA70" s="39"/>
    </row>
    <row r="71" spans="1:53" s="170" customFormat="1" x14ac:dyDescent="0.15">
      <c r="A71" s="170">
        <v>2020</v>
      </c>
      <c r="B71" s="304">
        <v>43903</v>
      </c>
      <c r="C71" s="395" t="s">
        <v>1473</v>
      </c>
      <c r="D71" s="395"/>
      <c r="E71" s="170">
        <v>280</v>
      </c>
      <c r="F71" s="179">
        <v>4</v>
      </c>
      <c r="G71" s="170">
        <v>12</v>
      </c>
      <c r="H71" s="170">
        <v>3</v>
      </c>
      <c r="I71" s="170">
        <v>2</v>
      </c>
      <c r="J71" s="240">
        <v>17</v>
      </c>
      <c r="K71" s="213">
        <f t="shared" si="29"/>
        <v>70.588235294117652</v>
      </c>
      <c r="L71" s="213">
        <f t="shared" si="30"/>
        <v>17.647058823529413</v>
      </c>
      <c r="M71" s="213">
        <f t="shared" si="31"/>
        <v>11.76470588235294</v>
      </c>
      <c r="N71" s="214">
        <f>K70+L70+M70</f>
        <v>100</v>
      </c>
      <c r="O71" s="213">
        <v>40</v>
      </c>
      <c r="P71" s="213">
        <v>7.8</v>
      </c>
      <c r="Q71" s="213">
        <v>5.6</v>
      </c>
      <c r="R71" s="214">
        <f t="shared" si="33"/>
        <v>53.4</v>
      </c>
      <c r="S71" s="179">
        <v>2</v>
      </c>
      <c r="T71" s="346"/>
      <c r="U71" s="347">
        <v>43903</v>
      </c>
      <c r="V71" s="170" t="s">
        <v>867</v>
      </c>
      <c r="W71" s="170" t="s">
        <v>294</v>
      </c>
      <c r="X71" s="170" t="s">
        <v>11</v>
      </c>
      <c r="Y71" s="178">
        <v>28.9</v>
      </c>
      <c r="Z71" s="170" t="s">
        <v>1307</v>
      </c>
      <c r="AA71" s="170" t="s">
        <v>893</v>
      </c>
      <c r="AB71" s="170" t="s">
        <v>11</v>
      </c>
      <c r="AC71" s="178">
        <v>11.1</v>
      </c>
      <c r="AD71" s="170" t="s">
        <v>1474</v>
      </c>
      <c r="AE71" s="170" t="s">
        <v>81</v>
      </c>
      <c r="AF71" s="170" t="s">
        <v>18</v>
      </c>
      <c r="AG71" s="178">
        <v>7.8</v>
      </c>
      <c r="AH71" s="170" t="s">
        <v>870</v>
      </c>
      <c r="AI71" s="170" t="s">
        <v>1484</v>
      </c>
      <c r="AJ71" s="170" t="s">
        <v>12</v>
      </c>
      <c r="AK71" s="178">
        <v>5.6</v>
      </c>
      <c r="AO71" s="178"/>
      <c r="AS71" s="178"/>
      <c r="AW71" s="178"/>
      <c r="BA71" s="179"/>
    </row>
    <row r="72" spans="1:53" s="170" customFormat="1" x14ac:dyDescent="0.15">
      <c r="A72" s="170">
        <v>2020</v>
      </c>
      <c r="B72" s="303">
        <v>44183</v>
      </c>
      <c r="C72" s="395" t="s">
        <v>1473</v>
      </c>
      <c r="D72" s="395"/>
      <c r="E72" s="170">
        <v>14</v>
      </c>
      <c r="F72" s="246">
        <v>0</v>
      </c>
      <c r="G72" s="170">
        <v>12</v>
      </c>
      <c r="H72" s="170">
        <v>3</v>
      </c>
      <c r="I72" s="170">
        <v>1</v>
      </c>
      <c r="J72" s="240">
        <v>16</v>
      </c>
      <c r="K72" s="213">
        <f t="shared" si="29"/>
        <v>75</v>
      </c>
      <c r="L72" s="213">
        <f t="shared" si="30"/>
        <v>18.75</v>
      </c>
      <c r="M72" s="213">
        <f t="shared" si="31"/>
        <v>6.25</v>
      </c>
      <c r="N72" s="214">
        <f t="shared" ref="N72:N77" si="34">K72+L72+M72</f>
        <v>100</v>
      </c>
      <c r="O72" s="213">
        <v>40</v>
      </c>
      <c r="P72" s="213">
        <v>7.8</v>
      </c>
      <c r="Q72" s="213">
        <v>5.6</v>
      </c>
      <c r="R72" s="214">
        <f t="shared" ref="R72" si="35">O72+P72+Q72</f>
        <v>53.4</v>
      </c>
      <c r="S72" s="179">
        <v>2</v>
      </c>
      <c r="T72" s="346"/>
      <c r="U72" s="347"/>
      <c r="V72" s="170" t="s">
        <v>867</v>
      </c>
      <c r="W72" s="170" t="s">
        <v>294</v>
      </c>
      <c r="X72" s="170" t="s">
        <v>11</v>
      </c>
      <c r="Y72" s="178">
        <v>28.9</v>
      </c>
      <c r="Z72" s="170" t="s">
        <v>1307</v>
      </c>
      <c r="AA72" s="170" t="s">
        <v>893</v>
      </c>
      <c r="AB72" s="170" t="s">
        <v>11</v>
      </c>
      <c r="AC72" s="178">
        <v>11.1</v>
      </c>
      <c r="AD72" s="170" t="s">
        <v>1474</v>
      </c>
      <c r="AE72" s="170" t="s">
        <v>81</v>
      </c>
      <c r="AF72" s="170" t="s">
        <v>18</v>
      </c>
      <c r="AG72" s="178">
        <v>7.8</v>
      </c>
      <c r="AH72" s="170" t="s">
        <v>870</v>
      </c>
      <c r="AI72" s="170" t="s">
        <v>1484</v>
      </c>
      <c r="AJ72" s="170" t="s">
        <v>12</v>
      </c>
      <c r="AK72" s="178">
        <v>5.6</v>
      </c>
      <c r="AO72" s="178"/>
      <c r="AS72" s="178"/>
      <c r="AW72" s="178"/>
      <c r="BA72" s="179"/>
    </row>
    <row r="73" spans="1:53" s="170" customFormat="1" x14ac:dyDescent="0.15">
      <c r="A73" s="170">
        <v>2021</v>
      </c>
      <c r="B73" s="304"/>
      <c r="C73" s="395" t="s">
        <v>1473</v>
      </c>
      <c r="D73" s="395"/>
      <c r="E73" s="170">
        <v>54</v>
      </c>
      <c r="F73" s="179"/>
      <c r="G73" s="170">
        <v>12</v>
      </c>
      <c r="H73" s="170">
        <v>3</v>
      </c>
      <c r="I73" s="170">
        <v>1</v>
      </c>
      <c r="J73" s="240">
        <v>16</v>
      </c>
      <c r="K73" s="213">
        <f t="shared" si="29"/>
        <v>75</v>
      </c>
      <c r="L73" s="213">
        <f t="shared" si="30"/>
        <v>18.75</v>
      </c>
      <c r="M73" s="213">
        <f t="shared" si="31"/>
        <v>6.25</v>
      </c>
      <c r="N73" s="214">
        <f t="shared" si="34"/>
        <v>100</v>
      </c>
      <c r="O73" s="213">
        <v>40</v>
      </c>
      <c r="P73" s="213">
        <v>7.8</v>
      </c>
      <c r="Q73" s="213">
        <v>5.6</v>
      </c>
      <c r="R73" s="214">
        <f t="shared" ref="R73:R74" si="36">O73+P73+Q73</f>
        <v>53.4</v>
      </c>
      <c r="S73" s="179">
        <v>2</v>
      </c>
      <c r="T73" s="346"/>
      <c r="U73" s="347"/>
      <c r="V73" s="170" t="s">
        <v>867</v>
      </c>
      <c r="W73" s="170" t="s">
        <v>294</v>
      </c>
      <c r="X73" s="170" t="s">
        <v>11</v>
      </c>
      <c r="Y73" s="178">
        <v>28.9</v>
      </c>
      <c r="Z73" s="170" t="s">
        <v>1541</v>
      </c>
      <c r="AA73" s="170" t="s">
        <v>893</v>
      </c>
      <c r="AB73" s="170" t="s">
        <v>11</v>
      </c>
      <c r="AC73" s="178">
        <v>11.1</v>
      </c>
      <c r="AD73" s="170" t="s">
        <v>1474</v>
      </c>
      <c r="AE73" s="170" t="s">
        <v>81</v>
      </c>
      <c r="AF73" s="170" t="s">
        <v>18</v>
      </c>
      <c r="AG73" s="178">
        <v>7.8</v>
      </c>
      <c r="AH73" s="170" t="s">
        <v>870</v>
      </c>
      <c r="AI73" s="170" t="s">
        <v>1484</v>
      </c>
      <c r="AJ73" s="170" t="s">
        <v>12</v>
      </c>
      <c r="AK73" s="178">
        <v>5.6</v>
      </c>
      <c r="AO73" s="178"/>
      <c r="AS73" s="178"/>
      <c r="AW73" s="178"/>
      <c r="BA73" s="179"/>
    </row>
    <row r="74" spans="1:53" s="170" customFormat="1" x14ac:dyDescent="0.15">
      <c r="A74" s="170">
        <v>2021</v>
      </c>
      <c r="B74" s="303">
        <v>44250</v>
      </c>
      <c r="C74" s="395" t="s">
        <v>1473</v>
      </c>
      <c r="D74" s="395"/>
      <c r="E74" s="170">
        <v>30</v>
      </c>
      <c r="F74" s="246">
        <v>0</v>
      </c>
      <c r="G74" s="170">
        <v>12</v>
      </c>
      <c r="H74" s="170">
        <v>3</v>
      </c>
      <c r="I74" s="170">
        <v>1</v>
      </c>
      <c r="J74" s="240">
        <v>17</v>
      </c>
      <c r="K74" s="213">
        <f t="shared" si="29"/>
        <v>70.588235294117652</v>
      </c>
      <c r="L74" s="213">
        <f t="shared" si="30"/>
        <v>17.647058823529413</v>
      </c>
      <c r="M74" s="213">
        <f t="shared" si="31"/>
        <v>5.8823529411764701</v>
      </c>
      <c r="N74" s="214">
        <f t="shared" si="34"/>
        <v>94.117647058823536</v>
      </c>
      <c r="O74" s="213">
        <v>40</v>
      </c>
      <c r="P74" s="213">
        <v>7.8</v>
      </c>
      <c r="Q74" s="213">
        <v>5.6</v>
      </c>
      <c r="R74" s="214">
        <f t="shared" si="36"/>
        <v>53.4</v>
      </c>
      <c r="S74" s="179">
        <v>2</v>
      </c>
      <c r="T74" s="346"/>
      <c r="U74" s="347"/>
      <c r="V74" s="170" t="s">
        <v>867</v>
      </c>
      <c r="W74" s="170" t="s">
        <v>294</v>
      </c>
      <c r="X74" s="170" t="s">
        <v>11</v>
      </c>
      <c r="Y74" s="178">
        <v>30.9</v>
      </c>
      <c r="Z74" s="170" t="s">
        <v>1541</v>
      </c>
      <c r="AA74" s="170" t="s">
        <v>893</v>
      </c>
      <c r="AB74" s="170" t="s">
        <v>11</v>
      </c>
      <c r="AC74" s="178">
        <v>11.1</v>
      </c>
      <c r="AD74" s="170" t="s">
        <v>1474</v>
      </c>
      <c r="AE74" s="170" t="s">
        <v>81</v>
      </c>
      <c r="AF74" s="170" t="s">
        <v>18</v>
      </c>
      <c r="AG74" s="178">
        <v>7.8</v>
      </c>
      <c r="AH74" s="170" t="s">
        <v>870</v>
      </c>
      <c r="AI74" s="170" t="s">
        <v>1484</v>
      </c>
      <c r="AJ74" s="170" t="s">
        <v>12</v>
      </c>
      <c r="AK74" s="178">
        <v>5.6</v>
      </c>
      <c r="AO74" s="178"/>
      <c r="AS74" s="178"/>
      <c r="AW74" s="178"/>
      <c r="BA74" s="179"/>
    </row>
    <row r="75" spans="1:53" s="28" customFormat="1" x14ac:dyDescent="0.15">
      <c r="A75" s="28">
        <v>2021</v>
      </c>
      <c r="B75" s="275">
        <v>44280</v>
      </c>
      <c r="C75" s="394" t="s">
        <v>1512</v>
      </c>
      <c r="D75" s="394"/>
      <c r="E75" s="28">
        <v>113</v>
      </c>
      <c r="F75" s="39">
        <v>4</v>
      </c>
      <c r="G75" s="28">
        <v>12</v>
      </c>
      <c r="H75" s="28">
        <v>3</v>
      </c>
      <c r="J75" s="72">
        <v>17</v>
      </c>
      <c r="K75" s="46">
        <f t="shared" si="29"/>
        <v>70.588235294117652</v>
      </c>
      <c r="L75" s="46">
        <f t="shared" si="30"/>
        <v>17.647058823529413</v>
      </c>
      <c r="M75" s="46">
        <f t="shared" si="31"/>
        <v>0</v>
      </c>
      <c r="N75" s="47">
        <f t="shared" si="34"/>
        <v>88.235294117647072</v>
      </c>
      <c r="O75" s="46">
        <v>33.4</v>
      </c>
      <c r="P75" s="46">
        <v>7.8</v>
      </c>
      <c r="Q75" s="46"/>
      <c r="R75" s="47">
        <f>O75+P75+Q75</f>
        <v>41.199999999999996</v>
      </c>
      <c r="S75" s="39">
        <v>5</v>
      </c>
      <c r="T75" s="319"/>
      <c r="U75" s="275">
        <v>44280</v>
      </c>
      <c r="V75" s="28" t="s">
        <v>867</v>
      </c>
      <c r="W75" s="28" t="s">
        <v>294</v>
      </c>
      <c r="X75" s="28" t="s">
        <v>11</v>
      </c>
      <c r="Y75" s="38">
        <v>32.9</v>
      </c>
      <c r="Z75" s="28" t="s">
        <v>1541</v>
      </c>
      <c r="AA75" s="28" t="s">
        <v>893</v>
      </c>
      <c r="AB75" s="28" t="s">
        <v>11</v>
      </c>
      <c r="AC75" s="38">
        <v>11.1</v>
      </c>
      <c r="AD75" s="28" t="s">
        <v>1474</v>
      </c>
      <c r="AE75" s="28" t="s">
        <v>81</v>
      </c>
      <c r="AF75" s="28" t="s">
        <v>18</v>
      </c>
      <c r="AG75" s="38">
        <v>7.8</v>
      </c>
      <c r="AK75" s="38"/>
      <c r="AO75" s="38"/>
      <c r="AS75" s="38"/>
      <c r="AW75" s="38"/>
      <c r="BA75" s="39"/>
    </row>
    <row r="76" spans="1:53" s="28" customFormat="1" x14ac:dyDescent="0.15">
      <c r="A76" s="28">
        <v>2021</v>
      </c>
      <c r="B76" s="301">
        <v>44393</v>
      </c>
      <c r="C76" s="394" t="s">
        <v>1512</v>
      </c>
      <c r="D76" s="394"/>
      <c r="E76" s="28">
        <v>168</v>
      </c>
      <c r="F76" s="340">
        <v>0</v>
      </c>
      <c r="G76" s="28">
        <v>12</v>
      </c>
      <c r="H76" s="28">
        <v>4</v>
      </c>
      <c r="J76" s="72">
        <v>18</v>
      </c>
      <c r="K76" s="46">
        <f t="shared" si="29"/>
        <v>66.666666666666657</v>
      </c>
      <c r="L76" s="46">
        <f t="shared" si="30"/>
        <v>22.222222222222221</v>
      </c>
      <c r="M76" s="46">
        <f t="shared" si="31"/>
        <v>0</v>
      </c>
      <c r="N76" s="47">
        <f t="shared" si="34"/>
        <v>88.888888888888886</v>
      </c>
      <c r="O76" s="46">
        <v>33.4</v>
      </c>
      <c r="P76" s="46">
        <v>7.8</v>
      </c>
      <c r="Q76" s="46"/>
      <c r="R76" s="47">
        <f>O76+P76+Q76</f>
        <v>41.199999999999996</v>
      </c>
      <c r="S76" s="39">
        <v>5</v>
      </c>
      <c r="T76" s="319"/>
      <c r="U76" s="341"/>
      <c r="V76" s="28" t="s">
        <v>867</v>
      </c>
      <c r="W76" s="28" t="s">
        <v>294</v>
      </c>
      <c r="X76" s="28" t="s">
        <v>11</v>
      </c>
      <c r="Y76" s="38">
        <v>32.9</v>
      </c>
      <c r="Z76" s="28" t="s">
        <v>1541</v>
      </c>
      <c r="AA76" s="28" t="s">
        <v>893</v>
      </c>
      <c r="AB76" s="28" t="s">
        <v>11</v>
      </c>
      <c r="AC76" s="38">
        <v>11.1</v>
      </c>
      <c r="AD76" s="28" t="s">
        <v>1474</v>
      </c>
      <c r="AE76" s="28" t="s">
        <v>81</v>
      </c>
      <c r="AF76" s="28" t="s">
        <v>18</v>
      </c>
      <c r="AG76" s="38">
        <v>7.8</v>
      </c>
      <c r="AK76" s="38"/>
      <c r="AO76" s="38"/>
      <c r="AS76" s="38"/>
      <c r="AW76" s="38"/>
      <c r="BA76" s="39"/>
    </row>
    <row r="77" spans="1:53" s="28" customFormat="1" x14ac:dyDescent="0.15">
      <c r="A77" s="28">
        <v>2022</v>
      </c>
      <c r="B77" s="301"/>
      <c r="C77" s="394" t="s">
        <v>1512</v>
      </c>
      <c r="D77" s="394"/>
      <c r="E77" s="28">
        <v>151</v>
      </c>
      <c r="F77" s="340"/>
      <c r="G77" s="28">
        <v>12</v>
      </c>
      <c r="H77" s="28">
        <v>4</v>
      </c>
      <c r="J77" s="72">
        <v>18</v>
      </c>
      <c r="K77" s="46">
        <f t="shared" si="29"/>
        <v>66.666666666666657</v>
      </c>
      <c r="L77" s="46">
        <f t="shared" si="30"/>
        <v>22.222222222222221</v>
      </c>
      <c r="M77" s="46">
        <f t="shared" si="31"/>
        <v>0</v>
      </c>
      <c r="N77" s="47">
        <f t="shared" si="34"/>
        <v>88.888888888888886</v>
      </c>
      <c r="O77" s="46">
        <v>33.4</v>
      </c>
      <c r="P77" s="46">
        <v>7.8</v>
      </c>
      <c r="Q77" s="46"/>
      <c r="R77" s="47">
        <f>O77+P77+Q77</f>
        <v>41.199999999999996</v>
      </c>
      <c r="S77" s="39">
        <v>5</v>
      </c>
      <c r="T77" s="319"/>
      <c r="U77" s="341"/>
      <c r="V77" s="28" t="s">
        <v>867</v>
      </c>
      <c r="W77" s="28" t="s">
        <v>294</v>
      </c>
      <c r="X77" s="28" t="s">
        <v>11</v>
      </c>
      <c r="Y77" s="38">
        <v>32.9</v>
      </c>
      <c r="Z77" s="28" t="s">
        <v>1541</v>
      </c>
      <c r="AA77" s="28" t="s">
        <v>893</v>
      </c>
      <c r="AB77" s="28" t="s">
        <v>11</v>
      </c>
      <c r="AC77" s="38">
        <v>11.1</v>
      </c>
      <c r="AD77" s="28" t="s">
        <v>1474</v>
      </c>
      <c r="AE77" s="28" t="s">
        <v>81</v>
      </c>
      <c r="AF77" s="28" t="s">
        <v>18</v>
      </c>
      <c r="AG77" s="38">
        <v>7.8</v>
      </c>
      <c r="AK77" s="38"/>
      <c r="AO77" s="38"/>
      <c r="AS77" s="38"/>
      <c r="AW77" s="38"/>
      <c r="BA77" s="39"/>
    </row>
    <row r="78" spans="1:53" s="170" customFormat="1" x14ac:dyDescent="0.15">
      <c r="A78" s="170">
        <v>2022</v>
      </c>
      <c r="B78" s="281">
        <v>44713</v>
      </c>
      <c r="C78" s="395" t="s">
        <v>1531</v>
      </c>
      <c r="D78" s="395"/>
      <c r="E78" s="170">
        <v>197</v>
      </c>
      <c r="F78" s="179">
        <v>1</v>
      </c>
      <c r="I78" s="170">
        <v>18</v>
      </c>
      <c r="J78" s="240">
        <v>18</v>
      </c>
      <c r="K78" s="213">
        <v>0</v>
      </c>
      <c r="L78" s="213">
        <v>0</v>
      </c>
      <c r="M78" s="213">
        <f t="shared" si="31"/>
        <v>100</v>
      </c>
      <c r="N78" s="214">
        <f>K78+L78+M78</f>
        <v>100</v>
      </c>
      <c r="O78" s="213"/>
      <c r="P78" s="213"/>
      <c r="Q78" s="213">
        <v>58.9</v>
      </c>
      <c r="R78" s="214">
        <f>O78+P78+Q78</f>
        <v>58.9</v>
      </c>
      <c r="S78" s="179">
        <v>3</v>
      </c>
      <c r="T78" s="346">
        <v>44675</v>
      </c>
      <c r="U78" s="347">
        <v>44713</v>
      </c>
      <c r="V78" s="170" t="s">
        <v>1530</v>
      </c>
      <c r="W78" s="170" t="s">
        <v>217</v>
      </c>
      <c r="X78" s="170" t="s">
        <v>12</v>
      </c>
      <c r="Y78" s="178">
        <v>45.5</v>
      </c>
      <c r="Z78" s="170" t="s">
        <v>101</v>
      </c>
      <c r="AA78" s="170" t="s">
        <v>97</v>
      </c>
      <c r="AB78" s="170" t="s">
        <v>12</v>
      </c>
      <c r="AC78" s="178">
        <v>7.8</v>
      </c>
      <c r="AD78" s="170" t="s">
        <v>1540</v>
      </c>
      <c r="AE78" s="170" t="s">
        <v>115</v>
      </c>
      <c r="AF78" s="170" t="s">
        <v>12</v>
      </c>
      <c r="AG78" s="178">
        <v>5.6</v>
      </c>
      <c r="AK78" s="178"/>
      <c r="AO78" s="178"/>
      <c r="AS78" s="178"/>
      <c r="AW78" s="178"/>
      <c r="BA78" s="179"/>
    </row>
    <row r="79" spans="1:53" s="170" customFormat="1" x14ac:dyDescent="0.15">
      <c r="A79" s="170">
        <v>2022</v>
      </c>
      <c r="B79" s="303">
        <v>44909</v>
      </c>
      <c r="C79" s="395" t="s">
        <v>1531</v>
      </c>
      <c r="D79" s="395"/>
      <c r="E79" s="170">
        <v>17</v>
      </c>
      <c r="F79" s="246">
        <v>0</v>
      </c>
      <c r="I79" s="170">
        <v>17</v>
      </c>
      <c r="J79" s="240">
        <v>17</v>
      </c>
      <c r="K79" s="213">
        <v>0</v>
      </c>
      <c r="L79" s="213">
        <v>0</v>
      </c>
      <c r="M79" s="213">
        <f t="shared" si="31"/>
        <v>100</v>
      </c>
      <c r="N79" s="214">
        <f>K79+M79+L79</f>
        <v>100</v>
      </c>
      <c r="O79" s="213"/>
      <c r="P79" s="213"/>
      <c r="Q79" s="213">
        <v>58.9</v>
      </c>
      <c r="R79" s="214">
        <f>O79+P79+Q79</f>
        <v>58.9</v>
      </c>
      <c r="S79" s="179">
        <v>3</v>
      </c>
      <c r="T79" s="346"/>
      <c r="U79" s="347"/>
      <c r="V79" s="170" t="s">
        <v>1530</v>
      </c>
      <c r="W79" s="170" t="s">
        <v>217</v>
      </c>
      <c r="X79" s="170" t="s">
        <v>12</v>
      </c>
      <c r="Y79" s="178">
        <v>45.5</v>
      </c>
      <c r="Z79" s="170" t="s">
        <v>101</v>
      </c>
      <c r="AA79" s="170" t="s">
        <v>97</v>
      </c>
      <c r="AB79" s="170" t="s">
        <v>12</v>
      </c>
      <c r="AC79" s="178">
        <v>7.8</v>
      </c>
      <c r="AD79" s="170" t="s">
        <v>1540</v>
      </c>
      <c r="AE79" s="170" t="s">
        <v>115</v>
      </c>
      <c r="AF79" s="170" t="s">
        <v>12</v>
      </c>
      <c r="AG79" s="178">
        <v>5.6</v>
      </c>
      <c r="AK79" s="178"/>
      <c r="AO79" s="178"/>
      <c r="AS79" s="178"/>
      <c r="AW79" s="178"/>
      <c r="BA79" s="179"/>
    </row>
    <row r="81" spans="1:30" ht="18" customHeight="1" x14ac:dyDescent="0.15">
      <c r="B81" s="15" t="s">
        <v>1262</v>
      </c>
    </row>
    <row r="82" spans="1:30" ht="9" customHeight="1" x14ac:dyDescent="0.15"/>
    <row r="83" spans="1:30" s="194" customFormat="1" ht="9" customHeight="1" x14ac:dyDescent="0.15">
      <c r="A83" s="192"/>
      <c r="B83" s="193" t="s">
        <v>1213</v>
      </c>
      <c r="C83" s="193"/>
      <c r="D83" s="193"/>
      <c r="E83" s="193"/>
      <c r="F83" s="193"/>
      <c r="G83" s="193" t="s">
        <v>1214</v>
      </c>
      <c r="H83" s="193"/>
      <c r="I83" s="193"/>
      <c r="J83" s="193"/>
      <c r="K83" s="193"/>
      <c r="L83" s="193"/>
      <c r="M83" s="193"/>
      <c r="N83" s="193"/>
      <c r="R83" s="386" t="s">
        <v>1215</v>
      </c>
      <c r="S83" s="386"/>
      <c r="T83" s="386"/>
      <c r="U83" s="386"/>
      <c r="V83" s="386"/>
      <c r="W83" s="386"/>
      <c r="X83" s="195"/>
      <c r="Y83" s="195"/>
      <c r="AA83" s="195"/>
      <c r="AB83" s="195"/>
      <c r="AC83" s="195"/>
      <c r="AD83" s="195"/>
    </row>
    <row r="84" spans="1:30" s="199" customFormat="1" ht="9" customHeight="1" x14ac:dyDescent="0.15">
      <c r="A84" s="196"/>
      <c r="B84" s="197" t="s">
        <v>1217</v>
      </c>
      <c r="C84" s="198"/>
      <c r="D84" s="198"/>
      <c r="E84" s="198"/>
      <c r="F84" s="198"/>
      <c r="G84" s="197" t="s">
        <v>1216</v>
      </c>
      <c r="H84" s="198"/>
      <c r="I84" s="198"/>
      <c r="J84" s="198"/>
      <c r="K84" s="198"/>
      <c r="L84" s="198"/>
      <c r="M84" s="198"/>
      <c r="N84" s="198"/>
      <c r="R84" s="200" t="s">
        <v>1218</v>
      </c>
      <c r="S84" s="201"/>
      <c r="T84" s="202"/>
      <c r="U84" s="202"/>
      <c r="V84" s="202"/>
      <c r="W84" s="200" t="s">
        <v>1219</v>
      </c>
      <c r="X84" s="202"/>
      <c r="Y84" s="202"/>
      <c r="AA84" s="202"/>
      <c r="AB84" s="202"/>
      <c r="AC84" s="202"/>
      <c r="AD84" s="202"/>
    </row>
    <row r="85" spans="1:30" s="185" customFormat="1" ht="12" customHeight="1" x14ac:dyDescent="0.15">
      <c r="A85" s="203" t="s">
        <v>3</v>
      </c>
      <c r="B85" s="204" t="s">
        <v>8</v>
      </c>
      <c r="C85" s="204" t="s">
        <v>9</v>
      </c>
      <c r="D85" s="204" t="s">
        <v>10</v>
      </c>
      <c r="E85" s="205" t="s">
        <v>1193</v>
      </c>
      <c r="F85" s="204"/>
      <c r="G85" s="185" t="s">
        <v>3</v>
      </c>
      <c r="H85" s="387" t="s">
        <v>0</v>
      </c>
      <c r="I85" s="387"/>
      <c r="J85" s="387" t="s">
        <v>1</v>
      </c>
      <c r="K85" s="387"/>
      <c r="L85" s="387" t="s">
        <v>2</v>
      </c>
      <c r="M85" s="387"/>
      <c r="N85" s="388" t="s">
        <v>1193</v>
      </c>
      <c r="O85" s="388"/>
      <c r="P85" s="206"/>
      <c r="Q85" s="206"/>
      <c r="R85" s="207" t="s">
        <v>3</v>
      </c>
      <c r="S85" s="208" t="s">
        <v>135</v>
      </c>
      <c r="T85" s="206" t="s">
        <v>133</v>
      </c>
      <c r="U85" s="204" t="s">
        <v>134</v>
      </c>
      <c r="V85" s="206"/>
      <c r="W85" s="209" t="s">
        <v>26</v>
      </c>
    </row>
    <row r="86" spans="1:30" x14ac:dyDescent="0.15">
      <c r="A86" s="13">
        <v>1990</v>
      </c>
      <c r="B86" s="5"/>
      <c r="C86" s="5"/>
      <c r="D86" s="5"/>
      <c r="E86" s="17"/>
      <c r="F86" s="5"/>
      <c r="G86" s="9">
        <v>1990</v>
      </c>
      <c r="H86" s="406"/>
      <c r="I86" s="406"/>
      <c r="J86" s="406"/>
      <c r="K86" s="406"/>
      <c r="L86" s="406"/>
      <c r="M86" s="406"/>
      <c r="N86" s="407"/>
      <c r="O86" s="407"/>
      <c r="P86" s="9"/>
      <c r="Q86" s="9"/>
      <c r="R86" s="9">
        <v>1990</v>
      </c>
      <c r="S86" s="9"/>
      <c r="T86" s="9"/>
      <c r="U86" s="5"/>
      <c r="V86" s="9"/>
      <c r="W86" s="114"/>
    </row>
    <row r="87" spans="1:30" x14ac:dyDescent="0.15">
      <c r="A87" s="13">
        <v>1991</v>
      </c>
      <c r="B87" s="5"/>
      <c r="C87" s="5"/>
      <c r="D87" s="5"/>
      <c r="E87" s="17"/>
      <c r="F87" s="5"/>
      <c r="G87" s="9">
        <v>1991</v>
      </c>
      <c r="H87" s="392"/>
      <c r="I87" s="392"/>
      <c r="J87" s="392"/>
      <c r="K87" s="392"/>
      <c r="L87" s="392"/>
      <c r="M87" s="392"/>
      <c r="N87" s="363"/>
      <c r="O87" s="363"/>
      <c r="P87" s="9"/>
      <c r="Q87" s="9"/>
      <c r="R87" s="9">
        <v>1991</v>
      </c>
      <c r="S87" s="9"/>
      <c r="T87" s="9"/>
      <c r="U87" s="5"/>
      <c r="V87" s="9"/>
      <c r="W87" s="114"/>
    </row>
    <row r="88" spans="1:30" x14ac:dyDescent="0.15">
      <c r="A88" s="13">
        <v>1992</v>
      </c>
      <c r="B88" s="5"/>
      <c r="C88" s="5"/>
      <c r="D88" s="5"/>
      <c r="E88" s="17"/>
      <c r="F88" s="5"/>
      <c r="G88" s="9">
        <v>1992</v>
      </c>
      <c r="H88" s="392"/>
      <c r="I88" s="392"/>
      <c r="J88" s="392"/>
      <c r="K88" s="392"/>
      <c r="L88" s="392"/>
      <c r="M88" s="392"/>
      <c r="N88" s="363"/>
      <c r="O88" s="363"/>
      <c r="P88" s="9"/>
      <c r="Q88" s="9"/>
      <c r="R88" s="9">
        <v>1992</v>
      </c>
      <c r="S88" s="9"/>
      <c r="T88" s="9"/>
      <c r="U88" s="5"/>
      <c r="V88" s="9"/>
      <c r="W88" s="114"/>
    </row>
    <row r="89" spans="1:30" x14ac:dyDescent="0.15">
      <c r="A89" s="1">
        <v>1993</v>
      </c>
      <c r="B89" s="5">
        <f>(K7*($E7/354))</f>
        <v>43.75</v>
      </c>
      <c r="C89" s="5">
        <f>(L7*($E7/354))</f>
        <v>25</v>
      </c>
      <c r="D89" s="5">
        <f>(M7*($E7/354))</f>
        <v>31.25</v>
      </c>
      <c r="E89" s="23">
        <f>B89+C89+D89</f>
        <v>100</v>
      </c>
      <c r="F89" s="9"/>
      <c r="G89" s="9">
        <v>1993</v>
      </c>
      <c r="H89" s="392">
        <f>(O7/$R7*100*($E7/354))</f>
        <v>43.263473053892213</v>
      </c>
      <c r="I89" s="392"/>
      <c r="J89" s="392">
        <f>(P7/$R7*100*($E7/354))</f>
        <v>25</v>
      </c>
      <c r="K89" s="392"/>
      <c r="L89" s="392">
        <f>(Q7/$R7*100*($E7/354))</f>
        <v>31.736526946107784</v>
      </c>
      <c r="M89" s="392"/>
      <c r="N89" s="392">
        <f>H89+J89+L89</f>
        <v>100</v>
      </c>
      <c r="O89" s="392"/>
      <c r="P89" s="9"/>
      <c r="Q89" s="9"/>
      <c r="R89" s="9">
        <v>1993</v>
      </c>
      <c r="S89" s="5">
        <f>(O7*($E7/354))</f>
        <v>28.9</v>
      </c>
      <c r="T89" s="5">
        <f>(P7*($E7/354))</f>
        <v>16.7</v>
      </c>
      <c r="U89" s="5">
        <f>(Q7*($E7/354))</f>
        <v>21.2</v>
      </c>
      <c r="V89" s="9"/>
      <c r="W89" s="5">
        <f>S89+T89+U89</f>
        <v>66.8</v>
      </c>
      <c r="X89" s="24"/>
      <c r="Y89" s="124" t="s">
        <v>1210</v>
      </c>
      <c r="Z89" s="24"/>
      <c r="AA89" s="24"/>
      <c r="AB89" s="24"/>
    </row>
    <row r="90" spans="1:30" x14ac:dyDescent="0.15">
      <c r="A90" s="1">
        <v>1994</v>
      </c>
      <c r="B90" s="5">
        <f>(K8*($E8/365))+(K9*($E9/365))</f>
        <v>48.510273972602739</v>
      </c>
      <c r="C90" s="5">
        <f>(L8*($E8/365))+(L9*($E9/365))</f>
        <v>20.239726027397261</v>
      </c>
      <c r="D90" s="5">
        <f>(M8*($E8/365))+(M9*($E9/365))</f>
        <v>26.489726027397261</v>
      </c>
      <c r="E90" s="23">
        <f t="shared" ref="E90:E108" si="37">B90+C90+D90</f>
        <v>95.239726027397268</v>
      </c>
      <c r="F90" s="9"/>
      <c r="G90" s="9">
        <v>1994</v>
      </c>
      <c r="H90" s="392">
        <f>(O8/$R8*100*($E8/365))+(O9/$R9*100*($E9/365))</f>
        <v>43.164710517225245</v>
      </c>
      <c r="I90" s="392"/>
      <c r="J90" s="392">
        <f>(P8/$R8*100*($E8/365))+(P9/$R9*100*($E9/365))</f>
        <v>28.352305614508964</v>
      </c>
      <c r="K90" s="392"/>
      <c r="L90" s="392">
        <f>(Q8/$R8*100*($E8/365))+(Q9/$R9*100*($E9/365))</f>
        <v>28.482983868265784</v>
      </c>
      <c r="M90" s="392"/>
      <c r="N90" s="392">
        <f t="shared" ref="N90:N108" si="38">H90+J90+L90</f>
        <v>100</v>
      </c>
      <c r="O90" s="392"/>
      <c r="P90" s="9"/>
      <c r="Q90" s="9"/>
      <c r="R90" s="9">
        <v>1994</v>
      </c>
      <c r="S90" s="5">
        <f>(O8*($E8/365))+(O9*($E9/365))</f>
        <v>25.548767123287668</v>
      </c>
      <c r="T90" s="5">
        <f>(P8*($E8/365))+(P9*($E9/365))</f>
        <v>16.7</v>
      </c>
      <c r="U90" s="5">
        <f>(Q8*($E8/365))+(Q9*($E9/365))</f>
        <v>16.934794520547943</v>
      </c>
      <c r="V90" s="9"/>
      <c r="W90" s="5">
        <f t="shared" ref="W90:W108" si="39">S90+T90+U90</f>
        <v>59.183561643835603</v>
      </c>
    </row>
    <row r="91" spans="1:30" x14ac:dyDescent="0.15">
      <c r="A91" s="1">
        <v>1995</v>
      </c>
      <c r="B91" s="5">
        <f>(K10*($E10/365))+(K11*($E11/365))</f>
        <v>50</v>
      </c>
      <c r="C91" s="5">
        <f>(L10*($E10/365))+(L11*($E11/365))</f>
        <v>18.75</v>
      </c>
      <c r="D91" s="5">
        <f>(M10*($E10/365))+(M11*($E11/365))</f>
        <v>25</v>
      </c>
      <c r="E91" s="23">
        <f t="shared" si="37"/>
        <v>93.75</v>
      </c>
      <c r="F91" s="9"/>
      <c r="G91" s="9">
        <v>1995</v>
      </c>
      <c r="H91" s="392">
        <f>(O10/$R10*100*($E10/365))+(O11/$R11*100*($E11/365))</f>
        <v>43.133802816901408</v>
      </c>
      <c r="I91" s="392"/>
      <c r="J91" s="392">
        <f>(P10/$R10*100*($E10/365))+(P11/$R11*100*($E11/365))</f>
        <v>29.401408450704221</v>
      </c>
      <c r="K91" s="392"/>
      <c r="L91" s="392">
        <f>(Q10/$R10*100*($E10/365))+(Q11/$R11*100*($E11/365))</f>
        <v>27.464788732394364</v>
      </c>
      <c r="M91" s="392"/>
      <c r="N91" s="392">
        <f t="shared" si="38"/>
        <v>100</v>
      </c>
      <c r="O91" s="392"/>
      <c r="P91" s="9"/>
      <c r="Q91" s="9"/>
      <c r="R91" s="9">
        <v>1995</v>
      </c>
      <c r="S91" s="5">
        <f>(O10*($E10/365))+(O11*($E11/365))</f>
        <v>24.5</v>
      </c>
      <c r="T91" s="5">
        <f>(P10*($E10/365))+(P11*($E11/365))</f>
        <v>16.7</v>
      </c>
      <c r="U91" s="5">
        <f>(Q10*($E10/365))+(Q11*($E11/365))</f>
        <v>15.6</v>
      </c>
      <c r="V91" s="9"/>
      <c r="W91" s="5">
        <f t="shared" si="39"/>
        <v>56.800000000000004</v>
      </c>
    </row>
    <row r="92" spans="1:30" x14ac:dyDescent="0.15">
      <c r="A92" s="1">
        <v>1996</v>
      </c>
      <c r="B92" s="5">
        <f>(K12*($E12/366))+(K13*($E13/366))</f>
        <v>50</v>
      </c>
      <c r="C92" s="5">
        <f>(L12*($E12/366))+(L13*($E13/366))</f>
        <v>31.859061930783238</v>
      </c>
      <c r="D92" s="5">
        <f>(M12*($E12/366))+(M13*($E13/366))</f>
        <v>2.527322404371585</v>
      </c>
      <c r="E92" s="23">
        <f t="shared" si="37"/>
        <v>84.38638433515483</v>
      </c>
      <c r="F92" s="9"/>
      <c r="G92" s="9">
        <v>1996</v>
      </c>
      <c r="H92" s="392">
        <f>(O12/$R12*100*($E12/366))+(O13/$R13*100*($E13/366))</f>
        <v>57.814948340368481</v>
      </c>
      <c r="I92" s="392"/>
      <c r="J92" s="392">
        <f>(P12/$R12*100*($E12/366))+(P13/$R13*100*($E13/366))</f>
        <v>39.408556623843005</v>
      </c>
      <c r="K92" s="392"/>
      <c r="L92" s="392">
        <f>(Q12/$R12*100*($E12/366))+(Q13/$R13*100*($E13/366))</f>
        <v>2.7764950357885012</v>
      </c>
      <c r="M92" s="392"/>
      <c r="N92" s="392">
        <f t="shared" si="38"/>
        <v>99.999999999999986</v>
      </c>
      <c r="O92" s="392"/>
      <c r="P92" s="9"/>
      <c r="Q92" s="9"/>
      <c r="R92" s="9">
        <v>1996</v>
      </c>
      <c r="S92" s="5">
        <f>(O12*($E12/366))+(O13*($E13/366))</f>
        <v>24.5</v>
      </c>
      <c r="T92" s="5">
        <f>(P12*($E12/366))+(P13*($E13/366))</f>
        <v>16.7</v>
      </c>
      <c r="U92" s="5">
        <f>(Q12*($E12/366))+(Q13*($E13/366))</f>
        <v>1.5770491803278688</v>
      </c>
      <c r="V92" s="9"/>
      <c r="W92" s="5">
        <f t="shared" si="39"/>
        <v>42.777049180327872</v>
      </c>
    </row>
    <row r="93" spans="1:30" x14ac:dyDescent="0.15">
      <c r="A93" s="1">
        <v>1997</v>
      </c>
      <c r="B93" s="5">
        <f>(K14*($E14/365))+(K15*($E15/365))</f>
        <v>43.3381398702235</v>
      </c>
      <c r="C93" s="5">
        <f>(L14*($E14/365))+(L15*($E15/365))</f>
        <v>5.205479452054794</v>
      </c>
      <c r="D93" s="5">
        <f>(M14*($E14/365))+(M15*($E15/365))</f>
        <v>44.412400865176636</v>
      </c>
      <c r="E93" s="23">
        <f t="shared" si="37"/>
        <v>92.956020187454925</v>
      </c>
      <c r="F93" s="9"/>
      <c r="G93" s="9">
        <v>1997</v>
      </c>
      <c r="H93" s="392">
        <f>(O14/$R14*100*($E14/365))+(O15/$R15*100*($E15/365))</f>
        <v>52.329832314710991</v>
      </c>
      <c r="I93" s="392"/>
      <c r="J93" s="392">
        <f>(P14/$R14*100*($E14/365))+(P15/$R15*100*($E15/365))</f>
        <v>6.3299640909695425</v>
      </c>
      <c r="K93" s="392"/>
      <c r="L93" s="392">
        <f>(Q14/$R14*100*($E14/365))+(Q15/$R15*100*($E15/365))</f>
        <v>41.340203594319462</v>
      </c>
      <c r="M93" s="392"/>
      <c r="N93" s="392">
        <f t="shared" si="38"/>
        <v>100</v>
      </c>
      <c r="O93" s="392"/>
      <c r="P93" s="9"/>
      <c r="Q93" s="9"/>
      <c r="R93" s="9">
        <v>1997</v>
      </c>
      <c r="S93" s="5">
        <f>(O14*($E14/365))+(O15*($E15/365))</f>
        <v>27.284657534246573</v>
      </c>
      <c r="T93" s="5">
        <f>(P14*($E14/365))+(P15*($E15/365))</f>
        <v>2.6079452054794521</v>
      </c>
      <c r="U93" s="5">
        <f>(Q14*($E14/365))+(Q15*($E15/365))</f>
        <v>22.53041095890411</v>
      </c>
      <c r="V93" s="9"/>
      <c r="W93" s="5">
        <f t="shared" si="39"/>
        <v>52.423013698630136</v>
      </c>
    </row>
    <row r="94" spans="1:30" x14ac:dyDescent="0.15">
      <c r="A94" s="1">
        <v>1998</v>
      </c>
      <c r="B94" s="5">
        <f>(K16*($E16/365))+(K17*($E17/365))</f>
        <v>42.105263157894733</v>
      </c>
      <c r="C94" s="5">
        <f>(L16*($E16/365))+(L17*($E17/365))</f>
        <v>0</v>
      </c>
      <c r="D94" s="5">
        <f>(M16*($E16/365))+(M17*($E17/365))</f>
        <v>52.631578947368418</v>
      </c>
      <c r="E94" s="23">
        <f t="shared" si="37"/>
        <v>94.73684210526315</v>
      </c>
      <c r="F94" s="9"/>
      <c r="G94" s="9">
        <v>1998</v>
      </c>
      <c r="H94" s="392">
        <f>(O16/$R16*100*($E16/365))+(O17/$R17*100*($E17/365))</f>
        <v>51.009174311926607</v>
      </c>
      <c r="I94" s="392"/>
      <c r="J94" s="392">
        <f>(P16/$R16*100*($E16/365))+(P17/$R17*100*($E17/365))</f>
        <v>0</v>
      </c>
      <c r="K94" s="392"/>
      <c r="L94" s="392">
        <f>(Q16/$R16*100*($E16/365))+(Q17/$R17*100*($E17/365))</f>
        <v>48.990825688073393</v>
      </c>
      <c r="M94" s="392"/>
      <c r="N94" s="392">
        <f t="shared" si="38"/>
        <v>100</v>
      </c>
      <c r="O94" s="392"/>
      <c r="P94" s="9"/>
      <c r="Q94" s="9"/>
      <c r="R94" s="9">
        <v>1998</v>
      </c>
      <c r="S94" s="5">
        <f>(O16*($E16/365))+(O17*($E17/365))</f>
        <v>27.8</v>
      </c>
      <c r="T94" s="5">
        <f>(P16*($E16/365))+(P17*($E17/365))</f>
        <v>0</v>
      </c>
      <c r="U94" s="5">
        <f>(Q16*($E16/365))+(Q17*($E17/365))</f>
        <v>26.7</v>
      </c>
      <c r="V94" s="9"/>
      <c r="W94" s="5">
        <f t="shared" si="39"/>
        <v>54.5</v>
      </c>
    </row>
    <row r="95" spans="1:30" x14ac:dyDescent="0.15">
      <c r="A95" s="1">
        <v>1999</v>
      </c>
      <c r="B95" s="5">
        <f>(K18*($E18/365))+(K19*($E19/365))</f>
        <v>42.105263157894733</v>
      </c>
      <c r="C95" s="5">
        <f>(L18*($E18/365))+(L19*($E19/365))</f>
        <v>0</v>
      </c>
      <c r="D95" s="5">
        <f>(M18*($E18/365))+(M19*($E19/365))</f>
        <v>52.631578947368418</v>
      </c>
      <c r="E95" s="23">
        <f t="shared" si="37"/>
        <v>94.73684210526315</v>
      </c>
      <c r="F95" s="9"/>
      <c r="G95" s="9">
        <v>1999</v>
      </c>
      <c r="H95" s="392">
        <f>(O18/$R18*100*($E18/365))+(O19/$R19*100*($E19/365))</f>
        <v>51.009174311926607</v>
      </c>
      <c r="I95" s="392"/>
      <c r="J95" s="392">
        <f>(P18/$R18*100*($E18/365))+(P19/$R19*100*($E19/365))</f>
        <v>0</v>
      </c>
      <c r="K95" s="392"/>
      <c r="L95" s="392">
        <f>(Q18/$R18*100*($E18/365))+(Q19/$R19*100*($E19/365))</f>
        <v>48.990825688073393</v>
      </c>
      <c r="M95" s="392"/>
      <c r="N95" s="392">
        <f t="shared" si="38"/>
        <v>100</v>
      </c>
      <c r="O95" s="392"/>
      <c r="P95" s="9"/>
      <c r="Q95" s="9"/>
      <c r="R95" s="9">
        <v>1999</v>
      </c>
      <c r="S95" s="5">
        <f>(O18*($E18/365))+(O19*($E19/365))</f>
        <v>27.8</v>
      </c>
      <c r="T95" s="5">
        <f>(P18*($E18/365))+(P19*($E19/365))</f>
        <v>0</v>
      </c>
      <c r="U95" s="5">
        <f>(Q18*($E18/365))+(Q19*($E19/365))</f>
        <v>26.7</v>
      </c>
      <c r="V95" s="9"/>
      <c r="W95" s="5">
        <f t="shared" si="39"/>
        <v>54.5</v>
      </c>
    </row>
    <row r="96" spans="1:30" x14ac:dyDescent="0.15">
      <c r="A96" s="1">
        <v>2000</v>
      </c>
      <c r="B96" s="5">
        <f>(K20*($E20/366))+(K21*($E21/366))+(K22*($E22/366))</f>
        <v>37.784432150772297</v>
      </c>
      <c r="C96" s="5">
        <f>(L20*($E20/366))+(L21*($E21/366))+(L22*($E22/366))</f>
        <v>8.486017357762778</v>
      </c>
      <c r="D96" s="5">
        <f>(M20*($E20/366))+(M21*($E21/366))+(M22*($E22/366))</f>
        <v>40.142787054424872</v>
      </c>
      <c r="E96" s="23">
        <f t="shared" si="37"/>
        <v>86.413236562959952</v>
      </c>
      <c r="F96" s="9"/>
      <c r="G96" s="9">
        <v>2000</v>
      </c>
      <c r="H96" s="392">
        <f>(O20/$R20*100*($E20/366))+(O21/$R21*100*($E21/366))+(O22/$R22*100*($E22/366))</f>
        <v>44.647676342307115</v>
      </c>
      <c r="I96" s="392"/>
      <c r="J96" s="392">
        <f>(P20/$R20*100*($E20/366))+(P21/$R21*100*($E21/366))+(P22/$R22*100*($E22/366))</f>
        <v>10.675409836065572</v>
      </c>
      <c r="K96" s="392"/>
      <c r="L96" s="392">
        <f>(Q20/$R20*100*($E20/366))+(Q21/$R21*100*($E21/366))+(Q22/$R22*100*($E22/366))</f>
        <v>44.676913821627309</v>
      </c>
      <c r="M96" s="392"/>
      <c r="N96" s="392">
        <f t="shared" si="38"/>
        <v>100</v>
      </c>
      <c r="O96" s="392"/>
      <c r="P96" s="9"/>
      <c r="Q96" s="9"/>
      <c r="R96" s="9">
        <v>2000</v>
      </c>
      <c r="S96" s="5">
        <f>(O20*($E20/366))+(O21*($E21/366))+(O22*($E22/366))</f>
        <v>23.865573770491807</v>
      </c>
      <c r="T96" s="5">
        <f>(P20*($E20/366))+(P21*($E21/366))+(P22*($E22/366))</f>
        <v>5.3377049180327862</v>
      </c>
      <c r="U96" s="5">
        <f>(Q20*($E20/366))+(Q21*($E21/366))+(Q22*($E22/366))</f>
        <v>23.613661202185792</v>
      </c>
      <c r="V96" s="9"/>
      <c r="W96" s="5">
        <f t="shared" si="39"/>
        <v>52.816939890710387</v>
      </c>
    </row>
    <row r="97" spans="1:23" x14ac:dyDescent="0.15">
      <c r="A97" s="1">
        <v>2001</v>
      </c>
      <c r="B97" s="5">
        <f>(K23*($E23/365))+(K24*($E24/365))</f>
        <v>62.5</v>
      </c>
      <c r="C97" s="5">
        <f>(L23*($E23/365))+(L24*($E24/365))</f>
        <v>0</v>
      </c>
      <c r="D97" s="5">
        <f>(M23*($E23/365))+(M24*($E24/365))</f>
        <v>37.5</v>
      </c>
      <c r="E97" s="23">
        <f t="shared" si="37"/>
        <v>100</v>
      </c>
      <c r="F97" s="9"/>
      <c r="G97" s="9">
        <v>2001</v>
      </c>
      <c r="H97" s="392">
        <f>(O23/$R23*100*($E23/365))+(O24/$R24*100*($E24/365))</f>
        <v>63</v>
      </c>
      <c r="I97" s="392"/>
      <c r="J97" s="392">
        <f>(P23/$R23*100*($E23/365))+(P24/$R24*100*($E24/365))</f>
        <v>0</v>
      </c>
      <c r="K97" s="392"/>
      <c r="L97" s="392">
        <f>(Q23/$R23*100*($E23/365))+(Q24/$R24*100*($E24/365))</f>
        <v>37</v>
      </c>
      <c r="M97" s="392"/>
      <c r="N97" s="392">
        <f t="shared" si="38"/>
        <v>100</v>
      </c>
      <c r="O97" s="392"/>
      <c r="P97" s="9"/>
      <c r="Q97" s="9"/>
      <c r="R97" s="9">
        <v>2001</v>
      </c>
      <c r="S97" s="5">
        <f>(O23*($E23/365))+(O24*($E24/365))</f>
        <v>37.799999999999997</v>
      </c>
      <c r="T97" s="5">
        <f>(P23*($E23/365))+(P24*($E24/365))</f>
        <v>0</v>
      </c>
      <c r="U97" s="5">
        <f>(Q23*($E23/365))+(Q24*($E24/365))</f>
        <v>22.2</v>
      </c>
      <c r="V97" s="9"/>
      <c r="W97" s="5">
        <f t="shared" si="39"/>
        <v>60</v>
      </c>
    </row>
    <row r="98" spans="1:23" x14ac:dyDescent="0.15">
      <c r="A98" s="1">
        <v>2002</v>
      </c>
      <c r="B98" s="5">
        <f>(K25*($E25/365))+(K26*($E26/365))+(K27*($E27/365))</f>
        <v>56.735495568090251</v>
      </c>
      <c r="C98" s="5">
        <f>(L25*($E25/365))+(L26*($E26/365))+(L27*($E27/365))</f>
        <v>0</v>
      </c>
      <c r="D98" s="5">
        <f>(M25*($E25/365))+(M26*($E26/365))+(M27*($E27/365))</f>
        <v>37.63094278807413</v>
      </c>
      <c r="E98" s="23">
        <f t="shared" si="37"/>
        <v>94.36643835616438</v>
      </c>
      <c r="F98" s="9"/>
      <c r="G98" s="9">
        <v>2002</v>
      </c>
      <c r="H98" s="392">
        <f>(O25/$R25*100*($E25/365))+(O26/$R26*100*($E26/365))+(O27/$R27*100*($E27/365))</f>
        <v>62.84669446098868</v>
      </c>
      <c r="I98" s="392"/>
      <c r="J98" s="392">
        <f>(P25/$R25*100*($E25/365))+(P26/$R26*100*($E26/365))+(P27/$R27*100*($E27/365))</f>
        <v>0</v>
      </c>
      <c r="K98" s="392"/>
      <c r="L98" s="392">
        <f>(Q25/$R25*100*($E25/365))+(Q26/$R26*100*($E26/365))+(Q27/$R27*100*($E27/365))</f>
        <v>37.153305539011313</v>
      </c>
      <c r="M98" s="392"/>
      <c r="N98" s="392">
        <f t="shared" si="38"/>
        <v>100</v>
      </c>
      <c r="O98" s="392"/>
      <c r="P98" s="9"/>
      <c r="Q98" s="9"/>
      <c r="R98" s="9">
        <v>2002</v>
      </c>
      <c r="S98" s="5">
        <f>(O25*($E25/365))+(O26*($E26/365))+(O27*($E27/365))</f>
        <v>37.799999999999997</v>
      </c>
      <c r="T98" s="5">
        <f>(P25*($E25/365))+(P26*($E26/365))+(P27*($E27/365))</f>
        <v>0</v>
      </c>
      <c r="U98" s="5">
        <f>(Q25*($E25/365))+(Q26*($E26/365))+(Q27*($E27/365))</f>
        <v>22.35671232876712</v>
      </c>
      <c r="V98" s="9"/>
      <c r="W98" s="5">
        <f t="shared" si="39"/>
        <v>60.156712328767114</v>
      </c>
    </row>
    <row r="99" spans="1:23" x14ac:dyDescent="0.15">
      <c r="A99" s="1">
        <v>2003</v>
      </c>
      <c r="B99" s="5">
        <f>(K28*($E28/365))+(K29*($E29/365))</f>
        <v>58.82352941176471</v>
      </c>
      <c r="C99" s="5">
        <f>(L28*($E28/365))+(L29*($E29/365))</f>
        <v>0</v>
      </c>
      <c r="D99" s="5">
        <f>(M28*($E28/365))+(M29*($E29/365))</f>
        <v>41.17647058823529</v>
      </c>
      <c r="E99" s="23">
        <f t="shared" si="37"/>
        <v>100</v>
      </c>
      <c r="F99" s="9"/>
      <c r="G99" s="9">
        <v>2003</v>
      </c>
      <c r="H99" s="392">
        <f>(O28/$R28*100*($E28/365))+(O29/$R29*100*($E29/365))</f>
        <v>58.695652173913039</v>
      </c>
      <c r="I99" s="392"/>
      <c r="J99" s="392">
        <f>(P28/$R28*100*($E28/365))+(P29/$R29*100*($E29/365))</f>
        <v>0</v>
      </c>
      <c r="K99" s="392"/>
      <c r="L99" s="392">
        <f>(Q28/$R28*100*($E28/365))+(Q29/$R29*100*($E29/365))</f>
        <v>41.304347826086953</v>
      </c>
      <c r="M99" s="392"/>
      <c r="N99" s="392">
        <f t="shared" si="38"/>
        <v>100</v>
      </c>
      <c r="O99" s="392"/>
      <c r="P99" s="9"/>
      <c r="Q99" s="9"/>
      <c r="R99" s="9">
        <v>2003</v>
      </c>
      <c r="S99" s="5">
        <f>(O28*($E28/365))+(O29*($E29/365))</f>
        <v>37.799999999999997</v>
      </c>
      <c r="T99" s="5">
        <f>(P28*($E28/365))+(P29*($E29/365))</f>
        <v>0</v>
      </c>
      <c r="U99" s="5">
        <f>(Q28*($E28/365))+(Q29*($E29/365))</f>
        <v>26.6</v>
      </c>
      <c r="V99" s="9"/>
      <c r="W99" s="5">
        <f t="shared" si="39"/>
        <v>64.400000000000006</v>
      </c>
    </row>
    <row r="100" spans="1:23" x14ac:dyDescent="0.15">
      <c r="A100" s="1">
        <v>2004</v>
      </c>
      <c r="B100" s="5">
        <f>(K30*($E30/366))+(K31*($E31/366))+(K32*($E32/366))</f>
        <v>68.83638701382192</v>
      </c>
      <c r="C100" s="5">
        <f>(L30*($E30/366))+(L31*($E31/366))+(L32*($E32/366))</f>
        <v>1.8643522982963676</v>
      </c>
      <c r="D100" s="5">
        <f>(M30*($E30/366))+(M31*($E31/366))+(M32*($E32/366))</f>
        <v>29.299260687881709</v>
      </c>
      <c r="E100" s="23">
        <f t="shared" si="37"/>
        <v>100</v>
      </c>
      <c r="F100" s="9"/>
      <c r="G100" s="9">
        <v>2004</v>
      </c>
      <c r="H100" s="392">
        <f>(O30/$R30*100*($E30/366))+(O31/$R31*100*($E31/366))+(O32/$R32*100*($E32/366))</f>
        <v>65.426851424817968</v>
      </c>
      <c r="I100" s="392"/>
      <c r="J100" s="392">
        <f>(P30/$R30*100*($E30/366))+(P31/$R31*100*($E31/366))+(P32/$R32*100*($E32/366))</f>
        <v>1.456525233044037</v>
      </c>
      <c r="K100" s="392"/>
      <c r="L100" s="392">
        <f>(Q30/$R30*100*($E30/366))+(Q31/$R31*100*($E31/366))+(Q32/$R32*100*($E32/366))</f>
        <v>33.116623342137991</v>
      </c>
      <c r="M100" s="392"/>
      <c r="N100" s="392">
        <f t="shared" si="38"/>
        <v>100</v>
      </c>
      <c r="O100" s="392"/>
      <c r="P100" s="9"/>
      <c r="Q100" s="9"/>
      <c r="R100" s="9">
        <v>2004</v>
      </c>
      <c r="S100" s="5">
        <f>(O30*($E30/366))+(O31*($E31/366))+(O32*($E32/366))</f>
        <v>37.356284153005468</v>
      </c>
      <c r="T100" s="5">
        <f>(P30*($E30/366))+(P31*($E31/366))+(P32*($E32/366))</f>
        <v>0.79234972677595628</v>
      </c>
      <c r="U100" s="5">
        <f>(Q30*($E30/366))+(Q31*($E31/366))+(Q32*($E32/366))</f>
        <v>19.256830601092897</v>
      </c>
      <c r="V100" s="9"/>
      <c r="W100" s="5">
        <f t="shared" si="39"/>
        <v>57.405464480874315</v>
      </c>
    </row>
    <row r="101" spans="1:23" x14ac:dyDescent="0.15">
      <c r="A101" s="1">
        <v>2005</v>
      </c>
      <c r="B101" s="5">
        <f>(K33*($E33/365))+(K34*($E34/365))</f>
        <v>47.155519742143433</v>
      </c>
      <c r="C101" s="5">
        <f>(L33*($E33/365))+(L34*($E34/365))</f>
        <v>23.486435670158471</v>
      </c>
      <c r="D101" s="5">
        <f>(M33*($E33/365))+(M34*($E34/365))</f>
        <v>29.358044587698096</v>
      </c>
      <c r="E101" s="23">
        <f t="shared" si="37"/>
        <v>100</v>
      </c>
      <c r="F101" s="9"/>
      <c r="G101" s="9">
        <v>2005</v>
      </c>
      <c r="H101" s="392">
        <f>(O33/$R33*100*($E33/365))+(O34/$R34*100*($E34/365))</f>
        <v>59.191176470588239</v>
      </c>
      <c r="I101" s="392"/>
      <c r="J101" s="392">
        <f>(P33/$R33*100*($E33/365))+(P34/$R34*100*($E34/365))</f>
        <v>18.382352941176467</v>
      </c>
      <c r="K101" s="392"/>
      <c r="L101" s="392">
        <f>(Q33/$R33*100*($E33/365))+(Q34/$R34*100*($E34/365))</f>
        <v>22.42647058823529</v>
      </c>
      <c r="M101" s="392"/>
      <c r="N101" s="392">
        <f t="shared" si="38"/>
        <v>100</v>
      </c>
      <c r="O101" s="392"/>
      <c r="P101" s="9"/>
      <c r="Q101" s="9"/>
      <c r="R101" s="9">
        <v>2005</v>
      </c>
      <c r="S101" s="5">
        <f>(O33*($E33/365))+(O34*($E34/365))</f>
        <v>32.200000000000003</v>
      </c>
      <c r="T101" s="5">
        <f>(P33*($E33/365))+(P34*($E34/365))</f>
        <v>10</v>
      </c>
      <c r="U101" s="5">
        <f>(Q33*($E33/365))+(Q34*($E34/365))</f>
        <v>12.2</v>
      </c>
      <c r="V101" s="9"/>
      <c r="W101" s="5">
        <f t="shared" si="39"/>
        <v>54.400000000000006</v>
      </c>
    </row>
    <row r="102" spans="1:23" x14ac:dyDescent="0.15">
      <c r="A102" s="1">
        <v>2006</v>
      </c>
      <c r="B102" s="5">
        <f>(K35*($E35/365))+(K36*($E36/365))+(K37*($E37/365))</f>
        <v>48.00161160354552</v>
      </c>
      <c r="C102" s="5">
        <f>(L35*($E35/365))+(L36*($E36/365))+(L37*($E37/365))</f>
        <v>22.940281135285161</v>
      </c>
      <c r="D102" s="5">
        <f>(M35*($E35/365))+(M36*($E36/365))+(M37*($E37/365))</f>
        <v>29.058107261169312</v>
      </c>
      <c r="E102" s="23">
        <f t="shared" si="37"/>
        <v>100</v>
      </c>
      <c r="F102" s="9"/>
      <c r="G102" s="9">
        <v>2006</v>
      </c>
      <c r="H102" s="392">
        <f>(O35/$R35*100*($E35/365))+(O36/$R36*100*($E36/365))+(O37/$R37*100*($E37/365))</f>
        <v>59.191176470588246</v>
      </c>
      <c r="I102" s="392"/>
      <c r="J102" s="392">
        <f>(P35/$R35*100*($E35/365))+(P36/$R36*100*($E36/365))+(P37/$R37*100*($E37/365))</f>
        <v>18.382352941176464</v>
      </c>
      <c r="K102" s="392"/>
      <c r="L102" s="392">
        <f>(Q35/$R35*100*($E35/365))+(Q36/$R36*100*($E36/365))+(Q37/$R37*100*($E37/365))</f>
        <v>22.42647058823529</v>
      </c>
      <c r="M102" s="392"/>
      <c r="N102" s="392">
        <f t="shared" si="38"/>
        <v>100</v>
      </c>
      <c r="O102" s="392"/>
      <c r="P102" s="9"/>
      <c r="Q102" s="9"/>
      <c r="R102" s="9">
        <v>2006</v>
      </c>
      <c r="S102" s="5">
        <f>(O35*($E35/365))+(O36*($E36/365))+(O37*($E37/365))</f>
        <v>32.200000000000003</v>
      </c>
      <c r="T102" s="5">
        <f>(P35*($E35/365))+(P36*($E36/365))+(P37*($E37/365))</f>
        <v>10</v>
      </c>
      <c r="U102" s="5">
        <f>(Q35*($E35/365))+(Q36*($E36/365))+(Q37*($E37/365))</f>
        <v>12.2</v>
      </c>
      <c r="V102" s="9"/>
      <c r="W102" s="5">
        <f t="shared" si="39"/>
        <v>54.400000000000006</v>
      </c>
    </row>
    <row r="103" spans="1:23" x14ac:dyDescent="0.15">
      <c r="A103" s="1">
        <v>2007</v>
      </c>
      <c r="B103" s="5">
        <f>(K38*($E38/365))+(K39*($E39/365))</f>
        <v>52.941176470588239</v>
      </c>
      <c r="C103" s="5">
        <f>(L38*($E38/365))+(L39*($E39/365))</f>
        <v>17.647058823529413</v>
      </c>
      <c r="D103" s="5">
        <f>(M38*($E38/365))+(M39*($E39/365))</f>
        <v>29.411764705882355</v>
      </c>
      <c r="E103" s="23">
        <f t="shared" si="37"/>
        <v>100</v>
      </c>
      <c r="F103" s="9"/>
      <c r="G103" s="9">
        <v>2007</v>
      </c>
      <c r="H103" s="392">
        <f>(O38/$R38*100*($E38/365))+(O39/$R39*100*($E39/365))</f>
        <v>59.191176470588239</v>
      </c>
      <c r="I103" s="392"/>
      <c r="J103" s="392">
        <f>(P38/$R38*100*($E38/365))+(P39/$R39*100*($E39/365))</f>
        <v>18.382352941176467</v>
      </c>
      <c r="K103" s="392"/>
      <c r="L103" s="392">
        <f>(Q38/$R38*100*($E38/365))+(Q39/$R39*100*($E39/365))</f>
        <v>22.42647058823529</v>
      </c>
      <c r="M103" s="392"/>
      <c r="N103" s="392">
        <f t="shared" si="38"/>
        <v>100</v>
      </c>
      <c r="O103" s="392"/>
      <c r="P103" s="9"/>
      <c r="Q103" s="9"/>
      <c r="R103" s="9">
        <v>2007</v>
      </c>
      <c r="S103" s="5">
        <f>(O38*($E38/365))+(O39*($E39/365))</f>
        <v>32.200000000000003</v>
      </c>
      <c r="T103" s="5">
        <f>(P38*($E38/365))+(P39*($E39/365))</f>
        <v>10</v>
      </c>
      <c r="U103" s="5">
        <f>(Q38*($E38/365))+(Q39*($E39/365))</f>
        <v>12.2</v>
      </c>
      <c r="V103" s="9"/>
      <c r="W103" s="5">
        <f t="shared" si="39"/>
        <v>54.400000000000006</v>
      </c>
    </row>
    <row r="104" spans="1:23" x14ac:dyDescent="0.15">
      <c r="A104" s="1">
        <v>2008</v>
      </c>
      <c r="B104" s="5">
        <f>(K40*($E40/366))+(K41*($E41/366))</f>
        <v>50.548139877176062</v>
      </c>
      <c r="C104" s="5">
        <f>(L40*($E40/366))+(L41*($E41/366))</f>
        <v>15.670202507232402</v>
      </c>
      <c r="D104" s="5">
        <f>(M40*($E40/366))+(M41*($E41/366))</f>
        <v>33.781657615591534</v>
      </c>
      <c r="E104" s="23">
        <f t="shared" si="37"/>
        <v>100</v>
      </c>
      <c r="F104" s="9"/>
      <c r="G104" s="9">
        <v>2008</v>
      </c>
      <c r="H104" s="392">
        <f>(O40/$R40*100*($E40/366))+(O41/$R41*100*($E41/366))</f>
        <v>55.703530232708722</v>
      </c>
      <c r="I104" s="392"/>
      <c r="J104" s="392">
        <f>(P40/$R40*100*($E40/366))+(P41/$R41*100*($E41/366))</f>
        <v>16.323127611700414</v>
      </c>
      <c r="K104" s="392"/>
      <c r="L104" s="392">
        <f>(Q40/$R40*100*($E40/366))+(Q41/$R41*100*($E41/366))</f>
        <v>27.973342155590856</v>
      </c>
      <c r="M104" s="392"/>
      <c r="N104" s="392">
        <f t="shared" si="38"/>
        <v>99.999999999999986</v>
      </c>
      <c r="O104" s="392"/>
      <c r="P104" s="9"/>
      <c r="Q104" s="9"/>
      <c r="R104" s="9">
        <v>2008</v>
      </c>
      <c r="S104" s="5">
        <f>(O40*($E40/366))+(O41*($E41/366))</f>
        <v>30.34043715846995</v>
      </c>
      <c r="T104" s="5">
        <f>(P40*($E40/366))+(P41*($E41/366))</f>
        <v>8.8797814207650276</v>
      </c>
      <c r="U104" s="5">
        <f>(Q40*($E40/366))+(Q41*($E41/366))</f>
        <v>15.314207650273222</v>
      </c>
      <c r="V104" s="9"/>
      <c r="W104" s="5">
        <f t="shared" si="39"/>
        <v>54.534426229508199</v>
      </c>
    </row>
    <row r="105" spans="1:23" x14ac:dyDescent="0.15">
      <c r="A105" s="1">
        <v>2009</v>
      </c>
      <c r="B105" s="5">
        <f>(K42*($E42/365))+(K43*($E43/365))</f>
        <v>31.578947368421051</v>
      </c>
      <c r="C105" s="5">
        <f>(L42*($E42/365))+(L43*($E43/365))</f>
        <v>0</v>
      </c>
      <c r="D105" s="5">
        <f>(M42*($E42/365))+(M43*($E43/365))</f>
        <v>68.421052631578945</v>
      </c>
      <c r="E105" s="23">
        <f t="shared" si="37"/>
        <v>100</v>
      </c>
      <c r="F105" s="9"/>
      <c r="G105" s="9">
        <v>2009</v>
      </c>
      <c r="H105" s="392">
        <f>(O42/$R42*100*($E42/365))+(O43/$R43*100*($E43/365))</f>
        <v>28.057553956834528</v>
      </c>
      <c r="I105" s="392"/>
      <c r="J105" s="392">
        <f>(P42/$R42*100*($E42/365))+(P43/$R43*100*($E43/365))</f>
        <v>0</v>
      </c>
      <c r="K105" s="392"/>
      <c r="L105" s="392">
        <f>(Q42/$R42*100*($E42/365))+(Q43/$R43*100*($E43/365))</f>
        <v>71.942446043165461</v>
      </c>
      <c r="M105" s="392"/>
      <c r="N105" s="392">
        <f t="shared" si="38"/>
        <v>99.999999999999986</v>
      </c>
      <c r="O105" s="392"/>
      <c r="P105" s="9"/>
      <c r="Q105" s="9"/>
      <c r="R105" s="9">
        <v>2009</v>
      </c>
      <c r="S105" s="5">
        <f>(O42*($E42/365))+(O43*($E43/365))</f>
        <v>15.6</v>
      </c>
      <c r="T105" s="5">
        <f>(P42*($E42/365))+(P43*($E43/365))</f>
        <v>0</v>
      </c>
      <c r="U105" s="5">
        <f>(Q42*($E42/365))+(Q43*($E43/365))</f>
        <v>40</v>
      </c>
      <c r="V105" s="9"/>
      <c r="W105" s="5">
        <f t="shared" si="39"/>
        <v>55.6</v>
      </c>
    </row>
    <row r="106" spans="1:23" x14ac:dyDescent="0.15">
      <c r="A106" s="1">
        <v>2010</v>
      </c>
      <c r="B106" s="5">
        <f>(K44*($E44/365))+(K45*($E45/365))</f>
        <v>31.578947368421051</v>
      </c>
      <c r="C106" s="5">
        <f>(L44*($E44/365))+(L45*($E45/365))</f>
        <v>0</v>
      </c>
      <c r="D106" s="5">
        <f>(M44*($E44/365))+(M45*($E45/365))</f>
        <v>68.421052631578945</v>
      </c>
      <c r="E106" s="23">
        <f t="shared" si="37"/>
        <v>100</v>
      </c>
      <c r="F106" s="9"/>
      <c r="G106" s="9">
        <v>2010</v>
      </c>
      <c r="H106" s="392">
        <f>(O44/$R44*100*($E44/365))+(O45/$R45*100*($E45/365))</f>
        <v>28.057553956834528</v>
      </c>
      <c r="I106" s="392"/>
      <c r="J106" s="392">
        <f>(P44/$R44*100*($E44/365))+(P45/$R45*100*($E45/365))</f>
        <v>0</v>
      </c>
      <c r="K106" s="392"/>
      <c r="L106" s="392">
        <f>(Q44/$R44*100*($E44/365))+(Q45/$R45*100*($E45/365))</f>
        <v>71.942446043165461</v>
      </c>
      <c r="M106" s="392"/>
      <c r="N106" s="392">
        <f t="shared" si="38"/>
        <v>99.999999999999986</v>
      </c>
      <c r="O106" s="392"/>
      <c r="P106" s="9"/>
      <c r="Q106" s="9"/>
      <c r="R106" s="9">
        <v>2010</v>
      </c>
      <c r="S106" s="5">
        <f>(O44*($E44/365))+(O45*($E45/365))</f>
        <v>15.6</v>
      </c>
      <c r="T106" s="5">
        <f>(P44*($E44/365))+(P45*($E45/365))</f>
        <v>0</v>
      </c>
      <c r="U106" s="5">
        <f>(Q44*($E44/365))+(Q45*($E45/365))</f>
        <v>40</v>
      </c>
      <c r="V106" s="9"/>
      <c r="W106" s="5">
        <f t="shared" si="39"/>
        <v>55.6</v>
      </c>
    </row>
    <row r="107" spans="1:23" x14ac:dyDescent="0.15">
      <c r="A107" s="1">
        <v>2011</v>
      </c>
      <c r="B107" s="5">
        <f>(K46*($E46/365))+(K47*($E47/365))+(K48*($E48/365))+(K49*($E49/365))</f>
        <v>20.672640505373021</v>
      </c>
      <c r="C107" s="5">
        <f>(L46*($E46/365))+(L47*($E47/365))+(L48*($E48/365))+(L49*($E49/365))</f>
        <v>0</v>
      </c>
      <c r="D107" s="5">
        <f>(M46*($E46/365))+(M47*($E47/365))+(M48*($E48/365))+(M49*($E49/365))</f>
        <v>79.327359494626975</v>
      </c>
      <c r="E107" s="23">
        <f t="shared" si="37"/>
        <v>100</v>
      </c>
      <c r="F107" s="9"/>
      <c r="G107" s="9">
        <v>2011</v>
      </c>
      <c r="H107" s="392">
        <f>(O46/$R46*100*($E46/365))+(O47/$R47*100*($E47/365))+(O48/$R48*100*($E48/365))+(O49/$R49*100*($E49/365))</f>
        <v>20.53653400279056</v>
      </c>
      <c r="I107" s="392"/>
      <c r="J107" s="392">
        <f>(P46/$R46*100*($E46/365))+(P47/$R47*100*($E47/365))+(P48/$R48*100*($E48/365))+(P49/$R49*100*($E49/365))</f>
        <v>0</v>
      </c>
      <c r="K107" s="392"/>
      <c r="L107" s="392">
        <f>(Q46/$R46*100*($E46/365))+(Q47/$R47*100*($E47/365))+(Q48/$R48*100*($E48/365))+(Q49/$R49*100*($E49/365))</f>
        <v>79.46346599720944</v>
      </c>
      <c r="M107" s="392"/>
      <c r="N107" s="392">
        <f t="shared" si="38"/>
        <v>100</v>
      </c>
      <c r="O107" s="392"/>
      <c r="P107" s="9"/>
      <c r="Q107" s="9"/>
      <c r="R107" s="9">
        <v>2011</v>
      </c>
      <c r="S107" s="5">
        <f>(O46*($E46/365))+(O47*($E47/365))+(O48*($E48/365))+(O49*($E49/365))</f>
        <v>10.832876712328767</v>
      </c>
      <c r="T107" s="5">
        <f>(P46*($E46/365))+(P47*($E47/365))+(P48*($E48/365))+(P49*($E49/365))</f>
        <v>0</v>
      </c>
      <c r="U107" s="5">
        <f>(Q46*($E46/365))+(Q47*($E47/365))+(Q48*($E48/365))+(Q49*($E49/365))</f>
        <v>40</v>
      </c>
      <c r="V107" s="9"/>
      <c r="W107" s="5">
        <f t="shared" si="39"/>
        <v>50.832876712328769</v>
      </c>
    </row>
    <row r="108" spans="1:23" x14ac:dyDescent="0.15">
      <c r="A108" s="1">
        <v>2012</v>
      </c>
      <c r="B108" s="5">
        <f>(K50*($E50/366))+(K51*($E51/366))</f>
        <v>48.74196841409956</v>
      </c>
      <c r="C108" s="5">
        <f>(L50*($E50/366))+(L51*($E51/366))</f>
        <v>13.703236654056326</v>
      </c>
      <c r="D108" s="5">
        <f>(M50*($E50/366))+(M51*($E51/366))</f>
        <v>37.554794931844114</v>
      </c>
      <c r="E108" s="23">
        <f t="shared" si="37"/>
        <v>100</v>
      </c>
      <c r="F108" s="9"/>
      <c r="G108" s="9">
        <v>2012</v>
      </c>
      <c r="H108" s="392">
        <f>(O50/$R50*100*($E50/366))+(O51/$R51*100*($E51/366))</f>
        <v>61.897643231402803</v>
      </c>
      <c r="I108" s="392"/>
      <c r="J108" s="392">
        <f>(P50/$R50*100*($E50/366))+(P51/$R51*100*($E51/366))</f>
        <v>7.0487871997483982</v>
      </c>
      <c r="K108" s="392"/>
      <c r="L108" s="392">
        <f>(Q50/$R50*100*($E50/366))+(Q51/$R51*100*($E51/366))</f>
        <v>31.0535695688488</v>
      </c>
      <c r="M108" s="392"/>
      <c r="N108" s="392">
        <f t="shared" si="38"/>
        <v>100</v>
      </c>
      <c r="O108" s="392"/>
      <c r="P108" s="9"/>
      <c r="Q108" s="9"/>
      <c r="R108" s="9">
        <v>2012</v>
      </c>
      <c r="S108" s="5">
        <f>(O50*($E50/366))+(O51*($E51/366))</f>
        <v>34.280874316939887</v>
      </c>
      <c r="T108" s="5">
        <f>(P50*($E50/366))+(P51*($E51/366))</f>
        <v>3.9191256830601096</v>
      </c>
      <c r="U108" s="5">
        <f>(Q50*($E50/366))+(Q51*($E51/366))</f>
        <v>16.307103825136611</v>
      </c>
      <c r="V108" s="9"/>
      <c r="W108" s="5">
        <f t="shared" si="39"/>
        <v>54.50710382513661</v>
      </c>
    </row>
    <row r="109" spans="1:23" s="9" customFormat="1" x14ac:dyDescent="0.15">
      <c r="A109" s="1">
        <v>2013</v>
      </c>
      <c r="B109" s="5">
        <f>(K52*($E52/365))+(K53*($E53/365))+(K54*($E54/365))+(K55*($E55/365))+(K56*($E56/365))</f>
        <v>27.660216495832934</v>
      </c>
      <c r="C109" s="5">
        <f>(L52*($E52/365))+(L53*($E53/365))+(L54*($E54/365))+(L55*($E55/365))+(L56*($E56/365))</f>
        <v>3.6478589903247438</v>
      </c>
      <c r="D109" s="5">
        <f>(M52*($E52/365))+(M53*($E53/365))+(M54*($E54/365))+(M55*($E55/365))+(M56*($E56/365))</f>
        <v>68.691924513842324</v>
      </c>
      <c r="E109" s="23">
        <f>B109+C109+D109</f>
        <v>100</v>
      </c>
      <c r="G109" s="9">
        <v>2013</v>
      </c>
      <c r="H109" s="392">
        <f>(O52/$R52*100*($E52/365))+(O53/$R53*100*($E53/365))+(O54/$R54*100*($E54/365))+(O55/$R55*100*($E55/365))+(O56/$R56*100*($E56/365))</f>
        <v>24.996280008511931</v>
      </c>
      <c r="I109" s="392"/>
      <c r="J109" s="392">
        <f>(P52/$R52*100*($E52/365))+(P53/$R53*100*($E53/365))+(P54/$R54*100*($E54/365))+(P55/$R55*100*($E55/365))+(P56/$R56*100*($E56/365))</f>
        <v>1.8853432697800578</v>
      </c>
      <c r="K109" s="392"/>
      <c r="L109" s="392">
        <f>(Q52/$R52*100*($E52/365))+(Q53/$R53*100*($E53/365))+(Q54/$R54*100*($E54/365))+(Q55/$R55*100*($E55/365))+(Q56/$R56*100*($E56/365))</f>
        <v>73.118376721708017</v>
      </c>
      <c r="M109" s="392"/>
      <c r="N109" s="392">
        <f>H109+J109+L109</f>
        <v>100</v>
      </c>
      <c r="O109" s="392"/>
      <c r="R109" s="9">
        <v>2013</v>
      </c>
      <c r="S109" s="5">
        <f>(O52*($E52/365))+(O53*($E53/365))+(O54*($E54/365))+(O55*($E55/365))+(O56*($E56/365))</f>
        <v>13.064931506849314</v>
      </c>
      <c r="T109" s="5">
        <f>(P52*($E52/365))+(P53*($E53/365))+(P54*($E54/365))+(P55*($E55/365))+(P56*($E56/365))</f>
        <v>0.94027397260273982</v>
      </c>
      <c r="U109" s="5">
        <f>(Q52*($E52/365))+(Q53*($E53/365))+(Q54*($E54/365))+(Q55*($E55/365))+(Q56*($E56/365))</f>
        <v>39.583835616438357</v>
      </c>
      <c r="W109" s="5">
        <f>S109+T109+U109</f>
        <v>53.589041095890408</v>
      </c>
    </row>
    <row r="110" spans="1:23" s="9" customFormat="1" x14ac:dyDescent="0.15">
      <c r="A110" s="1">
        <v>2014</v>
      </c>
      <c r="B110" s="5">
        <f>(K57*($E57/365))+(K58*($E58/365))+(K59*($E59/365))</f>
        <v>40.104134382941794</v>
      </c>
      <c r="C110" s="5">
        <f>(L57*($E57/365))+(L58*($E58/365))+(L59*($E59/365))</f>
        <v>0</v>
      </c>
      <c r="D110" s="5">
        <f>(M57*($E57/365))+(M58*($E58/365))+(M59*($E59/365))</f>
        <v>59.895865617058199</v>
      </c>
      <c r="E110" s="23">
        <f>B110+C110+D110</f>
        <v>100</v>
      </c>
      <c r="G110" s="9">
        <v>2014</v>
      </c>
      <c r="H110" s="392">
        <f>(O57/$R57*100*($E57/365))+(O58/$R58*100*($E58/365))+(O59/$R59*100*($E59/365))</f>
        <v>34.313649710728903</v>
      </c>
      <c r="I110" s="392"/>
      <c r="J110" s="392">
        <f>(P57/$R57*100*($E57/365))+(P58/$R58*100*($E58/365))+(P59/$R59*100*($E59/365))</f>
        <v>0</v>
      </c>
      <c r="K110" s="392"/>
      <c r="L110" s="392">
        <f>(Q57/$R57*100*($E57/365))+(Q58/$R58*100*($E58/365))+(Q59/$R59*100*($E59/365))</f>
        <v>65.68635028927109</v>
      </c>
      <c r="M110" s="392"/>
      <c r="N110" s="392">
        <f>H110+J110+L110</f>
        <v>100</v>
      </c>
      <c r="O110" s="392"/>
      <c r="R110" s="9">
        <v>2014</v>
      </c>
      <c r="S110" s="5">
        <f>(O57*($E57/365))+(O58*($E58/365))+(O59*($E59/365))</f>
        <v>19.13095890410959</v>
      </c>
      <c r="T110" s="5">
        <f>(P57*($E57/365))+(P58*($E58/365))+(P59*($E59/365))</f>
        <v>0</v>
      </c>
      <c r="U110" s="5">
        <f>(Q57*($E57/365))+(Q58*($E58/365))+(Q59*($E59/365))</f>
        <v>35.70356164383562</v>
      </c>
      <c r="W110" s="5">
        <f>S110+T110+U110</f>
        <v>54.83452054794521</v>
      </c>
    </row>
    <row r="111" spans="1:23" s="9" customFormat="1" x14ac:dyDescent="0.15">
      <c r="A111" s="1">
        <v>2015</v>
      </c>
      <c r="B111" s="5">
        <f>(K60*($E60/365))+(K61*($E61/365))</f>
        <v>58.82352941176471</v>
      </c>
      <c r="C111" s="5">
        <f>(L60*($E60/365))+(L61*($E61/365))</f>
        <v>0</v>
      </c>
      <c r="D111" s="5">
        <f>(M60*($E60/365))+(M61*($E61/365))</f>
        <v>41.17647058823529</v>
      </c>
      <c r="E111" s="23">
        <f>B111+C111+D111</f>
        <v>100</v>
      </c>
      <c r="G111" s="9">
        <v>2015</v>
      </c>
      <c r="H111" s="392">
        <f>(O60/$R60*100*($E60/365))+(O61/$R61*100*($E61/365))</f>
        <v>69.20415224913495</v>
      </c>
      <c r="I111" s="392"/>
      <c r="J111" s="392">
        <f>(P60/$R60*100*($E60/365))+(P61/$R61*100*($E61/365))</f>
        <v>0</v>
      </c>
      <c r="K111" s="392"/>
      <c r="L111" s="392">
        <f>(Q60/$R60*100*($E60/365))+(Q61/$R61*100*($E61/365))</f>
        <v>30.79584775086505</v>
      </c>
      <c r="M111" s="392"/>
      <c r="N111" s="392">
        <f>H111+J111+L111</f>
        <v>100</v>
      </c>
      <c r="O111" s="392"/>
      <c r="R111" s="9">
        <v>2015</v>
      </c>
      <c r="S111" s="5">
        <f>(O60*($E60/365))+(O61*($E61/365))</f>
        <v>40</v>
      </c>
      <c r="T111" s="5">
        <f>(P60*($E60/365))+(P61*($E61/365))</f>
        <v>0</v>
      </c>
      <c r="U111" s="5">
        <f>(Q60*($E60/365))+(Q61*($E61/365))</f>
        <v>17.8</v>
      </c>
      <c r="W111" s="5">
        <f>S111+T111+U111</f>
        <v>57.8</v>
      </c>
    </row>
    <row r="112" spans="1:23" s="9" customFormat="1" x14ac:dyDescent="0.15">
      <c r="A112" s="1">
        <v>2016</v>
      </c>
      <c r="B112" s="5">
        <f>(K62*($E62/366))+(K63*($E63/366))</f>
        <v>58.82352941176471</v>
      </c>
      <c r="C112" s="5">
        <f>(L62*($E62/366))+(L63*($E63/366))</f>
        <v>0</v>
      </c>
      <c r="D112" s="5">
        <f>(M62*($E62/366))+(M63*($E63/366))</f>
        <v>41.17647058823529</v>
      </c>
      <c r="E112" s="23">
        <f t="shared" ref="E112" si="40">B112+C112+D112</f>
        <v>100</v>
      </c>
      <c r="G112" s="9">
        <v>2016</v>
      </c>
      <c r="H112" s="392">
        <f>(O62/$R62*100*($E62/366))+(O63/$R63*100*($E63/366))</f>
        <v>69.20415224913495</v>
      </c>
      <c r="I112" s="392"/>
      <c r="J112" s="392">
        <f>(P62/$R62*100*($E62/366))+(P63/$R63*100*($E63/366))</f>
        <v>0</v>
      </c>
      <c r="K112" s="392"/>
      <c r="L112" s="392">
        <f>(Q62/$R62*100*($E62/366))+(Q63/$R63*100*($E63/366))</f>
        <v>30.79584775086505</v>
      </c>
      <c r="M112" s="392"/>
      <c r="N112" s="392">
        <f t="shared" ref="N112" si="41">H112+J112+L112</f>
        <v>100</v>
      </c>
      <c r="O112" s="392"/>
      <c r="R112" s="9">
        <v>2016</v>
      </c>
      <c r="S112" s="5">
        <f>(O62*($E62/366))+(O63*($E63/366))</f>
        <v>40</v>
      </c>
      <c r="T112" s="5">
        <f>(P62*($E62/366))+(P63*($E63/366))</f>
        <v>0</v>
      </c>
      <c r="U112" s="5">
        <f>(Q62*($E62/366))+(Q63*($E63/366))</f>
        <v>17.8</v>
      </c>
      <c r="W112" s="5">
        <f t="shared" ref="W112" si="42">S112+T112+U112</f>
        <v>57.8</v>
      </c>
    </row>
    <row r="113" spans="1:23" x14ac:dyDescent="0.15">
      <c r="A113" s="1">
        <v>2017</v>
      </c>
      <c r="B113" s="5">
        <f>(K64*($E64/365))+(K65*($E65/365))</f>
        <v>58.82352941176471</v>
      </c>
      <c r="C113" s="5">
        <f>(L64*($E64/365))+(L65*($E65/365))</f>
        <v>0</v>
      </c>
      <c r="D113" s="5">
        <f>(M64*($E64/365))+(M65*($E65/365))</f>
        <v>41.17647058823529</v>
      </c>
      <c r="E113" s="23">
        <f t="shared" ref="E113" si="43">B113+C113+D113</f>
        <v>100</v>
      </c>
      <c r="F113" s="9"/>
      <c r="G113" s="9">
        <v>2017</v>
      </c>
      <c r="H113" s="392">
        <f>(O64/$R64*100*($E64/365))+(O65/$R65*100*($E65/365))</f>
        <v>69.20415224913495</v>
      </c>
      <c r="I113" s="392"/>
      <c r="J113" s="392">
        <f>(P64/$R64*100*($E64/365))+(P65/$R65*100*($E65/365))</f>
        <v>0</v>
      </c>
      <c r="K113" s="392"/>
      <c r="L113" s="392">
        <f>(Q64/$R64*100*($E64/365))+(Q65/$R65*100*($E65/365))</f>
        <v>30.79584775086505</v>
      </c>
      <c r="M113" s="392"/>
      <c r="N113" s="392">
        <f t="shared" ref="N113" si="44">H113+J113+L113</f>
        <v>100</v>
      </c>
      <c r="O113" s="392"/>
      <c r="P113" s="9"/>
      <c r="Q113" s="9"/>
      <c r="R113" s="9">
        <v>2017</v>
      </c>
      <c r="S113" s="5">
        <f>(O64*($E64/365))+(O65*($E65/365))</f>
        <v>40</v>
      </c>
      <c r="T113" s="5">
        <f>(P64*($E64/365))+(P65*($E65/365))</f>
        <v>0</v>
      </c>
      <c r="U113" s="5">
        <f>(Q64*($E64/365))+(Q65*($E65/365))</f>
        <v>17.8</v>
      </c>
      <c r="V113" s="9"/>
      <c r="W113" s="5">
        <f t="shared" ref="W113" si="45">S113+T113+U113</f>
        <v>57.8</v>
      </c>
    </row>
    <row r="114" spans="1:23" x14ac:dyDescent="0.15">
      <c r="A114" s="1">
        <v>2018</v>
      </c>
      <c r="B114" s="5">
        <f>(K66*($E66/365))+(K67*($E67/365))</f>
        <v>53.505237711522966</v>
      </c>
      <c r="C114" s="5">
        <f>(L66*($E66/365))+(L67*($E67/365))</f>
        <v>8.8638195004029008</v>
      </c>
      <c r="D114" s="5">
        <f>(M66*($E66/365))+(M67*($E67/365))</f>
        <v>37.630942788074137</v>
      </c>
      <c r="E114" s="23">
        <f t="shared" ref="E114" si="46">B114+C114+D114</f>
        <v>100</v>
      </c>
      <c r="F114" s="9"/>
      <c r="G114" s="9">
        <v>2018</v>
      </c>
      <c r="H114" s="392">
        <f>(O66/$R66*100*($E66/365))+(O67/$R67*100*($E67/365))</f>
        <v>58.877137144764482</v>
      </c>
      <c r="I114" s="392"/>
      <c r="J114" s="392">
        <f>(P66/$R66*100*($E66/365))+(P67/$R67*100*($E67/365))</f>
        <v>9.078924743508912</v>
      </c>
      <c r="K114" s="392"/>
      <c r="L114" s="392">
        <f>(Q66/$R66*100*($E66/365))+(Q67/$R67*100*($E67/365))</f>
        <v>32.043938111726604</v>
      </c>
      <c r="M114" s="392"/>
      <c r="N114" s="392">
        <f t="shared" ref="N114" si="47">H114+J114+L114</f>
        <v>100</v>
      </c>
      <c r="O114" s="392"/>
      <c r="P114" s="9"/>
      <c r="Q114" s="9"/>
      <c r="R114" s="9">
        <v>2018</v>
      </c>
      <c r="S114" s="5">
        <f>(O66*($E66/365))+(O67*($E67/365))</f>
        <v>32.978082191780821</v>
      </c>
      <c r="T114" s="5">
        <f>(P66*($E66/365))+(P67*($E67/365))</f>
        <v>4.3397260273972602</v>
      </c>
      <c r="U114" s="5">
        <f>(Q66*($E66/365))+(Q67*($E67/365))</f>
        <v>17.468493150684932</v>
      </c>
      <c r="V114" s="9"/>
      <c r="W114" s="5">
        <f t="shared" ref="W114" si="48">S114+T114+U114</f>
        <v>54.786301369863011</v>
      </c>
    </row>
    <row r="115" spans="1:23" x14ac:dyDescent="0.15">
      <c r="A115" s="1">
        <v>2019</v>
      </c>
      <c r="B115" s="5">
        <f>(K68*($E68/365))+(K69*($E69/365))</f>
        <v>41.17647058823529</v>
      </c>
      <c r="C115" s="5">
        <f>(L68*($E68/365))+(L69*($E69/365))</f>
        <v>29.411764705882355</v>
      </c>
      <c r="D115" s="5">
        <f>(M68*($E68/365))+(M69*($E69/365))</f>
        <v>29.411764705882355</v>
      </c>
      <c r="E115" s="23">
        <f t="shared" ref="E115:E116" si="49">B115+C115+D115</f>
        <v>100</v>
      </c>
      <c r="F115" s="9"/>
      <c r="G115" s="9">
        <v>2019</v>
      </c>
      <c r="H115" s="392">
        <f>(O68/$R68*100*($E68/365))+(O69/$R69*100*($E69/365))</f>
        <v>34.937238493723846</v>
      </c>
      <c r="I115" s="392"/>
      <c r="J115" s="392">
        <f>(P68/$R68*100*($E68/365))+(P69/$R69*100*($E69/365))</f>
        <v>30.125523012552303</v>
      </c>
      <c r="K115" s="392"/>
      <c r="L115" s="392">
        <f>(Q68/$R68*100*($E68/365))+(Q69/$R69*100*($E69/365))</f>
        <v>34.937238493723846</v>
      </c>
      <c r="M115" s="392"/>
      <c r="N115" s="392">
        <f t="shared" ref="N115" si="50">H115+J115+L115</f>
        <v>100</v>
      </c>
      <c r="O115" s="392"/>
      <c r="P115" s="9"/>
      <c r="Q115" s="9"/>
      <c r="R115" s="9">
        <v>2019</v>
      </c>
      <c r="S115" s="5">
        <f>(O68*($E68/365))+(O69*($E69/365))</f>
        <v>16.7</v>
      </c>
      <c r="T115" s="5">
        <f>(P68*($E68/365))+(P69*($E69/365))</f>
        <v>14.4</v>
      </c>
      <c r="U115" s="5">
        <f>(Q68*($E68/365))+(Q69*($E69/365))</f>
        <v>16.7</v>
      </c>
      <c r="V115" s="9"/>
      <c r="W115" s="5">
        <f t="shared" ref="W115:W116" si="51">S115+T115+U115</f>
        <v>47.8</v>
      </c>
    </row>
    <row r="116" spans="1:23" x14ac:dyDescent="0.15">
      <c r="A116" s="1">
        <v>2020</v>
      </c>
      <c r="B116" s="5">
        <f>(K70*($E70/366))+(K71*($E71/366))+(K72*($E72/366))</f>
        <v>64.971070395371257</v>
      </c>
      <c r="C116" s="5">
        <f>(L70*($E70/366))+(L71*($E71/366))+(L72*($E72/366))</f>
        <v>20.003616200578595</v>
      </c>
      <c r="D116" s="5">
        <f>(M70*($E70/366))+(M71*($E71/366))+(M72*($E72/366))</f>
        <v>15.025313404050143</v>
      </c>
      <c r="E116" s="23">
        <f t="shared" si="49"/>
        <v>99.999999999999986</v>
      </c>
      <c r="G116" s="9">
        <v>2020</v>
      </c>
      <c r="H116" s="392">
        <f>(O70/$R70*100*($E70/366))+(O71/$R71*100*($E71/366))+(O72/$R72*100*($E72/366))</f>
        <v>67.043587654810054</v>
      </c>
      <c r="I116" s="392"/>
      <c r="J116" s="392">
        <f>(P70/$R70*100*($E70/366))+(P71/$R71*100*($E71/366))+(P72/$R72*100*($E72/366))</f>
        <v>17.659616610316053</v>
      </c>
      <c r="K116" s="392"/>
      <c r="L116" s="392">
        <f>(Q70/$R70*100*($E70/366))+(Q71/$R71*100*($E71/366))+(Q72/$R72*100*($E72/366))</f>
        <v>15.2967957348739</v>
      </c>
      <c r="M116" s="392"/>
      <c r="N116" s="392">
        <f t="shared" ref="N116" si="52">H116+J116+L116</f>
        <v>100</v>
      </c>
      <c r="O116" s="392"/>
      <c r="R116" s="9">
        <v>2020</v>
      </c>
      <c r="S116" s="5">
        <f>(O70*($E70/366))+(O71*($E71/366))+(O72*($E72/366))</f>
        <v>35.416393442622947</v>
      </c>
      <c r="T116" s="5">
        <f>(P70*($E70/366))+(P71*($E71/366))+(P72*($E72/366))</f>
        <v>9.0983606557377037</v>
      </c>
      <c r="U116" s="5">
        <f>(Q70*($E70/366))+(Q71*($E71/366))+(Q72*($E72/366))</f>
        <v>7.7836065573770483</v>
      </c>
      <c r="W116" s="5">
        <f t="shared" si="51"/>
        <v>52.298360655737703</v>
      </c>
    </row>
    <row r="117" spans="1:23" x14ac:dyDescent="0.15">
      <c r="A117" s="1">
        <v>2021</v>
      </c>
      <c r="B117" s="5">
        <f>(K73*($E73/365))+(K74*($E74/365))+(K75*($E75/365))+(K76*($E76/365))</f>
        <v>69.435938759065266</v>
      </c>
      <c r="C117" s="5">
        <f>(L73*($E73/365))+(L74*($E74/365))+(L75*($E75/365))+(L76*($E76/365))</f>
        <v>19.916062315337093</v>
      </c>
      <c r="D117" s="5">
        <f>(M73*($E73/365))+(M74*($E74/365))+(M75*($E75/365))+(M76*($E76/365))</f>
        <v>1.4081385979049155</v>
      </c>
      <c r="E117" s="23">
        <f t="shared" ref="E117" si="53">B117+C117+D117</f>
        <v>90.760139672307261</v>
      </c>
      <c r="G117" s="9">
        <v>2021</v>
      </c>
      <c r="H117" s="392">
        <f>(O73/$R73*100*($E73/365))+(O74/$R74*100*($E74/365))+(O75/$R75*100*($E75/365))+(O76/$R76*100*($E76/365))</f>
        <v>79.649950462573486</v>
      </c>
      <c r="I117" s="392"/>
      <c r="J117" s="392">
        <f>(P73/$R73*100*($E73/365))+(P74/$R74*100*($E74/365))+(P75/$R75*100*($E75/365))+(P76/$R76*100*($E76/365))</f>
        <v>17.936627958236141</v>
      </c>
      <c r="K117" s="392"/>
      <c r="L117" s="392">
        <f>(Q73/$R73*100*($E73/365))+(Q74/$R74*100*($E74/365))+(Q75/$R75*100*($E75/365))+(Q76/$R76*100*($E76/365))</f>
        <v>2.4134215791903952</v>
      </c>
      <c r="M117" s="392"/>
      <c r="N117" s="392">
        <f t="shared" ref="N117" si="54">H117+J117+L117</f>
        <v>100.00000000000003</v>
      </c>
      <c r="O117" s="392"/>
      <c r="R117" s="9">
        <v>2021</v>
      </c>
      <c r="S117" s="5">
        <f>(O73*($E73/365))+(O74*($E74/365))+(O75*($E75/365))+(O76*($E76/365))</f>
        <v>34.918904109589036</v>
      </c>
      <c r="T117" s="5">
        <f>(P73*($E73/365))+(P74*($E74/365))+(P75*($E75/365))+(P76*($E76/365))</f>
        <v>7.8</v>
      </c>
      <c r="U117" s="5">
        <f>(Q73*($E73/365))+(Q74*($E74/365))+(Q75*($E75/365))+(Q76*($E76/365))</f>
        <v>1.2887671232876712</v>
      </c>
      <c r="W117" s="5">
        <f t="shared" ref="W117" si="55">S117+T117+U117</f>
        <v>44.007671232876703</v>
      </c>
    </row>
    <row r="118" spans="1:23" x14ac:dyDescent="0.15">
      <c r="A118" s="1">
        <v>2022</v>
      </c>
      <c r="B118" s="5">
        <f>(K77*($E77/365))+(K78*($E78/365))+(K79*($E79/365))</f>
        <v>27.579908675799086</v>
      </c>
      <c r="C118" s="5">
        <f>(L77*($E77/365))+(L78*($E78/365))+(L79*($E79/365))</f>
        <v>9.1933028919330297</v>
      </c>
      <c r="D118" s="5">
        <f>(M77*($E77/365))+(M78*($E78/365))+(M79*($E79/365))</f>
        <v>58.630136986301373</v>
      </c>
      <c r="E118" s="23">
        <f t="shared" ref="E118" si="56">B118+C118+D118</f>
        <v>95.403348554033499</v>
      </c>
      <c r="G118" s="9">
        <v>2022</v>
      </c>
      <c r="H118" s="392">
        <f>(O77/$R77*100*($E77/365))+(O78/$R78*100*($E78/365))+(O79/$R79*100*($E79/365))</f>
        <v>33.537704481978992</v>
      </c>
      <c r="I118" s="392"/>
      <c r="J118" s="392">
        <f>(P77/$R77*100*($E77/365))+(P78/$R78*100*($E78/365))+(P79/$R79*100*($E79/365))</f>
        <v>7.8321585317196449</v>
      </c>
      <c r="K118" s="392"/>
      <c r="L118" s="392">
        <f>(Q77/$R77*100*($E77/365))+(Q78/$R78*100*($E78/365))+(Q79/$R79*100*($E79/365))</f>
        <v>58.630136986301373</v>
      </c>
      <c r="M118" s="392"/>
      <c r="N118" s="392">
        <f t="shared" ref="N118" si="57">H118+J118+L118</f>
        <v>100</v>
      </c>
      <c r="O118" s="392"/>
      <c r="R118" s="9">
        <v>2022</v>
      </c>
      <c r="S118" s="5">
        <f>(O77*($E77/365))+(O78*($E78/365))+(O79*($E79/365))</f>
        <v>13.817534246575343</v>
      </c>
      <c r="T118" s="5">
        <f>(P77*($E77/365))+(P78*($E78/365))+(P79*($E79/365))</f>
        <v>3.2268493150684932</v>
      </c>
      <c r="U118" s="5">
        <f>(Q77*($E77/365))+(Q78*($E78/365))+(Q79*($E79/365))</f>
        <v>34.533150684931506</v>
      </c>
      <c r="W118" s="5">
        <f t="shared" ref="W118" si="58">S118+T118+U118</f>
        <v>51.57753424657534</v>
      </c>
    </row>
  </sheetData>
  <mergeCells count="232">
    <mergeCell ref="N100:O100"/>
    <mergeCell ref="N101:O101"/>
    <mergeCell ref="N98:O98"/>
    <mergeCell ref="N108:O108"/>
    <mergeCell ref="H100:I100"/>
    <mergeCell ref="H101:I101"/>
    <mergeCell ref="H102:I102"/>
    <mergeCell ref="H103:I103"/>
    <mergeCell ref="H104:I104"/>
    <mergeCell ref="H105:I105"/>
    <mergeCell ref="H106:I106"/>
    <mergeCell ref="L108:M108"/>
    <mergeCell ref="L102:M102"/>
    <mergeCell ref="L103:M103"/>
    <mergeCell ref="L104:M104"/>
    <mergeCell ref="L105:M105"/>
    <mergeCell ref="L106:M106"/>
    <mergeCell ref="N104:O104"/>
    <mergeCell ref="N105:O105"/>
    <mergeCell ref="N102:O102"/>
    <mergeCell ref="N103:O103"/>
    <mergeCell ref="J100:K100"/>
    <mergeCell ref="J101:K101"/>
    <mergeCell ref="J106:K106"/>
    <mergeCell ref="N89:O89"/>
    <mergeCell ref="L89:M89"/>
    <mergeCell ref="H86:I86"/>
    <mergeCell ref="N99:O99"/>
    <mergeCell ref="N96:O96"/>
    <mergeCell ref="N97:O97"/>
    <mergeCell ref="L95:M95"/>
    <mergeCell ref="J89:K89"/>
    <mergeCell ref="J90:K90"/>
    <mergeCell ref="J91:K91"/>
    <mergeCell ref="J92:K92"/>
    <mergeCell ref="J93:K93"/>
    <mergeCell ref="J94:K94"/>
    <mergeCell ref="J95:K95"/>
    <mergeCell ref="J96:K96"/>
    <mergeCell ref="H96:I96"/>
    <mergeCell ref="H97:I97"/>
    <mergeCell ref="H98:I98"/>
    <mergeCell ref="H99:I99"/>
    <mergeCell ref="H89:I89"/>
    <mergeCell ref="N93:O93"/>
    <mergeCell ref="N90:O90"/>
    <mergeCell ref="N91:O91"/>
    <mergeCell ref="AT4:AW4"/>
    <mergeCell ref="AX4:BA4"/>
    <mergeCell ref="H109:I109"/>
    <mergeCell ref="J109:K109"/>
    <mergeCell ref="L109:M109"/>
    <mergeCell ref="N109:O109"/>
    <mergeCell ref="AP4:AS4"/>
    <mergeCell ref="S4:S5"/>
    <mergeCell ref="T4:T5"/>
    <mergeCell ref="U4:U5"/>
    <mergeCell ref="V4:Y4"/>
    <mergeCell ref="AH4:AK4"/>
    <mergeCell ref="AD4:AG4"/>
    <mergeCell ref="AL4:AO4"/>
    <mergeCell ref="Z4:AC4"/>
    <mergeCell ref="N94:O94"/>
    <mergeCell ref="N95:O95"/>
    <mergeCell ref="N92:O92"/>
    <mergeCell ref="N106:O106"/>
    <mergeCell ref="N107:O107"/>
    <mergeCell ref="H94:I94"/>
    <mergeCell ref="H95:I95"/>
    <mergeCell ref="J108:K108"/>
    <mergeCell ref="J107:K107"/>
    <mergeCell ref="G3:M3"/>
    <mergeCell ref="O3:Q3"/>
    <mergeCell ref="N86:O86"/>
    <mergeCell ref="H88:I88"/>
    <mergeCell ref="J86:K86"/>
    <mergeCell ref="J87:K87"/>
    <mergeCell ref="J88:K88"/>
    <mergeCell ref="L86:M86"/>
    <mergeCell ref="N87:O87"/>
    <mergeCell ref="N88:O88"/>
    <mergeCell ref="O4:R4"/>
    <mergeCell ref="H85:I85"/>
    <mergeCell ref="J85:K85"/>
    <mergeCell ref="L85:M85"/>
    <mergeCell ref="N85:O85"/>
    <mergeCell ref="H87:I87"/>
    <mergeCell ref="L88:M88"/>
    <mergeCell ref="R83:W83"/>
    <mergeCell ref="A4:A5"/>
    <mergeCell ref="B4:B5"/>
    <mergeCell ref="C4:D5"/>
    <mergeCell ref="E4:E5"/>
    <mergeCell ref="F4:F5"/>
    <mergeCell ref="L87:M87"/>
    <mergeCell ref="K4:N4"/>
    <mergeCell ref="G4:J4"/>
    <mergeCell ref="C11:D11"/>
    <mergeCell ref="C12:D12"/>
    <mergeCell ref="C13:D13"/>
    <mergeCell ref="C6:D6"/>
    <mergeCell ref="C7:D7"/>
    <mergeCell ref="C8:D8"/>
    <mergeCell ref="C9:D9"/>
    <mergeCell ref="C10:D10"/>
    <mergeCell ref="C14:D14"/>
    <mergeCell ref="C15:D15"/>
    <mergeCell ref="C16:D16"/>
    <mergeCell ref="C17:D17"/>
    <mergeCell ref="C18:D18"/>
    <mergeCell ref="C21:D21"/>
    <mergeCell ref="C23:D23"/>
    <mergeCell ref="C24:D24"/>
    <mergeCell ref="C47:D47"/>
    <mergeCell ref="C19:D19"/>
    <mergeCell ref="C20:D20"/>
    <mergeCell ref="C35:D35"/>
    <mergeCell ref="C38:D38"/>
    <mergeCell ref="C39:D39"/>
    <mergeCell ref="C40:D40"/>
    <mergeCell ref="C41:D41"/>
    <mergeCell ref="C29:D29"/>
    <mergeCell ref="C30:D30"/>
    <mergeCell ref="C31:D31"/>
    <mergeCell ref="C33:D33"/>
    <mergeCell ref="C34:D34"/>
    <mergeCell ref="C26:D26"/>
    <mergeCell ref="C27:D27"/>
    <mergeCell ref="C28:D28"/>
    <mergeCell ref="C22:D22"/>
    <mergeCell ref="C32:D32"/>
    <mergeCell ref="C37:D37"/>
    <mergeCell ref="C25:D25"/>
    <mergeCell ref="C36:D36"/>
    <mergeCell ref="C60:D60"/>
    <mergeCell ref="C61:D61"/>
    <mergeCell ref="C66:D66"/>
    <mergeCell ref="C67:D67"/>
    <mergeCell ref="C68:D68"/>
    <mergeCell ref="C70:D70"/>
    <mergeCell ref="C71:D71"/>
    <mergeCell ref="C42:D42"/>
    <mergeCell ref="C43:D43"/>
    <mergeCell ref="C44:D44"/>
    <mergeCell ref="C45:D45"/>
    <mergeCell ref="C48:D48"/>
    <mergeCell ref="C49:D49"/>
    <mergeCell ref="C50:D50"/>
    <mergeCell ref="C51:D51"/>
    <mergeCell ref="C59:D59"/>
    <mergeCell ref="C55:D55"/>
    <mergeCell ref="C56:D56"/>
    <mergeCell ref="C52:D52"/>
    <mergeCell ref="C53:D53"/>
    <mergeCell ref="C54:D54"/>
    <mergeCell ref="C57:D57"/>
    <mergeCell ref="C58:D58"/>
    <mergeCell ref="C46:D46"/>
    <mergeCell ref="C62:D62"/>
    <mergeCell ref="C63:D63"/>
    <mergeCell ref="C64:D64"/>
    <mergeCell ref="C65:D65"/>
    <mergeCell ref="C73:D73"/>
    <mergeCell ref="C74:D74"/>
    <mergeCell ref="C76:D76"/>
    <mergeCell ref="H90:I90"/>
    <mergeCell ref="H91:I91"/>
    <mergeCell ref="C75:D75"/>
    <mergeCell ref="C77:D77"/>
    <mergeCell ref="C78:D78"/>
    <mergeCell ref="C79:D79"/>
    <mergeCell ref="C72:D72"/>
    <mergeCell ref="H107:I107"/>
    <mergeCell ref="H108:I108"/>
    <mergeCell ref="C69:D69"/>
    <mergeCell ref="L107:M107"/>
    <mergeCell ref="L96:M96"/>
    <mergeCell ref="L90:M90"/>
    <mergeCell ref="L97:M97"/>
    <mergeCell ref="L98:M98"/>
    <mergeCell ref="L99:M99"/>
    <mergeCell ref="L100:M100"/>
    <mergeCell ref="L101:M101"/>
    <mergeCell ref="L91:M91"/>
    <mergeCell ref="L94:M94"/>
    <mergeCell ref="L92:M92"/>
    <mergeCell ref="L93:M93"/>
    <mergeCell ref="J97:K97"/>
    <mergeCell ref="J98:K98"/>
    <mergeCell ref="J99:K99"/>
    <mergeCell ref="J102:K102"/>
    <mergeCell ref="J103:K103"/>
    <mergeCell ref="J104:K104"/>
    <mergeCell ref="H92:I92"/>
    <mergeCell ref="H93:I93"/>
    <mergeCell ref="J105:K105"/>
    <mergeCell ref="N111:O111"/>
    <mergeCell ref="H110:I110"/>
    <mergeCell ref="J110:K110"/>
    <mergeCell ref="L110:M110"/>
    <mergeCell ref="N110:O110"/>
    <mergeCell ref="H111:I111"/>
    <mergeCell ref="J111:K111"/>
    <mergeCell ref="L111:M111"/>
    <mergeCell ref="H112:I112"/>
    <mergeCell ref="J112:K112"/>
    <mergeCell ref="L112:M112"/>
    <mergeCell ref="N112:O112"/>
    <mergeCell ref="H118:I118"/>
    <mergeCell ref="J118:K118"/>
    <mergeCell ref="L118:M118"/>
    <mergeCell ref="N118:O118"/>
    <mergeCell ref="H116:I116"/>
    <mergeCell ref="J116:K116"/>
    <mergeCell ref="L116:M116"/>
    <mergeCell ref="N116:O116"/>
    <mergeCell ref="J113:K113"/>
    <mergeCell ref="H117:I117"/>
    <mergeCell ref="J117:K117"/>
    <mergeCell ref="L117:M117"/>
    <mergeCell ref="N117:O117"/>
    <mergeCell ref="H115:I115"/>
    <mergeCell ref="J115:K115"/>
    <mergeCell ref="L115:M115"/>
    <mergeCell ref="N115:O115"/>
    <mergeCell ref="L113:M113"/>
    <mergeCell ref="N113:O113"/>
    <mergeCell ref="H114:I114"/>
    <mergeCell ref="J114:K114"/>
    <mergeCell ref="L114:M114"/>
    <mergeCell ref="N114:O114"/>
    <mergeCell ref="H113:I113"/>
  </mergeCells>
  <phoneticPr fontId="23"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BA167"/>
  <sheetViews>
    <sheetView zoomScale="114" zoomScaleNormal="120" workbookViewId="0">
      <pane xSplit="1" ySplit="5" topLeftCell="AP89"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67</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28" customFormat="1" x14ac:dyDescent="0.15">
      <c r="A6" s="51">
        <v>1977</v>
      </c>
      <c r="B6" s="293"/>
      <c r="C6" s="409" t="s">
        <v>1261</v>
      </c>
      <c r="D6" s="409"/>
      <c r="E6" s="28">
        <v>185</v>
      </c>
      <c r="G6" s="65"/>
      <c r="J6" s="72"/>
      <c r="K6" s="46"/>
      <c r="L6" s="46"/>
      <c r="M6" s="46"/>
      <c r="N6" s="67"/>
      <c r="O6" s="45"/>
      <c r="P6" s="46"/>
      <c r="Q6" s="46"/>
      <c r="R6" s="47"/>
      <c r="T6" s="284"/>
      <c r="U6" s="293"/>
      <c r="V6" s="37"/>
      <c r="Y6" s="38"/>
      <c r="AD6" s="37"/>
      <c r="AG6" s="38"/>
      <c r="AL6" s="37"/>
      <c r="AO6" s="38"/>
      <c r="AP6" s="37"/>
      <c r="AS6" s="38"/>
      <c r="AW6" s="38"/>
      <c r="BA6" s="39"/>
    </row>
    <row r="7" spans="1:53" s="170" customFormat="1" x14ac:dyDescent="0.15">
      <c r="A7" s="215">
        <v>1977</v>
      </c>
      <c r="B7" s="281">
        <v>28311</v>
      </c>
      <c r="C7" s="395" t="s">
        <v>837</v>
      </c>
      <c r="D7" s="395"/>
      <c r="E7" s="170">
        <f>365-E6</f>
        <v>180</v>
      </c>
      <c r="F7" s="170" t="s">
        <v>335</v>
      </c>
      <c r="G7" s="232"/>
      <c r="H7" s="170">
        <v>19</v>
      </c>
      <c r="J7" s="240">
        <v>20</v>
      </c>
      <c r="K7" s="213">
        <f>G7/$J7*100</f>
        <v>0</v>
      </c>
      <c r="L7" s="213">
        <f>H7/$J7*100</f>
        <v>95</v>
      </c>
      <c r="M7" s="213">
        <f>I7/$J7*100</f>
        <v>0</v>
      </c>
      <c r="N7" s="234">
        <f>K7+L7+M7</f>
        <v>95</v>
      </c>
      <c r="O7" s="212"/>
      <c r="P7" s="213">
        <v>47.1</v>
      </c>
      <c r="Q7" s="213"/>
      <c r="R7" s="214">
        <f>O7+P7+Q7</f>
        <v>47.1</v>
      </c>
      <c r="S7" s="170">
        <v>4</v>
      </c>
      <c r="T7" s="283">
        <v>28291</v>
      </c>
      <c r="U7" s="281">
        <v>28311</v>
      </c>
      <c r="V7" s="177" t="s">
        <v>474</v>
      </c>
      <c r="W7" s="170" t="s">
        <v>74</v>
      </c>
      <c r="X7" s="170" t="s">
        <v>18</v>
      </c>
      <c r="Y7" s="178">
        <v>47.1</v>
      </c>
      <c r="AD7" s="177"/>
      <c r="AG7" s="178"/>
      <c r="AL7" s="177"/>
      <c r="AO7" s="178"/>
      <c r="AP7" s="177"/>
      <c r="AS7" s="178"/>
      <c r="AW7" s="178"/>
      <c r="BA7" s="179"/>
    </row>
    <row r="8" spans="1:53" s="170" customFormat="1" x14ac:dyDescent="0.15">
      <c r="A8" s="215">
        <v>1978</v>
      </c>
      <c r="B8" s="281"/>
      <c r="C8" s="395" t="s">
        <v>837</v>
      </c>
      <c r="D8" s="395"/>
      <c r="E8" s="170">
        <v>0</v>
      </c>
      <c r="G8" s="232"/>
      <c r="H8" s="170">
        <v>19</v>
      </c>
      <c r="J8" s="240">
        <v>20</v>
      </c>
      <c r="K8" s="213">
        <f t="shared" ref="K8:M23" si="0">G8/$J8*100</f>
        <v>0</v>
      </c>
      <c r="L8" s="213">
        <f t="shared" si="0"/>
        <v>95</v>
      </c>
      <c r="M8" s="213">
        <f t="shared" si="0"/>
        <v>0</v>
      </c>
      <c r="N8" s="234">
        <f t="shared" ref="N8:N71" si="1">K8+L8+M8</f>
        <v>95</v>
      </c>
      <c r="O8" s="212"/>
      <c r="P8" s="213">
        <v>47.1</v>
      </c>
      <c r="Q8" s="213"/>
      <c r="R8" s="214">
        <f t="shared" ref="R8:R71" si="2">O8+P8+Q8</f>
        <v>47.1</v>
      </c>
      <c r="S8" s="170">
        <v>4</v>
      </c>
      <c r="T8" s="283"/>
      <c r="U8" s="281"/>
      <c r="V8" s="177" t="s">
        <v>474</v>
      </c>
      <c r="W8" s="170" t="s">
        <v>74</v>
      </c>
      <c r="X8" s="170" t="s">
        <v>18</v>
      </c>
      <c r="Y8" s="178">
        <v>47.1</v>
      </c>
      <c r="AD8" s="177"/>
      <c r="AG8" s="178"/>
      <c r="AL8" s="177"/>
      <c r="AO8" s="178"/>
      <c r="AP8" s="177"/>
      <c r="AS8" s="178"/>
      <c r="AW8" s="178"/>
      <c r="BA8" s="179"/>
    </row>
    <row r="9" spans="1:53" s="170" customFormat="1" x14ac:dyDescent="0.15">
      <c r="A9" s="215">
        <v>1978</v>
      </c>
      <c r="B9" s="281"/>
      <c r="C9" s="395" t="s">
        <v>837</v>
      </c>
      <c r="D9" s="395"/>
      <c r="E9" s="170">
        <v>365</v>
      </c>
      <c r="G9" s="232"/>
      <c r="H9" s="170">
        <v>19</v>
      </c>
      <c r="J9" s="240">
        <v>20</v>
      </c>
      <c r="K9" s="213">
        <f t="shared" si="0"/>
        <v>0</v>
      </c>
      <c r="L9" s="213">
        <f t="shared" si="0"/>
        <v>95</v>
      </c>
      <c r="M9" s="213">
        <f t="shared" si="0"/>
        <v>0</v>
      </c>
      <c r="N9" s="234">
        <f t="shared" si="1"/>
        <v>95</v>
      </c>
      <c r="O9" s="212"/>
      <c r="P9" s="213">
        <v>47.1</v>
      </c>
      <c r="Q9" s="213"/>
      <c r="R9" s="214">
        <f t="shared" si="2"/>
        <v>47.1</v>
      </c>
      <c r="S9" s="170">
        <v>4</v>
      </c>
      <c r="T9" s="283"/>
      <c r="U9" s="281"/>
      <c r="V9" s="177" t="s">
        <v>474</v>
      </c>
      <c r="W9" s="170" t="s">
        <v>74</v>
      </c>
      <c r="X9" s="170" t="s">
        <v>18</v>
      </c>
      <c r="Y9" s="178">
        <v>47.1</v>
      </c>
      <c r="AD9" s="177"/>
      <c r="AG9" s="178"/>
      <c r="AL9" s="177"/>
      <c r="AO9" s="178"/>
      <c r="AP9" s="177"/>
      <c r="AS9" s="178"/>
      <c r="AW9" s="178"/>
      <c r="BA9" s="179"/>
    </row>
    <row r="10" spans="1:53" s="170" customFormat="1" x14ac:dyDescent="0.15">
      <c r="A10" s="215">
        <v>1979</v>
      </c>
      <c r="B10" s="281"/>
      <c r="C10" s="395" t="s">
        <v>837</v>
      </c>
      <c r="D10" s="395"/>
      <c r="E10" s="170">
        <v>95</v>
      </c>
      <c r="G10" s="232"/>
      <c r="H10" s="170">
        <v>19</v>
      </c>
      <c r="J10" s="240">
        <v>20</v>
      </c>
      <c r="K10" s="213">
        <f t="shared" si="0"/>
        <v>0</v>
      </c>
      <c r="L10" s="213">
        <f t="shared" si="0"/>
        <v>95</v>
      </c>
      <c r="M10" s="213">
        <f t="shared" si="0"/>
        <v>0</v>
      </c>
      <c r="N10" s="234">
        <f t="shared" si="1"/>
        <v>95</v>
      </c>
      <c r="O10" s="212"/>
      <c r="P10" s="213">
        <v>47.1</v>
      </c>
      <c r="Q10" s="213"/>
      <c r="R10" s="214">
        <f t="shared" si="2"/>
        <v>47.1</v>
      </c>
      <c r="S10" s="170">
        <v>4</v>
      </c>
      <c r="T10" s="283"/>
      <c r="U10" s="281"/>
      <c r="V10" s="177" t="s">
        <v>474</v>
      </c>
      <c r="W10" s="170" t="s">
        <v>74</v>
      </c>
      <c r="X10" s="170" t="s">
        <v>18</v>
      </c>
      <c r="Y10" s="178">
        <v>47.1</v>
      </c>
      <c r="AD10" s="177"/>
      <c r="AG10" s="178"/>
      <c r="AL10" s="177"/>
      <c r="AO10" s="178"/>
      <c r="AP10" s="177"/>
      <c r="AS10" s="178"/>
      <c r="AW10" s="178"/>
      <c r="BA10" s="179"/>
    </row>
    <row r="11" spans="1:53" s="28" customFormat="1" x14ac:dyDescent="0.15">
      <c r="A11" s="51">
        <v>1979</v>
      </c>
      <c r="B11" s="293">
        <v>28951</v>
      </c>
      <c r="C11" s="394" t="s">
        <v>838</v>
      </c>
      <c r="D11" s="394"/>
      <c r="E11" s="28">
        <f>365-E10</f>
        <v>270</v>
      </c>
      <c r="F11" s="28">
        <v>1</v>
      </c>
      <c r="G11" s="65"/>
      <c r="H11" s="28">
        <v>22</v>
      </c>
      <c r="J11" s="72">
        <v>24</v>
      </c>
      <c r="K11" s="46">
        <f t="shared" si="0"/>
        <v>0</v>
      </c>
      <c r="L11" s="46">
        <f t="shared" si="0"/>
        <v>91.666666666666657</v>
      </c>
      <c r="M11" s="46">
        <f t="shared" si="0"/>
        <v>0</v>
      </c>
      <c r="N11" s="67">
        <f t="shared" si="1"/>
        <v>91.666666666666657</v>
      </c>
      <c r="O11" s="45"/>
      <c r="P11" s="46">
        <v>48</v>
      </c>
      <c r="Q11" s="46"/>
      <c r="R11" s="47">
        <f t="shared" si="2"/>
        <v>48</v>
      </c>
      <c r="S11" s="28">
        <v>4</v>
      </c>
      <c r="T11" s="284">
        <v>28915</v>
      </c>
      <c r="U11" s="293">
        <v>28951</v>
      </c>
      <c r="V11" s="37" t="s">
        <v>474</v>
      </c>
      <c r="W11" s="28" t="s">
        <v>74</v>
      </c>
      <c r="X11" s="28" t="s">
        <v>18</v>
      </c>
      <c r="Y11" s="38">
        <v>48</v>
      </c>
      <c r="AD11" s="37"/>
      <c r="AG11" s="38"/>
      <c r="AL11" s="37"/>
      <c r="AO11" s="38"/>
      <c r="AP11" s="37"/>
      <c r="AS11" s="38"/>
      <c r="AW11" s="38"/>
      <c r="BA11" s="39"/>
    </row>
    <row r="12" spans="1:53" s="28" customFormat="1" x14ac:dyDescent="0.15">
      <c r="A12" s="51">
        <v>1980</v>
      </c>
      <c r="B12" s="293"/>
      <c r="C12" s="394" t="s">
        <v>838</v>
      </c>
      <c r="D12" s="394"/>
      <c r="E12" s="28">
        <v>0</v>
      </c>
      <c r="G12" s="65"/>
      <c r="H12" s="28">
        <v>22</v>
      </c>
      <c r="J12" s="72">
        <v>24</v>
      </c>
      <c r="K12" s="46">
        <f t="shared" si="0"/>
        <v>0</v>
      </c>
      <c r="L12" s="46">
        <f t="shared" si="0"/>
        <v>91.666666666666657</v>
      </c>
      <c r="M12" s="46">
        <f t="shared" si="0"/>
        <v>0</v>
      </c>
      <c r="N12" s="67">
        <f t="shared" si="1"/>
        <v>91.666666666666657</v>
      </c>
      <c r="O12" s="45"/>
      <c r="P12" s="46">
        <v>48</v>
      </c>
      <c r="Q12" s="46"/>
      <c r="R12" s="47">
        <f t="shared" si="2"/>
        <v>48</v>
      </c>
      <c r="S12" s="28">
        <v>4</v>
      </c>
      <c r="T12" s="284"/>
      <c r="U12" s="293"/>
      <c r="V12" s="37" t="s">
        <v>474</v>
      </c>
      <c r="W12" s="28" t="s">
        <v>74</v>
      </c>
      <c r="X12" s="28" t="s">
        <v>18</v>
      </c>
      <c r="Y12" s="38">
        <v>48</v>
      </c>
      <c r="AD12" s="37"/>
      <c r="AG12" s="38"/>
      <c r="AL12" s="37"/>
      <c r="AO12" s="38"/>
      <c r="AP12" s="37"/>
      <c r="AS12" s="38"/>
      <c r="AW12" s="38"/>
      <c r="BA12" s="39"/>
    </row>
    <row r="13" spans="1:53" s="28" customFormat="1" x14ac:dyDescent="0.15">
      <c r="A13" s="51">
        <v>1980</v>
      </c>
      <c r="B13" s="293"/>
      <c r="C13" s="394" t="s">
        <v>838</v>
      </c>
      <c r="D13" s="394"/>
      <c r="E13" s="28">
        <v>366</v>
      </c>
      <c r="G13" s="65"/>
      <c r="H13" s="28">
        <v>22</v>
      </c>
      <c r="J13" s="72">
        <v>24</v>
      </c>
      <c r="K13" s="46">
        <f t="shared" si="0"/>
        <v>0</v>
      </c>
      <c r="L13" s="46">
        <f t="shared" si="0"/>
        <v>91.666666666666657</v>
      </c>
      <c r="M13" s="46">
        <f t="shared" si="0"/>
        <v>0</v>
      </c>
      <c r="N13" s="67">
        <f t="shared" si="1"/>
        <v>91.666666666666657</v>
      </c>
      <c r="O13" s="45"/>
      <c r="P13" s="46">
        <v>48</v>
      </c>
      <c r="Q13" s="46"/>
      <c r="R13" s="47">
        <f t="shared" si="2"/>
        <v>48</v>
      </c>
      <c r="S13" s="28">
        <v>4</v>
      </c>
      <c r="T13" s="284"/>
      <c r="U13" s="293"/>
      <c r="V13" s="37" t="s">
        <v>474</v>
      </c>
      <c r="W13" s="28" t="s">
        <v>74</v>
      </c>
      <c r="X13" s="28" t="s">
        <v>18</v>
      </c>
      <c r="Y13" s="38">
        <v>48</v>
      </c>
      <c r="AD13" s="37"/>
      <c r="AG13" s="38"/>
      <c r="AL13" s="37"/>
      <c r="AO13" s="38"/>
      <c r="AP13" s="37"/>
      <c r="AS13" s="38"/>
      <c r="AW13" s="38"/>
      <c r="BA13" s="39"/>
    </row>
    <row r="14" spans="1:53" s="28" customFormat="1" x14ac:dyDescent="0.15">
      <c r="A14" s="51">
        <v>1981</v>
      </c>
      <c r="B14" s="293"/>
      <c r="C14" s="394" t="s">
        <v>838</v>
      </c>
      <c r="D14" s="394"/>
      <c r="E14" s="28">
        <v>57</v>
      </c>
      <c r="G14" s="65"/>
      <c r="H14" s="28">
        <v>22</v>
      </c>
      <c r="J14" s="72">
        <v>24</v>
      </c>
      <c r="K14" s="46">
        <f t="shared" si="0"/>
        <v>0</v>
      </c>
      <c r="L14" s="46">
        <f t="shared" si="0"/>
        <v>91.666666666666657</v>
      </c>
      <c r="M14" s="46">
        <f t="shared" si="0"/>
        <v>0</v>
      </c>
      <c r="N14" s="67">
        <f t="shared" si="1"/>
        <v>91.666666666666657</v>
      </c>
      <c r="O14" s="45"/>
      <c r="P14" s="46">
        <v>48</v>
      </c>
      <c r="Q14" s="46"/>
      <c r="R14" s="47">
        <f t="shared" si="2"/>
        <v>48</v>
      </c>
      <c r="S14" s="28">
        <v>4</v>
      </c>
      <c r="T14" s="284"/>
      <c r="U14" s="293"/>
      <c r="V14" s="37" t="s">
        <v>474</v>
      </c>
      <c r="W14" s="28" t="s">
        <v>74</v>
      </c>
      <c r="X14" s="28" t="s">
        <v>18</v>
      </c>
      <c r="Y14" s="38">
        <v>48</v>
      </c>
      <c r="AD14" s="37"/>
      <c r="AG14" s="38"/>
      <c r="AL14" s="37"/>
      <c r="AO14" s="38"/>
      <c r="AP14" s="37"/>
      <c r="AS14" s="38"/>
      <c r="AW14" s="38"/>
      <c r="BA14" s="39"/>
    </row>
    <row r="15" spans="1:53" s="170" customFormat="1" x14ac:dyDescent="0.15">
      <c r="A15" s="215">
        <v>1981</v>
      </c>
      <c r="B15" s="281">
        <v>29644</v>
      </c>
      <c r="C15" s="395" t="s">
        <v>839</v>
      </c>
      <c r="D15" s="395"/>
      <c r="E15" s="170">
        <v>308</v>
      </c>
      <c r="F15" s="170">
        <v>2</v>
      </c>
      <c r="G15" s="232"/>
      <c r="H15" s="170">
        <v>16</v>
      </c>
      <c r="J15" s="240">
        <v>16</v>
      </c>
      <c r="K15" s="213">
        <f t="shared" si="0"/>
        <v>0</v>
      </c>
      <c r="L15" s="213">
        <f t="shared" si="0"/>
        <v>100</v>
      </c>
      <c r="M15" s="213">
        <f t="shared" si="0"/>
        <v>0</v>
      </c>
      <c r="N15" s="234">
        <f t="shared" si="1"/>
        <v>100</v>
      </c>
      <c r="O15" s="212"/>
      <c r="P15" s="213">
        <v>48</v>
      </c>
      <c r="Q15" s="213"/>
      <c r="R15" s="214">
        <f t="shared" si="2"/>
        <v>48</v>
      </c>
      <c r="S15" s="170">
        <v>4</v>
      </c>
      <c r="T15" s="283"/>
      <c r="U15" s="281">
        <v>29644</v>
      </c>
      <c r="V15" s="177" t="s">
        <v>474</v>
      </c>
      <c r="W15" s="170" t="s">
        <v>74</v>
      </c>
      <c r="X15" s="170" t="s">
        <v>18</v>
      </c>
      <c r="Y15" s="178">
        <v>48</v>
      </c>
      <c r="AD15" s="177"/>
      <c r="AG15" s="178"/>
      <c r="AL15" s="177"/>
      <c r="AO15" s="178"/>
      <c r="AP15" s="177"/>
      <c r="AS15" s="178"/>
      <c r="AW15" s="178"/>
      <c r="BA15" s="179"/>
    </row>
    <row r="16" spans="1:53" s="170" customFormat="1" x14ac:dyDescent="0.15">
      <c r="A16" s="215">
        <v>1982</v>
      </c>
      <c r="B16" s="281"/>
      <c r="C16" s="395" t="s">
        <v>839</v>
      </c>
      <c r="D16" s="395"/>
      <c r="E16" s="170">
        <v>336</v>
      </c>
      <c r="G16" s="232"/>
      <c r="H16" s="170">
        <v>16</v>
      </c>
      <c r="J16" s="240">
        <v>16</v>
      </c>
      <c r="K16" s="213">
        <f t="shared" si="0"/>
        <v>0</v>
      </c>
      <c r="L16" s="213">
        <f t="shared" si="0"/>
        <v>100</v>
      </c>
      <c r="M16" s="213">
        <f t="shared" si="0"/>
        <v>0</v>
      </c>
      <c r="N16" s="234">
        <f t="shared" si="1"/>
        <v>100</v>
      </c>
      <c r="O16" s="212"/>
      <c r="P16" s="213">
        <v>48</v>
      </c>
      <c r="Q16" s="213"/>
      <c r="R16" s="214">
        <f t="shared" si="2"/>
        <v>48</v>
      </c>
      <c r="S16" s="170">
        <v>4</v>
      </c>
      <c r="T16" s="283"/>
      <c r="U16" s="281"/>
      <c r="V16" s="177" t="s">
        <v>474</v>
      </c>
      <c r="W16" s="170" t="s">
        <v>74</v>
      </c>
      <c r="X16" s="170" t="s">
        <v>18</v>
      </c>
      <c r="Y16" s="178">
        <v>48</v>
      </c>
      <c r="AD16" s="177"/>
      <c r="AG16" s="178"/>
      <c r="AL16" s="177"/>
      <c r="AO16" s="178"/>
      <c r="AP16" s="177"/>
      <c r="AS16" s="178"/>
      <c r="AW16" s="178"/>
      <c r="BA16" s="179"/>
    </row>
    <row r="17" spans="1:53" s="28" customFormat="1" x14ac:dyDescent="0.15">
      <c r="A17" s="51">
        <v>1982</v>
      </c>
      <c r="B17" s="293">
        <v>30288</v>
      </c>
      <c r="C17" s="394" t="s">
        <v>840</v>
      </c>
      <c r="D17" s="394"/>
      <c r="E17" s="28">
        <f>365-E16</f>
        <v>29</v>
      </c>
      <c r="F17" s="28">
        <v>1</v>
      </c>
      <c r="G17" s="65"/>
      <c r="I17" s="28">
        <v>17</v>
      </c>
      <c r="J17" s="72">
        <v>17</v>
      </c>
      <c r="K17" s="46">
        <f t="shared" si="0"/>
        <v>0</v>
      </c>
      <c r="L17" s="46">
        <f t="shared" si="0"/>
        <v>0</v>
      </c>
      <c r="M17" s="46">
        <f t="shared" si="0"/>
        <v>100</v>
      </c>
      <c r="N17" s="67">
        <f t="shared" si="1"/>
        <v>100</v>
      </c>
      <c r="O17" s="45"/>
      <c r="P17" s="46"/>
      <c r="Q17" s="46">
        <v>57.7</v>
      </c>
      <c r="R17" s="47">
        <f t="shared" si="2"/>
        <v>57.7</v>
      </c>
      <c r="S17" s="28">
        <v>1</v>
      </c>
      <c r="T17" s="284">
        <v>30124</v>
      </c>
      <c r="U17" s="293">
        <v>30288</v>
      </c>
      <c r="V17" s="37" t="s">
        <v>475</v>
      </c>
      <c r="W17" s="28" t="s">
        <v>20</v>
      </c>
      <c r="X17" s="28" t="s">
        <v>12</v>
      </c>
      <c r="Y17" s="38">
        <v>57.7</v>
      </c>
      <c r="AC17" s="37"/>
      <c r="AG17" s="38"/>
      <c r="AL17" s="37"/>
      <c r="AO17" s="38"/>
      <c r="AP17" s="37"/>
      <c r="AS17" s="38"/>
      <c r="AW17" s="38"/>
      <c r="BA17" s="39"/>
    </row>
    <row r="18" spans="1:53" s="28" customFormat="1" x14ac:dyDescent="0.15">
      <c r="A18" s="51">
        <v>1983</v>
      </c>
      <c r="B18" s="293"/>
      <c r="C18" s="394" t="s">
        <v>840</v>
      </c>
      <c r="D18" s="394"/>
      <c r="E18" s="28">
        <v>0</v>
      </c>
      <c r="G18" s="65"/>
      <c r="I18" s="28">
        <v>17</v>
      </c>
      <c r="J18" s="72">
        <v>17</v>
      </c>
      <c r="K18" s="46">
        <f t="shared" si="0"/>
        <v>0</v>
      </c>
      <c r="L18" s="46">
        <f t="shared" si="0"/>
        <v>0</v>
      </c>
      <c r="M18" s="46">
        <f t="shared" si="0"/>
        <v>100</v>
      </c>
      <c r="N18" s="67">
        <f t="shared" si="1"/>
        <v>100</v>
      </c>
      <c r="O18" s="45"/>
      <c r="P18" s="46"/>
      <c r="Q18" s="46">
        <v>57.7</v>
      </c>
      <c r="R18" s="47">
        <f t="shared" si="2"/>
        <v>57.7</v>
      </c>
      <c r="S18" s="28">
        <v>1</v>
      </c>
      <c r="T18" s="284"/>
      <c r="U18" s="293"/>
      <c r="V18" s="37" t="s">
        <v>475</v>
      </c>
      <c r="W18" s="28" t="s">
        <v>20</v>
      </c>
      <c r="X18" s="28" t="s">
        <v>12</v>
      </c>
      <c r="Y18" s="38">
        <v>57.7</v>
      </c>
      <c r="AD18" s="37"/>
      <c r="AG18" s="38"/>
      <c r="AL18" s="37"/>
      <c r="AO18" s="38"/>
      <c r="AP18" s="37"/>
      <c r="AS18" s="38"/>
      <c r="AW18" s="38"/>
      <c r="BA18" s="39"/>
    </row>
    <row r="19" spans="1:53" s="28" customFormat="1" x14ac:dyDescent="0.15">
      <c r="A19" s="51">
        <v>1983</v>
      </c>
      <c r="B19" s="293"/>
      <c r="C19" s="394" t="s">
        <v>840</v>
      </c>
      <c r="D19" s="394"/>
      <c r="E19" s="28">
        <v>365</v>
      </c>
      <c r="G19" s="65"/>
      <c r="I19" s="28">
        <v>17</v>
      </c>
      <c r="J19" s="72">
        <v>17</v>
      </c>
      <c r="K19" s="46">
        <f t="shared" si="0"/>
        <v>0</v>
      </c>
      <c r="L19" s="46">
        <f t="shared" si="0"/>
        <v>0</v>
      </c>
      <c r="M19" s="46">
        <f t="shared" si="0"/>
        <v>100</v>
      </c>
      <c r="N19" s="67">
        <f t="shared" si="1"/>
        <v>100</v>
      </c>
      <c r="O19" s="45"/>
      <c r="P19" s="46"/>
      <c r="Q19" s="46">
        <v>57.7</v>
      </c>
      <c r="R19" s="47">
        <f t="shared" si="2"/>
        <v>57.7</v>
      </c>
      <c r="S19" s="28">
        <v>1</v>
      </c>
      <c r="T19" s="284"/>
      <c r="U19" s="293"/>
      <c r="V19" s="37" t="s">
        <v>475</v>
      </c>
      <c r="W19" s="28" t="s">
        <v>20</v>
      </c>
      <c r="X19" s="28" t="s">
        <v>12</v>
      </c>
      <c r="Y19" s="38">
        <v>57.7</v>
      </c>
      <c r="AD19" s="37"/>
      <c r="AG19" s="38"/>
      <c r="AL19" s="37"/>
      <c r="AO19" s="38"/>
      <c r="AP19" s="37"/>
      <c r="AS19" s="38"/>
      <c r="AW19" s="38"/>
      <c r="BA19" s="39"/>
    </row>
    <row r="20" spans="1:53" s="28" customFormat="1" x14ac:dyDescent="0.15">
      <c r="A20" s="51">
        <v>1984</v>
      </c>
      <c r="B20" s="293"/>
      <c r="C20" s="394" t="s">
        <v>840</v>
      </c>
      <c r="D20" s="394"/>
      <c r="E20" s="28">
        <v>0</v>
      </c>
      <c r="G20" s="65"/>
      <c r="I20" s="28">
        <v>17</v>
      </c>
      <c r="J20" s="72">
        <v>17</v>
      </c>
      <c r="K20" s="46">
        <f t="shared" si="0"/>
        <v>0</v>
      </c>
      <c r="L20" s="46">
        <f t="shared" si="0"/>
        <v>0</v>
      </c>
      <c r="M20" s="46">
        <f t="shared" si="0"/>
        <v>100</v>
      </c>
      <c r="N20" s="67">
        <f t="shared" si="1"/>
        <v>100</v>
      </c>
      <c r="O20" s="45"/>
      <c r="P20" s="46"/>
      <c r="Q20" s="46">
        <v>57.7</v>
      </c>
      <c r="R20" s="47">
        <f t="shared" si="2"/>
        <v>57.7</v>
      </c>
      <c r="S20" s="28">
        <v>1</v>
      </c>
      <c r="T20" s="284"/>
      <c r="U20" s="293"/>
      <c r="V20" s="37" t="s">
        <v>475</v>
      </c>
      <c r="W20" s="28" t="s">
        <v>20</v>
      </c>
      <c r="X20" s="28" t="s">
        <v>12</v>
      </c>
      <c r="Y20" s="38">
        <v>57.7</v>
      </c>
      <c r="AD20" s="37"/>
      <c r="AG20" s="38"/>
      <c r="AL20" s="37"/>
      <c r="AO20" s="38"/>
      <c r="AP20" s="37"/>
      <c r="AS20" s="38"/>
      <c r="AW20" s="38"/>
      <c r="BA20" s="39"/>
    </row>
    <row r="21" spans="1:53" s="28" customFormat="1" x14ac:dyDescent="0.15">
      <c r="A21" s="51">
        <v>1984</v>
      </c>
      <c r="B21" s="293"/>
      <c r="C21" s="394" t="s">
        <v>840</v>
      </c>
      <c r="D21" s="394"/>
      <c r="E21" s="28">
        <v>366</v>
      </c>
      <c r="G21" s="65"/>
      <c r="I21" s="28">
        <v>17</v>
      </c>
      <c r="J21" s="72">
        <v>17</v>
      </c>
      <c r="K21" s="46">
        <f t="shared" si="0"/>
        <v>0</v>
      </c>
      <c r="L21" s="46">
        <f t="shared" si="0"/>
        <v>0</v>
      </c>
      <c r="M21" s="46">
        <f t="shared" si="0"/>
        <v>100</v>
      </c>
      <c r="N21" s="67">
        <f t="shared" si="1"/>
        <v>100</v>
      </c>
      <c r="O21" s="45"/>
      <c r="P21" s="46"/>
      <c r="Q21" s="46">
        <v>57.7</v>
      </c>
      <c r="R21" s="47">
        <f t="shared" si="2"/>
        <v>57.7</v>
      </c>
      <c r="S21" s="28">
        <v>1</v>
      </c>
      <c r="T21" s="284"/>
      <c r="U21" s="293"/>
      <c r="V21" s="37" t="s">
        <v>475</v>
      </c>
      <c r="W21" s="28" t="s">
        <v>20</v>
      </c>
      <c r="X21" s="28" t="s">
        <v>12</v>
      </c>
      <c r="Y21" s="38">
        <v>57.7</v>
      </c>
      <c r="AD21" s="37"/>
      <c r="AG21" s="38"/>
      <c r="AL21" s="37"/>
      <c r="AO21" s="38"/>
      <c r="AP21" s="37"/>
      <c r="AS21" s="38"/>
      <c r="AW21" s="38"/>
      <c r="BA21" s="39"/>
    </row>
    <row r="22" spans="1:53" s="28" customFormat="1" x14ac:dyDescent="0.15">
      <c r="A22" s="51">
        <v>1985</v>
      </c>
      <c r="B22" s="293"/>
      <c r="C22" s="394" t="s">
        <v>840</v>
      </c>
      <c r="D22" s="394"/>
      <c r="E22" s="28">
        <v>0</v>
      </c>
      <c r="G22" s="65"/>
      <c r="I22" s="28">
        <v>17</v>
      </c>
      <c r="J22" s="72">
        <v>17</v>
      </c>
      <c r="K22" s="46">
        <f t="shared" si="0"/>
        <v>0</v>
      </c>
      <c r="L22" s="46">
        <f t="shared" si="0"/>
        <v>0</v>
      </c>
      <c r="M22" s="46">
        <f t="shared" si="0"/>
        <v>100</v>
      </c>
      <c r="N22" s="67">
        <f t="shared" si="1"/>
        <v>100</v>
      </c>
      <c r="O22" s="45"/>
      <c r="P22" s="46"/>
      <c r="Q22" s="46">
        <v>57.7</v>
      </c>
      <c r="R22" s="47">
        <f t="shared" si="2"/>
        <v>57.7</v>
      </c>
      <c r="S22" s="28">
        <v>1</v>
      </c>
      <c r="T22" s="284"/>
      <c r="U22" s="293"/>
      <c r="V22" s="37" t="s">
        <v>475</v>
      </c>
      <c r="W22" s="28" t="s">
        <v>20</v>
      </c>
      <c r="X22" s="28" t="s">
        <v>12</v>
      </c>
      <c r="Y22" s="38">
        <v>57.7</v>
      </c>
      <c r="AD22" s="37"/>
      <c r="AG22" s="38"/>
      <c r="AL22" s="37"/>
      <c r="AO22" s="38"/>
      <c r="AP22" s="37"/>
      <c r="AS22" s="38"/>
      <c r="AW22" s="38"/>
      <c r="BA22" s="39"/>
    </row>
    <row r="23" spans="1:53" s="28" customFormat="1" x14ac:dyDescent="0.15">
      <c r="A23" s="51">
        <v>1985</v>
      </c>
      <c r="B23" s="293"/>
      <c r="C23" s="394" t="s">
        <v>840</v>
      </c>
      <c r="D23" s="394"/>
      <c r="E23" s="28">
        <v>365</v>
      </c>
      <c r="G23" s="65"/>
      <c r="I23" s="28">
        <v>17</v>
      </c>
      <c r="J23" s="72">
        <v>17</v>
      </c>
      <c r="K23" s="46">
        <f t="shared" si="0"/>
        <v>0</v>
      </c>
      <c r="L23" s="46">
        <f t="shared" si="0"/>
        <v>0</v>
      </c>
      <c r="M23" s="46">
        <f t="shared" si="0"/>
        <v>100</v>
      </c>
      <c r="N23" s="67">
        <f t="shared" si="1"/>
        <v>100</v>
      </c>
      <c r="O23" s="45"/>
      <c r="P23" s="46"/>
      <c r="Q23" s="46">
        <v>57.7</v>
      </c>
      <c r="R23" s="47">
        <f t="shared" si="2"/>
        <v>57.7</v>
      </c>
      <c r="S23" s="28">
        <v>1</v>
      </c>
      <c r="T23" s="284"/>
      <c r="U23" s="293"/>
      <c r="V23" s="37" t="s">
        <v>475</v>
      </c>
      <c r="W23" s="28" t="s">
        <v>20</v>
      </c>
      <c r="X23" s="28" t="s">
        <v>12</v>
      </c>
      <c r="Y23" s="38">
        <v>57.7</v>
      </c>
      <c r="AD23" s="37"/>
      <c r="AG23" s="38"/>
      <c r="AL23" s="37"/>
      <c r="AO23" s="38"/>
      <c r="AP23" s="37"/>
      <c r="AS23" s="38"/>
      <c r="AW23" s="38"/>
      <c r="BA23" s="39"/>
    </row>
    <row r="24" spans="1:53" s="28" customFormat="1" x14ac:dyDescent="0.15">
      <c r="A24" s="51">
        <v>1986</v>
      </c>
      <c r="B24" s="293"/>
      <c r="C24" s="394" t="s">
        <v>840</v>
      </c>
      <c r="D24" s="394"/>
      <c r="E24" s="28">
        <v>209</v>
      </c>
      <c r="G24" s="65"/>
      <c r="I24" s="28">
        <v>17</v>
      </c>
      <c r="J24" s="72">
        <v>17</v>
      </c>
      <c r="K24" s="46">
        <f t="shared" ref="K24:M79" si="3">G24/$J24*100</f>
        <v>0</v>
      </c>
      <c r="L24" s="46">
        <f t="shared" si="3"/>
        <v>0</v>
      </c>
      <c r="M24" s="46">
        <f t="shared" si="3"/>
        <v>100</v>
      </c>
      <c r="N24" s="67">
        <f t="shared" si="1"/>
        <v>100</v>
      </c>
      <c r="O24" s="45"/>
      <c r="P24" s="46"/>
      <c r="Q24" s="46">
        <v>57.7</v>
      </c>
      <c r="R24" s="47">
        <f t="shared" si="2"/>
        <v>57.7</v>
      </c>
      <c r="S24" s="28">
        <v>1</v>
      </c>
      <c r="T24" s="284"/>
      <c r="U24" s="293"/>
      <c r="V24" s="37" t="s">
        <v>475</v>
      </c>
      <c r="W24" s="28" t="s">
        <v>20</v>
      </c>
      <c r="X24" s="28" t="s">
        <v>12</v>
      </c>
      <c r="Y24" s="38">
        <v>57.7</v>
      </c>
      <c r="AD24" s="37"/>
      <c r="AG24" s="38"/>
      <c r="AL24" s="37"/>
      <c r="AO24" s="38"/>
      <c r="AP24" s="37"/>
      <c r="AS24" s="38"/>
      <c r="AW24" s="38"/>
      <c r="BA24" s="39"/>
    </row>
    <row r="25" spans="1:53" s="170" customFormat="1" x14ac:dyDescent="0.15">
      <c r="A25" s="215">
        <v>1986</v>
      </c>
      <c r="B25" s="281">
        <v>31619</v>
      </c>
      <c r="C25" s="395" t="s">
        <v>841</v>
      </c>
      <c r="D25" s="395"/>
      <c r="E25" s="170">
        <f>365-E24</f>
        <v>156</v>
      </c>
      <c r="F25" s="170">
        <v>1</v>
      </c>
      <c r="G25" s="232"/>
      <c r="I25" s="170">
        <v>17</v>
      </c>
      <c r="J25" s="240">
        <v>17</v>
      </c>
      <c r="K25" s="213">
        <f t="shared" si="3"/>
        <v>0</v>
      </c>
      <c r="L25" s="213">
        <f t="shared" si="3"/>
        <v>0</v>
      </c>
      <c r="M25" s="213">
        <f t="shared" si="3"/>
        <v>100</v>
      </c>
      <c r="N25" s="234">
        <f t="shared" si="1"/>
        <v>100</v>
      </c>
      <c r="O25" s="212"/>
      <c r="P25" s="213"/>
      <c r="Q25" s="213">
        <v>52.6</v>
      </c>
      <c r="R25" s="214">
        <f t="shared" si="2"/>
        <v>52.6</v>
      </c>
      <c r="S25" s="170">
        <v>1</v>
      </c>
      <c r="T25" s="283">
        <v>31585</v>
      </c>
      <c r="U25" s="281">
        <v>31619</v>
      </c>
      <c r="V25" s="177" t="s">
        <v>475</v>
      </c>
      <c r="W25" s="170" t="s">
        <v>20</v>
      </c>
      <c r="X25" s="170" t="s">
        <v>12</v>
      </c>
      <c r="Y25" s="178">
        <v>52.6</v>
      </c>
      <c r="AD25" s="177"/>
      <c r="AG25" s="178"/>
      <c r="AL25" s="177"/>
      <c r="AO25" s="178"/>
      <c r="AP25" s="177"/>
      <c r="AS25" s="178"/>
      <c r="AW25" s="178"/>
      <c r="BA25" s="179"/>
    </row>
    <row r="26" spans="1:53" s="170" customFormat="1" x14ac:dyDescent="0.15">
      <c r="A26" s="215">
        <v>1987</v>
      </c>
      <c r="B26" s="281"/>
      <c r="C26" s="395" t="s">
        <v>841</v>
      </c>
      <c r="D26" s="395"/>
      <c r="E26" s="170">
        <v>0</v>
      </c>
      <c r="G26" s="232"/>
      <c r="I26" s="170">
        <v>17</v>
      </c>
      <c r="J26" s="240">
        <v>17</v>
      </c>
      <c r="K26" s="213">
        <f t="shared" si="3"/>
        <v>0</v>
      </c>
      <c r="L26" s="213">
        <f t="shared" si="3"/>
        <v>0</v>
      </c>
      <c r="M26" s="213">
        <f t="shared" si="3"/>
        <v>100</v>
      </c>
      <c r="N26" s="234">
        <f t="shared" si="1"/>
        <v>100</v>
      </c>
      <c r="O26" s="212"/>
      <c r="P26" s="213"/>
      <c r="Q26" s="213">
        <v>52.6</v>
      </c>
      <c r="R26" s="214">
        <f t="shared" si="2"/>
        <v>52.6</v>
      </c>
      <c r="S26" s="170">
        <v>1</v>
      </c>
      <c r="T26" s="283"/>
      <c r="U26" s="281"/>
      <c r="V26" s="177" t="s">
        <v>475</v>
      </c>
      <c r="W26" s="170" t="s">
        <v>20</v>
      </c>
      <c r="X26" s="170" t="s">
        <v>12</v>
      </c>
      <c r="Y26" s="178">
        <v>52.6</v>
      </c>
      <c r="AD26" s="177"/>
      <c r="AG26" s="178"/>
      <c r="AL26" s="177"/>
      <c r="AO26" s="178"/>
      <c r="AP26" s="177"/>
      <c r="AS26" s="178"/>
      <c r="AW26" s="178"/>
      <c r="BA26" s="179"/>
    </row>
    <row r="27" spans="1:53" s="170" customFormat="1" x14ac:dyDescent="0.15">
      <c r="A27" s="215">
        <v>1987</v>
      </c>
      <c r="B27" s="281"/>
      <c r="C27" s="395" t="s">
        <v>841</v>
      </c>
      <c r="D27" s="395"/>
      <c r="E27" s="170">
        <v>365</v>
      </c>
      <c r="G27" s="232"/>
      <c r="I27" s="170">
        <v>17</v>
      </c>
      <c r="J27" s="240">
        <v>17</v>
      </c>
      <c r="K27" s="213">
        <f t="shared" si="3"/>
        <v>0</v>
      </c>
      <c r="L27" s="213">
        <f t="shared" si="3"/>
        <v>0</v>
      </c>
      <c r="M27" s="213">
        <f t="shared" si="3"/>
        <v>100</v>
      </c>
      <c r="N27" s="234">
        <f t="shared" si="1"/>
        <v>100</v>
      </c>
      <c r="O27" s="212"/>
      <c r="P27" s="213"/>
      <c r="Q27" s="213">
        <v>52.6</v>
      </c>
      <c r="R27" s="214">
        <f t="shared" si="2"/>
        <v>52.6</v>
      </c>
      <c r="S27" s="170">
        <v>1</v>
      </c>
      <c r="T27" s="283"/>
      <c r="U27" s="281"/>
      <c r="V27" s="177" t="s">
        <v>475</v>
      </c>
      <c r="W27" s="170" t="s">
        <v>20</v>
      </c>
      <c r="X27" s="170" t="s">
        <v>12</v>
      </c>
      <c r="Y27" s="178">
        <v>52.6</v>
      </c>
      <c r="AD27" s="177"/>
      <c r="AG27" s="178"/>
      <c r="AL27" s="177"/>
      <c r="AO27" s="178"/>
      <c r="AP27" s="177"/>
      <c r="AS27" s="178"/>
      <c r="AW27" s="178"/>
      <c r="BA27" s="179"/>
    </row>
    <row r="28" spans="1:53" s="170" customFormat="1" x14ac:dyDescent="0.15">
      <c r="A28" s="215">
        <v>1988</v>
      </c>
      <c r="B28" s="281"/>
      <c r="C28" s="395" t="s">
        <v>841</v>
      </c>
      <c r="D28" s="395"/>
      <c r="E28" s="170">
        <v>0</v>
      </c>
      <c r="G28" s="232"/>
      <c r="I28" s="170">
        <v>17</v>
      </c>
      <c r="J28" s="240">
        <v>17</v>
      </c>
      <c r="K28" s="213">
        <f t="shared" si="3"/>
        <v>0</v>
      </c>
      <c r="L28" s="213">
        <f t="shared" si="3"/>
        <v>0</v>
      </c>
      <c r="M28" s="213">
        <f t="shared" si="3"/>
        <v>100</v>
      </c>
      <c r="N28" s="234">
        <f t="shared" si="1"/>
        <v>100</v>
      </c>
      <c r="O28" s="212"/>
      <c r="P28" s="213"/>
      <c r="Q28" s="213">
        <v>52.6</v>
      </c>
      <c r="R28" s="214">
        <f t="shared" si="2"/>
        <v>52.6</v>
      </c>
      <c r="S28" s="170">
        <v>1</v>
      </c>
      <c r="T28" s="283"/>
      <c r="U28" s="281"/>
      <c r="V28" s="177" t="s">
        <v>475</v>
      </c>
      <c r="W28" s="170" t="s">
        <v>20</v>
      </c>
      <c r="X28" s="170" t="s">
        <v>12</v>
      </c>
      <c r="Y28" s="178">
        <v>52.6</v>
      </c>
      <c r="AD28" s="177"/>
      <c r="AG28" s="178"/>
      <c r="AL28" s="177"/>
      <c r="AO28" s="178"/>
      <c r="AP28" s="177"/>
      <c r="AS28" s="178"/>
      <c r="AW28" s="178"/>
      <c r="BA28" s="179"/>
    </row>
    <row r="29" spans="1:53" s="170" customFormat="1" x14ac:dyDescent="0.15">
      <c r="A29" s="215">
        <v>1988</v>
      </c>
      <c r="B29" s="281"/>
      <c r="C29" s="395" t="s">
        <v>841</v>
      </c>
      <c r="D29" s="395"/>
      <c r="E29" s="170">
        <v>366</v>
      </c>
      <c r="G29" s="232"/>
      <c r="I29" s="170">
        <v>17</v>
      </c>
      <c r="J29" s="240">
        <v>17</v>
      </c>
      <c r="K29" s="213">
        <f t="shared" si="3"/>
        <v>0</v>
      </c>
      <c r="L29" s="213">
        <f t="shared" si="3"/>
        <v>0</v>
      </c>
      <c r="M29" s="213">
        <f t="shared" si="3"/>
        <v>100</v>
      </c>
      <c r="N29" s="234">
        <f t="shared" si="1"/>
        <v>100</v>
      </c>
      <c r="O29" s="212"/>
      <c r="P29" s="213"/>
      <c r="Q29" s="213">
        <v>52.6</v>
      </c>
      <c r="R29" s="214">
        <f t="shared" si="2"/>
        <v>52.6</v>
      </c>
      <c r="S29" s="170">
        <v>1</v>
      </c>
      <c r="T29" s="283"/>
      <c r="U29" s="281"/>
      <c r="V29" s="177" t="s">
        <v>475</v>
      </c>
      <c r="W29" s="170" t="s">
        <v>20</v>
      </c>
      <c r="X29" s="170" t="s">
        <v>12</v>
      </c>
      <c r="Y29" s="178">
        <v>52.6</v>
      </c>
      <c r="AD29" s="177"/>
      <c r="AG29" s="178"/>
      <c r="AL29" s="177"/>
      <c r="AO29" s="178"/>
      <c r="AP29" s="177"/>
      <c r="AS29" s="178"/>
      <c r="AW29" s="178"/>
      <c r="BA29" s="179"/>
    </row>
    <row r="30" spans="1:53" s="170" customFormat="1" x14ac:dyDescent="0.15">
      <c r="A30" s="215">
        <v>1989</v>
      </c>
      <c r="B30" s="281"/>
      <c r="C30" s="395" t="s">
        <v>841</v>
      </c>
      <c r="D30" s="395"/>
      <c r="E30" s="170">
        <v>340</v>
      </c>
      <c r="G30" s="232"/>
      <c r="I30" s="170">
        <v>17</v>
      </c>
      <c r="J30" s="240">
        <v>17</v>
      </c>
      <c r="K30" s="213">
        <f t="shared" si="3"/>
        <v>0</v>
      </c>
      <c r="L30" s="213">
        <f t="shared" si="3"/>
        <v>0</v>
      </c>
      <c r="M30" s="213">
        <f t="shared" si="3"/>
        <v>100</v>
      </c>
      <c r="N30" s="234">
        <f t="shared" si="1"/>
        <v>100</v>
      </c>
      <c r="O30" s="212"/>
      <c r="P30" s="213"/>
      <c r="Q30" s="213">
        <v>52.6</v>
      </c>
      <c r="R30" s="214">
        <f t="shared" si="2"/>
        <v>52.6</v>
      </c>
      <c r="S30" s="170">
        <v>1</v>
      </c>
      <c r="T30" s="283"/>
      <c r="U30" s="281"/>
      <c r="V30" s="177" t="s">
        <v>475</v>
      </c>
      <c r="W30" s="170" t="s">
        <v>20</v>
      </c>
      <c r="X30" s="170" t="s">
        <v>12</v>
      </c>
      <c r="Y30" s="178">
        <v>52.6</v>
      </c>
      <c r="AD30" s="177"/>
      <c r="AG30" s="178"/>
      <c r="AL30" s="177"/>
      <c r="AO30" s="178"/>
      <c r="AP30" s="177"/>
      <c r="AS30" s="178"/>
      <c r="AW30" s="178"/>
      <c r="BA30" s="179"/>
    </row>
    <row r="31" spans="1:53" s="28" customFormat="1" x14ac:dyDescent="0.15">
      <c r="A31" s="51">
        <v>1989</v>
      </c>
      <c r="B31" s="293">
        <v>32849</v>
      </c>
      <c r="C31" s="394" t="s">
        <v>842</v>
      </c>
      <c r="D31" s="394"/>
      <c r="E31" s="28">
        <f>365-E30</f>
        <v>25</v>
      </c>
      <c r="F31" s="28">
        <v>1</v>
      </c>
      <c r="G31" s="65"/>
      <c r="I31" s="28">
        <v>19</v>
      </c>
      <c r="J31" s="72">
        <v>19</v>
      </c>
      <c r="K31" s="46">
        <f t="shared" si="3"/>
        <v>0</v>
      </c>
      <c r="L31" s="46">
        <f t="shared" si="3"/>
        <v>0</v>
      </c>
      <c r="M31" s="46">
        <f t="shared" si="3"/>
        <v>100</v>
      </c>
      <c r="N31" s="67">
        <f t="shared" si="1"/>
        <v>100</v>
      </c>
      <c r="O31" s="45"/>
      <c r="P31" s="46"/>
      <c r="Q31" s="46">
        <v>50</v>
      </c>
      <c r="R31" s="47">
        <f t="shared" si="2"/>
        <v>50</v>
      </c>
      <c r="S31" s="28">
        <v>4</v>
      </c>
      <c r="T31" s="284">
        <v>32810</v>
      </c>
      <c r="U31" s="293">
        <v>32849</v>
      </c>
      <c r="V31" s="37" t="s">
        <v>475</v>
      </c>
      <c r="W31" s="28" t="s">
        <v>20</v>
      </c>
      <c r="X31" s="28" t="s">
        <v>12</v>
      </c>
      <c r="Y31" s="38">
        <v>50</v>
      </c>
      <c r="AD31" s="37"/>
      <c r="AG31" s="38"/>
      <c r="AL31" s="37"/>
      <c r="AO31" s="38"/>
      <c r="AP31" s="37"/>
      <c r="AS31" s="38"/>
      <c r="AW31" s="38"/>
      <c r="BA31" s="39"/>
    </row>
    <row r="32" spans="1:53" s="84" customFormat="1" x14ac:dyDescent="0.15">
      <c r="A32" s="84">
        <v>1990</v>
      </c>
      <c r="B32" s="310"/>
      <c r="C32" s="427" t="s">
        <v>842</v>
      </c>
      <c r="D32" s="427"/>
      <c r="E32" s="84">
        <v>0</v>
      </c>
      <c r="G32" s="94"/>
      <c r="I32" s="84">
        <v>19</v>
      </c>
      <c r="J32" s="95">
        <v>19</v>
      </c>
      <c r="K32" s="98">
        <f t="shared" si="3"/>
        <v>0</v>
      </c>
      <c r="L32" s="96">
        <f t="shared" si="3"/>
        <v>0</v>
      </c>
      <c r="M32" s="96">
        <f t="shared" si="3"/>
        <v>100</v>
      </c>
      <c r="N32" s="99">
        <f t="shared" si="1"/>
        <v>100</v>
      </c>
      <c r="O32" s="98"/>
      <c r="P32" s="96"/>
      <c r="Q32" s="96">
        <v>50</v>
      </c>
      <c r="R32" s="99">
        <f t="shared" si="2"/>
        <v>50</v>
      </c>
      <c r="S32" s="84">
        <v>4</v>
      </c>
      <c r="T32" s="311"/>
      <c r="U32" s="310"/>
      <c r="V32" s="100" t="s">
        <v>475</v>
      </c>
      <c r="W32" s="84" t="s">
        <v>20</v>
      </c>
      <c r="X32" s="84" t="s">
        <v>12</v>
      </c>
      <c r="Y32" s="101">
        <v>50</v>
      </c>
      <c r="AD32" s="100"/>
      <c r="AG32" s="101"/>
      <c r="AL32" s="100"/>
      <c r="AO32" s="101"/>
      <c r="AP32" s="100"/>
      <c r="AS32" s="101"/>
      <c r="AW32" s="101"/>
      <c r="BA32" s="102"/>
    </row>
    <row r="33" spans="1:53" s="28" customFormat="1" x14ac:dyDescent="0.15">
      <c r="A33" s="28">
        <v>1990</v>
      </c>
      <c r="B33" s="293"/>
      <c r="C33" s="394" t="s">
        <v>842</v>
      </c>
      <c r="D33" s="394"/>
      <c r="E33" s="28">
        <f>365-E32</f>
        <v>365</v>
      </c>
      <c r="G33" s="65"/>
      <c r="I33" s="28">
        <v>19</v>
      </c>
      <c r="J33" s="72">
        <v>19</v>
      </c>
      <c r="K33" s="46">
        <f t="shared" si="3"/>
        <v>0</v>
      </c>
      <c r="L33" s="46">
        <f t="shared" si="3"/>
        <v>0</v>
      </c>
      <c r="M33" s="46">
        <f t="shared" si="3"/>
        <v>100</v>
      </c>
      <c r="N33" s="67">
        <f t="shared" si="1"/>
        <v>100</v>
      </c>
      <c r="O33" s="45"/>
      <c r="P33" s="46"/>
      <c r="Q33" s="46">
        <v>50</v>
      </c>
      <c r="R33" s="47">
        <f t="shared" si="2"/>
        <v>50</v>
      </c>
      <c r="S33" s="28">
        <v>4</v>
      </c>
      <c r="T33" s="284"/>
      <c r="U33" s="293"/>
      <c r="V33" s="37" t="s">
        <v>475</v>
      </c>
      <c r="W33" s="28" t="s">
        <v>20</v>
      </c>
      <c r="X33" s="28" t="s">
        <v>12</v>
      </c>
      <c r="Y33" s="38">
        <v>50</v>
      </c>
      <c r="AD33" s="37"/>
      <c r="AG33" s="38"/>
      <c r="AL33" s="37"/>
      <c r="AO33" s="38"/>
      <c r="AP33" s="37"/>
      <c r="AS33" s="38"/>
      <c r="AW33" s="38"/>
      <c r="BA33" s="39"/>
    </row>
    <row r="34" spans="1:53" s="28" customFormat="1" x14ac:dyDescent="0.15">
      <c r="A34" s="28">
        <v>1991</v>
      </c>
      <c r="B34" s="293"/>
      <c r="C34" s="394" t="s">
        <v>842</v>
      </c>
      <c r="D34" s="394"/>
      <c r="E34" s="28">
        <v>0</v>
      </c>
      <c r="G34" s="65"/>
      <c r="I34" s="28">
        <v>19</v>
      </c>
      <c r="J34" s="72">
        <v>19</v>
      </c>
      <c r="K34" s="46">
        <f t="shared" si="3"/>
        <v>0</v>
      </c>
      <c r="L34" s="46">
        <f t="shared" si="3"/>
        <v>0</v>
      </c>
      <c r="M34" s="46">
        <f t="shared" si="3"/>
        <v>100</v>
      </c>
      <c r="N34" s="67">
        <f t="shared" si="1"/>
        <v>100</v>
      </c>
      <c r="O34" s="45"/>
      <c r="P34" s="46"/>
      <c r="Q34" s="46">
        <v>50</v>
      </c>
      <c r="R34" s="47">
        <f t="shared" si="2"/>
        <v>50</v>
      </c>
      <c r="S34" s="28">
        <v>4</v>
      </c>
      <c r="T34" s="284"/>
      <c r="U34" s="293"/>
      <c r="V34" s="37" t="s">
        <v>475</v>
      </c>
      <c r="W34" s="28" t="s">
        <v>20</v>
      </c>
      <c r="X34" s="28" t="s">
        <v>12</v>
      </c>
      <c r="Y34" s="38">
        <v>50</v>
      </c>
      <c r="AD34" s="37"/>
      <c r="AG34" s="38"/>
      <c r="AL34" s="37"/>
      <c r="AO34" s="38"/>
      <c r="AP34" s="37"/>
      <c r="AS34" s="38"/>
      <c r="AW34" s="38"/>
      <c r="BA34" s="39"/>
    </row>
    <row r="35" spans="1:53" s="28" customFormat="1" x14ac:dyDescent="0.15">
      <c r="A35" s="28">
        <v>1991</v>
      </c>
      <c r="B35" s="293"/>
      <c r="C35" s="394" t="s">
        <v>842</v>
      </c>
      <c r="D35" s="394"/>
      <c r="E35" s="28">
        <f>365-E34</f>
        <v>365</v>
      </c>
      <c r="G35" s="65"/>
      <c r="I35" s="28">
        <v>19</v>
      </c>
      <c r="J35" s="72">
        <v>19</v>
      </c>
      <c r="K35" s="46">
        <f t="shared" si="3"/>
        <v>0</v>
      </c>
      <c r="L35" s="46">
        <f t="shared" si="3"/>
        <v>0</v>
      </c>
      <c r="M35" s="46">
        <f t="shared" si="3"/>
        <v>100</v>
      </c>
      <c r="N35" s="67">
        <f t="shared" si="1"/>
        <v>100</v>
      </c>
      <c r="O35" s="45"/>
      <c r="P35" s="46"/>
      <c r="Q35" s="46">
        <v>50</v>
      </c>
      <c r="R35" s="47">
        <f t="shared" si="2"/>
        <v>50</v>
      </c>
      <c r="S35" s="28">
        <v>4</v>
      </c>
      <c r="T35" s="284"/>
      <c r="U35" s="293"/>
      <c r="V35" s="37" t="s">
        <v>475</v>
      </c>
      <c r="W35" s="28" t="s">
        <v>20</v>
      </c>
      <c r="X35" s="28" t="s">
        <v>12</v>
      </c>
      <c r="Y35" s="38">
        <v>50</v>
      </c>
      <c r="AD35" s="37"/>
      <c r="AG35" s="38"/>
      <c r="AL35" s="37"/>
      <c r="AO35" s="38"/>
      <c r="AP35" s="37"/>
      <c r="AS35" s="38"/>
      <c r="AW35" s="38"/>
      <c r="BA35" s="39"/>
    </row>
    <row r="36" spans="1:53" s="28" customFormat="1" x14ac:dyDescent="0.15">
      <c r="A36" s="28">
        <v>1992</v>
      </c>
      <c r="B36" s="293"/>
      <c r="C36" s="394" t="s">
        <v>842</v>
      </c>
      <c r="D36" s="394"/>
      <c r="E36" s="28">
        <v>0</v>
      </c>
      <c r="G36" s="65"/>
      <c r="I36" s="28">
        <v>18</v>
      </c>
      <c r="J36" s="72">
        <v>18</v>
      </c>
      <c r="K36" s="46">
        <f t="shared" si="3"/>
        <v>0</v>
      </c>
      <c r="L36" s="46">
        <f t="shared" si="3"/>
        <v>0</v>
      </c>
      <c r="M36" s="46">
        <f t="shared" si="3"/>
        <v>100</v>
      </c>
      <c r="N36" s="67">
        <f t="shared" si="1"/>
        <v>100</v>
      </c>
      <c r="O36" s="45"/>
      <c r="P36" s="46"/>
      <c r="Q36" s="46">
        <v>50</v>
      </c>
      <c r="R36" s="47">
        <f t="shared" si="2"/>
        <v>50</v>
      </c>
      <c r="S36" s="28">
        <v>4</v>
      </c>
      <c r="T36" s="284"/>
      <c r="U36" s="293"/>
      <c r="V36" s="37" t="s">
        <v>475</v>
      </c>
      <c r="W36" s="28" t="s">
        <v>20</v>
      </c>
      <c r="X36" s="28" t="s">
        <v>12</v>
      </c>
      <c r="Y36" s="38">
        <v>50</v>
      </c>
      <c r="AD36" s="37"/>
      <c r="AG36" s="38"/>
      <c r="AL36" s="37"/>
      <c r="AO36" s="38"/>
      <c r="AP36" s="37"/>
      <c r="AS36" s="38"/>
      <c r="AW36" s="38"/>
      <c r="BA36" s="39"/>
    </row>
    <row r="37" spans="1:53" s="28" customFormat="1" x14ac:dyDescent="0.15">
      <c r="A37" s="28">
        <v>1992</v>
      </c>
      <c r="B37" s="293"/>
      <c r="C37" s="394" t="s">
        <v>842</v>
      </c>
      <c r="D37" s="394"/>
      <c r="E37" s="28">
        <v>366</v>
      </c>
      <c r="G37" s="65"/>
      <c r="I37" s="28">
        <v>18</v>
      </c>
      <c r="J37" s="72">
        <v>18</v>
      </c>
      <c r="K37" s="46">
        <f t="shared" si="3"/>
        <v>0</v>
      </c>
      <c r="L37" s="46">
        <f t="shared" si="3"/>
        <v>0</v>
      </c>
      <c r="M37" s="46">
        <f t="shared" si="3"/>
        <v>100</v>
      </c>
      <c r="N37" s="67">
        <f t="shared" si="1"/>
        <v>100</v>
      </c>
      <c r="O37" s="45"/>
      <c r="P37" s="46"/>
      <c r="Q37" s="46">
        <v>50</v>
      </c>
      <c r="R37" s="47">
        <f t="shared" si="2"/>
        <v>50</v>
      </c>
      <c r="S37" s="28">
        <v>4</v>
      </c>
      <c r="T37" s="284"/>
      <c r="U37" s="293"/>
      <c r="V37" s="37" t="s">
        <v>475</v>
      </c>
      <c r="W37" s="28" t="s">
        <v>20</v>
      </c>
      <c r="X37" s="28" t="s">
        <v>12</v>
      </c>
      <c r="Y37" s="38">
        <v>50</v>
      </c>
      <c r="AD37" s="37"/>
      <c r="AG37" s="38"/>
      <c r="AL37" s="37"/>
      <c r="AO37" s="38"/>
      <c r="AP37" s="37"/>
      <c r="AS37" s="38"/>
      <c r="AW37" s="38"/>
      <c r="BA37" s="39"/>
    </row>
    <row r="38" spans="1:53" s="28" customFormat="1" x14ac:dyDescent="0.15">
      <c r="A38" s="28">
        <v>1993</v>
      </c>
      <c r="B38" s="293"/>
      <c r="C38" s="394" t="s">
        <v>842</v>
      </c>
      <c r="D38" s="394"/>
      <c r="E38" s="28">
        <v>194</v>
      </c>
      <c r="G38" s="65"/>
      <c r="I38" s="28">
        <v>18</v>
      </c>
      <c r="J38" s="72">
        <v>18</v>
      </c>
      <c r="K38" s="46">
        <f t="shared" si="3"/>
        <v>0</v>
      </c>
      <c r="L38" s="46">
        <f t="shared" si="3"/>
        <v>0</v>
      </c>
      <c r="M38" s="46">
        <f t="shared" si="3"/>
        <v>100</v>
      </c>
      <c r="N38" s="67">
        <f t="shared" si="1"/>
        <v>100</v>
      </c>
      <c r="O38" s="45"/>
      <c r="P38" s="46"/>
      <c r="Q38" s="46">
        <v>50</v>
      </c>
      <c r="R38" s="47">
        <f t="shared" si="2"/>
        <v>50</v>
      </c>
      <c r="S38" s="28">
        <v>4</v>
      </c>
      <c r="T38" s="284"/>
      <c r="U38" s="293"/>
      <c r="V38" s="37" t="s">
        <v>475</v>
      </c>
      <c r="W38" s="28" t="s">
        <v>20</v>
      </c>
      <c r="X38" s="28" t="s">
        <v>12</v>
      </c>
      <c r="Y38" s="38">
        <v>50</v>
      </c>
      <c r="AD38" s="37"/>
      <c r="AG38" s="38"/>
      <c r="AL38" s="37"/>
      <c r="AO38" s="38"/>
      <c r="AP38" s="37"/>
      <c r="AS38" s="38"/>
      <c r="AW38" s="38"/>
      <c r="BA38" s="39"/>
    </row>
    <row r="39" spans="1:53" s="170" customFormat="1" x14ac:dyDescent="0.15">
      <c r="A39" s="170">
        <v>1993</v>
      </c>
      <c r="B39" s="281">
        <v>34164</v>
      </c>
      <c r="C39" s="395" t="s">
        <v>843</v>
      </c>
      <c r="D39" s="395"/>
      <c r="E39" s="170">
        <f>365-E38</f>
        <v>171</v>
      </c>
      <c r="F39" s="170">
        <v>1</v>
      </c>
      <c r="G39" s="232"/>
      <c r="I39" s="170">
        <v>18</v>
      </c>
      <c r="J39" s="240">
        <v>18</v>
      </c>
      <c r="K39" s="213">
        <f t="shared" si="3"/>
        <v>0</v>
      </c>
      <c r="L39" s="213">
        <f t="shared" si="3"/>
        <v>0</v>
      </c>
      <c r="M39" s="213">
        <f t="shared" si="3"/>
        <v>100</v>
      </c>
      <c r="N39" s="234">
        <f t="shared" si="1"/>
        <v>100</v>
      </c>
      <c r="O39" s="212"/>
      <c r="P39" s="213"/>
      <c r="Q39" s="213">
        <v>45.4</v>
      </c>
      <c r="R39" s="214">
        <f t="shared" si="2"/>
        <v>45.4</v>
      </c>
      <c r="S39" s="170">
        <v>4</v>
      </c>
      <c r="T39" s="283">
        <v>34126</v>
      </c>
      <c r="U39" s="281">
        <v>34164</v>
      </c>
      <c r="V39" s="177" t="s">
        <v>475</v>
      </c>
      <c r="W39" s="170" t="s">
        <v>20</v>
      </c>
      <c r="X39" s="170" t="s">
        <v>12</v>
      </c>
      <c r="Y39" s="178">
        <v>45.4</v>
      </c>
      <c r="AD39" s="177"/>
      <c r="AG39" s="178"/>
      <c r="AL39" s="177"/>
      <c r="AO39" s="178"/>
      <c r="AP39" s="177"/>
      <c r="AS39" s="178"/>
      <c r="AW39" s="178"/>
      <c r="BA39" s="179"/>
    </row>
    <row r="40" spans="1:53" s="170" customFormat="1" x14ac:dyDescent="0.15">
      <c r="A40" s="170">
        <v>1994</v>
      </c>
      <c r="B40" s="281"/>
      <c r="C40" s="395" t="s">
        <v>843</v>
      </c>
      <c r="D40" s="395"/>
      <c r="E40" s="170">
        <v>0</v>
      </c>
      <c r="G40" s="232"/>
      <c r="I40" s="170">
        <v>18</v>
      </c>
      <c r="J40" s="240">
        <v>18</v>
      </c>
      <c r="K40" s="213">
        <f t="shared" si="3"/>
        <v>0</v>
      </c>
      <c r="L40" s="213">
        <f t="shared" si="3"/>
        <v>0</v>
      </c>
      <c r="M40" s="213">
        <f t="shared" si="3"/>
        <v>100</v>
      </c>
      <c r="N40" s="234">
        <f t="shared" si="1"/>
        <v>100</v>
      </c>
      <c r="O40" s="212"/>
      <c r="P40" s="213"/>
      <c r="Q40" s="213">
        <v>45.4</v>
      </c>
      <c r="R40" s="214">
        <f t="shared" si="2"/>
        <v>45.4</v>
      </c>
      <c r="S40" s="170">
        <v>4</v>
      </c>
      <c r="T40" s="283"/>
      <c r="U40" s="281"/>
      <c r="V40" s="177" t="s">
        <v>475</v>
      </c>
      <c r="W40" s="170" t="s">
        <v>20</v>
      </c>
      <c r="X40" s="170" t="s">
        <v>12</v>
      </c>
      <c r="Y40" s="178">
        <v>45.4</v>
      </c>
      <c r="AD40" s="177"/>
      <c r="AG40" s="178"/>
      <c r="AL40" s="177"/>
      <c r="AO40" s="178"/>
      <c r="AP40" s="177"/>
      <c r="AS40" s="178"/>
      <c r="AW40" s="178"/>
      <c r="BA40" s="179"/>
    </row>
    <row r="41" spans="1:53" s="170" customFormat="1" x14ac:dyDescent="0.15">
      <c r="A41" s="170">
        <v>1994</v>
      </c>
      <c r="B41" s="281"/>
      <c r="C41" s="395" t="s">
        <v>843</v>
      </c>
      <c r="D41" s="395"/>
      <c r="E41" s="170">
        <f>365-E40</f>
        <v>365</v>
      </c>
      <c r="G41" s="232"/>
      <c r="I41" s="170">
        <v>18</v>
      </c>
      <c r="J41" s="240">
        <v>18</v>
      </c>
      <c r="K41" s="213">
        <f t="shared" si="3"/>
        <v>0</v>
      </c>
      <c r="L41" s="213">
        <f t="shared" si="3"/>
        <v>0</v>
      </c>
      <c r="M41" s="213">
        <f t="shared" si="3"/>
        <v>100</v>
      </c>
      <c r="N41" s="234">
        <f t="shared" si="1"/>
        <v>100</v>
      </c>
      <c r="O41" s="212"/>
      <c r="P41" s="213"/>
      <c r="Q41" s="213">
        <v>45.4</v>
      </c>
      <c r="R41" s="214">
        <f t="shared" si="2"/>
        <v>45.4</v>
      </c>
      <c r="S41" s="170">
        <v>4</v>
      </c>
      <c r="T41" s="283"/>
      <c r="U41" s="281"/>
      <c r="V41" s="177" t="s">
        <v>475</v>
      </c>
      <c r="W41" s="170" t="s">
        <v>20</v>
      </c>
      <c r="X41" s="170" t="s">
        <v>12</v>
      </c>
      <c r="Y41" s="178">
        <v>45.4</v>
      </c>
      <c r="AD41" s="177"/>
      <c r="AG41" s="178"/>
      <c r="AL41" s="177"/>
      <c r="AO41" s="178"/>
      <c r="AP41" s="177"/>
      <c r="AS41" s="178"/>
      <c r="AW41" s="178"/>
      <c r="BA41" s="179"/>
    </row>
    <row r="42" spans="1:53" s="170" customFormat="1" x14ac:dyDescent="0.15">
      <c r="A42" s="170">
        <v>1995</v>
      </c>
      <c r="B42" s="281"/>
      <c r="C42" s="395" t="s">
        <v>843</v>
      </c>
      <c r="D42" s="395"/>
      <c r="E42" s="170">
        <v>0</v>
      </c>
      <c r="G42" s="232"/>
      <c r="I42" s="170">
        <v>18</v>
      </c>
      <c r="J42" s="240">
        <v>18</v>
      </c>
      <c r="K42" s="213">
        <f t="shared" si="3"/>
        <v>0</v>
      </c>
      <c r="L42" s="213">
        <f t="shared" si="3"/>
        <v>0</v>
      </c>
      <c r="M42" s="213">
        <f t="shared" si="3"/>
        <v>100</v>
      </c>
      <c r="N42" s="234">
        <f t="shared" si="1"/>
        <v>100</v>
      </c>
      <c r="O42" s="212"/>
      <c r="P42" s="213"/>
      <c r="Q42" s="213">
        <v>45.4</v>
      </c>
      <c r="R42" s="214">
        <f t="shared" si="2"/>
        <v>45.4</v>
      </c>
      <c r="S42" s="170">
        <v>4</v>
      </c>
      <c r="T42" s="283"/>
      <c r="U42" s="281"/>
      <c r="V42" s="177" t="s">
        <v>475</v>
      </c>
      <c r="W42" s="170" t="s">
        <v>20</v>
      </c>
      <c r="X42" s="170" t="s">
        <v>12</v>
      </c>
      <c r="Y42" s="178">
        <v>45.4</v>
      </c>
      <c r="AD42" s="177"/>
      <c r="AG42" s="178"/>
      <c r="AL42" s="177"/>
      <c r="AO42" s="178"/>
      <c r="AP42" s="177"/>
      <c r="AS42" s="178"/>
      <c r="AW42" s="178"/>
      <c r="BA42" s="179"/>
    </row>
    <row r="43" spans="1:53" s="170" customFormat="1" x14ac:dyDescent="0.15">
      <c r="A43" s="170">
        <v>1995</v>
      </c>
      <c r="B43" s="281"/>
      <c r="C43" s="395" t="s">
        <v>843</v>
      </c>
      <c r="D43" s="395"/>
      <c r="E43" s="170">
        <f>365-E42</f>
        <v>365</v>
      </c>
      <c r="G43" s="232"/>
      <c r="I43" s="170">
        <v>18</v>
      </c>
      <c r="J43" s="240">
        <v>18</v>
      </c>
      <c r="K43" s="213">
        <f t="shared" si="3"/>
        <v>0</v>
      </c>
      <c r="L43" s="213">
        <f t="shared" si="3"/>
        <v>0</v>
      </c>
      <c r="M43" s="213">
        <f t="shared" si="3"/>
        <v>100</v>
      </c>
      <c r="N43" s="234">
        <f t="shared" si="1"/>
        <v>100</v>
      </c>
      <c r="O43" s="212"/>
      <c r="P43" s="213"/>
      <c r="Q43" s="213">
        <v>45.4</v>
      </c>
      <c r="R43" s="214">
        <f t="shared" si="2"/>
        <v>45.4</v>
      </c>
      <c r="S43" s="170">
        <v>4</v>
      </c>
      <c r="T43" s="283"/>
      <c r="U43" s="281"/>
      <c r="V43" s="177" t="s">
        <v>475</v>
      </c>
      <c r="W43" s="170" t="s">
        <v>20</v>
      </c>
      <c r="X43" s="170" t="s">
        <v>12</v>
      </c>
      <c r="Y43" s="178">
        <v>45.4</v>
      </c>
      <c r="AD43" s="177"/>
      <c r="AG43" s="178"/>
      <c r="AL43" s="177"/>
      <c r="AO43" s="178"/>
      <c r="AP43" s="177"/>
      <c r="AS43" s="178"/>
      <c r="AW43" s="178"/>
      <c r="BA43" s="179"/>
    </row>
    <row r="44" spans="1:53" s="170" customFormat="1" x14ac:dyDescent="0.15">
      <c r="A44" s="170">
        <v>1996</v>
      </c>
      <c r="B44" s="281"/>
      <c r="C44" s="395" t="s">
        <v>843</v>
      </c>
      <c r="D44" s="395"/>
      <c r="E44" s="170">
        <v>124</v>
      </c>
      <c r="G44" s="232"/>
      <c r="I44" s="170">
        <v>17</v>
      </c>
      <c r="J44" s="240">
        <v>17</v>
      </c>
      <c r="K44" s="213">
        <f t="shared" si="3"/>
        <v>0</v>
      </c>
      <c r="L44" s="213">
        <f t="shared" si="3"/>
        <v>0</v>
      </c>
      <c r="M44" s="213">
        <f t="shared" si="3"/>
        <v>100</v>
      </c>
      <c r="N44" s="234">
        <f t="shared" si="1"/>
        <v>100</v>
      </c>
      <c r="O44" s="212"/>
      <c r="P44" s="213"/>
      <c r="Q44" s="213">
        <v>45.4</v>
      </c>
      <c r="R44" s="214">
        <f t="shared" si="2"/>
        <v>45.4</v>
      </c>
      <c r="S44" s="170">
        <v>4</v>
      </c>
      <c r="T44" s="283"/>
      <c r="U44" s="281"/>
      <c r="V44" s="177" t="s">
        <v>475</v>
      </c>
      <c r="W44" s="170" t="s">
        <v>20</v>
      </c>
      <c r="X44" s="170" t="s">
        <v>12</v>
      </c>
      <c r="Y44" s="178">
        <v>45.4</v>
      </c>
      <c r="AD44" s="177"/>
      <c r="AG44" s="178"/>
      <c r="AL44" s="177"/>
      <c r="AO44" s="178"/>
      <c r="AP44" s="177"/>
      <c r="AS44" s="178"/>
      <c r="AW44" s="178"/>
      <c r="BA44" s="179"/>
    </row>
    <row r="45" spans="1:53" s="28" customFormat="1" x14ac:dyDescent="0.15">
      <c r="A45" s="28">
        <v>1996</v>
      </c>
      <c r="B45" s="293">
        <v>35189</v>
      </c>
      <c r="C45" s="394" t="s">
        <v>845</v>
      </c>
      <c r="D45" s="394"/>
      <c r="E45" s="28">
        <f>366-E44</f>
        <v>242</v>
      </c>
      <c r="F45" s="28">
        <v>1</v>
      </c>
      <c r="G45" s="65"/>
      <c r="H45" s="28">
        <v>15</v>
      </c>
      <c r="J45" s="72">
        <v>15</v>
      </c>
      <c r="K45" s="46">
        <f t="shared" si="3"/>
        <v>0</v>
      </c>
      <c r="L45" s="46">
        <f t="shared" si="3"/>
        <v>100</v>
      </c>
      <c r="M45" s="46">
        <f t="shared" si="3"/>
        <v>0</v>
      </c>
      <c r="N45" s="67">
        <f t="shared" si="1"/>
        <v>100</v>
      </c>
      <c r="O45" s="45"/>
      <c r="P45" s="46">
        <v>44.6</v>
      </c>
      <c r="Q45" s="46"/>
      <c r="R45" s="47">
        <f t="shared" si="2"/>
        <v>44.6</v>
      </c>
      <c r="S45" s="28">
        <v>4</v>
      </c>
      <c r="T45" s="284">
        <v>35127</v>
      </c>
      <c r="U45" s="293">
        <v>35189</v>
      </c>
      <c r="V45" s="37" t="s">
        <v>476</v>
      </c>
      <c r="W45" s="28" t="s">
        <v>75</v>
      </c>
      <c r="X45" s="28" t="s">
        <v>18</v>
      </c>
      <c r="Y45" s="38">
        <v>44.6</v>
      </c>
      <c r="AD45" s="37"/>
      <c r="AG45" s="38"/>
      <c r="AL45" s="37"/>
      <c r="AO45" s="38"/>
      <c r="AP45" s="37"/>
      <c r="AS45" s="38"/>
      <c r="AW45" s="38"/>
      <c r="BA45" s="39"/>
    </row>
    <row r="46" spans="1:53" s="28" customFormat="1" x14ac:dyDescent="0.15">
      <c r="A46" s="28">
        <v>1997</v>
      </c>
      <c r="B46" s="293"/>
      <c r="C46" s="394" t="s">
        <v>845</v>
      </c>
      <c r="D46" s="394"/>
      <c r="E46" s="28">
        <v>0</v>
      </c>
      <c r="G46" s="65"/>
      <c r="H46" s="28">
        <v>15</v>
      </c>
      <c r="J46" s="72">
        <v>15</v>
      </c>
      <c r="K46" s="46">
        <f t="shared" si="3"/>
        <v>0</v>
      </c>
      <c r="L46" s="46">
        <f t="shared" si="3"/>
        <v>100</v>
      </c>
      <c r="M46" s="46">
        <f t="shared" si="3"/>
        <v>0</v>
      </c>
      <c r="N46" s="67">
        <f t="shared" si="1"/>
        <v>100</v>
      </c>
      <c r="O46" s="45"/>
      <c r="P46" s="46">
        <v>44.6</v>
      </c>
      <c r="Q46" s="46"/>
      <c r="R46" s="47">
        <f t="shared" si="2"/>
        <v>44.6</v>
      </c>
      <c r="S46" s="28">
        <v>4</v>
      </c>
      <c r="T46" s="284"/>
      <c r="U46" s="293"/>
      <c r="V46" s="37" t="s">
        <v>476</v>
      </c>
      <c r="W46" s="28" t="s">
        <v>75</v>
      </c>
      <c r="X46" s="28" t="s">
        <v>18</v>
      </c>
      <c r="Y46" s="38">
        <v>44.6</v>
      </c>
      <c r="AD46" s="37"/>
      <c r="AG46" s="38"/>
      <c r="AL46" s="37"/>
      <c r="AO46" s="38"/>
      <c r="AP46" s="37"/>
      <c r="AS46" s="38"/>
      <c r="AW46" s="38"/>
      <c r="BA46" s="39"/>
    </row>
    <row r="47" spans="1:53" s="28" customFormat="1" x14ac:dyDescent="0.15">
      <c r="A47" s="28">
        <v>1997</v>
      </c>
      <c r="B47" s="293"/>
      <c r="C47" s="394" t="s">
        <v>845</v>
      </c>
      <c r="D47" s="394"/>
      <c r="E47" s="28">
        <f>365-E46</f>
        <v>365</v>
      </c>
      <c r="G47" s="65"/>
      <c r="H47" s="28">
        <v>15</v>
      </c>
      <c r="J47" s="72">
        <v>15</v>
      </c>
      <c r="K47" s="46">
        <f t="shared" si="3"/>
        <v>0</v>
      </c>
      <c r="L47" s="46">
        <f t="shared" si="3"/>
        <v>100</v>
      </c>
      <c r="M47" s="46">
        <f t="shared" si="3"/>
        <v>0</v>
      </c>
      <c r="N47" s="67">
        <f t="shared" si="1"/>
        <v>100</v>
      </c>
      <c r="O47" s="45"/>
      <c r="P47" s="46">
        <v>44.6</v>
      </c>
      <c r="Q47" s="46"/>
      <c r="R47" s="47">
        <f t="shared" si="2"/>
        <v>44.6</v>
      </c>
      <c r="S47" s="28">
        <v>4</v>
      </c>
      <c r="T47" s="284"/>
      <c r="U47" s="293"/>
      <c r="V47" s="37" t="s">
        <v>476</v>
      </c>
      <c r="W47" s="28" t="s">
        <v>75</v>
      </c>
      <c r="X47" s="28" t="s">
        <v>18</v>
      </c>
      <c r="Y47" s="38">
        <v>44.6</v>
      </c>
      <c r="AD47" s="37"/>
      <c r="AG47" s="38"/>
      <c r="AL47" s="37"/>
      <c r="AO47" s="38"/>
      <c r="AP47" s="37"/>
      <c r="AS47" s="38"/>
      <c r="AW47" s="38"/>
      <c r="BA47" s="39"/>
    </row>
    <row r="48" spans="1:53" s="28" customFormat="1" x14ac:dyDescent="0.15">
      <c r="A48" s="28">
        <v>1998</v>
      </c>
      <c r="B48" s="293"/>
      <c r="C48" s="394" t="s">
        <v>845</v>
      </c>
      <c r="D48" s="394"/>
      <c r="E48" s="28">
        <v>0</v>
      </c>
      <c r="G48" s="65"/>
      <c r="H48" s="28">
        <v>15</v>
      </c>
      <c r="J48" s="72">
        <v>15</v>
      </c>
      <c r="K48" s="46">
        <f t="shared" si="3"/>
        <v>0</v>
      </c>
      <c r="L48" s="46">
        <f t="shared" si="3"/>
        <v>100</v>
      </c>
      <c r="M48" s="46">
        <f t="shared" si="3"/>
        <v>0</v>
      </c>
      <c r="N48" s="67">
        <f t="shared" si="1"/>
        <v>100</v>
      </c>
      <c r="O48" s="45"/>
      <c r="P48" s="46">
        <v>44.6</v>
      </c>
      <c r="Q48" s="46"/>
      <c r="R48" s="47">
        <f t="shared" si="2"/>
        <v>44.6</v>
      </c>
      <c r="S48" s="28">
        <v>4</v>
      </c>
      <c r="T48" s="284"/>
      <c r="U48" s="293"/>
      <c r="V48" s="37" t="s">
        <v>476</v>
      </c>
      <c r="W48" s="28" t="s">
        <v>75</v>
      </c>
      <c r="X48" s="28" t="s">
        <v>18</v>
      </c>
      <c r="Y48" s="38">
        <v>44.6</v>
      </c>
      <c r="AD48" s="37"/>
      <c r="AG48" s="38"/>
      <c r="AL48" s="37"/>
      <c r="AO48" s="38"/>
      <c r="AP48" s="37"/>
      <c r="AS48" s="38"/>
      <c r="AW48" s="38"/>
      <c r="BA48" s="39"/>
    </row>
    <row r="49" spans="1:53" s="28" customFormat="1" x14ac:dyDescent="0.15">
      <c r="A49" s="28">
        <v>1998</v>
      </c>
      <c r="B49" s="293"/>
      <c r="C49" s="394" t="s">
        <v>845</v>
      </c>
      <c r="D49" s="394"/>
      <c r="E49" s="28">
        <f>365-E48</f>
        <v>365</v>
      </c>
      <c r="G49" s="65"/>
      <c r="H49" s="28">
        <v>15</v>
      </c>
      <c r="J49" s="72">
        <v>15</v>
      </c>
      <c r="K49" s="46">
        <f t="shared" si="3"/>
        <v>0</v>
      </c>
      <c r="L49" s="46">
        <f t="shared" si="3"/>
        <v>100</v>
      </c>
      <c r="M49" s="46">
        <f t="shared" si="3"/>
        <v>0</v>
      </c>
      <c r="N49" s="67">
        <f t="shared" si="1"/>
        <v>100</v>
      </c>
      <c r="O49" s="45"/>
      <c r="P49" s="46">
        <v>44.6</v>
      </c>
      <c r="Q49" s="46"/>
      <c r="R49" s="47">
        <f t="shared" si="2"/>
        <v>44.6</v>
      </c>
      <c r="S49" s="28">
        <v>4</v>
      </c>
      <c r="T49" s="284"/>
      <c r="U49" s="293"/>
      <c r="V49" s="37" t="s">
        <v>476</v>
      </c>
      <c r="W49" s="28" t="s">
        <v>75</v>
      </c>
      <c r="X49" s="28" t="s">
        <v>18</v>
      </c>
      <c r="Y49" s="38">
        <v>44.6</v>
      </c>
      <c r="AD49" s="37"/>
      <c r="AG49" s="38"/>
      <c r="AL49" s="37"/>
      <c r="AO49" s="38"/>
      <c r="AP49" s="37"/>
      <c r="AS49" s="38"/>
      <c r="AW49" s="38"/>
      <c r="BA49" s="39"/>
    </row>
    <row r="50" spans="1:53" s="28" customFormat="1" x14ac:dyDescent="0.15">
      <c r="A50" s="28">
        <v>1999</v>
      </c>
      <c r="B50" s="293"/>
      <c r="C50" s="394" t="s">
        <v>845</v>
      </c>
      <c r="D50" s="394"/>
      <c r="E50" s="28">
        <v>0</v>
      </c>
      <c r="G50" s="65"/>
      <c r="H50" s="28">
        <v>14</v>
      </c>
      <c r="J50" s="72">
        <v>14</v>
      </c>
      <c r="K50" s="46">
        <f t="shared" si="3"/>
        <v>0</v>
      </c>
      <c r="L50" s="46">
        <f t="shared" si="3"/>
        <v>100</v>
      </c>
      <c r="M50" s="46">
        <f t="shared" si="3"/>
        <v>0</v>
      </c>
      <c r="N50" s="67">
        <f t="shared" si="1"/>
        <v>100</v>
      </c>
      <c r="O50" s="45"/>
      <c r="P50" s="46">
        <v>44.6</v>
      </c>
      <c r="Q50" s="46"/>
      <c r="R50" s="47">
        <f t="shared" si="2"/>
        <v>44.6</v>
      </c>
      <c r="S50" s="28">
        <v>4</v>
      </c>
      <c r="T50" s="284"/>
      <c r="U50" s="293"/>
      <c r="V50" s="37" t="s">
        <v>476</v>
      </c>
      <c r="W50" s="28" t="s">
        <v>75</v>
      </c>
      <c r="X50" s="28" t="s">
        <v>18</v>
      </c>
      <c r="Y50" s="38">
        <v>44.6</v>
      </c>
      <c r="AD50" s="37"/>
      <c r="AG50" s="38"/>
      <c r="AL50" s="37"/>
      <c r="AO50" s="38"/>
      <c r="AP50" s="37"/>
      <c r="AS50" s="38"/>
      <c r="AW50" s="38"/>
      <c r="BA50" s="39"/>
    </row>
    <row r="51" spans="1:53" s="28" customFormat="1" x14ac:dyDescent="0.15">
      <c r="A51" s="28">
        <v>1999</v>
      </c>
      <c r="B51" s="293"/>
      <c r="C51" s="394" t="s">
        <v>845</v>
      </c>
      <c r="D51" s="394"/>
      <c r="E51" s="28">
        <f>365-E50</f>
        <v>365</v>
      </c>
      <c r="G51" s="65"/>
      <c r="H51" s="28">
        <v>14</v>
      </c>
      <c r="J51" s="72">
        <v>14</v>
      </c>
      <c r="K51" s="46">
        <f t="shared" si="3"/>
        <v>0</v>
      </c>
      <c r="L51" s="46">
        <f t="shared" si="3"/>
        <v>100</v>
      </c>
      <c r="M51" s="46">
        <f t="shared" si="3"/>
        <v>0</v>
      </c>
      <c r="N51" s="67">
        <f t="shared" si="1"/>
        <v>100</v>
      </c>
      <c r="O51" s="45"/>
      <c r="P51" s="46">
        <v>44.6</v>
      </c>
      <c r="Q51" s="46"/>
      <c r="R51" s="47">
        <f t="shared" si="2"/>
        <v>44.6</v>
      </c>
      <c r="S51" s="28">
        <v>4</v>
      </c>
      <c r="T51" s="284"/>
      <c r="U51" s="293"/>
      <c r="V51" s="37" t="s">
        <v>476</v>
      </c>
      <c r="W51" s="28" t="s">
        <v>75</v>
      </c>
      <c r="X51" s="28" t="s">
        <v>18</v>
      </c>
      <c r="Y51" s="38">
        <v>44.6</v>
      </c>
      <c r="AD51" s="37"/>
      <c r="AG51" s="38"/>
      <c r="AL51" s="37"/>
      <c r="AO51" s="38"/>
      <c r="AP51" s="37"/>
      <c r="AS51" s="38"/>
      <c r="AW51" s="38"/>
      <c r="BA51" s="39"/>
    </row>
    <row r="52" spans="1:53" s="28" customFormat="1" x14ac:dyDescent="0.15">
      <c r="A52" s="28">
        <v>2000</v>
      </c>
      <c r="B52" s="293"/>
      <c r="C52" s="394" t="s">
        <v>845</v>
      </c>
      <c r="D52" s="394"/>
      <c r="E52" s="28">
        <v>116</v>
      </c>
      <c r="G52" s="65"/>
      <c r="H52" s="28">
        <v>14</v>
      </c>
      <c r="J52" s="72">
        <v>14</v>
      </c>
      <c r="K52" s="46">
        <f t="shared" si="3"/>
        <v>0</v>
      </c>
      <c r="L52" s="46">
        <f t="shared" si="3"/>
        <v>100</v>
      </c>
      <c r="M52" s="46">
        <f t="shared" si="3"/>
        <v>0</v>
      </c>
      <c r="N52" s="67">
        <f t="shared" si="1"/>
        <v>100</v>
      </c>
      <c r="O52" s="45"/>
      <c r="P52" s="46">
        <v>44.6</v>
      </c>
      <c r="Q52" s="46"/>
      <c r="R52" s="47">
        <f t="shared" si="2"/>
        <v>44.6</v>
      </c>
      <c r="S52" s="28">
        <v>4</v>
      </c>
      <c r="T52" s="284"/>
      <c r="U52" s="293"/>
      <c r="V52" s="37" t="s">
        <v>476</v>
      </c>
      <c r="W52" s="28" t="s">
        <v>75</v>
      </c>
      <c r="X52" s="28" t="s">
        <v>18</v>
      </c>
      <c r="Y52" s="38">
        <v>44.6</v>
      </c>
      <c r="AD52" s="37"/>
      <c r="AG52" s="38"/>
      <c r="AL52" s="37"/>
      <c r="AO52" s="38"/>
      <c r="AP52" s="37"/>
      <c r="AS52" s="38"/>
      <c r="AW52" s="38"/>
      <c r="BA52" s="39"/>
    </row>
    <row r="53" spans="1:53" s="170" customFormat="1" x14ac:dyDescent="0.15">
      <c r="A53" s="170">
        <v>2000</v>
      </c>
      <c r="B53" s="281">
        <v>36642</v>
      </c>
      <c r="C53" s="395" t="s">
        <v>844</v>
      </c>
      <c r="D53" s="395"/>
      <c r="E53" s="170">
        <f>366-E52</f>
        <v>250</v>
      </c>
      <c r="F53" s="170">
        <v>1</v>
      </c>
      <c r="G53" s="232"/>
      <c r="H53" s="170">
        <v>16</v>
      </c>
      <c r="J53" s="240">
        <v>16</v>
      </c>
      <c r="K53" s="213">
        <f t="shared" si="3"/>
        <v>0</v>
      </c>
      <c r="L53" s="213">
        <f t="shared" si="3"/>
        <v>100</v>
      </c>
      <c r="M53" s="213">
        <f t="shared" si="3"/>
        <v>0</v>
      </c>
      <c r="N53" s="234">
        <f t="shared" si="1"/>
        <v>100</v>
      </c>
      <c r="O53" s="212"/>
      <c r="P53" s="213">
        <v>52.3</v>
      </c>
      <c r="Q53" s="213"/>
      <c r="R53" s="214">
        <f t="shared" si="2"/>
        <v>52.3</v>
      </c>
      <c r="S53" s="170">
        <v>1</v>
      </c>
      <c r="T53" s="283">
        <v>36597</v>
      </c>
      <c r="U53" s="281">
        <v>36642</v>
      </c>
      <c r="V53" s="177" t="s">
        <v>476</v>
      </c>
      <c r="W53" s="170" t="s">
        <v>75</v>
      </c>
      <c r="X53" s="170" t="s">
        <v>18</v>
      </c>
      <c r="Y53" s="178">
        <v>52.3</v>
      </c>
      <c r="AD53" s="177"/>
      <c r="AG53" s="178"/>
      <c r="AL53" s="177"/>
      <c r="AO53" s="178"/>
      <c r="AP53" s="177"/>
      <c r="AS53" s="178"/>
      <c r="AW53" s="178"/>
      <c r="BA53" s="179"/>
    </row>
    <row r="54" spans="1:53" s="170" customFormat="1" x14ac:dyDescent="0.15">
      <c r="A54" s="170">
        <v>2001</v>
      </c>
      <c r="B54" s="281"/>
      <c r="C54" s="395" t="s">
        <v>844</v>
      </c>
      <c r="D54" s="395"/>
      <c r="E54" s="170">
        <v>0</v>
      </c>
      <c r="G54" s="232"/>
      <c r="H54" s="170">
        <v>16</v>
      </c>
      <c r="J54" s="240">
        <v>16</v>
      </c>
      <c r="K54" s="213">
        <f t="shared" si="3"/>
        <v>0</v>
      </c>
      <c r="L54" s="213">
        <f t="shared" si="3"/>
        <v>100</v>
      </c>
      <c r="M54" s="213">
        <f t="shared" si="3"/>
        <v>0</v>
      </c>
      <c r="N54" s="234">
        <f t="shared" si="1"/>
        <v>100</v>
      </c>
      <c r="O54" s="212"/>
      <c r="P54" s="213">
        <v>52.3</v>
      </c>
      <c r="Q54" s="213"/>
      <c r="R54" s="214">
        <f t="shared" si="2"/>
        <v>52.3</v>
      </c>
      <c r="S54" s="170">
        <v>1</v>
      </c>
      <c r="T54" s="283"/>
      <c r="U54" s="281"/>
      <c r="V54" s="177" t="s">
        <v>476</v>
      </c>
      <c r="W54" s="170" t="s">
        <v>75</v>
      </c>
      <c r="X54" s="170" t="s">
        <v>18</v>
      </c>
      <c r="Y54" s="178">
        <v>52.3</v>
      </c>
      <c r="AD54" s="177"/>
      <c r="AG54" s="178"/>
      <c r="AL54" s="177"/>
      <c r="AO54" s="178"/>
      <c r="AP54" s="177"/>
      <c r="AS54" s="178"/>
      <c r="AW54" s="178"/>
      <c r="BA54" s="179"/>
    </row>
    <row r="55" spans="1:53" s="170" customFormat="1" x14ac:dyDescent="0.15">
      <c r="A55" s="170">
        <v>2001</v>
      </c>
      <c r="B55" s="281"/>
      <c r="C55" s="395" t="s">
        <v>844</v>
      </c>
      <c r="D55" s="395"/>
      <c r="E55" s="170">
        <f>365-E54</f>
        <v>365</v>
      </c>
      <c r="G55" s="232"/>
      <c r="H55" s="170">
        <v>16</v>
      </c>
      <c r="J55" s="240">
        <v>16</v>
      </c>
      <c r="K55" s="213">
        <f t="shared" si="3"/>
        <v>0</v>
      </c>
      <c r="L55" s="213">
        <f t="shared" si="3"/>
        <v>100</v>
      </c>
      <c r="M55" s="213">
        <f t="shared" si="3"/>
        <v>0</v>
      </c>
      <c r="N55" s="234">
        <f t="shared" si="1"/>
        <v>100</v>
      </c>
      <c r="O55" s="212"/>
      <c r="P55" s="213">
        <v>52.3</v>
      </c>
      <c r="Q55" s="213"/>
      <c r="R55" s="214">
        <f t="shared" si="2"/>
        <v>52.3</v>
      </c>
      <c r="S55" s="170">
        <v>1</v>
      </c>
      <c r="T55" s="283"/>
      <c r="U55" s="281"/>
      <c r="V55" s="177" t="s">
        <v>476</v>
      </c>
      <c r="W55" s="170" t="s">
        <v>75</v>
      </c>
      <c r="X55" s="170" t="s">
        <v>18</v>
      </c>
      <c r="Y55" s="178">
        <v>52.3</v>
      </c>
      <c r="AD55" s="177"/>
      <c r="AG55" s="178"/>
      <c r="AL55" s="177"/>
      <c r="AO55" s="178"/>
      <c r="AP55" s="177"/>
      <c r="AS55" s="178"/>
      <c r="AW55" s="178"/>
      <c r="BA55" s="179"/>
    </row>
    <row r="56" spans="1:53" s="170" customFormat="1" x14ac:dyDescent="0.15">
      <c r="A56" s="170">
        <v>2002</v>
      </c>
      <c r="B56" s="281"/>
      <c r="C56" s="395" t="s">
        <v>844</v>
      </c>
      <c r="D56" s="395"/>
      <c r="E56" s="170">
        <v>0</v>
      </c>
      <c r="G56" s="232"/>
      <c r="H56" s="170">
        <v>16</v>
      </c>
      <c r="J56" s="240">
        <v>16</v>
      </c>
      <c r="K56" s="213">
        <f t="shared" si="3"/>
        <v>0</v>
      </c>
      <c r="L56" s="213">
        <f t="shared" si="3"/>
        <v>100</v>
      </c>
      <c r="M56" s="213">
        <f t="shared" si="3"/>
        <v>0</v>
      </c>
      <c r="N56" s="234">
        <f t="shared" si="1"/>
        <v>100</v>
      </c>
      <c r="O56" s="212"/>
      <c r="P56" s="213">
        <v>52.3</v>
      </c>
      <c r="Q56" s="213"/>
      <c r="R56" s="214">
        <f t="shared" si="2"/>
        <v>52.3</v>
      </c>
      <c r="S56" s="170">
        <v>1</v>
      </c>
      <c r="T56" s="283"/>
      <c r="U56" s="281"/>
      <c r="V56" s="177" t="s">
        <v>476</v>
      </c>
      <c r="W56" s="170" t="s">
        <v>75</v>
      </c>
      <c r="X56" s="170" t="s">
        <v>18</v>
      </c>
      <c r="Y56" s="178">
        <v>52.3</v>
      </c>
      <c r="AD56" s="177"/>
      <c r="AG56" s="178"/>
      <c r="AL56" s="177"/>
      <c r="AO56" s="178"/>
      <c r="AP56" s="177"/>
      <c r="AS56" s="178"/>
      <c r="AW56" s="178"/>
      <c r="BA56" s="179"/>
    </row>
    <row r="57" spans="1:53" s="170" customFormat="1" x14ac:dyDescent="0.15">
      <c r="A57" s="170">
        <v>2002</v>
      </c>
      <c r="B57" s="281"/>
      <c r="C57" s="395" t="s">
        <v>844</v>
      </c>
      <c r="D57" s="395"/>
      <c r="E57" s="170">
        <f>365-E56</f>
        <v>365</v>
      </c>
      <c r="G57" s="232"/>
      <c r="H57" s="170">
        <v>16</v>
      </c>
      <c r="J57" s="240">
        <v>16</v>
      </c>
      <c r="K57" s="213">
        <f t="shared" si="3"/>
        <v>0</v>
      </c>
      <c r="L57" s="213">
        <f t="shared" si="3"/>
        <v>100</v>
      </c>
      <c r="M57" s="213">
        <f t="shared" si="3"/>
        <v>0</v>
      </c>
      <c r="N57" s="234">
        <f t="shared" si="1"/>
        <v>100</v>
      </c>
      <c r="O57" s="212"/>
      <c r="P57" s="213">
        <v>52.3</v>
      </c>
      <c r="Q57" s="213"/>
      <c r="R57" s="214">
        <f t="shared" si="2"/>
        <v>52.3</v>
      </c>
      <c r="S57" s="170">
        <v>1</v>
      </c>
      <c r="T57" s="283"/>
      <c r="U57" s="281"/>
      <c r="V57" s="177" t="s">
        <v>476</v>
      </c>
      <c r="W57" s="170" t="s">
        <v>75</v>
      </c>
      <c r="X57" s="170" t="s">
        <v>18</v>
      </c>
      <c r="Y57" s="178">
        <v>52.3</v>
      </c>
      <c r="AD57" s="177"/>
      <c r="AG57" s="178"/>
      <c r="AL57" s="177"/>
      <c r="AO57" s="178"/>
      <c r="AP57" s="177"/>
      <c r="AS57" s="178"/>
      <c r="AW57" s="178"/>
      <c r="BA57" s="179"/>
    </row>
    <row r="58" spans="1:53" s="170" customFormat="1" x14ac:dyDescent="0.15">
      <c r="A58" s="170">
        <v>2003</v>
      </c>
      <c r="B58" s="281"/>
      <c r="C58" s="395" t="s">
        <v>844</v>
      </c>
      <c r="D58" s="395"/>
      <c r="E58" s="170">
        <v>0</v>
      </c>
      <c r="G58" s="232"/>
      <c r="H58" s="170">
        <v>16</v>
      </c>
      <c r="J58" s="240">
        <v>16</v>
      </c>
      <c r="K58" s="213">
        <f t="shared" si="3"/>
        <v>0</v>
      </c>
      <c r="L58" s="213">
        <f t="shared" si="3"/>
        <v>100</v>
      </c>
      <c r="M58" s="213">
        <f t="shared" si="3"/>
        <v>0</v>
      </c>
      <c r="N58" s="234">
        <f t="shared" si="1"/>
        <v>100</v>
      </c>
      <c r="O58" s="212"/>
      <c r="P58" s="213">
        <v>52.3</v>
      </c>
      <c r="Q58" s="213"/>
      <c r="R58" s="214">
        <f t="shared" si="2"/>
        <v>52.3</v>
      </c>
      <c r="S58" s="170">
        <v>1</v>
      </c>
      <c r="T58" s="283"/>
      <c r="U58" s="281"/>
      <c r="V58" s="177" t="s">
        <v>476</v>
      </c>
      <c r="W58" s="170" t="s">
        <v>75</v>
      </c>
      <c r="X58" s="170" t="s">
        <v>18</v>
      </c>
      <c r="Y58" s="178">
        <v>52.3</v>
      </c>
      <c r="AD58" s="177"/>
      <c r="AG58" s="178"/>
      <c r="AL58" s="177"/>
      <c r="AO58" s="178"/>
      <c r="AP58" s="177"/>
      <c r="AS58" s="178"/>
      <c r="AW58" s="178"/>
      <c r="BA58" s="179"/>
    </row>
    <row r="59" spans="1:53" s="170" customFormat="1" x14ac:dyDescent="0.15">
      <c r="A59" s="170">
        <v>2003</v>
      </c>
      <c r="B59" s="281"/>
      <c r="C59" s="395" t="s">
        <v>844</v>
      </c>
      <c r="D59" s="395"/>
      <c r="E59" s="170">
        <f>365-E58</f>
        <v>365</v>
      </c>
      <c r="G59" s="232"/>
      <c r="H59" s="170">
        <v>16</v>
      </c>
      <c r="J59" s="240">
        <v>16</v>
      </c>
      <c r="K59" s="213">
        <f t="shared" si="3"/>
        <v>0</v>
      </c>
      <c r="L59" s="213">
        <f t="shared" si="3"/>
        <v>100</v>
      </c>
      <c r="M59" s="213">
        <f t="shared" si="3"/>
        <v>0</v>
      </c>
      <c r="N59" s="234">
        <f t="shared" si="1"/>
        <v>100</v>
      </c>
      <c r="O59" s="212"/>
      <c r="P59" s="213">
        <v>52.3</v>
      </c>
      <c r="Q59" s="213"/>
      <c r="R59" s="214">
        <f t="shared" si="2"/>
        <v>52.3</v>
      </c>
      <c r="S59" s="170">
        <v>1</v>
      </c>
      <c r="T59" s="283"/>
      <c r="U59" s="281"/>
      <c r="V59" s="177" t="s">
        <v>476</v>
      </c>
      <c r="W59" s="170" t="s">
        <v>75</v>
      </c>
      <c r="X59" s="170" t="s">
        <v>18</v>
      </c>
      <c r="Y59" s="178">
        <v>52.3</v>
      </c>
      <c r="AD59" s="177"/>
      <c r="AG59" s="178"/>
      <c r="AL59" s="177"/>
      <c r="AO59" s="178"/>
      <c r="AP59" s="177"/>
      <c r="AS59" s="178"/>
      <c r="AW59" s="178"/>
      <c r="BA59" s="179"/>
    </row>
    <row r="60" spans="1:53" s="170" customFormat="1" x14ac:dyDescent="0.15">
      <c r="A60" s="170">
        <v>2004</v>
      </c>
      <c r="B60" s="281"/>
      <c r="C60" s="395" t="s">
        <v>844</v>
      </c>
      <c r="D60" s="395"/>
      <c r="E60" s="170">
        <v>107</v>
      </c>
      <c r="G60" s="232"/>
      <c r="H60" s="170">
        <v>16</v>
      </c>
      <c r="J60" s="240">
        <v>16</v>
      </c>
      <c r="K60" s="213">
        <f t="shared" si="3"/>
        <v>0</v>
      </c>
      <c r="L60" s="213">
        <f t="shared" si="3"/>
        <v>100</v>
      </c>
      <c r="M60" s="213">
        <f t="shared" si="3"/>
        <v>0</v>
      </c>
      <c r="N60" s="234">
        <f t="shared" si="1"/>
        <v>100</v>
      </c>
      <c r="O60" s="212"/>
      <c r="P60" s="213">
        <v>52.3</v>
      </c>
      <c r="Q60" s="213"/>
      <c r="R60" s="214">
        <f t="shared" si="2"/>
        <v>52.3</v>
      </c>
      <c r="S60" s="170">
        <v>1</v>
      </c>
      <c r="T60" s="283"/>
      <c r="U60" s="281"/>
      <c r="V60" s="177" t="s">
        <v>476</v>
      </c>
      <c r="W60" s="170" t="s">
        <v>75</v>
      </c>
      <c r="X60" s="170" t="s">
        <v>18</v>
      </c>
      <c r="Y60" s="178">
        <v>52.3</v>
      </c>
      <c r="AD60" s="177"/>
      <c r="AG60" s="178"/>
      <c r="AL60" s="177"/>
      <c r="AO60" s="178"/>
      <c r="AP60" s="177"/>
      <c r="AS60" s="178"/>
      <c r="AW60" s="178"/>
      <c r="BA60" s="179"/>
    </row>
    <row r="61" spans="1:53" s="28" customFormat="1" x14ac:dyDescent="0.15">
      <c r="A61" s="28">
        <v>2004</v>
      </c>
      <c r="B61" s="293">
        <v>38094</v>
      </c>
      <c r="C61" s="394" t="s">
        <v>846</v>
      </c>
      <c r="D61" s="394"/>
      <c r="E61" s="28">
        <f>366-E60</f>
        <v>259</v>
      </c>
      <c r="F61" s="28">
        <v>1</v>
      </c>
      <c r="G61" s="65"/>
      <c r="I61" s="28">
        <v>17</v>
      </c>
      <c r="J61" s="72">
        <v>17</v>
      </c>
      <c r="K61" s="46">
        <f t="shared" si="3"/>
        <v>0</v>
      </c>
      <c r="L61" s="46">
        <f t="shared" si="3"/>
        <v>0</v>
      </c>
      <c r="M61" s="46">
        <f t="shared" si="3"/>
        <v>100</v>
      </c>
      <c r="N61" s="67">
        <f t="shared" si="1"/>
        <v>100</v>
      </c>
      <c r="O61" s="45"/>
      <c r="P61" s="46"/>
      <c r="Q61" s="46">
        <v>46.9</v>
      </c>
      <c r="R61" s="47">
        <f t="shared" si="2"/>
        <v>46.9</v>
      </c>
      <c r="S61" s="28">
        <v>4</v>
      </c>
      <c r="T61" s="284">
        <v>38060</v>
      </c>
      <c r="U61" s="293">
        <v>38094</v>
      </c>
      <c r="V61" s="37" t="s">
        <v>475</v>
      </c>
      <c r="W61" s="28" t="s">
        <v>20</v>
      </c>
      <c r="X61" s="28" t="s">
        <v>12</v>
      </c>
      <c r="Y61" s="38">
        <v>46.9</v>
      </c>
      <c r="AD61" s="37"/>
      <c r="AG61" s="38"/>
      <c r="AL61" s="37"/>
      <c r="AO61" s="38"/>
      <c r="AP61" s="37"/>
      <c r="AS61" s="38"/>
      <c r="AW61" s="38"/>
      <c r="BA61" s="39"/>
    </row>
    <row r="62" spans="1:53" s="28" customFormat="1" x14ac:dyDescent="0.15">
      <c r="A62" s="28">
        <v>2005</v>
      </c>
      <c r="B62" s="293"/>
      <c r="C62" s="394" t="s">
        <v>846</v>
      </c>
      <c r="D62" s="394"/>
      <c r="E62" s="28">
        <v>0</v>
      </c>
      <c r="G62" s="65"/>
      <c r="I62" s="28">
        <v>17</v>
      </c>
      <c r="J62" s="72">
        <v>17</v>
      </c>
      <c r="K62" s="46">
        <f t="shared" si="3"/>
        <v>0</v>
      </c>
      <c r="L62" s="46">
        <f t="shared" si="3"/>
        <v>0</v>
      </c>
      <c r="M62" s="46">
        <f t="shared" si="3"/>
        <v>100</v>
      </c>
      <c r="N62" s="67">
        <f t="shared" si="1"/>
        <v>100</v>
      </c>
      <c r="O62" s="45"/>
      <c r="P62" s="46"/>
      <c r="Q62" s="46">
        <v>46.9</v>
      </c>
      <c r="R62" s="47">
        <f t="shared" si="2"/>
        <v>46.9</v>
      </c>
      <c r="S62" s="28">
        <v>4</v>
      </c>
      <c r="T62" s="284"/>
      <c r="U62" s="293"/>
      <c r="V62" s="37" t="s">
        <v>475</v>
      </c>
      <c r="W62" s="28" t="s">
        <v>20</v>
      </c>
      <c r="X62" s="28" t="s">
        <v>12</v>
      </c>
      <c r="Y62" s="38">
        <v>46.9</v>
      </c>
      <c r="AD62" s="37"/>
      <c r="AG62" s="38"/>
      <c r="AL62" s="37"/>
      <c r="AO62" s="38"/>
      <c r="AP62" s="37"/>
      <c r="AS62" s="38"/>
      <c r="AW62" s="38"/>
      <c r="BA62" s="39"/>
    </row>
    <row r="63" spans="1:53" s="28" customFormat="1" x14ac:dyDescent="0.15">
      <c r="A63" s="28">
        <v>2005</v>
      </c>
      <c r="B63" s="293"/>
      <c r="C63" s="394" t="s">
        <v>846</v>
      </c>
      <c r="D63" s="394"/>
      <c r="E63" s="28">
        <f>365-E62</f>
        <v>365</v>
      </c>
      <c r="G63" s="65"/>
      <c r="I63" s="28">
        <v>17</v>
      </c>
      <c r="J63" s="72">
        <v>17</v>
      </c>
      <c r="K63" s="46">
        <f t="shared" si="3"/>
        <v>0</v>
      </c>
      <c r="L63" s="46">
        <f t="shared" si="3"/>
        <v>0</v>
      </c>
      <c r="M63" s="46">
        <f t="shared" si="3"/>
        <v>100</v>
      </c>
      <c r="N63" s="67">
        <f t="shared" si="1"/>
        <v>100</v>
      </c>
      <c r="O63" s="45"/>
      <c r="P63" s="46"/>
      <c r="Q63" s="46">
        <v>46.9</v>
      </c>
      <c r="R63" s="47">
        <f t="shared" si="2"/>
        <v>46.9</v>
      </c>
      <c r="S63" s="28">
        <v>4</v>
      </c>
      <c r="T63" s="284"/>
      <c r="U63" s="293"/>
      <c r="V63" s="37" t="s">
        <v>475</v>
      </c>
      <c r="W63" s="28" t="s">
        <v>20</v>
      </c>
      <c r="X63" s="28" t="s">
        <v>12</v>
      </c>
      <c r="Y63" s="38">
        <v>46.9</v>
      </c>
      <c r="AD63" s="37"/>
      <c r="AG63" s="38"/>
      <c r="AL63" s="37"/>
      <c r="AO63" s="38"/>
      <c r="AP63" s="37"/>
      <c r="AS63" s="38"/>
      <c r="AW63" s="38"/>
      <c r="BA63" s="39"/>
    </row>
    <row r="64" spans="1:53" s="28" customFormat="1" x14ac:dyDescent="0.15">
      <c r="A64" s="28">
        <v>2006</v>
      </c>
      <c r="B64" s="293"/>
      <c r="C64" s="394" t="s">
        <v>846</v>
      </c>
      <c r="D64" s="394"/>
      <c r="E64" s="28">
        <v>0</v>
      </c>
      <c r="G64" s="65"/>
      <c r="I64" s="28">
        <v>17</v>
      </c>
      <c r="J64" s="72">
        <v>17</v>
      </c>
      <c r="K64" s="46">
        <f t="shared" si="3"/>
        <v>0</v>
      </c>
      <c r="L64" s="46">
        <f t="shared" si="3"/>
        <v>0</v>
      </c>
      <c r="M64" s="46">
        <f t="shared" si="3"/>
        <v>100</v>
      </c>
      <c r="N64" s="67">
        <f t="shared" si="1"/>
        <v>100</v>
      </c>
      <c r="O64" s="45"/>
      <c r="P64" s="46"/>
      <c r="Q64" s="46">
        <v>46.9</v>
      </c>
      <c r="R64" s="47">
        <f t="shared" si="2"/>
        <v>46.9</v>
      </c>
      <c r="S64" s="28">
        <v>4</v>
      </c>
      <c r="T64" s="284"/>
      <c r="U64" s="293"/>
      <c r="V64" s="37" t="s">
        <v>475</v>
      </c>
      <c r="W64" s="28" t="s">
        <v>20</v>
      </c>
      <c r="X64" s="28" t="s">
        <v>12</v>
      </c>
      <c r="Y64" s="38">
        <v>46.9</v>
      </c>
      <c r="AD64" s="37"/>
      <c r="AG64" s="38"/>
      <c r="AL64" s="37"/>
      <c r="AO64" s="38"/>
      <c r="AP64" s="37"/>
      <c r="AS64" s="38"/>
      <c r="AW64" s="38"/>
      <c r="BA64" s="39"/>
    </row>
    <row r="65" spans="1:53" s="28" customFormat="1" x14ac:dyDescent="0.15">
      <c r="A65" s="28">
        <v>2006</v>
      </c>
      <c r="B65" s="293"/>
      <c r="C65" s="394" t="s">
        <v>846</v>
      </c>
      <c r="D65" s="394"/>
      <c r="E65" s="28">
        <f>365-E64</f>
        <v>365</v>
      </c>
      <c r="G65" s="65"/>
      <c r="I65" s="28">
        <v>17</v>
      </c>
      <c r="J65" s="72">
        <v>17</v>
      </c>
      <c r="K65" s="46">
        <f t="shared" si="3"/>
        <v>0</v>
      </c>
      <c r="L65" s="46">
        <f t="shared" si="3"/>
        <v>0</v>
      </c>
      <c r="M65" s="46">
        <f t="shared" si="3"/>
        <v>100</v>
      </c>
      <c r="N65" s="67">
        <f t="shared" si="1"/>
        <v>100</v>
      </c>
      <c r="O65" s="45"/>
      <c r="P65" s="46"/>
      <c r="Q65" s="46">
        <v>46.9</v>
      </c>
      <c r="R65" s="47">
        <f t="shared" si="2"/>
        <v>46.9</v>
      </c>
      <c r="S65" s="28">
        <v>4</v>
      </c>
      <c r="T65" s="284"/>
      <c r="U65" s="293"/>
      <c r="V65" s="37" t="s">
        <v>475</v>
      </c>
      <c r="W65" s="28" t="s">
        <v>20</v>
      </c>
      <c r="X65" s="28" t="s">
        <v>12</v>
      </c>
      <c r="Y65" s="38">
        <v>46.9</v>
      </c>
      <c r="AD65" s="37"/>
      <c r="AG65" s="38"/>
      <c r="AL65" s="37"/>
      <c r="AO65" s="38"/>
      <c r="AP65" s="37"/>
      <c r="AS65" s="38"/>
      <c r="AW65" s="38"/>
      <c r="BA65" s="39"/>
    </row>
    <row r="66" spans="1:53" s="28" customFormat="1" x14ac:dyDescent="0.15">
      <c r="A66" s="28">
        <v>2007</v>
      </c>
      <c r="B66" s="293"/>
      <c r="C66" s="394" t="s">
        <v>846</v>
      </c>
      <c r="D66" s="394"/>
      <c r="E66" s="28">
        <v>0</v>
      </c>
      <c r="G66" s="65"/>
      <c r="I66" s="28">
        <v>17</v>
      </c>
      <c r="J66" s="72">
        <v>17</v>
      </c>
      <c r="K66" s="46">
        <f t="shared" si="3"/>
        <v>0</v>
      </c>
      <c r="L66" s="46">
        <f t="shared" si="3"/>
        <v>0</v>
      </c>
      <c r="M66" s="46">
        <f t="shared" si="3"/>
        <v>100</v>
      </c>
      <c r="N66" s="67">
        <f t="shared" si="1"/>
        <v>100</v>
      </c>
      <c r="O66" s="45"/>
      <c r="P66" s="46"/>
      <c r="Q66" s="46">
        <v>46.9</v>
      </c>
      <c r="R66" s="47">
        <f t="shared" si="2"/>
        <v>46.9</v>
      </c>
      <c r="S66" s="28">
        <v>4</v>
      </c>
      <c r="T66" s="284"/>
      <c r="U66" s="293"/>
      <c r="V66" s="37" t="s">
        <v>475</v>
      </c>
      <c r="W66" s="28" t="s">
        <v>20</v>
      </c>
      <c r="X66" s="28" t="s">
        <v>12</v>
      </c>
      <c r="Y66" s="38">
        <v>46.9</v>
      </c>
      <c r="AD66" s="37"/>
      <c r="AG66" s="38"/>
      <c r="AL66" s="37"/>
      <c r="AO66" s="38"/>
      <c r="AP66" s="37"/>
      <c r="AS66" s="38"/>
      <c r="AW66" s="38"/>
      <c r="BA66" s="39"/>
    </row>
    <row r="67" spans="1:53" s="28" customFormat="1" x14ac:dyDescent="0.15">
      <c r="A67" s="28">
        <v>2007</v>
      </c>
      <c r="B67" s="293"/>
      <c r="C67" s="394" t="s">
        <v>846</v>
      </c>
      <c r="D67" s="394"/>
      <c r="E67" s="28">
        <v>365</v>
      </c>
      <c r="G67" s="65"/>
      <c r="I67" s="28">
        <v>17</v>
      </c>
      <c r="J67" s="72">
        <v>17</v>
      </c>
      <c r="K67" s="46">
        <f t="shared" si="3"/>
        <v>0</v>
      </c>
      <c r="L67" s="46">
        <f t="shared" si="3"/>
        <v>0</v>
      </c>
      <c r="M67" s="46">
        <f t="shared" si="3"/>
        <v>100</v>
      </c>
      <c r="N67" s="67">
        <f t="shared" si="1"/>
        <v>100</v>
      </c>
      <c r="O67" s="45"/>
      <c r="P67" s="46"/>
      <c r="Q67" s="46">
        <v>46.9</v>
      </c>
      <c r="R67" s="47">
        <f t="shared" si="2"/>
        <v>46.9</v>
      </c>
      <c r="S67" s="28">
        <v>4</v>
      </c>
      <c r="T67" s="284"/>
      <c r="U67" s="293"/>
      <c r="V67" s="37" t="s">
        <v>475</v>
      </c>
      <c r="W67" s="28" t="s">
        <v>20</v>
      </c>
      <c r="X67" s="28" t="s">
        <v>12</v>
      </c>
      <c r="Y67" s="38">
        <v>46.9</v>
      </c>
      <c r="AD67" s="37"/>
      <c r="AG67" s="38"/>
      <c r="AL67" s="37"/>
      <c r="AO67" s="38"/>
      <c r="AP67" s="37"/>
      <c r="AS67" s="38"/>
      <c r="AW67" s="38"/>
      <c r="BA67" s="39"/>
    </row>
    <row r="68" spans="1:53" s="28" customFormat="1" x14ac:dyDescent="0.15">
      <c r="A68" s="28">
        <v>2008</v>
      </c>
      <c r="B68" s="293"/>
      <c r="C68" s="394" t="s">
        <v>846</v>
      </c>
      <c r="D68" s="394"/>
      <c r="E68" s="28">
        <v>98</v>
      </c>
      <c r="G68" s="65"/>
      <c r="I68" s="28">
        <v>17</v>
      </c>
      <c r="J68" s="72">
        <v>17</v>
      </c>
      <c r="K68" s="46">
        <f t="shared" si="3"/>
        <v>0</v>
      </c>
      <c r="L68" s="46">
        <f t="shared" si="3"/>
        <v>0</v>
      </c>
      <c r="M68" s="46">
        <f t="shared" si="3"/>
        <v>100</v>
      </c>
      <c r="N68" s="67">
        <f t="shared" si="1"/>
        <v>100</v>
      </c>
      <c r="O68" s="45"/>
      <c r="P68" s="46"/>
      <c r="Q68" s="46">
        <v>46.9</v>
      </c>
      <c r="R68" s="47">
        <f t="shared" si="2"/>
        <v>46.9</v>
      </c>
      <c r="S68" s="28">
        <v>4</v>
      </c>
      <c r="T68" s="284"/>
      <c r="U68" s="293"/>
      <c r="V68" s="37" t="s">
        <v>475</v>
      </c>
      <c r="W68" s="28" t="s">
        <v>20</v>
      </c>
      <c r="X68" s="28" t="s">
        <v>12</v>
      </c>
      <c r="Y68" s="38">
        <v>46.9</v>
      </c>
      <c r="AD68" s="37"/>
      <c r="AG68" s="38"/>
      <c r="AL68" s="37"/>
      <c r="AO68" s="38"/>
      <c r="AP68" s="37"/>
      <c r="AS68" s="38"/>
      <c r="AW68" s="38"/>
      <c r="BA68" s="39"/>
    </row>
    <row r="69" spans="1:53" s="170" customFormat="1" x14ac:dyDescent="0.15">
      <c r="A69" s="170">
        <v>2008</v>
      </c>
      <c r="B69" s="281">
        <v>39546</v>
      </c>
      <c r="C69" s="395" t="s">
        <v>847</v>
      </c>
      <c r="D69" s="395"/>
      <c r="E69" s="170">
        <f>366-E68</f>
        <v>268</v>
      </c>
      <c r="F69" s="170">
        <v>1</v>
      </c>
      <c r="G69" s="232"/>
      <c r="I69" s="170">
        <v>17</v>
      </c>
      <c r="J69" s="240">
        <v>17</v>
      </c>
      <c r="K69" s="213">
        <f t="shared" si="3"/>
        <v>0</v>
      </c>
      <c r="L69" s="213">
        <f t="shared" si="3"/>
        <v>0</v>
      </c>
      <c r="M69" s="213">
        <f t="shared" si="3"/>
        <v>100</v>
      </c>
      <c r="N69" s="234">
        <f t="shared" si="1"/>
        <v>100</v>
      </c>
      <c r="O69" s="212"/>
      <c r="P69" s="213"/>
      <c r="Q69" s="213">
        <v>48.28</v>
      </c>
      <c r="R69" s="214">
        <f t="shared" si="2"/>
        <v>48.28</v>
      </c>
      <c r="S69" s="170">
        <v>4</v>
      </c>
      <c r="T69" s="283">
        <v>39516</v>
      </c>
      <c r="U69" s="281">
        <v>39546</v>
      </c>
      <c r="V69" s="177" t="s">
        <v>475</v>
      </c>
      <c r="W69" s="170" t="s">
        <v>20</v>
      </c>
      <c r="X69" s="170" t="s">
        <v>12</v>
      </c>
      <c r="Y69" s="178">
        <v>48.3</v>
      </c>
      <c r="AD69" s="177"/>
      <c r="AG69" s="178"/>
      <c r="AL69" s="177"/>
      <c r="AO69" s="178"/>
      <c r="AP69" s="177"/>
      <c r="AS69" s="178"/>
      <c r="AW69" s="178"/>
      <c r="BA69" s="179"/>
    </row>
    <row r="70" spans="1:53" s="170" customFormat="1" x14ac:dyDescent="0.15">
      <c r="A70" s="170">
        <v>2009</v>
      </c>
      <c r="B70" s="281"/>
      <c r="C70" s="395" t="s">
        <v>847</v>
      </c>
      <c r="D70" s="395"/>
      <c r="E70" s="170">
        <v>96</v>
      </c>
      <c r="G70" s="232"/>
      <c r="I70" s="170">
        <v>17</v>
      </c>
      <c r="J70" s="240">
        <v>17</v>
      </c>
      <c r="K70" s="213">
        <f t="shared" si="3"/>
        <v>0</v>
      </c>
      <c r="L70" s="213">
        <f t="shared" si="3"/>
        <v>0</v>
      </c>
      <c r="M70" s="213">
        <f t="shared" si="3"/>
        <v>100</v>
      </c>
      <c r="N70" s="234">
        <f t="shared" si="1"/>
        <v>100</v>
      </c>
      <c r="O70" s="212"/>
      <c r="P70" s="213"/>
      <c r="Q70" s="213">
        <v>48.28</v>
      </c>
      <c r="R70" s="214">
        <f t="shared" si="2"/>
        <v>48.28</v>
      </c>
      <c r="S70" s="170">
        <v>4</v>
      </c>
      <c r="T70" s="283"/>
      <c r="U70" s="281"/>
      <c r="V70" s="177" t="s">
        <v>475</v>
      </c>
      <c r="W70" s="170" t="s">
        <v>20</v>
      </c>
      <c r="X70" s="170" t="s">
        <v>12</v>
      </c>
      <c r="Y70" s="178">
        <v>48.3</v>
      </c>
      <c r="AD70" s="177"/>
      <c r="AG70" s="178"/>
      <c r="AL70" s="177"/>
      <c r="AO70" s="178"/>
      <c r="AP70" s="177"/>
      <c r="AS70" s="178"/>
      <c r="AW70" s="178"/>
      <c r="BA70" s="179"/>
    </row>
    <row r="71" spans="1:53" s="170" customFormat="1" x14ac:dyDescent="0.15">
      <c r="A71" s="170">
        <v>2009</v>
      </c>
      <c r="B71" s="303">
        <v>39910</v>
      </c>
      <c r="C71" s="395" t="s">
        <v>847</v>
      </c>
      <c r="D71" s="395"/>
      <c r="E71" s="170">
        <f>365-E70</f>
        <v>269</v>
      </c>
      <c r="F71" s="243">
        <v>0</v>
      </c>
      <c r="G71" s="232"/>
      <c r="I71" s="170">
        <v>18</v>
      </c>
      <c r="J71" s="240">
        <v>18</v>
      </c>
      <c r="K71" s="213">
        <f t="shared" si="3"/>
        <v>0</v>
      </c>
      <c r="L71" s="213">
        <f t="shared" si="3"/>
        <v>0</v>
      </c>
      <c r="M71" s="213">
        <f t="shared" si="3"/>
        <v>100</v>
      </c>
      <c r="N71" s="234">
        <f t="shared" si="1"/>
        <v>100</v>
      </c>
      <c r="O71" s="212"/>
      <c r="P71" s="213"/>
      <c r="Q71" s="213">
        <v>48.28</v>
      </c>
      <c r="R71" s="214">
        <f t="shared" si="2"/>
        <v>48.28</v>
      </c>
      <c r="S71" s="170">
        <v>4</v>
      </c>
      <c r="T71" s="283"/>
      <c r="U71" s="281"/>
      <c r="V71" s="177" t="s">
        <v>475</v>
      </c>
      <c r="W71" s="170" t="s">
        <v>20</v>
      </c>
      <c r="X71" s="170" t="s">
        <v>12</v>
      </c>
      <c r="Y71" s="178">
        <v>48.3</v>
      </c>
      <c r="AD71" s="177"/>
      <c r="AG71" s="178"/>
      <c r="AL71" s="177"/>
      <c r="AO71" s="178"/>
      <c r="AP71" s="177"/>
      <c r="AS71" s="178"/>
      <c r="AW71" s="178"/>
      <c r="BA71" s="179"/>
    </row>
    <row r="72" spans="1:53" s="170" customFormat="1" x14ac:dyDescent="0.15">
      <c r="A72" s="170">
        <v>2010</v>
      </c>
      <c r="B72" s="281"/>
      <c r="C72" s="395" t="s">
        <v>847</v>
      </c>
      <c r="D72" s="395"/>
      <c r="E72" s="170">
        <v>292</v>
      </c>
      <c r="G72" s="232"/>
      <c r="I72" s="170">
        <v>18</v>
      </c>
      <c r="J72" s="240">
        <v>18</v>
      </c>
      <c r="K72" s="213">
        <f t="shared" si="3"/>
        <v>0</v>
      </c>
      <c r="L72" s="213">
        <f t="shared" si="3"/>
        <v>0</v>
      </c>
      <c r="M72" s="213">
        <f t="shared" si="3"/>
        <v>100</v>
      </c>
      <c r="N72" s="234">
        <f t="shared" ref="N72:N79" si="4">K72+L72+M72</f>
        <v>100</v>
      </c>
      <c r="O72" s="212"/>
      <c r="P72" s="213"/>
      <c r="Q72" s="213">
        <v>48.28</v>
      </c>
      <c r="R72" s="214">
        <f t="shared" ref="R72:R79" si="5">O72+P72+Q72</f>
        <v>48.28</v>
      </c>
      <c r="S72" s="170">
        <v>4</v>
      </c>
      <c r="T72" s="283"/>
      <c r="U72" s="281"/>
      <c r="V72" s="177" t="s">
        <v>475</v>
      </c>
      <c r="W72" s="170" t="s">
        <v>20</v>
      </c>
      <c r="X72" s="170" t="s">
        <v>12</v>
      </c>
      <c r="Y72" s="178">
        <v>48.3</v>
      </c>
      <c r="AD72" s="177"/>
      <c r="AG72" s="178"/>
      <c r="AL72" s="177"/>
      <c r="AO72" s="178"/>
      <c r="AP72" s="177"/>
      <c r="AS72" s="178"/>
      <c r="AW72" s="178"/>
      <c r="BA72" s="179"/>
    </row>
    <row r="73" spans="1:53" s="170" customFormat="1" x14ac:dyDescent="0.15">
      <c r="A73" s="170">
        <v>2010</v>
      </c>
      <c r="B73" s="303">
        <v>40471</v>
      </c>
      <c r="C73" s="395" t="s">
        <v>847</v>
      </c>
      <c r="D73" s="395"/>
      <c r="E73" s="170">
        <f>365-E72</f>
        <v>73</v>
      </c>
      <c r="F73" s="243">
        <v>0</v>
      </c>
      <c r="G73" s="232"/>
      <c r="I73" s="170">
        <v>15</v>
      </c>
      <c r="J73" s="240">
        <v>16</v>
      </c>
      <c r="K73" s="213">
        <f t="shared" si="3"/>
        <v>0</v>
      </c>
      <c r="L73" s="213">
        <f t="shared" si="3"/>
        <v>0</v>
      </c>
      <c r="M73" s="213">
        <f t="shared" si="3"/>
        <v>93.75</v>
      </c>
      <c r="N73" s="234">
        <f t="shared" si="4"/>
        <v>93.75</v>
      </c>
      <c r="O73" s="212"/>
      <c r="P73" s="213"/>
      <c r="Q73" s="213">
        <v>48.28</v>
      </c>
      <c r="R73" s="214">
        <f t="shared" si="5"/>
        <v>48.28</v>
      </c>
      <c r="S73" s="170">
        <v>4</v>
      </c>
      <c r="T73" s="283"/>
      <c r="U73" s="281"/>
      <c r="V73" s="177" t="s">
        <v>475</v>
      </c>
      <c r="W73" s="170" t="s">
        <v>20</v>
      </c>
      <c r="X73" s="170" t="s">
        <v>12</v>
      </c>
      <c r="Y73" s="178">
        <v>48.3</v>
      </c>
      <c r="AD73" s="177"/>
      <c r="AG73" s="178"/>
      <c r="AL73" s="177"/>
      <c r="AO73" s="178"/>
      <c r="AP73" s="177"/>
      <c r="AS73" s="178"/>
      <c r="AW73" s="178"/>
      <c r="BA73" s="179"/>
    </row>
    <row r="74" spans="1:53" s="170" customFormat="1" x14ac:dyDescent="0.15">
      <c r="A74" s="170">
        <v>2011</v>
      </c>
      <c r="B74" s="281"/>
      <c r="C74" s="395" t="s">
        <v>847</v>
      </c>
      <c r="D74" s="395"/>
      <c r="E74" s="170">
        <v>352</v>
      </c>
      <c r="G74" s="232"/>
      <c r="I74" s="170">
        <v>15</v>
      </c>
      <c r="J74" s="240">
        <v>16</v>
      </c>
      <c r="K74" s="213">
        <f t="shared" si="3"/>
        <v>0</v>
      </c>
      <c r="L74" s="213">
        <f t="shared" si="3"/>
        <v>0</v>
      </c>
      <c r="M74" s="213">
        <f t="shared" si="3"/>
        <v>93.75</v>
      </c>
      <c r="N74" s="234">
        <f t="shared" si="4"/>
        <v>93.75</v>
      </c>
      <c r="O74" s="212"/>
      <c r="P74" s="213"/>
      <c r="Q74" s="213">
        <v>48.28</v>
      </c>
      <c r="R74" s="214">
        <f t="shared" si="5"/>
        <v>48.28</v>
      </c>
      <c r="S74" s="170">
        <v>4</v>
      </c>
      <c r="T74" s="283"/>
      <c r="U74" s="281"/>
      <c r="V74" s="177" t="s">
        <v>475</v>
      </c>
      <c r="W74" s="170" t="s">
        <v>20</v>
      </c>
      <c r="X74" s="170" t="s">
        <v>12</v>
      </c>
      <c r="Y74" s="178">
        <v>48.3</v>
      </c>
      <c r="AD74" s="177"/>
      <c r="AG74" s="178"/>
      <c r="AL74" s="177"/>
      <c r="AO74" s="178"/>
      <c r="AP74" s="177"/>
      <c r="AS74" s="178"/>
      <c r="AW74" s="178"/>
      <c r="BA74" s="179"/>
    </row>
    <row r="75" spans="1:53" s="28" customFormat="1" x14ac:dyDescent="0.15">
      <c r="A75" s="28">
        <v>2011</v>
      </c>
      <c r="B75" s="293">
        <v>40896</v>
      </c>
      <c r="C75" s="424" t="s">
        <v>848</v>
      </c>
      <c r="D75" s="424"/>
      <c r="E75" s="28">
        <v>13</v>
      </c>
      <c r="F75" s="28">
        <v>1</v>
      </c>
      <c r="G75" s="65"/>
      <c r="H75" s="28">
        <v>14</v>
      </c>
      <c r="J75" s="72">
        <v>14</v>
      </c>
      <c r="K75" s="46">
        <f t="shared" si="3"/>
        <v>0</v>
      </c>
      <c r="L75" s="46">
        <f t="shared" si="3"/>
        <v>100</v>
      </c>
      <c r="M75" s="46">
        <f t="shared" si="3"/>
        <v>0</v>
      </c>
      <c r="N75" s="67">
        <f t="shared" si="4"/>
        <v>100</v>
      </c>
      <c r="O75" s="45"/>
      <c r="P75" s="46">
        <v>53.14</v>
      </c>
      <c r="Q75" s="46"/>
      <c r="R75" s="47">
        <f t="shared" si="5"/>
        <v>53.14</v>
      </c>
      <c r="S75" s="28">
        <v>1</v>
      </c>
      <c r="T75" s="284">
        <v>40867</v>
      </c>
      <c r="U75" s="293">
        <v>40896</v>
      </c>
      <c r="V75" s="37" t="s">
        <v>476</v>
      </c>
      <c r="W75" s="28" t="s">
        <v>75</v>
      </c>
      <c r="X75" s="28" t="s">
        <v>18</v>
      </c>
      <c r="Y75" s="38">
        <v>53.1</v>
      </c>
      <c r="AD75" s="37"/>
      <c r="AG75" s="38"/>
      <c r="AL75" s="37"/>
      <c r="AO75" s="38"/>
      <c r="AP75" s="37"/>
      <c r="AS75" s="38"/>
      <c r="AW75" s="38"/>
      <c r="BA75" s="39"/>
    </row>
    <row r="76" spans="1:53" s="28" customFormat="1" x14ac:dyDescent="0.15">
      <c r="A76" s="28">
        <v>2012</v>
      </c>
      <c r="B76" s="293"/>
      <c r="C76" s="424" t="s">
        <v>848</v>
      </c>
      <c r="D76" s="424"/>
      <c r="E76" s="28">
        <v>0</v>
      </c>
      <c r="G76" s="65"/>
      <c r="H76" s="28">
        <v>14</v>
      </c>
      <c r="J76" s="72">
        <v>14</v>
      </c>
      <c r="K76" s="46">
        <f t="shared" si="3"/>
        <v>0</v>
      </c>
      <c r="L76" s="46">
        <f t="shared" si="3"/>
        <v>100</v>
      </c>
      <c r="M76" s="46">
        <f t="shared" si="3"/>
        <v>0</v>
      </c>
      <c r="N76" s="67">
        <f t="shared" si="4"/>
        <v>100</v>
      </c>
      <c r="O76" s="45"/>
      <c r="P76" s="46">
        <v>53.14</v>
      </c>
      <c r="Q76" s="46"/>
      <c r="R76" s="47">
        <f t="shared" si="5"/>
        <v>53.14</v>
      </c>
      <c r="S76" s="28">
        <v>1</v>
      </c>
      <c r="T76" s="284"/>
      <c r="U76" s="293"/>
      <c r="V76" s="37" t="s">
        <v>476</v>
      </c>
      <c r="W76" s="28" t="s">
        <v>75</v>
      </c>
      <c r="X76" s="28" t="s">
        <v>18</v>
      </c>
      <c r="Y76" s="38">
        <v>53.1</v>
      </c>
      <c r="AD76" s="37"/>
      <c r="AG76" s="38"/>
      <c r="AL76" s="37"/>
      <c r="AO76" s="38"/>
      <c r="AP76" s="37"/>
      <c r="AS76" s="38"/>
      <c r="AW76" s="38"/>
      <c r="BA76" s="39"/>
    </row>
    <row r="77" spans="1:53" s="28" customFormat="1" x14ac:dyDescent="0.15">
      <c r="A77" s="28">
        <v>2012</v>
      </c>
      <c r="B77" s="293"/>
      <c r="C77" s="424" t="s">
        <v>848</v>
      </c>
      <c r="D77" s="424"/>
      <c r="E77" s="28">
        <v>366</v>
      </c>
      <c r="G77" s="65"/>
      <c r="H77" s="28">
        <v>14</v>
      </c>
      <c r="J77" s="72">
        <v>14</v>
      </c>
      <c r="K77" s="46">
        <f t="shared" si="3"/>
        <v>0</v>
      </c>
      <c r="L77" s="46">
        <f t="shared" si="3"/>
        <v>100</v>
      </c>
      <c r="M77" s="46">
        <f t="shared" si="3"/>
        <v>0</v>
      </c>
      <c r="N77" s="67">
        <f t="shared" si="4"/>
        <v>100</v>
      </c>
      <c r="O77" s="45"/>
      <c r="P77" s="46">
        <v>53.14</v>
      </c>
      <c r="Q77" s="46"/>
      <c r="R77" s="47">
        <f t="shared" si="5"/>
        <v>53.14</v>
      </c>
      <c r="S77" s="28">
        <v>1</v>
      </c>
      <c r="T77" s="284"/>
      <c r="U77" s="293"/>
      <c r="V77" s="37" t="s">
        <v>476</v>
      </c>
      <c r="W77" s="28" t="s">
        <v>75</v>
      </c>
      <c r="X77" s="28" t="s">
        <v>18</v>
      </c>
      <c r="Y77" s="38">
        <v>53.1</v>
      </c>
      <c r="AD77" s="37"/>
      <c r="AG77" s="38"/>
      <c r="AL77" s="37"/>
      <c r="AO77" s="38"/>
      <c r="AP77" s="37"/>
      <c r="AS77" s="38"/>
      <c r="AW77" s="38"/>
      <c r="BA77" s="39"/>
    </row>
    <row r="78" spans="1:53" s="28" customFormat="1" x14ac:dyDescent="0.15">
      <c r="A78" s="28">
        <v>2013</v>
      </c>
      <c r="B78" s="293"/>
      <c r="C78" s="424" t="s">
        <v>848</v>
      </c>
      <c r="D78" s="424"/>
      <c r="E78" s="28">
        <v>0</v>
      </c>
      <c r="G78" s="65"/>
      <c r="H78" s="28">
        <v>14</v>
      </c>
      <c r="J78" s="72">
        <v>14</v>
      </c>
      <c r="K78" s="46">
        <f t="shared" si="3"/>
        <v>0</v>
      </c>
      <c r="L78" s="46">
        <f t="shared" si="3"/>
        <v>100</v>
      </c>
      <c r="M78" s="46">
        <f t="shared" si="3"/>
        <v>0</v>
      </c>
      <c r="N78" s="67">
        <f t="shared" si="4"/>
        <v>100</v>
      </c>
      <c r="O78" s="45"/>
      <c r="P78" s="46">
        <v>53.14</v>
      </c>
      <c r="Q78" s="46"/>
      <c r="R78" s="47">
        <f t="shared" si="5"/>
        <v>53.14</v>
      </c>
      <c r="S78" s="28">
        <v>1</v>
      </c>
      <c r="T78" s="284"/>
      <c r="U78" s="293"/>
      <c r="V78" s="37" t="s">
        <v>476</v>
      </c>
      <c r="W78" s="28" t="s">
        <v>75</v>
      </c>
      <c r="X78" s="28" t="s">
        <v>18</v>
      </c>
      <c r="Y78" s="38">
        <v>53.1</v>
      </c>
      <c r="AD78" s="37"/>
      <c r="AG78" s="38"/>
      <c r="AL78" s="37"/>
      <c r="AO78" s="38"/>
      <c r="AP78" s="37"/>
      <c r="AS78" s="38"/>
      <c r="AW78" s="38"/>
      <c r="BA78" s="39"/>
    </row>
    <row r="79" spans="1:53" s="28" customFormat="1" x14ac:dyDescent="0.15">
      <c r="A79" s="28">
        <v>2013</v>
      </c>
      <c r="B79" s="293"/>
      <c r="C79" s="424" t="s">
        <v>848</v>
      </c>
      <c r="D79" s="424"/>
      <c r="E79" s="28">
        <v>365</v>
      </c>
      <c r="G79" s="65"/>
      <c r="H79" s="28">
        <v>14</v>
      </c>
      <c r="J79" s="72">
        <v>14</v>
      </c>
      <c r="K79" s="46">
        <f t="shared" si="3"/>
        <v>0</v>
      </c>
      <c r="L79" s="46">
        <f t="shared" si="3"/>
        <v>100</v>
      </c>
      <c r="M79" s="46">
        <f t="shared" si="3"/>
        <v>0</v>
      </c>
      <c r="N79" s="67">
        <f t="shared" si="4"/>
        <v>100</v>
      </c>
      <c r="O79" s="45"/>
      <c r="P79" s="46">
        <v>53.14</v>
      </c>
      <c r="Q79" s="46"/>
      <c r="R79" s="47">
        <f t="shared" si="5"/>
        <v>53.14</v>
      </c>
      <c r="S79" s="28">
        <v>1</v>
      </c>
      <c r="T79" s="284"/>
      <c r="U79" s="293"/>
      <c r="V79" s="37" t="s">
        <v>476</v>
      </c>
      <c r="W79" s="28" t="s">
        <v>75</v>
      </c>
      <c r="X79" s="28" t="s">
        <v>18</v>
      </c>
      <c r="Y79" s="38">
        <v>53.1</v>
      </c>
      <c r="AD79" s="37"/>
      <c r="AG79" s="38"/>
      <c r="AL79" s="37"/>
      <c r="AO79" s="38"/>
      <c r="AP79" s="37"/>
      <c r="AS79" s="38"/>
      <c r="AW79" s="38"/>
      <c r="BA79" s="39"/>
    </row>
    <row r="80" spans="1:53" s="28" customFormat="1" x14ac:dyDescent="0.15">
      <c r="A80" s="28">
        <v>2014</v>
      </c>
      <c r="B80" s="293"/>
      <c r="C80" s="424" t="s">
        <v>848</v>
      </c>
      <c r="D80" s="424"/>
      <c r="E80" s="28">
        <v>0</v>
      </c>
      <c r="G80" s="65"/>
      <c r="H80" s="28">
        <v>14</v>
      </c>
      <c r="J80" s="72">
        <v>14</v>
      </c>
      <c r="K80" s="46">
        <f t="shared" ref="K80:M81" si="6">G80/$J80*100</f>
        <v>0</v>
      </c>
      <c r="L80" s="46">
        <f t="shared" si="6"/>
        <v>100</v>
      </c>
      <c r="M80" s="46">
        <f t="shared" si="6"/>
        <v>0</v>
      </c>
      <c r="N80" s="67">
        <f>K80+L80+M80</f>
        <v>100</v>
      </c>
      <c r="O80" s="45"/>
      <c r="P80" s="46">
        <v>53.14</v>
      </c>
      <c r="Q80" s="46"/>
      <c r="R80" s="47">
        <f>O80+P80+Q80</f>
        <v>53.14</v>
      </c>
      <c r="S80" s="28">
        <v>1</v>
      </c>
      <c r="T80" s="284"/>
      <c r="U80" s="293"/>
      <c r="V80" s="37" t="s">
        <v>476</v>
      </c>
      <c r="W80" s="28" t="s">
        <v>75</v>
      </c>
      <c r="X80" s="28" t="s">
        <v>18</v>
      </c>
      <c r="Y80" s="38">
        <v>53.1</v>
      </c>
      <c r="AD80" s="37"/>
      <c r="AG80" s="38"/>
      <c r="AL80" s="37"/>
      <c r="AO80" s="38"/>
      <c r="AP80" s="37"/>
      <c r="AS80" s="38"/>
      <c r="AW80" s="38"/>
      <c r="BA80" s="39"/>
    </row>
    <row r="81" spans="1:53" s="28" customFormat="1" x14ac:dyDescent="0.15">
      <c r="A81" s="28">
        <v>2014</v>
      </c>
      <c r="B81" s="293"/>
      <c r="C81" s="424" t="s">
        <v>848</v>
      </c>
      <c r="D81" s="424"/>
      <c r="E81" s="28">
        <v>365</v>
      </c>
      <c r="G81" s="65"/>
      <c r="H81" s="28">
        <v>14</v>
      </c>
      <c r="J81" s="72">
        <v>14</v>
      </c>
      <c r="K81" s="46">
        <f t="shared" si="6"/>
        <v>0</v>
      </c>
      <c r="L81" s="46">
        <f t="shared" si="6"/>
        <v>100</v>
      </c>
      <c r="M81" s="46">
        <f t="shared" si="6"/>
        <v>0</v>
      </c>
      <c r="N81" s="67">
        <f>K81+L81+M81</f>
        <v>100</v>
      </c>
      <c r="O81" s="45"/>
      <c r="P81" s="46">
        <v>53.14</v>
      </c>
      <c r="Q81" s="46"/>
      <c r="R81" s="47">
        <f>O81+P81+Q81</f>
        <v>53.14</v>
      </c>
      <c r="S81" s="28">
        <v>1</v>
      </c>
      <c r="T81" s="284"/>
      <c r="U81" s="293"/>
      <c r="V81" s="37" t="s">
        <v>476</v>
      </c>
      <c r="W81" s="28" t="s">
        <v>75</v>
      </c>
      <c r="X81" s="28" t="s">
        <v>18</v>
      </c>
      <c r="Y81" s="38">
        <v>53.1</v>
      </c>
      <c r="AD81" s="37"/>
      <c r="AG81" s="38"/>
      <c r="AL81" s="37"/>
      <c r="AO81" s="38"/>
      <c r="AP81" s="37"/>
      <c r="AS81" s="38"/>
      <c r="AW81" s="38"/>
      <c r="BA81" s="39"/>
    </row>
    <row r="82" spans="1:53" s="28" customFormat="1" x14ac:dyDescent="0.15">
      <c r="A82" s="28">
        <v>2015</v>
      </c>
      <c r="B82" s="293"/>
      <c r="C82" s="424" t="s">
        <v>848</v>
      </c>
      <c r="D82" s="424"/>
      <c r="E82" s="28">
        <v>0</v>
      </c>
      <c r="G82" s="65"/>
      <c r="H82" s="28">
        <v>14</v>
      </c>
      <c r="J82" s="72">
        <v>14</v>
      </c>
      <c r="K82" s="46">
        <f t="shared" ref="K82:K85" si="7">G82/$J82*100</f>
        <v>0</v>
      </c>
      <c r="L82" s="46">
        <f t="shared" ref="L82:L85" si="8">H82/$J82*100</f>
        <v>100</v>
      </c>
      <c r="M82" s="46">
        <f t="shared" ref="M82:M85" si="9">I82/$J82*100</f>
        <v>0</v>
      </c>
      <c r="N82" s="67">
        <f t="shared" ref="N82:N85" si="10">K82+L82+M82</f>
        <v>100</v>
      </c>
      <c r="O82" s="45"/>
      <c r="P82" s="46">
        <v>53.14</v>
      </c>
      <c r="Q82" s="46"/>
      <c r="R82" s="47">
        <f t="shared" ref="R82:R85" si="11">O82+P82+Q82</f>
        <v>53.14</v>
      </c>
      <c r="S82" s="28">
        <v>1</v>
      </c>
      <c r="T82" s="284"/>
      <c r="U82" s="293"/>
      <c r="V82" s="37" t="s">
        <v>476</v>
      </c>
      <c r="W82" s="28" t="s">
        <v>75</v>
      </c>
      <c r="X82" s="28" t="s">
        <v>18</v>
      </c>
      <c r="Y82" s="38">
        <v>53.1</v>
      </c>
      <c r="AD82" s="37"/>
      <c r="AG82" s="38"/>
      <c r="AL82" s="37"/>
      <c r="AO82" s="38"/>
      <c r="AP82" s="37"/>
      <c r="AS82" s="38"/>
      <c r="AW82" s="38"/>
      <c r="BA82" s="39"/>
    </row>
    <row r="83" spans="1:53" s="28" customFormat="1" x14ac:dyDescent="0.15">
      <c r="A83" s="28">
        <v>2015</v>
      </c>
      <c r="B83" s="293"/>
      <c r="C83" s="424" t="s">
        <v>848</v>
      </c>
      <c r="D83" s="424"/>
      <c r="E83" s="28">
        <v>365</v>
      </c>
      <c r="G83" s="65"/>
      <c r="H83" s="28">
        <v>14</v>
      </c>
      <c r="J83" s="72">
        <v>14</v>
      </c>
      <c r="K83" s="46">
        <f t="shared" si="7"/>
        <v>0</v>
      </c>
      <c r="L83" s="46">
        <f t="shared" si="8"/>
        <v>100</v>
      </c>
      <c r="M83" s="46">
        <f t="shared" si="9"/>
        <v>0</v>
      </c>
      <c r="N83" s="67">
        <f t="shared" si="10"/>
        <v>100</v>
      </c>
      <c r="O83" s="45"/>
      <c r="P83" s="46">
        <v>35.1</v>
      </c>
      <c r="Q83" s="46"/>
      <c r="R83" s="47">
        <f t="shared" si="11"/>
        <v>35.1</v>
      </c>
      <c r="S83" s="28">
        <v>1</v>
      </c>
      <c r="T83" s="284">
        <v>42358</v>
      </c>
      <c r="U83" s="293"/>
      <c r="V83" s="37" t="s">
        <v>476</v>
      </c>
      <c r="W83" s="28" t="s">
        <v>75</v>
      </c>
      <c r="X83" s="28" t="s">
        <v>18</v>
      </c>
      <c r="Y83" s="38">
        <v>35.1</v>
      </c>
      <c r="AD83" s="37"/>
      <c r="AG83" s="38"/>
      <c r="AL83" s="37"/>
      <c r="AO83" s="38"/>
      <c r="AP83" s="37"/>
      <c r="AS83" s="38"/>
      <c r="AW83" s="38"/>
      <c r="BA83" s="39"/>
    </row>
    <row r="84" spans="1:53" s="28" customFormat="1" x14ac:dyDescent="0.15">
      <c r="A84" s="28">
        <v>2016</v>
      </c>
      <c r="B84" s="293"/>
      <c r="C84" s="424" t="s">
        <v>848</v>
      </c>
      <c r="D84" s="424"/>
      <c r="E84" s="28">
        <v>308</v>
      </c>
      <c r="G84" s="65"/>
      <c r="H84" s="28">
        <v>14</v>
      </c>
      <c r="J84" s="72">
        <v>14</v>
      </c>
      <c r="K84" s="46">
        <f t="shared" si="7"/>
        <v>0</v>
      </c>
      <c r="L84" s="46">
        <f t="shared" si="8"/>
        <v>100</v>
      </c>
      <c r="M84" s="46">
        <f t="shared" si="9"/>
        <v>0</v>
      </c>
      <c r="N84" s="67">
        <f t="shared" si="10"/>
        <v>100</v>
      </c>
      <c r="O84" s="45"/>
      <c r="P84" s="46">
        <v>35.1</v>
      </c>
      <c r="Q84" s="46"/>
      <c r="R84" s="47">
        <f t="shared" si="11"/>
        <v>35.1</v>
      </c>
      <c r="S84" s="28">
        <v>1</v>
      </c>
      <c r="T84" s="284"/>
      <c r="U84" s="293"/>
      <c r="V84" s="37" t="s">
        <v>476</v>
      </c>
      <c r="W84" s="28" t="s">
        <v>75</v>
      </c>
      <c r="X84" s="28" t="s">
        <v>18</v>
      </c>
      <c r="Y84" s="38">
        <v>35.1</v>
      </c>
      <c r="AD84" s="37"/>
      <c r="AG84" s="38"/>
      <c r="AL84" s="37"/>
      <c r="AO84" s="38"/>
      <c r="AP84" s="37"/>
      <c r="AS84" s="38"/>
      <c r="AW84" s="38"/>
      <c r="BA84" s="39"/>
    </row>
    <row r="85" spans="1:53" s="170" customFormat="1" x14ac:dyDescent="0.15">
      <c r="A85" s="170">
        <v>2016</v>
      </c>
      <c r="B85" s="281">
        <v>42678</v>
      </c>
      <c r="C85" s="425" t="s">
        <v>1349</v>
      </c>
      <c r="D85" s="425"/>
      <c r="E85" s="170">
        <v>58</v>
      </c>
      <c r="F85" s="170">
        <v>1</v>
      </c>
      <c r="G85" s="232"/>
      <c r="H85" s="170">
        <v>14</v>
      </c>
      <c r="J85" s="240">
        <v>14</v>
      </c>
      <c r="K85" s="213">
        <f t="shared" si="7"/>
        <v>0</v>
      </c>
      <c r="L85" s="213">
        <f t="shared" si="8"/>
        <v>100</v>
      </c>
      <c r="M85" s="213">
        <f t="shared" si="9"/>
        <v>0</v>
      </c>
      <c r="N85" s="234">
        <f t="shared" si="10"/>
        <v>100</v>
      </c>
      <c r="O85" s="212"/>
      <c r="P85" s="213">
        <v>38.299999999999997</v>
      </c>
      <c r="Q85" s="213"/>
      <c r="R85" s="214">
        <f t="shared" si="11"/>
        <v>38.299999999999997</v>
      </c>
      <c r="S85" s="170">
        <v>4</v>
      </c>
      <c r="T85" s="283">
        <v>42547</v>
      </c>
      <c r="U85" s="281">
        <v>42678</v>
      </c>
      <c r="V85" s="177" t="s">
        <v>476</v>
      </c>
      <c r="W85" s="170" t="s">
        <v>75</v>
      </c>
      <c r="X85" s="170" t="s">
        <v>18</v>
      </c>
      <c r="Y85" s="178">
        <v>38.299999999999997</v>
      </c>
      <c r="AD85" s="177"/>
      <c r="AG85" s="178"/>
      <c r="AL85" s="177"/>
      <c r="AO85" s="178"/>
      <c r="AP85" s="177"/>
      <c r="AS85" s="178"/>
      <c r="AW85" s="178"/>
      <c r="BA85" s="179"/>
    </row>
    <row r="86" spans="1:53" s="170" customFormat="1" x14ac:dyDescent="0.15">
      <c r="A86" s="170">
        <v>2017</v>
      </c>
      <c r="B86" s="281"/>
      <c r="C86" s="425" t="s">
        <v>1349</v>
      </c>
      <c r="D86" s="425"/>
      <c r="E86" s="170">
        <v>0</v>
      </c>
      <c r="G86" s="232"/>
      <c r="H86" s="170">
        <v>14</v>
      </c>
      <c r="J86" s="240">
        <v>14</v>
      </c>
      <c r="K86" s="213">
        <f t="shared" ref="K86:K87" si="12">G86/$J86*100</f>
        <v>0</v>
      </c>
      <c r="L86" s="213">
        <f t="shared" ref="L86:L87" si="13">H86/$J86*100</f>
        <v>100</v>
      </c>
      <c r="M86" s="213">
        <f t="shared" ref="M86:M87" si="14">I86/$J86*100</f>
        <v>0</v>
      </c>
      <c r="N86" s="234">
        <f t="shared" ref="N86:N87" si="15">K86+L86+M86</f>
        <v>100</v>
      </c>
      <c r="O86" s="212"/>
      <c r="P86" s="213">
        <v>38.299999999999997</v>
      </c>
      <c r="Q86" s="213"/>
      <c r="R86" s="214">
        <f t="shared" ref="R86:R87" si="16">O86+P86+Q86</f>
        <v>38.299999999999997</v>
      </c>
      <c r="S86" s="170">
        <v>4</v>
      </c>
      <c r="T86" s="283"/>
      <c r="U86" s="281"/>
      <c r="V86" s="177" t="s">
        <v>476</v>
      </c>
      <c r="W86" s="170" t="s">
        <v>75</v>
      </c>
      <c r="X86" s="170" t="s">
        <v>18</v>
      </c>
      <c r="Y86" s="178">
        <v>38.299999999999997</v>
      </c>
      <c r="AD86" s="177"/>
      <c r="AG86" s="178"/>
      <c r="AL86" s="177"/>
      <c r="AO86" s="178"/>
      <c r="AP86" s="177"/>
      <c r="AS86" s="178"/>
      <c r="AW86" s="178"/>
      <c r="BA86" s="179"/>
    </row>
    <row r="87" spans="1:53" s="170" customFormat="1" x14ac:dyDescent="0.15">
      <c r="A87" s="170">
        <v>2017</v>
      </c>
      <c r="B87" s="281"/>
      <c r="C87" s="425" t="s">
        <v>1349</v>
      </c>
      <c r="D87" s="425"/>
      <c r="E87" s="170">
        <v>365</v>
      </c>
      <c r="G87" s="232"/>
      <c r="H87" s="170">
        <v>14</v>
      </c>
      <c r="J87" s="240">
        <v>14</v>
      </c>
      <c r="K87" s="213">
        <f t="shared" si="12"/>
        <v>0</v>
      </c>
      <c r="L87" s="213">
        <f t="shared" si="13"/>
        <v>100</v>
      </c>
      <c r="M87" s="213">
        <f t="shared" si="14"/>
        <v>0</v>
      </c>
      <c r="N87" s="234">
        <f t="shared" si="15"/>
        <v>100</v>
      </c>
      <c r="O87" s="212"/>
      <c r="P87" s="213">
        <v>38.299999999999997</v>
      </c>
      <c r="Q87" s="213"/>
      <c r="R87" s="214">
        <f t="shared" si="16"/>
        <v>38.299999999999997</v>
      </c>
      <c r="S87" s="170">
        <v>4</v>
      </c>
      <c r="T87" s="283"/>
      <c r="U87" s="281"/>
      <c r="V87" s="177" t="s">
        <v>476</v>
      </c>
      <c r="W87" s="170" t="s">
        <v>75</v>
      </c>
      <c r="X87" s="170" t="s">
        <v>18</v>
      </c>
      <c r="Y87" s="178">
        <v>38.299999999999997</v>
      </c>
      <c r="AD87" s="177"/>
      <c r="AG87" s="178"/>
      <c r="AL87" s="177"/>
      <c r="AO87" s="178"/>
      <c r="AP87" s="177"/>
      <c r="AS87" s="178"/>
      <c r="AW87" s="178"/>
      <c r="BA87" s="179"/>
    </row>
    <row r="88" spans="1:53" s="170" customFormat="1" x14ac:dyDescent="0.15">
      <c r="A88" s="170">
        <v>2018</v>
      </c>
      <c r="B88" s="281"/>
      <c r="C88" s="425" t="s">
        <v>1349</v>
      </c>
      <c r="D88" s="425"/>
      <c r="E88" s="170">
        <v>157</v>
      </c>
      <c r="G88" s="232"/>
      <c r="H88" s="170">
        <v>14</v>
      </c>
      <c r="J88" s="240">
        <v>14</v>
      </c>
      <c r="K88" s="213">
        <f t="shared" ref="K88:K89" si="17">G88/$J88*100</f>
        <v>0</v>
      </c>
      <c r="L88" s="213">
        <f t="shared" ref="L88" si="18">H88/$J88*100</f>
        <v>100</v>
      </c>
      <c r="M88" s="213">
        <f t="shared" ref="M88" si="19">I88/$J88*100</f>
        <v>0</v>
      </c>
      <c r="N88" s="234">
        <f t="shared" ref="N88" si="20">K88+L88+M88</f>
        <v>100</v>
      </c>
      <c r="O88" s="212"/>
      <c r="P88" s="213">
        <v>38.299999999999997</v>
      </c>
      <c r="Q88" s="213"/>
      <c r="R88" s="214">
        <f t="shared" ref="R88" si="21">O88+P88+Q88</f>
        <v>38.299999999999997</v>
      </c>
      <c r="S88" s="170">
        <v>4</v>
      </c>
      <c r="T88" s="283"/>
      <c r="U88" s="281"/>
      <c r="V88" s="177" t="s">
        <v>476</v>
      </c>
      <c r="W88" s="170" t="s">
        <v>75</v>
      </c>
      <c r="X88" s="170" t="s">
        <v>18</v>
      </c>
      <c r="Y88" s="178">
        <v>38.299999999999997</v>
      </c>
      <c r="AD88" s="177"/>
      <c r="AG88" s="178"/>
      <c r="AL88" s="177"/>
      <c r="AO88" s="178"/>
      <c r="AP88" s="177"/>
      <c r="AS88" s="178"/>
      <c r="AW88" s="178"/>
      <c r="BA88" s="179"/>
    </row>
    <row r="89" spans="1:53" s="28" customFormat="1" x14ac:dyDescent="0.15">
      <c r="A89" s="28">
        <v>2018</v>
      </c>
      <c r="B89" s="293">
        <v>43258</v>
      </c>
      <c r="C89" s="424" t="s">
        <v>1402</v>
      </c>
      <c r="D89" s="424"/>
      <c r="E89" s="28">
        <v>208</v>
      </c>
      <c r="F89" s="28">
        <v>5</v>
      </c>
      <c r="G89" s="65"/>
      <c r="I89" s="28">
        <v>18</v>
      </c>
      <c r="J89" s="72">
        <v>18</v>
      </c>
      <c r="K89" s="46">
        <f t="shared" si="17"/>
        <v>0</v>
      </c>
      <c r="L89" s="46">
        <f t="shared" ref="L89" si="22">H89/$J89*100</f>
        <v>0</v>
      </c>
      <c r="M89" s="46">
        <f t="shared" ref="M89" si="23">I89/$J89*100</f>
        <v>100</v>
      </c>
      <c r="N89" s="67">
        <f t="shared" ref="N89" si="24">K89+L89+M89</f>
        <v>100</v>
      </c>
      <c r="O89" s="45"/>
      <c r="P89" s="46"/>
      <c r="Q89" s="46">
        <v>24.3</v>
      </c>
      <c r="R89" s="47">
        <f>SUM(O89:Q89)</f>
        <v>24.3</v>
      </c>
      <c r="S89" s="28">
        <v>4</v>
      </c>
      <c r="T89" s="284"/>
      <c r="U89" s="293">
        <v>43258</v>
      </c>
      <c r="V89" s="37" t="s">
        <v>475</v>
      </c>
      <c r="W89" s="28" t="s">
        <v>20</v>
      </c>
      <c r="X89" s="28" t="s">
        <v>12</v>
      </c>
      <c r="Y89" s="38">
        <v>24.3</v>
      </c>
      <c r="AD89" s="37"/>
      <c r="AG89" s="38"/>
      <c r="AL89" s="37"/>
      <c r="AO89" s="38"/>
      <c r="AP89" s="37"/>
      <c r="AS89" s="38"/>
      <c r="AW89" s="38"/>
      <c r="BA89" s="39"/>
    </row>
    <row r="90" spans="1:53" s="28" customFormat="1" x14ac:dyDescent="0.15">
      <c r="A90" s="28">
        <v>2019</v>
      </c>
      <c r="B90" s="293"/>
      <c r="C90" s="424" t="s">
        <v>1402</v>
      </c>
      <c r="D90" s="424"/>
      <c r="E90" s="28">
        <v>139</v>
      </c>
      <c r="G90" s="65"/>
      <c r="I90" s="28">
        <v>18</v>
      </c>
      <c r="J90" s="72">
        <v>18</v>
      </c>
      <c r="K90" s="46">
        <f t="shared" ref="K90:K98" si="25">G90/$J90*100</f>
        <v>0</v>
      </c>
      <c r="L90" s="46">
        <f t="shared" ref="L90:L98" si="26">H90/$J90*100</f>
        <v>0</v>
      </c>
      <c r="M90" s="46">
        <f t="shared" ref="M90:M98" si="27">I90/$J90*100</f>
        <v>100</v>
      </c>
      <c r="N90" s="67">
        <f t="shared" ref="N90:N98" si="28">K90+L90+M90</f>
        <v>100</v>
      </c>
      <c r="O90" s="45"/>
      <c r="P90" s="46"/>
      <c r="Q90" s="46">
        <v>24.3</v>
      </c>
      <c r="R90" s="47">
        <f t="shared" ref="R90:R98" si="29">SUM(O90:Q90)</f>
        <v>24.3</v>
      </c>
      <c r="S90" s="28">
        <v>4</v>
      </c>
      <c r="T90" s="284"/>
      <c r="U90" s="293"/>
      <c r="V90" s="37" t="s">
        <v>475</v>
      </c>
      <c r="W90" s="28" t="s">
        <v>20</v>
      </c>
      <c r="X90" s="28" t="s">
        <v>12</v>
      </c>
      <c r="Y90" s="38">
        <v>24.3</v>
      </c>
      <c r="AD90" s="37"/>
      <c r="AG90" s="38"/>
      <c r="AL90" s="37"/>
      <c r="AO90" s="38"/>
      <c r="AP90" s="37"/>
      <c r="AS90" s="38"/>
      <c r="AW90" s="38"/>
      <c r="BA90" s="39"/>
    </row>
    <row r="91" spans="1:53" s="28" customFormat="1" x14ac:dyDescent="0.15">
      <c r="A91" s="28">
        <v>2019</v>
      </c>
      <c r="B91" s="301">
        <v>43605</v>
      </c>
      <c r="C91" s="424" t="s">
        <v>1402</v>
      </c>
      <c r="D91" s="424"/>
      <c r="E91" s="28">
        <v>193</v>
      </c>
      <c r="F91" s="83">
        <v>0</v>
      </c>
      <c r="G91" s="65"/>
      <c r="I91" s="28">
        <v>17</v>
      </c>
      <c r="J91" s="72">
        <v>17</v>
      </c>
      <c r="K91" s="46">
        <f t="shared" ref="K91" si="30">G91/$J91*100</f>
        <v>0</v>
      </c>
      <c r="L91" s="46">
        <f t="shared" ref="L91" si="31">H91/$J91*100</f>
        <v>0</v>
      </c>
      <c r="M91" s="46">
        <f t="shared" ref="M91" si="32">I91/$J91*100</f>
        <v>100</v>
      </c>
      <c r="N91" s="67">
        <f t="shared" ref="N91" si="33">K91+L91+M91</f>
        <v>100</v>
      </c>
      <c r="O91" s="45"/>
      <c r="P91" s="46"/>
      <c r="Q91" s="46">
        <v>35.1</v>
      </c>
      <c r="R91" s="47">
        <f t="shared" si="29"/>
        <v>35.1</v>
      </c>
      <c r="S91" s="28">
        <v>4</v>
      </c>
      <c r="T91" s="284">
        <v>43583</v>
      </c>
      <c r="U91" s="293"/>
      <c r="V91" s="37" t="s">
        <v>475</v>
      </c>
      <c r="W91" s="28" t="s">
        <v>20</v>
      </c>
      <c r="X91" s="28" t="s">
        <v>12</v>
      </c>
      <c r="Y91" s="38">
        <v>35.1</v>
      </c>
      <c r="AD91" s="37"/>
      <c r="AG91" s="38"/>
      <c r="AL91" s="37"/>
      <c r="AO91" s="38"/>
      <c r="AP91" s="37"/>
      <c r="AS91" s="38"/>
      <c r="AW91" s="38"/>
      <c r="BA91" s="39"/>
    </row>
    <row r="92" spans="1:53" s="28" customFormat="1" x14ac:dyDescent="0.15">
      <c r="A92" s="28">
        <v>2019</v>
      </c>
      <c r="B92" s="301">
        <v>43798</v>
      </c>
      <c r="C92" s="424" t="s">
        <v>1402</v>
      </c>
      <c r="D92" s="424"/>
      <c r="E92" s="28">
        <v>33</v>
      </c>
      <c r="F92" s="83">
        <v>0</v>
      </c>
      <c r="G92" s="65"/>
      <c r="I92" s="28">
        <v>16</v>
      </c>
      <c r="J92" s="72">
        <v>16</v>
      </c>
      <c r="K92" s="46">
        <f t="shared" si="25"/>
        <v>0</v>
      </c>
      <c r="L92" s="46">
        <f t="shared" si="26"/>
        <v>0</v>
      </c>
      <c r="M92" s="46">
        <f t="shared" si="27"/>
        <v>100</v>
      </c>
      <c r="N92" s="67">
        <f t="shared" si="28"/>
        <v>100</v>
      </c>
      <c r="O92" s="45"/>
      <c r="P92" s="46"/>
      <c r="Q92" s="46">
        <v>34.299999999999997</v>
      </c>
      <c r="R92" s="47">
        <f t="shared" si="29"/>
        <v>34.299999999999997</v>
      </c>
      <c r="S92" s="28">
        <v>4</v>
      </c>
      <c r="T92" s="284">
        <v>43779</v>
      </c>
      <c r="U92" s="293"/>
      <c r="V92" s="37" t="s">
        <v>475</v>
      </c>
      <c r="W92" s="28" t="s">
        <v>20</v>
      </c>
      <c r="X92" s="28" t="s">
        <v>12</v>
      </c>
      <c r="Y92" s="38">
        <v>34.299999999999997</v>
      </c>
      <c r="AC92" s="38"/>
      <c r="AG92" s="38"/>
      <c r="AK92" s="38"/>
      <c r="AO92" s="38"/>
      <c r="AS92" s="38"/>
      <c r="AW92" s="38"/>
      <c r="BA92" s="39"/>
    </row>
    <row r="93" spans="1:53" s="28" customFormat="1" x14ac:dyDescent="0.15">
      <c r="A93" s="28">
        <v>2020</v>
      </c>
      <c r="B93" s="275"/>
      <c r="C93" s="424" t="s">
        <v>1402</v>
      </c>
      <c r="D93" s="424"/>
      <c r="E93" s="28">
        <v>11</v>
      </c>
      <c r="F93" s="340"/>
      <c r="I93" s="28">
        <v>16</v>
      </c>
      <c r="J93" s="72">
        <v>16</v>
      </c>
      <c r="K93" s="46">
        <f t="shared" si="25"/>
        <v>0</v>
      </c>
      <c r="L93" s="46">
        <f t="shared" si="26"/>
        <v>0</v>
      </c>
      <c r="M93" s="46">
        <f t="shared" si="27"/>
        <v>100</v>
      </c>
      <c r="N93" s="47">
        <f t="shared" si="28"/>
        <v>100</v>
      </c>
      <c r="O93" s="46"/>
      <c r="P93" s="46"/>
      <c r="Q93" s="46">
        <v>34.299999999999997</v>
      </c>
      <c r="R93" s="47">
        <f t="shared" si="29"/>
        <v>34.299999999999997</v>
      </c>
      <c r="S93" s="36">
        <v>4</v>
      </c>
      <c r="T93" s="284"/>
      <c r="U93" s="290"/>
      <c r="V93" s="28" t="s">
        <v>475</v>
      </c>
      <c r="W93" s="28" t="s">
        <v>20</v>
      </c>
      <c r="X93" s="28" t="s">
        <v>12</v>
      </c>
      <c r="Y93" s="38">
        <v>34.299999999999997</v>
      </c>
      <c r="AC93" s="38"/>
      <c r="AG93" s="38"/>
      <c r="AK93" s="38"/>
      <c r="AO93" s="38"/>
      <c r="AS93" s="38"/>
      <c r="AW93" s="38"/>
      <c r="BA93" s="39"/>
    </row>
    <row r="94" spans="1:53" s="170" customFormat="1" x14ac:dyDescent="0.15">
      <c r="A94" s="170">
        <v>2020</v>
      </c>
      <c r="B94" s="304">
        <v>43842</v>
      </c>
      <c r="C94" s="425" t="s">
        <v>1476</v>
      </c>
      <c r="D94" s="425"/>
      <c r="E94" s="170">
        <v>355</v>
      </c>
      <c r="F94" s="336">
        <v>1</v>
      </c>
      <c r="I94" s="170">
        <v>23</v>
      </c>
      <c r="J94" s="240">
        <v>23</v>
      </c>
      <c r="K94" s="213">
        <f t="shared" si="25"/>
        <v>0</v>
      </c>
      <c r="L94" s="213">
        <f t="shared" si="26"/>
        <v>0</v>
      </c>
      <c r="M94" s="213">
        <f t="shared" si="27"/>
        <v>100</v>
      </c>
      <c r="N94" s="214">
        <f t="shared" si="28"/>
        <v>100</v>
      </c>
      <c r="O94" s="213"/>
      <c r="P94" s="213"/>
      <c r="Q94" s="213">
        <v>37.799999999999997</v>
      </c>
      <c r="R94" s="214">
        <f t="shared" si="29"/>
        <v>37.799999999999997</v>
      </c>
      <c r="S94" s="189">
        <v>5</v>
      </c>
      <c r="T94" s="354"/>
      <c r="U94" s="296">
        <v>43842</v>
      </c>
      <c r="V94" s="170" t="s">
        <v>475</v>
      </c>
      <c r="W94" s="170" t="s">
        <v>20</v>
      </c>
      <c r="X94" s="170" t="s">
        <v>12</v>
      </c>
      <c r="Y94" s="178">
        <v>34.299999999999997</v>
      </c>
      <c r="Z94" s="170" t="s">
        <v>1475</v>
      </c>
      <c r="AA94" s="170" t="s">
        <v>115</v>
      </c>
      <c r="AB94" s="170" t="s">
        <v>12</v>
      </c>
      <c r="AC94" s="178">
        <v>7.4</v>
      </c>
      <c r="AG94" s="178"/>
      <c r="AK94" s="178"/>
      <c r="AO94" s="178"/>
      <c r="AS94" s="178"/>
      <c r="AW94" s="178"/>
      <c r="BA94" s="179"/>
    </row>
    <row r="95" spans="1:53" s="170" customFormat="1" x14ac:dyDescent="0.15">
      <c r="A95" s="170">
        <v>2021</v>
      </c>
      <c r="B95" s="304"/>
      <c r="C95" s="425" t="s">
        <v>1476</v>
      </c>
      <c r="D95" s="425"/>
      <c r="E95" s="170">
        <v>0</v>
      </c>
      <c r="F95" s="336"/>
      <c r="I95" s="170">
        <v>23</v>
      </c>
      <c r="J95" s="240">
        <v>23</v>
      </c>
      <c r="K95" s="213">
        <f t="shared" si="25"/>
        <v>0</v>
      </c>
      <c r="L95" s="213">
        <f t="shared" si="26"/>
        <v>0</v>
      </c>
      <c r="M95" s="213">
        <f t="shared" si="27"/>
        <v>100</v>
      </c>
      <c r="N95" s="214">
        <f t="shared" si="28"/>
        <v>100</v>
      </c>
      <c r="O95" s="213"/>
      <c r="P95" s="213"/>
      <c r="Q95" s="213">
        <v>37.799999999999997</v>
      </c>
      <c r="R95" s="214">
        <f t="shared" si="29"/>
        <v>37.799999999999997</v>
      </c>
      <c r="S95" s="189">
        <v>5</v>
      </c>
      <c r="T95" s="354"/>
      <c r="U95" s="296"/>
      <c r="V95" s="170" t="s">
        <v>475</v>
      </c>
      <c r="W95" s="170" t="s">
        <v>20</v>
      </c>
      <c r="X95" s="170" t="s">
        <v>12</v>
      </c>
      <c r="Y95" s="178">
        <v>34.299999999999997</v>
      </c>
      <c r="Z95" s="170" t="s">
        <v>1475</v>
      </c>
      <c r="AA95" s="170" t="s">
        <v>115</v>
      </c>
      <c r="AB95" s="170" t="s">
        <v>12</v>
      </c>
      <c r="AC95" s="178">
        <v>7.4</v>
      </c>
      <c r="AG95" s="178"/>
      <c r="AK95" s="178"/>
      <c r="AO95" s="178"/>
      <c r="AS95" s="178"/>
      <c r="AW95" s="178"/>
      <c r="BA95" s="179"/>
    </row>
    <row r="96" spans="1:53" s="170" customFormat="1" x14ac:dyDescent="0.15">
      <c r="A96" s="170">
        <v>2021</v>
      </c>
      <c r="B96" s="304"/>
      <c r="C96" s="425" t="s">
        <v>1476</v>
      </c>
      <c r="D96" s="425"/>
      <c r="E96" s="170">
        <v>365</v>
      </c>
      <c r="F96" s="336"/>
      <c r="I96" s="170">
        <v>23</v>
      </c>
      <c r="J96" s="240">
        <v>23</v>
      </c>
      <c r="K96" s="213">
        <f t="shared" si="25"/>
        <v>0</v>
      </c>
      <c r="L96" s="213">
        <f t="shared" si="26"/>
        <v>0</v>
      </c>
      <c r="M96" s="213">
        <f t="shared" si="27"/>
        <v>100</v>
      </c>
      <c r="N96" s="214">
        <f t="shared" si="28"/>
        <v>100</v>
      </c>
      <c r="O96" s="213"/>
      <c r="P96" s="213"/>
      <c r="Q96" s="213">
        <v>37.799999999999997</v>
      </c>
      <c r="R96" s="214">
        <f t="shared" si="29"/>
        <v>37.799999999999997</v>
      </c>
      <c r="S96" s="189">
        <v>5</v>
      </c>
      <c r="T96" s="354"/>
      <c r="U96" s="296"/>
      <c r="V96" s="170" t="s">
        <v>475</v>
      </c>
      <c r="W96" s="170" t="s">
        <v>20</v>
      </c>
      <c r="X96" s="170" t="s">
        <v>12</v>
      </c>
      <c r="Y96" s="178">
        <v>34.299999999999997</v>
      </c>
      <c r="Z96" s="170" t="s">
        <v>1475</v>
      </c>
      <c r="AA96" s="170" t="s">
        <v>115</v>
      </c>
      <c r="AB96" s="170" t="s">
        <v>12</v>
      </c>
      <c r="AC96" s="178">
        <v>7.4</v>
      </c>
      <c r="AG96" s="178"/>
      <c r="AK96" s="178"/>
      <c r="AO96" s="178"/>
      <c r="AS96" s="178"/>
      <c r="AW96" s="178"/>
      <c r="BA96" s="179"/>
    </row>
    <row r="97" spans="1:53" s="170" customFormat="1" x14ac:dyDescent="0.15">
      <c r="A97" s="170">
        <v>2022</v>
      </c>
      <c r="B97" s="304"/>
      <c r="C97" s="425" t="s">
        <v>1476</v>
      </c>
      <c r="D97" s="425"/>
      <c r="E97" s="170">
        <v>0</v>
      </c>
      <c r="F97" s="336"/>
      <c r="I97" s="170">
        <v>23</v>
      </c>
      <c r="J97" s="240">
        <v>23</v>
      </c>
      <c r="K97" s="213">
        <f t="shared" si="25"/>
        <v>0</v>
      </c>
      <c r="L97" s="213">
        <f t="shared" si="26"/>
        <v>0</v>
      </c>
      <c r="M97" s="213">
        <f t="shared" si="27"/>
        <v>100</v>
      </c>
      <c r="N97" s="214">
        <f t="shared" si="28"/>
        <v>100</v>
      </c>
      <c r="O97" s="213"/>
      <c r="P97" s="213"/>
      <c r="Q97" s="213">
        <v>37.799999999999997</v>
      </c>
      <c r="R97" s="214">
        <f t="shared" si="29"/>
        <v>37.799999999999997</v>
      </c>
      <c r="S97" s="189">
        <v>5</v>
      </c>
      <c r="T97" s="354"/>
      <c r="U97" s="296"/>
      <c r="V97" s="170" t="s">
        <v>475</v>
      </c>
      <c r="W97" s="170" t="s">
        <v>20</v>
      </c>
      <c r="X97" s="170" t="s">
        <v>12</v>
      </c>
      <c r="Y97" s="178">
        <v>34.299999999999997</v>
      </c>
      <c r="Z97" s="170" t="s">
        <v>1475</v>
      </c>
      <c r="AA97" s="170" t="s">
        <v>115</v>
      </c>
      <c r="AB97" s="170" t="s">
        <v>12</v>
      </c>
      <c r="AC97" s="178">
        <v>7.4</v>
      </c>
      <c r="AG97" s="178"/>
      <c r="AK97" s="178"/>
      <c r="AO97" s="178"/>
      <c r="AS97" s="178"/>
      <c r="AW97" s="178"/>
      <c r="BA97" s="179"/>
    </row>
    <row r="98" spans="1:53" s="170" customFormat="1" x14ac:dyDescent="0.15">
      <c r="A98" s="170">
        <v>2022</v>
      </c>
      <c r="B98" s="304"/>
      <c r="C98" s="425" t="s">
        <v>1476</v>
      </c>
      <c r="D98" s="425"/>
      <c r="E98" s="170">
        <v>365</v>
      </c>
      <c r="F98" s="336"/>
      <c r="I98" s="170">
        <v>23</v>
      </c>
      <c r="J98" s="240">
        <v>23</v>
      </c>
      <c r="K98" s="213">
        <f t="shared" si="25"/>
        <v>0</v>
      </c>
      <c r="L98" s="213">
        <f t="shared" si="26"/>
        <v>0</v>
      </c>
      <c r="M98" s="213">
        <f t="shared" si="27"/>
        <v>100</v>
      </c>
      <c r="N98" s="214">
        <f t="shared" si="28"/>
        <v>100</v>
      </c>
      <c r="O98" s="213"/>
      <c r="P98" s="213"/>
      <c r="Q98" s="213">
        <v>37.799999999999997</v>
      </c>
      <c r="R98" s="214">
        <f t="shared" si="29"/>
        <v>37.799999999999997</v>
      </c>
      <c r="S98" s="189">
        <v>5</v>
      </c>
      <c r="T98" s="354"/>
      <c r="U98" s="296"/>
      <c r="V98" s="170" t="s">
        <v>475</v>
      </c>
      <c r="W98" s="170" t="s">
        <v>20</v>
      </c>
      <c r="X98" s="170" t="s">
        <v>12</v>
      </c>
      <c r="Y98" s="178">
        <v>34.299999999999997</v>
      </c>
      <c r="Z98" s="170" t="s">
        <v>1475</v>
      </c>
      <c r="AA98" s="170" t="s">
        <v>115</v>
      </c>
      <c r="AB98" s="170" t="s">
        <v>12</v>
      </c>
      <c r="AC98" s="178">
        <v>7.4</v>
      </c>
      <c r="AG98" s="178"/>
      <c r="AK98" s="178"/>
      <c r="AO98" s="178"/>
      <c r="AS98" s="178"/>
      <c r="AW98" s="178"/>
      <c r="BA98" s="179"/>
    </row>
    <row r="100" spans="1:53" ht="18" customHeight="1" x14ac:dyDescent="0.15">
      <c r="B100" s="15" t="s">
        <v>1262</v>
      </c>
      <c r="H100" s="4"/>
    </row>
    <row r="101" spans="1:53" ht="9" customHeight="1" x14ac:dyDescent="0.15">
      <c r="H101" s="4"/>
    </row>
    <row r="102" spans="1:53" s="194" customFormat="1" ht="9" customHeight="1" x14ac:dyDescent="0.15">
      <c r="A102" s="192"/>
      <c r="B102" s="193" t="s">
        <v>1213</v>
      </c>
      <c r="C102" s="193"/>
      <c r="D102" s="193"/>
      <c r="E102" s="193"/>
      <c r="F102" s="193"/>
      <c r="G102" s="193" t="s">
        <v>1214</v>
      </c>
      <c r="H102" s="193"/>
      <c r="I102" s="193"/>
      <c r="J102" s="193"/>
      <c r="K102" s="193"/>
      <c r="L102" s="193"/>
      <c r="M102" s="193"/>
      <c r="N102" s="193"/>
      <c r="R102" s="386" t="s">
        <v>1215</v>
      </c>
      <c r="S102" s="386"/>
      <c r="T102" s="386"/>
      <c r="U102" s="386"/>
      <c r="V102" s="386"/>
      <c r="W102" s="386"/>
      <c r="X102" s="195"/>
      <c r="Y102" s="195"/>
      <c r="AA102" s="195"/>
      <c r="AB102" s="195"/>
      <c r="AC102" s="195"/>
      <c r="AD102" s="195"/>
    </row>
    <row r="103" spans="1:53" s="199" customFormat="1" ht="9" customHeight="1" x14ac:dyDescent="0.15">
      <c r="A103" s="196"/>
      <c r="B103" s="197" t="s">
        <v>1217</v>
      </c>
      <c r="C103" s="198"/>
      <c r="D103" s="198"/>
      <c r="E103" s="198"/>
      <c r="F103" s="198"/>
      <c r="G103" s="197" t="s">
        <v>1216</v>
      </c>
      <c r="H103" s="198"/>
      <c r="I103" s="198"/>
      <c r="J103" s="198"/>
      <c r="K103" s="198"/>
      <c r="L103" s="198"/>
      <c r="M103" s="198"/>
      <c r="N103" s="198"/>
      <c r="R103" s="200" t="s">
        <v>1218</v>
      </c>
      <c r="S103" s="201"/>
      <c r="T103" s="202"/>
      <c r="U103" s="202"/>
      <c r="V103" s="202"/>
      <c r="W103" s="200" t="s">
        <v>1219</v>
      </c>
      <c r="X103" s="202"/>
      <c r="Y103" s="202"/>
      <c r="AA103" s="202"/>
      <c r="AB103" s="202"/>
      <c r="AC103" s="202"/>
      <c r="AD103" s="202"/>
    </row>
    <row r="104" spans="1:53" s="185" customFormat="1" ht="12" customHeight="1" x14ac:dyDescent="0.15">
      <c r="A104" s="203" t="s">
        <v>3</v>
      </c>
      <c r="B104" s="204" t="s">
        <v>8</v>
      </c>
      <c r="C104" s="204" t="s">
        <v>9</v>
      </c>
      <c r="D104" s="204" t="s">
        <v>10</v>
      </c>
      <c r="E104" s="205" t="s">
        <v>1193</v>
      </c>
      <c r="F104" s="204"/>
      <c r="G104" s="185" t="s">
        <v>3</v>
      </c>
      <c r="H104" s="387" t="s">
        <v>0</v>
      </c>
      <c r="I104" s="387"/>
      <c r="J104" s="387" t="s">
        <v>1</v>
      </c>
      <c r="K104" s="387"/>
      <c r="L104" s="387" t="s">
        <v>2</v>
      </c>
      <c r="M104" s="387"/>
      <c r="N104" s="388" t="s">
        <v>1193</v>
      </c>
      <c r="O104" s="388"/>
      <c r="P104" s="206"/>
      <c r="Q104" s="206"/>
      <c r="R104" s="207" t="s">
        <v>3</v>
      </c>
      <c r="S104" s="208" t="s">
        <v>135</v>
      </c>
      <c r="T104" s="206" t="s">
        <v>133</v>
      </c>
      <c r="U104" s="204" t="s">
        <v>134</v>
      </c>
      <c r="V104" s="206"/>
      <c r="W104" s="209" t="s">
        <v>26</v>
      </c>
    </row>
    <row r="105" spans="1:53" x14ac:dyDescent="0.15">
      <c r="A105" s="1">
        <v>1960</v>
      </c>
      <c r="B105" s="5"/>
      <c r="C105" s="5"/>
      <c r="D105" s="5"/>
      <c r="E105" s="17"/>
      <c r="F105" s="5"/>
      <c r="G105" s="1">
        <v>1960</v>
      </c>
      <c r="H105" s="5"/>
      <c r="I105" s="5"/>
      <c r="J105" s="5"/>
      <c r="K105" s="5"/>
      <c r="L105" s="5"/>
      <c r="M105" s="5"/>
      <c r="N105" s="17"/>
      <c r="O105" s="17"/>
      <c r="P105" s="9"/>
      <c r="Q105" s="9"/>
      <c r="R105" s="1">
        <v>1960</v>
      </c>
      <c r="S105" s="6"/>
      <c r="T105" s="9"/>
      <c r="U105" s="5"/>
      <c r="V105" s="9"/>
      <c r="W105" s="114"/>
    </row>
    <row r="106" spans="1:53" x14ac:dyDescent="0.15">
      <c r="A106" s="1">
        <v>1961</v>
      </c>
      <c r="B106" s="5"/>
      <c r="C106" s="5"/>
      <c r="D106" s="5"/>
      <c r="E106" s="17"/>
      <c r="F106" s="5"/>
      <c r="G106" s="1">
        <v>1961</v>
      </c>
      <c r="H106" s="5"/>
      <c r="I106" s="5"/>
      <c r="J106" s="5"/>
      <c r="K106" s="5"/>
      <c r="L106" s="5"/>
      <c r="M106" s="5"/>
      <c r="N106" s="17"/>
      <c r="O106" s="17"/>
      <c r="P106" s="9"/>
      <c r="Q106" s="9"/>
      <c r="R106" s="1">
        <v>1961</v>
      </c>
      <c r="S106" s="6"/>
      <c r="T106" s="9"/>
      <c r="U106" s="5"/>
      <c r="V106" s="9"/>
      <c r="W106" s="114"/>
    </row>
    <row r="107" spans="1:53" x14ac:dyDescent="0.15">
      <c r="A107" s="1">
        <v>1962</v>
      </c>
      <c r="B107" s="5"/>
      <c r="C107" s="5"/>
      <c r="D107" s="5"/>
      <c r="E107" s="17"/>
      <c r="F107" s="5"/>
      <c r="G107" s="1">
        <v>1962</v>
      </c>
      <c r="H107" s="5"/>
      <c r="I107" s="5"/>
      <c r="J107" s="5"/>
      <c r="K107" s="5"/>
      <c r="L107" s="5"/>
      <c r="M107" s="5"/>
      <c r="N107" s="17"/>
      <c r="O107" s="17"/>
      <c r="P107" s="9"/>
      <c r="Q107" s="9"/>
      <c r="R107" s="1">
        <v>1962</v>
      </c>
      <c r="S107" s="6"/>
      <c r="T107" s="9"/>
      <c r="U107" s="5"/>
      <c r="V107" s="9"/>
      <c r="W107" s="114"/>
    </row>
    <row r="108" spans="1:53" x14ac:dyDescent="0.15">
      <c r="A108" s="1">
        <v>1963</v>
      </c>
      <c r="B108" s="5"/>
      <c r="C108" s="5"/>
      <c r="D108" s="5"/>
      <c r="E108" s="17"/>
      <c r="F108" s="5"/>
      <c r="G108" s="1">
        <v>1963</v>
      </c>
      <c r="H108" s="5"/>
      <c r="I108" s="5"/>
      <c r="J108" s="5"/>
      <c r="K108" s="5"/>
      <c r="L108" s="5"/>
      <c r="M108" s="5"/>
      <c r="N108" s="17"/>
      <c r="O108" s="17"/>
      <c r="P108" s="9"/>
      <c r="Q108" s="9"/>
      <c r="R108" s="1">
        <v>1963</v>
      </c>
      <c r="S108" s="6"/>
      <c r="T108" s="9"/>
      <c r="U108" s="5"/>
      <c r="V108" s="9"/>
      <c r="W108" s="114"/>
    </row>
    <row r="109" spans="1:53" x14ac:dyDescent="0.15">
      <c r="A109" s="1">
        <v>1964</v>
      </c>
      <c r="B109" s="5"/>
      <c r="C109" s="5"/>
      <c r="D109" s="5"/>
      <c r="E109" s="17"/>
      <c r="F109" s="5"/>
      <c r="G109" s="1">
        <v>1964</v>
      </c>
      <c r="H109" s="5"/>
      <c r="I109" s="5"/>
      <c r="J109" s="5"/>
      <c r="K109" s="5"/>
      <c r="L109" s="5"/>
      <c r="M109" s="5"/>
      <c r="N109" s="17"/>
      <c r="O109" s="17"/>
      <c r="P109" s="9"/>
      <c r="Q109" s="9"/>
      <c r="R109" s="1">
        <v>1964</v>
      </c>
      <c r="S109" s="6"/>
      <c r="T109" s="9"/>
      <c r="U109" s="5"/>
      <c r="V109" s="9"/>
      <c r="W109" s="114"/>
    </row>
    <row r="110" spans="1:53" x14ac:dyDescent="0.15">
      <c r="A110" s="1">
        <v>1965</v>
      </c>
      <c r="B110" s="5"/>
      <c r="C110" s="5"/>
      <c r="D110" s="5"/>
      <c r="E110" s="17"/>
      <c r="F110" s="5"/>
      <c r="G110" s="1">
        <v>1965</v>
      </c>
      <c r="H110" s="5"/>
      <c r="I110" s="5"/>
      <c r="J110" s="5"/>
      <c r="K110" s="5"/>
      <c r="L110" s="5"/>
      <c r="M110" s="5"/>
      <c r="N110" s="17"/>
      <c r="O110" s="17"/>
      <c r="P110" s="9"/>
      <c r="Q110" s="9"/>
      <c r="R110" s="1">
        <v>1965</v>
      </c>
      <c r="S110" s="6"/>
      <c r="T110" s="9"/>
      <c r="U110" s="5"/>
      <c r="V110" s="9"/>
      <c r="W110" s="114"/>
    </row>
    <row r="111" spans="1:53" x14ac:dyDescent="0.15">
      <c r="A111" s="1">
        <v>1966</v>
      </c>
      <c r="B111" s="5"/>
      <c r="C111" s="5"/>
      <c r="D111" s="5"/>
      <c r="E111" s="17"/>
      <c r="F111" s="5"/>
      <c r="G111" s="1">
        <v>1966</v>
      </c>
      <c r="H111" s="5"/>
      <c r="I111" s="5"/>
      <c r="J111" s="5"/>
      <c r="K111" s="5"/>
      <c r="L111" s="5"/>
      <c r="M111" s="5"/>
      <c r="N111" s="17"/>
      <c r="O111" s="17"/>
      <c r="P111" s="9"/>
      <c r="Q111" s="9"/>
      <c r="R111" s="1">
        <v>1966</v>
      </c>
      <c r="S111" s="6"/>
      <c r="T111" s="9"/>
      <c r="U111" s="5"/>
      <c r="V111" s="9"/>
      <c r="W111" s="114"/>
    </row>
    <row r="112" spans="1:53" x14ac:dyDescent="0.15">
      <c r="A112" s="1">
        <v>1967</v>
      </c>
      <c r="B112" s="5"/>
      <c r="C112" s="5"/>
      <c r="D112" s="5"/>
      <c r="E112" s="17"/>
      <c r="F112" s="5"/>
      <c r="G112" s="1">
        <v>1967</v>
      </c>
      <c r="H112" s="5"/>
      <c r="I112" s="5"/>
      <c r="J112" s="5"/>
      <c r="K112" s="5"/>
      <c r="L112" s="5"/>
      <c r="M112" s="5"/>
      <c r="N112" s="17"/>
      <c r="O112" s="17"/>
      <c r="P112" s="9"/>
      <c r="Q112" s="9"/>
      <c r="R112" s="1">
        <v>1967</v>
      </c>
      <c r="S112" s="6"/>
      <c r="T112" s="9"/>
      <c r="U112" s="5"/>
      <c r="V112" s="9"/>
      <c r="W112" s="114"/>
    </row>
    <row r="113" spans="1:29" x14ac:dyDescent="0.15">
      <c r="A113" s="1">
        <v>1968</v>
      </c>
      <c r="B113" s="5"/>
      <c r="C113" s="5"/>
      <c r="D113" s="5"/>
      <c r="E113" s="17"/>
      <c r="F113" s="5"/>
      <c r="G113" s="1">
        <v>1968</v>
      </c>
      <c r="H113" s="5"/>
      <c r="I113" s="5"/>
      <c r="J113" s="5"/>
      <c r="K113" s="5"/>
      <c r="L113" s="5"/>
      <c r="M113" s="5"/>
      <c r="N113" s="17"/>
      <c r="O113" s="17"/>
      <c r="P113" s="9"/>
      <c r="Q113" s="9"/>
      <c r="R113" s="1">
        <v>1968</v>
      </c>
      <c r="S113" s="6"/>
      <c r="T113" s="9"/>
      <c r="U113" s="5"/>
      <c r="V113" s="9"/>
      <c r="W113" s="114"/>
    </row>
    <row r="114" spans="1:29" x14ac:dyDescent="0.15">
      <c r="A114" s="1">
        <v>1969</v>
      </c>
      <c r="B114" s="5"/>
      <c r="C114" s="5"/>
      <c r="D114" s="5"/>
      <c r="E114" s="17"/>
      <c r="F114" s="5"/>
      <c r="G114" s="1">
        <v>1969</v>
      </c>
      <c r="H114" s="5"/>
      <c r="I114" s="5"/>
      <c r="J114" s="5"/>
      <c r="K114" s="5"/>
      <c r="L114" s="5"/>
      <c r="M114" s="5"/>
      <c r="N114" s="17"/>
      <c r="O114" s="17"/>
      <c r="P114" s="9"/>
      <c r="Q114" s="9"/>
      <c r="R114" s="1">
        <v>1969</v>
      </c>
      <c r="S114" s="6"/>
      <c r="T114" s="9"/>
      <c r="U114" s="5"/>
      <c r="V114" s="9"/>
      <c r="W114" s="114"/>
    </row>
    <row r="115" spans="1:29" x14ac:dyDescent="0.15">
      <c r="A115" s="1">
        <v>1970</v>
      </c>
      <c r="B115" s="5"/>
      <c r="C115" s="5"/>
      <c r="D115" s="5"/>
      <c r="E115" s="17"/>
      <c r="F115" s="5"/>
      <c r="G115" s="1">
        <v>1970</v>
      </c>
      <c r="H115" s="5"/>
      <c r="I115" s="5"/>
      <c r="J115" s="5"/>
      <c r="K115" s="5"/>
      <c r="L115" s="5"/>
      <c r="M115" s="5"/>
      <c r="N115" s="17"/>
      <c r="O115" s="17"/>
      <c r="P115" s="9"/>
      <c r="Q115" s="9"/>
      <c r="R115" s="1">
        <v>1970</v>
      </c>
      <c r="S115" s="6"/>
      <c r="T115" s="9"/>
      <c r="U115" s="5"/>
      <c r="V115" s="9"/>
      <c r="W115" s="114"/>
    </row>
    <row r="116" spans="1:29" x14ac:dyDescent="0.15">
      <c r="A116" s="1">
        <v>1971</v>
      </c>
      <c r="B116" s="5"/>
      <c r="C116" s="5"/>
      <c r="D116" s="5"/>
      <c r="E116" s="17"/>
      <c r="F116" s="5"/>
      <c r="G116" s="1">
        <v>1971</v>
      </c>
      <c r="H116" s="5"/>
      <c r="I116" s="5"/>
      <c r="J116" s="5"/>
      <c r="K116" s="5"/>
      <c r="L116" s="5"/>
      <c r="M116" s="5"/>
      <c r="N116" s="17"/>
      <c r="O116" s="17"/>
      <c r="P116" s="9"/>
      <c r="Q116" s="9"/>
      <c r="R116" s="1">
        <v>1971</v>
      </c>
      <c r="S116" s="6"/>
      <c r="T116" s="9"/>
      <c r="U116" s="5"/>
      <c r="V116" s="9"/>
      <c r="W116" s="114"/>
    </row>
    <row r="117" spans="1:29" x14ac:dyDescent="0.15">
      <c r="A117" s="1">
        <v>1972</v>
      </c>
      <c r="B117" s="5"/>
      <c r="C117" s="5"/>
      <c r="D117" s="5"/>
      <c r="E117" s="17"/>
      <c r="F117" s="5"/>
      <c r="G117" s="1">
        <v>1972</v>
      </c>
      <c r="H117" s="5"/>
      <c r="I117" s="5"/>
      <c r="J117" s="5"/>
      <c r="K117" s="5"/>
      <c r="L117" s="5"/>
      <c r="M117" s="5"/>
      <c r="N117" s="17"/>
      <c r="O117" s="17"/>
      <c r="P117" s="9"/>
      <c r="Q117" s="9"/>
      <c r="R117" s="1">
        <v>1972</v>
      </c>
      <c r="S117" s="6"/>
      <c r="T117" s="9"/>
      <c r="U117" s="5"/>
      <c r="V117" s="9"/>
      <c r="W117" s="114"/>
    </row>
    <row r="118" spans="1:29" x14ac:dyDescent="0.15">
      <c r="A118" s="1">
        <v>1973</v>
      </c>
      <c r="B118" s="5"/>
      <c r="C118" s="5"/>
      <c r="D118" s="5"/>
      <c r="E118" s="17"/>
      <c r="F118" s="5"/>
      <c r="G118" s="1">
        <v>1973</v>
      </c>
      <c r="H118" s="5"/>
      <c r="I118" s="5"/>
      <c r="J118" s="5"/>
      <c r="K118" s="5"/>
      <c r="L118" s="5"/>
      <c r="M118" s="5"/>
      <c r="N118" s="17"/>
      <c r="O118" s="17"/>
      <c r="P118" s="9"/>
      <c r="Q118" s="9"/>
      <c r="R118" s="1">
        <v>1973</v>
      </c>
      <c r="S118" s="6"/>
      <c r="T118" s="9"/>
      <c r="U118" s="5"/>
      <c r="V118" s="9"/>
      <c r="W118" s="114"/>
    </row>
    <row r="119" spans="1:29" x14ac:dyDescent="0.15">
      <c r="A119" s="1">
        <v>1974</v>
      </c>
      <c r="B119" s="5"/>
      <c r="C119" s="5"/>
      <c r="D119" s="5"/>
      <c r="E119" s="17"/>
      <c r="F119" s="5"/>
      <c r="G119" s="1">
        <v>1974</v>
      </c>
      <c r="H119" s="5"/>
      <c r="I119" s="5"/>
      <c r="J119" s="5"/>
      <c r="K119" s="5"/>
      <c r="L119" s="5"/>
      <c r="M119" s="5"/>
      <c r="N119" s="17"/>
      <c r="O119" s="17"/>
      <c r="P119" s="9"/>
      <c r="Q119" s="9"/>
      <c r="R119" s="1">
        <v>1974</v>
      </c>
      <c r="S119" s="6"/>
      <c r="T119" s="9"/>
      <c r="U119" s="5"/>
      <c r="V119" s="9"/>
      <c r="W119" s="114"/>
    </row>
    <row r="120" spans="1:29" x14ac:dyDescent="0.15">
      <c r="A120" s="1">
        <v>1975</v>
      </c>
      <c r="B120" s="5"/>
      <c r="C120" s="5"/>
      <c r="D120" s="5"/>
      <c r="E120" s="17"/>
      <c r="F120" s="5"/>
      <c r="G120" s="1">
        <v>1975</v>
      </c>
      <c r="H120" s="5"/>
      <c r="I120" s="5"/>
      <c r="J120" s="5"/>
      <c r="K120" s="5"/>
      <c r="L120" s="5"/>
      <c r="M120" s="5"/>
      <c r="N120" s="17"/>
      <c r="O120" s="17"/>
      <c r="P120" s="9"/>
      <c r="Q120" s="9"/>
      <c r="R120" s="1">
        <v>1975</v>
      </c>
      <c r="S120" s="6"/>
      <c r="T120" s="9"/>
      <c r="U120" s="5"/>
      <c r="V120" s="9"/>
      <c r="W120" s="114"/>
    </row>
    <row r="121" spans="1:29" x14ac:dyDescent="0.15">
      <c r="A121" s="1">
        <v>1976</v>
      </c>
      <c r="B121" s="5"/>
      <c r="C121" s="5"/>
      <c r="D121" s="5"/>
      <c r="E121" s="17"/>
      <c r="F121" s="5"/>
      <c r="G121" s="1">
        <v>1976</v>
      </c>
      <c r="H121" s="5"/>
      <c r="I121" s="5"/>
      <c r="J121" s="5"/>
      <c r="K121" s="5"/>
      <c r="L121" s="5"/>
      <c r="M121" s="5"/>
      <c r="N121" s="17"/>
      <c r="O121" s="17"/>
      <c r="P121" s="9"/>
      <c r="Q121" s="9"/>
      <c r="R121" s="1">
        <v>1976</v>
      </c>
      <c r="S121" s="6"/>
      <c r="T121" s="9"/>
      <c r="U121" s="5"/>
      <c r="V121" s="9"/>
      <c r="W121" s="114"/>
    </row>
    <row r="122" spans="1:29" x14ac:dyDescent="0.15">
      <c r="A122" s="1">
        <v>1977</v>
      </c>
      <c r="B122" s="5">
        <f>(K7*($E7/180))</f>
        <v>0</v>
      </c>
      <c r="C122" s="5">
        <f>(L7*($E7/180))</f>
        <v>95</v>
      </c>
      <c r="D122" s="5">
        <f>(M7*($E7/180))</f>
        <v>0</v>
      </c>
      <c r="E122" s="17">
        <f>B122+C122+D122</f>
        <v>95</v>
      </c>
      <c r="G122" s="1">
        <v>1977</v>
      </c>
      <c r="H122" s="392">
        <f>(O7/$R7*100*($E7/180))</f>
        <v>0</v>
      </c>
      <c r="I122" s="392"/>
      <c r="J122" s="392">
        <f>(P7/$R7*100*($E7/180))</f>
        <v>100</v>
      </c>
      <c r="K122" s="392"/>
      <c r="L122" s="392">
        <f>(Q7/$R7*100*($E7/180))</f>
        <v>0</v>
      </c>
      <c r="M122" s="392"/>
      <c r="N122" s="363">
        <f t="shared" ref="N122:N157" si="34">H122+J122+L122</f>
        <v>100</v>
      </c>
      <c r="O122" s="363"/>
      <c r="R122" s="1">
        <v>1977</v>
      </c>
      <c r="S122" s="5">
        <f>(O7*($E7/180))</f>
        <v>0</v>
      </c>
      <c r="T122" s="5">
        <f>(P7*($E7/180))</f>
        <v>47.1</v>
      </c>
      <c r="U122" s="5">
        <f>(Q7*($E7/180))</f>
        <v>0</v>
      </c>
      <c r="V122" s="5"/>
      <c r="W122" s="5">
        <f>S122+T122+U122</f>
        <v>47.1</v>
      </c>
      <c r="Y122" s="124" t="s">
        <v>1221</v>
      </c>
      <c r="Z122" s="124"/>
      <c r="AA122" s="124"/>
      <c r="AB122" s="124"/>
      <c r="AC122" s="124"/>
    </row>
    <row r="123" spans="1:29" x14ac:dyDescent="0.15">
      <c r="A123" s="1">
        <v>1978</v>
      </c>
      <c r="B123" s="5">
        <f>(K8*($E8/365))+(K9*($E9/365))</f>
        <v>0</v>
      </c>
      <c r="C123" s="5">
        <f>(L8*($E8/365))+(L9*($E9/365))</f>
        <v>95</v>
      </c>
      <c r="D123" s="5">
        <f>(M8*($E8/365))+(M9*($E9/365))</f>
        <v>0</v>
      </c>
      <c r="E123" s="17">
        <f t="shared" ref="E123:E158" si="35">B123+C123+D123</f>
        <v>95</v>
      </c>
      <c r="G123" s="1">
        <v>1978</v>
      </c>
      <c r="H123" s="392">
        <f>(O8/$R8*100*($E8/365))+(O9/$R9*100*($E9/365))</f>
        <v>0</v>
      </c>
      <c r="I123" s="392"/>
      <c r="J123" s="392">
        <f>(P8/$R8*100*($E8/365))+(P9/$R9*100*($E9/365))</f>
        <v>100</v>
      </c>
      <c r="K123" s="392"/>
      <c r="L123" s="392">
        <f>(Q8/$R8*100*($E8/365))+(Q9/$R9*100*($E9/365))</f>
        <v>0</v>
      </c>
      <c r="M123" s="392"/>
      <c r="N123" s="363">
        <f t="shared" si="34"/>
        <v>100</v>
      </c>
      <c r="O123" s="363"/>
      <c r="R123" s="1">
        <v>1978</v>
      </c>
      <c r="S123" s="5">
        <f>(O8*($E8/365))+(O9*($E9/365))</f>
        <v>0</v>
      </c>
      <c r="T123" s="5">
        <f>(P8*($E8/365))+(P9*($E9/365))</f>
        <v>47.1</v>
      </c>
      <c r="U123" s="5">
        <f>(Q8*($E8/365))+(Q9*($E9/365))</f>
        <v>0</v>
      </c>
      <c r="V123" s="5"/>
      <c r="W123" s="5">
        <f t="shared" ref="W123:W158" si="36">S123+T123+U123</f>
        <v>47.1</v>
      </c>
    </row>
    <row r="124" spans="1:29" x14ac:dyDescent="0.15">
      <c r="A124" s="1">
        <v>1979</v>
      </c>
      <c r="B124" s="5">
        <f>(K10*($E10/365))+(K11*($E11/365))</f>
        <v>0</v>
      </c>
      <c r="C124" s="5">
        <f>(L10*($E10/365))+(L11*($E11/365))</f>
        <v>92.534246575342451</v>
      </c>
      <c r="D124" s="5">
        <f>(M10*($E10/365))+(M11*($E11/365))</f>
        <v>0</v>
      </c>
      <c r="E124" s="17">
        <f t="shared" si="35"/>
        <v>92.534246575342451</v>
      </c>
      <c r="G124" s="1">
        <v>1979</v>
      </c>
      <c r="H124" s="392">
        <f>(O10/$R10*100*($E10/365))+(O11/$R11*100*($E11/365))</f>
        <v>0</v>
      </c>
      <c r="I124" s="392"/>
      <c r="J124" s="392">
        <f>(P10/$R10*100*($E10/365))+(P11/$R11*100*($E11/365))</f>
        <v>100</v>
      </c>
      <c r="K124" s="392"/>
      <c r="L124" s="392">
        <f>(Q10/$R10*100*($E10/365))+(Q11/$R11*100*($E11/365))</f>
        <v>0</v>
      </c>
      <c r="M124" s="392"/>
      <c r="N124" s="363">
        <f t="shared" si="34"/>
        <v>100</v>
      </c>
      <c r="O124" s="363"/>
      <c r="R124" s="1">
        <v>1979</v>
      </c>
      <c r="S124" s="5">
        <f>(O10*($E10/365))+(O11*($E11/365))</f>
        <v>0</v>
      </c>
      <c r="T124" s="5">
        <f>(P10*($E10/365))+(P11*($E11/365))</f>
        <v>47.765753424657532</v>
      </c>
      <c r="U124" s="5">
        <f>(Q10*($E10/365))+(Q11*($E11/365))</f>
        <v>0</v>
      </c>
      <c r="V124" s="5"/>
      <c r="W124" s="5">
        <f t="shared" si="36"/>
        <v>47.765753424657532</v>
      </c>
    </row>
    <row r="125" spans="1:29" x14ac:dyDescent="0.15">
      <c r="A125" s="1">
        <v>1980</v>
      </c>
      <c r="B125" s="5">
        <f>(K12*($E12/366))+(K13*($E13/366))</f>
        <v>0</v>
      </c>
      <c r="C125" s="5">
        <f>(L12*($E12/366))+(L13*($E13/366))</f>
        <v>91.666666666666657</v>
      </c>
      <c r="D125" s="5">
        <f>(M12*($E12/366))+(M13*($E13/366))</f>
        <v>0</v>
      </c>
      <c r="E125" s="17">
        <f t="shared" si="35"/>
        <v>91.666666666666657</v>
      </c>
      <c r="G125" s="1">
        <v>1980</v>
      </c>
      <c r="H125" s="392">
        <f>(O12/$R12*100*($E12/366))+(O13/$R13*100*($E13/366))</f>
        <v>0</v>
      </c>
      <c r="I125" s="392"/>
      <c r="J125" s="392">
        <f>(P12/$R12*100*($E12/366))+(P13/$R13*100*($E13/366))</f>
        <v>100</v>
      </c>
      <c r="K125" s="392"/>
      <c r="L125" s="392">
        <f>(Q12/$R12*100*($E12/366))+(Q13/$R13*100*($E13/366))</f>
        <v>0</v>
      </c>
      <c r="M125" s="392"/>
      <c r="N125" s="363">
        <f t="shared" si="34"/>
        <v>100</v>
      </c>
      <c r="O125" s="363"/>
      <c r="R125" s="1">
        <v>1980</v>
      </c>
      <c r="S125" s="5">
        <f>(O12*($E12/366))+(O13*($E13/366))</f>
        <v>0</v>
      </c>
      <c r="T125" s="5">
        <f>(P12*($E12/366))+(P13*($E13/366))</f>
        <v>48</v>
      </c>
      <c r="U125" s="5">
        <f>(Q12*($E12/366))+(Q13*($E13/366))</f>
        <v>0</v>
      </c>
      <c r="V125" s="5"/>
      <c r="W125" s="5">
        <f t="shared" si="36"/>
        <v>48</v>
      </c>
    </row>
    <row r="126" spans="1:29" x14ac:dyDescent="0.15">
      <c r="A126" s="1">
        <v>1981</v>
      </c>
      <c r="B126" s="5">
        <f>(K14*($E14/365))+(K15*($E15/365))</f>
        <v>0</v>
      </c>
      <c r="C126" s="5">
        <f>(L14*($E14/365))+(L15*($E15/365))</f>
        <v>98.69863013698631</v>
      </c>
      <c r="D126" s="5">
        <f>(M14*($E14/365))+(M15*($E15/365))</f>
        <v>0</v>
      </c>
      <c r="E126" s="17">
        <f t="shared" si="35"/>
        <v>98.69863013698631</v>
      </c>
      <c r="G126" s="1">
        <v>1981</v>
      </c>
      <c r="H126" s="392">
        <f>(O14/$R14*100*($E14/365))+(O15/$R15*100*($E15/365))</f>
        <v>0</v>
      </c>
      <c r="I126" s="392"/>
      <c r="J126" s="392">
        <f>(P14/$R14*100*($E14/365))+(P15/$R15*100*($E15/365))</f>
        <v>100</v>
      </c>
      <c r="K126" s="392"/>
      <c r="L126" s="392">
        <f>(Q14/$R14*100*($E14/365))+(Q15/$R15*100*($E15/365))</f>
        <v>0</v>
      </c>
      <c r="M126" s="392"/>
      <c r="N126" s="363">
        <f t="shared" si="34"/>
        <v>100</v>
      </c>
      <c r="O126" s="363"/>
      <c r="R126" s="1">
        <v>1981</v>
      </c>
      <c r="S126" s="5">
        <f>(O14*($E14/365))+(O15*($E15/365))</f>
        <v>0</v>
      </c>
      <c r="T126" s="5">
        <f>(P14*($E14/365))+(P15*($E15/365))</f>
        <v>48</v>
      </c>
      <c r="U126" s="5">
        <f>(Q14*($E14/365))+(Q15*($E15/365))</f>
        <v>0</v>
      </c>
      <c r="V126" s="5"/>
      <c r="W126" s="5">
        <f t="shared" si="36"/>
        <v>48</v>
      </c>
    </row>
    <row r="127" spans="1:29" x14ac:dyDescent="0.15">
      <c r="A127" s="1">
        <v>1982</v>
      </c>
      <c r="B127" s="5">
        <f>(K16*($E16/365))+(K17*($E17/365))</f>
        <v>0</v>
      </c>
      <c r="C127" s="5">
        <f>(L16*($E16/365))+(L17*($E17/365))</f>
        <v>92.054794520547944</v>
      </c>
      <c r="D127" s="5">
        <f>(M16*($E16/365))+(M17*($E17/365))</f>
        <v>7.9452054794520555</v>
      </c>
      <c r="E127" s="17">
        <f t="shared" si="35"/>
        <v>100</v>
      </c>
      <c r="G127" s="1">
        <v>1982</v>
      </c>
      <c r="H127" s="392">
        <f>(O16/$R16*100*($E16/365))+(O17/$R17*100*($E17/365))</f>
        <v>0</v>
      </c>
      <c r="I127" s="392"/>
      <c r="J127" s="392">
        <f>(P16/$R16*100*($E16/365))+(P17/$R17*100*($E17/365))</f>
        <v>92.054794520547944</v>
      </c>
      <c r="K127" s="392"/>
      <c r="L127" s="392">
        <f>(Q16/$R16*100*($E16/365))+(Q17/$R17*100*($E17/365))</f>
        <v>7.9452054794520555</v>
      </c>
      <c r="M127" s="392"/>
      <c r="N127" s="363">
        <f t="shared" si="34"/>
        <v>100</v>
      </c>
      <c r="O127" s="363"/>
      <c r="R127" s="1">
        <v>1982</v>
      </c>
      <c r="S127" s="5">
        <f>(O16*($E16/365))+(O17*($E17/365))</f>
        <v>0</v>
      </c>
      <c r="T127" s="5">
        <f>(P16*($E16/365))+(P17*($E17/365))</f>
        <v>44.186301369863017</v>
      </c>
      <c r="U127" s="5">
        <f>(Q16*($E16/365))+(Q17*($E17/365))</f>
        <v>4.5843835616438362</v>
      </c>
      <c r="V127" s="5"/>
      <c r="W127" s="5">
        <f t="shared" si="36"/>
        <v>48.77068493150685</v>
      </c>
    </row>
    <row r="128" spans="1:29" x14ac:dyDescent="0.15">
      <c r="A128" s="1">
        <v>1983</v>
      </c>
      <c r="B128" s="5">
        <f>(K18*($E18/365))+(K19*($E19/365))</f>
        <v>0</v>
      </c>
      <c r="C128" s="5">
        <f>(L18*($E18/365))+(L19*($E19/365))</f>
        <v>0</v>
      </c>
      <c r="D128" s="5">
        <f>(M18*($E18/365))+(M19*($E19/365))</f>
        <v>100</v>
      </c>
      <c r="E128" s="17">
        <f t="shared" si="35"/>
        <v>100</v>
      </c>
      <c r="G128" s="1">
        <v>1983</v>
      </c>
      <c r="H128" s="392">
        <f>(O18/$R18*100*($E18/365))+(O19/$R19*100*($E19/365))</f>
        <v>0</v>
      </c>
      <c r="I128" s="392"/>
      <c r="J128" s="392">
        <f>(P18/$R18*100*($E18/365))+(P19/$R19*100*($E19/365))</f>
        <v>0</v>
      </c>
      <c r="K128" s="392"/>
      <c r="L128" s="392">
        <f>(Q18/$R18*100*($E18/365))+(Q19/$R19*100*($E19/365))</f>
        <v>100</v>
      </c>
      <c r="M128" s="392"/>
      <c r="N128" s="363">
        <f t="shared" si="34"/>
        <v>100</v>
      </c>
      <c r="O128" s="363"/>
      <c r="R128" s="1">
        <v>1983</v>
      </c>
      <c r="S128" s="5">
        <f>(O18*($E18/365))+(O19*($E19/365))</f>
        <v>0</v>
      </c>
      <c r="T128" s="5">
        <f>(P18*($E18/365))+(P19*($E19/365))</f>
        <v>0</v>
      </c>
      <c r="U128" s="5">
        <f>(Q18*($E18/365))+(Q19*($E19/365))</f>
        <v>57.7</v>
      </c>
      <c r="V128" s="5"/>
      <c r="W128" s="5">
        <f t="shared" si="36"/>
        <v>57.7</v>
      </c>
    </row>
    <row r="129" spans="1:23" x14ac:dyDescent="0.15">
      <c r="A129" s="1">
        <v>1984</v>
      </c>
      <c r="B129" s="5">
        <f>(K20*($E20/366))+(K21*($E21/366))</f>
        <v>0</v>
      </c>
      <c r="C129" s="5">
        <f>(L20*($E20/366))+(L21*($E21/366))</f>
        <v>0</v>
      </c>
      <c r="D129" s="5">
        <f>(M20*($E20/366))+(M21*($E21/366))</f>
        <v>100</v>
      </c>
      <c r="E129" s="17">
        <f t="shared" si="35"/>
        <v>100</v>
      </c>
      <c r="G129" s="1">
        <v>1984</v>
      </c>
      <c r="H129" s="392">
        <f>(O20/$R20*100*($E20/366))+(O21/$R21*100*($E21/366))</f>
        <v>0</v>
      </c>
      <c r="I129" s="392"/>
      <c r="J129" s="392">
        <f>(P20/$R20*100*($E20/366))+(P21/$R21*100*($E21/366))</f>
        <v>0</v>
      </c>
      <c r="K129" s="392"/>
      <c r="L129" s="392">
        <f>(Q20/$R20*100*($E20/366))+(Q21/$R21*100*($E21/366))</f>
        <v>100</v>
      </c>
      <c r="M129" s="392"/>
      <c r="N129" s="363">
        <f t="shared" si="34"/>
        <v>100</v>
      </c>
      <c r="O129" s="363"/>
      <c r="R129" s="1">
        <v>1984</v>
      </c>
      <c r="S129" s="5">
        <f>(O20*($E20/366))+(O21*($E21/366))</f>
        <v>0</v>
      </c>
      <c r="T129" s="5">
        <f>(P20*($E20/366))+(P21*($E21/366))</f>
        <v>0</v>
      </c>
      <c r="U129" s="5">
        <f>(Q20*($E20/366))+(Q21*($E21/366))</f>
        <v>57.7</v>
      </c>
      <c r="V129" s="5"/>
      <c r="W129" s="5">
        <f t="shared" si="36"/>
        <v>57.7</v>
      </c>
    </row>
    <row r="130" spans="1:23" x14ac:dyDescent="0.15">
      <c r="A130" s="1">
        <v>1985</v>
      </c>
      <c r="B130" s="5">
        <f>(K22*($E22/365))+(K23*($E23/365))</f>
        <v>0</v>
      </c>
      <c r="C130" s="5">
        <f>(L22*($E22/365))+(L23*($E23/365))</f>
        <v>0</v>
      </c>
      <c r="D130" s="5">
        <f>(M22*($E22/365))+(M23*($E23/365))</f>
        <v>100</v>
      </c>
      <c r="E130" s="17">
        <f t="shared" si="35"/>
        <v>100</v>
      </c>
      <c r="G130" s="1">
        <v>1985</v>
      </c>
      <c r="H130" s="392">
        <f>(O22/$R22*100*($E22/365))+(O23/$R23*100*($E23/365))</f>
        <v>0</v>
      </c>
      <c r="I130" s="392"/>
      <c r="J130" s="392">
        <f>(P22/$R22*100*($E22/365))+(P23/$R23*100*($E23/365))</f>
        <v>0</v>
      </c>
      <c r="K130" s="392"/>
      <c r="L130" s="392">
        <f>(Q22/$R22*100*($E22/365))+(Q23/$R23*100*($E23/365))</f>
        <v>100</v>
      </c>
      <c r="M130" s="392"/>
      <c r="N130" s="363">
        <f t="shared" si="34"/>
        <v>100</v>
      </c>
      <c r="O130" s="363"/>
      <c r="R130" s="1">
        <v>1985</v>
      </c>
      <c r="S130" s="5">
        <f>(O22*($E22/365))+(O23*($E23/365))</f>
        <v>0</v>
      </c>
      <c r="T130" s="5">
        <f>(P22*($E22/365))+(P23*($E23/365))</f>
        <v>0</v>
      </c>
      <c r="U130" s="5">
        <f>(Q22*($E22/365))+(Q23*($E23/365))</f>
        <v>57.7</v>
      </c>
      <c r="V130" s="5"/>
      <c r="W130" s="5">
        <f t="shared" si="36"/>
        <v>57.7</v>
      </c>
    </row>
    <row r="131" spans="1:23" x14ac:dyDescent="0.15">
      <c r="A131" s="1">
        <v>1986</v>
      </c>
      <c r="B131" s="5">
        <f>(K24*($E24/365))+(K25*($E25/365))</f>
        <v>0</v>
      </c>
      <c r="C131" s="5">
        <f>(L24*($E24/365))+(L25*($E25/365))</f>
        <v>0</v>
      </c>
      <c r="D131" s="5">
        <f>(M24*($E24/365))+(M25*($E25/365))</f>
        <v>100</v>
      </c>
      <c r="E131" s="17">
        <f t="shared" si="35"/>
        <v>100</v>
      </c>
      <c r="G131" s="1">
        <v>1986</v>
      </c>
      <c r="H131" s="392">
        <f>(O24/$R24*100*($E24/365))+(O25/$R25*100*($E25/365))</f>
        <v>0</v>
      </c>
      <c r="I131" s="392"/>
      <c r="J131" s="392">
        <f>(P24/$R24*100*($E24/365))+(P25/$R25*100*($E25/365))</f>
        <v>0</v>
      </c>
      <c r="K131" s="392"/>
      <c r="L131" s="392">
        <f>(Q24/$R24*100*($E24/365))+(Q25/$R25*100*($E25/365))</f>
        <v>100</v>
      </c>
      <c r="M131" s="392"/>
      <c r="N131" s="363">
        <f t="shared" si="34"/>
        <v>100</v>
      </c>
      <c r="O131" s="363"/>
      <c r="R131" s="1">
        <v>1986</v>
      </c>
      <c r="S131" s="5">
        <f>(O24*($E24/365))+(O25*($E25/365))</f>
        <v>0</v>
      </c>
      <c r="T131" s="5">
        <f>(P24*($E24/365))+(P25*($E25/365))</f>
        <v>0</v>
      </c>
      <c r="U131" s="5">
        <f>(Q24*($E24/365))+(Q25*($E25/365))</f>
        <v>55.520273972602737</v>
      </c>
      <c r="V131" s="5"/>
      <c r="W131" s="5">
        <f t="shared" si="36"/>
        <v>55.520273972602737</v>
      </c>
    </row>
    <row r="132" spans="1:23" x14ac:dyDescent="0.15">
      <c r="A132" s="1">
        <v>1987</v>
      </c>
      <c r="B132" s="5">
        <f>(K26*($E26/365))+(K27*($E27/365))</f>
        <v>0</v>
      </c>
      <c r="C132" s="5">
        <f>(L26*($E26/365))+(L27*($E27/365))</f>
        <v>0</v>
      </c>
      <c r="D132" s="5">
        <f>(M26*($E26/365))+(M27*($E27/365))</f>
        <v>100</v>
      </c>
      <c r="E132" s="17">
        <f t="shared" si="35"/>
        <v>100</v>
      </c>
      <c r="G132" s="1">
        <v>1987</v>
      </c>
      <c r="H132" s="392">
        <f>(O26/$R26*100*($E26/365))+(O27/$R27*100*($E27/365))</f>
        <v>0</v>
      </c>
      <c r="I132" s="392"/>
      <c r="J132" s="392">
        <f>(P26/$R26*100*($E26/365))+(P27/$R27*100*($E27/365))</f>
        <v>0</v>
      </c>
      <c r="K132" s="392"/>
      <c r="L132" s="392">
        <f>(Q26/$R26*100*($E26/365))+(Q27/$R27*100*($E27/365))</f>
        <v>100</v>
      </c>
      <c r="M132" s="392"/>
      <c r="N132" s="363">
        <f t="shared" si="34"/>
        <v>100</v>
      </c>
      <c r="O132" s="363"/>
      <c r="R132" s="1">
        <v>1987</v>
      </c>
      <c r="S132" s="5">
        <f>(O26*($E26/365))+(O27*($E27/365))</f>
        <v>0</v>
      </c>
      <c r="T132" s="5">
        <f>(P26*($E26/365))+(P27*($E27/365))</f>
        <v>0</v>
      </c>
      <c r="U132" s="5">
        <f>(Q26*($E26/365))+(Q27*($E27/365))</f>
        <v>52.6</v>
      </c>
      <c r="V132" s="5"/>
      <c r="W132" s="5">
        <f t="shared" si="36"/>
        <v>52.6</v>
      </c>
    </row>
    <row r="133" spans="1:23" x14ac:dyDescent="0.15">
      <c r="A133" s="1">
        <v>1988</v>
      </c>
      <c r="B133" s="5">
        <f>(K28*($E28/366))+(K29*($E29/366))</f>
        <v>0</v>
      </c>
      <c r="C133" s="5">
        <f>(L28*($E28/366))+(L29*($E29/366))</f>
        <v>0</v>
      </c>
      <c r="D133" s="5">
        <f>(M28*($E28/366))+(M29*($E29/366))</f>
        <v>100</v>
      </c>
      <c r="E133" s="17">
        <f t="shared" si="35"/>
        <v>100</v>
      </c>
      <c r="G133" s="1">
        <v>1988</v>
      </c>
      <c r="H133" s="392">
        <f>(O28/$R28*100*($E28/366))+(O29/$R29*100*($E29/366))</f>
        <v>0</v>
      </c>
      <c r="I133" s="392"/>
      <c r="J133" s="392">
        <f>(P28/$R28*100*($E28/366))+(P29/$R29*100*($E29/366))</f>
        <v>0</v>
      </c>
      <c r="K133" s="392"/>
      <c r="L133" s="392">
        <f>(Q28/$R28*100*($E28/366))+(Q29/$R29*100*($E29/366))</f>
        <v>100</v>
      </c>
      <c r="M133" s="392"/>
      <c r="N133" s="363">
        <f t="shared" si="34"/>
        <v>100</v>
      </c>
      <c r="O133" s="363"/>
      <c r="R133" s="1">
        <v>1988</v>
      </c>
      <c r="S133" s="5">
        <f>(O28*($E28/366))+(O29*($E29/366))</f>
        <v>0</v>
      </c>
      <c r="T133" s="5">
        <f>(P28*($E28/366))+(P29*($E29/366))</f>
        <v>0</v>
      </c>
      <c r="U133" s="5">
        <f>(Q28*($E28/366))+(Q29*($E29/366))</f>
        <v>52.6</v>
      </c>
      <c r="V133" s="5"/>
      <c r="W133" s="5">
        <f t="shared" si="36"/>
        <v>52.6</v>
      </c>
    </row>
    <row r="134" spans="1:23" x14ac:dyDescent="0.15">
      <c r="A134" s="1">
        <v>1989</v>
      </c>
      <c r="B134" s="5">
        <f>(K30*($E30/365))+(K31*($E31/365))</f>
        <v>0</v>
      </c>
      <c r="C134" s="5">
        <f>(L30*($E30/365))+(L31*($E31/365))</f>
        <v>0</v>
      </c>
      <c r="D134" s="5">
        <f>(M30*($E30/365))+(M31*($E31/365))</f>
        <v>100</v>
      </c>
      <c r="E134" s="17">
        <f t="shared" si="35"/>
        <v>100</v>
      </c>
      <c r="G134" s="1">
        <v>1989</v>
      </c>
      <c r="H134" s="392">
        <f>(O30/$R30*100*($E30/365))+(O31/$R31*100*($E31/365))</f>
        <v>0</v>
      </c>
      <c r="I134" s="392"/>
      <c r="J134" s="392">
        <f>(P30/$R30*100*($E30/365))+(P31/$R31*100*($E31/365))</f>
        <v>0</v>
      </c>
      <c r="K134" s="392"/>
      <c r="L134" s="392">
        <f>(Q30/$R30*100*($E30/365))+(Q31/$R31*100*($E31/365))</f>
        <v>100</v>
      </c>
      <c r="M134" s="392"/>
      <c r="N134" s="363">
        <f t="shared" si="34"/>
        <v>100</v>
      </c>
      <c r="O134" s="363"/>
      <c r="R134" s="1">
        <v>1989</v>
      </c>
      <c r="S134" s="5">
        <f>(O30*($E30/365))+(O31*($E31/365))</f>
        <v>0</v>
      </c>
      <c r="T134" s="5">
        <f>(P30*($E30/365))+(P31*($E31/365))</f>
        <v>0</v>
      </c>
      <c r="U134" s="5">
        <f>(Q30*($E30/365))+(Q31*($E31/365))</f>
        <v>52.421917808219177</v>
      </c>
      <c r="V134" s="5"/>
      <c r="W134" s="5">
        <f t="shared" si="36"/>
        <v>52.421917808219177</v>
      </c>
    </row>
    <row r="135" spans="1:23" x14ac:dyDescent="0.15">
      <c r="A135" s="1">
        <v>1990</v>
      </c>
      <c r="B135" s="5">
        <f>(K32*($E32/365))+(K33*($E33/365))</f>
        <v>0</v>
      </c>
      <c r="C135" s="5">
        <f>(L32*($E32/365))+(L33*($E33/365))</f>
        <v>0</v>
      </c>
      <c r="D135" s="5">
        <f>(M32*($E32/365))+(M33*($E33/365))</f>
        <v>100</v>
      </c>
      <c r="E135" s="17">
        <f t="shared" si="35"/>
        <v>100</v>
      </c>
      <c r="G135" s="1">
        <v>1990</v>
      </c>
      <c r="H135" s="392">
        <f>(O32/$R32*100*($E32/365))+(O33/$R33*100*($E33/365))</f>
        <v>0</v>
      </c>
      <c r="I135" s="392"/>
      <c r="J135" s="392">
        <f>(P32/$R32*100*($E32/365))+(P33/$R33*100*($E33/365))</f>
        <v>0</v>
      </c>
      <c r="K135" s="392"/>
      <c r="L135" s="392">
        <f>(Q32/$R32*100*($E32/365))+(Q33/$R33*100*($E33/365))</f>
        <v>100</v>
      </c>
      <c r="M135" s="392"/>
      <c r="N135" s="363">
        <f t="shared" si="34"/>
        <v>100</v>
      </c>
      <c r="O135" s="363"/>
      <c r="R135" s="1">
        <v>1990</v>
      </c>
      <c r="S135" s="5">
        <f>(O32*($E32/365))+(O33*($E33/365))</f>
        <v>0</v>
      </c>
      <c r="T135" s="5">
        <f>(P32*($E32/365))+(P33*($E33/365))</f>
        <v>0</v>
      </c>
      <c r="U135" s="5">
        <f>(Q32*($E32/365))+(Q33*($E33/365))</f>
        <v>50</v>
      </c>
      <c r="V135" s="5"/>
      <c r="W135" s="5">
        <f t="shared" si="36"/>
        <v>50</v>
      </c>
    </row>
    <row r="136" spans="1:23" x14ac:dyDescent="0.15">
      <c r="A136" s="1">
        <v>1991</v>
      </c>
      <c r="B136" s="5">
        <f>(K34*($E34/365))+(K35*($E35/365))</f>
        <v>0</v>
      </c>
      <c r="C136" s="5">
        <f>(L34*($E34/365))+(L35*($E35/365))</f>
        <v>0</v>
      </c>
      <c r="D136" s="5">
        <f>(M34*($E34/365))+(M35*($E35/365))</f>
        <v>100</v>
      </c>
      <c r="E136" s="17">
        <f t="shared" si="35"/>
        <v>100</v>
      </c>
      <c r="G136" s="1">
        <v>1991</v>
      </c>
      <c r="H136" s="392">
        <f>(O34/$R34*100*($E34/365))+(O35/$R35*100*($E35/365))</f>
        <v>0</v>
      </c>
      <c r="I136" s="392"/>
      <c r="J136" s="392">
        <f>(P34/$R34*100*($E34/365))+(P35/$R35*100*($E35/365))</f>
        <v>0</v>
      </c>
      <c r="K136" s="392"/>
      <c r="L136" s="392">
        <f>(Q34/$R34*100*($E34/365))+(Q35/$R35*100*($E35/365))</f>
        <v>100</v>
      </c>
      <c r="M136" s="392"/>
      <c r="N136" s="363">
        <f t="shared" si="34"/>
        <v>100</v>
      </c>
      <c r="O136" s="363"/>
      <c r="R136" s="1">
        <v>1991</v>
      </c>
      <c r="S136" s="5">
        <f>(O34*($E34/365))+(O35*($E35/365))</f>
        <v>0</v>
      </c>
      <c r="T136" s="5">
        <f>(P34*($E34/365))+(P35*($E35/365))</f>
        <v>0</v>
      </c>
      <c r="U136" s="5">
        <f>(Q34*($E34/365))+(Q35*($E35/365))</f>
        <v>50</v>
      </c>
      <c r="V136" s="5"/>
      <c r="W136" s="5">
        <f t="shared" si="36"/>
        <v>50</v>
      </c>
    </row>
    <row r="137" spans="1:23" x14ac:dyDescent="0.15">
      <c r="A137" s="1">
        <v>1992</v>
      </c>
      <c r="B137" s="5">
        <f>(K36*($E36/366))+(K37*($E37/366))</f>
        <v>0</v>
      </c>
      <c r="C137" s="5">
        <f>(L36*($E36/366))+(L37*($E37/366))</f>
        <v>0</v>
      </c>
      <c r="D137" s="5">
        <f>(M36*($E36/366))+(M37*($E37/366))</f>
        <v>100</v>
      </c>
      <c r="E137" s="17">
        <f t="shared" si="35"/>
        <v>100</v>
      </c>
      <c r="G137" s="1">
        <v>1992</v>
      </c>
      <c r="H137" s="392">
        <f>(O36/$R36*100*($E36/366))+(O37/$R37*100*($E37/366))</f>
        <v>0</v>
      </c>
      <c r="I137" s="392"/>
      <c r="J137" s="392">
        <f>(P36/$R36*100*($E36/366))+(P37/$R37*100*($E37/366))</f>
        <v>0</v>
      </c>
      <c r="K137" s="392"/>
      <c r="L137" s="392">
        <f>(Q36/$R36*100*($E36/366))+(Q37/$R37*100*($E37/366))</f>
        <v>100</v>
      </c>
      <c r="M137" s="392"/>
      <c r="N137" s="363">
        <f t="shared" si="34"/>
        <v>100</v>
      </c>
      <c r="O137" s="363"/>
      <c r="R137" s="1">
        <v>1992</v>
      </c>
      <c r="S137" s="5">
        <f>(O36*($E36/366))+(O37*($E37/366))</f>
        <v>0</v>
      </c>
      <c r="T137" s="5">
        <f>(P36*($E36/366))+(P37*($E37/366))</f>
        <v>0</v>
      </c>
      <c r="U137" s="5">
        <f>(Q36*($E36/366))+(Q37*($E37/366))</f>
        <v>50</v>
      </c>
      <c r="V137" s="5"/>
      <c r="W137" s="5">
        <f t="shared" si="36"/>
        <v>50</v>
      </c>
    </row>
    <row r="138" spans="1:23" x14ac:dyDescent="0.15">
      <c r="A138" s="1">
        <v>1993</v>
      </c>
      <c r="B138" s="5">
        <f>(K38*($E38/365))+(K39*($E39/365))</f>
        <v>0</v>
      </c>
      <c r="C138" s="5">
        <f>(L38*($E38/365))+(L39*($E39/365))</f>
        <v>0</v>
      </c>
      <c r="D138" s="5">
        <f>(M38*($E38/365))+(M39*($E39/365))</f>
        <v>100</v>
      </c>
      <c r="E138" s="17">
        <f t="shared" si="35"/>
        <v>100</v>
      </c>
      <c r="G138" s="1">
        <v>1993</v>
      </c>
      <c r="H138" s="392">
        <f>(O38/$R38*100*($E38/365))+(O39/$R39*100*($E39/365))</f>
        <v>0</v>
      </c>
      <c r="I138" s="392"/>
      <c r="J138" s="392">
        <f>(P38/$R38*100*($E38/365))+(P39/$R39*100*($E39/365))</f>
        <v>0</v>
      </c>
      <c r="K138" s="392"/>
      <c r="L138" s="392">
        <f>(Q38/$R38*100*($E38/365))+(Q39/$R39*100*($E39/365))</f>
        <v>100</v>
      </c>
      <c r="M138" s="392"/>
      <c r="N138" s="363">
        <f t="shared" si="34"/>
        <v>100</v>
      </c>
      <c r="O138" s="363"/>
      <c r="R138" s="1">
        <v>1993</v>
      </c>
      <c r="S138" s="5">
        <f>(O38*($E38/365))+(O39*($E39/365))</f>
        <v>0</v>
      </c>
      <c r="T138" s="5">
        <f>(P38*($E38/365))+(P39*($E39/365))</f>
        <v>0</v>
      </c>
      <c r="U138" s="5">
        <f>(Q38*($E38/365))+(Q39*($E39/365))</f>
        <v>47.844931506849321</v>
      </c>
      <c r="V138" s="5"/>
      <c r="W138" s="5">
        <f t="shared" si="36"/>
        <v>47.844931506849321</v>
      </c>
    </row>
    <row r="139" spans="1:23" x14ac:dyDescent="0.15">
      <c r="A139" s="1">
        <v>1994</v>
      </c>
      <c r="B139" s="5">
        <f>(K40*($E40/365))+(K41*($E41/365))</f>
        <v>0</v>
      </c>
      <c r="C139" s="5">
        <f>(L40*($E40/365))+(L41*($E41/365))</f>
        <v>0</v>
      </c>
      <c r="D139" s="5">
        <f>(M40*($E40/365))+(M41*($E41/365))</f>
        <v>100</v>
      </c>
      <c r="E139" s="17">
        <f t="shared" si="35"/>
        <v>100</v>
      </c>
      <c r="G139" s="1">
        <v>1994</v>
      </c>
      <c r="H139" s="392">
        <f>(O40/$R40*100*($E40/365))+(O41/$R41*100*($E41/365))</f>
        <v>0</v>
      </c>
      <c r="I139" s="392"/>
      <c r="J139" s="392">
        <f>(P40/$R40*100*($E40/365))+(P41/$R41*100*($E41/365))</f>
        <v>0</v>
      </c>
      <c r="K139" s="392"/>
      <c r="L139" s="392">
        <f>(Q40/$R40*100*($E40/365))+(Q41/$R41*100*($E41/365))</f>
        <v>100</v>
      </c>
      <c r="M139" s="392"/>
      <c r="N139" s="363">
        <f t="shared" si="34"/>
        <v>100</v>
      </c>
      <c r="O139" s="363"/>
      <c r="R139" s="1">
        <v>1994</v>
      </c>
      <c r="S139" s="5">
        <f>(O40*($E40/365))+(O41*($E41/365))</f>
        <v>0</v>
      </c>
      <c r="T139" s="5">
        <f>(P40*($E40/365))+(P41*($E41/365))</f>
        <v>0</v>
      </c>
      <c r="U139" s="5">
        <f>(Q40*($E40/365))+(Q41*($E41/365))</f>
        <v>45.4</v>
      </c>
      <c r="V139" s="5"/>
      <c r="W139" s="5">
        <f t="shared" si="36"/>
        <v>45.4</v>
      </c>
    </row>
    <row r="140" spans="1:23" x14ac:dyDescent="0.15">
      <c r="A140" s="1">
        <v>1995</v>
      </c>
      <c r="B140" s="5">
        <f>(K42*($E42/365))+(K43*($E43/365))</f>
        <v>0</v>
      </c>
      <c r="C140" s="5">
        <f>(L42*($E42/365))+(L43*($E43/365))</f>
        <v>0</v>
      </c>
      <c r="D140" s="5">
        <f>(M42*($E42/365))+(M43*($E43/365))</f>
        <v>100</v>
      </c>
      <c r="E140" s="17">
        <f t="shared" si="35"/>
        <v>100</v>
      </c>
      <c r="G140" s="1">
        <v>1995</v>
      </c>
      <c r="H140" s="392">
        <f>(O42/$R42*100*($E42/365))+(O43/$R43*100*($E43/365))</f>
        <v>0</v>
      </c>
      <c r="I140" s="392"/>
      <c r="J140" s="392">
        <f>(P42/$R42*100*($E42/365))+(P43/$R43*100*($E43/365))</f>
        <v>0</v>
      </c>
      <c r="K140" s="392"/>
      <c r="L140" s="392">
        <f>(Q42/$R42*100*($E42/365))+(Q43/$R43*100*($E43/365))</f>
        <v>100</v>
      </c>
      <c r="M140" s="392"/>
      <c r="N140" s="363">
        <f t="shared" si="34"/>
        <v>100</v>
      </c>
      <c r="O140" s="363"/>
      <c r="R140" s="1">
        <v>1995</v>
      </c>
      <c r="S140" s="5">
        <f>(O42*($E42/365))+(O43*($E43/365))</f>
        <v>0</v>
      </c>
      <c r="T140" s="5">
        <f>(P42*($E42/365))+(P43*($E43/365))</f>
        <v>0</v>
      </c>
      <c r="U140" s="5">
        <f>(Q42*($E42/365))+(Q43*($E43/365))</f>
        <v>45.4</v>
      </c>
      <c r="V140" s="5"/>
      <c r="W140" s="5">
        <f t="shared" si="36"/>
        <v>45.4</v>
      </c>
    </row>
    <row r="141" spans="1:23" x14ac:dyDescent="0.15">
      <c r="A141" s="1">
        <v>1996</v>
      </c>
      <c r="B141" s="5">
        <f>(K44*($E44/366))+(K45*($E45/366))</f>
        <v>0</v>
      </c>
      <c r="C141" s="5">
        <f>(L44*($E44/366))+(L45*($E45/366))</f>
        <v>66.120218579234972</v>
      </c>
      <c r="D141" s="5">
        <f>(M44*($E44/366))+(M45*($E45/366))</f>
        <v>33.879781420765028</v>
      </c>
      <c r="E141" s="17">
        <f t="shared" si="35"/>
        <v>100</v>
      </c>
      <c r="G141" s="1">
        <v>1996</v>
      </c>
      <c r="H141" s="392">
        <f>(O44/$R44*100*($E44/366))+(O45/$R45*100*($E45/366))</f>
        <v>0</v>
      </c>
      <c r="I141" s="392"/>
      <c r="J141" s="392">
        <f>(P44/$R44*100*($E44/366))+(P45/$R45*100*($E45/366))</f>
        <v>66.120218579234972</v>
      </c>
      <c r="K141" s="392"/>
      <c r="L141" s="392">
        <f>(Q44/$R44*100*($E44/366))+(Q45/$R45*100*($E45/366))</f>
        <v>33.879781420765028</v>
      </c>
      <c r="M141" s="392"/>
      <c r="N141" s="363">
        <f t="shared" si="34"/>
        <v>100</v>
      </c>
      <c r="O141" s="363"/>
      <c r="R141" s="1">
        <v>1996</v>
      </c>
      <c r="S141" s="5">
        <f>(O44*($E44/366))+(O45*($E45/366))</f>
        <v>0</v>
      </c>
      <c r="T141" s="5">
        <f>(P44*($E44/366))+(P45*($E45/366))</f>
        <v>29.489617486338798</v>
      </c>
      <c r="U141" s="5">
        <f>(Q44*($E44/366))+(Q45*($E45/366))</f>
        <v>15.381420765027322</v>
      </c>
      <c r="V141" s="5"/>
      <c r="W141" s="5">
        <f t="shared" si="36"/>
        <v>44.871038251366116</v>
      </c>
    </row>
    <row r="142" spans="1:23" x14ac:dyDescent="0.15">
      <c r="A142" s="1">
        <v>1997</v>
      </c>
      <c r="B142" s="5">
        <f>(K46*($E46/365))+(K47*($E47/365))</f>
        <v>0</v>
      </c>
      <c r="C142" s="5">
        <f>(L46*($E46/365))+(L47*($E47/365))</f>
        <v>100</v>
      </c>
      <c r="D142" s="5">
        <f>(M46*($E46/365))+(M47*($E47/365))</f>
        <v>0</v>
      </c>
      <c r="E142" s="17">
        <f t="shared" si="35"/>
        <v>100</v>
      </c>
      <c r="G142" s="1">
        <v>1997</v>
      </c>
      <c r="H142" s="392">
        <f>(O46/$R46*100*($E46/365))+(O47/$R47*100*($E47/365))</f>
        <v>0</v>
      </c>
      <c r="I142" s="392"/>
      <c r="J142" s="392">
        <f>(P46/$R46*100*($E46/365))+(P47/$R47*100*($E47/365))</f>
        <v>100</v>
      </c>
      <c r="K142" s="392"/>
      <c r="L142" s="392">
        <f>(Q46/$R46*100*($E46/365))+(Q47/$R47*100*($E47/365))</f>
        <v>0</v>
      </c>
      <c r="M142" s="392"/>
      <c r="N142" s="363">
        <f t="shared" si="34"/>
        <v>100</v>
      </c>
      <c r="O142" s="363"/>
      <c r="R142" s="1">
        <v>1997</v>
      </c>
      <c r="S142" s="5">
        <f>(O46*($E46/365))+(O47*($E47/365))</f>
        <v>0</v>
      </c>
      <c r="T142" s="5">
        <f>(P46*($E46/365))+(P47*($E47/365))</f>
        <v>44.6</v>
      </c>
      <c r="U142" s="5">
        <f>(Q46*($E46/365))+(Q47*($E47/365))</f>
        <v>0</v>
      </c>
      <c r="V142" s="5"/>
      <c r="W142" s="5">
        <f t="shared" si="36"/>
        <v>44.6</v>
      </c>
    </row>
    <row r="143" spans="1:23" x14ac:dyDescent="0.15">
      <c r="A143" s="1">
        <v>1998</v>
      </c>
      <c r="B143" s="5">
        <f>(K48*($E48/365))+(K49*($E49/365))</f>
        <v>0</v>
      </c>
      <c r="C143" s="5">
        <f>(L48*($E48/365))+(L49*($E49/365))</f>
        <v>100</v>
      </c>
      <c r="D143" s="5">
        <f>(M48*($E48/365))+(M49*($E49/365))</f>
        <v>0</v>
      </c>
      <c r="E143" s="17">
        <f t="shared" si="35"/>
        <v>100</v>
      </c>
      <c r="G143" s="1">
        <v>1998</v>
      </c>
      <c r="H143" s="392">
        <f>(O48/$R48*100*($E48/365))+(O49/$R49*100*($E49/365))</f>
        <v>0</v>
      </c>
      <c r="I143" s="392"/>
      <c r="J143" s="392">
        <f>(P48/$R48*100*($E48/365))+(P49/$R49*100*($E49/365))</f>
        <v>100</v>
      </c>
      <c r="K143" s="392"/>
      <c r="L143" s="392">
        <f>(Q48/$R48*100*($E48/365))+(Q49/$R49*100*($E49/365))</f>
        <v>0</v>
      </c>
      <c r="M143" s="392"/>
      <c r="N143" s="363">
        <f t="shared" si="34"/>
        <v>100</v>
      </c>
      <c r="O143" s="363"/>
      <c r="R143" s="1">
        <v>1998</v>
      </c>
      <c r="S143" s="5">
        <f>(O48*($E48/365))+(O49*($E49/365))</f>
        <v>0</v>
      </c>
      <c r="T143" s="5">
        <f>(P48*($E48/365))+(P49*($E49/365))</f>
        <v>44.6</v>
      </c>
      <c r="U143" s="5">
        <f>(Q48*($E48/365))+(Q49*($E49/365))</f>
        <v>0</v>
      </c>
      <c r="V143" s="5"/>
      <c r="W143" s="5">
        <f t="shared" si="36"/>
        <v>44.6</v>
      </c>
    </row>
    <row r="144" spans="1:23" x14ac:dyDescent="0.15">
      <c r="A144" s="1">
        <v>1999</v>
      </c>
      <c r="B144" s="5">
        <f>(K50*($E50/365))+(K51*($E51/365))</f>
        <v>0</v>
      </c>
      <c r="C144" s="5">
        <f>(L50*($E50/365))+(L51*($E51/365))</f>
        <v>100</v>
      </c>
      <c r="D144" s="5">
        <f>(M50*($E50/365))+(M51*($E51/365))</f>
        <v>0</v>
      </c>
      <c r="E144" s="17">
        <f t="shared" si="35"/>
        <v>100</v>
      </c>
      <c r="G144" s="1">
        <v>1999</v>
      </c>
      <c r="H144" s="392">
        <f>(O50/$R50*100*($E50/365))+(O51/$R51*100*($E51/365))</f>
        <v>0</v>
      </c>
      <c r="I144" s="392"/>
      <c r="J144" s="392">
        <f>(P50/$R50*100*($E50/365))+(P51/$R51*100*($E51/365))</f>
        <v>100</v>
      </c>
      <c r="K144" s="392"/>
      <c r="L144" s="392">
        <f>(Q50/$R50*100*($E50/365))+(Q51/$R51*100*($E51/365))</f>
        <v>0</v>
      </c>
      <c r="M144" s="392"/>
      <c r="N144" s="363">
        <f t="shared" si="34"/>
        <v>100</v>
      </c>
      <c r="O144" s="363"/>
      <c r="R144" s="1">
        <v>1999</v>
      </c>
      <c r="S144" s="5">
        <f>(O50*($E50/365))+(O51*($E51/365))</f>
        <v>0</v>
      </c>
      <c r="T144" s="5">
        <f>(P50*($E50/365))+(P51*($E51/365))</f>
        <v>44.6</v>
      </c>
      <c r="U144" s="5">
        <f>(Q50*($E50/365))+(Q51*($E51/365))</f>
        <v>0</v>
      </c>
      <c r="V144" s="5"/>
      <c r="W144" s="5">
        <f t="shared" si="36"/>
        <v>44.6</v>
      </c>
    </row>
    <row r="145" spans="1:23" x14ac:dyDescent="0.15">
      <c r="A145" s="1">
        <v>2000</v>
      </c>
      <c r="B145" s="5">
        <f>(K52*($E52/366))+(K53*($E53/366))</f>
        <v>0</v>
      </c>
      <c r="C145" s="5">
        <f>(L52*($E52/366))+(L53*($E53/366))</f>
        <v>100</v>
      </c>
      <c r="D145" s="5">
        <f>(M52*($E52/366))+(M53*($E53/366))</f>
        <v>0</v>
      </c>
      <c r="E145" s="17">
        <f t="shared" si="35"/>
        <v>100</v>
      </c>
      <c r="G145" s="1">
        <v>2000</v>
      </c>
      <c r="H145" s="392">
        <f>(O52/$R52*100*($E52/366))+(O53/$R53*100*($E53/366))</f>
        <v>0</v>
      </c>
      <c r="I145" s="392"/>
      <c r="J145" s="392">
        <f>(P52/$R52*100*($E52/366))+(P53/$R53*100*($E53/366))</f>
        <v>100</v>
      </c>
      <c r="K145" s="392"/>
      <c r="L145" s="392">
        <f>(Q52/$R52*100*($E52/366))+(Q53/$R53*100*($E53/366))</f>
        <v>0</v>
      </c>
      <c r="M145" s="392"/>
      <c r="N145" s="363">
        <f t="shared" si="34"/>
        <v>100</v>
      </c>
      <c r="O145" s="363"/>
      <c r="R145" s="1">
        <v>2000</v>
      </c>
      <c r="S145" s="5">
        <f>(O52*($E52/366))+(O53*($E53/366))</f>
        <v>0</v>
      </c>
      <c r="T145" s="5">
        <f>(P52*($E52/366))+(P53*($E53/366))</f>
        <v>49.85956284153005</v>
      </c>
      <c r="U145" s="5">
        <f>(Q52*($E52/366))+(Q53*($E53/366))</f>
        <v>0</v>
      </c>
      <c r="V145" s="5"/>
      <c r="W145" s="5">
        <f t="shared" si="36"/>
        <v>49.85956284153005</v>
      </c>
    </row>
    <row r="146" spans="1:23" x14ac:dyDescent="0.15">
      <c r="A146" s="1">
        <v>2001</v>
      </c>
      <c r="B146" s="5">
        <f>(K54*($E54/365))+(K55*($E55/365))</f>
        <v>0</v>
      </c>
      <c r="C146" s="5">
        <f>(L54*($E54/365))+(L55*($E55/365))</f>
        <v>100</v>
      </c>
      <c r="D146" s="5">
        <f>(M54*($E54/365))+(M55*($E55/365))</f>
        <v>0</v>
      </c>
      <c r="E146" s="17">
        <f t="shared" si="35"/>
        <v>100</v>
      </c>
      <c r="G146" s="1">
        <v>2001</v>
      </c>
      <c r="H146" s="392">
        <f>(O54/$R54*100*($E54/365))+(O55/$R55*100*($E55/365))</f>
        <v>0</v>
      </c>
      <c r="I146" s="392"/>
      <c r="J146" s="392">
        <f>(P54/$R54*100*($E54/365))+(P55/$R55*100*($E55/365))</f>
        <v>100</v>
      </c>
      <c r="K146" s="392"/>
      <c r="L146" s="392">
        <f>(Q54/$R54*100*($E54/365))+(Q55/$R55*100*($E55/365))</f>
        <v>0</v>
      </c>
      <c r="M146" s="392"/>
      <c r="N146" s="363">
        <f t="shared" si="34"/>
        <v>100</v>
      </c>
      <c r="O146" s="363"/>
      <c r="R146" s="1">
        <v>2001</v>
      </c>
      <c r="S146" s="5">
        <f>(O54*($E54/365))+(O55*($E55/365))</f>
        <v>0</v>
      </c>
      <c r="T146" s="5">
        <f>(P54*($E54/365))+(P55*($E55/365))</f>
        <v>52.3</v>
      </c>
      <c r="U146" s="5">
        <f>(Q54*($E54/365))+(Q55*($E55/365))</f>
        <v>0</v>
      </c>
      <c r="V146" s="5"/>
      <c r="W146" s="5">
        <f t="shared" si="36"/>
        <v>52.3</v>
      </c>
    </row>
    <row r="147" spans="1:23" x14ac:dyDescent="0.15">
      <c r="A147" s="1">
        <v>2002</v>
      </c>
      <c r="B147" s="5">
        <f>(K56*($E56/365))+(K57*($E57/365))</f>
        <v>0</v>
      </c>
      <c r="C147" s="5">
        <f>(L56*($E56/365))+(L57*($E57/365))</f>
        <v>100</v>
      </c>
      <c r="D147" s="5">
        <f>(M56*($E56/365))+(M57*($E57/365))</f>
        <v>0</v>
      </c>
      <c r="E147" s="17">
        <f t="shared" si="35"/>
        <v>100</v>
      </c>
      <c r="G147" s="1">
        <v>2002</v>
      </c>
      <c r="H147" s="392">
        <f>(O56/$R56*100*($E56/365))+(O57/$R57*100*($E57/365))</f>
        <v>0</v>
      </c>
      <c r="I147" s="392"/>
      <c r="J147" s="392">
        <f>(P56/$R56*100*($E56/365))+(P57/$R57*100*($E57/365))</f>
        <v>100</v>
      </c>
      <c r="K147" s="392"/>
      <c r="L147" s="392">
        <f>(Q56/$R56*100*($E56/365))+(Q57/$R57*100*($E57/365))</f>
        <v>0</v>
      </c>
      <c r="M147" s="392"/>
      <c r="N147" s="363">
        <f t="shared" si="34"/>
        <v>100</v>
      </c>
      <c r="O147" s="363"/>
      <c r="R147" s="1">
        <v>2002</v>
      </c>
      <c r="S147" s="5">
        <f>(O56*($E56/365))+(O57*($E57/365))</f>
        <v>0</v>
      </c>
      <c r="T147" s="5">
        <f>(P56*($E56/365))+(P57*($E57/365))</f>
        <v>52.3</v>
      </c>
      <c r="U147" s="5">
        <f>(Q56*($E56/365))+(Q57*($E57/365))</f>
        <v>0</v>
      </c>
      <c r="V147" s="5"/>
      <c r="W147" s="5">
        <f t="shared" si="36"/>
        <v>52.3</v>
      </c>
    </row>
    <row r="148" spans="1:23" x14ac:dyDescent="0.15">
      <c r="A148" s="1">
        <v>2003</v>
      </c>
      <c r="B148" s="5">
        <f>(K58*($E58/365))+(K59*($E59/365))</f>
        <v>0</v>
      </c>
      <c r="C148" s="5">
        <f>(L58*($E58/365))+(L59*($E59/365))</f>
        <v>100</v>
      </c>
      <c r="D148" s="5">
        <f>(M58*($E58/365))+(M59*($E59/365))</f>
        <v>0</v>
      </c>
      <c r="E148" s="17">
        <f t="shared" si="35"/>
        <v>100</v>
      </c>
      <c r="G148" s="1">
        <v>2003</v>
      </c>
      <c r="H148" s="392">
        <f>(O58/$R58*100*($E58/365))+(O59/$R59*100*($E59/365))</f>
        <v>0</v>
      </c>
      <c r="I148" s="392"/>
      <c r="J148" s="392">
        <f>(P58/$R58*100*($E58/365))+(P59/$R59*100*($E59/365))</f>
        <v>100</v>
      </c>
      <c r="K148" s="392"/>
      <c r="L148" s="392">
        <f>(Q58/$R58*100*($E58/365))+(Q59/$R59*100*($E59/365))</f>
        <v>0</v>
      </c>
      <c r="M148" s="392"/>
      <c r="N148" s="363">
        <f t="shared" si="34"/>
        <v>100</v>
      </c>
      <c r="O148" s="363"/>
      <c r="R148" s="1">
        <v>2003</v>
      </c>
      <c r="S148" s="5">
        <f>(O58*($E58/365))+(O59*($E59/365))</f>
        <v>0</v>
      </c>
      <c r="T148" s="5">
        <f>(P58*($E58/365))+(P59*($E59/365))</f>
        <v>52.3</v>
      </c>
      <c r="U148" s="5">
        <f>(Q58*($E58/365))+(Q59*($E59/365))</f>
        <v>0</v>
      </c>
      <c r="V148" s="5"/>
      <c r="W148" s="5">
        <f t="shared" si="36"/>
        <v>52.3</v>
      </c>
    </row>
    <row r="149" spans="1:23" x14ac:dyDescent="0.15">
      <c r="A149" s="1">
        <v>2004</v>
      </c>
      <c r="B149" s="5">
        <f>(K60*($E60/366))+(K61*($E61/366))</f>
        <v>0</v>
      </c>
      <c r="C149" s="5">
        <f>(L60*($E60/366))+(L61*($E61/366))</f>
        <v>29.234972677595628</v>
      </c>
      <c r="D149" s="5">
        <f>(M60*($E60/366))+(M61*($E61/366))</f>
        <v>70.765027322404379</v>
      </c>
      <c r="E149" s="17">
        <f t="shared" si="35"/>
        <v>100</v>
      </c>
      <c r="G149" s="1">
        <v>2004</v>
      </c>
      <c r="H149" s="392">
        <f>(O60/$R60*100*($E60/366))+(O61/$R61*100*($E61/366))</f>
        <v>0</v>
      </c>
      <c r="I149" s="392"/>
      <c r="J149" s="392">
        <f>(P60/$R60*100*($E60/366))+(P61/$R61*100*($E61/366))</f>
        <v>29.234972677595628</v>
      </c>
      <c r="K149" s="392"/>
      <c r="L149" s="392">
        <f>(Q60/$R60*100*($E60/366))+(Q61/$R61*100*($E61/366))</f>
        <v>70.765027322404379</v>
      </c>
      <c r="M149" s="392"/>
      <c r="N149" s="363">
        <f t="shared" si="34"/>
        <v>100</v>
      </c>
      <c r="O149" s="363"/>
      <c r="R149" s="1">
        <v>2004</v>
      </c>
      <c r="S149" s="5">
        <f>(O60*($E60/366))+(O61*($E61/366))</f>
        <v>0</v>
      </c>
      <c r="T149" s="5">
        <f>(P60*($E60/366))+(P61*($E61/366))</f>
        <v>15.289890710382512</v>
      </c>
      <c r="U149" s="5">
        <f>(Q60*($E60/366))+(Q61*($E61/366))</f>
        <v>33.188797814207646</v>
      </c>
      <c r="V149" s="5"/>
      <c r="W149" s="5">
        <f t="shared" si="36"/>
        <v>48.478688524590154</v>
      </c>
    </row>
    <row r="150" spans="1:23" x14ac:dyDescent="0.15">
      <c r="A150" s="1">
        <v>2005</v>
      </c>
      <c r="B150" s="5">
        <f>(K62*($E62/365))+(K63*($E63/365))</f>
        <v>0</v>
      </c>
      <c r="C150" s="5">
        <f>(L62*($E62/365))+(L63*($E63/365))</f>
        <v>0</v>
      </c>
      <c r="D150" s="5">
        <f>(M62*($E62/365))+(M63*($E63/365))</f>
        <v>100</v>
      </c>
      <c r="E150" s="17">
        <f t="shared" si="35"/>
        <v>100</v>
      </c>
      <c r="G150" s="1">
        <v>2005</v>
      </c>
      <c r="H150" s="392">
        <f>(O62/$R62*100*($E62/365))+(O63/$R63*100*($E63/365))</f>
        <v>0</v>
      </c>
      <c r="I150" s="392"/>
      <c r="J150" s="392">
        <f>(P62/$R62*100*($E62/365))+(P63/$R63*100*($E63/365))</f>
        <v>0</v>
      </c>
      <c r="K150" s="392"/>
      <c r="L150" s="392">
        <f>(Q62/$R62*100*($E62/365))+(Q63/$R63*100*($E63/365))</f>
        <v>100</v>
      </c>
      <c r="M150" s="392"/>
      <c r="N150" s="363">
        <f t="shared" si="34"/>
        <v>100</v>
      </c>
      <c r="O150" s="363"/>
      <c r="R150" s="1">
        <v>2005</v>
      </c>
      <c r="S150" s="5">
        <f>(O62*($E62/365))+(O63*($E63/365))</f>
        <v>0</v>
      </c>
      <c r="T150" s="5">
        <f>(P62*($E62/365))+(P63*($E63/365))</f>
        <v>0</v>
      </c>
      <c r="U150" s="5">
        <f>(Q62*($E62/365))+(Q63*($E63/365))</f>
        <v>46.9</v>
      </c>
      <c r="V150" s="5"/>
      <c r="W150" s="5">
        <f t="shared" si="36"/>
        <v>46.9</v>
      </c>
    </row>
    <row r="151" spans="1:23" x14ac:dyDescent="0.15">
      <c r="A151" s="1">
        <v>2006</v>
      </c>
      <c r="B151" s="5">
        <f>(K64*($E64/365))+(K65*($E65/365))</f>
        <v>0</v>
      </c>
      <c r="C151" s="5">
        <f>(L64*($E64/365))+(L65*($E65/365))</f>
        <v>0</v>
      </c>
      <c r="D151" s="5">
        <f>(M64*($E64/365))+(M65*($E65/365))</f>
        <v>100</v>
      </c>
      <c r="E151" s="17">
        <f t="shared" si="35"/>
        <v>100</v>
      </c>
      <c r="G151" s="1">
        <v>2006</v>
      </c>
      <c r="H151" s="392">
        <f>(O64/$R64*100*($E64/365))+(O65/$R65*100*($E65/365))</f>
        <v>0</v>
      </c>
      <c r="I151" s="392"/>
      <c r="J151" s="392">
        <f>(P64/$R64*100*($E64/365))+(P65/$R65*100*($E65/365))</f>
        <v>0</v>
      </c>
      <c r="K151" s="392"/>
      <c r="L151" s="392">
        <f>(Q64/$R64*100*($E64/365))+(Q65/$R65*100*($E65/365))</f>
        <v>100</v>
      </c>
      <c r="M151" s="392"/>
      <c r="N151" s="363">
        <f t="shared" si="34"/>
        <v>100</v>
      </c>
      <c r="O151" s="363"/>
      <c r="R151" s="1">
        <v>2006</v>
      </c>
      <c r="S151" s="5">
        <f>(O64*($E64/365))+(O65*($E65/365))</f>
        <v>0</v>
      </c>
      <c r="T151" s="5">
        <f>(P64*($E64/365))+(P65*($E65/365))</f>
        <v>0</v>
      </c>
      <c r="U151" s="5">
        <f>(Q64*($E64/365))+(Q65*($E65/365))</f>
        <v>46.9</v>
      </c>
      <c r="V151" s="5"/>
      <c r="W151" s="5">
        <f t="shared" si="36"/>
        <v>46.9</v>
      </c>
    </row>
    <row r="152" spans="1:23" x14ac:dyDescent="0.15">
      <c r="A152" s="1">
        <v>2007</v>
      </c>
      <c r="B152" s="5">
        <f>(K66*($E66/365))+(K67*($E67/365))</f>
        <v>0</v>
      </c>
      <c r="C152" s="5">
        <f>(L66*($E66/365))+(L67*($E67/365))</f>
        <v>0</v>
      </c>
      <c r="D152" s="5">
        <f>(M66*($E66/365))+(M67*($E67/365))</f>
        <v>100</v>
      </c>
      <c r="E152" s="17">
        <f t="shared" si="35"/>
        <v>100</v>
      </c>
      <c r="G152" s="1">
        <v>2007</v>
      </c>
      <c r="H152" s="392">
        <f>(O66/$R66*100*($E66/365))+(O67/$R67*100*($E67/365))</f>
        <v>0</v>
      </c>
      <c r="I152" s="392"/>
      <c r="J152" s="392">
        <f>(P66/$R66*100*($E66/365))+(P67/$R67*100*($E67/365))</f>
        <v>0</v>
      </c>
      <c r="K152" s="392"/>
      <c r="L152" s="392">
        <f>(Q66/$R66*100*($E66/365))+(Q67/$R67*100*($E67/365))</f>
        <v>100</v>
      </c>
      <c r="M152" s="392"/>
      <c r="N152" s="363">
        <f t="shared" si="34"/>
        <v>100</v>
      </c>
      <c r="O152" s="363"/>
      <c r="R152" s="1">
        <v>2007</v>
      </c>
      <c r="S152" s="5">
        <f>(O66*($E66/365))+(O67*($E67/365))</f>
        <v>0</v>
      </c>
      <c r="T152" s="5">
        <f>(P66*($E66/365))+(P67*($E67/365))</f>
        <v>0</v>
      </c>
      <c r="U152" s="5">
        <f>(Q66*($E66/365))+(Q67*($E67/365))</f>
        <v>46.9</v>
      </c>
      <c r="V152" s="5"/>
      <c r="W152" s="5">
        <f t="shared" si="36"/>
        <v>46.9</v>
      </c>
    </row>
    <row r="153" spans="1:23" x14ac:dyDescent="0.15">
      <c r="A153" s="1">
        <v>2008</v>
      </c>
      <c r="B153" s="5">
        <f>(K68*($E68/366))+(K69*($E69/366))</f>
        <v>0</v>
      </c>
      <c r="C153" s="5">
        <f>(L68*($E68/366))+(L69*($E69/366))</f>
        <v>0</v>
      </c>
      <c r="D153" s="5">
        <f>(M68*($E68/366))+(M69*($E69/366))</f>
        <v>100.00000000000001</v>
      </c>
      <c r="E153" s="17">
        <f t="shared" si="35"/>
        <v>100.00000000000001</v>
      </c>
      <c r="G153" s="1">
        <v>2008</v>
      </c>
      <c r="H153" s="392">
        <f>(O68/$R68*100*($E68/366))+(O69/$R69*100*($E69/366))</f>
        <v>0</v>
      </c>
      <c r="I153" s="392"/>
      <c r="J153" s="392">
        <f>(P68/$R68*100*($E68/366))+(P69/$R69*100*($E69/366))</f>
        <v>0</v>
      </c>
      <c r="K153" s="392"/>
      <c r="L153" s="392">
        <f>(Q68/$R68*100*($E68/366))+(Q69/$R69*100*($E69/366))</f>
        <v>100.00000000000001</v>
      </c>
      <c r="M153" s="392"/>
      <c r="N153" s="363">
        <f t="shared" si="34"/>
        <v>100.00000000000001</v>
      </c>
      <c r="O153" s="363"/>
      <c r="R153" s="1">
        <v>2008</v>
      </c>
      <c r="S153" s="5">
        <f>(O68*($E68/366))+(O69*($E69/366))</f>
        <v>0</v>
      </c>
      <c r="T153" s="5">
        <f>(P68*($E68/366))+(P69*($E69/366))</f>
        <v>0</v>
      </c>
      <c r="U153" s="5">
        <f>(Q68*($E68/366))+(Q69*($E69/366))</f>
        <v>47.910491803278688</v>
      </c>
      <c r="V153" s="5"/>
      <c r="W153" s="5">
        <f t="shared" si="36"/>
        <v>47.910491803278688</v>
      </c>
    </row>
    <row r="154" spans="1:23" x14ac:dyDescent="0.15">
      <c r="A154" s="1">
        <v>2009</v>
      </c>
      <c r="B154" s="5">
        <f>(K70*($E70/365))+(K71*($E71/365))</f>
        <v>0</v>
      </c>
      <c r="C154" s="5">
        <f>(L70*($E70/365))+(L71*($E71/365))</f>
        <v>0</v>
      </c>
      <c r="D154" s="5">
        <f>(M70*($E70/365))+(M71*($E71/365))</f>
        <v>100</v>
      </c>
      <c r="E154" s="17">
        <f t="shared" si="35"/>
        <v>100</v>
      </c>
      <c r="G154" s="1">
        <v>2009</v>
      </c>
      <c r="H154" s="392">
        <f>(O70/$R70*100*($E70/365))+(O71/$R71*100*($E71/365))</f>
        <v>0</v>
      </c>
      <c r="I154" s="392"/>
      <c r="J154" s="392">
        <f>(P70/$R70*100*($E70/365))+(P71/$R71*100*($E71/365))</f>
        <v>0</v>
      </c>
      <c r="K154" s="392"/>
      <c r="L154" s="392">
        <f>(Q70/$R70*100*($E70/365))+(Q71/$R71*100*($E71/365))</f>
        <v>100</v>
      </c>
      <c r="M154" s="392"/>
      <c r="N154" s="363">
        <f t="shared" si="34"/>
        <v>100</v>
      </c>
      <c r="O154" s="363"/>
      <c r="R154" s="1">
        <v>2009</v>
      </c>
      <c r="S154" s="5">
        <f>(O70*($E70/365))+(O71*($E71/365))</f>
        <v>0</v>
      </c>
      <c r="T154" s="5">
        <f>(P70*($E70/365))+(P71*($E71/365))</f>
        <v>0</v>
      </c>
      <c r="U154" s="5">
        <f>(Q70*($E70/365))+(Q71*($E71/365))</f>
        <v>48.279999999999994</v>
      </c>
      <c r="V154" s="5"/>
      <c r="W154" s="5">
        <f t="shared" si="36"/>
        <v>48.279999999999994</v>
      </c>
    </row>
    <row r="155" spans="1:23" x14ac:dyDescent="0.15">
      <c r="A155" s="1">
        <v>2010</v>
      </c>
      <c r="B155" s="5">
        <f>(K72*($E72/365))+(K73*($E73/365))</f>
        <v>0</v>
      </c>
      <c r="C155" s="5">
        <f>(L72*($E72/365))+(L73*($E73/365))</f>
        <v>0</v>
      </c>
      <c r="D155" s="5">
        <f>(M72*($E72/365))+(M73*($E73/365))</f>
        <v>98.75</v>
      </c>
      <c r="E155" s="17">
        <f t="shared" si="35"/>
        <v>98.75</v>
      </c>
      <c r="G155" s="1">
        <v>2010</v>
      </c>
      <c r="H155" s="392">
        <f>(O72/$R72*100*($E72/365))+(O73/$R73*100*($E73/365))</f>
        <v>0</v>
      </c>
      <c r="I155" s="392"/>
      <c r="J155" s="392">
        <f>(P72/$R72*100*($E72/365))+(P73/$R73*100*($E73/365))</f>
        <v>0</v>
      </c>
      <c r="K155" s="392"/>
      <c r="L155" s="392">
        <f>(Q72/$R72*100*($E72/365))+(Q73/$R73*100*($E73/365))</f>
        <v>100</v>
      </c>
      <c r="M155" s="392"/>
      <c r="N155" s="363">
        <f t="shared" si="34"/>
        <v>100</v>
      </c>
      <c r="O155" s="363"/>
      <c r="R155" s="1">
        <v>2010</v>
      </c>
      <c r="S155" s="5">
        <f>(O72*($E72/365))+(O73*($E73/365))</f>
        <v>0</v>
      </c>
      <c r="T155" s="5">
        <f>(P72*($E72/365))+(P73*($E73/365))</f>
        <v>0</v>
      </c>
      <c r="U155" s="5">
        <f>(Q72*($E72/365))+(Q73*($E73/365))</f>
        <v>48.28</v>
      </c>
      <c r="V155" s="5"/>
      <c r="W155" s="5">
        <f t="shared" si="36"/>
        <v>48.28</v>
      </c>
    </row>
    <row r="156" spans="1:23" x14ac:dyDescent="0.15">
      <c r="A156" s="1">
        <v>2011</v>
      </c>
      <c r="B156" s="5">
        <f>(K74*($E74/365))+(K75*($E75/365))</f>
        <v>0</v>
      </c>
      <c r="C156" s="5">
        <f>(L74*($E74/365))+(L75*($E75/365))</f>
        <v>3.5616438356164384</v>
      </c>
      <c r="D156" s="5">
        <f>(M74*($E74/365))+(M75*($E75/365))</f>
        <v>90.410958904109592</v>
      </c>
      <c r="E156" s="17">
        <f t="shared" si="35"/>
        <v>93.972602739726028</v>
      </c>
      <c r="G156" s="1">
        <v>2011</v>
      </c>
      <c r="H156" s="392">
        <f>(O74/$R74*100*($E74/365))+(O75/$R75*100*($E75/365))</f>
        <v>0</v>
      </c>
      <c r="I156" s="392"/>
      <c r="J156" s="392">
        <f>(P74/$R74*100*($E74/365))+(P75/$R75*100*($E75/365))</f>
        <v>3.5616438356164384</v>
      </c>
      <c r="K156" s="392"/>
      <c r="L156" s="392">
        <f>(Q74/$R74*100*($E74/365))+(Q75/$R75*100*($E75/365))</f>
        <v>96.438356164383563</v>
      </c>
      <c r="M156" s="392"/>
      <c r="N156" s="363">
        <f t="shared" si="34"/>
        <v>100</v>
      </c>
      <c r="O156" s="363"/>
      <c r="R156" s="1">
        <v>2011</v>
      </c>
      <c r="S156" s="5">
        <f>(O74*($E74/365))+(O75*($E75/365))</f>
        <v>0</v>
      </c>
      <c r="T156" s="5">
        <f>(P74*($E74/365))+(P75*($E75/365))</f>
        <v>1.8926575342465752</v>
      </c>
      <c r="U156" s="5">
        <f>(Q74*($E74/365))+(Q75*($E75/365))</f>
        <v>46.560438356164383</v>
      </c>
      <c r="V156" s="5"/>
      <c r="W156" s="5">
        <f t="shared" si="36"/>
        <v>48.453095890410957</v>
      </c>
    </row>
    <row r="157" spans="1:23" x14ac:dyDescent="0.15">
      <c r="A157" s="1">
        <v>2012</v>
      </c>
      <c r="B157" s="5">
        <f>(K76*($E76/366))+(K77*($E77/366))</f>
        <v>0</v>
      </c>
      <c r="C157" s="5">
        <f>(L76*($E76/366))+(L77*($E77/366))</f>
        <v>100</v>
      </c>
      <c r="D157" s="5">
        <f>(M76*($E76/366))+(M77*($E77/366))</f>
        <v>0</v>
      </c>
      <c r="E157" s="17">
        <f t="shared" si="35"/>
        <v>100</v>
      </c>
      <c r="G157" s="1">
        <v>2012</v>
      </c>
      <c r="H157" s="392">
        <f>(O76/$R76*100*($E76/366))+(O77/$R77*100*($E77/366))</f>
        <v>0</v>
      </c>
      <c r="I157" s="392"/>
      <c r="J157" s="392">
        <f>(P76/$R76*100*($E76/366))+(P77/$R77*100*($E77/366))</f>
        <v>100</v>
      </c>
      <c r="K157" s="392"/>
      <c r="L157" s="392">
        <f>(Q76/$R76*100*($E76/366))+(Q77/$R77*100*($E77/366))</f>
        <v>0</v>
      </c>
      <c r="M157" s="392"/>
      <c r="N157" s="363">
        <f t="shared" si="34"/>
        <v>100</v>
      </c>
      <c r="O157" s="363"/>
      <c r="R157" s="1">
        <v>2012</v>
      </c>
      <c r="S157" s="5">
        <f>(O76*($E76/366))+(O77*($E77/366))</f>
        <v>0</v>
      </c>
      <c r="T157" s="5">
        <f>(P76*($E76/366))+(P77*($E77/366))</f>
        <v>53.14</v>
      </c>
      <c r="U157" s="5">
        <f>(Q76*($E76/366))+(Q77*($E77/366))</f>
        <v>0</v>
      </c>
      <c r="V157" s="5"/>
      <c r="W157" s="5">
        <f t="shared" si="36"/>
        <v>53.14</v>
      </c>
    </row>
    <row r="158" spans="1:23" x14ac:dyDescent="0.15">
      <c r="A158" s="1">
        <v>2013</v>
      </c>
      <c r="B158" s="5">
        <f>(K78*($E78/365))+(K79*($E79/365))</f>
        <v>0</v>
      </c>
      <c r="C158" s="5">
        <f>(L78*($E78/365))+(L79*($E79/365))</f>
        <v>100</v>
      </c>
      <c r="D158" s="5">
        <f>(M78*($E78/365))+(M79*($E79/365))</f>
        <v>0</v>
      </c>
      <c r="E158" s="17">
        <f t="shared" si="35"/>
        <v>100</v>
      </c>
      <c r="G158" s="1">
        <v>2013</v>
      </c>
      <c r="H158" s="392">
        <f>(O78/$R78*100*($E78/365))+(O79/$R79*100*($E79/365))</f>
        <v>0</v>
      </c>
      <c r="I158" s="392"/>
      <c r="J158" s="392">
        <f>(P78/$R78*100*($E78/365))+(P79/$R79*100*($E79/365))</f>
        <v>100</v>
      </c>
      <c r="K158" s="392"/>
      <c r="L158" s="392">
        <f>(Q78/$R78*100*($E78/365))+(Q79/$R79*100*($E79/365))</f>
        <v>0</v>
      </c>
      <c r="M158" s="392"/>
      <c r="N158" s="363">
        <f>H158+J158+L158</f>
        <v>100</v>
      </c>
      <c r="O158" s="363"/>
      <c r="R158" s="1">
        <v>2013</v>
      </c>
      <c r="S158" s="5">
        <f>(O78*($E78/365))+(O79*($E79/365))</f>
        <v>0</v>
      </c>
      <c r="T158" s="5">
        <f>(P78*($E78/365))+(P79*($E79/365))</f>
        <v>53.14</v>
      </c>
      <c r="U158" s="5">
        <f>(Q78*($E78/365))+(Q79*($E79/365))</f>
        <v>0</v>
      </c>
      <c r="W158" s="5">
        <f t="shared" si="36"/>
        <v>53.14</v>
      </c>
    </row>
    <row r="159" spans="1:23" x14ac:dyDescent="0.15">
      <c r="A159" s="1">
        <v>2014</v>
      </c>
      <c r="B159" s="5">
        <f>(K80*($E80/365))+(K81*($E81/365))</f>
        <v>0</v>
      </c>
      <c r="C159" s="5">
        <f>(L80*($E80/365))+(L81*($E81/365))</f>
        <v>100</v>
      </c>
      <c r="D159" s="5">
        <f>(M80*($E80/365))+(M81*($E81/365))</f>
        <v>0</v>
      </c>
      <c r="E159" s="17">
        <f>B159+C159+D159</f>
        <v>100</v>
      </c>
      <c r="G159" s="1">
        <v>2014</v>
      </c>
      <c r="H159" s="392">
        <f>(O80/$R80*100*($E80/365))+(O81/$R81*100*($E81/365))</f>
        <v>0</v>
      </c>
      <c r="I159" s="392"/>
      <c r="J159" s="392">
        <f>(P80/$R80*100*($E80/365))+(P81/$R81*100*($E81/365))</f>
        <v>100</v>
      </c>
      <c r="K159" s="392"/>
      <c r="L159" s="392">
        <f>(Q80/$R80*100*($E80/365))+(Q81/$R81*100*($E81/365))</f>
        <v>0</v>
      </c>
      <c r="M159" s="392"/>
      <c r="N159" s="363">
        <f>H159+J159+L159</f>
        <v>100</v>
      </c>
      <c r="O159" s="363"/>
      <c r="R159" s="1">
        <v>2014</v>
      </c>
      <c r="S159" s="5">
        <f>(O80*($E80/365))+(O81*($E81/365))</f>
        <v>0</v>
      </c>
      <c r="T159" s="5">
        <f>(P80*($E80/365))+(P81*($E81/365))</f>
        <v>53.14</v>
      </c>
      <c r="U159" s="5">
        <f>(Q80*($E80/365))+(Q81*($E81/365))</f>
        <v>0</v>
      </c>
      <c r="W159" s="5">
        <f>S159+T159+U159</f>
        <v>53.14</v>
      </c>
    </row>
    <row r="160" spans="1:23" x14ac:dyDescent="0.15">
      <c r="A160" s="1">
        <v>2015</v>
      </c>
      <c r="B160" s="5">
        <f>(K82*($E82/365))+(K83*($E83/365))</f>
        <v>0</v>
      </c>
      <c r="C160" s="5">
        <f>(L82*($E82/365))+(L83*($E83/365))</f>
        <v>100</v>
      </c>
      <c r="D160" s="5">
        <f>(M82*($E82/365))+(M83*($E83/365))</f>
        <v>0</v>
      </c>
      <c r="E160" s="17">
        <f>B160+C160+D160</f>
        <v>100</v>
      </c>
      <c r="G160" s="1">
        <v>2015</v>
      </c>
      <c r="H160" s="392">
        <f>(O82/$R82*100*($E82/365))+(O83/$R83*100*($E83/365))</f>
        <v>0</v>
      </c>
      <c r="I160" s="392"/>
      <c r="J160" s="392">
        <f>(P82/$R82*100*($E82/365))+(P83/$R83*100*($E83/365))</f>
        <v>100</v>
      </c>
      <c r="K160" s="392"/>
      <c r="L160" s="392">
        <f>(Q82/$R82*100*($E82/365))+(Q83/$R83*100*($E83/365))</f>
        <v>0</v>
      </c>
      <c r="M160" s="392"/>
      <c r="N160" s="363">
        <f>H160+J160+L160</f>
        <v>100</v>
      </c>
      <c r="O160" s="363"/>
      <c r="R160" s="1">
        <v>2015</v>
      </c>
      <c r="S160" s="5">
        <f>(O82*($E82/365))+(O83*($E83/365))</f>
        <v>0</v>
      </c>
      <c r="T160" s="5">
        <f>(P82*($E82/365))+(P83*($E83/365))</f>
        <v>35.1</v>
      </c>
      <c r="U160" s="5">
        <f>(Q82*($E82/365))+(Q83*($E83/365))</f>
        <v>0</v>
      </c>
      <c r="W160" s="5">
        <f>S160+T160+U160</f>
        <v>35.1</v>
      </c>
    </row>
    <row r="161" spans="1:23" x14ac:dyDescent="0.15">
      <c r="A161" s="1">
        <v>2016</v>
      </c>
      <c r="B161" s="5">
        <f>(K84*($E84/366))+(K85*($E85/366))</f>
        <v>0</v>
      </c>
      <c r="C161" s="5">
        <f>(L84*($E84/366))+(L85*($E85/366))</f>
        <v>100.00000000000001</v>
      </c>
      <c r="D161" s="5">
        <f>(M84*($E84/366))+(M85*($E85/366))</f>
        <v>0</v>
      </c>
      <c r="E161" s="17">
        <f t="shared" ref="E161" si="37">B161+C161+D161</f>
        <v>100.00000000000001</v>
      </c>
      <c r="G161" s="1">
        <v>2016</v>
      </c>
      <c r="H161" s="392">
        <f>(O84/$R84*100*($E84/366))+(O85/$R85*100*($E85/366))</f>
        <v>0</v>
      </c>
      <c r="I161" s="392"/>
      <c r="J161" s="392">
        <f>(P84/$R84*100*($E84/366))+(P85/$R85*100*($E85/366))</f>
        <v>100.00000000000001</v>
      </c>
      <c r="K161" s="392"/>
      <c r="L161" s="392">
        <f>(Q84/$R84*100*($E84/366))+(Q85/$R85*100*($E85/366))</f>
        <v>0</v>
      </c>
      <c r="M161" s="392"/>
      <c r="N161" s="363">
        <f t="shared" ref="N161" si="38">H161+J161+L161</f>
        <v>100.00000000000001</v>
      </c>
      <c r="O161" s="363"/>
      <c r="R161" s="1">
        <v>2016</v>
      </c>
      <c r="S161" s="5">
        <f>(O84*($E84/366))+(O85*($E85/366))</f>
        <v>0</v>
      </c>
      <c r="T161" s="5">
        <f>(P84*($E84/366))+(P85*($E85/366))</f>
        <v>35.607103825136619</v>
      </c>
      <c r="U161" s="5">
        <f>(Q84*($E84/366))+(Q85*($E85/366))</f>
        <v>0</v>
      </c>
      <c r="W161" s="5">
        <f t="shared" ref="W161" si="39">S161+T161+U161</f>
        <v>35.607103825136619</v>
      </c>
    </row>
    <row r="162" spans="1:23" x14ac:dyDescent="0.15">
      <c r="A162" s="1">
        <v>2017</v>
      </c>
      <c r="B162" s="5">
        <f>(K86*($E86/365))+(K87*($E87/365))</f>
        <v>0</v>
      </c>
      <c r="C162" s="5">
        <f>(L86*($E86/365))+(L87*($E87/365))</f>
        <v>100</v>
      </c>
      <c r="D162" s="5">
        <f>(M86*($E86/365))+(M87*($E87/365))</f>
        <v>0</v>
      </c>
      <c r="E162" s="17">
        <f t="shared" ref="E162" si="40">B162+C162+D162</f>
        <v>100</v>
      </c>
      <c r="G162" s="1">
        <v>2017</v>
      </c>
      <c r="H162" s="392">
        <f>(O86/$R86*100*($E86/365))+(O87/$R87*100*($E87/365))</f>
        <v>0</v>
      </c>
      <c r="I162" s="392"/>
      <c r="J162" s="392">
        <f>(P86/$R86*100*($E86/365))+(P87/$R87*100*($E87/365))</f>
        <v>100</v>
      </c>
      <c r="K162" s="392"/>
      <c r="L162" s="392">
        <f>(Q86/$R86*100*($E86/365))+(Q87/$R87*100*($E87/365))</f>
        <v>0</v>
      </c>
      <c r="M162" s="392"/>
      <c r="N162" s="363">
        <f t="shared" ref="N162" si="41">H162+J162+L162</f>
        <v>100</v>
      </c>
      <c r="O162" s="363"/>
      <c r="R162" s="1">
        <v>2017</v>
      </c>
      <c r="S162" s="5">
        <f>(O86*($E86/365))+(O87*($E87/365))</f>
        <v>0</v>
      </c>
      <c r="T162" s="5">
        <f>(P86*($E86/365))+(P87*($E87/365))</f>
        <v>38.299999999999997</v>
      </c>
      <c r="U162" s="5">
        <f>(Q86*($E86/365))+(Q87*($E87/365))</f>
        <v>0</v>
      </c>
      <c r="W162" s="5">
        <f t="shared" ref="W162" si="42">S162+T162+U162</f>
        <v>38.299999999999997</v>
      </c>
    </row>
    <row r="163" spans="1:23" x14ac:dyDescent="0.15">
      <c r="A163" s="1">
        <v>2018</v>
      </c>
      <c r="B163" s="5">
        <f>(K88*($E88/365))+(K89*($E89/365))</f>
        <v>0</v>
      </c>
      <c r="C163" s="5">
        <f>(L88*($E88/365))+(L89*($E89/365))</f>
        <v>43.013698630136986</v>
      </c>
      <c r="D163" s="5">
        <f>(M88*($E88/365))+(M89*($E89/365))</f>
        <v>56.986301369863014</v>
      </c>
      <c r="E163" s="17">
        <f t="shared" ref="E163" si="43">B163+C163+D163</f>
        <v>100</v>
      </c>
      <c r="G163" s="1">
        <v>2018</v>
      </c>
      <c r="H163" s="392">
        <f>(O88/$R88*100*($E88/365))+(O89/$R89*100*($E89/365))</f>
        <v>0</v>
      </c>
      <c r="I163" s="392"/>
      <c r="J163" s="392">
        <f>(P88/$R88*100*($E88/365))+(P89/$R89*100*($E89/365))</f>
        <v>43.013698630136986</v>
      </c>
      <c r="K163" s="392"/>
      <c r="L163" s="392">
        <f>(Q88/$R88*100*($E88/365))+(Q89/$R89*100*($E89/365))</f>
        <v>56.986301369863014</v>
      </c>
      <c r="M163" s="392"/>
      <c r="N163" s="363">
        <f t="shared" ref="N163" si="44">H163+J163+L163</f>
        <v>100</v>
      </c>
      <c r="O163" s="363"/>
      <c r="R163" s="1">
        <v>2018</v>
      </c>
      <c r="S163" s="5">
        <f>(O88*($E88/365))+(O89*($E89/365))</f>
        <v>0</v>
      </c>
      <c r="T163" s="5">
        <f>(P88*($E88/365))+(P89*($E89/365))</f>
        <v>16.474246575342466</v>
      </c>
      <c r="U163" s="5">
        <f>(Q88*($E88/365))+(Q89*($E89/365))</f>
        <v>13.847671232876712</v>
      </c>
      <c r="W163" s="5">
        <f t="shared" ref="W163" si="45">S163+T163+U163</f>
        <v>30.321917808219176</v>
      </c>
    </row>
    <row r="164" spans="1:23" x14ac:dyDescent="0.15">
      <c r="A164" s="1">
        <v>2019</v>
      </c>
      <c r="B164" s="5">
        <f>(K90*($E90/365))+(K91*($E91/365))+(K92*(E92/365))</f>
        <v>0</v>
      </c>
      <c r="C164" s="5">
        <f>(L90*($E90/365))+(L91*($E91/365))+(L92*(E92/365))</f>
        <v>0</v>
      </c>
      <c r="D164" s="5">
        <f>(M90*($E90/365))+(M91*($E91/365))+(M92*(E92/365))</f>
        <v>100</v>
      </c>
      <c r="E164" s="17">
        <f t="shared" ref="E164:E165" si="46">B164+C164+D164</f>
        <v>100</v>
      </c>
      <c r="G164" s="1">
        <v>2019</v>
      </c>
      <c r="H164" s="392">
        <f>(O90/$R90*100*($E90/365))+(O91/$R91*100*($E91/365))+(O92/R92*100*(E92/365))</f>
        <v>0</v>
      </c>
      <c r="I164" s="392"/>
      <c r="J164" s="392">
        <f>(P90/$R90*100*($E90/365))+(P91/$R91*100*($E91/365))+(P92/R92*100*(E92/365))</f>
        <v>0</v>
      </c>
      <c r="K164" s="392"/>
      <c r="L164" s="392">
        <f>(Q90/$R90*100*($E90/365))+(Q91/$R91*100*($E91/365))+(Q92/R92*100*(E92/365))</f>
        <v>100</v>
      </c>
      <c r="M164" s="392"/>
      <c r="N164" s="363">
        <f t="shared" ref="N164" si="47">H164+J164+L164</f>
        <v>100</v>
      </c>
      <c r="O164" s="363"/>
      <c r="R164" s="1">
        <v>2019</v>
      </c>
      <c r="S164" s="5">
        <f>(O90*($E90/365))+(O91*($E91/365))+(O92*(E92/365))</f>
        <v>0</v>
      </c>
      <c r="T164" s="5">
        <f>(P90*($E90/365))+(P91*($E91/365))+(P92*(E92/365))</f>
        <v>0</v>
      </c>
      <c r="U164" s="5">
        <f>(Q90*($E90/365))+(Q91*($E91/365))+(Q92*(E92/365))</f>
        <v>30.91479452054795</v>
      </c>
      <c r="W164" s="5">
        <f t="shared" ref="W164:W165" si="48">S164+T164+U164</f>
        <v>30.91479452054795</v>
      </c>
    </row>
    <row r="165" spans="1:23" x14ac:dyDescent="0.15">
      <c r="A165" s="1">
        <v>2020</v>
      </c>
      <c r="B165" s="5">
        <f>(K93*($E93/366))+(K94*(E94/366))</f>
        <v>0</v>
      </c>
      <c r="C165" s="5">
        <f>(L93*($E93/366))+(L94*(E94/366))</f>
        <v>0</v>
      </c>
      <c r="D165" s="5">
        <f>(M93*($E93/366))+(M94*(E94/366))</f>
        <v>100</v>
      </c>
      <c r="E165" s="17">
        <f t="shared" si="46"/>
        <v>100</v>
      </c>
      <c r="G165" s="1">
        <v>2020</v>
      </c>
      <c r="H165" s="392">
        <f>(O93/$R93*100*($E93/366))+(O94/R94*100*(E94/366))</f>
        <v>0</v>
      </c>
      <c r="I165" s="392"/>
      <c r="J165" s="392">
        <f>(P93/$R93*100*($E93/366))+(P94/R94*100*(E94/366))</f>
        <v>0</v>
      </c>
      <c r="K165" s="392"/>
      <c r="L165" s="392">
        <f>(Q93/$R93*100*($E93/366))+(Q94/R94*100*(E94/366))</f>
        <v>100</v>
      </c>
      <c r="M165" s="392"/>
      <c r="N165" s="363">
        <f t="shared" ref="N165" si="49">H165+J165+L165</f>
        <v>100</v>
      </c>
      <c r="O165" s="363"/>
      <c r="R165" s="1">
        <v>2020</v>
      </c>
      <c r="S165" s="5">
        <f>(O93*($E93/366))+(O94*(E94/366))</f>
        <v>0</v>
      </c>
      <c r="T165" s="5">
        <f>(P93*($E93/366))+(P94*($E94/366))</f>
        <v>0</v>
      </c>
      <c r="U165" s="5">
        <f>(Q93*($E93/366))+(Q94*($E94/366))</f>
        <v>37.694808743169396</v>
      </c>
      <c r="W165" s="5">
        <f t="shared" si="48"/>
        <v>37.694808743169396</v>
      </c>
    </row>
    <row r="166" spans="1:23" x14ac:dyDescent="0.15">
      <c r="A166" s="1">
        <v>2021</v>
      </c>
      <c r="B166" s="5">
        <f>(K95*($E95/365))+(K96*(E96/365))</f>
        <v>0</v>
      </c>
      <c r="C166" s="5">
        <f>(L95*($E95/365))+(L96*(E96/365))</f>
        <v>0</v>
      </c>
      <c r="D166" s="5">
        <f>(M95*($E95/365))+(M96*(E96/365))</f>
        <v>100</v>
      </c>
      <c r="E166" s="17">
        <f t="shared" ref="E166" si="50">B166+C166+D166</f>
        <v>100</v>
      </c>
      <c r="G166" s="1">
        <v>2021</v>
      </c>
      <c r="H166" s="392">
        <f>(O95/$R95*100*($E95/365))+(O96/R96*100*(E96/365))</f>
        <v>0</v>
      </c>
      <c r="I166" s="392"/>
      <c r="J166" s="392">
        <f>(P95/$R95*100*($E95/365))+(P96/R96*100*(E96/365))</f>
        <v>0</v>
      </c>
      <c r="K166" s="392"/>
      <c r="L166" s="392">
        <f>(Q95/$R95*100*($E95/365))+(Q96/R96*100*(E96/365))</f>
        <v>100</v>
      </c>
      <c r="M166" s="392"/>
      <c r="N166" s="363">
        <f t="shared" ref="N166" si="51">H166+J166+L166</f>
        <v>100</v>
      </c>
      <c r="O166" s="363"/>
      <c r="R166" s="1">
        <v>2021</v>
      </c>
      <c r="S166" s="5">
        <f>(O95*($E95/365))+(O96*(E96/365))</f>
        <v>0</v>
      </c>
      <c r="T166" s="5">
        <f>(P95*($E95/365))+(P96*($E96/365))</f>
        <v>0</v>
      </c>
      <c r="U166" s="5">
        <f>(Q95*($E95/365))+(Q96*($E96/365))</f>
        <v>37.799999999999997</v>
      </c>
      <c r="W166" s="5">
        <f t="shared" ref="W166" si="52">S166+T166+U166</f>
        <v>37.799999999999997</v>
      </c>
    </row>
    <row r="167" spans="1:23" x14ac:dyDescent="0.15">
      <c r="A167" s="1">
        <v>2022</v>
      </c>
      <c r="B167" s="5">
        <f>(K98*($E98/365))+(K97*(E97/365))</f>
        <v>0</v>
      </c>
      <c r="C167" s="5">
        <f>(L98*($E98/365))+(L97*(E97/365))</f>
        <v>0</v>
      </c>
      <c r="D167" s="5">
        <f>(M98*($E98/365))+(M97*(E97/365))</f>
        <v>100</v>
      </c>
      <c r="E167" s="17">
        <f t="shared" ref="E167" si="53">B167+C167+D167</f>
        <v>100</v>
      </c>
      <c r="G167" s="1">
        <v>2022</v>
      </c>
      <c r="H167" s="392">
        <f>(O98/$R98*100*($E98/365))+(O97/R97*100*(E97/365))</f>
        <v>0</v>
      </c>
      <c r="I167" s="392"/>
      <c r="J167" s="392">
        <f>(P98/$R98*100*($E98/365))+(P97/R97*100*(E97/365))</f>
        <v>0</v>
      </c>
      <c r="K167" s="392"/>
      <c r="L167" s="392">
        <f>(Q98/$R98*100*($E98/365))+(Q97/R97*100*(E97/365))</f>
        <v>100</v>
      </c>
      <c r="M167" s="392"/>
      <c r="N167" s="363">
        <f t="shared" ref="N167" si="54">H167+J167+L167</f>
        <v>100</v>
      </c>
      <c r="O167" s="363"/>
      <c r="R167" s="1">
        <v>2022</v>
      </c>
      <c r="S167" s="5">
        <f>(O98*($E98/365))+(O97*(E97/365))</f>
        <v>0</v>
      </c>
      <c r="T167" s="5">
        <f>(P98*($E98/365))+(P97*($E97/365))</f>
        <v>0</v>
      </c>
      <c r="U167" s="5">
        <f>(Q98*($E98/365))+(Q97*($E97/365))</f>
        <v>37.799999999999997</v>
      </c>
      <c r="W167" s="5">
        <f t="shared" ref="W167" si="55">S167+T167+U167</f>
        <v>37.799999999999997</v>
      </c>
    </row>
  </sheetData>
  <mergeCells count="303">
    <mergeCell ref="H166:I166"/>
    <mergeCell ref="J166:K166"/>
    <mergeCell ref="L166:M166"/>
    <mergeCell ref="N166:O166"/>
    <mergeCell ref="C95:D95"/>
    <mergeCell ref="C96:D96"/>
    <mergeCell ref="H163:I163"/>
    <mergeCell ref="J163:K163"/>
    <mergeCell ref="L163:M163"/>
    <mergeCell ref="N163:O163"/>
    <mergeCell ref="H161:I161"/>
    <mergeCell ref="J161:K161"/>
    <mergeCell ref="L161:M161"/>
    <mergeCell ref="N161:O161"/>
    <mergeCell ref="J156:K156"/>
    <mergeCell ref="J157:K157"/>
    <mergeCell ref="J148:K148"/>
    <mergeCell ref="J149:K149"/>
    <mergeCell ref="J150:K150"/>
    <mergeCell ref="J154:K154"/>
    <mergeCell ref="J155:K155"/>
    <mergeCell ref="H158:I158"/>
    <mergeCell ref="J158:K158"/>
    <mergeCell ref="J151:K151"/>
    <mergeCell ref="H157:I157"/>
    <mergeCell ref="H155:I155"/>
    <mergeCell ref="H156:I156"/>
    <mergeCell ref="J145:K145"/>
    <mergeCell ref="AT4:AW4"/>
    <mergeCell ref="N156:O156"/>
    <mergeCell ref="N157:O157"/>
    <mergeCell ref="N154:O154"/>
    <mergeCell ref="N155:O155"/>
    <mergeCell ref="L139:M139"/>
    <mergeCell ref="L140:M140"/>
    <mergeCell ref="N149:O149"/>
    <mergeCell ref="N150:O150"/>
    <mergeCell ref="N151:O151"/>
    <mergeCell ref="N144:O144"/>
    <mergeCell ref="N145:O145"/>
    <mergeCell ref="N146:O146"/>
    <mergeCell ref="N147:O147"/>
    <mergeCell ref="N131:O131"/>
    <mergeCell ref="J146:K146"/>
    <mergeCell ref="J147:K147"/>
    <mergeCell ref="L145:M145"/>
    <mergeCell ref="L146:M146"/>
    <mergeCell ref="L147:M147"/>
    <mergeCell ref="N158:O158"/>
    <mergeCell ref="L155:M155"/>
    <mergeCell ref="L151:M151"/>
    <mergeCell ref="L152:M152"/>
    <mergeCell ref="L154:M154"/>
    <mergeCell ref="L158:M158"/>
    <mergeCell ref="L157:M157"/>
    <mergeCell ref="L156:M156"/>
    <mergeCell ref="AX4:BA4"/>
    <mergeCell ref="N152:O152"/>
    <mergeCell ref="N153:O153"/>
    <mergeCell ref="N142:O142"/>
    <mergeCell ref="N143:O143"/>
    <mergeCell ref="N123:O123"/>
    <mergeCell ref="N135:O135"/>
    <mergeCell ref="N136:O136"/>
    <mergeCell ref="N137:O137"/>
    <mergeCell ref="N138:O138"/>
    <mergeCell ref="N139:O139"/>
    <mergeCell ref="N140:O140"/>
    <mergeCell ref="N141:O141"/>
    <mergeCell ref="N133:O133"/>
    <mergeCell ref="N134:O134"/>
    <mergeCell ref="N148:O148"/>
    <mergeCell ref="H154:I154"/>
    <mergeCell ref="H145:I145"/>
    <mergeCell ref="H146:I146"/>
    <mergeCell ref="H147:I147"/>
    <mergeCell ref="H148:I148"/>
    <mergeCell ref="H149:I149"/>
    <mergeCell ref="H150:I150"/>
    <mergeCell ref="L141:M141"/>
    <mergeCell ref="L142:M142"/>
    <mergeCell ref="L153:M153"/>
    <mergeCell ref="L148:M148"/>
    <mergeCell ref="L149:M149"/>
    <mergeCell ref="L150:M150"/>
    <mergeCell ref="L143:M143"/>
    <mergeCell ref="L144:M144"/>
    <mergeCell ref="J141:K141"/>
    <mergeCell ref="H139:I139"/>
    <mergeCell ref="H140:I140"/>
    <mergeCell ref="H141:I141"/>
    <mergeCell ref="H142:I142"/>
    <mergeCell ref="H143:I143"/>
    <mergeCell ref="H144:I144"/>
    <mergeCell ref="J152:K152"/>
    <mergeCell ref="J153:K153"/>
    <mergeCell ref="J142:K142"/>
    <mergeCell ref="J143:K143"/>
    <mergeCell ref="J144:K144"/>
    <mergeCell ref="H151:I151"/>
    <mergeCell ref="H152:I152"/>
    <mergeCell ref="H153:I153"/>
    <mergeCell ref="J139:K139"/>
    <mergeCell ref="J140:K140"/>
    <mergeCell ref="H136:I136"/>
    <mergeCell ref="H137:I137"/>
    <mergeCell ref="H138:I138"/>
    <mergeCell ref="H131:I131"/>
    <mergeCell ref="J131:K131"/>
    <mergeCell ref="L131:M131"/>
    <mergeCell ref="H132:I132"/>
    <mergeCell ref="J132:K132"/>
    <mergeCell ref="L132:M132"/>
    <mergeCell ref="J137:K137"/>
    <mergeCell ref="J138:K138"/>
    <mergeCell ref="L133:M133"/>
    <mergeCell ref="L134:M134"/>
    <mergeCell ref="L135:M135"/>
    <mergeCell ref="L136:M136"/>
    <mergeCell ref="L137:M137"/>
    <mergeCell ref="L138:M138"/>
    <mergeCell ref="J133:K133"/>
    <mergeCell ref="J134:K134"/>
    <mergeCell ref="J135:K135"/>
    <mergeCell ref="J136:K136"/>
    <mergeCell ref="H134:I134"/>
    <mergeCell ref="H135:I135"/>
    <mergeCell ref="G3:M3"/>
    <mergeCell ref="O3:Q3"/>
    <mergeCell ref="R102:W102"/>
    <mergeCell ref="H104:I104"/>
    <mergeCell ref="J104:K104"/>
    <mergeCell ref="H122:I122"/>
    <mergeCell ref="J122:K122"/>
    <mergeCell ref="L122:M122"/>
    <mergeCell ref="N122:O122"/>
    <mergeCell ref="G4:J4"/>
    <mergeCell ref="A4:A5"/>
    <mergeCell ref="B4:B5"/>
    <mergeCell ref="C4:D5"/>
    <mergeCell ref="E4:E5"/>
    <mergeCell ref="AP4:AS4"/>
    <mergeCell ref="K4:N4"/>
    <mergeCell ref="O4:R4"/>
    <mergeCell ref="S4:S5"/>
    <mergeCell ref="T4:T5"/>
    <mergeCell ref="F4:F5"/>
    <mergeCell ref="C6:D6"/>
    <mergeCell ref="Z4:AC4"/>
    <mergeCell ref="AD4:AG4"/>
    <mergeCell ref="AH4:AK4"/>
    <mergeCell ref="AL4:AO4"/>
    <mergeCell ref="C7:D7"/>
    <mergeCell ref="U4:U5"/>
    <mergeCell ref="V4:Y4"/>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68:D68"/>
    <mergeCell ref="C75:D75"/>
    <mergeCell ref="C76:D76"/>
    <mergeCell ref="C77:D77"/>
    <mergeCell ref="C69:D69"/>
    <mergeCell ref="C70:D70"/>
    <mergeCell ref="C45:D45"/>
    <mergeCell ref="C46:D46"/>
    <mergeCell ref="C47:D47"/>
    <mergeCell ref="C48:D48"/>
    <mergeCell ref="C49:D49"/>
    <mergeCell ref="C50:D50"/>
    <mergeCell ref="C51:D51"/>
    <mergeCell ref="C52:D52"/>
    <mergeCell ref="C53:D53"/>
    <mergeCell ref="C85:D85"/>
    <mergeCell ref="C86:D86"/>
    <mergeCell ref="C87:D87"/>
    <mergeCell ref="C88:D88"/>
    <mergeCell ref="C89:D89"/>
    <mergeCell ref="C90:D90"/>
    <mergeCell ref="C78:D78"/>
    <mergeCell ref="C79:D79"/>
    <mergeCell ref="C54:D54"/>
    <mergeCell ref="C55:D55"/>
    <mergeCell ref="C56:D56"/>
    <mergeCell ref="C57:D57"/>
    <mergeCell ref="C58:D58"/>
    <mergeCell ref="C59:D59"/>
    <mergeCell ref="C60:D60"/>
    <mergeCell ref="C73:D73"/>
    <mergeCell ref="C61:D61"/>
    <mergeCell ref="C62:D62"/>
    <mergeCell ref="C63:D63"/>
    <mergeCell ref="C64:D64"/>
    <mergeCell ref="C65:D65"/>
    <mergeCell ref="C66:D66"/>
    <mergeCell ref="C74:D74"/>
    <mergeCell ref="C67:D67"/>
    <mergeCell ref="N129:O129"/>
    <mergeCell ref="H130:I130"/>
    <mergeCell ref="J130:K130"/>
    <mergeCell ref="L130:M130"/>
    <mergeCell ref="N130:O130"/>
    <mergeCell ref="H133:I133"/>
    <mergeCell ref="C71:D71"/>
    <mergeCell ref="C72:D72"/>
    <mergeCell ref="L126:M126"/>
    <mergeCell ref="N126:O126"/>
    <mergeCell ref="C80:D80"/>
    <mergeCell ref="C81:D81"/>
    <mergeCell ref="N104:O104"/>
    <mergeCell ref="H123:I123"/>
    <mergeCell ref="J123:K123"/>
    <mergeCell ref="L123:M123"/>
    <mergeCell ref="L104:M104"/>
    <mergeCell ref="H124:I124"/>
    <mergeCell ref="J124:K124"/>
    <mergeCell ref="L124:M124"/>
    <mergeCell ref="N124:O124"/>
    <mergeCell ref="C82:D82"/>
    <mergeCell ref="C83:D83"/>
    <mergeCell ref="C84:D84"/>
    <mergeCell ref="H126:I126"/>
    <mergeCell ref="J126:K126"/>
    <mergeCell ref="H160:I160"/>
    <mergeCell ref="J160:K160"/>
    <mergeCell ref="L160:M160"/>
    <mergeCell ref="N160:O160"/>
    <mergeCell ref="C92:D92"/>
    <mergeCell ref="C91:D91"/>
    <mergeCell ref="H159:I159"/>
    <mergeCell ref="J159:K159"/>
    <mergeCell ref="L159:M159"/>
    <mergeCell ref="N159:O159"/>
    <mergeCell ref="H127:I127"/>
    <mergeCell ref="J127:K127"/>
    <mergeCell ref="L127:M127"/>
    <mergeCell ref="N127:O127"/>
    <mergeCell ref="H128:I128"/>
    <mergeCell ref="J128:K128"/>
    <mergeCell ref="L128:M128"/>
    <mergeCell ref="N128:O128"/>
    <mergeCell ref="N132:O132"/>
    <mergeCell ref="H129:I129"/>
    <mergeCell ref="J129:K129"/>
    <mergeCell ref="L129:M129"/>
    <mergeCell ref="C97:D97"/>
    <mergeCell ref="C98:D98"/>
    <mergeCell ref="H167:I167"/>
    <mergeCell ref="J167:K167"/>
    <mergeCell ref="L167:M167"/>
    <mergeCell ref="N167:O167"/>
    <mergeCell ref="C93:D93"/>
    <mergeCell ref="C94:D94"/>
    <mergeCell ref="H165:I165"/>
    <mergeCell ref="J165:K165"/>
    <mergeCell ref="L165:M165"/>
    <mergeCell ref="N165:O165"/>
    <mergeCell ref="J164:K164"/>
    <mergeCell ref="L164:M164"/>
    <mergeCell ref="H164:I164"/>
    <mergeCell ref="N164:O164"/>
    <mergeCell ref="H162:I162"/>
    <mergeCell ref="J162:K162"/>
    <mergeCell ref="L162:M162"/>
    <mergeCell ref="N162:O162"/>
    <mergeCell ref="H125:I125"/>
    <mergeCell ref="J125:K125"/>
    <mergeCell ref="L125:M125"/>
    <mergeCell ref="N125:O125"/>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BA207"/>
  <sheetViews>
    <sheetView zoomScale="121" zoomScaleNormal="120" workbookViewId="0">
      <pane xSplit="1" ySplit="5" topLeftCell="B6"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68</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139" customFormat="1" x14ac:dyDescent="0.15">
      <c r="A6" s="145">
        <v>1959</v>
      </c>
      <c r="B6" s="294"/>
      <c r="C6" s="398" t="s">
        <v>585</v>
      </c>
      <c r="D6" s="398"/>
      <c r="E6" s="139">
        <v>0</v>
      </c>
      <c r="G6" s="147"/>
      <c r="I6" s="139">
        <v>14</v>
      </c>
      <c r="J6" s="153">
        <v>15</v>
      </c>
      <c r="K6" s="133">
        <f t="shared" ref="K6:M7" si="0">G6/$J6*100</f>
        <v>0</v>
      </c>
      <c r="L6" s="133">
        <f t="shared" si="0"/>
        <v>0</v>
      </c>
      <c r="M6" s="133">
        <f t="shared" si="0"/>
        <v>93.333333333333329</v>
      </c>
      <c r="N6" s="133">
        <f>K6+L6+M6</f>
        <v>93.333333333333329</v>
      </c>
      <c r="O6" s="132"/>
      <c r="P6" s="133"/>
      <c r="Q6" s="133">
        <v>48.1</v>
      </c>
      <c r="R6" s="134">
        <f>O6+P6+Q6</f>
        <v>48.1</v>
      </c>
      <c r="S6" s="139">
        <v>4</v>
      </c>
      <c r="T6" s="306"/>
      <c r="U6" s="294"/>
      <c r="V6" s="138" t="s">
        <v>469</v>
      </c>
      <c r="W6" s="139" t="s">
        <v>20</v>
      </c>
      <c r="X6" s="139" t="s">
        <v>12</v>
      </c>
      <c r="Y6" s="140">
        <v>48.1</v>
      </c>
      <c r="AD6" s="138"/>
      <c r="AG6" s="140"/>
      <c r="AL6" s="138"/>
      <c r="AO6" s="140"/>
      <c r="AP6" s="138"/>
      <c r="AS6" s="140"/>
      <c r="AW6" s="140"/>
      <c r="BA6" s="141"/>
    </row>
    <row r="7" spans="1:53" s="139" customFormat="1" x14ac:dyDescent="0.15">
      <c r="A7" s="145">
        <v>1959</v>
      </c>
      <c r="B7" s="294"/>
      <c r="C7" s="398" t="s">
        <v>585</v>
      </c>
      <c r="D7" s="398"/>
      <c r="E7" s="139">
        <v>365</v>
      </c>
      <c r="G7" s="147"/>
      <c r="I7" s="139">
        <v>14</v>
      </c>
      <c r="J7" s="153">
        <v>15</v>
      </c>
      <c r="K7" s="133">
        <f t="shared" si="0"/>
        <v>0</v>
      </c>
      <c r="L7" s="133">
        <f t="shared" si="0"/>
        <v>0</v>
      </c>
      <c r="M7" s="133">
        <f t="shared" si="0"/>
        <v>93.333333333333329</v>
      </c>
      <c r="N7" s="133">
        <f>K7+L7+M7</f>
        <v>93.333333333333329</v>
      </c>
      <c r="O7" s="132"/>
      <c r="P7" s="133"/>
      <c r="Q7" s="133">
        <v>48.1</v>
      </c>
      <c r="R7" s="134">
        <f>O7+P7+Q7</f>
        <v>48.1</v>
      </c>
      <c r="S7" s="139">
        <v>4</v>
      </c>
      <c r="T7" s="306"/>
      <c r="U7" s="294"/>
      <c r="V7" s="138" t="s">
        <v>469</v>
      </c>
      <c r="W7" s="139" t="s">
        <v>20</v>
      </c>
      <c r="X7" s="139" t="s">
        <v>12</v>
      </c>
      <c r="Y7" s="140">
        <v>48.1</v>
      </c>
      <c r="AD7" s="138"/>
      <c r="AG7" s="140"/>
      <c r="AL7" s="138"/>
      <c r="AO7" s="140"/>
      <c r="AP7" s="138"/>
      <c r="AS7" s="140"/>
      <c r="AW7" s="140"/>
      <c r="BA7" s="141"/>
    </row>
    <row r="8" spans="1:53" s="28" customFormat="1" x14ac:dyDescent="0.15">
      <c r="A8" s="51">
        <v>1960</v>
      </c>
      <c r="B8" s="293"/>
      <c r="C8" s="394" t="s">
        <v>585</v>
      </c>
      <c r="D8" s="394"/>
      <c r="E8" s="28">
        <v>274</v>
      </c>
      <c r="G8" s="65"/>
      <c r="I8" s="28">
        <v>14</v>
      </c>
      <c r="J8" s="72">
        <v>15</v>
      </c>
      <c r="K8" s="46">
        <f>G8/$J8*100</f>
        <v>0</v>
      </c>
      <c r="L8" s="46">
        <f t="shared" ref="L8:M23" si="1">H8/$J8*100</f>
        <v>0</v>
      </c>
      <c r="M8" s="46">
        <f t="shared" si="1"/>
        <v>93.333333333333329</v>
      </c>
      <c r="N8" s="46">
        <f>K8+L8+M8</f>
        <v>93.333333333333329</v>
      </c>
      <c r="O8" s="45"/>
      <c r="P8" s="46"/>
      <c r="Q8" s="46">
        <v>48.1</v>
      </c>
      <c r="R8" s="47">
        <f>O8+P8+Q8</f>
        <v>48.1</v>
      </c>
      <c r="S8" s="28">
        <v>4</v>
      </c>
      <c r="T8" s="284"/>
      <c r="U8" s="293"/>
      <c r="V8" s="37" t="s">
        <v>469</v>
      </c>
      <c r="W8" s="28" t="s">
        <v>20</v>
      </c>
      <c r="X8" s="28" t="s">
        <v>12</v>
      </c>
      <c r="Y8" s="38">
        <v>48.1</v>
      </c>
      <c r="AD8" s="37"/>
      <c r="AG8" s="38"/>
      <c r="AL8" s="37"/>
      <c r="AO8" s="38"/>
      <c r="AP8" s="37"/>
      <c r="AS8" s="38"/>
      <c r="AW8" s="38"/>
      <c r="BA8" s="39"/>
    </row>
    <row r="9" spans="1:53" s="170" customFormat="1" x14ac:dyDescent="0.15">
      <c r="A9" s="215">
        <v>1960</v>
      </c>
      <c r="B9" s="281">
        <v>22190</v>
      </c>
      <c r="C9" s="395" t="s">
        <v>586</v>
      </c>
      <c r="D9" s="395"/>
      <c r="E9" s="170">
        <f>366-E8</f>
        <v>92</v>
      </c>
      <c r="F9" s="170">
        <v>1</v>
      </c>
      <c r="G9" s="232"/>
      <c r="I9" s="170">
        <v>13</v>
      </c>
      <c r="J9" s="240">
        <v>14</v>
      </c>
      <c r="K9" s="213">
        <f t="shared" ref="K9:M59" si="2">G9/$J9*100</f>
        <v>0</v>
      </c>
      <c r="L9" s="213">
        <f t="shared" si="1"/>
        <v>0</v>
      </c>
      <c r="M9" s="213">
        <f t="shared" si="1"/>
        <v>92.857142857142861</v>
      </c>
      <c r="N9" s="213">
        <f t="shared" ref="N9:N72" si="3">K9+L9+M9</f>
        <v>92.857142857142861</v>
      </c>
      <c r="O9" s="212"/>
      <c r="P9" s="213"/>
      <c r="Q9" s="213">
        <v>49.1</v>
      </c>
      <c r="R9" s="214">
        <f>O9+P9+Q9</f>
        <v>49.1</v>
      </c>
      <c r="S9" s="170">
        <v>4</v>
      </c>
      <c r="T9" s="283">
        <v>22177</v>
      </c>
      <c r="U9" s="281">
        <v>22190</v>
      </c>
      <c r="V9" s="177" t="s">
        <v>469</v>
      </c>
      <c r="W9" s="170" t="s">
        <v>20</v>
      </c>
      <c r="X9" s="170" t="s">
        <v>12</v>
      </c>
      <c r="Y9" s="178">
        <v>49.1</v>
      </c>
      <c r="AD9" s="177"/>
      <c r="AG9" s="178"/>
      <c r="AL9" s="177"/>
      <c r="AO9" s="178"/>
      <c r="AP9" s="177"/>
      <c r="AS9" s="178"/>
      <c r="AW9" s="178"/>
      <c r="BA9" s="179"/>
    </row>
    <row r="10" spans="1:53" s="170" customFormat="1" x14ac:dyDescent="0.15">
      <c r="A10" s="215">
        <v>1961</v>
      </c>
      <c r="B10" s="281"/>
      <c r="C10" s="395" t="s">
        <v>586</v>
      </c>
      <c r="D10" s="395"/>
      <c r="E10" s="170">
        <v>0</v>
      </c>
      <c r="G10" s="232"/>
      <c r="I10" s="170">
        <v>13</v>
      </c>
      <c r="J10" s="240">
        <v>14</v>
      </c>
      <c r="K10" s="213">
        <f t="shared" si="2"/>
        <v>0</v>
      </c>
      <c r="L10" s="213">
        <f t="shared" si="1"/>
        <v>0</v>
      </c>
      <c r="M10" s="213">
        <f t="shared" si="1"/>
        <v>92.857142857142861</v>
      </c>
      <c r="N10" s="213">
        <f t="shared" si="3"/>
        <v>92.857142857142861</v>
      </c>
      <c r="O10" s="212"/>
      <c r="P10" s="213"/>
      <c r="Q10" s="213">
        <v>49.1</v>
      </c>
      <c r="R10" s="214">
        <f t="shared" ref="R10:R73" si="4">O10+P10+Q10</f>
        <v>49.1</v>
      </c>
      <c r="S10" s="170">
        <v>4</v>
      </c>
      <c r="T10" s="283"/>
      <c r="U10" s="281"/>
      <c r="V10" s="177" t="s">
        <v>469</v>
      </c>
      <c r="W10" s="170" t="s">
        <v>20</v>
      </c>
      <c r="X10" s="170" t="s">
        <v>12</v>
      </c>
      <c r="Y10" s="178">
        <v>49.1</v>
      </c>
      <c r="AD10" s="177"/>
      <c r="AG10" s="178"/>
      <c r="AL10" s="177"/>
      <c r="AO10" s="178"/>
      <c r="AP10" s="177"/>
      <c r="AS10" s="178"/>
      <c r="AW10" s="178"/>
      <c r="BA10" s="179"/>
    </row>
    <row r="11" spans="1:53" s="170" customFormat="1" x14ac:dyDescent="0.15">
      <c r="A11" s="215">
        <v>1961</v>
      </c>
      <c r="B11" s="281"/>
      <c r="C11" s="395" t="s">
        <v>586</v>
      </c>
      <c r="D11" s="395"/>
      <c r="E11" s="170">
        <v>365</v>
      </c>
      <c r="G11" s="232"/>
      <c r="I11" s="170">
        <v>13</v>
      </c>
      <c r="J11" s="240">
        <v>14</v>
      </c>
      <c r="K11" s="213">
        <f t="shared" si="2"/>
        <v>0</v>
      </c>
      <c r="L11" s="213">
        <f t="shared" si="1"/>
        <v>0</v>
      </c>
      <c r="M11" s="213">
        <f t="shared" si="1"/>
        <v>92.857142857142861</v>
      </c>
      <c r="N11" s="213">
        <f t="shared" si="3"/>
        <v>92.857142857142861</v>
      </c>
      <c r="O11" s="212"/>
      <c r="P11" s="213"/>
      <c r="Q11" s="213">
        <v>49.1</v>
      </c>
      <c r="R11" s="214">
        <f t="shared" si="4"/>
        <v>49.1</v>
      </c>
      <c r="S11" s="170">
        <v>4</v>
      </c>
      <c r="T11" s="283"/>
      <c r="U11" s="281"/>
      <c r="V11" s="177" t="s">
        <v>469</v>
      </c>
      <c r="W11" s="170" t="s">
        <v>20</v>
      </c>
      <c r="X11" s="170" t="s">
        <v>12</v>
      </c>
      <c r="Y11" s="178">
        <v>49.1</v>
      </c>
      <c r="AD11" s="177"/>
      <c r="AG11" s="178"/>
      <c r="AL11" s="177"/>
      <c r="AO11" s="178"/>
      <c r="AP11" s="177"/>
      <c r="AS11" s="178"/>
      <c r="AW11" s="178"/>
      <c r="BA11" s="179"/>
    </row>
    <row r="12" spans="1:53" s="170" customFormat="1" x14ac:dyDescent="0.15">
      <c r="A12" s="215">
        <v>1962</v>
      </c>
      <c r="B12" s="281"/>
      <c r="C12" s="395" t="s">
        <v>586</v>
      </c>
      <c r="D12" s="395"/>
      <c r="E12" s="170">
        <v>0</v>
      </c>
      <c r="G12" s="232"/>
      <c r="I12" s="170">
        <v>13</v>
      </c>
      <c r="J12" s="240">
        <v>14</v>
      </c>
      <c r="K12" s="213">
        <f t="shared" si="2"/>
        <v>0</v>
      </c>
      <c r="L12" s="213">
        <f t="shared" si="1"/>
        <v>0</v>
      </c>
      <c r="M12" s="213">
        <f t="shared" si="1"/>
        <v>92.857142857142861</v>
      </c>
      <c r="N12" s="213">
        <f t="shared" si="3"/>
        <v>92.857142857142861</v>
      </c>
      <c r="O12" s="212"/>
      <c r="P12" s="213"/>
      <c r="Q12" s="213">
        <v>49.1</v>
      </c>
      <c r="R12" s="214">
        <f t="shared" si="4"/>
        <v>49.1</v>
      </c>
      <c r="S12" s="170">
        <v>4</v>
      </c>
      <c r="T12" s="283"/>
      <c r="U12" s="281"/>
      <c r="V12" s="177" t="s">
        <v>469</v>
      </c>
      <c r="W12" s="170" t="s">
        <v>20</v>
      </c>
      <c r="X12" s="170" t="s">
        <v>12</v>
      </c>
      <c r="Y12" s="178">
        <v>49.1</v>
      </c>
      <c r="AD12" s="177"/>
      <c r="AG12" s="178"/>
      <c r="AL12" s="177"/>
      <c r="AO12" s="178"/>
      <c r="AP12" s="177"/>
      <c r="AS12" s="178"/>
      <c r="AW12" s="178"/>
      <c r="BA12" s="179"/>
    </row>
    <row r="13" spans="1:53" s="170" customFormat="1" x14ac:dyDescent="0.15">
      <c r="A13" s="215">
        <v>1962</v>
      </c>
      <c r="B13" s="281"/>
      <c r="C13" s="395" t="s">
        <v>586</v>
      </c>
      <c r="D13" s="395"/>
      <c r="E13" s="170">
        <v>365</v>
      </c>
      <c r="G13" s="232"/>
      <c r="I13" s="170">
        <v>13</v>
      </c>
      <c r="J13" s="240">
        <v>14</v>
      </c>
      <c r="K13" s="213">
        <f t="shared" si="2"/>
        <v>0</v>
      </c>
      <c r="L13" s="213">
        <f t="shared" si="1"/>
        <v>0</v>
      </c>
      <c r="M13" s="213">
        <f t="shared" si="1"/>
        <v>92.857142857142861</v>
      </c>
      <c r="N13" s="213">
        <f t="shared" si="3"/>
        <v>92.857142857142861</v>
      </c>
      <c r="O13" s="212"/>
      <c r="P13" s="213"/>
      <c r="Q13" s="213">
        <v>49.1</v>
      </c>
      <c r="R13" s="214">
        <f t="shared" si="4"/>
        <v>49.1</v>
      </c>
      <c r="S13" s="170">
        <v>4</v>
      </c>
      <c r="T13" s="283"/>
      <c r="U13" s="281"/>
      <c r="V13" s="177" t="s">
        <v>469</v>
      </c>
      <c r="W13" s="170" t="s">
        <v>20</v>
      </c>
      <c r="X13" s="170" t="s">
        <v>12</v>
      </c>
      <c r="Y13" s="178">
        <v>49.1</v>
      </c>
      <c r="AD13" s="177"/>
      <c r="AG13" s="178"/>
      <c r="AL13" s="177"/>
      <c r="AO13" s="178"/>
      <c r="AP13" s="177"/>
      <c r="AS13" s="178"/>
      <c r="AW13" s="178"/>
      <c r="BA13" s="179"/>
    </row>
    <row r="14" spans="1:53" s="170" customFormat="1" x14ac:dyDescent="0.15">
      <c r="A14" s="215">
        <v>1963</v>
      </c>
      <c r="B14" s="281"/>
      <c r="C14" s="395" t="s">
        <v>586</v>
      </c>
      <c r="D14" s="395"/>
      <c r="E14" s="170">
        <v>0</v>
      </c>
      <c r="G14" s="232"/>
      <c r="I14" s="170">
        <v>13</v>
      </c>
      <c r="J14" s="240">
        <v>14</v>
      </c>
      <c r="K14" s="213">
        <f t="shared" si="2"/>
        <v>0</v>
      </c>
      <c r="L14" s="213">
        <f t="shared" si="1"/>
        <v>0</v>
      </c>
      <c r="M14" s="213">
        <f t="shared" si="1"/>
        <v>92.857142857142861</v>
      </c>
      <c r="N14" s="213">
        <f t="shared" si="3"/>
        <v>92.857142857142861</v>
      </c>
      <c r="O14" s="212"/>
      <c r="P14" s="213"/>
      <c r="Q14" s="213">
        <v>49.1</v>
      </c>
      <c r="R14" s="214">
        <f t="shared" si="4"/>
        <v>49.1</v>
      </c>
      <c r="S14" s="170">
        <v>4</v>
      </c>
      <c r="T14" s="283"/>
      <c r="U14" s="281"/>
      <c r="V14" s="177" t="s">
        <v>469</v>
      </c>
      <c r="W14" s="170" t="s">
        <v>20</v>
      </c>
      <c r="X14" s="170" t="s">
        <v>12</v>
      </c>
      <c r="Y14" s="178">
        <v>49.1</v>
      </c>
      <c r="AD14" s="177"/>
      <c r="AG14" s="178"/>
      <c r="AL14" s="177"/>
      <c r="AO14" s="178"/>
      <c r="AP14" s="177"/>
      <c r="AS14" s="178"/>
      <c r="AW14" s="178"/>
      <c r="BA14" s="179"/>
    </row>
    <row r="15" spans="1:53" s="170" customFormat="1" x14ac:dyDescent="0.15">
      <c r="A15" s="215">
        <v>1963</v>
      </c>
      <c r="B15" s="281"/>
      <c r="C15" s="395" t="s">
        <v>586</v>
      </c>
      <c r="D15" s="395"/>
      <c r="E15" s="170">
        <v>365</v>
      </c>
      <c r="G15" s="232"/>
      <c r="I15" s="170">
        <v>13</v>
      </c>
      <c r="J15" s="240">
        <v>14</v>
      </c>
      <c r="K15" s="213">
        <f t="shared" si="2"/>
        <v>0</v>
      </c>
      <c r="L15" s="213">
        <f t="shared" si="1"/>
        <v>0</v>
      </c>
      <c r="M15" s="213">
        <f t="shared" si="1"/>
        <v>92.857142857142861</v>
      </c>
      <c r="N15" s="213">
        <f t="shared" si="3"/>
        <v>92.857142857142861</v>
      </c>
      <c r="O15" s="212"/>
      <c r="P15" s="213"/>
      <c r="Q15" s="213">
        <v>49.1</v>
      </c>
      <c r="R15" s="214">
        <f t="shared" si="4"/>
        <v>49.1</v>
      </c>
      <c r="S15" s="170">
        <v>4</v>
      </c>
      <c r="T15" s="283"/>
      <c r="U15" s="281"/>
      <c r="V15" s="177" t="s">
        <v>469</v>
      </c>
      <c r="W15" s="170" t="s">
        <v>20</v>
      </c>
      <c r="X15" s="170" t="s">
        <v>12</v>
      </c>
      <c r="Y15" s="178">
        <v>49.1</v>
      </c>
      <c r="AD15" s="177"/>
      <c r="AG15" s="178"/>
      <c r="AL15" s="177"/>
      <c r="AO15" s="178"/>
      <c r="AP15" s="177"/>
      <c r="AS15" s="178"/>
      <c r="AW15" s="178"/>
      <c r="BA15" s="179"/>
    </row>
    <row r="16" spans="1:53" s="170" customFormat="1" x14ac:dyDescent="0.15">
      <c r="A16" s="215">
        <v>1964</v>
      </c>
      <c r="B16" s="281"/>
      <c r="C16" s="395" t="s">
        <v>586</v>
      </c>
      <c r="D16" s="395"/>
      <c r="E16" s="170">
        <v>277</v>
      </c>
      <c r="G16" s="232"/>
      <c r="I16" s="170">
        <v>13</v>
      </c>
      <c r="J16" s="240">
        <v>14</v>
      </c>
      <c r="K16" s="213">
        <f t="shared" si="2"/>
        <v>0</v>
      </c>
      <c r="L16" s="213">
        <f t="shared" si="1"/>
        <v>0</v>
      </c>
      <c r="M16" s="213">
        <f t="shared" si="1"/>
        <v>92.857142857142861</v>
      </c>
      <c r="N16" s="213">
        <f t="shared" si="3"/>
        <v>92.857142857142861</v>
      </c>
      <c r="O16" s="212"/>
      <c r="P16" s="213"/>
      <c r="Q16" s="213">
        <v>49.1</v>
      </c>
      <c r="R16" s="214">
        <f t="shared" si="4"/>
        <v>49.1</v>
      </c>
      <c r="S16" s="170">
        <v>4</v>
      </c>
      <c r="T16" s="283"/>
      <c r="U16" s="281"/>
      <c r="V16" s="177" t="s">
        <v>469</v>
      </c>
      <c r="W16" s="170" t="s">
        <v>20</v>
      </c>
      <c r="X16" s="170" t="s">
        <v>12</v>
      </c>
      <c r="Y16" s="178">
        <v>49.1</v>
      </c>
      <c r="AD16" s="177"/>
      <c r="AG16" s="178"/>
      <c r="AL16" s="177"/>
      <c r="AO16" s="178"/>
      <c r="AP16" s="177"/>
      <c r="AS16" s="178"/>
      <c r="AW16" s="178"/>
      <c r="BA16" s="179"/>
    </row>
    <row r="17" spans="1:53" s="28" customFormat="1" x14ac:dyDescent="0.15">
      <c r="A17" s="51">
        <v>1964</v>
      </c>
      <c r="B17" s="293">
        <v>23654</v>
      </c>
      <c r="C17" s="394" t="s">
        <v>587</v>
      </c>
      <c r="D17" s="394"/>
      <c r="E17" s="28">
        <f>366-E16</f>
        <v>89</v>
      </c>
      <c r="F17" s="28">
        <v>1</v>
      </c>
      <c r="G17" s="65"/>
      <c r="I17" s="28">
        <v>16</v>
      </c>
      <c r="J17" s="72">
        <v>16</v>
      </c>
      <c r="K17" s="46">
        <f t="shared" si="2"/>
        <v>0</v>
      </c>
      <c r="L17" s="46">
        <f t="shared" si="1"/>
        <v>0</v>
      </c>
      <c r="M17" s="46">
        <f t="shared" si="1"/>
        <v>100</v>
      </c>
      <c r="N17" s="46">
        <f t="shared" si="3"/>
        <v>100</v>
      </c>
      <c r="O17" s="45"/>
      <c r="P17" s="46"/>
      <c r="Q17" s="46">
        <v>48.5</v>
      </c>
      <c r="R17" s="47">
        <f t="shared" si="4"/>
        <v>48.5</v>
      </c>
      <c r="S17" s="28">
        <v>4</v>
      </c>
      <c r="T17" s="284">
        <v>23640</v>
      </c>
      <c r="U17" s="293">
        <v>23654</v>
      </c>
      <c r="V17" s="37" t="s">
        <v>469</v>
      </c>
      <c r="W17" s="28" t="s">
        <v>20</v>
      </c>
      <c r="X17" s="28" t="s">
        <v>12</v>
      </c>
      <c r="Y17" s="38">
        <v>48.5</v>
      </c>
      <c r="AD17" s="37"/>
      <c r="AG17" s="38"/>
      <c r="AL17" s="37"/>
      <c r="AO17" s="38"/>
      <c r="AP17" s="37"/>
      <c r="AS17" s="38"/>
      <c r="AW17" s="38"/>
      <c r="BA17" s="39"/>
    </row>
    <row r="18" spans="1:53" s="28" customFormat="1" x14ac:dyDescent="0.15">
      <c r="A18" s="51">
        <v>1965</v>
      </c>
      <c r="B18" s="293"/>
      <c r="C18" s="394" t="s">
        <v>587</v>
      </c>
      <c r="D18" s="394"/>
      <c r="E18" s="28">
        <v>0</v>
      </c>
      <c r="G18" s="65"/>
      <c r="I18" s="28">
        <v>16</v>
      </c>
      <c r="J18" s="72">
        <v>16</v>
      </c>
      <c r="K18" s="46">
        <f t="shared" si="2"/>
        <v>0</v>
      </c>
      <c r="L18" s="46">
        <f t="shared" si="1"/>
        <v>0</v>
      </c>
      <c r="M18" s="46">
        <f t="shared" si="1"/>
        <v>100</v>
      </c>
      <c r="N18" s="46">
        <f t="shared" si="3"/>
        <v>100</v>
      </c>
      <c r="O18" s="45"/>
      <c r="P18" s="46"/>
      <c r="Q18" s="46">
        <v>48.5</v>
      </c>
      <c r="R18" s="47">
        <f t="shared" si="4"/>
        <v>48.5</v>
      </c>
      <c r="S18" s="28">
        <v>4</v>
      </c>
      <c r="T18" s="284"/>
      <c r="U18" s="293"/>
      <c r="V18" s="37" t="s">
        <v>469</v>
      </c>
      <c r="W18" s="28" t="s">
        <v>20</v>
      </c>
      <c r="X18" s="28" t="s">
        <v>12</v>
      </c>
      <c r="Y18" s="38">
        <v>48.5</v>
      </c>
      <c r="AD18" s="37"/>
      <c r="AG18" s="38"/>
      <c r="AL18" s="37"/>
      <c r="AO18" s="38"/>
      <c r="AP18" s="37"/>
      <c r="AS18" s="38"/>
      <c r="AW18" s="38"/>
      <c r="BA18" s="39"/>
    </row>
    <row r="19" spans="1:53" s="28" customFormat="1" x14ac:dyDescent="0.15">
      <c r="A19" s="51">
        <v>1965</v>
      </c>
      <c r="B19" s="293"/>
      <c r="C19" s="394" t="s">
        <v>587</v>
      </c>
      <c r="D19" s="394"/>
      <c r="E19" s="28">
        <v>365</v>
      </c>
      <c r="G19" s="65"/>
      <c r="I19" s="28">
        <v>16</v>
      </c>
      <c r="J19" s="72">
        <v>16</v>
      </c>
      <c r="K19" s="46">
        <f t="shared" si="2"/>
        <v>0</v>
      </c>
      <c r="L19" s="46">
        <f t="shared" si="1"/>
        <v>0</v>
      </c>
      <c r="M19" s="46">
        <f t="shared" si="1"/>
        <v>100</v>
      </c>
      <c r="N19" s="46">
        <f t="shared" si="3"/>
        <v>100</v>
      </c>
      <c r="O19" s="45"/>
      <c r="P19" s="46"/>
      <c r="Q19" s="46">
        <v>48.5</v>
      </c>
      <c r="R19" s="47">
        <f t="shared" si="4"/>
        <v>48.5</v>
      </c>
      <c r="S19" s="28">
        <v>4</v>
      </c>
      <c r="T19" s="284"/>
      <c r="U19" s="293"/>
      <c r="V19" s="37" t="s">
        <v>469</v>
      </c>
      <c r="W19" s="28" t="s">
        <v>20</v>
      </c>
      <c r="X19" s="28" t="s">
        <v>12</v>
      </c>
      <c r="Y19" s="38">
        <v>48.5</v>
      </c>
      <c r="AD19" s="37"/>
      <c r="AG19" s="38"/>
      <c r="AL19" s="37"/>
      <c r="AO19" s="38"/>
      <c r="AP19" s="37"/>
      <c r="AS19" s="38"/>
      <c r="AW19" s="38"/>
      <c r="BA19" s="39"/>
    </row>
    <row r="20" spans="1:53" s="28" customFormat="1" x14ac:dyDescent="0.15">
      <c r="A20" s="51">
        <v>1966</v>
      </c>
      <c r="B20" s="293"/>
      <c r="C20" s="394" t="s">
        <v>587</v>
      </c>
      <c r="D20" s="394"/>
      <c r="E20" s="28">
        <v>0</v>
      </c>
      <c r="G20" s="65"/>
      <c r="I20" s="28">
        <v>16</v>
      </c>
      <c r="J20" s="72">
        <v>16</v>
      </c>
      <c r="K20" s="46">
        <f t="shared" si="2"/>
        <v>0</v>
      </c>
      <c r="L20" s="46">
        <f t="shared" si="1"/>
        <v>0</v>
      </c>
      <c r="M20" s="46">
        <f t="shared" si="1"/>
        <v>100</v>
      </c>
      <c r="N20" s="46">
        <f t="shared" si="3"/>
        <v>100</v>
      </c>
      <c r="O20" s="45"/>
      <c r="P20" s="46"/>
      <c r="Q20" s="46">
        <v>48.5</v>
      </c>
      <c r="R20" s="47">
        <f t="shared" si="4"/>
        <v>48.5</v>
      </c>
      <c r="S20" s="28">
        <v>4</v>
      </c>
      <c r="T20" s="284"/>
      <c r="U20" s="293"/>
      <c r="V20" s="37" t="s">
        <v>469</v>
      </c>
      <c r="W20" s="28" t="s">
        <v>20</v>
      </c>
      <c r="X20" s="28" t="s">
        <v>12</v>
      </c>
      <c r="Y20" s="38">
        <v>48.5</v>
      </c>
      <c r="AD20" s="37"/>
      <c r="AG20" s="38"/>
      <c r="AL20" s="37"/>
      <c r="AO20" s="38"/>
      <c r="AP20" s="37"/>
      <c r="AS20" s="38"/>
      <c r="AW20" s="38"/>
      <c r="BA20" s="39"/>
    </row>
    <row r="21" spans="1:53" s="28" customFormat="1" x14ac:dyDescent="0.15">
      <c r="A21" s="51">
        <v>1966</v>
      </c>
      <c r="B21" s="293"/>
      <c r="C21" s="394" t="s">
        <v>587</v>
      </c>
      <c r="D21" s="394"/>
      <c r="E21" s="28">
        <v>365</v>
      </c>
      <c r="G21" s="65"/>
      <c r="I21" s="28">
        <v>16</v>
      </c>
      <c r="J21" s="72">
        <v>16</v>
      </c>
      <c r="K21" s="46">
        <f t="shared" si="2"/>
        <v>0</v>
      </c>
      <c r="L21" s="46">
        <f t="shared" si="1"/>
        <v>0</v>
      </c>
      <c r="M21" s="46">
        <f t="shared" si="1"/>
        <v>100</v>
      </c>
      <c r="N21" s="46">
        <f t="shared" si="3"/>
        <v>100</v>
      </c>
      <c r="O21" s="45"/>
      <c r="P21" s="46"/>
      <c r="Q21" s="46">
        <v>48.5</v>
      </c>
      <c r="R21" s="47">
        <f t="shared" si="4"/>
        <v>48.5</v>
      </c>
      <c r="S21" s="28">
        <v>4</v>
      </c>
      <c r="T21" s="284"/>
      <c r="U21" s="293"/>
      <c r="V21" s="37" t="s">
        <v>469</v>
      </c>
      <c r="W21" s="28" t="s">
        <v>20</v>
      </c>
      <c r="X21" s="28" t="s">
        <v>12</v>
      </c>
      <c r="Y21" s="38">
        <v>48.5</v>
      </c>
      <c r="AD21" s="37"/>
      <c r="AG21" s="38"/>
      <c r="AL21" s="37"/>
      <c r="AO21" s="38"/>
      <c r="AP21" s="37"/>
      <c r="AS21" s="38"/>
      <c r="AW21" s="38"/>
      <c r="BA21" s="39"/>
    </row>
    <row r="22" spans="1:53" s="28" customFormat="1" x14ac:dyDescent="0.15">
      <c r="A22" s="51">
        <v>1967</v>
      </c>
      <c r="B22" s="293"/>
      <c r="C22" s="394" t="s">
        <v>587</v>
      </c>
      <c r="D22" s="394"/>
      <c r="E22" s="28">
        <v>0</v>
      </c>
      <c r="G22" s="65"/>
      <c r="I22" s="28">
        <v>16</v>
      </c>
      <c r="J22" s="72">
        <v>16</v>
      </c>
      <c r="K22" s="46">
        <f t="shared" si="2"/>
        <v>0</v>
      </c>
      <c r="L22" s="46">
        <f t="shared" si="1"/>
        <v>0</v>
      </c>
      <c r="M22" s="46">
        <f t="shared" si="1"/>
        <v>100</v>
      </c>
      <c r="N22" s="46">
        <f t="shared" si="3"/>
        <v>100</v>
      </c>
      <c r="O22" s="45"/>
      <c r="P22" s="46"/>
      <c r="Q22" s="46">
        <v>48.5</v>
      </c>
      <c r="R22" s="47">
        <f t="shared" si="4"/>
        <v>48.5</v>
      </c>
      <c r="S22" s="28">
        <v>4</v>
      </c>
      <c r="T22" s="284"/>
      <c r="U22" s="293"/>
      <c r="V22" s="37" t="s">
        <v>469</v>
      </c>
      <c r="W22" s="28" t="s">
        <v>20</v>
      </c>
      <c r="X22" s="28" t="s">
        <v>12</v>
      </c>
      <c r="Y22" s="38">
        <v>48.5</v>
      </c>
      <c r="AD22" s="37"/>
      <c r="AG22" s="38"/>
      <c r="AL22" s="37"/>
      <c r="AO22" s="38"/>
      <c r="AP22" s="37"/>
      <c r="AS22" s="38"/>
      <c r="AW22" s="38"/>
      <c r="BA22" s="39"/>
    </row>
    <row r="23" spans="1:53" s="28" customFormat="1" x14ac:dyDescent="0.15">
      <c r="A23" s="51">
        <v>1967</v>
      </c>
      <c r="B23" s="293"/>
      <c r="C23" s="394" t="s">
        <v>587</v>
      </c>
      <c r="D23" s="394"/>
      <c r="E23" s="28">
        <v>365</v>
      </c>
      <c r="G23" s="65"/>
      <c r="I23" s="28">
        <v>16</v>
      </c>
      <c r="J23" s="72">
        <v>16</v>
      </c>
      <c r="K23" s="46">
        <f t="shared" si="2"/>
        <v>0</v>
      </c>
      <c r="L23" s="46">
        <f t="shared" si="1"/>
        <v>0</v>
      </c>
      <c r="M23" s="46">
        <f t="shared" si="1"/>
        <v>100</v>
      </c>
      <c r="N23" s="46">
        <f t="shared" si="3"/>
        <v>100</v>
      </c>
      <c r="O23" s="45"/>
      <c r="P23" s="46"/>
      <c r="Q23" s="46">
        <v>48.5</v>
      </c>
      <c r="R23" s="47">
        <f t="shared" si="4"/>
        <v>48.5</v>
      </c>
      <c r="S23" s="28">
        <v>4</v>
      </c>
      <c r="T23" s="284"/>
      <c r="U23" s="293"/>
      <c r="V23" s="37" t="s">
        <v>469</v>
      </c>
      <c r="W23" s="28" t="s">
        <v>20</v>
      </c>
      <c r="X23" s="28" t="s">
        <v>12</v>
      </c>
      <c r="Y23" s="38">
        <v>48.5</v>
      </c>
      <c r="AD23" s="37"/>
      <c r="AG23" s="38"/>
      <c r="AL23" s="37"/>
      <c r="AO23" s="38"/>
      <c r="AP23" s="37"/>
      <c r="AS23" s="38"/>
      <c r="AW23" s="38"/>
      <c r="BA23" s="39"/>
    </row>
    <row r="24" spans="1:53" s="28" customFormat="1" x14ac:dyDescent="0.15">
      <c r="A24" s="51">
        <v>1968</v>
      </c>
      <c r="B24" s="293"/>
      <c r="C24" s="394" t="s">
        <v>587</v>
      </c>
      <c r="D24" s="394"/>
      <c r="E24" s="28">
        <v>272</v>
      </c>
      <c r="G24" s="65"/>
      <c r="I24" s="28">
        <v>16</v>
      </c>
      <c r="J24" s="72">
        <v>16</v>
      </c>
      <c r="K24" s="46">
        <f t="shared" si="2"/>
        <v>0</v>
      </c>
      <c r="L24" s="46">
        <f t="shared" si="2"/>
        <v>0</v>
      </c>
      <c r="M24" s="46">
        <f t="shared" si="2"/>
        <v>100</v>
      </c>
      <c r="N24" s="46">
        <f t="shared" si="3"/>
        <v>100</v>
      </c>
      <c r="O24" s="45"/>
      <c r="P24" s="46"/>
      <c r="Q24" s="46">
        <v>48.5</v>
      </c>
      <c r="R24" s="47">
        <f t="shared" si="4"/>
        <v>48.5</v>
      </c>
      <c r="S24" s="28">
        <v>4</v>
      </c>
      <c r="T24" s="284"/>
      <c r="U24" s="293"/>
      <c r="V24" s="37" t="s">
        <v>469</v>
      </c>
      <c r="W24" s="28" t="s">
        <v>20</v>
      </c>
      <c r="X24" s="28" t="s">
        <v>12</v>
      </c>
      <c r="Y24" s="38">
        <v>48.5</v>
      </c>
      <c r="AD24" s="37"/>
      <c r="AG24" s="38"/>
      <c r="AL24" s="37"/>
      <c r="AO24" s="38"/>
      <c r="AP24" s="37"/>
      <c r="AS24" s="38"/>
      <c r="AW24" s="38"/>
      <c r="BA24" s="39"/>
    </row>
    <row r="25" spans="1:53" s="170" customFormat="1" x14ac:dyDescent="0.15">
      <c r="A25" s="215">
        <v>1968</v>
      </c>
      <c r="B25" s="281">
        <v>25110</v>
      </c>
      <c r="C25" s="395" t="s">
        <v>588</v>
      </c>
      <c r="D25" s="395"/>
      <c r="E25" s="170">
        <f>366-E24</f>
        <v>94</v>
      </c>
      <c r="F25" s="170">
        <v>1</v>
      </c>
      <c r="G25" s="232"/>
      <c r="I25" s="170">
        <v>17</v>
      </c>
      <c r="J25" s="240">
        <v>17</v>
      </c>
      <c r="K25" s="213">
        <f t="shared" si="2"/>
        <v>0</v>
      </c>
      <c r="L25" s="213">
        <f t="shared" si="2"/>
        <v>0</v>
      </c>
      <c r="M25" s="213">
        <f t="shared" si="2"/>
        <v>100</v>
      </c>
      <c r="N25" s="213">
        <f t="shared" si="3"/>
        <v>100</v>
      </c>
      <c r="O25" s="212"/>
      <c r="P25" s="213"/>
      <c r="Q25" s="213">
        <v>53.6</v>
      </c>
      <c r="R25" s="214">
        <f t="shared" si="4"/>
        <v>53.6</v>
      </c>
      <c r="S25" s="170">
        <v>1</v>
      </c>
      <c r="T25" s="283">
        <v>25096</v>
      </c>
      <c r="U25" s="281">
        <v>25110</v>
      </c>
      <c r="V25" s="177" t="s">
        <v>469</v>
      </c>
      <c r="W25" s="170" t="s">
        <v>20</v>
      </c>
      <c r="X25" s="170" t="s">
        <v>12</v>
      </c>
      <c r="Y25" s="178">
        <v>53.6</v>
      </c>
      <c r="AD25" s="177"/>
      <c r="AG25" s="178"/>
      <c r="AL25" s="177"/>
      <c r="AO25" s="178"/>
      <c r="AP25" s="177"/>
      <c r="AS25" s="178"/>
      <c r="AW25" s="178"/>
      <c r="BA25" s="179"/>
    </row>
    <row r="26" spans="1:53" s="170" customFormat="1" x14ac:dyDescent="0.15">
      <c r="A26" s="215">
        <v>1969</v>
      </c>
      <c r="B26" s="281"/>
      <c r="C26" s="395" t="s">
        <v>588</v>
      </c>
      <c r="D26" s="395"/>
      <c r="E26" s="170">
        <v>287</v>
      </c>
      <c r="G26" s="232"/>
      <c r="I26" s="170">
        <v>17</v>
      </c>
      <c r="J26" s="240">
        <v>17</v>
      </c>
      <c r="K26" s="213">
        <f t="shared" si="2"/>
        <v>0</v>
      </c>
      <c r="L26" s="213">
        <f t="shared" si="2"/>
        <v>0</v>
      </c>
      <c r="M26" s="213">
        <f t="shared" si="2"/>
        <v>100</v>
      </c>
      <c r="N26" s="213">
        <f t="shared" si="3"/>
        <v>100</v>
      </c>
      <c r="O26" s="212"/>
      <c r="P26" s="213"/>
      <c r="Q26" s="213">
        <v>53.6</v>
      </c>
      <c r="R26" s="214">
        <f t="shared" si="4"/>
        <v>53.6</v>
      </c>
      <c r="S26" s="170">
        <v>1</v>
      </c>
      <c r="T26" s="283"/>
      <c r="U26" s="281"/>
      <c r="V26" s="177" t="s">
        <v>469</v>
      </c>
      <c r="W26" s="170" t="s">
        <v>20</v>
      </c>
      <c r="X26" s="170" t="s">
        <v>12</v>
      </c>
      <c r="Y26" s="178">
        <v>53.6</v>
      </c>
      <c r="AD26" s="177"/>
      <c r="AG26" s="178"/>
      <c r="AL26" s="177"/>
      <c r="AO26" s="178"/>
      <c r="AP26" s="177"/>
      <c r="AS26" s="178"/>
      <c r="AW26" s="178"/>
      <c r="BA26" s="179"/>
    </row>
    <row r="27" spans="1:53" s="28" customFormat="1" x14ac:dyDescent="0.15">
      <c r="A27" s="51">
        <v>1969</v>
      </c>
      <c r="B27" s="293">
        <v>25491</v>
      </c>
      <c r="C27" s="394" t="s">
        <v>589</v>
      </c>
      <c r="D27" s="394"/>
      <c r="E27" s="28">
        <f>365-E26</f>
        <v>78</v>
      </c>
      <c r="F27" s="28">
        <v>2</v>
      </c>
      <c r="G27" s="65"/>
      <c r="I27" s="28">
        <v>19</v>
      </c>
      <c r="J27" s="72">
        <v>19</v>
      </c>
      <c r="K27" s="46">
        <f t="shared" si="2"/>
        <v>0</v>
      </c>
      <c r="L27" s="46">
        <f t="shared" si="2"/>
        <v>0</v>
      </c>
      <c r="M27" s="46">
        <f t="shared" si="2"/>
        <v>100</v>
      </c>
      <c r="N27" s="46">
        <f t="shared" si="3"/>
        <v>100</v>
      </c>
      <c r="O27" s="45"/>
      <c r="P27" s="46"/>
      <c r="Q27" s="46">
        <v>53.6</v>
      </c>
      <c r="R27" s="47">
        <f t="shared" si="4"/>
        <v>53.6</v>
      </c>
      <c r="S27" s="28">
        <v>1</v>
      </c>
      <c r="T27" s="284"/>
      <c r="U27" s="293">
        <v>25491</v>
      </c>
      <c r="V27" s="37" t="s">
        <v>469</v>
      </c>
      <c r="W27" s="28" t="s">
        <v>20</v>
      </c>
      <c r="X27" s="28" t="s">
        <v>12</v>
      </c>
      <c r="Y27" s="38">
        <v>53.6</v>
      </c>
      <c r="AD27" s="37"/>
      <c r="AG27" s="38"/>
      <c r="AL27" s="37"/>
      <c r="AO27" s="38"/>
      <c r="AP27" s="37"/>
      <c r="AS27" s="38"/>
      <c r="AW27" s="38"/>
      <c r="BA27" s="39"/>
    </row>
    <row r="28" spans="1:53" s="28" customFormat="1" x14ac:dyDescent="0.15">
      <c r="A28" s="51">
        <v>1970</v>
      </c>
      <c r="B28" s="293"/>
      <c r="C28" s="394" t="s">
        <v>589</v>
      </c>
      <c r="D28" s="394"/>
      <c r="E28" s="28">
        <v>271</v>
      </c>
      <c r="G28" s="65"/>
      <c r="I28" s="28">
        <v>19</v>
      </c>
      <c r="J28" s="72">
        <v>19</v>
      </c>
      <c r="K28" s="46">
        <f t="shared" si="2"/>
        <v>0</v>
      </c>
      <c r="L28" s="46">
        <f t="shared" si="2"/>
        <v>0</v>
      </c>
      <c r="M28" s="46">
        <f t="shared" si="2"/>
        <v>100</v>
      </c>
      <c r="N28" s="46">
        <f t="shared" si="3"/>
        <v>100</v>
      </c>
      <c r="O28" s="45"/>
      <c r="P28" s="46"/>
      <c r="Q28" s="46">
        <v>53.6</v>
      </c>
      <c r="R28" s="47">
        <f t="shared" si="4"/>
        <v>53.6</v>
      </c>
      <c r="S28" s="28">
        <v>1</v>
      </c>
      <c r="T28" s="284"/>
      <c r="U28" s="293"/>
      <c r="V28" s="37" t="s">
        <v>469</v>
      </c>
      <c r="W28" s="28" t="s">
        <v>20</v>
      </c>
      <c r="X28" s="28" t="s">
        <v>12</v>
      </c>
      <c r="Y28" s="38">
        <v>53.6</v>
      </c>
      <c r="AD28" s="37"/>
      <c r="AG28" s="38"/>
      <c r="AL28" s="37"/>
      <c r="AO28" s="38"/>
      <c r="AP28" s="37"/>
      <c r="AS28" s="38"/>
      <c r="AW28" s="38"/>
      <c r="BA28" s="39"/>
    </row>
    <row r="29" spans="1:53" s="170" customFormat="1" x14ac:dyDescent="0.15">
      <c r="A29" s="215">
        <v>1970</v>
      </c>
      <c r="B29" s="281">
        <v>25840</v>
      </c>
      <c r="C29" s="395" t="s">
        <v>590</v>
      </c>
      <c r="D29" s="395"/>
      <c r="E29" s="170">
        <f>365-E28</f>
        <v>94</v>
      </c>
      <c r="F29" s="170">
        <v>1</v>
      </c>
      <c r="G29" s="232"/>
      <c r="I29" s="170">
        <v>19</v>
      </c>
      <c r="J29" s="240">
        <v>19</v>
      </c>
      <c r="K29" s="213">
        <f t="shared" si="2"/>
        <v>0</v>
      </c>
      <c r="L29" s="213">
        <f t="shared" si="2"/>
        <v>0</v>
      </c>
      <c r="M29" s="213">
        <f t="shared" si="2"/>
        <v>100</v>
      </c>
      <c r="N29" s="213">
        <f t="shared" si="3"/>
        <v>100</v>
      </c>
      <c r="O29" s="212"/>
      <c r="P29" s="213"/>
      <c r="Q29" s="213">
        <v>46.6</v>
      </c>
      <c r="R29" s="214">
        <f t="shared" si="4"/>
        <v>46.6</v>
      </c>
      <c r="S29" s="170">
        <v>4</v>
      </c>
      <c r="T29" s="283">
        <v>25833</v>
      </c>
      <c r="U29" s="281">
        <v>25840</v>
      </c>
      <c r="V29" s="177" t="s">
        <v>469</v>
      </c>
      <c r="W29" s="170" t="s">
        <v>20</v>
      </c>
      <c r="X29" s="170" t="s">
        <v>12</v>
      </c>
      <c r="Y29" s="178">
        <v>46.6</v>
      </c>
      <c r="AD29" s="177"/>
      <c r="AG29" s="178"/>
      <c r="AL29" s="177"/>
      <c r="AO29" s="178"/>
      <c r="AP29" s="177"/>
      <c r="AS29" s="178"/>
      <c r="AW29" s="178"/>
      <c r="BA29" s="179"/>
    </row>
    <row r="30" spans="1:53" s="170" customFormat="1" x14ac:dyDescent="0.15">
      <c r="A30" s="215">
        <v>1971</v>
      </c>
      <c r="B30" s="281"/>
      <c r="C30" s="395" t="s">
        <v>590</v>
      </c>
      <c r="D30" s="395"/>
      <c r="E30" s="170">
        <v>0</v>
      </c>
      <c r="G30" s="232"/>
      <c r="I30" s="170">
        <v>19</v>
      </c>
      <c r="J30" s="240">
        <v>19</v>
      </c>
      <c r="K30" s="213">
        <f t="shared" si="2"/>
        <v>0</v>
      </c>
      <c r="L30" s="213">
        <f t="shared" si="2"/>
        <v>0</v>
      </c>
      <c r="M30" s="213">
        <f t="shared" si="2"/>
        <v>100</v>
      </c>
      <c r="N30" s="213">
        <f t="shared" si="3"/>
        <v>100</v>
      </c>
      <c r="O30" s="212"/>
      <c r="P30" s="213"/>
      <c r="Q30" s="213">
        <v>46.6</v>
      </c>
      <c r="R30" s="214">
        <f t="shared" si="4"/>
        <v>46.6</v>
      </c>
      <c r="S30" s="170">
        <v>4</v>
      </c>
      <c r="T30" s="283"/>
      <c r="U30" s="281"/>
      <c r="V30" s="177" t="s">
        <v>469</v>
      </c>
      <c r="W30" s="170" t="s">
        <v>20</v>
      </c>
      <c r="X30" s="170" t="s">
        <v>12</v>
      </c>
      <c r="Y30" s="178">
        <v>46.6</v>
      </c>
      <c r="AD30" s="177"/>
      <c r="AG30" s="178"/>
      <c r="AL30" s="177"/>
      <c r="AO30" s="178"/>
      <c r="AP30" s="177"/>
      <c r="AS30" s="178"/>
      <c r="AW30" s="178"/>
      <c r="BA30" s="179"/>
    </row>
    <row r="31" spans="1:53" s="170" customFormat="1" x14ac:dyDescent="0.15">
      <c r="A31" s="215">
        <v>1971</v>
      </c>
      <c r="B31" s="281"/>
      <c r="C31" s="395" t="s">
        <v>590</v>
      </c>
      <c r="D31" s="395"/>
      <c r="E31" s="170">
        <v>365</v>
      </c>
      <c r="G31" s="232"/>
      <c r="I31" s="170">
        <v>19</v>
      </c>
      <c r="J31" s="240">
        <v>19</v>
      </c>
      <c r="K31" s="213">
        <f t="shared" si="2"/>
        <v>0</v>
      </c>
      <c r="L31" s="213">
        <f t="shared" si="2"/>
        <v>0</v>
      </c>
      <c r="M31" s="213">
        <f t="shared" si="2"/>
        <v>100</v>
      </c>
      <c r="N31" s="213">
        <f t="shared" si="3"/>
        <v>100</v>
      </c>
      <c r="O31" s="212"/>
      <c r="P31" s="213"/>
      <c r="Q31" s="213">
        <v>46.6</v>
      </c>
      <c r="R31" s="214">
        <f t="shared" si="4"/>
        <v>46.6</v>
      </c>
      <c r="S31" s="170">
        <v>4</v>
      </c>
      <c r="T31" s="283"/>
      <c r="U31" s="281"/>
      <c r="V31" s="177" t="s">
        <v>469</v>
      </c>
      <c r="W31" s="170" t="s">
        <v>20</v>
      </c>
      <c r="X31" s="170" t="s">
        <v>12</v>
      </c>
      <c r="Y31" s="178">
        <v>46.6</v>
      </c>
      <c r="AD31" s="177"/>
      <c r="AG31" s="178"/>
      <c r="AL31" s="177"/>
      <c r="AO31" s="178"/>
      <c r="AP31" s="177"/>
      <c r="AS31" s="178"/>
      <c r="AW31" s="178"/>
      <c r="BA31" s="179"/>
    </row>
    <row r="32" spans="1:53" s="170" customFormat="1" x14ac:dyDescent="0.15">
      <c r="A32" s="215">
        <v>1972</v>
      </c>
      <c r="B32" s="281"/>
      <c r="C32" s="395" t="s">
        <v>590</v>
      </c>
      <c r="D32" s="395"/>
      <c r="E32" s="170">
        <v>0</v>
      </c>
      <c r="G32" s="232"/>
      <c r="I32" s="170">
        <v>19</v>
      </c>
      <c r="J32" s="240">
        <v>19</v>
      </c>
      <c r="K32" s="213">
        <f t="shared" si="2"/>
        <v>0</v>
      </c>
      <c r="L32" s="213">
        <f t="shared" si="2"/>
        <v>0</v>
      </c>
      <c r="M32" s="213">
        <f t="shared" si="2"/>
        <v>100</v>
      </c>
      <c r="N32" s="213">
        <f t="shared" si="3"/>
        <v>100</v>
      </c>
      <c r="O32" s="212"/>
      <c r="P32" s="213"/>
      <c r="Q32" s="213">
        <v>46.6</v>
      </c>
      <c r="R32" s="214">
        <f t="shared" si="4"/>
        <v>46.6</v>
      </c>
      <c r="S32" s="170">
        <v>4</v>
      </c>
      <c r="T32" s="283"/>
      <c r="U32" s="281"/>
      <c r="V32" s="177" t="s">
        <v>469</v>
      </c>
      <c r="W32" s="170" t="s">
        <v>20</v>
      </c>
      <c r="X32" s="170" t="s">
        <v>12</v>
      </c>
      <c r="Y32" s="178">
        <v>46.6</v>
      </c>
      <c r="AD32" s="177"/>
      <c r="AG32" s="178"/>
      <c r="AL32" s="177"/>
      <c r="AO32" s="178"/>
      <c r="AP32" s="177"/>
      <c r="AS32" s="178"/>
      <c r="AW32" s="178"/>
      <c r="BA32" s="179"/>
    </row>
    <row r="33" spans="1:53" s="170" customFormat="1" x14ac:dyDescent="0.15">
      <c r="A33" s="215">
        <v>1972</v>
      </c>
      <c r="B33" s="281"/>
      <c r="C33" s="395" t="s">
        <v>590</v>
      </c>
      <c r="D33" s="395"/>
      <c r="E33" s="170">
        <v>366</v>
      </c>
      <c r="G33" s="232"/>
      <c r="I33" s="170">
        <v>19</v>
      </c>
      <c r="J33" s="240">
        <v>19</v>
      </c>
      <c r="K33" s="213">
        <f t="shared" si="2"/>
        <v>0</v>
      </c>
      <c r="L33" s="213">
        <f t="shared" si="2"/>
        <v>0</v>
      </c>
      <c r="M33" s="213">
        <f t="shared" si="2"/>
        <v>100</v>
      </c>
      <c r="N33" s="213">
        <f t="shared" si="3"/>
        <v>100</v>
      </c>
      <c r="O33" s="212"/>
      <c r="P33" s="213"/>
      <c r="Q33" s="213">
        <v>46.6</v>
      </c>
      <c r="R33" s="214">
        <f t="shared" si="4"/>
        <v>46.6</v>
      </c>
      <c r="S33" s="170">
        <v>4</v>
      </c>
      <c r="T33" s="283"/>
      <c r="U33" s="281"/>
      <c r="V33" s="177" t="s">
        <v>469</v>
      </c>
      <c r="W33" s="170" t="s">
        <v>20</v>
      </c>
      <c r="X33" s="170" t="s">
        <v>12</v>
      </c>
      <c r="Y33" s="178">
        <v>46.6</v>
      </c>
      <c r="AD33" s="177"/>
      <c r="AG33" s="178"/>
      <c r="AL33" s="177"/>
      <c r="AO33" s="178"/>
      <c r="AP33" s="177"/>
      <c r="AS33" s="178"/>
      <c r="AW33" s="178"/>
      <c r="BA33" s="179"/>
    </row>
    <row r="34" spans="1:53" s="170" customFormat="1" x14ac:dyDescent="0.15">
      <c r="A34" s="215">
        <v>1973</v>
      </c>
      <c r="B34" s="281"/>
      <c r="C34" s="395" t="s">
        <v>590</v>
      </c>
      <c r="D34" s="395"/>
      <c r="E34" s="170">
        <v>303</v>
      </c>
      <c r="G34" s="232"/>
      <c r="I34" s="170">
        <v>19</v>
      </c>
      <c r="J34" s="240">
        <v>19</v>
      </c>
      <c r="K34" s="213">
        <f t="shared" si="2"/>
        <v>0</v>
      </c>
      <c r="L34" s="213">
        <f t="shared" si="2"/>
        <v>0</v>
      </c>
      <c r="M34" s="213">
        <f t="shared" si="2"/>
        <v>100</v>
      </c>
      <c r="N34" s="213">
        <f t="shared" si="3"/>
        <v>100</v>
      </c>
      <c r="O34" s="212"/>
      <c r="P34" s="213"/>
      <c r="Q34" s="213">
        <v>46.6</v>
      </c>
      <c r="R34" s="214">
        <f t="shared" si="4"/>
        <v>46.6</v>
      </c>
      <c r="S34" s="170">
        <v>4</v>
      </c>
      <c r="T34" s="283"/>
      <c r="U34" s="281"/>
      <c r="V34" s="177" t="s">
        <v>469</v>
      </c>
      <c r="W34" s="170" t="s">
        <v>20</v>
      </c>
      <c r="X34" s="170" t="s">
        <v>12</v>
      </c>
      <c r="Y34" s="178">
        <v>46.6</v>
      </c>
      <c r="AD34" s="177"/>
      <c r="AG34" s="178"/>
      <c r="AL34" s="177"/>
      <c r="AO34" s="178"/>
      <c r="AP34" s="177"/>
      <c r="AS34" s="178"/>
      <c r="AW34" s="178"/>
      <c r="BA34" s="179"/>
    </row>
    <row r="35" spans="1:53" s="28" customFormat="1" x14ac:dyDescent="0.15">
      <c r="A35" s="51">
        <v>1973</v>
      </c>
      <c r="B35" s="293">
        <v>26968</v>
      </c>
      <c r="C35" s="394" t="s">
        <v>591</v>
      </c>
      <c r="D35" s="394"/>
      <c r="E35" s="28">
        <f>365-E34</f>
        <v>62</v>
      </c>
      <c r="F35" s="28">
        <v>1</v>
      </c>
      <c r="G35" s="65"/>
      <c r="I35" s="28">
        <v>18</v>
      </c>
      <c r="J35" s="72">
        <v>18</v>
      </c>
      <c r="K35" s="46">
        <f t="shared" si="2"/>
        <v>0</v>
      </c>
      <c r="L35" s="46">
        <f t="shared" si="2"/>
        <v>0</v>
      </c>
      <c r="M35" s="46">
        <f t="shared" si="2"/>
        <v>100</v>
      </c>
      <c r="N35" s="46">
        <f t="shared" si="3"/>
        <v>100</v>
      </c>
      <c r="O35" s="45"/>
      <c r="P35" s="46"/>
      <c r="Q35" s="46">
        <v>44.6</v>
      </c>
      <c r="R35" s="47">
        <f t="shared" si="4"/>
        <v>44.6</v>
      </c>
      <c r="S35" s="28">
        <v>4</v>
      </c>
      <c r="T35" s="284">
        <v>26923</v>
      </c>
      <c r="U35" s="293">
        <v>26968</v>
      </c>
      <c r="V35" s="37" t="s">
        <v>469</v>
      </c>
      <c r="W35" s="28" t="s">
        <v>20</v>
      </c>
      <c r="X35" s="28" t="s">
        <v>12</v>
      </c>
      <c r="Y35" s="38">
        <v>44.6</v>
      </c>
      <c r="AD35" s="37"/>
      <c r="AG35" s="38"/>
      <c r="AL35" s="37"/>
      <c r="AO35" s="38"/>
      <c r="AP35" s="37"/>
      <c r="AS35" s="38"/>
      <c r="AW35" s="38"/>
      <c r="BA35" s="39"/>
    </row>
    <row r="36" spans="1:53" s="28" customFormat="1" x14ac:dyDescent="0.15">
      <c r="A36" s="51">
        <v>1974</v>
      </c>
      <c r="B36" s="293"/>
      <c r="C36" s="394" t="s">
        <v>591</v>
      </c>
      <c r="D36" s="394"/>
      <c r="E36" s="28">
        <v>0</v>
      </c>
      <c r="G36" s="65"/>
      <c r="I36" s="28">
        <v>18</v>
      </c>
      <c r="J36" s="72">
        <v>18</v>
      </c>
      <c r="K36" s="46">
        <f t="shared" si="2"/>
        <v>0</v>
      </c>
      <c r="L36" s="46">
        <f t="shared" si="2"/>
        <v>0</v>
      </c>
      <c r="M36" s="46">
        <f t="shared" si="2"/>
        <v>100</v>
      </c>
      <c r="N36" s="46">
        <f t="shared" si="3"/>
        <v>100</v>
      </c>
      <c r="O36" s="45"/>
      <c r="P36" s="46"/>
      <c r="Q36" s="46">
        <v>44.6</v>
      </c>
      <c r="R36" s="47">
        <f t="shared" si="4"/>
        <v>44.6</v>
      </c>
      <c r="S36" s="28">
        <v>4</v>
      </c>
      <c r="T36" s="284"/>
      <c r="U36" s="293"/>
      <c r="V36" s="37" t="s">
        <v>469</v>
      </c>
      <c r="W36" s="28" t="s">
        <v>20</v>
      </c>
      <c r="X36" s="28" t="s">
        <v>12</v>
      </c>
      <c r="Y36" s="38">
        <v>44.6</v>
      </c>
      <c r="AD36" s="37"/>
      <c r="AG36" s="38"/>
      <c r="AL36" s="37"/>
      <c r="AO36" s="38"/>
      <c r="AP36" s="37"/>
      <c r="AS36" s="38"/>
      <c r="AW36" s="38"/>
      <c r="BA36" s="39"/>
    </row>
    <row r="37" spans="1:53" s="28" customFormat="1" x14ac:dyDescent="0.15">
      <c r="A37" s="51">
        <v>1974</v>
      </c>
      <c r="B37" s="293"/>
      <c r="C37" s="394" t="s">
        <v>591</v>
      </c>
      <c r="D37" s="394"/>
      <c r="E37" s="28">
        <v>365</v>
      </c>
      <c r="G37" s="65"/>
      <c r="I37" s="28">
        <v>18</v>
      </c>
      <c r="J37" s="72">
        <v>18</v>
      </c>
      <c r="K37" s="46">
        <f t="shared" si="2"/>
        <v>0</v>
      </c>
      <c r="L37" s="46">
        <f t="shared" si="2"/>
        <v>0</v>
      </c>
      <c r="M37" s="46">
        <f t="shared" si="2"/>
        <v>100</v>
      </c>
      <c r="N37" s="46">
        <f t="shared" si="3"/>
        <v>100</v>
      </c>
      <c r="O37" s="45"/>
      <c r="P37" s="46"/>
      <c r="Q37" s="46">
        <v>44.6</v>
      </c>
      <c r="R37" s="47">
        <f t="shared" si="4"/>
        <v>44.6</v>
      </c>
      <c r="S37" s="28">
        <v>4</v>
      </c>
      <c r="T37" s="284"/>
      <c r="U37" s="293"/>
      <c r="V37" s="37" t="s">
        <v>469</v>
      </c>
      <c r="W37" s="28" t="s">
        <v>20</v>
      </c>
      <c r="X37" s="28" t="s">
        <v>12</v>
      </c>
      <c r="Y37" s="38">
        <v>44.6</v>
      </c>
      <c r="AD37" s="37"/>
      <c r="AG37" s="38"/>
      <c r="AL37" s="37"/>
      <c r="AO37" s="38"/>
      <c r="AP37" s="37"/>
      <c r="AS37" s="38"/>
      <c r="AW37" s="38"/>
      <c r="BA37" s="39"/>
    </row>
    <row r="38" spans="1:53" s="28" customFormat="1" x14ac:dyDescent="0.15">
      <c r="A38" s="51">
        <v>1975</v>
      </c>
      <c r="B38" s="293"/>
      <c r="C38" s="394" t="s">
        <v>591</v>
      </c>
      <c r="D38" s="394"/>
      <c r="E38" s="28">
        <v>0</v>
      </c>
      <c r="G38" s="65"/>
      <c r="I38" s="28">
        <v>18</v>
      </c>
      <c r="J38" s="72">
        <v>18</v>
      </c>
      <c r="K38" s="46">
        <f t="shared" si="2"/>
        <v>0</v>
      </c>
      <c r="L38" s="46">
        <f t="shared" si="2"/>
        <v>0</v>
      </c>
      <c r="M38" s="46">
        <f t="shared" si="2"/>
        <v>100</v>
      </c>
      <c r="N38" s="46">
        <f t="shared" si="3"/>
        <v>100</v>
      </c>
      <c r="O38" s="45"/>
      <c r="P38" s="46"/>
      <c r="Q38" s="46">
        <v>44.6</v>
      </c>
      <c r="R38" s="47">
        <f t="shared" si="4"/>
        <v>44.6</v>
      </c>
      <c r="S38" s="28">
        <v>4</v>
      </c>
      <c r="T38" s="284"/>
      <c r="U38" s="293"/>
      <c r="V38" s="37" t="s">
        <v>469</v>
      </c>
      <c r="W38" s="28" t="s">
        <v>20</v>
      </c>
      <c r="X38" s="28" t="s">
        <v>12</v>
      </c>
      <c r="Y38" s="38">
        <v>44.6</v>
      </c>
      <c r="AD38" s="37"/>
      <c r="AG38" s="38"/>
      <c r="AL38" s="37"/>
      <c r="AO38" s="38"/>
      <c r="AP38" s="37"/>
      <c r="AS38" s="38"/>
      <c r="AW38" s="38"/>
      <c r="BA38" s="39"/>
    </row>
    <row r="39" spans="1:53" s="28" customFormat="1" x14ac:dyDescent="0.15">
      <c r="A39" s="51">
        <v>1975</v>
      </c>
      <c r="B39" s="293"/>
      <c r="C39" s="394" t="s">
        <v>591</v>
      </c>
      <c r="D39" s="394"/>
      <c r="E39" s="28">
        <v>365</v>
      </c>
      <c r="G39" s="65"/>
      <c r="I39" s="28">
        <v>18</v>
      </c>
      <c r="J39" s="72">
        <v>18</v>
      </c>
      <c r="K39" s="46">
        <f t="shared" si="2"/>
        <v>0</v>
      </c>
      <c r="L39" s="46">
        <f t="shared" si="2"/>
        <v>0</v>
      </c>
      <c r="M39" s="46">
        <f t="shared" si="2"/>
        <v>100</v>
      </c>
      <c r="N39" s="46">
        <f t="shared" si="3"/>
        <v>100</v>
      </c>
      <c r="O39" s="45"/>
      <c r="P39" s="46"/>
      <c r="Q39" s="46">
        <v>44.6</v>
      </c>
      <c r="R39" s="47">
        <f t="shared" si="4"/>
        <v>44.6</v>
      </c>
      <c r="S39" s="28">
        <v>4</v>
      </c>
      <c r="T39" s="284"/>
      <c r="U39" s="293"/>
      <c r="V39" s="37" t="s">
        <v>469</v>
      </c>
      <c r="W39" s="28" t="s">
        <v>20</v>
      </c>
      <c r="X39" s="28" t="s">
        <v>12</v>
      </c>
      <c r="Y39" s="38">
        <v>44.6</v>
      </c>
      <c r="AD39" s="37"/>
      <c r="AG39" s="38"/>
      <c r="AL39" s="37"/>
      <c r="AO39" s="38"/>
      <c r="AP39" s="37"/>
      <c r="AS39" s="38"/>
      <c r="AW39" s="38"/>
      <c r="BA39" s="39"/>
    </row>
    <row r="40" spans="1:53" s="28" customFormat="1" x14ac:dyDescent="0.15">
      <c r="A40" s="51">
        <v>1976</v>
      </c>
      <c r="B40" s="293"/>
      <c r="C40" s="394" t="s">
        <v>591</v>
      </c>
      <c r="D40" s="394"/>
      <c r="E40" s="28">
        <v>277</v>
      </c>
      <c r="G40" s="65"/>
      <c r="I40" s="28">
        <v>18</v>
      </c>
      <c r="J40" s="72">
        <v>18</v>
      </c>
      <c r="K40" s="46">
        <f t="shared" si="2"/>
        <v>0</v>
      </c>
      <c r="L40" s="46">
        <f t="shared" si="2"/>
        <v>0</v>
      </c>
      <c r="M40" s="46">
        <f t="shared" si="2"/>
        <v>100</v>
      </c>
      <c r="N40" s="46">
        <f t="shared" si="3"/>
        <v>100</v>
      </c>
      <c r="O40" s="45"/>
      <c r="P40" s="46"/>
      <c r="Q40" s="46">
        <v>44.6</v>
      </c>
      <c r="R40" s="47">
        <f t="shared" si="4"/>
        <v>44.6</v>
      </c>
      <c r="S40" s="28">
        <v>4</v>
      </c>
      <c r="T40" s="284"/>
      <c r="U40" s="293"/>
      <c r="V40" s="37" t="s">
        <v>469</v>
      </c>
      <c r="W40" s="28" t="s">
        <v>20</v>
      </c>
      <c r="X40" s="28" t="s">
        <v>12</v>
      </c>
      <c r="Y40" s="38">
        <v>44.6</v>
      </c>
      <c r="AD40" s="37"/>
      <c r="AG40" s="38"/>
      <c r="AL40" s="37"/>
      <c r="AO40" s="38"/>
      <c r="AP40" s="37"/>
      <c r="AS40" s="38"/>
      <c r="AW40" s="38"/>
      <c r="BA40" s="39"/>
    </row>
    <row r="41" spans="1:53" s="170" customFormat="1" x14ac:dyDescent="0.15">
      <c r="A41" s="215">
        <v>1976</v>
      </c>
      <c r="B41" s="281">
        <v>28037</v>
      </c>
      <c r="C41" s="433" t="s">
        <v>592</v>
      </c>
      <c r="D41" s="433"/>
      <c r="E41" s="170">
        <f>366-E40</f>
        <v>89</v>
      </c>
      <c r="F41" s="170">
        <v>1</v>
      </c>
      <c r="G41" s="232">
        <v>10</v>
      </c>
      <c r="H41" s="170">
        <v>9</v>
      </c>
      <c r="J41" s="240">
        <v>20</v>
      </c>
      <c r="K41" s="213">
        <f t="shared" si="2"/>
        <v>50</v>
      </c>
      <c r="L41" s="213">
        <f t="shared" si="2"/>
        <v>45</v>
      </c>
      <c r="M41" s="213">
        <f t="shared" si="2"/>
        <v>0</v>
      </c>
      <c r="N41" s="213">
        <f t="shared" si="3"/>
        <v>95</v>
      </c>
      <c r="O41" s="212">
        <f xml:space="preserve"> 11.2+15.8</f>
        <v>27</v>
      </c>
      <c r="P41" s="213">
        <v>24.6</v>
      </c>
      <c r="Q41" s="213"/>
      <c r="R41" s="214">
        <f t="shared" si="4"/>
        <v>51.6</v>
      </c>
      <c r="S41" s="170">
        <v>2</v>
      </c>
      <c r="T41" s="283">
        <v>28022</v>
      </c>
      <c r="U41" s="281">
        <v>28037</v>
      </c>
      <c r="V41" s="177" t="s">
        <v>470</v>
      </c>
      <c r="W41" s="170" t="s">
        <v>869</v>
      </c>
      <c r="X41" s="170" t="s">
        <v>18</v>
      </c>
      <c r="Y41" s="178">
        <v>24.6</v>
      </c>
      <c r="Z41" s="170" t="s">
        <v>472</v>
      </c>
      <c r="AA41" s="170" t="s">
        <v>74</v>
      </c>
      <c r="AB41" s="170" t="s">
        <v>11</v>
      </c>
      <c r="AC41" s="170">
        <v>15.8</v>
      </c>
      <c r="AD41" s="177" t="s">
        <v>471</v>
      </c>
      <c r="AE41" s="170" t="s">
        <v>22</v>
      </c>
      <c r="AF41" s="170" t="s">
        <v>11</v>
      </c>
      <c r="AG41" s="178">
        <v>11.2</v>
      </c>
      <c r="AL41" s="177"/>
      <c r="AO41" s="178"/>
      <c r="AP41" s="177"/>
      <c r="AS41" s="178"/>
      <c r="AW41" s="178"/>
      <c r="BA41" s="179"/>
    </row>
    <row r="42" spans="1:53" s="170" customFormat="1" x14ac:dyDescent="0.15">
      <c r="A42" s="215">
        <v>1977</v>
      </c>
      <c r="B42" s="281"/>
      <c r="C42" s="433" t="s">
        <v>592</v>
      </c>
      <c r="D42" s="433"/>
      <c r="E42" s="170">
        <v>0</v>
      </c>
      <c r="G42" s="232">
        <v>10</v>
      </c>
      <c r="H42" s="170">
        <v>9</v>
      </c>
      <c r="J42" s="240">
        <v>20</v>
      </c>
      <c r="K42" s="213">
        <f t="shared" si="2"/>
        <v>50</v>
      </c>
      <c r="L42" s="213">
        <f t="shared" si="2"/>
        <v>45</v>
      </c>
      <c r="M42" s="213">
        <f t="shared" si="2"/>
        <v>0</v>
      </c>
      <c r="N42" s="213">
        <f t="shared" si="3"/>
        <v>95</v>
      </c>
      <c r="O42" s="212">
        <f xml:space="preserve"> 11.2+15.8</f>
        <v>27</v>
      </c>
      <c r="P42" s="213">
        <v>24.6</v>
      </c>
      <c r="Q42" s="213"/>
      <c r="R42" s="214">
        <f t="shared" si="4"/>
        <v>51.6</v>
      </c>
      <c r="S42" s="170">
        <v>2</v>
      </c>
      <c r="T42" s="283"/>
      <c r="U42" s="281"/>
      <c r="V42" s="177" t="s">
        <v>470</v>
      </c>
      <c r="W42" s="170" t="s">
        <v>869</v>
      </c>
      <c r="X42" s="170" t="s">
        <v>18</v>
      </c>
      <c r="Y42" s="178">
        <v>24.6</v>
      </c>
      <c r="Z42" s="170" t="s">
        <v>472</v>
      </c>
      <c r="AA42" s="170" t="s">
        <v>74</v>
      </c>
      <c r="AB42" s="170" t="s">
        <v>11</v>
      </c>
      <c r="AC42" s="170">
        <v>15.8</v>
      </c>
      <c r="AD42" s="177" t="s">
        <v>471</v>
      </c>
      <c r="AE42" s="170" t="s">
        <v>22</v>
      </c>
      <c r="AF42" s="170" t="s">
        <v>11</v>
      </c>
      <c r="AG42" s="178">
        <v>11.2</v>
      </c>
      <c r="AL42" s="177"/>
      <c r="AO42" s="178"/>
      <c r="AP42" s="177"/>
      <c r="AS42" s="178"/>
      <c r="AW42" s="178"/>
      <c r="BA42" s="179"/>
    </row>
    <row r="43" spans="1:53" s="170" customFormat="1" x14ac:dyDescent="0.15">
      <c r="A43" s="215">
        <v>1977</v>
      </c>
      <c r="B43" s="281"/>
      <c r="C43" s="433" t="s">
        <v>592</v>
      </c>
      <c r="D43" s="433"/>
      <c r="E43" s="170">
        <v>365</v>
      </c>
      <c r="G43" s="232">
        <v>10</v>
      </c>
      <c r="H43" s="170">
        <v>9</v>
      </c>
      <c r="J43" s="240">
        <v>20</v>
      </c>
      <c r="K43" s="213">
        <f t="shared" si="2"/>
        <v>50</v>
      </c>
      <c r="L43" s="213">
        <f t="shared" si="2"/>
        <v>45</v>
      </c>
      <c r="M43" s="213">
        <f t="shared" si="2"/>
        <v>0</v>
      </c>
      <c r="N43" s="213">
        <f t="shared" si="3"/>
        <v>95</v>
      </c>
      <c r="O43" s="212">
        <f xml:space="preserve"> 11.2+15.8</f>
        <v>27</v>
      </c>
      <c r="P43" s="213">
        <v>24.6</v>
      </c>
      <c r="Q43" s="213"/>
      <c r="R43" s="214">
        <f t="shared" si="4"/>
        <v>51.6</v>
      </c>
      <c r="S43" s="170">
        <v>2</v>
      </c>
      <c r="T43" s="283"/>
      <c r="U43" s="281"/>
      <c r="V43" s="177" t="s">
        <v>470</v>
      </c>
      <c r="W43" s="170" t="s">
        <v>869</v>
      </c>
      <c r="X43" s="170" t="s">
        <v>18</v>
      </c>
      <c r="Y43" s="178">
        <v>24.6</v>
      </c>
      <c r="Z43" s="170" t="s">
        <v>472</v>
      </c>
      <c r="AA43" s="170" t="s">
        <v>74</v>
      </c>
      <c r="AB43" s="170" t="s">
        <v>11</v>
      </c>
      <c r="AC43" s="170">
        <v>15.8</v>
      </c>
      <c r="AD43" s="177" t="s">
        <v>471</v>
      </c>
      <c r="AE43" s="170" t="s">
        <v>22</v>
      </c>
      <c r="AF43" s="170" t="s">
        <v>11</v>
      </c>
      <c r="AG43" s="178">
        <v>11.2</v>
      </c>
      <c r="AL43" s="177"/>
      <c r="AO43" s="178"/>
      <c r="AP43" s="177"/>
      <c r="AS43" s="178"/>
      <c r="AW43" s="178"/>
      <c r="BA43" s="179"/>
    </row>
    <row r="44" spans="1:53" s="170" customFormat="1" x14ac:dyDescent="0.15">
      <c r="A44" s="215">
        <v>1978</v>
      </c>
      <c r="B44" s="281"/>
      <c r="C44" s="433" t="s">
        <v>592</v>
      </c>
      <c r="D44" s="433"/>
      <c r="E44" s="170">
        <v>285</v>
      </c>
      <c r="G44" s="232">
        <v>10</v>
      </c>
      <c r="H44" s="170">
        <v>9</v>
      </c>
      <c r="J44" s="240">
        <v>20</v>
      </c>
      <c r="K44" s="213">
        <f t="shared" si="2"/>
        <v>50</v>
      </c>
      <c r="L44" s="213">
        <f t="shared" si="2"/>
        <v>45</v>
      </c>
      <c r="M44" s="213">
        <f t="shared" si="2"/>
        <v>0</v>
      </c>
      <c r="N44" s="213">
        <f t="shared" si="3"/>
        <v>95</v>
      </c>
      <c r="O44" s="212">
        <f xml:space="preserve"> 11.2+15.8</f>
        <v>27</v>
      </c>
      <c r="P44" s="213">
        <v>24.6</v>
      </c>
      <c r="Q44" s="213"/>
      <c r="R44" s="214">
        <f t="shared" si="4"/>
        <v>51.6</v>
      </c>
      <c r="S44" s="170">
        <v>2</v>
      </c>
      <c r="T44" s="283"/>
      <c r="U44" s="281"/>
      <c r="V44" s="177" t="s">
        <v>470</v>
      </c>
      <c r="W44" s="170" t="s">
        <v>869</v>
      </c>
      <c r="X44" s="170" t="s">
        <v>18</v>
      </c>
      <c r="Y44" s="178">
        <v>24.6</v>
      </c>
      <c r="Z44" s="170" t="s">
        <v>472</v>
      </c>
      <c r="AA44" s="170" t="s">
        <v>74</v>
      </c>
      <c r="AB44" s="170" t="s">
        <v>11</v>
      </c>
      <c r="AC44" s="170">
        <v>15.8</v>
      </c>
      <c r="AD44" s="177" t="s">
        <v>471</v>
      </c>
      <c r="AE44" s="170" t="s">
        <v>22</v>
      </c>
      <c r="AF44" s="170" t="s">
        <v>11</v>
      </c>
      <c r="AG44" s="178">
        <v>11.2</v>
      </c>
      <c r="AL44" s="177"/>
      <c r="AO44" s="178"/>
      <c r="AP44" s="177"/>
      <c r="AS44" s="178"/>
      <c r="AW44" s="178"/>
      <c r="BA44" s="179"/>
    </row>
    <row r="45" spans="1:53" s="28" customFormat="1" x14ac:dyDescent="0.15">
      <c r="A45" s="51">
        <v>1978</v>
      </c>
      <c r="B45" s="293">
        <v>28776</v>
      </c>
      <c r="C45" s="394" t="s">
        <v>849</v>
      </c>
      <c r="D45" s="394"/>
      <c r="E45" s="28">
        <f>365-E44</f>
        <v>80</v>
      </c>
      <c r="F45" s="28">
        <v>4</v>
      </c>
      <c r="G45" s="65">
        <v>18</v>
      </c>
      <c r="J45" s="72">
        <v>19</v>
      </c>
      <c r="K45" s="46">
        <f t="shared" si="2"/>
        <v>94.73684210526315</v>
      </c>
      <c r="L45" s="46">
        <f t="shared" si="2"/>
        <v>0</v>
      </c>
      <c r="M45" s="46">
        <f t="shared" si="2"/>
        <v>0</v>
      </c>
      <c r="N45" s="46">
        <f t="shared" si="3"/>
        <v>94.73684210526315</v>
      </c>
      <c r="O45" s="45">
        <v>11.2</v>
      </c>
      <c r="P45" s="46"/>
      <c r="Q45" s="46"/>
      <c r="R45" s="47">
        <f t="shared" si="4"/>
        <v>11.2</v>
      </c>
      <c r="S45" s="28">
        <v>4</v>
      </c>
      <c r="T45" s="284"/>
      <c r="U45" s="293">
        <v>28776</v>
      </c>
      <c r="V45" s="37" t="s">
        <v>471</v>
      </c>
      <c r="W45" s="28" t="s">
        <v>22</v>
      </c>
      <c r="X45" s="28" t="s">
        <v>11</v>
      </c>
      <c r="Y45" s="38">
        <v>11.2</v>
      </c>
      <c r="AD45" s="37"/>
      <c r="AG45" s="38"/>
      <c r="AL45" s="37"/>
      <c r="AO45" s="38"/>
      <c r="AP45" s="37"/>
      <c r="AS45" s="38"/>
      <c r="AW45" s="38"/>
      <c r="BA45" s="39"/>
    </row>
    <row r="46" spans="1:53" s="28" customFormat="1" x14ac:dyDescent="0.15">
      <c r="A46" s="51">
        <v>1979</v>
      </c>
      <c r="B46" s="293"/>
      <c r="C46" s="394" t="s">
        <v>849</v>
      </c>
      <c r="D46" s="394"/>
      <c r="E46" s="28">
        <v>284</v>
      </c>
      <c r="G46" s="65">
        <v>18</v>
      </c>
      <c r="J46" s="72">
        <v>19</v>
      </c>
      <c r="K46" s="46">
        <f t="shared" si="2"/>
        <v>94.73684210526315</v>
      </c>
      <c r="L46" s="46">
        <f t="shared" si="2"/>
        <v>0</v>
      </c>
      <c r="M46" s="46">
        <f t="shared" si="2"/>
        <v>0</v>
      </c>
      <c r="N46" s="46">
        <f t="shared" si="3"/>
        <v>94.73684210526315</v>
      </c>
      <c r="O46" s="45">
        <v>11.2</v>
      </c>
      <c r="P46" s="46"/>
      <c r="Q46" s="46"/>
      <c r="R46" s="47">
        <f t="shared" si="4"/>
        <v>11.2</v>
      </c>
      <c r="S46" s="28">
        <v>4</v>
      </c>
      <c r="T46" s="284"/>
      <c r="U46" s="293"/>
      <c r="V46" s="37" t="s">
        <v>471</v>
      </c>
      <c r="W46" s="28" t="s">
        <v>22</v>
      </c>
      <c r="X46" s="28" t="s">
        <v>11</v>
      </c>
      <c r="Y46" s="38">
        <v>11.2</v>
      </c>
      <c r="AD46" s="37"/>
      <c r="AG46" s="38"/>
      <c r="AL46" s="37"/>
      <c r="AO46" s="38"/>
      <c r="AP46" s="37"/>
      <c r="AS46" s="38"/>
      <c r="AW46" s="38"/>
      <c r="BA46" s="39"/>
    </row>
    <row r="47" spans="1:53" s="170" customFormat="1" x14ac:dyDescent="0.15">
      <c r="A47" s="215">
        <v>1979</v>
      </c>
      <c r="B47" s="281">
        <v>29140</v>
      </c>
      <c r="C47" s="433" t="s">
        <v>593</v>
      </c>
      <c r="D47" s="433"/>
      <c r="E47" s="170">
        <f>365-E46</f>
        <v>81</v>
      </c>
      <c r="F47" s="170">
        <v>1</v>
      </c>
      <c r="G47" s="232">
        <v>13</v>
      </c>
      <c r="H47" s="170">
        <v>7</v>
      </c>
      <c r="J47" s="240">
        <v>21</v>
      </c>
      <c r="K47" s="213">
        <f t="shared" si="2"/>
        <v>61.904761904761905</v>
      </c>
      <c r="L47" s="213">
        <f t="shared" si="2"/>
        <v>33.333333333333329</v>
      </c>
      <c r="M47" s="213">
        <f t="shared" si="2"/>
        <v>0</v>
      </c>
      <c r="N47" s="213">
        <f t="shared" si="3"/>
        <v>95.238095238095241</v>
      </c>
      <c r="O47" s="212">
        <f>10.9+20.9</f>
        <v>31.799999999999997</v>
      </c>
      <c r="P47" s="213">
        <v>18.3</v>
      </c>
      <c r="Q47" s="213"/>
      <c r="R47" s="214">
        <f t="shared" si="4"/>
        <v>50.099999999999994</v>
      </c>
      <c r="S47" s="170">
        <v>2</v>
      </c>
      <c r="T47" s="283">
        <v>29114</v>
      </c>
      <c r="U47" s="281">
        <v>29140</v>
      </c>
      <c r="V47" s="177" t="s">
        <v>470</v>
      </c>
      <c r="W47" s="170" t="s">
        <v>869</v>
      </c>
      <c r="X47" s="170" t="s">
        <v>18</v>
      </c>
      <c r="Y47" s="178">
        <v>18.3</v>
      </c>
      <c r="Z47" s="170" t="s">
        <v>472</v>
      </c>
      <c r="AA47" s="170" t="s">
        <v>74</v>
      </c>
      <c r="AB47" s="170" t="s">
        <v>11</v>
      </c>
      <c r="AC47" s="170">
        <v>20.9</v>
      </c>
      <c r="AD47" s="177" t="s">
        <v>471</v>
      </c>
      <c r="AE47" s="170" t="s">
        <v>22</v>
      </c>
      <c r="AF47" s="170" t="s">
        <v>11</v>
      </c>
      <c r="AG47" s="178">
        <v>10.9</v>
      </c>
      <c r="AL47" s="177"/>
      <c r="AO47" s="178"/>
      <c r="AP47" s="177"/>
      <c r="AS47" s="178"/>
      <c r="AW47" s="178"/>
      <c r="BA47" s="179"/>
    </row>
    <row r="48" spans="1:53" s="170" customFormat="1" x14ac:dyDescent="0.15">
      <c r="A48" s="215">
        <v>1980</v>
      </c>
      <c r="B48" s="281"/>
      <c r="C48" s="433" t="s">
        <v>593</v>
      </c>
      <c r="D48" s="433"/>
      <c r="E48" s="170">
        <v>0</v>
      </c>
      <c r="G48" s="232">
        <v>13</v>
      </c>
      <c r="H48" s="170">
        <v>7</v>
      </c>
      <c r="J48" s="240">
        <v>21</v>
      </c>
      <c r="K48" s="213">
        <f t="shared" si="2"/>
        <v>61.904761904761905</v>
      </c>
      <c r="L48" s="213">
        <f t="shared" si="2"/>
        <v>33.333333333333329</v>
      </c>
      <c r="M48" s="213">
        <f t="shared" si="2"/>
        <v>0</v>
      </c>
      <c r="N48" s="213">
        <f t="shared" si="3"/>
        <v>95.238095238095241</v>
      </c>
      <c r="O48" s="212">
        <f>10.9+20.9</f>
        <v>31.799999999999997</v>
      </c>
      <c r="P48" s="213">
        <v>18.3</v>
      </c>
      <c r="Q48" s="213"/>
      <c r="R48" s="214">
        <f t="shared" si="4"/>
        <v>50.099999999999994</v>
      </c>
      <c r="S48" s="170">
        <v>2</v>
      </c>
      <c r="T48" s="283"/>
      <c r="U48" s="281"/>
      <c r="V48" s="177" t="s">
        <v>470</v>
      </c>
      <c r="W48" s="170" t="s">
        <v>869</v>
      </c>
      <c r="X48" s="170" t="s">
        <v>18</v>
      </c>
      <c r="Y48" s="178">
        <v>18.3</v>
      </c>
      <c r="Z48" s="170" t="s">
        <v>472</v>
      </c>
      <c r="AA48" s="170" t="s">
        <v>74</v>
      </c>
      <c r="AB48" s="170" t="s">
        <v>11</v>
      </c>
      <c r="AC48" s="170">
        <v>20.9</v>
      </c>
      <c r="AD48" s="177" t="s">
        <v>471</v>
      </c>
      <c r="AE48" s="170" t="s">
        <v>22</v>
      </c>
      <c r="AF48" s="170" t="s">
        <v>11</v>
      </c>
      <c r="AG48" s="178">
        <v>10.9</v>
      </c>
      <c r="AL48" s="177"/>
      <c r="AO48" s="178"/>
      <c r="AP48" s="177"/>
      <c r="AS48" s="178"/>
      <c r="AW48" s="178"/>
      <c r="BA48" s="179"/>
    </row>
    <row r="49" spans="1:53" s="170" customFormat="1" x14ac:dyDescent="0.15">
      <c r="A49" s="215">
        <v>1980</v>
      </c>
      <c r="B49" s="281"/>
      <c r="C49" s="433" t="s">
        <v>593</v>
      </c>
      <c r="D49" s="433"/>
      <c r="E49" s="170">
        <v>366</v>
      </c>
      <c r="G49" s="232">
        <v>13</v>
      </c>
      <c r="H49" s="170">
        <v>7</v>
      </c>
      <c r="J49" s="240">
        <v>21</v>
      </c>
      <c r="K49" s="213">
        <f t="shared" si="2"/>
        <v>61.904761904761905</v>
      </c>
      <c r="L49" s="213">
        <f t="shared" si="2"/>
        <v>33.333333333333329</v>
      </c>
      <c r="M49" s="213">
        <f t="shared" si="2"/>
        <v>0</v>
      </c>
      <c r="N49" s="213">
        <f t="shared" si="3"/>
        <v>95.238095238095241</v>
      </c>
      <c r="O49" s="212">
        <f>10.9+20.9</f>
        <v>31.799999999999997</v>
      </c>
      <c r="P49" s="213">
        <v>18.3</v>
      </c>
      <c r="Q49" s="213"/>
      <c r="R49" s="214">
        <f t="shared" si="4"/>
        <v>50.099999999999994</v>
      </c>
      <c r="S49" s="170">
        <v>2</v>
      </c>
      <c r="T49" s="283"/>
      <c r="U49" s="281"/>
      <c r="V49" s="177" t="s">
        <v>470</v>
      </c>
      <c r="W49" s="170" t="s">
        <v>869</v>
      </c>
      <c r="X49" s="170" t="s">
        <v>18</v>
      </c>
      <c r="Y49" s="178">
        <v>18.3</v>
      </c>
      <c r="Z49" s="170" t="s">
        <v>472</v>
      </c>
      <c r="AA49" s="170" t="s">
        <v>74</v>
      </c>
      <c r="AB49" s="170" t="s">
        <v>11</v>
      </c>
      <c r="AC49" s="170">
        <v>20.9</v>
      </c>
      <c r="AD49" s="177" t="s">
        <v>471</v>
      </c>
      <c r="AE49" s="170" t="s">
        <v>22</v>
      </c>
      <c r="AF49" s="170" t="s">
        <v>11</v>
      </c>
      <c r="AG49" s="178">
        <v>10.9</v>
      </c>
      <c r="AL49" s="177"/>
      <c r="AO49" s="178"/>
      <c r="AP49" s="177"/>
      <c r="AS49" s="178"/>
      <c r="AW49" s="178"/>
      <c r="BA49" s="179"/>
    </row>
    <row r="50" spans="1:53" s="170" customFormat="1" x14ac:dyDescent="0.15">
      <c r="A50" s="215">
        <v>1981</v>
      </c>
      <c r="B50" s="281"/>
      <c r="C50" s="433" t="s">
        <v>593</v>
      </c>
      <c r="D50" s="433"/>
      <c r="E50" s="170">
        <v>141</v>
      </c>
      <c r="G50" s="232">
        <v>13</v>
      </c>
      <c r="H50" s="170">
        <v>7</v>
      </c>
      <c r="J50" s="240">
        <v>21</v>
      </c>
      <c r="K50" s="213">
        <f t="shared" si="2"/>
        <v>61.904761904761905</v>
      </c>
      <c r="L50" s="213">
        <f t="shared" si="2"/>
        <v>33.333333333333329</v>
      </c>
      <c r="M50" s="213">
        <f t="shared" si="2"/>
        <v>0</v>
      </c>
      <c r="N50" s="213">
        <f t="shared" si="3"/>
        <v>95.238095238095241</v>
      </c>
      <c r="O50" s="212">
        <f>10.9+20.9</f>
        <v>31.799999999999997</v>
      </c>
      <c r="P50" s="213">
        <v>18.3</v>
      </c>
      <c r="Q50" s="213"/>
      <c r="R50" s="214">
        <f t="shared" si="4"/>
        <v>50.099999999999994</v>
      </c>
      <c r="S50" s="170">
        <v>2</v>
      </c>
      <c r="T50" s="283"/>
      <c r="U50" s="281"/>
      <c r="V50" s="177" t="s">
        <v>470</v>
      </c>
      <c r="W50" s="170" t="s">
        <v>869</v>
      </c>
      <c r="X50" s="170" t="s">
        <v>18</v>
      </c>
      <c r="Y50" s="178">
        <v>18.3</v>
      </c>
      <c r="Z50" s="170" t="s">
        <v>472</v>
      </c>
      <c r="AA50" s="170" t="s">
        <v>74</v>
      </c>
      <c r="AB50" s="170" t="s">
        <v>11</v>
      </c>
      <c r="AC50" s="170">
        <v>20.9</v>
      </c>
      <c r="AD50" s="177" t="s">
        <v>471</v>
      </c>
      <c r="AE50" s="170" t="s">
        <v>22</v>
      </c>
      <c r="AF50" s="170" t="s">
        <v>11</v>
      </c>
      <c r="AG50" s="178">
        <v>10.9</v>
      </c>
      <c r="AL50" s="177"/>
      <c r="AO50" s="178"/>
      <c r="AP50" s="177"/>
      <c r="AS50" s="178"/>
      <c r="AW50" s="178"/>
      <c r="BA50" s="179"/>
    </row>
    <row r="51" spans="1:53" s="28" customFormat="1" x14ac:dyDescent="0.15">
      <c r="A51" s="51">
        <v>1981</v>
      </c>
      <c r="B51" s="293">
        <v>29728</v>
      </c>
      <c r="C51" s="434" t="s">
        <v>594</v>
      </c>
      <c r="D51" s="434"/>
      <c r="E51" s="28">
        <f>365-E50</f>
        <v>224</v>
      </c>
      <c r="F51" s="28">
        <v>4</v>
      </c>
      <c r="G51" s="65">
        <v>7</v>
      </c>
      <c r="H51" s="28">
        <v>10</v>
      </c>
      <c r="J51" s="72">
        <v>18</v>
      </c>
      <c r="K51" s="46">
        <f t="shared" si="2"/>
        <v>38.888888888888893</v>
      </c>
      <c r="L51" s="46">
        <f t="shared" si="2"/>
        <v>55.555555555555557</v>
      </c>
      <c r="M51" s="46">
        <f t="shared" si="2"/>
        <v>0</v>
      </c>
      <c r="N51" s="46">
        <f t="shared" si="3"/>
        <v>94.444444444444457</v>
      </c>
      <c r="O51" s="45">
        <v>10.9</v>
      </c>
      <c r="P51" s="46">
        <v>18.3</v>
      </c>
      <c r="Q51" s="46"/>
      <c r="R51" s="47">
        <f t="shared" si="4"/>
        <v>29.200000000000003</v>
      </c>
      <c r="S51" s="28">
        <v>5</v>
      </c>
      <c r="T51" s="284"/>
      <c r="U51" s="293">
        <v>29728</v>
      </c>
      <c r="V51" s="37" t="s">
        <v>470</v>
      </c>
      <c r="W51" s="28" t="s">
        <v>869</v>
      </c>
      <c r="X51" s="28" t="s">
        <v>18</v>
      </c>
      <c r="Y51" s="28">
        <v>18.3</v>
      </c>
      <c r="Z51" s="37" t="s">
        <v>471</v>
      </c>
      <c r="AA51" s="28" t="s">
        <v>22</v>
      </c>
      <c r="AB51" s="28" t="s">
        <v>11</v>
      </c>
      <c r="AC51" s="38">
        <v>10.9</v>
      </c>
      <c r="AD51" s="37"/>
      <c r="AG51" s="38"/>
      <c r="AL51" s="37"/>
      <c r="AO51" s="38"/>
      <c r="AP51" s="37"/>
      <c r="AS51" s="38"/>
      <c r="AW51" s="38"/>
      <c r="BA51" s="39"/>
    </row>
    <row r="52" spans="1:53" s="28" customFormat="1" x14ac:dyDescent="0.15">
      <c r="A52" s="51">
        <v>1982</v>
      </c>
      <c r="B52" s="293"/>
      <c r="C52" s="434" t="s">
        <v>594</v>
      </c>
      <c r="D52" s="434"/>
      <c r="E52" s="28">
        <v>280</v>
      </c>
      <c r="G52" s="65">
        <v>7</v>
      </c>
      <c r="H52" s="28">
        <v>10</v>
      </c>
      <c r="J52" s="72">
        <v>18</v>
      </c>
      <c r="K52" s="46">
        <f>G52/$J52*100</f>
        <v>38.888888888888893</v>
      </c>
      <c r="L52" s="46">
        <f>H52/$J52*100</f>
        <v>55.555555555555557</v>
      </c>
      <c r="M52" s="46">
        <f t="shared" si="2"/>
        <v>0</v>
      </c>
      <c r="N52" s="46">
        <f t="shared" si="3"/>
        <v>94.444444444444457</v>
      </c>
      <c r="O52" s="45">
        <v>10.9</v>
      </c>
      <c r="P52" s="46">
        <v>18.3</v>
      </c>
      <c r="Q52" s="46"/>
      <c r="R52" s="47">
        <f t="shared" si="4"/>
        <v>29.200000000000003</v>
      </c>
      <c r="S52" s="28">
        <v>5</v>
      </c>
      <c r="T52" s="284"/>
      <c r="U52" s="293"/>
      <c r="V52" s="37" t="s">
        <v>470</v>
      </c>
      <c r="W52" s="28" t="s">
        <v>869</v>
      </c>
      <c r="X52" s="28" t="s">
        <v>18</v>
      </c>
      <c r="Y52" s="28">
        <v>18.3</v>
      </c>
      <c r="Z52" s="37" t="s">
        <v>471</v>
      </c>
      <c r="AA52" s="28" t="s">
        <v>22</v>
      </c>
      <c r="AB52" s="28" t="s">
        <v>11</v>
      </c>
      <c r="AC52" s="38">
        <v>10.9</v>
      </c>
      <c r="AD52" s="37"/>
      <c r="AG52" s="38"/>
      <c r="AL52" s="37"/>
      <c r="AO52" s="38"/>
      <c r="AP52" s="37"/>
      <c r="AS52" s="38"/>
      <c r="AW52" s="38"/>
      <c r="BA52" s="39"/>
    </row>
    <row r="53" spans="1:53" s="170" customFormat="1" x14ac:dyDescent="0.15">
      <c r="A53" s="215">
        <v>1982</v>
      </c>
      <c r="B53" s="281">
        <v>30232</v>
      </c>
      <c r="C53" s="395" t="s">
        <v>595</v>
      </c>
      <c r="D53" s="395"/>
      <c r="E53" s="170">
        <f>365-E52</f>
        <v>85</v>
      </c>
      <c r="F53" s="170">
        <v>1</v>
      </c>
      <c r="G53" s="232"/>
      <c r="I53" s="170">
        <v>20</v>
      </c>
      <c r="J53" s="240">
        <v>20</v>
      </c>
      <c r="K53" s="213">
        <f t="shared" ref="K53:M67" si="5">G53/$J53*100</f>
        <v>0</v>
      </c>
      <c r="L53" s="213">
        <f t="shared" si="5"/>
        <v>0</v>
      </c>
      <c r="M53" s="213">
        <f>I53/$J53*100</f>
        <v>100</v>
      </c>
      <c r="N53" s="213">
        <f t="shared" si="3"/>
        <v>100</v>
      </c>
      <c r="O53" s="212"/>
      <c r="P53" s="213"/>
      <c r="Q53" s="213">
        <v>47.6</v>
      </c>
      <c r="R53" s="214">
        <f t="shared" si="4"/>
        <v>47.6</v>
      </c>
      <c r="S53" s="170">
        <v>4</v>
      </c>
      <c r="T53" s="283">
        <v>30213</v>
      </c>
      <c r="U53" s="281">
        <v>30232</v>
      </c>
      <c r="V53" s="177" t="s">
        <v>469</v>
      </c>
      <c r="W53" s="170" t="s">
        <v>20</v>
      </c>
      <c r="X53" s="170" t="s">
        <v>12</v>
      </c>
      <c r="Y53" s="178">
        <v>47.6</v>
      </c>
      <c r="AD53" s="177"/>
      <c r="AG53" s="178"/>
      <c r="AL53" s="177"/>
      <c r="AO53" s="178"/>
      <c r="AP53" s="177"/>
      <c r="AS53" s="178"/>
      <c r="AW53" s="178"/>
      <c r="BA53" s="179"/>
    </row>
    <row r="54" spans="1:53" s="170" customFormat="1" x14ac:dyDescent="0.15">
      <c r="A54" s="215">
        <v>1983</v>
      </c>
      <c r="B54" s="281"/>
      <c r="C54" s="395" t="s">
        <v>595</v>
      </c>
      <c r="D54" s="395"/>
      <c r="E54" s="170">
        <v>0</v>
      </c>
      <c r="G54" s="232"/>
      <c r="I54" s="170">
        <v>20</v>
      </c>
      <c r="J54" s="240">
        <v>20</v>
      </c>
      <c r="K54" s="213">
        <f t="shared" si="5"/>
        <v>0</v>
      </c>
      <c r="L54" s="213">
        <f t="shared" si="5"/>
        <v>0</v>
      </c>
      <c r="M54" s="213">
        <f t="shared" si="2"/>
        <v>100</v>
      </c>
      <c r="N54" s="213">
        <f t="shared" si="3"/>
        <v>100</v>
      </c>
      <c r="O54" s="212"/>
      <c r="P54" s="213"/>
      <c r="Q54" s="213">
        <v>47.6</v>
      </c>
      <c r="R54" s="214">
        <f t="shared" si="4"/>
        <v>47.6</v>
      </c>
      <c r="S54" s="170">
        <v>4</v>
      </c>
      <c r="T54" s="283"/>
      <c r="U54" s="281"/>
      <c r="V54" s="177" t="s">
        <v>469</v>
      </c>
      <c r="W54" s="170" t="s">
        <v>20</v>
      </c>
      <c r="X54" s="170" t="s">
        <v>12</v>
      </c>
      <c r="Y54" s="178">
        <v>47.6</v>
      </c>
      <c r="AD54" s="177"/>
      <c r="AG54" s="178"/>
      <c r="AL54" s="177"/>
      <c r="AO54" s="178"/>
      <c r="AP54" s="177"/>
      <c r="AS54" s="178"/>
      <c r="AW54" s="178"/>
      <c r="BA54" s="179"/>
    </row>
    <row r="55" spans="1:53" s="170" customFormat="1" x14ac:dyDescent="0.15">
      <c r="A55" s="215">
        <v>1983</v>
      </c>
      <c r="B55" s="281"/>
      <c r="C55" s="395" t="s">
        <v>595</v>
      </c>
      <c r="D55" s="395"/>
      <c r="E55" s="170">
        <v>365</v>
      </c>
      <c r="G55" s="232"/>
      <c r="I55" s="170">
        <v>20</v>
      </c>
      <c r="J55" s="240">
        <v>20</v>
      </c>
      <c r="K55" s="213">
        <f t="shared" si="5"/>
        <v>0</v>
      </c>
      <c r="L55" s="213">
        <f t="shared" si="5"/>
        <v>0</v>
      </c>
      <c r="M55" s="213">
        <f t="shared" si="2"/>
        <v>100</v>
      </c>
      <c r="N55" s="213">
        <f t="shared" si="3"/>
        <v>100</v>
      </c>
      <c r="O55" s="212"/>
      <c r="P55" s="213"/>
      <c r="Q55" s="213">
        <v>47.6</v>
      </c>
      <c r="R55" s="214">
        <f t="shared" si="4"/>
        <v>47.6</v>
      </c>
      <c r="S55" s="170">
        <v>4</v>
      </c>
      <c r="T55" s="283"/>
      <c r="U55" s="281"/>
      <c r="V55" s="177" t="s">
        <v>469</v>
      </c>
      <c r="W55" s="170" t="s">
        <v>20</v>
      </c>
      <c r="X55" s="170" t="s">
        <v>12</v>
      </c>
      <c r="Y55" s="178">
        <v>47.6</v>
      </c>
      <c r="AD55" s="177"/>
      <c r="AG55" s="178"/>
      <c r="AL55" s="177"/>
      <c r="AO55" s="178"/>
      <c r="AP55" s="177"/>
      <c r="AS55" s="178"/>
      <c r="AW55" s="178"/>
      <c r="BA55" s="179"/>
    </row>
    <row r="56" spans="1:53" s="170" customFormat="1" x14ac:dyDescent="0.15">
      <c r="A56" s="215">
        <v>1984</v>
      </c>
      <c r="B56" s="281"/>
      <c r="C56" s="395" t="s">
        <v>595</v>
      </c>
      <c r="D56" s="395"/>
      <c r="E56" s="170">
        <v>0</v>
      </c>
      <c r="G56" s="232"/>
      <c r="I56" s="170">
        <v>20</v>
      </c>
      <c r="J56" s="240">
        <v>20</v>
      </c>
      <c r="K56" s="213">
        <f t="shared" si="5"/>
        <v>0</v>
      </c>
      <c r="L56" s="213">
        <f t="shared" si="5"/>
        <v>0</v>
      </c>
      <c r="M56" s="213">
        <f t="shared" si="2"/>
        <v>100</v>
      </c>
      <c r="N56" s="213">
        <f t="shared" si="3"/>
        <v>100</v>
      </c>
      <c r="O56" s="212"/>
      <c r="P56" s="213"/>
      <c r="Q56" s="213">
        <v>47.6</v>
      </c>
      <c r="R56" s="214">
        <f t="shared" si="4"/>
        <v>47.6</v>
      </c>
      <c r="S56" s="170">
        <v>4</v>
      </c>
      <c r="T56" s="283"/>
      <c r="U56" s="281"/>
      <c r="V56" s="177" t="s">
        <v>469</v>
      </c>
      <c r="W56" s="170" t="s">
        <v>20</v>
      </c>
      <c r="X56" s="170" t="s">
        <v>12</v>
      </c>
      <c r="Y56" s="178">
        <v>47.6</v>
      </c>
      <c r="AD56" s="177"/>
      <c r="AG56" s="178"/>
      <c r="AL56" s="177"/>
      <c r="AO56" s="178"/>
      <c r="AP56" s="177"/>
      <c r="AS56" s="178"/>
      <c r="AW56" s="178"/>
      <c r="BA56" s="179"/>
    </row>
    <row r="57" spans="1:53" s="170" customFormat="1" x14ac:dyDescent="0.15">
      <c r="A57" s="215">
        <v>1984</v>
      </c>
      <c r="B57" s="281"/>
      <c r="C57" s="395" t="s">
        <v>595</v>
      </c>
      <c r="D57" s="395"/>
      <c r="E57" s="170">
        <v>366</v>
      </c>
      <c r="G57" s="232"/>
      <c r="I57" s="170">
        <v>20</v>
      </c>
      <c r="J57" s="240">
        <v>20</v>
      </c>
      <c r="K57" s="213">
        <f t="shared" si="5"/>
        <v>0</v>
      </c>
      <c r="L57" s="213">
        <f t="shared" si="5"/>
        <v>0</v>
      </c>
      <c r="M57" s="213">
        <f t="shared" si="2"/>
        <v>100</v>
      </c>
      <c r="N57" s="213">
        <f t="shared" si="3"/>
        <v>100</v>
      </c>
      <c r="O57" s="212"/>
      <c r="P57" s="213"/>
      <c r="Q57" s="213">
        <v>47.6</v>
      </c>
      <c r="R57" s="214">
        <f t="shared" si="4"/>
        <v>47.6</v>
      </c>
      <c r="S57" s="170">
        <v>4</v>
      </c>
      <c r="T57" s="283"/>
      <c r="U57" s="281"/>
      <c r="V57" s="177" t="s">
        <v>469</v>
      </c>
      <c r="W57" s="170" t="s">
        <v>20</v>
      </c>
      <c r="X57" s="170" t="s">
        <v>12</v>
      </c>
      <c r="Y57" s="178">
        <v>47.6</v>
      </c>
      <c r="AD57" s="177"/>
      <c r="AG57" s="178"/>
      <c r="AL57" s="177"/>
      <c r="AO57" s="178"/>
      <c r="AP57" s="177"/>
      <c r="AS57" s="178"/>
      <c r="AW57" s="178"/>
      <c r="BA57" s="179"/>
    </row>
    <row r="58" spans="1:53" s="170" customFormat="1" x14ac:dyDescent="0.15">
      <c r="A58" s="215">
        <v>1985</v>
      </c>
      <c r="B58" s="281"/>
      <c r="C58" s="395" t="s">
        <v>595</v>
      </c>
      <c r="D58" s="395"/>
      <c r="E58" s="170">
        <v>276</v>
      </c>
      <c r="G58" s="232"/>
      <c r="I58" s="170">
        <v>20</v>
      </c>
      <c r="J58" s="240">
        <v>20</v>
      </c>
      <c r="K58" s="213">
        <f t="shared" si="5"/>
        <v>0</v>
      </c>
      <c r="L58" s="213">
        <f t="shared" si="5"/>
        <v>0</v>
      </c>
      <c r="M58" s="213">
        <f t="shared" si="2"/>
        <v>100</v>
      </c>
      <c r="N58" s="213">
        <f t="shared" si="3"/>
        <v>100</v>
      </c>
      <c r="O58" s="212"/>
      <c r="P58" s="213"/>
      <c r="Q58" s="213">
        <v>47.6</v>
      </c>
      <c r="R58" s="214">
        <f t="shared" si="4"/>
        <v>47.6</v>
      </c>
      <c r="S58" s="170">
        <v>4</v>
      </c>
      <c r="T58" s="283"/>
      <c r="U58" s="281"/>
      <c r="V58" s="177" t="s">
        <v>469</v>
      </c>
      <c r="W58" s="170" t="s">
        <v>20</v>
      </c>
      <c r="X58" s="170" t="s">
        <v>12</v>
      </c>
      <c r="Y58" s="178">
        <v>47.6</v>
      </c>
      <c r="AD58" s="177"/>
      <c r="AG58" s="178"/>
      <c r="AL58" s="177"/>
      <c r="AO58" s="178"/>
      <c r="AP58" s="177"/>
      <c r="AS58" s="178"/>
      <c r="AW58" s="178"/>
      <c r="BA58" s="179"/>
    </row>
    <row r="59" spans="1:53" s="28" customFormat="1" x14ac:dyDescent="0.15">
      <c r="A59" s="51">
        <v>1985</v>
      </c>
      <c r="B59" s="293">
        <v>31324</v>
      </c>
      <c r="C59" s="394" t="s">
        <v>596</v>
      </c>
      <c r="D59" s="394"/>
      <c r="E59" s="28">
        <f>365-E58</f>
        <v>89</v>
      </c>
      <c r="F59" s="28">
        <v>1</v>
      </c>
      <c r="G59" s="65"/>
      <c r="I59" s="28">
        <v>21</v>
      </c>
      <c r="J59" s="72">
        <v>21</v>
      </c>
      <c r="K59" s="46">
        <f t="shared" si="5"/>
        <v>0</v>
      </c>
      <c r="L59" s="46">
        <f t="shared" si="5"/>
        <v>0</v>
      </c>
      <c r="M59" s="46">
        <f t="shared" si="2"/>
        <v>100</v>
      </c>
      <c r="N59" s="46">
        <f t="shared" si="3"/>
        <v>100</v>
      </c>
      <c r="O59" s="45"/>
      <c r="P59" s="46"/>
      <c r="Q59" s="46">
        <v>45.6</v>
      </c>
      <c r="R59" s="47">
        <f t="shared" si="4"/>
        <v>45.6</v>
      </c>
      <c r="S59" s="28">
        <v>4</v>
      </c>
      <c r="T59" s="284">
        <v>31305</v>
      </c>
      <c r="U59" s="293">
        <v>31324</v>
      </c>
      <c r="V59" s="37" t="s">
        <v>469</v>
      </c>
      <c r="W59" s="28" t="s">
        <v>20</v>
      </c>
      <c r="X59" s="28" t="s">
        <v>12</v>
      </c>
      <c r="Y59" s="38">
        <v>45.6</v>
      </c>
      <c r="AD59" s="37"/>
      <c r="AG59" s="38"/>
      <c r="AL59" s="37"/>
      <c r="AO59" s="38"/>
      <c r="AP59" s="37"/>
      <c r="AS59" s="38"/>
      <c r="AW59" s="38"/>
      <c r="BA59" s="39"/>
    </row>
    <row r="60" spans="1:53" s="28" customFormat="1" x14ac:dyDescent="0.15">
      <c r="A60" s="51">
        <v>1986</v>
      </c>
      <c r="B60" s="293"/>
      <c r="C60" s="394" t="s">
        <v>596</v>
      </c>
      <c r="D60" s="394"/>
      <c r="E60" s="28">
        <v>59</v>
      </c>
      <c r="G60" s="65"/>
      <c r="I60" s="28">
        <v>21</v>
      </c>
      <c r="J60" s="72">
        <v>21</v>
      </c>
      <c r="K60" s="46">
        <f t="shared" si="5"/>
        <v>0</v>
      </c>
      <c r="L60" s="46">
        <f t="shared" si="5"/>
        <v>0</v>
      </c>
      <c r="M60" s="46">
        <f t="shared" si="5"/>
        <v>100</v>
      </c>
      <c r="N60" s="46">
        <f t="shared" si="3"/>
        <v>100</v>
      </c>
      <c r="O60" s="45"/>
      <c r="P60" s="46"/>
      <c r="Q60" s="46">
        <v>45.6</v>
      </c>
      <c r="R60" s="47">
        <f t="shared" si="4"/>
        <v>45.6</v>
      </c>
      <c r="S60" s="28">
        <v>4</v>
      </c>
      <c r="T60" s="284"/>
      <c r="U60" s="293"/>
      <c r="V60" s="37" t="s">
        <v>469</v>
      </c>
      <c r="W60" s="28" t="s">
        <v>20</v>
      </c>
      <c r="X60" s="28" t="s">
        <v>12</v>
      </c>
      <c r="Y60" s="38">
        <v>45.6</v>
      </c>
      <c r="AD60" s="37"/>
      <c r="AG60" s="38"/>
      <c r="AL60" s="37"/>
      <c r="AO60" s="38"/>
      <c r="AP60" s="37"/>
      <c r="AS60" s="38"/>
      <c r="AW60" s="38"/>
      <c r="BA60" s="39"/>
    </row>
    <row r="61" spans="1:53" s="170" customFormat="1" x14ac:dyDescent="0.15">
      <c r="A61" s="215">
        <v>1986</v>
      </c>
      <c r="B61" s="281">
        <v>31472</v>
      </c>
      <c r="C61" s="395" t="s">
        <v>597</v>
      </c>
      <c r="D61" s="395"/>
      <c r="E61" s="170">
        <f>365-E60</f>
        <v>306</v>
      </c>
      <c r="F61" s="170" t="s">
        <v>335</v>
      </c>
      <c r="G61" s="232"/>
      <c r="I61" s="170">
        <v>20</v>
      </c>
      <c r="J61" s="240">
        <v>20</v>
      </c>
      <c r="K61" s="213">
        <f t="shared" si="5"/>
        <v>0</v>
      </c>
      <c r="L61" s="213">
        <f t="shared" si="5"/>
        <v>0</v>
      </c>
      <c r="M61" s="213">
        <f t="shared" si="5"/>
        <v>100</v>
      </c>
      <c r="N61" s="213">
        <f t="shared" si="3"/>
        <v>100</v>
      </c>
      <c r="O61" s="212"/>
      <c r="P61" s="213"/>
      <c r="Q61" s="213">
        <v>45.6</v>
      </c>
      <c r="R61" s="214">
        <f t="shared" si="4"/>
        <v>45.6</v>
      </c>
      <c r="S61" s="170">
        <v>4</v>
      </c>
      <c r="T61" s="283"/>
      <c r="U61" s="281">
        <v>31472</v>
      </c>
      <c r="V61" s="177" t="s">
        <v>469</v>
      </c>
      <c r="W61" s="170" t="s">
        <v>20</v>
      </c>
      <c r="X61" s="170" t="s">
        <v>12</v>
      </c>
      <c r="Y61" s="178">
        <v>45.6</v>
      </c>
      <c r="AD61" s="177"/>
      <c r="AG61" s="178"/>
      <c r="AL61" s="177"/>
      <c r="AO61" s="178"/>
      <c r="AP61" s="177"/>
      <c r="AS61" s="178"/>
      <c r="AW61" s="178"/>
      <c r="BA61" s="179"/>
    </row>
    <row r="62" spans="1:53" s="170" customFormat="1" x14ac:dyDescent="0.15">
      <c r="A62" s="215">
        <v>1987</v>
      </c>
      <c r="B62" s="281"/>
      <c r="C62" s="395" t="s">
        <v>597</v>
      </c>
      <c r="D62" s="395"/>
      <c r="E62" s="170">
        <v>0</v>
      </c>
      <c r="G62" s="232"/>
      <c r="I62" s="170">
        <v>20</v>
      </c>
      <c r="J62" s="240">
        <v>20</v>
      </c>
      <c r="K62" s="213">
        <f t="shared" si="5"/>
        <v>0</v>
      </c>
      <c r="L62" s="213">
        <f t="shared" si="5"/>
        <v>0</v>
      </c>
      <c r="M62" s="213">
        <f t="shared" si="5"/>
        <v>100</v>
      </c>
      <c r="N62" s="213">
        <f t="shared" si="3"/>
        <v>100</v>
      </c>
      <c r="O62" s="212"/>
      <c r="P62" s="213"/>
      <c r="Q62" s="213">
        <v>45.6</v>
      </c>
      <c r="R62" s="214">
        <f t="shared" si="4"/>
        <v>45.6</v>
      </c>
      <c r="S62" s="170">
        <v>4</v>
      </c>
      <c r="T62" s="283"/>
      <c r="U62" s="281"/>
      <c r="V62" s="177" t="s">
        <v>469</v>
      </c>
      <c r="W62" s="170" t="s">
        <v>20</v>
      </c>
      <c r="X62" s="170" t="s">
        <v>12</v>
      </c>
      <c r="Y62" s="178">
        <v>45.6</v>
      </c>
      <c r="AD62" s="177"/>
      <c r="AG62" s="178"/>
      <c r="AL62" s="177"/>
      <c r="AO62" s="178"/>
      <c r="AP62" s="177"/>
      <c r="AS62" s="178"/>
      <c r="AW62" s="178"/>
      <c r="BA62" s="179"/>
    </row>
    <row r="63" spans="1:53" s="170" customFormat="1" x14ac:dyDescent="0.15">
      <c r="A63" s="215">
        <v>1987</v>
      </c>
      <c r="B63" s="281"/>
      <c r="C63" s="395" t="s">
        <v>597</v>
      </c>
      <c r="D63" s="395"/>
      <c r="E63" s="170">
        <v>365</v>
      </c>
      <c r="G63" s="232"/>
      <c r="I63" s="170">
        <v>20</v>
      </c>
      <c r="J63" s="240">
        <v>20</v>
      </c>
      <c r="K63" s="213">
        <f t="shared" si="5"/>
        <v>0</v>
      </c>
      <c r="L63" s="213">
        <f t="shared" si="5"/>
        <v>0</v>
      </c>
      <c r="M63" s="213">
        <f>I63/$J63*100</f>
        <v>100</v>
      </c>
      <c r="N63" s="213">
        <f t="shared" si="3"/>
        <v>100</v>
      </c>
      <c r="O63" s="212"/>
      <c r="P63" s="213"/>
      <c r="Q63" s="213">
        <v>45.6</v>
      </c>
      <c r="R63" s="214">
        <f t="shared" si="4"/>
        <v>45.6</v>
      </c>
      <c r="S63" s="170">
        <v>4</v>
      </c>
      <c r="T63" s="283"/>
      <c r="U63" s="281"/>
      <c r="V63" s="177" t="s">
        <v>469</v>
      </c>
      <c r="W63" s="170" t="s">
        <v>20</v>
      </c>
      <c r="X63" s="170" t="s">
        <v>12</v>
      </c>
      <c r="Y63" s="178">
        <v>45.6</v>
      </c>
      <c r="AD63" s="177"/>
      <c r="AG63" s="178"/>
      <c r="AL63" s="177"/>
      <c r="AO63" s="178"/>
      <c r="AP63" s="177"/>
      <c r="AS63" s="178"/>
      <c r="AW63" s="178"/>
      <c r="BA63" s="179"/>
    </row>
    <row r="64" spans="1:53" s="170" customFormat="1" x14ac:dyDescent="0.15">
      <c r="A64" s="215">
        <v>1988</v>
      </c>
      <c r="B64" s="281"/>
      <c r="C64" s="395" t="s">
        <v>597</v>
      </c>
      <c r="D64" s="395"/>
      <c r="E64" s="170">
        <v>277</v>
      </c>
      <c r="G64" s="232"/>
      <c r="I64" s="170">
        <v>20</v>
      </c>
      <c r="J64" s="240">
        <v>20</v>
      </c>
      <c r="K64" s="213">
        <f t="shared" si="5"/>
        <v>0</v>
      </c>
      <c r="L64" s="213">
        <f t="shared" si="5"/>
        <v>0</v>
      </c>
      <c r="M64" s="213">
        <f t="shared" si="5"/>
        <v>100</v>
      </c>
      <c r="N64" s="213">
        <f t="shared" si="3"/>
        <v>100</v>
      </c>
      <c r="O64" s="212"/>
      <c r="P64" s="213"/>
      <c r="Q64" s="213">
        <v>45.6</v>
      </c>
      <c r="R64" s="214">
        <f t="shared" si="4"/>
        <v>45.6</v>
      </c>
      <c r="S64" s="170">
        <v>4</v>
      </c>
      <c r="T64" s="283"/>
      <c r="U64" s="281"/>
      <c r="V64" s="177" t="s">
        <v>469</v>
      </c>
      <c r="W64" s="170" t="s">
        <v>20</v>
      </c>
      <c r="X64" s="170" t="s">
        <v>12</v>
      </c>
      <c r="Y64" s="178">
        <v>45.6</v>
      </c>
      <c r="AD64" s="177"/>
      <c r="AG64" s="178"/>
      <c r="AL64" s="177"/>
      <c r="AO64" s="178"/>
      <c r="AP64" s="177"/>
      <c r="AS64" s="178"/>
      <c r="AW64" s="178"/>
      <c r="BA64" s="179"/>
    </row>
    <row r="65" spans="1:53" s="28" customFormat="1" x14ac:dyDescent="0.15">
      <c r="A65" s="51">
        <v>1988</v>
      </c>
      <c r="B65" s="293">
        <v>32420</v>
      </c>
      <c r="C65" s="394" t="s">
        <v>598</v>
      </c>
      <c r="D65" s="394"/>
      <c r="E65" s="28">
        <f>366-E64</f>
        <v>89</v>
      </c>
      <c r="F65" s="28">
        <v>1</v>
      </c>
      <c r="G65" s="65"/>
      <c r="I65" s="28">
        <v>21</v>
      </c>
      <c r="J65" s="72">
        <v>21</v>
      </c>
      <c r="K65" s="46">
        <f t="shared" si="5"/>
        <v>0</v>
      </c>
      <c r="L65" s="46">
        <f t="shared" si="5"/>
        <v>0</v>
      </c>
      <c r="M65" s="46">
        <f t="shared" si="5"/>
        <v>100</v>
      </c>
      <c r="N65" s="46">
        <f t="shared" si="3"/>
        <v>100</v>
      </c>
      <c r="O65" s="45"/>
      <c r="P65" s="46"/>
      <c r="Q65" s="46">
        <v>44.7</v>
      </c>
      <c r="R65" s="47">
        <f t="shared" si="4"/>
        <v>44.7</v>
      </c>
      <c r="S65" s="28">
        <v>4</v>
      </c>
      <c r="T65" s="284">
        <v>32404</v>
      </c>
      <c r="U65" s="293">
        <v>32420</v>
      </c>
      <c r="V65" s="37" t="s">
        <v>469</v>
      </c>
      <c r="W65" s="28" t="s">
        <v>20</v>
      </c>
      <c r="X65" s="28" t="s">
        <v>12</v>
      </c>
      <c r="Y65" s="38">
        <v>44.7</v>
      </c>
      <c r="AD65" s="37"/>
      <c r="AG65" s="38"/>
      <c r="AL65" s="37"/>
      <c r="AO65" s="38"/>
      <c r="AP65" s="37"/>
      <c r="AS65" s="38"/>
      <c r="AW65" s="38"/>
      <c r="BA65" s="39"/>
    </row>
    <row r="66" spans="1:53" s="28" customFormat="1" x14ac:dyDescent="0.15">
      <c r="A66" s="51">
        <v>1989</v>
      </c>
      <c r="B66" s="293"/>
      <c r="C66" s="394" t="s">
        <v>598</v>
      </c>
      <c r="D66" s="394"/>
      <c r="E66" s="28">
        <v>0</v>
      </c>
      <c r="G66" s="65"/>
      <c r="I66" s="28">
        <v>21</v>
      </c>
      <c r="J66" s="72">
        <v>21</v>
      </c>
      <c r="K66" s="46">
        <f t="shared" si="5"/>
        <v>0</v>
      </c>
      <c r="L66" s="46">
        <f t="shared" si="5"/>
        <v>0</v>
      </c>
      <c r="M66" s="46">
        <f t="shared" si="5"/>
        <v>100</v>
      </c>
      <c r="N66" s="46">
        <f t="shared" si="3"/>
        <v>100</v>
      </c>
      <c r="O66" s="45"/>
      <c r="P66" s="46"/>
      <c r="Q66" s="46">
        <v>44.7</v>
      </c>
      <c r="R66" s="47">
        <f t="shared" si="4"/>
        <v>44.7</v>
      </c>
      <c r="S66" s="28">
        <v>4</v>
      </c>
      <c r="T66" s="284"/>
      <c r="U66" s="293"/>
      <c r="V66" s="37" t="s">
        <v>469</v>
      </c>
      <c r="W66" s="28" t="s">
        <v>20</v>
      </c>
      <c r="X66" s="28" t="s">
        <v>12</v>
      </c>
      <c r="Y66" s="38">
        <v>44.7</v>
      </c>
      <c r="AD66" s="37"/>
      <c r="AG66" s="38"/>
      <c r="AL66" s="37"/>
      <c r="AO66" s="38"/>
      <c r="AP66" s="37"/>
      <c r="AS66" s="38"/>
      <c r="AW66" s="38"/>
      <c r="BA66" s="39"/>
    </row>
    <row r="67" spans="1:53" s="28" customFormat="1" x14ac:dyDescent="0.15">
      <c r="A67" s="51">
        <v>1989</v>
      </c>
      <c r="B67" s="293"/>
      <c r="C67" s="394" t="s">
        <v>598</v>
      </c>
      <c r="D67" s="394"/>
      <c r="E67" s="28">
        <f>365-E66</f>
        <v>365</v>
      </c>
      <c r="G67" s="74"/>
      <c r="H67" s="73"/>
      <c r="I67" s="73">
        <v>21</v>
      </c>
      <c r="J67" s="72">
        <v>21</v>
      </c>
      <c r="K67" s="46">
        <f t="shared" si="5"/>
        <v>0</v>
      </c>
      <c r="L67" s="46">
        <f t="shared" si="5"/>
        <v>0</v>
      </c>
      <c r="M67" s="46">
        <f t="shared" si="5"/>
        <v>100</v>
      </c>
      <c r="N67" s="46">
        <f t="shared" si="3"/>
        <v>100</v>
      </c>
      <c r="O67" s="45"/>
      <c r="P67" s="46"/>
      <c r="Q67" s="46">
        <v>44.7</v>
      </c>
      <c r="R67" s="47">
        <f t="shared" si="4"/>
        <v>44.7</v>
      </c>
      <c r="S67" s="28">
        <v>4</v>
      </c>
      <c r="T67" s="284"/>
      <c r="U67" s="293"/>
      <c r="V67" s="37" t="s">
        <v>469</v>
      </c>
      <c r="W67" s="28" t="s">
        <v>20</v>
      </c>
      <c r="X67" s="28" t="s">
        <v>12</v>
      </c>
      <c r="Y67" s="38">
        <v>44.7</v>
      </c>
      <c r="AD67" s="37"/>
      <c r="AG67" s="38"/>
      <c r="AL67" s="37"/>
      <c r="AO67" s="38"/>
      <c r="AP67" s="37"/>
      <c r="AS67" s="38"/>
      <c r="AW67" s="38"/>
      <c r="BA67" s="39"/>
    </row>
    <row r="68" spans="1:53" s="84" customFormat="1" x14ac:dyDescent="0.15">
      <c r="A68" s="84">
        <v>1990</v>
      </c>
      <c r="B68" s="310"/>
      <c r="C68" s="427" t="s">
        <v>598</v>
      </c>
      <c r="D68" s="427"/>
      <c r="E68" s="84">
        <v>56</v>
      </c>
      <c r="G68" s="65"/>
      <c r="H68" s="28"/>
      <c r="I68" s="28">
        <v>21</v>
      </c>
      <c r="J68" s="95">
        <v>21</v>
      </c>
      <c r="K68" s="96">
        <v>0</v>
      </c>
      <c r="L68" s="96">
        <v>0</v>
      </c>
      <c r="M68" s="96">
        <v>100</v>
      </c>
      <c r="N68" s="122">
        <f t="shared" si="3"/>
        <v>100</v>
      </c>
      <c r="O68" s="98"/>
      <c r="P68" s="96"/>
      <c r="Q68" s="96">
        <v>44.7</v>
      </c>
      <c r="R68" s="99">
        <f t="shared" si="4"/>
        <v>44.7</v>
      </c>
      <c r="S68" s="84">
        <v>4</v>
      </c>
      <c r="T68" s="311"/>
      <c r="U68" s="310"/>
      <c r="V68" s="100" t="s">
        <v>469</v>
      </c>
      <c r="W68" s="84" t="s">
        <v>20</v>
      </c>
      <c r="X68" s="84" t="s">
        <v>12</v>
      </c>
      <c r="Y68" s="101">
        <v>44.7</v>
      </c>
      <c r="AD68" s="100"/>
      <c r="AG68" s="101"/>
      <c r="AL68" s="100"/>
      <c r="AO68" s="101"/>
      <c r="AP68" s="100"/>
      <c r="AS68" s="101"/>
      <c r="AW68" s="101"/>
      <c r="BA68" s="102"/>
    </row>
    <row r="69" spans="1:53" s="170" customFormat="1" x14ac:dyDescent="0.15">
      <c r="A69" s="170">
        <v>1990</v>
      </c>
      <c r="B69" s="281">
        <v>32930</v>
      </c>
      <c r="C69" s="395" t="s">
        <v>599</v>
      </c>
      <c r="D69" s="395"/>
      <c r="E69" s="170">
        <f>365-E68</f>
        <v>309</v>
      </c>
      <c r="F69" s="170">
        <v>5</v>
      </c>
      <c r="G69" s="232"/>
      <c r="I69" s="170">
        <v>22</v>
      </c>
      <c r="J69" s="240">
        <v>22</v>
      </c>
      <c r="K69" s="213">
        <f>G69/J69*100</f>
        <v>0</v>
      </c>
      <c r="L69" s="213">
        <f>H69/J69*100</f>
        <v>0</v>
      </c>
      <c r="M69" s="213">
        <f>I69/J69*100</f>
        <v>100</v>
      </c>
      <c r="N69" s="213">
        <f t="shared" si="3"/>
        <v>100</v>
      </c>
      <c r="O69" s="212"/>
      <c r="P69" s="213"/>
      <c r="Q69" s="213">
        <v>44.7</v>
      </c>
      <c r="R69" s="214">
        <f t="shared" si="4"/>
        <v>44.7</v>
      </c>
      <c r="S69" s="170">
        <v>4</v>
      </c>
      <c r="T69" s="283"/>
      <c r="U69" s="281">
        <v>32930</v>
      </c>
      <c r="V69" s="177" t="s">
        <v>469</v>
      </c>
      <c r="W69" s="170" t="s">
        <v>20</v>
      </c>
      <c r="X69" s="170" t="s">
        <v>12</v>
      </c>
      <c r="Y69" s="178">
        <v>44.7</v>
      </c>
      <c r="AD69" s="177"/>
      <c r="AG69" s="178"/>
      <c r="AL69" s="177"/>
      <c r="AO69" s="178"/>
      <c r="AP69" s="177"/>
      <c r="AS69" s="178"/>
      <c r="AW69" s="178"/>
      <c r="BA69" s="179"/>
    </row>
    <row r="70" spans="1:53" s="170" customFormat="1" x14ac:dyDescent="0.15">
      <c r="A70" s="170">
        <v>1991</v>
      </c>
      <c r="B70" s="281"/>
      <c r="C70" s="395" t="s">
        <v>599</v>
      </c>
      <c r="D70" s="395"/>
      <c r="E70" s="170">
        <v>275</v>
      </c>
      <c r="G70" s="232"/>
      <c r="I70" s="170">
        <v>22</v>
      </c>
      <c r="J70" s="240">
        <v>22</v>
      </c>
      <c r="K70" s="213">
        <f>G70/J70*100</f>
        <v>0</v>
      </c>
      <c r="L70" s="213">
        <f>H70/J70*100</f>
        <v>0</v>
      </c>
      <c r="M70" s="213">
        <f>I70/J70*100</f>
        <v>100</v>
      </c>
      <c r="N70" s="213">
        <f t="shared" si="3"/>
        <v>100</v>
      </c>
      <c r="O70" s="212"/>
      <c r="P70" s="213"/>
      <c r="Q70" s="213">
        <v>44.7</v>
      </c>
      <c r="R70" s="214">
        <f t="shared" si="4"/>
        <v>44.7</v>
      </c>
      <c r="S70" s="170">
        <v>4</v>
      </c>
      <c r="T70" s="283"/>
      <c r="U70" s="281"/>
      <c r="V70" s="177" t="s">
        <v>469</v>
      </c>
      <c r="W70" s="170" t="s">
        <v>20</v>
      </c>
      <c r="X70" s="170" t="s">
        <v>12</v>
      </c>
      <c r="Y70" s="178">
        <v>44.7</v>
      </c>
      <c r="AD70" s="177"/>
      <c r="AG70" s="178"/>
      <c r="AL70" s="177"/>
      <c r="AO70" s="178"/>
      <c r="AP70" s="177"/>
      <c r="AS70" s="178"/>
      <c r="AW70" s="178"/>
      <c r="BA70" s="179"/>
    </row>
    <row r="71" spans="1:53" s="28" customFormat="1" x14ac:dyDescent="0.15">
      <c r="A71" s="28">
        <v>1991</v>
      </c>
      <c r="B71" s="293">
        <v>33514</v>
      </c>
      <c r="C71" s="394" t="s">
        <v>600</v>
      </c>
      <c r="D71" s="394"/>
      <c r="E71" s="28">
        <f>365-E70</f>
        <v>90</v>
      </c>
      <c r="F71" s="28">
        <v>1</v>
      </c>
      <c r="G71" s="65">
        <v>13</v>
      </c>
      <c r="H71" s="28">
        <v>7</v>
      </c>
      <c r="J71" s="72">
        <v>21</v>
      </c>
      <c r="K71" s="46">
        <f>G71/J71*100</f>
        <v>61.904761904761905</v>
      </c>
      <c r="L71" s="46">
        <f>H71/J71*100</f>
        <v>33.333333333333329</v>
      </c>
      <c r="M71" s="46">
        <f>I71/J71*100</f>
        <v>0</v>
      </c>
      <c r="N71" s="46">
        <f t="shared" si="3"/>
        <v>95.238095238095241</v>
      </c>
      <c r="O71" s="45">
        <v>32.4</v>
      </c>
      <c r="P71" s="46">
        <v>16.3</v>
      </c>
      <c r="Q71" s="46"/>
      <c r="R71" s="47">
        <f t="shared" si="4"/>
        <v>48.7</v>
      </c>
      <c r="S71" s="28">
        <v>5</v>
      </c>
      <c r="T71" s="284">
        <v>33496</v>
      </c>
      <c r="U71" s="293">
        <v>33514</v>
      </c>
      <c r="V71" s="37" t="s">
        <v>472</v>
      </c>
      <c r="W71" s="28" t="s">
        <v>74</v>
      </c>
      <c r="X71" s="28" t="s">
        <v>11</v>
      </c>
      <c r="Y71" s="38">
        <v>22.9</v>
      </c>
      <c r="Z71" s="28" t="s">
        <v>471</v>
      </c>
      <c r="AA71" s="28" t="s">
        <v>22</v>
      </c>
      <c r="AB71" s="28" t="s">
        <v>11</v>
      </c>
      <c r="AC71" s="28">
        <v>9.5</v>
      </c>
      <c r="AD71" s="37" t="s">
        <v>470</v>
      </c>
      <c r="AE71" s="28" t="s">
        <v>869</v>
      </c>
      <c r="AF71" s="28" t="s">
        <v>18</v>
      </c>
      <c r="AG71" s="38">
        <v>8.9</v>
      </c>
      <c r="AH71" s="37" t="s">
        <v>473</v>
      </c>
      <c r="AI71" s="28" t="s">
        <v>17</v>
      </c>
      <c r="AJ71" s="28" t="s">
        <v>18</v>
      </c>
      <c r="AK71" s="28">
        <v>7.4</v>
      </c>
      <c r="AL71" s="37"/>
      <c r="AO71" s="38"/>
      <c r="AP71" s="37"/>
      <c r="AS71" s="38"/>
      <c r="AW71" s="38"/>
      <c r="BA71" s="39"/>
    </row>
    <row r="72" spans="1:53" s="28" customFormat="1" x14ac:dyDescent="0.15">
      <c r="A72" s="28">
        <v>1992</v>
      </c>
      <c r="B72" s="293"/>
      <c r="C72" s="394" t="s">
        <v>600</v>
      </c>
      <c r="D72" s="394"/>
      <c r="E72" s="28">
        <v>0</v>
      </c>
      <c r="G72" s="65">
        <v>13</v>
      </c>
      <c r="H72" s="28">
        <v>6</v>
      </c>
      <c r="J72" s="72">
        <v>20</v>
      </c>
      <c r="K72" s="46">
        <f>G72/J72*100</f>
        <v>65</v>
      </c>
      <c r="L72" s="46">
        <f>H72/J72*100</f>
        <v>30</v>
      </c>
      <c r="M72" s="46">
        <f>I72/J72*100</f>
        <v>0</v>
      </c>
      <c r="N72" s="46">
        <f t="shared" si="3"/>
        <v>95</v>
      </c>
      <c r="O72" s="45">
        <v>32.4</v>
      </c>
      <c r="P72" s="46">
        <v>16.3</v>
      </c>
      <c r="Q72" s="46"/>
      <c r="R72" s="47">
        <f t="shared" si="4"/>
        <v>48.7</v>
      </c>
      <c r="S72" s="28">
        <v>5</v>
      </c>
      <c r="T72" s="284"/>
      <c r="U72" s="293"/>
      <c r="V72" s="37" t="s">
        <v>472</v>
      </c>
      <c r="W72" s="28" t="s">
        <v>74</v>
      </c>
      <c r="X72" s="28" t="s">
        <v>11</v>
      </c>
      <c r="Y72" s="38">
        <v>22.9</v>
      </c>
      <c r="Z72" s="28" t="s">
        <v>471</v>
      </c>
      <c r="AA72" s="28" t="s">
        <v>22</v>
      </c>
      <c r="AB72" s="28" t="s">
        <v>11</v>
      </c>
      <c r="AC72" s="28">
        <v>9.5</v>
      </c>
      <c r="AD72" s="37" t="s">
        <v>470</v>
      </c>
      <c r="AE72" s="28" t="s">
        <v>869</v>
      </c>
      <c r="AF72" s="28" t="s">
        <v>18</v>
      </c>
      <c r="AG72" s="38">
        <v>8.9</v>
      </c>
      <c r="AH72" s="37" t="s">
        <v>473</v>
      </c>
      <c r="AI72" s="28" t="s">
        <v>17</v>
      </c>
      <c r="AJ72" s="28" t="s">
        <v>18</v>
      </c>
      <c r="AK72" s="28">
        <v>7.4</v>
      </c>
      <c r="AL72" s="37"/>
      <c r="AO72" s="38"/>
      <c r="AP72" s="37"/>
      <c r="AS72" s="38"/>
      <c r="AW72" s="38"/>
      <c r="BA72" s="39"/>
    </row>
    <row r="73" spans="1:53" s="28" customFormat="1" x14ac:dyDescent="0.15">
      <c r="A73" s="28">
        <v>1992</v>
      </c>
      <c r="B73" s="293"/>
      <c r="C73" s="394" t="s">
        <v>600</v>
      </c>
      <c r="D73" s="394"/>
      <c r="E73" s="28">
        <v>366</v>
      </c>
      <c r="G73" s="65">
        <v>13</v>
      </c>
      <c r="H73" s="28">
        <v>6</v>
      </c>
      <c r="J73" s="72">
        <v>20</v>
      </c>
      <c r="K73" s="46">
        <f>G73/J73*100</f>
        <v>65</v>
      </c>
      <c r="L73" s="46">
        <f>H73/J73*100</f>
        <v>30</v>
      </c>
      <c r="M73" s="46">
        <f>I73/J73*100</f>
        <v>0</v>
      </c>
      <c r="N73" s="46">
        <f t="shared" ref="N73:N115" si="6">K73+L73+M73</f>
        <v>95</v>
      </c>
      <c r="O73" s="45">
        <v>32.4</v>
      </c>
      <c r="P73" s="46">
        <v>16.3</v>
      </c>
      <c r="Q73" s="46"/>
      <c r="R73" s="47">
        <f t="shared" si="4"/>
        <v>48.7</v>
      </c>
      <c r="S73" s="28">
        <v>5</v>
      </c>
      <c r="T73" s="284"/>
      <c r="U73" s="293"/>
      <c r="V73" s="37" t="s">
        <v>472</v>
      </c>
      <c r="W73" s="28" t="s">
        <v>74</v>
      </c>
      <c r="X73" s="28" t="s">
        <v>11</v>
      </c>
      <c r="Y73" s="38">
        <v>22.9</v>
      </c>
      <c r="Z73" s="28" t="s">
        <v>471</v>
      </c>
      <c r="AA73" s="28" t="s">
        <v>22</v>
      </c>
      <c r="AB73" s="28" t="s">
        <v>11</v>
      </c>
      <c r="AC73" s="28">
        <v>9.5</v>
      </c>
      <c r="AD73" s="37" t="s">
        <v>470</v>
      </c>
      <c r="AE73" s="28" t="s">
        <v>869</v>
      </c>
      <c r="AF73" s="28" t="s">
        <v>18</v>
      </c>
      <c r="AG73" s="38">
        <v>8.9</v>
      </c>
      <c r="AH73" s="37" t="s">
        <v>473</v>
      </c>
      <c r="AI73" s="28" t="s">
        <v>17</v>
      </c>
      <c r="AJ73" s="28" t="s">
        <v>18</v>
      </c>
      <c r="AK73" s="28">
        <v>7.4</v>
      </c>
      <c r="AL73" s="37"/>
      <c r="AO73" s="38"/>
      <c r="AP73" s="37"/>
      <c r="AS73" s="38"/>
      <c r="AW73" s="38"/>
      <c r="BA73" s="39"/>
    </row>
    <row r="74" spans="1:53" s="28" customFormat="1" x14ac:dyDescent="0.15">
      <c r="A74" s="28">
        <v>1993</v>
      </c>
      <c r="B74" s="293"/>
      <c r="C74" s="394" t="s">
        <v>600</v>
      </c>
      <c r="D74" s="394"/>
      <c r="E74" s="28">
        <v>0</v>
      </c>
      <c r="G74" s="65">
        <v>13</v>
      </c>
      <c r="H74" s="28">
        <v>7</v>
      </c>
      <c r="J74" s="72">
        <v>21</v>
      </c>
      <c r="K74" s="46">
        <f t="shared" ref="K74:K109" si="7">G74/J74*100</f>
        <v>61.904761904761905</v>
      </c>
      <c r="L74" s="46">
        <f t="shared" ref="L74:L109" si="8">H74/J74*100</f>
        <v>33.333333333333329</v>
      </c>
      <c r="M74" s="46">
        <f t="shared" ref="M74:M109" si="9">I74/J74*100</f>
        <v>0</v>
      </c>
      <c r="N74" s="46">
        <f t="shared" si="6"/>
        <v>95.238095238095241</v>
      </c>
      <c r="O74" s="45">
        <v>32.4</v>
      </c>
      <c r="P74" s="46">
        <v>16.3</v>
      </c>
      <c r="Q74" s="46"/>
      <c r="R74" s="47">
        <f t="shared" ref="R74:R115" si="10">O74+P74+Q74</f>
        <v>48.7</v>
      </c>
      <c r="S74" s="28">
        <v>5</v>
      </c>
      <c r="T74" s="284"/>
      <c r="U74" s="293"/>
      <c r="V74" s="37" t="s">
        <v>472</v>
      </c>
      <c r="W74" s="28" t="s">
        <v>74</v>
      </c>
      <c r="X74" s="28" t="s">
        <v>11</v>
      </c>
      <c r="Y74" s="38">
        <v>22.9</v>
      </c>
      <c r="Z74" s="28" t="s">
        <v>471</v>
      </c>
      <c r="AA74" s="28" t="s">
        <v>22</v>
      </c>
      <c r="AB74" s="28" t="s">
        <v>11</v>
      </c>
      <c r="AC74" s="28">
        <v>9.5</v>
      </c>
      <c r="AD74" s="37" t="s">
        <v>470</v>
      </c>
      <c r="AE74" s="28" t="s">
        <v>869</v>
      </c>
      <c r="AF74" s="28" t="s">
        <v>18</v>
      </c>
      <c r="AG74" s="38">
        <v>8.9</v>
      </c>
      <c r="AH74" s="37" t="s">
        <v>473</v>
      </c>
      <c r="AI74" s="28" t="s">
        <v>17</v>
      </c>
      <c r="AJ74" s="28" t="s">
        <v>18</v>
      </c>
      <c r="AK74" s="28">
        <v>7.4</v>
      </c>
      <c r="AL74" s="37"/>
      <c r="AO74" s="38"/>
      <c r="AP74" s="37"/>
      <c r="AS74" s="38"/>
      <c r="AW74" s="38"/>
      <c r="BA74" s="39"/>
    </row>
    <row r="75" spans="1:53" s="28" customFormat="1" x14ac:dyDescent="0.15">
      <c r="A75" s="28">
        <v>1993</v>
      </c>
      <c r="B75" s="293"/>
      <c r="C75" s="394" t="s">
        <v>600</v>
      </c>
      <c r="D75" s="394"/>
      <c r="E75" s="28">
        <f>365-E74</f>
        <v>365</v>
      </c>
      <c r="G75" s="65">
        <v>13</v>
      </c>
      <c r="H75" s="28">
        <v>7</v>
      </c>
      <c r="J75" s="72">
        <v>21</v>
      </c>
      <c r="K75" s="46">
        <f t="shared" si="7"/>
        <v>61.904761904761905</v>
      </c>
      <c r="L75" s="46">
        <f t="shared" si="8"/>
        <v>33.333333333333329</v>
      </c>
      <c r="M75" s="46">
        <f t="shared" si="9"/>
        <v>0</v>
      </c>
      <c r="N75" s="46">
        <f t="shared" si="6"/>
        <v>95.238095238095241</v>
      </c>
      <c r="O75" s="45">
        <v>32.4</v>
      </c>
      <c r="P75" s="46">
        <v>16.3</v>
      </c>
      <c r="Q75" s="46"/>
      <c r="R75" s="47">
        <f t="shared" si="10"/>
        <v>48.7</v>
      </c>
      <c r="S75" s="28">
        <v>5</v>
      </c>
      <c r="T75" s="284"/>
      <c r="U75" s="293"/>
      <c r="V75" s="37" t="s">
        <v>472</v>
      </c>
      <c r="W75" s="28" t="s">
        <v>74</v>
      </c>
      <c r="X75" s="28" t="s">
        <v>11</v>
      </c>
      <c r="Y75" s="38">
        <v>22.9</v>
      </c>
      <c r="Z75" s="28" t="s">
        <v>471</v>
      </c>
      <c r="AA75" s="28" t="s">
        <v>22</v>
      </c>
      <c r="AB75" s="28" t="s">
        <v>11</v>
      </c>
      <c r="AC75" s="28">
        <v>9.5</v>
      </c>
      <c r="AD75" s="37" t="s">
        <v>470</v>
      </c>
      <c r="AE75" s="28" t="s">
        <v>869</v>
      </c>
      <c r="AF75" s="28" t="s">
        <v>18</v>
      </c>
      <c r="AG75" s="38">
        <v>8.9</v>
      </c>
      <c r="AH75" s="37" t="s">
        <v>473</v>
      </c>
      <c r="AI75" s="28" t="s">
        <v>17</v>
      </c>
      <c r="AJ75" s="28" t="s">
        <v>18</v>
      </c>
      <c r="AK75" s="28">
        <v>7.4</v>
      </c>
      <c r="AL75" s="37"/>
      <c r="AO75" s="38"/>
      <c r="AP75" s="37"/>
      <c r="AS75" s="38"/>
      <c r="AW75" s="38"/>
      <c r="BA75" s="39"/>
    </row>
    <row r="76" spans="1:53" s="28" customFormat="1" x14ac:dyDescent="0.15">
      <c r="A76" s="28">
        <v>1994</v>
      </c>
      <c r="B76" s="293"/>
      <c r="C76" s="394" t="s">
        <v>600</v>
      </c>
      <c r="D76" s="394"/>
      <c r="E76" s="28">
        <v>278</v>
      </c>
      <c r="G76" s="65">
        <v>13</v>
      </c>
      <c r="H76" s="28">
        <v>7</v>
      </c>
      <c r="J76" s="72">
        <v>21</v>
      </c>
      <c r="K76" s="46">
        <f t="shared" si="7"/>
        <v>61.904761904761905</v>
      </c>
      <c r="L76" s="46">
        <f t="shared" si="8"/>
        <v>33.333333333333329</v>
      </c>
      <c r="M76" s="46">
        <f t="shared" si="9"/>
        <v>0</v>
      </c>
      <c r="N76" s="46">
        <f t="shared" si="6"/>
        <v>95.238095238095241</v>
      </c>
      <c r="O76" s="45">
        <v>32.4</v>
      </c>
      <c r="P76" s="46">
        <v>16.3</v>
      </c>
      <c r="Q76" s="46"/>
      <c r="R76" s="47">
        <f t="shared" si="10"/>
        <v>48.7</v>
      </c>
      <c r="S76" s="28">
        <v>5</v>
      </c>
      <c r="T76" s="284"/>
      <c r="U76" s="293"/>
      <c r="V76" s="37" t="s">
        <v>472</v>
      </c>
      <c r="W76" s="28" t="s">
        <v>74</v>
      </c>
      <c r="X76" s="28" t="s">
        <v>11</v>
      </c>
      <c r="Y76" s="38">
        <v>22.9</v>
      </c>
      <c r="Z76" s="28" t="s">
        <v>471</v>
      </c>
      <c r="AA76" s="28" t="s">
        <v>22</v>
      </c>
      <c r="AB76" s="28" t="s">
        <v>11</v>
      </c>
      <c r="AC76" s="28">
        <v>9.5</v>
      </c>
      <c r="AD76" s="37" t="s">
        <v>470</v>
      </c>
      <c r="AE76" s="28" t="s">
        <v>869</v>
      </c>
      <c r="AF76" s="28" t="s">
        <v>18</v>
      </c>
      <c r="AG76" s="38">
        <v>8.9</v>
      </c>
      <c r="AH76" s="37" t="s">
        <v>473</v>
      </c>
      <c r="AI76" s="28" t="s">
        <v>17</v>
      </c>
      <c r="AJ76" s="28" t="s">
        <v>18</v>
      </c>
      <c r="AK76" s="28">
        <v>7.4</v>
      </c>
      <c r="AL76" s="37"/>
      <c r="AO76" s="38"/>
      <c r="AP76" s="37"/>
      <c r="AS76" s="38"/>
      <c r="AW76" s="38"/>
      <c r="BA76" s="39"/>
    </row>
    <row r="77" spans="1:53" s="170" customFormat="1" x14ac:dyDescent="0.15">
      <c r="A77" s="170">
        <v>1994</v>
      </c>
      <c r="B77" s="281">
        <v>34613</v>
      </c>
      <c r="C77" s="395" t="s">
        <v>601</v>
      </c>
      <c r="D77" s="395"/>
      <c r="E77" s="170">
        <f>365-E76</f>
        <v>87</v>
      </c>
      <c r="F77" s="170">
        <v>1</v>
      </c>
      <c r="G77" s="232"/>
      <c r="I77" s="170">
        <v>22</v>
      </c>
      <c r="J77" s="240">
        <v>22</v>
      </c>
      <c r="K77" s="213">
        <f t="shared" si="7"/>
        <v>0</v>
      </c>
      <c r="L77" s="213">
        <f t="shared" si="8"/>
        <v>0</v>
      </c>
      <c r="M77" s="213">
        <f t="shared" si="9"/>
        <v>100</v>
      </c>
      <c r="N77" s="213">
        <f t="shared" si="6"/>
        <v>100</v>
      </c>
      <c r="O77" s="212"/>
      <c r="P77" s="213"/>
      <c r="Q77" s="213">
        <v>46.1</v>
      </c>
      <c r="R77" s="214">
        <f t="shared" si="10"/>
        <v>46.1</v>
      </c>
      <c r="S77" s="170">
        <v>4</v>
      </c>
      <c r="T77" s="283">
        <v>34595</v>
      </c>
      <c r="U77" s="281">
        <v>34613</v>
      </c>
      <c r="V77" s="177" t="s">
        <v>469</v>
      </c>
      <c r="W77" s="170" t="s">
        <v>20</v>
      </c>
      <c r="X77" s="170" t="s">
        <v>12</v>
      </c>
      <c r="Y77" s="178">
        <v>46.1</v>
      </c>
      <c r="AD77" s="177"/>
      <c r="AG77" s="178"/>
      <c r="AL77" s="177"/>
      <c r="AO77" s="178"/>
      <c r="AP77" s="177"/>
      <c r="AS77" s="178"/>
      <c r="AW77" s="178"/>
      <c r="BA77" s="179"/>
    </row>
    <row r="78" spans="1:53" s="170" customFormat="1" x14ac:dyDescent="0.15">
      <c r="A78" s="170">
        <v>1995</v>
      </c>
      <c r="B78" s="281"/>
      <c r="C78" s="395" t="s">
        <v>601</v>
      </c>
      <c r="D78" s="395"/>
      <c r="E78" s="170">
        <v>0</v>
      </c>
      <c r="G78" s="232"/>
      <c r="I78" s="170">
        <v>22</v>
      </c>
      <c r="J78" s="240">
        <v>22</v>
      </c>
      <c r="K78" s="213">
        <f t="shared" si="7"/>
        <v>0</v>
      </c>
      <c r="L78" s="213">
        <f t="shared" si="8"/>
        <v>0</v>
      </c>
      <c r="M78" s="213">
        <f t="shared" si="9"/>
        <v>100</v>
      </c>
      <c r="N78" s="213">
        <f t="shared" si="6"/>
        <v>100</v>
      </c>
      <c r="O78" s="212"/>
      <c r="P78" s="213"/>
      <c r="Q78" s="213">
        <v>46.1</v>
      </c>
      <c r="R78" s="214">
        <f t="shared" si="10"/>
        <v>46.1</v>
      </c>
      <c r="S78" s="170">
        <v>4</v>
      </c>
      <c r="T78" s="283"/>
      <c r="U78" s="281"/>
      <c r="V78" s="177" t="s">
        <v>469</v>
      </c>
      <c r="W78" s="170" t="s">
        <v>20</v>
      </c>
      <c r="X78" s="170" t="s">
        <v>12</v>
      </c>
      <c r="Y78" s="178">
        <v>46.1</v>
      </c>
      <c r="AD78" s="177"/>
      <c r="AG78" s="178"/>
      <c r="AL78" s="177"/>
      <c r="AO78" s="178"/>
      <c r="AP78" s="177"/>
      <c r="AS78" s="178"/>
      <c r="AW78" s="178"/>
      <c r="BA78" s="179"/>
    </row>
    <row r="79" spans="1:53" s="170" customFormat="1" x14ac:dyDescent="0.15">
      <c r="A79" s="170">
        <v>1995</v>
      </c>
      <c r="B79" s="281"/>
      <c r="C79" s="395" t="s">
        <v>601</v>
      </c>
      <c r="D79" s="395"/>
      <c r="E79" s="170">
        <f>365-E78</f>
        <v>365</v>
      </c>
      <c r="G79" s="232"/>
      <c r="I79" s="170">
        <v>22</v>
      </c>
      <c r="J79" s="240">
        <v>22</v>
      </c>
      <c r="K79" s="213">
        <f t="shared" si="7"/>
        <v>0</v>
      </c>
      <c r="L79" s="213">
        <f t="shared" si="8"/>
        <v>0</v>
      </c>
      <c r="M79" s="213">
        <f t="shared" si="9"/>
        <v>100</v>
      </c>
      <c r="N79" s="213">
        <f t="shared" si="6"/>
        <v>100</v>
      </c>
      <c r="O79" s="212"/>
      <c r="P79" s="213"/>
      <c r="Q79" s="213">
        <v>46.1</v>
      </c>
      <c r="R79" s="214">
        <f t="shared" si="10"/>
        <v>46.1</v>
      </c>
      <c r="S79" s="170">
        <v>4</v>
      </c>
      <c r="T79" s="283"/>
      <c r="U79" s="281"/>
      <c r="V79" s="177" t="s">
        <v>469</v>
      </c>
      <c r="W79" s="170" t="s">
        <v>20</v>
      </c>
      <c r="X79" s="170" t="s">
        <v>12</v>
      </c>
      <c r="Y79" s="178">
        <v>46.1</v>
      </c>
      <c r="AD79" s="177"/>
      <c r="AG79" s="178"/>
      <c r="AL79" s="177"/>
      <c r="AO79" s="178"/>
      <c r="AP79" s="177"/>
      <c r="AS79" s="178"/>
      <c r="AW79" s="178"/>
      <c r="BA79" s="179"/>
    </row>
    <row r="80" spans="1:53" s="170" customFormat="1" x14ac:dyDescent="0.15">
      <c r="A80" s="170">
        <v>1996</v>
      </c>
      <c r="B80" s="281"/>
      <c r="C80" s="395" t="s">
        <v>601</v>
      </c>
      <c r="D80" s="395"/>
      <c r="E80" s="170">
        <v>81</v>
      </c>
      <c r="G80" s="232"/>
      <c r="I80" s="170">
        <v>21</v>
      </c>
      <c r="J80" s="240">
        <v>21</v>
      </c>
      <c r="K80" s="213">
        <f t="shared" si="7"/>
        <v>0</v>
      </c>
      <c r="L80" s="213">
        <f t="shared" si="8"/>
        <v>0</v>
      </c>
      <c r="M80" s="213">
        <f t="shared" si="9"/>
        <v>100</v>
      </c>
      <c r="N80" s="213">
        <f t="shared" si="6"/>
        <v>100</v>
      </c>
      <c r="O80" s="212"/>
      <c r="P80" s="213"/>
      <c r="Q80" s="213">
        <v>46.1</v>
      </c>
      <c r="R80" s="214">
        <f t="shared" si="10"/>
        <v>46.1</v>
      </c>
      <c r="S80" s="170">
        <v>4</v>
      </c>
      <c r="T80" s="283"/>
      <c r="U80" s="281"/>
      <c r="V80" s="177" t="s">
        <v>469</v>
      </c>
      <c r="W80" s="170" t="s">
        <v>20</v>
      </c>
      <c r="X80" s="170" t="s">
        <v>12</v>
      </c>
      <c r="Y80" s="178">
        <v>46.1</v>
      </c>
      <c r="AD80" s="177"/>
      <c r="AG80" s="178"/>
      <c r="AL80" s="177"/>
      <c r="AO80" s="178"/>
      <c r="AP80" s="177"/>
      <c r="AS80" s="178"/>
      <c r="AW80" s="178"/>
      <c r="BA80" s="179"/>
    </row>
    <row r="81" spans="1:53" s="28" customFormat="1" x14ac:dyDescent="0.15">
      <c r="A81" s="28">
        <v>1996</v>
      </c>
      <c r="B81" s="293">
        <v>35146</v>
      </c>
      <c r="C81" s="394" t="s">
        <v>602</v>
      </c>
      <c r="D81" s="394"/>
      <c r="E81" s="28">
        <f>366-E80</f>
        <v>285</v>
      </c>
      <c r="F81" s="28">
        <v>2</v>
      </c>
      <c r="G81" s="65"/>
      <c r="I81" s="28">
        <v>22</v>
      </c>
      <c r="J81" s="72">
        <v>22</v>
      </c>
      <c r="K81" s="46">
        <f t="shared" si="7"/>
        <v>0</v>
      </c>
      <c r="L81" s="46">
        <f t="shared" si="8"/>
        <v>0</v>
      </c>
      <c r="M81" s="46">
        <f t="shared" si="9"/>
        <v>100</v>
      </c>
      <c r="N81" s="46">
        <f t="shared" si="6"/>
        <v>100</v>
      </c>
      <c r="O81" s="45"/>
      <c r="P81" s="46"/>
      <c r="Q81" s="46">
        <v>46.1</v>
      </c>
      <c r="R81" s="47">
        <f t="shared" si="10"/>
        <v>46.1</v>
      </c>
      <c r="S81" s="28">
        <v>4</v>
      </c>
      <c r="T81" s="284"/>
      <c r="U81" s="293">
        <v>35146</v>
      </c>
      <c r="V81" s="37" t="s">
        <v>469</v>
      </c>
      <c r="W81" s="28" t="s">
        <v>20</v>
      </c>
      <c r="X81" s="28" t="s">
        <v>12</v>
      </c>
      <c r="Y81" s="38">
        <v>46.1</v>
      </c>
      <c r="AD81" s="37"/>
      <c r="AG81" s="38"/>
      <c r="AL81" s="37"/>
      <c r="AO81" s="38"/>
      <c r="AP81" s="37"/>
      <c r="AS81" s="38"/>
      <c r="AW81" s="38"/>
      <c r="BA81" s="39"/>
    </row>
    <row r="82" spans="1:53" s="28" customFormat="1" x14ac:dyDescent="0.15">
      <c r="A82" s="28">
        <v>1997</v>
      </c>
      <c r="B82" s="293"/>
      <c r="C82" s="394" t="s">
        <v>602</v>
      </c>
      <c r="D82" s="394"/>
      <c r="E82" s="28">
        <v>0</v>
      </c>
      <c r="G82" s="65"/>
      <c r="I82" s="28">
        <v>22</v>
      </c>
      <c r="J82" s="72">
        <v>22</v>
      </c>
      <c r="K82" s="46">
        <f t="shared" si="7"/>
        <v>0</v>
      </c>
      <c r="L82" s="46">
        <f t="shared" si="8"/>
        <v>0</v>
      </c>
      <c r="M82" s="46">
        <f t="shared" si="9"/>
        <v>100</v>
      </c>
      <c r="N82" s="46">
        <f t="shared" si="6"/>
        <v>100</v>
      </c>
      <c r="O82" s="45"/>
      <c r="P82" s="46"/>
      <c r="Q82" s="46">
        <v>46.1</v>
      </c>
      <c r="R82" s="47">
        <f t="shared" si="10"/>
        <v>46.1</v>
      </c>
      <c r="S82" s="28">
        <v>4</v>
      </c>
      <c r="T82" s="284"/>
      <c r="U82" s="293"/>
      <c r="V82" s="37" t="s">
        <v>469</v>
      </c>
      <c r="W82" s="28" t="s">
        <v>20</v>
      </c>
      <c r="X82" s="28" t="s">
        <v>12</v>
      </c>
      <c r="Y82" s="38">
        <v>46.1</v>
      </c>
      <c r="AD82" s="37"/>
      <c r="AG82" s="38"/>
      <c r="AL82" s="37"/>
      <c r="AO82" s="38"/>
      <c r="AP82" s="37"/>
      <c r="AS82" s="38"/>
      <c r="AW82" s="38"/>
      <c r="BA82" s="39"/>
    </row>
    <row r="83" spans="1:53" s="28" customFormat="1" x14ac:dyDescent="0.15">
      <c r="A83" s="28">
        <v>1997</v>
      </c>
      <c r="B83" s="293"/>
      <c r="C83" s="394" t="s">
        <v>602</v>
      </c>
      <c r="D83" s="394"/>
      <c r="E83" s="28">
        <f>365-E82</f>
        <v>365</v>
      </c>
      <c r="G83" s="65"/>
      <c r="I83" s="28">
        <v>22</v>
      </c>
      <c r="J83" s="72">
        <v>22</v>
      </c>
      <c r="K83" s="46">
        <f t="shared" si="7"/>
        <v>0</v>
      </c>
      <c r="L83" s="46">
        <f t="shared" si="8"/>
        <v>0</v>
      </c>
      <c r="M83" s="46">
        <f t="shared" si="9"/>
        <v>100</v>
      </c>
      <c r="N83" s="46">
        <f t="shared" si="6"/>
        <v>100</v>
      </c>
      <c r="O83" s="45"/>
      <c r="P83" s="46"/>
      <c r="Q83" s="46">
        <v>46.1</v>
      </c>
      <c r="R83" s="47">
        <f t="shared" si="10"/>
        <v>46.1</v>
      </c>
      <c r="S83" s="28">
        <v>4</v>
      </c>
      <c r="T83" s="284"/>
      <c r="U83" s="293"/>
      <c r="V83" s="37" t="s">
        <v>469</v>
      </c>
      <c r="W83" s="28" t="s">
        <v>20</v>
      </c>
      <c r="X83" s="28" t="s">
        <v>12</v>
      </c>
      <c r="Y83" s="38">
        <v>46.1</v>
      </c>
      <c r="AD83" s="37"/>
      <c r="AG83" s="38"/>
      <c r="AL83" s="37"/>
      <c r="AO83" s="38"/>
      <c r="AP83" s="37"/>
      <c r="AS83" s="38"/>
      <c r="AW83" s="38"/>
      <c r="BA83" s="39"/>
    </row>
    <row r="84" spans="1:53" s="28" customFormat="1" x14ac:dyDescent="0.15">
      <c r="A84" s="28">
        <v>1998</v>
      </c>
      <c r="B84" s="293"/>
      <c r="C84" s="394" t="s">
        <v>602</v>
      </c>
      <c r="D84" s="394"/>
      <c r="E84" s="28">
        <v>278</v>
      </c>
      <c r="G84" s="65"/>
      <c r="I84" s="28">
        <v>22</v>
      </c>
      <c r="J84" s="72">
        <v>22</v>
      </c>
      <c r="K84" s="46">
        <f t="shared" si="7"/>
        <v>0</v>
      </c>
      <c r="L84" s="46">
        <f t="shared" si="8"/>
        <v>0</v>
      </c>
      <c r="M84" s="46">
        <f t="shared" si="9"/>
        <v>100</v>
      </c>
      <c r="N84" s="46">
        <f t="shared" si="6"/>
        <v>100</v>
      </c>
      <c r="O84" s="45"/>
      <c r="P84" s="46"/>
      <c r="Q84" s="46">
        <v>46.1</v>
      </c>
      <c r="R84" s="47">
        <f t="shared" si="10"/>
        <v>46.1</v>
      </c>
      <c r="S84" s="28">
        <v>4</v>
      </c>
      <c r="T84" s="284"/>
      <c r="U84" s="293"/>
      <c r="V84" s="37" t="s">
        <v>469</v>
      </c>
      <c r="W84" s="28" t="s">
        <v>20</v>
      </c>
      <c r="X84" s="28" t="s">
        <v>12</v>
      </c>
      <c r="Y84" s="38">
        <v>46.1</v>
      </c>
      <c r="AD84" s="37"/>
      <c r="AG84" s="38"/>
      <c r="AL84" s="37"/>
      <c r="AO84" s="38"/>
      <c r="AP84" s="37"/>
      <c r="AS84" s="38"/>
      <c r="AW84" s="38"/>
      <c r="BA84" s="39"/>
    </row>
    <row r="85" spans="1:53" s="170" customFormat="1" x14ac:dyDescent="0.15">
      <c r="A85" s="170">
        <v>1998</v>
      </c>
      <c r="B85" s="281">
        <v>36074</v>
      </c>
      <c r="C85" s="395" t="s">
        <v>603</v>
      </c>
      <c r="D85" s="395"/>
      <c r="E85" s="170">
        <f>365-E84</f>
        <v>87</v>
      </c>
      <c r="F85" s="170">
        <v>1</v>
      </c>
      <c r="G85" s="232"/>
      <c r="I85" s="170">
        <v>20</v>
      </c>
      <c r="J85" s="240">
        <v>20</v>
      </c>
      <c r="K85" s="213">
        <f t="shared" si="7"/>
        <v>0</v>
      </c>
      <c r="L85" s="213">
        <f t="shared" si="8"/>
        <v>0</v>
      </c>
      <c r="M85" s="213">
        <f t="shared" si="9"/>
        <v>100</v>
      </c>
      <c r="N85" s="213">
        <f t="shared" si="6"/>
        <v>100</v>
      </c>
      <c r="O85" s="212"/>
      <c r="P85" s="213"/>
      <c r="Q85" s="213">
        <v>37.5</v>
      </c>
      <c r="R85" s="214">
        <f t="shared" si="10"/>
        <v>37.5</v>
      </c>
      <c r="S85" s="170">
        <v>4</v>
      </c>
      <c r="T85" s="283">
        <v>36058</v>
      </c>
      <c r="U85" s="281">
        <v>36074</v>
      </c>
      <c r="V85" s="177" t="s">
        <v>469</v>
      </c>
      <c r="W85" s="170" t="s">
        <v>20</v>
      </c>
      <c r="X85" s="170" t="s">
        <v>12</v>
      </c>
      <c r="Y85" s="178">
        <v>37.5</v>
      </c>
      <c r="AD85" s="177"/>
      <c r="AG85" s="178"/>
      <c r="AL85" s="177"/>
      <c r="AO85" s="178"/>
      <c r="AP85" s="177"/>
      <c r="AS85" s="178"/>
      <c r="AW85" s="178"/>
      <c r="BA85" s="179"/>
    </row>
    <row r="86" spans="1:53" s="170" customFormat="1" x14ac:dyDescent="0.15">
      <c r="A86" s="170">
        <v>1999</v>
      </c>
      <c r="B86" s="281"/>
      <c r="C86" s="395" t="s">
        <v>603</v>
      </c>
      <c r="D86" s="395"/>
      <c r="E86" s="170">
        <v>0</v>
      </c>
      <c r="G86" s="232"/>
      <c r="I86" s="170">
        <v>20</v>
      </c>
      <c r="J86" s="240">
        <v>20</v>
      </c>
      <c r="K86" s="213">
        <f t="shared" si="7"/>
        <v>0</v>
      </c>
      <c r="L86" s="213">
        <f t="shared" si="8"/>
        <v>0</v>
      </c>
      <c r="M86" s="213">
        <f t="shared" si="9"/>
        <v>100</v>
      </c>
      <c r="N86" s="213">
        <f t="shared" si="6"/>
        <v>100</v>
      </c>
      <c r="O86" s="212"/>
      <c r="P86" s="213"/>
      <c r="Q86" s="213">
        <v>37.5</v>
      </c>
      <c r="R86" s="214">
        <f t="shared" si="10"/>
        <v>37.5</v>
      </c>
      <c r="S86" s="170">
        <v>4</v>
      </c>
      <c r="T86" s="283"/>
      <c r="U86" s="281"/>
      <c r="V86" s="177" t="s">
        <v>469</v>
      </c>
      <c r="W86" s="170" t="s">
        <v>20</v>
      </c>
      <c r="X86" s="170" t="s">
        <v>12</v>
      </c>
      <c r="Y86" s="178">
        <v>37.5</v>
      </c>
      <c r="AD86" s="177"/>
      <c r="AG86" s="178"/>
      <c r="AL86" s="177"/>
      <c r="AO86" s="178"/>
      <c r="AP86" s="177"/>
      <c r="AS86" s="178"/>
      <c r="AW86" s="178"/>
      <c r="BA86" s="179"/>
    </row>
    <row r="87" spans="1:53" s="170" customFormat="1" x14ac:dyDescent="0.15">
      <c r="A87" s="170">
        <v>1999</v>
      </c>
      <c r="B87" s="281"/>
      <c r="C87" s="395" t="s">
        <v>603</v>
      </c>
      <c r="D87" s="395"/>
      <c r="E87" s="170">
        <f>365-E86</f>
        <v>365</v>
      </c>
      <c r="G87" s="232"/>
      <c r="I87" s="170">
        <v>20</v>
      </c>
      <c r="J87" s="240">
        <v>20</v>
      </c>
      <c r="K87" s="213">
        <f t="shared" si="7"/>
        <v>0</v>
      </c>
      <c r="L87" s="213">
        <f t="shared" si="8"/>
        <v>0</v>
      </c>
      <c r="M87" s="213">
        <f t="shared" si="9"/>
        <v>100</v>
      </c>
      <c r="N87" s="213">
        <f t="shared" si="6"/>
        <v>100</v>
      </c>
      <c r="O87" s="212"/>
      <c r="P87" s="213"/>
      <c r="Q87" s="213">
        <v>37.5</v>
      </c>
      <c r="R87" s="214">
        <f t="shared" si="10"/>
        <v>37.5</v>
      </c>
      <c r="S87" s="170">
        <v>4</v>
      </c>
      <c r="T87" s="283"/>
      <c r="U87" s="281"/>
      <c r="V87" s="177" t="s">
        <v>469</v>
      </c>
      <c r="W87" s="170" t="s">
        <v>20</v>
      </c>
      <c r="X87" s="170" t="s">
        <v>12</v>
      </c>
      <c r="Y87" s="178">
        <v>37.5</v>
      </c>
      <c r="AD87" s="177"/>
      <c r="AG87" s="178"/>
      <c r="AL87" s="177"/>
      <c r="AO87" s="178"/>
      <c r="AP87" s="177"/>
      <c r="AS87" s="178"/>
      <c r="AW87" s="178"/>
      <c r="BA87" s="179"/>
    </row>
    <row r="88" spans="1:53" s="170" customFormat="1" x14ac:dyDescent="0.15">
      <c r="A88" s="170">
        <v>2000</v>
      </c>
      <c r="B88" s="281"/>
      <c r="C88" s="395" t="s">
        <v>603</v>
      </c>
      <c r="D88" s="395"/>
      <c r="E88" s="170">
        <v>0</v>
      </c>
      <c r="G88" s="232"/>
      <c r="I88" s="170">
        <v>20</v>
      </c>
      <c r="J88" s="240">
        <v>20</v>
      </c>
      <c r="K88" s="213">
        <f t="shared" si="7"/>
        <v>0</v>
      </c>
      <c r="L88" s="213">
        <f t="shared" si="8"/>
        <v>0</v>
      </c>
      <c r="M88" s="213">
        <f t="shared" si="9"/>
        <v>100</v>
      </c>
      <c r="N88" s="213">
        <f t="shared" si="6"/>
        <v>100</v>
      </c>
      <c r="O88" s="212"/>
      <c r="P88" s="213"/>
      <c r="Q88" s="213">
        <v>37.5</v>
      </c>
      <c r="R88" s="214">
        <f t="shared" si="10"/>
        <v>37.5</v>
      </c>
      <c r="S88" s="170">
        <v>4</v>
      </c>
      <c r="T88" s="283"/>
      <c r="U88" s="281"/>
      <c r="V88" s="177" t="s">
        <v>469</v>
      </c>
      <c r="W88" s="170" t="s">
        <v>20</v>
      </c>
      <c r="X88" s="170" t="s">
        <v>12</v>
      </c>
      <c r="Y88" s="178">
        <v>37.5</v>
      </c>
      <c r="AD88" s="177"/>
      <c r="AG88" s="178"/>
      <c r="AL88" s="177"/>
      <c r="AO88" s="178"/>
      <c r="AP88" s="177"/>
      <c r="AS88" s="178"/>
      <c r="AW88" s="178"/>
      <c r="BA88" s="179"/>
    </row>
    <row r="89" spans="1:53" s="170" customFormat="1" x14ac:dyDescent="0.15">
      <c r="A89" s="170">
        <v>2000</v>
      </c>
      <c r="B89" s="281"/>
      <c r="C89" s="395" t="s">
        <v>603</v>
      </c>
      <c r="D89" s="395"/>
      <c r="E89" s="170">
        <v>366</v>
      </c>
      <c r="G89" s="232"/>
      <c r="I89" s="170">
        <v>20</v>
      </c>
      <c r="J89" s="240">
        <v>20</v>
      </c>
      <c r="K89" s="213">
        <f t="shared" si="7"/>
        <v>0</v>
      </c>
      <c r="L89" s="213">
        <f t="shared" si="8"/>
        <v>0</v>
      </c>
      <c r="M89" s="213">
        <f t="shared" si="9"/>
        <v>100</v>
      </c>
      <c r="N89" s="213">
        <f t="shared" si="6"/>
        <v>100</v>
      </c>
      <c r="O89" s="212"/>
      <c r="P89" s="213"/>
      <c r="Q89" s="213">
        <v>37.5</v>
      </c>
      <c r="R89" s="214">
        <f t="shared" si="10"/>
        <v>37.5</v>
      </c>
      <c r="S89" s="170">
        <v>4</v>
      </c>
      <c r="T89" s="283"/>
      <c r="U89" s="281"/>
      <c r="V89" s="177" t="s">
        <v>469</v>
      </c>
      <c r="W89" s="170" t="s">
        <v>20</v>
      </c>
      <c r="X89" s="170" t="s">
        <v>12</v>
      </c>
      <c r="Y89" s="178">
        <v>37.5</v>
      </c>
      <c r="AD89" s="177"/>
      <c r="AG89" s="178"/>
      <c r="AL89" s="177"/>
      <c r="AO89" s="178"/>
      <c r="AP89" s="177"/>
      <c r="AS89" s="178"/>
      <c r="AW89" s="178"/>
      <c r="BA89" s="179"/>
    </row>
    <row r="90" spans="1:53" s="170" customFormat="1" x14ac:dyDescent="0.15">
      <c r="A90" s="170">
        <v>2001</v>
      </c>
      <c r="B90" s="281"/>
      <c r="C90" s="395" t="s">
        <v>603</v>
      </c>
      <c r="D90" s="395"/>
      <c r="E90" s="170">
        <v>0</v>
      </c>
      <c r="G90" s="232"/>
      <c r="I90" s="170">
        <v>20</v>
      </c>
      <c r="J90" s="240">
        <v>20</v>
      </c>
      <c r="K90" s="213">
        <f t="shared" si="7"/>
        <v>0</v>
      </c>
      <c r="L90" s="213">
        <f t="shared" si="8"/>
        <v>0</v>
      </c>
      <c r="M90" s="213">
        <f t="shared" si="9"/>
        <v>100</v>
      </c>
      <c r="N90" s="213">
        <f t="shared" si="6"/>
        <v>100</v>
      </c>
      <c r="O90" s="212"/>
      <c r="P90" s="213"/>
      <c r="Q90" s="213">
        <v>37.5</v>
      </c>
      <c r="R90" s="214">
        <f t="shared" si="10"/>
        <v>37.5</v>
      </c>
      <c r="S90" s="170">
        <v>4</v>
      </c>
      <c r="T90" s="283"/>
      <c r="U90" s="281"/>
      <c r="V90" s="177" t="s">
        <v>469</v>
      </c>
      <c r="W90" s="170" t="s">
        <v>20</v>
      </c>
      <c r="X90" s="170" t="s">
        <v>12</v>
      </c>
      <c r="Y90" s="178">
        <v>37.5</v>
      </c>
      <c r="AD90" s="177"/>
      <c r="AG90" s="178"/>
      <c r="AL90" s="177"/>
      <c r="AO90" s="178"/>
      <c r="AP90" s="177"/>
      <c r="AS90" s="178"/>
      <c r="AW90" s="178"/>
      <c r="BA90" s="179"/>
    </row>
    <row r="91" spans="1:53" s="170" customFormat="1" x14ac:dyDescent="0.15">
      <c r="A91" s="170">
        <v>2001</v>
      </c>
      <c r="B91" s="281"/>
      <c r="C91" s="395" t="s">
        <v>603</v>
      </c>
      <c r="D91" s="395"/>
      <c r="E91" s="170">
        <f>365-E90</f>
        <v>365</v>
      </c>
      <c r="G91" s="232"/>
      <c r="I91" s="170">
        <v>20</v>
      </c>
      <c r="J91" s="240">
        <v>20</v>
      </c>
      <c r="K91" s="213">
        <f t="shared" si="7"/>
        <v>0</v>
      </c>
      <c r="L91" s="213">
        <f t="shared" si="8"/>
        <v>0</v>
      </c>
      <c r="M91" s="213">
        <f t="shared" si="9"/>
        <v>100</v>
      </c>
      <c r="N91" s="213">
        <f t="shared" si="6"/>
        <v>100</v>
      </c>
      <c r="O91" s="212"/>
      <c r="P91" s="213"/>
      <c r="Q91" s="213">
        <v>37.5</v>
      </c>
      <c r="R91" s="214">
        <f t="shared" si="10"/>
        <v>37.5</v>
      </c>
      <c r="S91" s="170">
        <v>4</v>
      </c>
      <c r="T91" s="283"/>
      <c r="U91" s="281"/>
      <c r="V91" s="177" t="s">
        <v>469</v>
      </c>
      <c r="W91" s="170" t="s">
        <v>20</v>
      </c>
      <c r="X91" s="170" t="s">
        <v>12</v>
      </c>
      <c r="Y91" s="178">
        <v>37.5</v>
      </c>
      <c r="AD91" s="177"/>
      <c r="AG91" s="178"/>
      <c r="AL91" s="177"/>
      <c r="AO91" s="178"/>
      <c r="AP91" s="177"/>
      <c r="AS91" s="178"/>
      <c r="AW91" s="178"/>
      <c r="BA91" s="179"/>
    </row>
    <row r="92" spans="1:53" s="170" customFormat="1" x14ac:dyDescent="0.15">
      <c r="A92" s="170">
        <v>2002</v>
      </c>
      <c r="B92" s="281"/>
      <c r="C92" s="395" t="s">
        <v>603</v>
      </c>
      <c r="D92" s="395"/>
      <c r="E92" s="170">
        <v>274</v>
      </c>
      <c r="G92" s="232"/>
      <c r="I92" s="170">
        <v>20</v>
      </c>
      <c r="J92" s="240">
        <v>20</v>
      </c>
      <c r="K92" s="213">
        <f t="shared" si="7"/>
        <v>0</v>
      </c>
      <c r="L92" s="213">
        <f t="shared" si="8"/>
        <v>0</v>
      </c>
      <c r="M92" s="213">
        <f t="shared" si="9"/>
        <v>100</v>
      </c>
      <c r="N92" s="213">
        <f t="shared" si="6"/>
        <v>100</v>
      </c>
      <c r="O92" s="212"/>
      <c r="P92" s="213"/>
      <c r="Q92" s="213">
        <v>37.5</v>
      </c>
      <c r="R92" s="214">
        <f t="shared" si="10"/>
        <v>37.5</v>
      </c>
      <c r="S92" s="170">
        <v>4</v>
      </c>
      <c r="T92" s="283"/>
      <c r="U92" s="281"/>
      <c r="V92" s="177" t="s">
        <v>469</v>
      </c>
      <c r="W92" s="170" t="s">
        <v>20</v>
      </c>
      <c r="X92" s="170" t="s">
        <v>12</v>
      </c>
      <c r="Y92" s="178">
        <v>37.5</v>
      </c>
      <c r="AD92" s="177"/>
      <c r="AG92" s="178"/>
      <c r="AL92" s="177"/>
      <c r="AO92" s="178"/>
      <c r="AP92" s="177"/>
      <c r="AS92" s="178"/>
      <c r="AW92" s="178"/>
      <c r="BA92" s="179"/>
    </row>
    <row r="93" spans="1:53" s="28" customFormat="1" x14ac:dyDescent="0.15">
      <c r="A93" s="28">
        <v>2002</v>
      </c>
      <c r="B93" s="293">
        <v>37531</v>
      </c>
      <c r="C93" s="394" t="s">
        <v>604</v>
      </c>
      <c r="D93" s="394"/>
      <c r="E93" s="28">
        <f>365-E92</f>
        <v>91</v>
      </c>
      <c r="F93" s="28">
        <v>1</v>
      </c>
      <c r="G93" s="65"/>
      <c r="I93" s="28">
        <v>22</v>
      </c>
      <c r="J93" s="72">
        <v>22</v>
      </c>
      <c r="K93" s="46">
        <f t="shared" si="7"/>
        <v>0</v>
      </c>
      <c r="L93" s="46">
        <f t="shared" si="8"/>
        <v>0</v>
      </c>
      <c r="M93" s="46">
        <f t="shared" si="9"/>
        <v>100</v>
      </c>
      <c r="N93" s="46">
        <f t="shared" si="6"/>
        <v>100</v>
      </c>
      <c r="O93" s="45"/>
      <c r="P93" s="46"/>
      <c r="Q93" s="46">
        <v>41.3</v>
      </c>
      <c r="R93" s="47">
        <f t="shared" si="10"/>
        <v>41.3</v>
      </c>
      <c r="S93" s="28">
        <v>4</v>
      </c>
      <c r="T93" s="284">
        <v>37514</v>
      </c>
      <c r="U93" s="293">
        <v>37531</v>
      </c>
      <c r="V93" s="37" t="s">
        <v>469</v>
      </c>
      <c r="W93" s="28" t="s">
        <v>20</v>
      </c>
      <c r="X93" s="28" t="s">
        <v>12</v>
      </c>
      <c r="Y93" s="38">
        <v>41.3</v>
      </c>
      <c r="AD93" s="37"/>
      <c r="AG93" s="38"/>
      <c r="AL93" s="37"/>
      <c r="AO93" s="38"/>
      <c r="AP93" s="37"/>
      <c r="AS93" s="38"/>
      <c r="AW93" s="38"/>
      <c r="BA93" s="39"/>
    </row>
    <row r="94" spans="1:53" s="28" customFormat="1" x14ac:dyDescent="0.15">
      <c r="A94" s="28">
        <v>2003</v>
      </c>
      <c r="B94" s="293"/>
      <c r="C94" s="394" t="s">
        <v>604</v>
      </c>
      <c r="D94" s="394"/>
      <c r="E94" s="28">
        <v>0</v>
      </c>
      <c r="G94" s="65"/>
      <c r="I94" s="28">
        <v>22</v>
      </c>
      <c r="J94" s="72">
        <v>22</v>
      </c>
      <c r="K94" s="46">
        <f t="shared" si="7"/>
        <v>0</v>
      </c>
      <c r="L94" s="46">
        <f t="shared" si="8"/>
        <v>0</v>
      </c>
      <c r="M94" s="46">
        <f t="shared" si="9"/>
        <v>100</v>
      </c>
      <c r="N94" s="46">
        <f t="shared" si="6"/>
        <v>100</v>
      </c>
      <c r="O94" s="45"/>
      <c r="P94" s="46"/>
      <c r="Q94" s="46">
        <v>41.3</v>
      </c>
      <c r="R94" s="47">
        <f t="shared" si="10"/>
        <v>41.3</v>
      </c>
      <c r="S94" s="28">
        <v>4</v>
      </c>
      <c r="T94" s="284"/>
      <c r="U94" s="293"/>
      <c r="V94" s="37" t="s">
        <v>469</v>
      </c>
      <c r="W94" s="28" t="s">
        <v>20</v>
      </c>
      <c r="X94" s="28" t="s">
        <v>12</v>
      </c>
      <c r="Y94" s="38">
        <v>41.3</v>
      </c>
      <c r="AD94" s="37"/>
      <c r="AG94" s="38"/>
      <c r="AL94" s="37"/>
      <c r="AO94" s="38"/>
      <c r="AP94" s="37"/>
      <c r="AS94" s="38"/>
      <c r="AW94" s="38"/>
      <c r="BA94" s="39"/>
    </row>
    <row r="95" spans="1:53" s="28" customFormat="1" x14ac:dyDescent="0.15">
      <c r="A95" s="28">
        <v>2003</v>
      </c>
      <c r="B95" s="293"/>
      <c r="C95" s="394" t="s">
        <v>604</v>
      </c>
      <c r="D95" s="394"/>
      <c r="E95" s="28">
        <f>365-E94</f>
        <v>365</v>
      </c>
      <c r="G95" s="65"/>
      <c r="I95" s="28">
        <v>22</v>
      </c>
      <c r="J95" s="72">
        <v>22</v>
      </c>
      <c r="K95" s="46">
        <f t="shared" si="7"/>
        <v>0</v>
      </c>
      <c r="L95" s="46">
        <f t="shared" si="8"/>
        <v>0</v>
      </c>
      <c r="M95" s="46">
        <f t="shared" si="9"/>
        <v>100</v>
      </c>
      <c r="N95" s="46">
        <f t="shared" si="6"/>
        <v>100</v>
      </c>
      <c r="O95" s="45"/>
      <c r="P95" s="46"/>
      <c r="Q95" s="46">
        <v>41.3</v>
      </c>
      <c r="R95" s="47">
        <f t="shared" si="10"/>
        <v>41.3</v>
      </c>
      <c r="S95" s="28">
        <v>4</v>
      </c>
      <c r="T95" s="284"/>
      <c r="U95" s="293"/>
      <c r="V95" s="37" t="s">
        <v>469</v>
      </c>
      <c r="W95" s="28" t="s">
        <v>20</v>
      </c>
      <c r="X95" s="28" t="s">
        <v>12</v>
      </c>
      <c r="Y95" s="38">
        <v>41.3</v>
      </c>
      <c r="AD95" s="37"/>
      <c r="AG95" s="38"/>
      <c r="AL95" s="37"/>
      <c r="AO95" s="38"/>
      <c r="AP95" s="37"/>
      <c r="AS95" s="38"/>
      <c r="AW95" s="38"/>
      <c r="BA95" s="39"/>
    </row>
    <row r="96" spans="1:53" s="28" customFormat="1" x14ac:dyDescent="0.15">
      <c r="A96" s="28">
        <v>2004</v>
      </c>
      <c r="B96" s="293"/>
      <c r="C96" s="394" t="s">
        <v>604</v>
      </c>
      <c r="D96" s="394"/>
      <c r="E96" s="28">
        <v>0</v>
      </c>
      <c r="G96" s="65"/>
      <c r="I96" s="28">
        <v>22</v>
      </c>
      <c r="J96" s="72">
        <v>22</v>
      </c>
      <c r="K96" s="46">
        <f t="shared" si="7"/>
        <v>0</v>
      </c>
      <c r="L96" s="46">
        <f t="shared" si="8"/>
        <v>0</v>
      </c>
      <c r="M96" s="46">
        <f t="shared" si="9"/>
        <v>100</v>
      </c>
      <c r="N96" s="46">
        <f t="shared" si="6"/>
        <v>100</v>
      </c>
      <c r="O96" s="45"/>
      <c r="P96" s="46"/>
      <c r="Q96" s="46">
        <v>41.3</v>
      </c>
      <c r="R96" s="47">
        <f t="shared" si="10"/>
        <v>41.3</v>
      </c>
      <c r="S96" s="28">
        <v>4</v>
      </c>
      <c r="T96" s="284"/>
      <c r="U96" s="293"/>
      <c r="V96" s="37" t="s">
        <v>469</v>
      </c>
      <c r="W96" s="28" t="s">
        <v>20</v>
      </c>
      <c r="X96" s="28" t="s">
        <v>12</v>
      </c>
      <c r="Y96" s="38">
        <v>41.3</v>
      </c>
      <c r="AD96" s="37"/>
      <c r="AG96" s="38"/>
      <c r="AL96" s="37"/>
      <c r="AO96" s="38"/>
      <c r="AP96" s="37"/>
      <c r="AS96" s="38"/>
      <c r="AW96" s="38"/>
      <c r="BA96" s="39"/>
    </row>
    <row r="97" spans="1:53" s="28" customFormat="1" x14ac:dyDescent="0.15">
      <c r="A97" s="28">
        <v>2004</v>
      </c>
      <c r="B97" s="293"/>
      <c r="C97" s="394" t="s">
        <v>604</v>
      </c>
      <c r="D97" s="394"/>
      <c r="E97" s="28">
        <v>366</v>
      </c>
      <c r="G97" s="65"/>
      <c r="I97" s="28">
        <v>22</v>
      </c>
      <c r="J97" s="72">
        <v>22</v>
      </c>
      <c r="K97" s="46">
        <f t="shared" si="7"/>
        <v>0</v>
      </c>
      <c r="L97" s="46">
        <f t="shared" si="8"/>
        <v>0</v>
      </c>
      <c r="M97" s="46">
        <f t="shared" si="9"/>
        <v>100</v>
      </c>
      <c r="N97" s="46">
        <f t="shared" si="6"/>
        <v>100</v>
      </c>
      <c r="O97" s="45"/>
      <c r="P97" s="46"/>
      <c r="Q97" s="46">
        <v>41.3</v>
      </c>
      <c r="R97" s="47">
        <f t="shared" si="10"/>
        <v>41.3</v>
      </c>
      <c r="S97" s="28">
        <v>4</v>
      </c>
      <c r="T97" s="284"/>
      <c r="U97" s="293"/>
      <c r="V97" s="37" t="s">
        <v>469</v>
      </c>
      <c r="W97" s="28" t="s">
        <v>20</v>
      </c>
      <c r="X97" s="28" t="s">
        <v>12</v>
      </c>
      <c r="Y97" s="38">
        <v>41.3</v>
      </c>
      <c r="AD97" s="37"/>
      <c r="AG97" s="38"/>
      <c r="AL97" s="37"/>
      <c r="AO97" s="38"/>
      <c r="AP97" s="37"/>
      <c r="AS97" s="38"/>
      <c r="AW97" s="38"/>
      <c r="BA97" s="39"/>
    </row>
    <row r="98" spans="1:53" s="28" customFormat="1" x14ac:dyDescent="0.15">
      <c r="A98" s="28">
        <v>2005</v>
      </c>
      <c r="B98" s="293"/>
      <c r="C98" s="394" t="s">
        <v>604</v>
      </c>
      <c r="D98" s="394"/>
      <c r="E98" s="28">
        <v>0</v>
      </c>
      <c r="G98" s="65"/>
      <c r="I98" s="28">
        <v>22</v>
      </c>
      <c r="J98" s="72">
        <v>22</v>
      </c>
      <c r="K98" s="46">
        <f t="shared" si="7"/>
        <v>0</v>
      </c>
      <c r="L98" s="46">
        <f t="shared" si="8"/>
        <v>0</v>
      </c>
      <c r="M98" s="46">
        <f t="shared" si="9"/>
        <v>100</v>
      </c>
      <c r="N98" s="46">
        <f t="shared" si="6"/>
        <v>100</v>
      </c>
      <c r="O98" s="45"/>
      <c r="P98" s="46"/>
      <c r="Q98" s="46">
        <v>41.3</v>
      </c>
      <c r="R98" s="47">
        <f t="shared" si="10"/>
        <v>41.3</v>
      </c>
      <c r="S98" s="28">
        <v>4</v>
      </c>
      <c r="T98" s="284"/>
      <c r="U98" s="293"/>
      <c r="V98" s="37" t="s">
        <v>469</v>
      </c>
      <c r="W98" s="28" t="s">
        <v>20</v>
      </c>
      <c r="X98" s="28" t="s">
        <v>12</v>
      </c>
      <c r="Y98" s="38">
        <v>41.3</v>
      </c>
      <c r="AD98" s="37"/>
      <c r="AG98" s="38"/>
      <c r="AL98" s="37"/>
      <c r="AO98" s="38"/>
      <c r="AP98" s="37"/>
      <c r="AS98" s="38"/>
      <c r="AW98" s="38"/>
      <c r="BA98" s="39"/>
    </row>
    <row r="99" spans="1:53" s="28" customFormat="1" x14ac:dyDescent="0.15">
      <c r="A99" s="28">
        <v>2005</v>
      </c>
      <c r="B99" s="293"/>
      <c r="C99" s="394" t="s">
        <v>604</v>
      </c>
      <c r="D99" s="394"/>
      <c r="E99" s="28">
        <f>365-E98</f>
        <v>365</v>
      </c>
      <c r="G99" s="65"/>
      <c r="I99" s="28">
        <v>22</v>
      </c>
      <c r="J99" s="72">
        <v>22</v>
      </c>
      <c r="K99" s="46">
        <f t="shared" si="7"/>
        <v>0</v>
      </c>
      <c r="L99" s="46">
        <f t="shared" si="8"/>
        <v>0</v>
      </c>
      <c r="M99" s="46">
        <f t="shared" si="9"/>
        <v>100</v>
      </c>
      <c r="N99" s="46">
        <f t="shared" si="6"/>
        <v>100</v>
      </c>
      <c r="O99" s="45"/>
      <c r="P99" s="46"/>
      <c r="Q99" s="46">
        <v>41.3</v>
      </c>
      <c r="R99" s="47">
        <f t="shared" si="10"/>
        <v>41.3</v>
      </c>
      <c r="S99" s="28">
        <v>4</v>
      </c>
      <c r="T99" s="284"/>
      <c r="U99" s="293"/>
      <c r="V99" s="37" t="s">
        <v>469</v>
      </c>
      <c r="W99" s="28" t="s">
        <v>20</v>
      </c>
      <c r="X99" s="28" t="s">
        <v>12</v>
      </c>
      <c r="Y99" s="38">
        <v>41.3</v>
      </c>
      <c r="AD99" s="37"/>
      <c r="AG99" s="38"/>
      <c r="AL99" s="37"/>
      <c r="AO99" s="38"/>
      <c r="AP99" s="37"/>
      <c r="AS99" s="38"/>
      <c r="AW99" s="38"/>
      <c r="BA99" s="39"/>
    </row>
    <row r="100" spans="1:53" s="28" customFormat="1" x14ac:dyDescent="0.15">
      <c r="A100" s="28">
        <v>2006</v>
      </c>
      <c r="B100" s="293"/>
      <c r="C100" s="394" t="s">
        <v>604</v>
      </c>
      <c r="D100" s="394"/>
      <c r="E100" s="28">
        <v>277</v>
      </c>
      <c r="G100" s="65"/>
      <c r="I100" s="28">
        <v>22</v>
      </c>
      <c r="J100" s="72">
        <v>22</v>
      </c>
      <c r="K100" s="46">
        <f t="shared" si="7"/>
        <v>0</v>
      </c>
      <c r="L100" s="46">
        <f t="shared" si="8"/>
        <v>0</v>
      </c>
      <c r="M100" s="46">
        <f t="shared" si="9"/>
        <v>100</v>
      </c>
      <c r="N100" s="46">
        <f t="shared" si="6"/>
        <v>100</v>
      </c>
      <c r="O100" s="45"/>
      <c r="P100" s="46"/>
      <c r="Q100" s="46">
        <v>41.3</v>
      </c>
      <c r="R100" s="47">
        <f t="shared" si="10"/>
        <v>41.3</v>
      </c>
      <c r="S100" s="28">
        <v>4</v>
      </c>
      <c r="T100" s="284"/>
      <c r="U100" s="293"/>
      <c r="V100" s="37" t="s">
        <v>469</v>
      </c>
      <c r="W100" s="28" t="s">
        <v>20</v>
      </c>
      <c r="X100" s="28" t="s">
        <v>12</v>
      </c>
      <c r="Y100" s="38">
        <v>41.3</v>
      </c>
      <c r="AD100" s="37"/>
      <c r="AG100" s="38"/>
      <c r="AL100" s="37"/>
      <c r="AO100" s="38"/>
      <c r="AP100" s="37"/>
      <c r="AS100" s="38"/>
      <c r="AW100" s="38"/>
      <c r="BA100" s="39"/>
    </row>
    <row r="101" spans="1:53" s="170" customFormat="1" x14ac:dyDescent="0.15">
      <c r="A101" s="170">
        <v>2006</v>
      </c>
      <c r="B101" s="281">
        <v>38995</v>
      </c>
      <c r="C101" s="395" t="s">
        <v>605</v>
      </c>
      <c r="D101" s="395"/>
      <c r="E101" s="170">
        <f>365-E100</f>
        <v>88</v>
      </c>
      <c r="F101" s="170">
        <v>1</v>
      </c>
      <c r="G101" s="232">
        <v>15</v>
      </c>
      <c r="H101" s="170">
        <v>7</v>
      </c>
      <c r="J101" s="240">
        <v>22</v>
      </c>
      <c r="K101" s="213">
        <f t="shared" si="7"/>
        <v>68.181818181818173</v>
      </c>
      <c r="L101" s="213">
        <f t="shared" si="8"/>
        <v>31.818181818181817</v>
      </c>
      <c r="M101" s="213">
        <f t="shared" si="9"/>
        <v>0</v>
      </c>
      <c r="N101" s="213">
        <f t="shared" si="6"/>
        <v>99.999999999999986</v>
      </c>
      <c r="O101" s="212">
        <v>35.799999999999997</v>
      </c>
      <c r="P101" s="213">
        <v>15.2</v>
      </c>
      <c r="Q101" s="213"/>
      <c r="R101" s="214">
        <f t="shared" si="10"/>
        <v>51</v>
      </c>
      <c r="S101" s="170">
        <v>2</v>
      </c>
      <c r="T101" s="283">
        <v>38977</v>
      </c>
      <c r="U101" s="281">
        <v>38995</v>
      </c>
      <c r="V101" s="177" t="s">
        <v>472</v>
      </c>
      <c r="W101" s="170" t="s">
        <v>74</v>
      </c>
      <c r="X101" s="170" t="s">
        <v>11</v>
      </c>
      <c r="Y101" s="178">
        <v>27.8</v>
      </c>
      <c r="Z101" s="177" t="s">
        <v>470</v>
      </c>
      <c r="AA101" s="170" t="s">
        <v>869</v>
      </c>
      <c r="AB101" s="170" t="s">
        <v>18</v>
      </c>
      <c r="AC101" s="170">
        <v>8.3000000000000007</v>
      </c>
      <c r="AD101" s="177" t="s">
        <v>471</v>
      </c>
      <c r="AE101" s="170" t="s">
        <v>22</v>
      </c>
      <c r="AF101" s="170" t="s">
        <v>11</v>
      </c>
      <c r="AG101" s="178">
        <v>8</v>
      </c>
      <c r="AH101" s="177" t="s">
        <v>473</v>
      </c>
      <c r="AI101" s="170" t="s">
        <v>17</v>
      </c>
      <c r="AJ101" s="170" t="s">
        <v>18</v>
      </c>
      <c r="AK101" s="170">
        <v>6.9</v>
      </c>
      <c r="AL101" s="177"/>
      <c r="AO101" s="178"/>
      <c r="AP101" s="177"/>
      <c r="AS101" s="178"/>
      <c r="AW101" s="178"/>
      <c r="BA101" s="179"/>
    </row>
    <row r="102" spans="1:53" s="170" customFormat="1" x14ac:dyDescent="0.15">
      <c r="A102" s="170">
        <v>2007</v>
      </c>
      <c r="B102" s="281"/>
      <c r="C102" s="395" t="s">
        <v>605</v>
      </c>
      <c r="D102" s="395"/>
      <c r="E102" s="170">
        <v>0</v>
      </c>
      <c r="G102" s="232">
        <v>15</v>
      </c>
      <c r="H102" s="170">
        <v>7</v>
      </c>
      <c r="J102" s="240">
        <v>22</v>
      </c>
      <c r="K102" s="213">
        <f t="shared" si="7"/>
        <v>68.181818181818173</v>
      </c>
      <c r="L102" s="213">
        <f t="shared" si="8"/>
        <v>31.818181818181817</v>
      </c>
      <c r="M102" s="213">
        <f t="shared" si="9"/>
        <v>0</v>
      </c>
      <c r="N102" s="213">
        <f t="shared" si="6"/>
        <v>99.999999999999986</v>
      </c>
      <c r="O102" s="212">
        <v>35.799999999999997</v>
      </c>
      <c r="P102" s="213">
        <v>15.2</v>
      </c>
      <c r="Q102" s="213"/>
      <c r="R102" s="214">
        <f t="shared" si="10"/>
        <v>51</v>
      </c>
      <c r="S102" s="170">
        <v>2</v>
      </c>
      <c r="T102" s="283"/>
      <c r="U102" s="281"/>
      <c r="V102" s="177" t="s">
        <v>472</v>
      </c>
      <c r="W102" s="170" t="s">
        <v>74</v>
      </c>
      <c r="X102" s="170" t="s">
        <v>11</v>
      </c>
      <c r="Y102" s="178">
        <v>27.8</v>
      </c>
      <c r="Z102" s="177" t="s">
        <v>470</v>
      </c>
      <c r="AA102" s="170" t="s">
        <v>869</v>
      </c>
      <c r="AB102" s="170" t="s">
        <v>18</v>
      </c>
      <c r="AC102" s="170">
        <v>8.3000000000000007</v>
      </c>
      <c r="AD102" s="177" t="s">
        <v>471</v>
      </c>
      <c r="AE102" s="170" t="s">
        <v>22</v>
      </c>
      <c r="AF102" s="170" t="s">
        <v>11</v>
      </c>
      <c r="AG102" s="178">
        <v>8</v>
      </c>
      <c r="AH102" s="177" t="s">
        <v>473</v>
      </c>
      <c r="AI102" s="170" t="s">
        <v>17</v>
      </c>
      <c r="AJ102" s="170" t="s">
        <v>18</v>
      </c>
      <c r="AK102" s="170">
        <v>6.9</v>
      </c>
      <c r="AL102" s="177"/>
      <c r="AO102" s="178"/>
      <c r="AP102" s="177"/>
      <c r="AS102" s="178"/>
      <c r="AW102" s="178"/>
      <c r="BA102" s="179"/>
    </row>
    <row r="103" spans="1:53" s="170" customFormat="1" x14ac:dyDescent="0.15">
      <c r="A103" s="170">
        <v>2007</v>
      </c>
      <c r="B103" s="281"/>
      <c r="C103" s="395" t="s">
        <v>605</v>
      </c>
      <c r="D103" s="395"/>
      <c r="E103" s="170">
        <v>365</v>
      </c>
      <c r="G103" s="232">
        <v>15</v>
      </c>
      <c r="H103" s="170">
        <v>7</v>
      </c>
      <c r="J103" s="240">
        <v>22</v>
      </c>
      <c r="K103" s="213">
        <f t="shared" si="7"/>
        <v>68.181818181818173</v>
      </c>
      <c r="L103" s="213">
        <f t="shared" si="8"/>
        <v>31.818181818181817</v>
      </c>
      <c r="M103" s="213">
        <f t="shared" si="9"/>
        <v>0</v>
      </c>
      <c r="N103" s="213">
        <f t="shared" si="6"/>
        <v>99.999999999999986</v>
      </c>
      <c r="O103" s="212">
        <v>35.799999999999997</v>
      </c>
      <c r="P103" s="213">
        <v>15.2</v>
      </c>
      <c r="Q103" s="213"/>
      <c r="R103" s="214">
        <f t="shared" si="10"/>
        <v>51</v>
      </c>
      <c r="S103" s="170">
        <v>2</v>
      </c>
      <c r="T103" s="283"/>
      <c r="U103" s="281"/>
      <c r="V103" s="177" t="s">
        <v>472</v>
      </c>
      <c r="W103" s="170" t="s">
        <v>74</v>
      </c>
      <c r="X103" s="170" t="s">
        <v>11</v>
      </c>
      <c r="Y103" s="178">
        <v>27.8</v>
      </c>
      <c r="Z103" s="177" t="s">
        <v>470</v>
      </c>
      <c r="AA103" s="170" t="s">
        <v>869</v>
      </c>
      <c r="AB103" s="170" t="s">
        <v>18</v>
      </c>
      <c r="AC103" s="170">
        <v>8.3000000000000007</v>
      </c>
      <c r="AD103" s="177" t="s">
        <v>471</v>
      </c>
      <c r="AE103" s="170" t="s">
        <v>22</v>
      </c>
      <c r="AF103" s="170" t="s">
        <v>11</v>
      </c>
      <c r="AG103" s="178">
        <v>8</v>
      </c>
      <c r="AH103" s="177" t="s">
        <v>473</v>
      </c>
      <c r="AI103" s="170" t="s">
        <v>17</v>
      </c>
      <c r="AJ103" s="170" t="s">
        <v>18</v>
      </c>
      <c r="AK103" s="170">
        <v>6.9</v>
      </c>
      <c r="AL103" s="177"/>
      <c r="AO103" s="178"/>
      <c r="AP103" s="177"/>
      <c r="AS103" s="178"/>
      <c r="AW103" s="178"/>
      <c r="BA103" s="179"/>
    </row>
    <row r="104" spans="1:53" s="170" customFormat="1" x14ac:dyDescent="0.15">
      <c r="A104" s="170">
        <v>2008</v>
      </c>
      <c r="B104" s="281"/>
      <c r="C104" s="395" t="s">
        <v>605</v>
      </c>
      <c r="D104" s="395"/>
      <c r="E104" s="170">
        <v>0</v>
      </c>
      <c r="G104" s="232">
        <v>15</v>
      </c>
      <c r="H104" s="170">
        <v>7</v>
      </c>
      <c r="J104" s="240">
        <v>22</v>
      </c>
      <c r="K104" s="213">
        <f t="shared" si="7"/>
        <v>68.181818181818173</v>
      </c>
      <c r="L104" s="213">
        <f t="shared" si="8"/>
        <v>31.818181818181817</v>
      </c>
      <c r="M104" s="213">
        <f t="shared" si="9"/>
        <v>0</v>
      </c>
      <c r="N104" s="213">
        <f t="shared" si="6"/>
        <v>99.999999999999986</v>
      </c>
      <c r="O104" s="212">
        <v>35.799999999999997</v>
      </c>
      <c r="P104" s="213">
        <v>15.2</v>
      </c>
      <c r="Q104" s="213"/>
      <c r="R104" s="214">
        <f t="shared" si="10"/>
        <v>51</v>
      </c>
      <c r="S104" s="170">
        <v>2</v>
      </c>
      <c r="T104" s="283"/>
      <c r="U104" s="281"/>
      <c r="V104" s="177" t="s">
        <v>472</v>
      </c>
      <c r="W104" s="170" t="s">
        <v>74</v>
      </c>
      <c r="X104" s="170" t="s">
        <v>11</v>
      </c>
      <c r="Y104" s="178">
        <v>27.8</v>
      </c>
      <c r="Z104" s="177" t="s">
        <v>470</v>
      </c>
      <c r="AA104" s="170" t="s">
        <v>869</v>
      </c>
      <c r="AB104" s="170" t="s">
        <v>18</v>
      </c>
      <c r="AC104" s="170">
        <v>8.3000000000000007</v>
      </c>
      <c r="AD104" s="177" t="s">
        <v>471</v>
      </c>
      <c r="AE104" s="170" t="s">
        <v>22</v>
      </c>
      <c r="AF104" s="170" t="s">
        <v>11</v>
      </c>
      <c r="AG104" s="178">
        <v>8</v>
      </c>
      <c r="AH104" s="177" t="s">
        <v>473</v>
      </c>
      <c r="AI104" s="170" t="s">
        <v>17</v>
      </c>
      <c r="AJ104" s="170" t="s">
        <v>18</v>
      </c>
      <c r="AK104" s="170">
        <v>6.9</v>
      </c>
      <c r="AL104" s="177"/>
      <c r="AO104" s="178"/>
      <c r="AP104" s="177"/>
      <c r="AS104" s="178"/>
      <c r="AW104" s="178"/>
      <c r="BA104" s="179"/>
    </row>
    <row r="105" spans="1:53" s="170" customFormat="1" x14ac:dyDescent="0.15">
      <c r="A105" s="170">
        <v>2008</v>
      </c>
      <c r="B105" s="281"/>
      <c r="C105" s="395" t="s">
        <v>605</v>
      </c>
      <c r="D105" s="395"/>
      <c r="E105" s="170">
        <v>366</v>
      </c>
      <c r="G105" s="232">
        <v>15</v>
      </c>
      <c r="H105" s="170">
        <v>7</v>
      </c>
      <c r="J105" s="240">
        <v>22</v>
      </c>
      <c r="K105" s="213">
        <f t="shared" si="7"/>
        <v>68.181818181818173</v>
      </c>
      <c r="L105" s="213">
        <f t="shared" si="8"/>
        <v>31.818181818181817</v>
      </c>
      <c r="M105" s="213">
        <f t="shared" si="9"/>
        <v>0</v>
      </c>
      <c r="N105" s="213">
        <f t="shared" si="6"/>
        <v>99.999999999999986</v>
      </c>
      <c r="O105" s="212">
        <v>35.799999999999997</v>
      </c>
      <c r="P105" s="213">
        <v>15.2</v>
      </c>
      <c r="Q105" s="213"/>
      <c r="R105" s="214">
        <f t="shared" si="10"/>
        <v>51</v>
      </c>
      <c r="S105" s="170">
        <v>2</v>
      </c>
      <c r="T105" s="283"/>
      <c r="U105" s="281"/>
      <c r="V105" s="177" t="s">
        <v>472</v>
      </c>
      <c r="W105" s="170" t="s">
        <v>74</v>
      </c>
      <c r="X105" s="170" t="s">
        <v>11</v>
      </c>
      <c r="Y105" s="178">
        <v>27.8</v>
      </c>
      <c r="Z105" s="177" t="s">
        <v>470</v>
      </c>
      <c r="AA105" s="170" t="s">
        <v>869</v>
      </c>
      <c r="AB105" s="170" t="s">
        <v>18</v>
      </c>
      <c r="AC105" s="170">
        <v>8.3000000000000007</v>
      </c>
      <c r="AD105" s="177" t="s">
        <v>471</v>
      </c>
      <c r="AE105" s="170" t="s">
        <v>22</v>
      </c>
      <c r="AF105" s="170" t="s">
        <v>11</v>
      </c>
      <c r="AG105" s="178">
        <v>8</v>
      </c>
      <c r="AH105" s="177" t="s">
        <v>473</v>
      </c>
      <c r="AI105" s="170" t="s">
        <v>17</v>
      </c>
      <c r="AJ105" s="170" t="s">
        <v>18</v>
      </c>
      <c r="AK105" s="170">
        <v>6.9</v>
      </c>
      <c r="AL105" s="177"/>
      <c r="AO105" s="178"/>
      <c r="AP105" s="177"/>
      <c r="AS105" s="178"/>
      <c r="AW105" s="178"/>
      <c r="BA105" s="179"/>
    </row>
    <row r="106" spans="1:53" s="170" customFormat="1" x14ac:dyDescent="0.15">
      <c r="A106" s="170">
        <v>2009</v>
      </c>
      <c r="B106" s="281"/>
      <c r="C106" s="395" t="s">
        <v>605</v>
      </c>
      <c r="D106" s="395"/>
      <c r="E106" s="170">
        <v>0</v>
      </c>
      <c r="G106" s="232">
        <v>15</v>
      </c>
      <c r="H106" s="170">
        <v>7</v>
      </c>
      <c r="J106" s="240">
        <v>22</v>
      </c>
      <c r="K106" s="213">
        <f t="shared" si="7"/>
        <v>68.181818181818173</v>
      </c>
      <c r="L106" s="213">
        <f t="shared" si="8"/>
        <v>31.818181818181817</v>
      </c>
      <c r="M106" s="213">
        <f t="shared" si="9"/>
        <v>0</v>
      </c>
      <c r="N106" s="213">
        <f t="shared" si="6"/>
        <v>99.999999999999986</v>
      </c>
      <c r="O106" s="212">
        <v>35.799999999999997</v>
      </c>
      <c r="P106" s="213">
        <v>15.2</v>
      </c>
      <c r="Q106" s="213"/>
      <c r="R106" s="214">
        <f t="shared" si="10"/>
        <v>51</v>
      </c>
      <c r="S106" s="170">
        <v>2</v>
      </c>
      <c r="T106" s="283"/>
      <c r="U106" s="281"/>
      <c r="V106" s="177" t="s">
        <v>472</v>
      </c>
      <c r="W106" s="170" t="s">
        <v>74</v>
      </c>
      <c r="X106" s="170" t="s">
        <v>11</v>
      </c>
      <c r="Y106" s="178">
        <v>27.8</v>
      </c>
      <c r="Z106" s="177" t="s">
        <v>470</v>
      </c>
      <c r="AA106" s="170" t="s">
        <v>869</v>
      </c>
      <c r="AB106" s="170" t="s">
        <v>18</v>
      </c>
      <c r="AC106" s="170">
        <v>8.3000000000000007</v>
      </c>
      <c r="AD106" s="177" t="s">
        <v>471</v>
      </c>
      <c r="AE106" s="170" t="s">
        <v>22</v>
      </c>
      <c r="AF106" s="170" t="s">
        <v>11</v>
      </c>
      <c r="AG106" s="178">
        <v>8</v>
      </c>
      <c r="AH106" s="177" t="s">
        <v>473</v>
      </c>
      <c r="AI106" s="170" t="s">
        <v>17</v>
      </c>
      <c r="AJ106" s="170" t="s">
        <v>18</v>
      </c>
      <c r="AK106" s="170">
        <v>6.9</v>
      </c>
      <c r="AL106" s="177"/>
      <c r="AO106" s="178"/>
      <c r="AP106" s="177"/>
      <c r="AS106" s="178"/>
      <c r="AW106" s="178"/>
      <c r="BA106" s="179"/>
    </row>
    <row r="107" spans="1:53" s="170" customFormat="1" x14ac:dyDescent="0.15">
      <c r="A107" s="170">
        <v>2009</v>
      </c>
      <c r="B107" s="281"/>
      <c r="C107" s="395" t="s">
        <v>605</v>
      </c>
      <c r="D107" s="395"/>
      <c r="E107" s="170">
        <v>365</v>
      </c>
      <c r="G107" s="232">
        <v>15</v>
      </c>
      <c r="H107" s="170">
        <v>7</v>
      </c>
      <c r="J107" s="240">
        <v>22</v>
      </c>
      <c r="K107" s="213">
        <f t="shared" si="7"/>
        <v>68.181818181818173</v>
      </c>
      <c r="L107" s="213">
        <f t="shared" si="8"/>
        <v>31.818181818181817</v>
      </c>
      <c r="M107" s="213">
        <f t="shared" si="9"/>
        <v>0</v>
      </c>
      <c r="N107" s="213">
        <f t="shared" si="6"/>
        <v>99.999999999999986</v>
      </c>
      <c r="O107" s="212">
        <v>35.799999999999997</v>
      </c>
      <c r="P107" s="213">
        <v>15.2</v>
      </c>
      <c r="Q107" s="213"/>
      <c r="R107" s="214">
        <f t="shared" si="10"/>
        <v>51</v>
      </c>
      <c r="S107" s="170">
        <v>2</v>
      </c>
      <c r="T107" s="283"/>
      <c r="U107" s="281"/>
      <c r="V107" s="177" t="s">
        <v>472</v>
      </c>
      <c r="W107" s="170" t="s">
        <v>74</v>
      </c>
      <c r="X107" s="170" t="s">
        <v>11</v>
      </c>
      <c r="Y107" s="178">
        <v>27.8</v>
      </c>
      <c r="Z107" s="177" t="s">
        <v>470</v>
      </c>
      <c r="AA107" s="170" t="s">
        <v>869</v>
      </c>
      <c r="AB107" s="170" t="s">
        <v>18</v>
      </c>
      <c r="AC107" s="170">
        <v>8.3000000000000007</v>
      </c>
      <c r="AD107" s="177" t="s">
        <v>471</v>
      </c>
      <c r="AE107" s="170" t="s">
        <v>22</v>
      </c>
      <c r="AF107" s="170" t="s">
        <v>11</v>
      </c>
      <c r="AG107" s="178">
        <v>8</v>
      </c>
      <c r="AH107" s="177" t="s">
        <v>473</v>
      </c>
      <c r="AI107" s="170" t="s">
        <v>17</v>
      </c>
      <c r="AJ107" s="170" t="s">
        <v>18</v>
      </c>
      <c r="AK107" s="170">
        <v>6.9</v>
      </c>
      <c r="AL107" s="177"/>
      <c r="AO107" s="178"/>
      <c r="AP107" s="177"/>
      <c r="AS107" s="178"/>
      <c r="AW107" s="178"/>
      <c r="BA107" s="179"/>
    </row>
    <row r="108" spans="1:53" s="170" customFormat="1" x14ac:dyDescent="0.15">
      <c r="A108" s="170">
        <v>2010</v>
      </c>
      <c r="B108" s="281"/>
      <c r="C108" s="395" t="s">
        <v>605</v>
      </c>
      <c r="D108" s="395"/>
      <c r="E108" s="170">
        <v>262</v>
      </c>
      <c r="G108" s="232">
        <v>15</v>
      </c>
      <c r="H108" s="170">
        <v>7</v>
      </c>
      <c r="J108" s="240">
        <v>22</v>
      </c>
      <c r="K108" s="213">
        <f t="shared" si="7"/>
        <v>68.181818181818173</v>
      </c>
      <c r="L108" s="213">
        <f t="shared" si="8"/>
        <v>31.818181818181817</v>
      </c>
      <c r="M108" s="213">
        <f t="shared" si="9"/>
        <v>0</v>
      </c>
      <c r="N108" s="213">
        <f t="shared" si="6"/>
        <v>99.999999999999986</v>
      </c>
      <c r="O108" s="212">
        <v>35.799999999999997</v>
      </c>
      <c r="P108" s="213">
        <v>15.2</v>
      </c>
      <c r="Q108" s="213"/>
      <c r="R108" s="214">
        <f t="shared" si="10"/>
        <v>51</v>
      </c>
      <c r="S108" s="170">
        <v>2</v>
      </c>
      <c r="T108" s="283"/>
      <c r="U108" s="281"/>
      <c r="V108" s="177" t="s">
        <v>472</v>
      </c>
      <c r="W108" s="170" t="s">
        <v>74</v>
      </c>
      <c r="X108" s="170" t="s">
        <v>11</v>
      </c>
      <c r="Y108" s="178">
        <v>27.8</v>
      </c>
      <c r="Z108" s="177" t="s">
        <v>470</v>
      </c>
      <c r="AA108" s="170" t="s">
        <v>869</v>
      </c>
      <c r="AB108" s="170" t="s">
        <v>18</v>
      </c>
      <c r="AC108" s="170">
        <v>8.3000000000000007</v>
      </c>
      <c r="AD108" s="177" t="s">
        <v>471</v>
      </c>
      <c r="AE108" s="170" t="s">
        <v>22</v>
      </c>
      <c r="AF108" s="170" t="s">
        <v>11</v>
      </c>
      <c r="AG108" s="178">
        <v>8</v>
      </c>
      <c r="AH108" s="177" t="s">
        <v>473</v>
      </c>
      <c r="AI108" s="170" t="s">
        <v>17</v>
      </c>
      <c r="AJ108" s="170" t="s">
        <v>18</v>
      </c>
      <c r="AK108" s="170">
        <v>6.9</v>
      </c>
      <c r="AL108" s="177"/>
      <c r="AO108" s="178"/>
      <c r="AP108" s="177"/>
      <c r="AS108" s="178"/>
      <c r="AW108" s="178"/>
      <c r="BA108" s="179"/>
    </row>
    <row r="109" spans="1:53" s="28" customFormat="1" x14ac:dyDescent="0.15">
      <c r="A109" s="28">
        <v>2010</v>
      </c>
      <c r="B109" s="293">
        <v>40441</v>
      </c>
      <c r="C109" s="394" t="s">
        <v>606</v>
      </c>
      <c r="D109" s="394"/>
      <c r="E109" s="28">
        <f>365-E108</f>
        <v>103</v>
      </c>
      <c r="F109" s="28">
        <v>1</v>
      </c>
      <c r="G109" s="65">
        <v>17</v>
      </c>
      <c r="H109" s="28">
        <v>7</v>
      </c>
      <c r="J109" s="72">
        <v>24</v>
      </c>
      <c r="K109" s="46">
        <f t="shared" si="7"/>
        <v>70.833333333333343</v>
      </c>
      <c r="L109" s="46">
        <f t="shared" si="8"/>
        <v>29.166666666666668</v>
      </c>
      <c r="M109" s="46">
        <f t="shared" si="9"/>
        <v>0</v>
      </c>
      <c r="N109" s="46">
        <f t="shared" si="6"/>
        <v>100.00000000000001</v>
      </c>
      <c r="O109" s="45">
        <v>37.6</v>
      </c>
      <c r="P109" s="46">
        <v>12</v>
      </c>
      <c r="Q109" s="46"/>
      <c r="R109" s="47">
        <f t="shared" si="10"/>
        <v>49.6</v>
      </c>
      <c r="S109" s="28">
        <v>5</v>
      </c>
      <c r="T109" s="284">
        <v>40440</v>
      </c>
      <c r="U109" s="293">
        <v>40441</v>
      </c>
      <c r="V109" s="37" t="s">
        <v>472</v>
      </c>
      <c r="W109" s="28" t="s">
        <v>74</v>
      </c>
      <c r="X109" s="28" t="s">
        <v>11</v>
      </c>
      <c r="Y109" s="38">
        <v>30.7</v>
      </c>
      <c r="Z109" s="37" t="s">
        <v>470</v>
      </c>
      <c r="AA109" s="28" t="s">
        <v>869</v>
      </c>
      <c r="AB109" s="28" t="s">
        <v>18</v>
      </c>
      <c r="AC109" s="28">
        <v>6.6</v>
      </c>
      <c r="AD109" s="37" t="s">
        <v>471</v>
      </c>
      <c r="AE109" s="28" t="s">
        <v>22</v>
      </c>
      <c r="AF109" s="28" t="s">
        <v>11</v>
      </c>
      <c r="AG109" s="38">
        <v>6.9</v>
      </c>
      <c r="AH109" s="37" t="s">
        <v>473</v>
      </c>
      <c r="AI109" s="28" t="s">
        <v>17</v>
      </c>
      <c r="AJ109" s="28" t="s">
        <v>18</v>
      </c>
      <c r="AK109" s="28">
        <v>5.4</v>
      </c>
      <c r="AL109" s="37"/>
      <c r="AO109" s="38"/>
      <c r="AP109" s="37"/>
      <c r="AS109" s="38"/>
      <c r="AW109" s="38"/>
      <c r="BA109" s="39"/>
    </row>
    <row r="110" spans="1:53" s="28" customFormat="1" x14ac:dyDescent="0.15">
      <c r="A110" s="28">
        <v>2011</v>
      </c>
      <c r="B110" s="293"/>
      <c r="C110" s="394" t="s">
        <v>606</v>
      </c>
      <c r="D110" s="394"/>
      <c r="E110" s="28">
        <v>0</v>
      </c>
      <c r="G110" s="65">
        <v>17</v>
      </c>
      <c r="H110" s="28">
        <v>7</v>
      </c>
      <c r="J110" s="72">
        <v>24</v>
      </c>
      <c r="K110" s="46">
        <f t="shared" ref="K110:K115" si="11">G110/J110*100</f>
        <v>70.833333333333343</v>
      </c>
      <c r="L110" s="46">
        <f t="shared" ref="L110:L115" si="12">H110/J110*100</f>
        <v>29.166666666666668</v>
      </c>
      <c r="M110" s="46">
        <f t="shared" ref="M110:M115" si="13">I110/J110*100</f>
        <v>0</v>
      </c>
      <c r="N110" s="46">
        <f t="shared" si="6"/>
        <v>100.00000000000001</v>
      </c>
      <c r="O110" s="45">
        <v>37.6</v>
      </c>
      <c r="P110" s="46">
        <v>12</v>
      </c>
      <c r="Q110" s="46"/>
      <c r="R110" s="47">
        <f t="shared" si="10"/>
        <v>49.6</v>
      </c>
      <c r="S110" s="28">
        <v>5</v>
      </c>
      <c r="T110" s="284"/>
      <c r="U110" s="293"/>
      <c r="V110" s="37" t="s">
        <v>472</v>
      </c>
      <c r="W110" s="28" t="s">
        <v>74</v>
      </c>
      <c r="X110" s="28" t="s">
        <v>11</v>
      </c>
      <c r="Y110" s="38">
        <v>30.7</v>
      </c>
      <c r="Z110" s="37" t="s">
        <v>470</v>
      </c>
      <c r="AA110" s="28" t="s">
        <v>869</v>
      </c>
      <c r="AB110" s="28" t="s">
        <v>18</v>
      </c>
      <c r="AC110" s="28">
        <v>6.6</v>
      </c>
      <c r="AD110" s="37" t="s">
        <v>471</v>
      </c>
      <c r="AE110" s="28" t="s">
        <v>22</v>
      </c>
      <c r="AF110" s="28" t="s">
        <v>11</v>
      </c>
      <c r="AG110" s="38">
        <v>6.9</v>
      </c>
      <c r="AH110" s="37" t="s">
        <v>473</v>
      </c>
      <c r="AI110" s="28" t="s">
        <v>17</v>
      </c>
      <c r="AJ110" s="28" t="s">
        <v>18</v>
      </c>
      <c r="AK110" s="28">
        <v>5.4</v>
      </c>
      <c r="AL110" s="37"/>
      <c r="AO110" s="38"/>
      <c r="AP110" s="37"/>
      <c r="AS110" s="38"/>
      <c r="AW110" s="38"/>
      <c r="BA110" s="39"/>
    </row>
    <row r="111" spans="1:53" s="28" customFormat="1" x14ac:dyDescent="0.15">
      <c r="A111" s="28">
        <v>2011</v>
      </c>
      <c r="B111" s="293"/>
      <c r="C111" s="394" t="s">
        <v>606</v>
      </c>
      <c r="D111" s="394"/>
      <c r="E111" s="28">
        <v>365</v>
      </c>
      <c r="G111" s="65">
        <v>17</v>
      </c>
      <c r="H111" s="28">
        <v>7</v>
      </c>
      <c r="J111" s="72">
        <v>24</v>
      </c>
      <c r="K111" s="46">
        <f t="shared" si="11"/>
        <v>70.833333333333343</v>
      </c>
      <c r="L111" s="46">
        <f t="shared" si="12"/>
        <v>29.166666666666668</v>
      </c>
      <c r="M111" s="46">
        <f t="shared" si="13"/>
        <v>0</v>
      </c>
      <c r="N111" s="46">
        <f t="shared" si="6"/>
        <v>100.00000000000001</v>
      </c>
      <c r="O111" s="45">
        <v>37.6</v>
      </c>
      <c r="P111" s="46">
        <v>12</v>
      </c>
      <c r="Q111" s="46"/>
      <c r="R111" s="47">
        <f t="shared" si="10"/>
        <v>49.6</v>
      </c>
      <c r="S111" s="28">
        <v>5</v>
      </c>
      <c r="T111" s="284"/>
      <c r="U111" s="293"/>
      <c r="V111" s="37" t="s">
        <v>472</v>
      </c>
      <c r="W111" s="28" t="s">
        <v>74</v>
      </c>
      <c r="X111" s="28" t="s">
        <v>11</v>
      </c>
      <c r="Y111" s="38">
        <v>30.7</v>
      </c>
      <c r="Z111" s="37" t="s">
        <v>470</v>
      </c>
      <c r="AA111" s="28" t="s">
        <v>869</v>
      </c>
      <c r="AB111" s="28" t="s">
        <v>18</v>
      </c>
      <c r="AC111" s="28">
        <v>6.6</v>
      </c>
      <c r="AD111" s="37" t="s">
        <v>471</v>
      </c>
      <c r="AE111" s="28" t="s">
        <v>22</v>
      </c>
      <c r="AF111" s="28" t="s">
        <v>11</v>
      </c>
      <c r="AG111" s="38">
        <v>6.9</v>
      </c>
      <c r="AH111" s="37" t="s">
        <v>473</v>
      </c>
      <c r="AI111" s="28" t="s">
        <v>17</v>
      </c>
      <c r="AJ111" s="28" t="s">
        <v>18</v>
      </c>
      <c r="AK111" s="28">
        <v>5.4</v>
      </c>
      <c r="AL111" s="37"/>
      <c r="AO111" s="38"/>
      <c r="AP111" s="37"/>
      <c r="AS111" s="38"/>
      <c r="AW111" s="38"/>
      <c r="BA111" s="39"/>
    </row>
    <row r="112" spans="1:53" s="28" customFormat="1" x14ac:dyDescent="0.15">
      <c r="A112" s="28">
        <v>2012</v>
      </c>
      <c r="B112" s="293"/>
      <c r="C112" s="394" t="s">
        <v>606</v>
      </c>
      <c r="D112" s="394"/>
      <c r="E112" s="28">
        <v>0</v>
      </c>
      <c r="G112" s="65">
        <v>17</v>
      </c>
      <c r="H112" s="28">
        <v>7</v>
      </c>
      <c r="J112" s="72">
        <v>24</v>
      </c>
      <c r="K112" s="46">
        <f t="shared" si="11"/>
        <v>70.833333333333343</v>
      </c>
      <c r="L112" s="46">
        <f t="shared" si="12"/>
        <v>29.166666666666668</v>
      </c>
      <c r="M112" s="46">
        <f t="shared" si="13"/>
        <v>0</v>
      </c>
      <c r="N112" s="46">
        <f t="shared" si="6"/>
        <v>100.00000000000001</v>
      </c>
      <c r="O112" s="45">
        <v>37.6</v>
      </c>
      <c r="P112" s="46">
        <v>12</v>
      </c>
      <c r="Q112" s="46"/>
      <c r="R112" s="47">
        <f t="shared" si="10"/>
        <v>49.6</v>
      </c>
      <c r="S112" s="28">
        <v>5</v>
      </c>
      <c r="T112" s="284"/>
      <c r="U112" s="293"/>
      <c r="V112" s="37" t="s">
        <v>472</v>
      </c>
      <c r="W112" s="28" t="s">
        <v>74</v>
      </c>
      <c r="X112" s="28" t="s">
        <v>11</v>
      </c>
      <c r="Y112" s="38">
        <v>30.7</v>
      </c>
      <c r="Z112" s="37" t="s">
        <v>470</v>
      </c>
      <c r="AA112" s="28" t="s">
        <v>869</v>
      </c>
      <c r="AB112" s="28" t="s">
        <v>18</v>
      </c>
      <c r="AC112" s="28">
        <v>6.6</v>
      </c>
      <c r="AD112" s="37" t="s">
        <v>471</v>
      </c>
      <c r="AE112" s="28" t="s">
        <v>22</v>
      </c>
      <c r="AF112" s="28" t="s">
        <v>11</v>
      </c>
      <c r="AG112" s="38">
        <v>6.9</v>
      </c>
      <c r="AH112" s="37" t="s">
        <v>473</v>
      </c>
      <c r="AI112" s="28" t="s">
        <v>17</v>
      </c>
      <c r="AJ112" s="28" t="s">
        <v>18</v>
      </c>
      <c r="AK112" s="28">
        <v>5.4</v>
      </c>
      <c r="AL112" s="37"/>
      <c r="AO112" s="38"/>
      <c r="AP112" s="37"/>
      <c r="AS112" s="38"/>
      <c r="AW112" s="38"/>
      <c r="BA112" s="39"/>
    </row>
    <row r="113" spans="1:53" s="28" customFormat="1" x14ac:dyDescent="0.15">
      <c r="A113" s="28">
        <v>2012</v>
      </c>
      <c r="B113" s="293"/>
      <c r="C113" s="394" t="s">
        <v>606</v>
      </c>
      <c r="D113" s="394"/>
      <c r="E113" s="28">
        <v>366</v>
      </c>
      <c r="G113" s="65">
        <v>17</v>
      </c>
      <c r="H113" s="28">
        <v>7</v>
      </c>
      <c r="J113" s="72">
        <v>24</v>
      </c>
      <c r="K113" s="46">
        <f t="shared" si="11"/>
        <v>70.833333333333343</v>
      </c>
      <c r="L113" s="46">
        <f t="shared" si="12"/>
        <v>29.166666666666668</v>
      </c>
      <c r="M113" s="46">
        <f t="shared" si="13"/>
        <v>0</v>
      </c>
      <c r="N113" s="46">
        <f t="shared" si="6"/>
        <v>100.00000000000001</v>
      </c>
      <c r="O113" s="45">
        <v>37.6</v>
      </c>
      <c r="P113" s="46">
        <v>12</v>
      </c>
      <c r="Q113" s="46"/>
      <c r="R113" s="47">
        <f t="shared" si="10"/>
        <v>49.6</v>
      </c>
      <c r="S113" s="28">
        <v>5</v>
      </c>
      <c r="T113" s="284"/>
      <c r="U113" s="293"/>
      <c r="V113" s="37" t="s">
        <v>472</v>
      </c>
      <c r="W113" s="28" t="s">
        <v>74</v>
      </c>
      <c r="X113" s="28" t="s">
        <v>11</v>
      </c>
      <c r="Y113" s="38">
        <v>30.7</v>
      </c>
      <c r="Z113" s="37" t="s">
        <v>470</v>
      </c>
      <c r="AA113" s="28" t="s">
        <v>869</v>
      </c>
      <c r="AB113" s="28" t="s">
        <v>18</v>
      </c>
      <c r="AC113" s="28">
        <v>6.6</v>
      </c>
      <c r="AD113" s="37" t="s">
        <v>471</v>
      </c>
      <c r="AE113" s="28" t="s">
        <v>22</v>
      </c>
      <c r="AF113" s="28" t="s">
        <v>11</v>
      </c>
      <c r="AG113" s="38">
        <v>6.9</v>
      </c>
      <c r="AH113" s="37" t="s">
        <v>473</v>
      </c>
      <c r="AI113" s="28" t="s">
        <v>17</v>
      </c>
      <c r="AJ113" s="28" t="s">
        <v>18</v>
      </c>
      <c r="AK113" s="28">
        <v>5.4</v>
      </c>
      <c r="AL113" s="37"/>
      <c r="AO113" s="38"/>
      <c r="AP113" s="37"/>
      <c r="AS113" s="38"/>
      <c r="AW113" s="38"/>
      <c r="BA113" s="39"/>
    </row>
    <row r="114" spans="1:53" s="28" customFormat="1" x14ac:dyDescent="0.15">
      <c r="A114" s="28">
        <v>2013</v>
      </c>
      <c r="B114" s="293"/>
      <c r="C114" s="394" t="s">
        <v>606</v>
      </c>
      <c r="D114" s="394"/>
      <c r="E114" s="28">
        <v>0</v>
      </c>
      <c r="G114" s="65">
        <v>17</v>
      </c>
      <c r="H114" s="28">
        <v>7</v>
      </c>
      <c r="J114" s="72">
        <v>24</v>
      </c>
      <c r="K114" s="46">
        <f t="shared" si="11"/>
        <v>70.833333333333343</v>
      </c>
      <c r="L114" s="46">
        <f t="shared" si="12"/>
        <v>29.166666666666668</v>
      </c>
      <c r="M114" s="46">
        <f t="shared" si="13"/>
        <v>0</v>
      </c>
      <c r="N114" s="46">
        <f t="shared" si="6"/>
        <v>100.00000000000001</v>
      </c>
      <c r="O114" s="45">
        <v>37.6</v>
      </c>
      <c r="P114" s="46">
        <v>12</v>
      </c>
      <c r="Q114" s="46"/>
      <c r="R114" s="47">
        <f t="shared" si="10"/>
        <v>49.6</v>
      </c>
      <c r="S114" s="28">
        <v>5</v>
      </c>
      <c r="T114" s="284"/>
      <c r="U114" s="293"/>
      <c r="V114" s="37" t="s">
        <v>472</v>
      </c>
      <c r="W114" s="28" t="s">
        <v>74</v>
      </c>
      <c r="X114" s="28" t="s">
        <v>11</v>
      </c>
      <c r="Y114" s="38">
        <v>30.7</v>
      </c>
      <c r="Z114" s="37" t="s">
        <v>470</v>
      </c>
      <c r="AA114" s="28" t="s">
        <v>869</v>
      </c>
      <c r="AB114" s="28" t="s">
        <v>18</v>
      </c>
      <c r="AC114" s="28">
        <v>6.6</v>
      </c>
      <c r="AD114" s="37" t="s">
        <v>471</v>
      </c>
      <c r="AE114" s="28" t="s">
        <v>22</v>
      </c>
      <c r="AF114" s="28" t="s">
        <v>11</v>
      </c>
      <c r="AG114" s="38">
        <v>6.9</v>
      </c>
      <c r="AH114" s="37" t="s">
        <v>473</v>
      </c>
      <c r="AI114" s="28" t="s">
        <v>17</v>
      </c>
      <c r="AJ114" s="28" t="s">
        <v>18</v>
      </c>
      <c r="AK114" s="28">
        <v>5.4</v>
      </c>
      <c r="AL114" s="37"/>
      <c r="AO114" s="38"/>
      <c r="AP114" s="37"/>
      <c r="AS114" s="38"/>
      <c r="AW114" s="38"/>
      <c r="BA114" s="39"/>
    </row>
    <row r="115" spans="1:53" s="28" customFormat="1" x14ac:dyDescent="0.15">
      <c r="A115" s="28">
        <v>2013</v>
      </c>
      <c r="B115" s="293"/>
      <c r="C115" s="394" t="s">
        <v>606</v>
      </c>
      <c r="D115" s="394"/>
      <c r="E115" s="28">
        <v>365</v>
      </c>
      <c r="G115" s="65">
        <v>17</v>
      </c>
      <c r="H115" s="28">
        <v>7</v>
      </c>
      <c r="J115" s="72">
        <v>24</v>
      </c>
      <c r="K115" s="46">
        <f t="shared" si="11"/>
        <v>70.833333333333343</v>
      </c>
      <c r="L115" s="46">
        <f t="shared" si="12"/>
        <v>29.166666666666668</v>
      </c>
      <c r="M115" s="46">
        <f t="shared" si="13"/>
        <v>0</v>
      </c>
      <c r="N115" s="46">
        <f t="shared" si="6"/>
        <v>100.00000000000001</v>
      </c>
      <c r="O115" s="45">
        <v>37.6</v>
      </c>
      <c r="P115" s="46">
        <v>12</v>
      </c>
      <c r="Q115" s="46"/>
      <c r="R115" s="47">
        <f t="shared" si="10"/>
        <v>49.6</v>
      </c>
      <c r="S115" s="28">
        <v>5</v>
      </c>
      <c r="T115" s="284"/>
      <c r="U115" s="293"/>
      <c r="V115" s="37" t="s">
        <v>472</v>
      </c>
      <c r="W115" s="28" t="s">
        <v>74</v>
      </c>
      <c r="X115" s="28" t="s">
        <v>11</v>
      </c>
      <c r="Y115" s="38">
        <v>30.7</v>
      </c>
      <c r="Z115" s="37" t="s">
        <v>470</v>
      </c>
      <c r="AA115" s="28" t="s">
        <v>869</v>
      </c>
      <c r="AB115" s="28" t="s">
        <v>18</v>
      </c>
      <c r="AC115" s="28">
        <v>6.6</v>
      </c>
      <c r="AD115" s="37" t="s">
        <v>471</v>
      </c>
      <c r="AE115" s="28" t="s">
        <v>22</v>
      </c>
      <c r="AF115" s="28" t="s">
        <v>11</v>
      </c>
      <c r="AG115" s="38">
        <v>6.9</v>
      </c>
      <c r="AH115" s="37" t="s">
        <v>473</v>
      </c>
      <c r="AI115" s="28" t="s">
        <v>17</v>
      </c>
      <c r="AJ115" s="28" t="s">
        <v>18</v>
      </c>
      <c r="AK115" s="28">
        <v>5.4</v>
      </c>
      <c r="AL115" s="37"/>
      <c r="AO115" s="38"/>
      <c r="AP115" s="37"/>
      <c r="AS115" s="38"/>
      <c r="AW115" s="38"/>
      <c r="BA115" s="39"/>
    </row>
    <row r="116" spans="1:53" s="28" customFormat="1" x14ac:dyDescent="0.15">
      <c r="A116" s="28">
        <v>2014</v>
      </c>
      <c r="B116" s="293"/>
      <c r="C116" s="394" t="s">
        <v>606</v>
      </c>
      <c r="D116" s="394"/>
      <c r="E116" s="28">
        <v>277</v>
      </c>
      <c r="G116" s="65">
        <v>17</v>
      </c>
      <c r="H116" s="28">
        <v>7</v>
      </c>
      <c r="J116" s="72">
        <v>24</v>
      </c>
      <c r="K116" s="46">
        <f>G116/J116*100</f>
        <v>70.833333333333343</v>
      </c>
      <c r="L116" s="46">
        <f>H116/J116*100</f>
        <v>29.166666666666668</v>
      </c>
      <c r="M116" s="46">
        <f>I116/J116*100</f>
        <v>0</v>
      </c>
      <c r="N116" s="46">
        <f>K116+L116+M116</f>
        <v>100.00000000000001</v>
      </c>
      <c r="O116" s="45">
        <v>37.6</v>
      </c>
      <c r="P116" s="46">
        <v>12</v>
      </c>
      <c r="Q116" s="46"/>
      <c r="R116" s="47">
        <f>O116+P116+Q116</f>
        <v>49.6</v>
      </c>
      <c r="S116" s="28">
        <v>5</v>
      </c>
      <c r="T116" s="284"/>
      <c r="U116" s="293"/>
      <c r="V116" s="37" t="s">
        <v>472</v>
      </c>
      <c r="W116" s="28" t="s">
        <v>74</v>
      </c>
      <c r="X116" s="28" t="s">
        <v>11</v>
      </c>
      <c r="Y116" s="38">
        <v>30.7</v>
      </c>
      <c r="Z116" s="37" t="s">
        <v>470</v>
      </c>
      <c r="AA116" s="28" t="s">
        <v>869</v>
      </c>
      <c r="AB116" s="28" t="s">
        <v>18</v>
      </c>
      <c r="AC116" s="28">
        <v>6.6</v>
      </c>
      <c r="AD116" s="37" t="s">
        <v>471</v>
      </c>
      <c r="AE116" s="28" t="s">
        <v>22</v>
      </c>
      <c r="AF116" s="28" t="s">
        <v>11</v>
      </c>
      <c r="AG116" s="38">
        <v>6.9</v>
      </c>
      <c r="AH116" s="37" t="s">
        <v>473</v>
      </c>
      <c r="AI116" s="28" t="s">
        <v>17</v>
      </c>
      <c r="AJ116" s="28" t="s">
        <v>18</v>
      </c>
      <c r="AK116" s="28">
        <v>5.4</v>
      </c>
      <c r="AL116" s="37"/>
      <c r="AO116" s="38"/>
      <c r="AP116" s="37"/>
      <c r="AS116" s="38"/>
      <c r="AW116" s="38"/>
      <c r="BA116" s="39"/>
    </row>
    <row r="117" spans="1:53" s="170" customFormat="1" x14ac:dyDescent="0.15">
      <c r="A117" s="170">
        <v>2014</v>
      </c>
      <c r="B117" s="281">
        <v>41917</v>
      </c>
      <c r="C117" s="395" t="s">
        <v>1302</v>
      </c>
      <c r="D117" s="395"/>
      <c r="E117" s="170">
        <v>88</v>
      </c>
      <c r="F117" s="170">
        <v>1</v>
      </c>
      <c r="G117" s="232"/>
      <c r="I117" s="170">
        <v>24</v>
      </c>
      <c r="J117" s="240">
        <v>24</v>
      </c>
      <c r="K117" s="213">
        <f>G117/J117*100</f>
        <v>0</v>
      </c>
      <c r="L117" s="213">
        <f>H117/J117*100</f>
        <v>0</v>
      </c>
      <c r="M117" s="213">
        <f>I117/J117*100</f>
        <v>100</v>
      </c>
      <c r="N117" s="213">
        <f>K117+L117+M117</f>
        <v>100</v>
      </c>
      <c r="O117" s="212"/>
      <c r="P117" s="213"/>
      <c r="Q117" s="213">
        <v>39.6</v>
      </c>
      <c r="R117" s="214">
        <f>O117+P117+Q117</f>
        <v>39.6</v>
      </c>
      <c r="S117" s="170">
        <v>5</v>
      </c>
      <c r="T117" s="283">
        <v>41896</v>
      </c>
      <c r="U117" s="281">
        <v>41917</v>
      </c>
      <c r="V117" s="177" t="s">
        <v>469</v>
      </c>
      <c r="W117" s="170" t="s">
        <v>20</v>
      </c>
      <c r="X117" s="170" t="s">
        <v>12</v>
      </c>
      <c r="Y117" s="178">
        <v>32.4</v>
      </c>
      <c r="Z117" s="177" t="s">
        <v>1303</v>
      </c>
      <c r="AA117" s="170" t="s">
        <v>216</v>
      </c>
      <c r="AB117" s="170" t="s">
        <v>12</v>
      </c>
      <c r="AC117" s="170">
        <v>7.2</v>
      </c>
      <c r="AD117" s="177"/>
      <c r="AG117" s="178"/>
      <c r="AH117" s="177"/>
      <c r="AL117" s="177"/>
      <c r="AO117" s="178"/>
      <c r="AP117" s="177"/>
      <c r="AS117" s="178"/>
      <c r="AW117" s="178"/>
      <c r="BA117" s="179"/>
    </row>
    <row r="118" spans="1:53" s="170" customFormat="1" x14ac:dyDescent="0.15">
      <c r="A118" s="170">
        <v>2015</v>
      </c>
      <c r="B118" s="281"/>
      <c r="C118" s="395" t="s">
        <v>1302</v>
      </c>
      <c r="D118" s="395"/>
      <c r="E118" s="170">
        <v>0</v>
      </c>
      <c r="G118" s="232"/>
      <c r="I118" s="170">
        <v>24</v>
      </c>
      <c r="J118" s="240">
        <v>24</v>
      </c>
      <c r="K118" s="213">
        <f t="shared" ref="K118:K119" si="14">G118/J118*100</f>
        <v>0</v>
      </c>
      <c r="L118" s="213">
        <f t="shared" ref="L118:L119" si="15">H118/J118*100</f>
        <v>0</v>
      </c>
      <c r="M118" s="213">
        <f t="shared" ref="M118:M119" si="16">I118/J118*100</f>
        <v>100</v>
      </c>
      <c r="N118" s="213">
        <f t="shared" ref="N118:N119" si="17">K118+L118+M118</f>
        <v>100</v>
      </c>
      <c r="O118" s="212"/>
      <c r="P118" s="213"/>
      <c r="Q118" s="213">
        <v>39.6</v>
      </c>
      <c r="R118" s="214">
        <f t="shared" ref="R118:R119" si="18">O118+P118+Q118</f>
        <v>39.6</v>
      </c>
      <c r="S118" s="170">
        <v>5</v>
      </c>
      <c r="T118" s="283"/>
      <c r="U118" s="281"/>
      <c r="V118" s="177" t="s">
        <v>469</v>
      </c>
      <c r="W118" s="170" t="s">
        <v>20</v>
      </c>
      <c r="X118" s="170" t="s">
        <v>12</v>
      </c>
      <c r="Y118" s="178">
        <v>32.4</v>
      </c>
      <c r="Z118" s="177" t="s">
        <v>1303</v>
      </c>
      <c r="AA118" s="170" t="s">
        <v>216</v>
      </c>
      <c r="AB118" s="170" t="s">
        <v>12</v>
      </c>
      <c r="AC118" s="170">
        <v>7.2</v>
      </c>
      <c r="AD118" s="177"/>
      <c r="AG118" s="178"/>
      <c r="AH118" s="177"/>
      <c r="AL118" s="177"/>
      <c r="AO118" s="178"/>
      <c r="AP118" s="177"/>
      <c r="AS118" s="178"/>
      <c r="AW118" s="178"/>
      <c r="BA118" s="179"/>
    </row>
    <row r="119" spans="1:53" s="170" customFormat="1" x14ac:dyDescent="0.15">
      <c r="A119" s="170">
        <v>2015</v>
      </c>
      <c r="B119" s="281"/>
      <c r="C119" s="395" t="s">
        <v>1302</v>
      </c>
      <c r="D119" s="395"/>
      <c r="E119" s="170">
        <v>365</v>
      </c>
      <c r="G119" s="232"/>
      <c r="I119" s="170">
        <v>24</v>
      </c>
      <c r="J119" s="240">
        <v>24</v>
      </c>
      <c r="K119" s="213">
        <f t="shared" si="14"/>
        <v>0</v>
      </c>
      <c r="L119" s="213">
        <f t="shared" si="15"/>
        <v>0</v>
      </c>
      <c r="M119" s="213">
        <f t="shared" si="16"/>
        <v>100</v>
      </c>
      <c r="N119" s="213">
        <f t="shared" si="17"/>
        <v>100</v>
      </c>
      <c r="O119" s="212"/>
      <c r="P119" s="213"/>
      <c r="Q119" s="213">
        <v>39.6</v>
      </c>
      <c r="R119" s="214">
        <f t="shared" si="18"/>
        <v>39.6</v>
      </c>
      <c r="S119" s="170">
        <v>5</v>
      </c>
      <c r="T119" s="283"/>
      <c r="U119" s="281"/>
      <c r="V119" s="177" t="s">
        <v>469</v>
      </c>
      <c r="W119" s="170" t="s">
        <v>20</v>
      </c>
      <c r="X119" s="170" t="s">
        <v>12</v>
      </c>
      <c r="Y119" s="178">
        <v>32.4</v>
      </c>
      <c r="Z119" s="177" t="s">
        <v>1303</v>
      </c>
      <c r="AA119" s="170" t="s">
        <v>216</v>
      </c>
      <c r="AB119" s="170" t="s">
        <v>12</v>
      </c>
      <c r="AC119" s="170">
        <v>7.2</v>
      </c>
      <c r="AD119" s="177"/>
      <c r="AG119" s="178"/>
      <c r="AH119" s="177"/>
      <c r="AL119" s="177"/>
      <c r="AO119" s="178"/>
      <c r="AP119" s="177"/>
      <c r="AS119" s="178"/>
      <c r="AW119" s="178"/>
      <c r="BA119" s="179"/>
    </row>
    <row r="120" spans="1:53" s="170" customFormat="1" x14ac:dyDescent="0.15">
      <c r="A120" s="170">
        <v>2016</v>
      </c>
      <c r="B120" s="281"/>
      <c r="C120" s="395" t="s">
        <v>1302</v>
      </c>
      <c r="D120" s="395"/>
      <c r="E120" s="170">
        <v>0</v>
      </c>
      <c r="G120" s="232"/>
      <c r="I120" s="170">
        <v>24</v>
      </c>
      <c r="J120" s="240">
        <v>24</v>
      </c>
      <c r="K120" s="213">
        <f t="shared" ref="K120:K121" si="19">G120/J120*100</f>
        <v>0</v>
      </c>
      <c r="L120" s="213">
        <f t="shared" ref="L120:L121" si="20">H120/J120*100</f>
        <v>0</v>
      </c>
      <c r="M120" s="213">
        <f t="shared" ref="M120:M121" si="21">I120/J120*100</f>
        <v>100</v>
      </c>
      <c r="N120" s="213">
        <f t="shared" ref="N120:N121" si="22">K120+L120+M120</f>
        <v>100</v>
      </c>
      <c r="O120" s="212"/>
      <c r="P120" s="213"/>
      <c r="Q120" s="213">
        <v>39.6</v>
      </c>
      <c r="R120" s="214">
        <f t="shared" ref="R120:R121" si="23">O120+P120+Q120</f>
        <v>39.6</v>
      </c>
      <c r="S120" s="170">
        <v>5</v>
      </c>
      <c r="T120" s="283"/>
      <c r="U120" s="281"/>
      <c r="V120" s="177" t="s">
        <v>469</v>
      </c>
      <c r="W120" s="170" t="s">
        <v>20</v>
      </c>
      <c r="X120" s="170" t="s">
        <v>12</v>
      </c>
      <c r="Y120" s="178">
        <v>32.4</v>
      </c>
      <c r="Z120" s="177" t="s">
        <v>1303</v>
      </c>
      <c r="AA120" s="170" t="s">
        <v>216</v>
      </c>
      <c r="AB120" s="170" t="s">
        <v>12</v>
      </c>
      <c r="AC120" s="170">
        <v>7.2</v>
      </c>
      <c r="AD120" s="177"/>
      <c r="AG120" s="178"/>
      <c r="AH120" s="177"/>
      <c r="AL120" s="177"/>
      <c r="AO120" s="178"/>
      <c r="AP120" s="177"/>
      <c r="AS120" s="178"/>
      <c r="AW120" s="178"/>
      <c r="BA120" s="179"/>
    </row>
    <row r="121" spans="1:53" s="170" customFormat="1" x14ac:dyDescent="0.15">
      <c r="A121" s="170">
        <v>2016</v>
      </c>
      <c r="B121" s="281"/>
      <c r="C121" s="395" t="s">
        <v>1302</v>
      </c>
      <c r="D121" s="395"/>
      <c r="E121" s="170">
        <v>366</v>
      </c>
      <c r="G121" s="232"/>
      <c r="I121" s="170">
        <v>24</v>
      </c>
      <c r="J121" s="240">
        <v>24</v>
      </c>
      <c r="K121" s="213">
        <f t="shared" si="19"/>
        <v>0</v>
      </c>
      <c r="L121" s="213">
        <f t="shared" si="20"/>
        <v>0</v>
      </c>
      <c r="M121" s="213">
        <f t="shared" si="21"/>
        <v>100</v>
      </c>
      <c r="N121" s="213">
        <f t="shared" si="22"/>
        <v>100</v>
      </c>
      <c r="O121" s="212"/>
      <c r="P121" s="213"/>
      <c r="Q121" s="213">
        <v>39.6</v>
      </c>
      <c r="R121" s="214">
        <f t="shared" si="23"/>
        <v>39.6</v>
      </c>
      <c r="S121" s="170">
        <v>5</v>
      </c>
      <c r="T121" s="283"/>
      <c r="U121" s="281"/>
      <c r="V121" s="177" t="s">
        <v>469</v>
      </c>
      <c r="W121" s="170" t="s">
        <v>20</v>
      </c>
      <c r="X121" s="170" t="s">
        <v>12</v>
      </c>
      <c r="Y121" s="178">
        <v>32.4</v>
      </c>
      <c r="Z121" s="177" t="s">
        <v>1303</v>
      </c>
      <c r="AA121" s="170" t="s">
        <v>216</v>
      </c>
      <c r="AB121" s="170" t="s">
        <v>12</v>
      </c>
      <c r="AC121" s="170">
        <v>7.2</v>
      </c>
      <c r="AD121" s="177"/>
      <c r="AG121" s="178"/>
      <c r="AH121" s="177"/>
      <c r="AL121" s="177"/>
      <c r="AO121" s="178"/>
      <c r="AP121" s="177"/>
      <c r="AS121" s="178"/>
      <c r="AW121" s="178"/>
      <c r="BA121" s="179"/>
    </row>
    <row r="122" spans="1:53" s="170" customFormat="1" x14ac:dyDescent="0.15">
      <c r="A122" s="170">
        <v>2017</v>
      </c>
      <c r="B122" s="281"/>
      <c r="C122" s="395" t="s">
        <v>1302</v>
      </c>
      <c r="D122" s="395"/>
      <c r="E122" s="170">
        <v>207</v>
      </c>
      <c r="G122" s="232"/>
      <c r="I122" s="170">
        <v>24</v>
      </c>
      <c r="J122" s="240">
        <v>24</v>
      </c>
      <c r="K122" s="213">
        <f t="shared" ref="K122:K125" si="24">G122/J122*100</f>
        <v>0</v>
      </c>
      <c r="L122" s="213">
        <f t="shared" ref="L122:L125" si="25">H122/J122*100</f>
        <v>0</v>
      </c>
      <c r="M122" s="213">
        <f t="shared" ref="M122:M125" si="26">I122/J122*100</f>
        <v>100</v>
      </c>
      <c r="N122" s="213">
        <f t="shared" ref="N122:N125" si="27">K122+L122+M122</f>
        <v>100</v>
      </c>
      <c r="O122" s="212"/>
      <c r="P122" s="213"/>
      <c r="Q122" s="213">
        <v>39.6</v>
      </c>
      <c r="R122" s="214">
        <f t="shared" ref="R122" si="28">O122+P122+Q122</f>
        <v>39.6</v>
      </c>
      <c r="S122" s="170">
        <v>5</v>
      </c>
      <c r="T122" s="283"/>
      <c r="U122" s="281"/>
      <c r="V122" s="177" t="s">
        <v>469</v>
      </c>
      <c r="W122" s="170" t="s">
        <v>20</v>
      </c>
      <c r="X122" s="170" t="s">
        <v>12</v>
      </c>
      <c r="Y122" s="178">
        <v>32.4</v>
      </c>
      <c r="Z122" s="177" t="s">
        <v>1303</v>
      </c>
      <c r="AA122" s="170" t="s">
        <v>216</v>
      </c>
      <c r="AB122" s="170" t="s">
        <v>12</v>
      </c>
      <c r="AC122" s="170">
        <v>7.2</v>
      </c>
      <c r="AD122" s="177"/>
      <c r="AG122" s="178"/>
      <c r="AH122" s="177"/>
      <c r="AL122" s="177"/>
      <c r="AO122" s="178"/>
      <c r="AP122" s="177"/>
      <c r="AS122" s="178"/>
      <c r="AW122" s="178"/>
      <c r="BA122" s="179"/>
    </row>
    <row r="123" spans="1:53" s="170" customFormat="1" x14ac:dyDescent="0.15">
      <c r="A123" s="170">
        <v>2017</v>
      </c>
      <c r="B123" s="303">
        <v>42943</v>
      </c>
      <c r="C123" s="395" t="s">
        <v>1302</v>
      </c>
      <c r="D123" s="395"/>
      <c r="E123" s="170">
        <v>158</v>
      </c>
      <c r="F123" s="243">
        <v>0</v>
      </c>
      <c r="G123" s="232"/>
      <c r="I123" s="170">
        <v>23</v>
      </c>
      <c r="J123" s="240">
        <v>23</v>
      </c>
      <c r="K123" s="213">
        <f t="shared" si="24"/>
        <v>0</v>
      </c>
      <c r="L123" s="213">
        <f t="shared" si="25"/>
        <v>0</v>
      </c>
      <c r="M123" s="213">
        <f t="shared" si="26"/>
        <v>100</v>
      </c>
      <c r="N123" s="213">
        <f t="shared" si="27"/>
        <v>100</v>
      </c>
      <c r="O123" s="212"/>
      <c r="P123" s="213"/>
      <c r="Q123" s="213">
        <v>39.6</v>
      </c>
      <c r="R123" s="214">
        <f t="shared" ref="R123" si="29">O123+P123+Q123</f>
        <v>39.6</v>
      </c>
      <c r="S123" s="170">
        <v>5</v>
      </c>
      <c r="T123" s="283"/>
      <c r="U123" s="281"/>
      <c r="V123" s="177" t="s">
        <v>469</v>
      </c>
      <c r="W123" s="170" t="s">
        <v>20</v>
      </c>
      <c r="X123" s="170" t="s">
        <v>12</v>
      </c>
      <c r="Y123" s="178">
        <v>32.4</v>
      </c>
      <c r="Z123" s="177" t="s">
        <v>1303</v>
      </c>
      <c r="AA123" s="170" t="s">
        <v>216</v>
      </c>
      <c r="AB123" s="170" t="s">
        <v>12</v>
      </c>
      <c r="AC123" s="170">
        <v>7.2</v>
      </c>
      <c r="AD123" s="177"/>
      <c r="AG123" s="178"/>
      <c r="AH123" s="177"/>
      <c r="AL123" s="177"/>
      <c r="AO123" s="178"/>
      <c r="AP123" s="177"/>
      <c r="AS123" s="178"/>
      <c r="AW123" s="178"/>
      <c r="BA123" s="179"/>
    </row>
    <row r="124" spans="1:53" s="170" customFormat="1" x14ac:dyDescent="0.15">
      <c r="A124" s="170">
        <v>2018</v>
      </c>
      <c r="B124" s="281"/>
      <c r="C124" s="395" t="s">
        <v>1302</v>
      </c>
      <c r="D124" s="395"/>
      <c r="E124" s="170">
        <v>0</v>
      </c>
      <c r="G124" s="232"/>
      <c r="I124" s="170">
        <v>23</v>
      </c>
      <c r="J124" s="240">
        <v>23</v>
      </c>
      <c r="K124" s="213">
        <f t="shared" si="24"/>
        <v>0</v>
      </c>
      <c r="L124" s="213">
        <f t="shared" si="25"/>
        <v>0</v>
      </c>
      <c r="M124" s="213">
        <f t="shared" si="26"/>
        <v>100</v>
      </c>
      <c r="N124" s="213">
        <f t="shared" si="27"/>
        <v>100</v>
      </c>
      <c r="O124" s="212"/>
      <c r="P124" s="213"/>
      <c r="Q124" s="213">
        <v>39.6</v>
      </c>
      <c r="R124" s="214">
        <f t="shared" ref="R124:R125" si="30">O124+P124+Q124</f>
        <v>39.6</v>
      </c>
      <c r="S124" s="170">
        <v>5</v>
      </c>
      <c r="T124" s="283"/>
      <c r="U124" s="281"/>
      <c r="V124" s="177" t="s">
        <v>469</v>
      </c>
      <c r="W124" s="170" t="s">
        <v>20</v>
      </c>
      <c r="X124" s="170" t="s">
        <v>12</v>
      </c>
      <c r="Y124" s="178">
        <v>32.4</v>
      </c>
      <c r="Z124" s="177" t="s">
        <v>1303</v>
      </c>
      <c r="AA124" s="170" t="s">
        <v>216</v>
      </c>
      <c r="AB124" s="170" t="s">
        <v>12</v>
      </c>
      <c r="AC124" s="170">
        <v>7.2</v>
      </c>
      <c r="AD124" s="177"/>
      <c r="AG124" s="178"/>
      <c r="AH124" s="177"/>
      <c r="AL124" s="177"/>
      <c r="AO124" s="178"/>
      <c r="AP124" s="177"/>
      <c r="AS124" s="178"/>
      <c r="AW124" s="178"/>
      <c r="BA124" s="179"/>
    </row>
    <row r="125" spans="1:53" s="170" customFormat="1" x14ac:dyDescent="0.15">
      <c r="A125" s="170">
        <v>2018</v>
      </c>
      <c r="B125" s="281"/>
      <c r="C125" s="395" t="s">
        <v>1302</v>
      </c>
      <c r="D125" s="395"/>
      <c r="E125" s="170">
        <v>365</v>
      </c>
      <c r="G125" s="232"/>
      <c r="I125" s="170">
        <v>23</v>
      </c>
      <c r="J125" s="240">
        <v>23</v>
      </c>
      <c r="K125" s="213">
        <f t="shared" si="24"/>
        <v>0</v>
      </c>
      <c r="L125" s="213">
        <f t="shared" si="25"/>
        <v>0</v>
      </c>
      <c r="M125" s="213">
        <f t="shared" si="26"/>
        <v>100</v>
      </c>
      <c r="N125" s="213">
        <f t="shared" si="27"/>
        <v>100</v>
      </c>
      <c r="O125" s="212"/>
      <c r="P125" s="213"/>
      <c r="Q125" s="213">
        <v>39.6</v>
      </c>
      <c r="R125" s="214">
        <f t="shared" si="30"/>
        <v>39.6</v>
      </c>
      <c r="S125" s="170">
        <v>5</v>
      </c>
      <c r="T125" s="283">
        <v>43352</v>
      </c>
      <c r="U125" s="281"/>
      <c r="V125" s="177" t="s">
        <v>469</v>
      </c>
      <c r="W125" s="170" t="s">
        <v>20</v>
      </c>
      <c r="X125" s="170" t="s">
        <v>12</v>
      </c>
      <c r="Y125" s="178">
        <v>32.4</v>
      </c>
      <c r="Z125" s="177" t="s">
        <v>1303</v>
      </c>
      <c r="AA125" s="170" t="s">
        <v>216</v>
      </c>
      <c r="AB125" s="170" t="s">
        <v>12</v>
      </c>
      <c r="AC125" s="170">
        <v>7.2</v>
      </c>
      <c r="AD125" s="177"/>
      <c r="AG125" s="178"/>
      <c r="AH125" s="177"/>
      <c r="AL125" s="177"/>
      <c r="AO125" s="178"/>
      <c r="AP125" s="177"/>
      <c r="AS125" s="178"/>
      <c r="AW125" s="178"/>
      <c r="BA125" s="179"/>
    </row>
    <row r="126" spans="1:53" s="170" customFormat="1" x14ac:dyDescent="0.15">
      <c r="A126" s="170">
        <v>2019</v>
      </c>
      <c r="B126" s="281"/>
      <c r="C126" s="395" t="s">
        <v>1302</v>
      </c>
      <c r="D126" s="395"/>
      <c r="E126" s="170">
        <v>22</v>
      </c>
      <c r="G126" s="232"/>
      <c r="I126" s="170">
        <v>23</v>
      </c>
      <c r="J126" s="240">
        <v>23</v>
      </c>
      <c r="K126" s="213">
        <f t="shared" ref="K126:K136" si="31">G126/J126*100</f>
        <v>0</v>
      </c>
      <c r="L126" s="213">
        <f t="shared" ref="L126:L136" si="32">H126/J126*100</f>
        <v>0</v>
      </c>
      <c r="M126" s="213">
        <f t="shared" ref="M126:M136" si="33">I126/J126*100</f>
        <v>100</v>
      </c>
      <c r="N126" s="213">
        <f t="shared" ref="N126:N136" si="34">K126+L126+M126</f>
        <v>100</v>
      </c>
      <c r="O126" s="212"/>
      <c r="P126" s="213"/>
      <c r="Q126" s="213">
        <v>39.6</v>
      </c>
      <c r="R126" s="214">
        <f t="shared" ref="R126:R136" si="35">O126+P126+Q126</f>
        <v>39.6</v>
      </c>
      <c r="S126" s="170">
        <v>5</v>
      </c>
      <c r="T126" s="283"/>
      <c r="U126" s="281"/>
      <c r="V126" s="177" t="s">
        <v>469</v>
      </c>
      <c r="W126" s="170" t="s">
        <v>20</v>
      </c>
      <c r="X126" s="170" t="s">
        <v>12</v>
      </c>
      <c r="Y126" s="178">
        <v>32.4</v>
      </c>
      <c r="Z126" s="177" t="s">
        <v>1303</v>
      </c>
      <c r="AA126" s="170" t="s">
        <v>216</v>
      </c>
      <c r="AB126" s="170" t="s">
        <v>12</v>
      </c>
      <c r="AC126" s="170">
        <v>7.2</v>
      </c>
      <c r="AD126" s="177"/>
      <c r="AG126" s="178"/>
      <c r="AH126" s="177"/>
      <c r="AL126" s="177"/>
      <c r="AO126" s="178"/>
      <c r="AP126" s="177"/>
      <c r="AS126" s="178"/>
      <c r="AW126" s="178"/>
      <c r="BA126" s="179"/>
    </row>
    <row r="127" spans="1:53" s="28" customFormat="1" x14ac:dyDescent="0.15">
      <c r="A127" s="28">
        <v>2019</v>
      </c>
      <c r="B127" s="293">
        <v>43486</v>
      </c>
      <c r="C127" s="394" t="s">
        <v>1426</v>
      </c>
      <c r="D127" s="394"/>
      <c r="E127" s="28">
        <v>343</v>
      </c>
      <c r="F127" s="28">
        <v>1</v>
      </c>
      <c r="G127" s="65"/>
      <c r="I127" s="28">
        <v>23</v>
      </c>
      <c r="J127" s="72">
        <v>23</v>
      </c>
      <c r="K127" s="46">
        <f t="shared" si="31"/>
        <v>0</v>
      </c>
      <c r="L127" s="46">
        <f t="shared" si="32"/>
        <v>0</v>
      </c>
      <c r="M127" s="46">
        <f t="shared" si="33"/>
        <v>100</v>
      </c>
      <c r="N127" s="46">
        <f t="shared" si="34"/>
        <v>100</v>
      </c>
      <c r="O127" s="45"/>
      <c r="P127" s="46"/>
      <c r="Q127" s="46">
        <v>33.200000000000003</v>
      </c>
      <c r="R127" s="47">
        <f t="shared" si="35"/>
        <v>33.200000000000003</v>
      </c>
      <c r="S127" s="28">
        <v>5</v>
      </c>
      <c r="T127" s="284"/>
      <c r="U127" s="293">
        <v>43486</v>
      </c>
      <c r="V127" s="37" t="s">
        <v>469</v>
      </c>
      <c r="W127" s="28" t="s">
        <v>20</v>
      </c>
      <c r="X127" s="28" t="s">
        <v>12</v>
      </c>
      <c r="Y127" s="38">
        <v>28.6</v>
      </c>
      <c r="Z127" s="28" t="s">
        <v>1303</v>
      </c>
      <c r="AA127" s="28" t="s">
        <v>216</v>
      </c>
      <c r="AB127" s="28" t="s">
        <v>12</v>
      </c>
      <c r="AC127" s="38">
        <v>4.5999999999999996</v>
      </c>
      <c r="AG127" s="38"/>
      <c r="AH127" s="37"/>
      <c r="AL127" s="37"/>
      <c r="AO127" s="38"/>
      <c r="AS127" s="38"/>
      <c r="AW127" s="38"/>
      <c r="BA127" s="39"/>
    </row>
    <row r="128" spans="1:53" s="28" customFormat="1" x14ac:dyDescent="0.15">
      <c r="A128" s="28">
        <v>2020</v>
      </c>
      <c r="B128" s="293"/>
      <c r="C128" s="394" t="s">
        <v>1426</v>
      </c>
      <c r="D128" s="394"/>
      <c r="E128" s="28">
        <v>351</v>
      </c>
      <c r="F128" s="39"/>
      <c r="I128" s="28">
        <v>23</v>
      </c>
      <c r="J128" s="72">
        <v>23</v>
      </c>
      <c r="K128" s="46">
        <f t="shared" si="31"/>
        <v>0</v>
      </c>
      <c r="L128" s="46">
        <f t="shared" si="32"/>
        <v>0</v>
      </c>
      <c r="M128" s="46">
        <f t="shared" si="33"/>
        <v>100</v>
      </c>
      <c r="N128" s="330">
        <f t="shared" si="34"/>
        <v>100</v>
      </c>
      <c r="O128" s="46"/>
      <c r="P128" s="46"/>
      <c r="Q128" s="46">
        <v>33.200000000000003</v>
      </c>
      <c r="R128" s="47">
        <f t="shared" si="35"/>
        <v>33.200000000000003</v>
      </c>
      <c r="S128" s="36">
        <v>5</v>
      </c>
      <c r="T128" s="284"/>
      <c r="U128" s="290"/>
      <c r="V128" s="28" t="s">
        <v>469</v>
      </c>
      <c r="W128" s="28" t="s">
        <v>20</v>
      </c>
      <c r="X128" s="28" t="s">
        <v>12</v>
      </c>
      <c r="Y128" s="38">
        <v>28.6</v>
      </c>
      <c r="Z128" s="28" t="s">
        <v>1303</v>
      </c>
      <c r="AA128" s="28" t="s">
        <v>216</v>
      </c>
      <c r="AB128" s="28" t="s">
        <v>12</v>
      </c>
      <c r="AC128" s="38">
        <v>4.5999999999999996</v>
      </c>
      <c r="AG128" s="38"/>
      <c r="AK128" s="38"/>
      <c r="AO128" s="38"/>
      <c r="AS128" s="38"/>
      <c r="AW128" s="38"/>
      <c r="BA128" s="39"/>
    </row>
    <row r="129" spans="1:53" s="28" customFormat="1" x14ac:dyDescent="0.15">
      <c r="A129" s="28">
        <v>2020</v>
      </c>
      <c r="B129" s="301">
        <v>44182</v>
      </c>
      <c r="C129" s="394" t="s">
        <v>1426</v>
      </c>
      <c r="D129" s="394"/>
      <c r="E129" s="28">
        <v>15</v>
      </c>
      <c r="F129" s="340">
        <v>0</v>
      </c>
      <c r="I129" s="28">
        <v>22</v>
      </c>
      <c r="J129" s="72">
        <v>22</v>
      </c>
      <c r="K129" s="46">
        <f t="shared" si="31"/>
        <v>0</v>
      </c>
      <c r="L129" s="46">
        <f t="shared" si="32"/>
        <v>0</v>
      </c>
      <c r="M129" s="46">
        <f t="shared" si="33"/>
        <v>100</v>
      </c>
      <c r="N129" s="330">
        <f t="shared" si="34"/>
        <v>100</v>
      </c>
      <c r="O129" s="46"/>
      <c r="P129" s="46"/>
      <c r="Q129" s="46">
        <v>33.200000000000003</v>
      </c>
      <c r="R129" s="47">
        <f t="shared" si="35"/>
        <v>33.200000000000003</v>
      </c>
      <c r="S129" s="36">
        <v>5</v>
      </c>
      <c r="T129" s="284"/>
      <c r="U129" s="290"/>
      <c r="V129" s="28" t="s">
        <v>469</v>
      </c>
      <c r="W129" s="28" t="s">
        <v>20</v>
      </c>
      <c r="X129" s="28" t="s">
        <v>12</v>
      </c>
      <c r="Y129" s="38">
        <v>28.6</v>
      </c>
      <c r="Z129" s="28" t="s">
        <v>1303</v>
      </c>
      <c r="AA129" s="28" t="s">
        <v>216</v>
      </c>
      <c r="AB129" s="28" t="s">
        <v>12</v>
      </c>
      <c r="AC129" s="38">
        <v>4.5999999999999996</v>
      </c>
      <c r="AG129" s="38"/>
      <c r="AK129" s="38"/>
      <c r="AO129" s="38"/>
      <c r="AS129" s="38"/>
      <c r="AW129" s="38"/>
      <c r="BA129" s="39"/>
    </row>
    <row r="130" spans="1:53" s="28" customFormat="1" x14ac:dyDescent="0.15">
      <c r="A130" s="28">
        <v>2021</v>
      </c>
      <c r="B130" s="301"/>
      <c r="C130" s="394" t="s">
        <v>1426</v>
      </c>
      <c r="D130" s="394"/>
      <c r="E130" s="28">
        <v>36</v>
      </c>
      <c r="F130" s="340"/>
      <c r="I130" s="28">
        <v>22</v>
      </c>
      <c r="J130" s="72">
        <v>22</v>
      </c>
      <c r="K130" s="46">
        <f t="shared" si="31"/>
        <v>0</v>
      </c>
      <c r="L130" s="46">
        <f t="shared" si="32"/>
        <v>0</v>
      </c>
      <c r="M130" s="46">
        <f t="shared" si="33"/>
        <v>100</v>
      </c>
      <c r="N130" s="330">
        <f t="shared" si="34"/>
        <v>100</v>
      </c>
      <c r="O130" s="46"/>
      <c r="P130" s="46"/>
      <c r="Q130" s="46">
        <v>33.200000000000003</v>
      </c>
      <c r="R130" s="47">
        <f t="shared" si="35"/>
        <v>33.200000000000003</v>
      </c>
      <c r="S130" s="36">
        <v>5</v>
      </c>
      <c r="T130" s="284"/>
      <c r="U130" s="290"/>
      <c r="V130" s="28" t="s">
        <v>469</v>
      </c>
      <c r="W130" s="28" t="s">
        <v>20</v>
      </c>
      <c r="X130" s="28" t="s">
        <v>12</v>
      </c>
      <c r="Y130" s="38">
        <v>28.6</v>
      </c>
      <c r="Z130" s="28" t="s">
        <v>1303</v>
      </c>
      <c r="AA130" s="28" t="s">
        <v>216</v>
      </c>
      <c r="AB130" s="28" t="s">
        <v>12</v>
      </c>
      <c r="AC130" s="38">
        <v>4.5999999999999996</v>
      </c>
      <c r="AG130" s="38"/>
      <c r="AK130" s="38"/>
      <c r="AO130" s="38"/>
      <c r="AS130" s="38"/>
      <c r="AW130" s="38"/>
      <c r="BA130" s="39"/>
    </row>
    <row r="131" spans="1:53" s="28" customFormat="1" x14ac:dyDescent="0.15">
      <c r="A131" s="28">
        <v>2021</v>
      </c>
      <c r="B131" s="301">
        <v>44232</v>
      </c>
      <c r="C131" s="394" t="s">
        <v>1426</v>
      </c>
      <c r="D131" s="394"/>
      <c r="E131" s="28">
        <v>145</v>
      </c>
      <c r="F131" s="340">
        <v>0</v>
      </c>
      <c r="I131" s="28">
        <v>23</v>
      </c>
      <c r="J131" s="72">
        <v>23</v>
      </c>
      <c r="K131" s="46">
        <f t="shared" si="31"/>
        <v>0</v>
      </c>
      <c r="L131" s="46">
        <f t="shared" si="32"/>
        <v>0</v>
      </c>
      <c r="M131" s="46">
        <f t="shared" si="33"/>
        <v>100</v>
      </c>
      <c r="N131" s="330">
        <f t="shared" si="34"/>
        <v>100</v>
      </c>
      <c r="O131" s="46"/>
      <c r="P131" s="46"/>
      <c r="Q131" s="46">
        <v>33.200000000000003</v>
      </c>
      <c r="R131" s="47">
        <f t="shared" si="35"/>
        <v>33.200000000000003</v>
      </c>
      <c r="S131" s="36">
        <v>5</v>
      </c>
      <c r="T131" s="284"/>
      <c r="U131" s="290"/>
      <c r="V131" s="28" t="s">
        <v>469</v>
      </c>
      <c r="W131" s="28" t="s">
        <v>20</v>
      </c>
      <c r="X131" s="28" t="s">
        <v>12</v>
      </c>
      <c r="Y131" s="38">
        <v>28.6</v>
      </c>
      <c r="Z131" s="28" t="s">
        <v>1303</v>
      </c>
      <c r="AA131" s="28" t="s">
        <v>216</v>
      </c>
      <c r="AB131" s="28" t="s">
        <v>12</v>
      </c>
      <c r="AC131" s="38">
        <v>4.5999999999999996</v>
      </c>
      <c r="AG131" s="38"/>
      <c r="AK131" s="38"/>
      <c r="AO131" s="38"/>
      <c r="AS131" s="38"/>
      <c r="AW131" s="38"/>
      <c r="BA131" s="39"/>
    </row>
    <row r="132" spans="1:53" s="28" customFormat="1" x14ac:dyDescent="0.15">
      <c r="A132" s="28">
        <v>2021</v>
      </c>
      <c r="B132" s="301">
        <v>44377</v>
      </c>
      <c r="C132" s="394" t="s">
        <v>1426</v>
      </c>
      <c r="D132" s="394"/>
      <c r="E132" s="28">
        <v>9</v>
      </c>
      <c r="F132" s="340">
        <v>0</v>
      </c>
      <c r="I132" s="28">
        <v>22</v>
      </c>
      <c r="J132" s="72">
        <v>22</v>
      </c>
      <c r="K132" s="46">
        <f t="shared" si="31"/>
        <v>0</v>
      </c>
      <c r="L132" s="46">
        <f t="shared" si="32"/>
        <v>0</v>
      </c>
      <c r="M132" s="46">
        <f t="shared" si="33"/>
        <v>100</v>
      </c>
      <c r="N132" s="330">
        <f t="shared" si="34"/>
        <v>100</v>
      </c>
      <c r="O132" s="46"/>
      <c r="P132" s="46"/>
      <c r="Q132" s="46">
        <v>33.200000000000003</v>
      </c>
      <c r="R132" s="47">
        <f t="shared" si="35"/>
        <v>33.200000000000003</v>
      </c>
      <c r="S132" s="36">
        <v>5</v>
      </c>
      <c r="T132" s="284"/>
      <c r="U132" s="290"/>
      <c r="V132" s="28" t="s">
        <v>469</v>
      </c>
      <c r="W132" s="28" t="s">
        <v>20</v>
      </c>
      <c r="X132" s="28" t="s">
        <v>12</v>
      </c>
      <c r="Y132" s="38">
        <v>28.6</v>
      </c>
      <c r="Z132" s="28" t="s">
        <v>1303</v>
      </c>
      <c r="AA132" s="28" t="s">
        <v>216</v>
      </c>
      <c r="AB132" s="28" t="s">
        <v>12</v>
      </c>
      <c r="AC132" s="38">
        <v>4.5999999999999996</v>
      </c>
      <c r="AG132" s="38"/>
      <c r="AK132" s="38"/>
      <c r="AO132" s="38"/>
      <c r="AS132" s="38"/>
      <c r="AW132" s="38"/>
      <c r="BA132" s="39"/>
    </row>
    <row r="133" spans="1:53" s="170" customFormat="1" x14ac:dyDescent="0.15">
      <c r="A133" s="170">
        <v>2021</v>
      </c>
      <c r="B133" s="281">
        <v>44386</v>
      </c>
      <c r="C133" s="395" t="s">
        <v>1504</v>
      </c>
      <c r="D133" s="395"/>
      <c r="E133" s="170">
        <v>144</v>
      </c>
      <c r="F133" s="170">
        <v>5</v>
      </c>
      <c r="G133" s="232"/>
      <c r="I133" s="170">
        <v>22</v>
      </c>
      <c r="J133" s="240">
        <v>22</v>
      </c>
      <c r="K133" s="213">
        <f t="shared" si="31"/>
        <v>0</v>
      </c>
      <c r="L133" s="213">
        <f t="shared" si="32"/>
        <v>0</v>
      </c>
      <c r="M133" s="213">
        <f t="shared" si="33"/>
        <v>100</v>
      </c>
      <c r="N133" s="213">
        <f t="shared" si="34"/>
        <v>100</v>
      </c>
      <c r="O133" s="212"/>
      <c r="P133" s="213"/>
      <c r="Q133" s="213">
        <v>33.299999999999997</v>
      </c>
      <c r="R133" s="214">
        <f t="shared" si="35"/>
        <v>33.299999999999997</v>
      </c>
      <c r="S133" s="170">
        <v>5</v>
      </c>
      <c r="T133" s="283"/>
      <c r="U133" s="281">
        <v>44386</v>
      </c>
      <c r="V133" s="177" t="s">
        <v>469</v>
      </c>
      <c r="W133" s="170" t="s">
        <v>20</v>
      </c>
      <c r="X133" s="170" t="s">
        <v>12</v>
      </c>
      <c r="Y133" s="178">
        <v>28.7</v>
      </c>
      <c r="Z133" s="177" t="s">
        <v>1303</v>
      </c>
      <c r="AA133" s="170" t="s">
        <v>216</v>
      </c>
      <c r="AB133" s="170" t="s">
        <v>12</v>
      </c>
      <c r="AC133" s="170">
        <v>4.5999999999999996</v>
      </c>
      <c r="AD133" s="177"/>
      <c r="AG133" s="178"/>
      <c r="AH133" s="177"/>
      <c r="AL133" s="177"/>
      <c r="AO133" s="178"/>
      <c r="AP133" s="177"/>
      <c r="AS133" s="178"/>
      <c r="AW133" s="178"/>
      <c r="BA133" s="179"/>
    </row>
    <row r="134" spans="1:53" s="28" customFormat="1" x14ac:dyDescent="0.15">
      <c r="A134" s="28">
        <v>2021</v>
      </c>
      <c r="B134" s="293">
        <v>44530</v>
      </c>
      <c r="C134" s="394" t="s">
        <v>1505</v>
      </c>
      <c r="D134" s="394"/>
      <c r="E134" s="28">
        <v>31</v>
      </c>
      <c r="F134" s="28">
        <v>2</v>
      </c>
      <c r="G134" s="65"/>
      <c r="I134" s="28">
        <v>23</v>
      </c>
      <c r="J134" s="72">
        <v>23</v>
      </c>
      <c r="K134" s="46">
        <f t="shared" si="31"/>
        <v>0</v>
      </c>
      <c r="L134" s="46">
        <f t="shared" si="32"/>
        <v>0</v>
      </c>
      <c r="M134" s="46">
        <f t="shared" si="33"/>
        <v>100</v>
      </c>
      <c r="N134" s="46">
        <f t="shared" si="34"/>
        <v>100</v>
      </c>
      <c r="O134" s="45"/>
      <c r="P134" s="46"/>
      <c r="Q134" s="46">
        <v>28.7</v>
      </c>
      <c r="R134" s="47">
        <f t="shared" si="35"/>
        <v>28.7</v>
      </c>
      <c r="S134" s="28">
        <v>4</v>
      </c>
      <c r="T134" s="284"/>
      <c r="U134" s="293">
        <v>44530</v>
      </c>
      <c r="V134" s="37" t="s">
        <v>469</v>
      </c>
      <c r="W134" s="28" t="s">
        <v>20</v>
      </c>
      <c r="X134" s="28" t="s">
        <v>12</v>
      </c>
      <c r="Y134" s="38">
        <v>28.7</v>
      </c>
      <c r="AC134" s="38"/>
      <c r="AG134" s="38"/>
      <c r="AH134" s="37"/>
      <c r="AL134" s="37"/>
      <c r="AO134" s="38"/>
      <c r="AS134" s="38"/>
      <c r="AW134" s="38"/>
      <c r="BA134" s="39"/>
    </row>
    <row r="135" spans="1:53" s="28" customFormat="1" x14ac:dyDescent="0.15">
      <c r="A135" s="28">
        <v>2022</v>
      </c>
      <c r="B135" s="293"/>
      <c r="C135" s="394" t="s">
        <v>1505</v>
      </c>
      <c r="D135" s="394"/>
      <c r="E135" s="28">
        <v>278</v>
      </c>
      <c r="G135" s="65"/>
      <c r="I135" s="28">
        <v>23</v>
      </c>
      <c r="J135" s="72">
        <v>23</v>
      </c>
      <c r="K135" s="46">
        <f t="shared" si="31"/>
        <v>0</v>
      </c>
      <c r="L135" s="46">
        <f t="shared" si="32"/>
        <v>0</v>
      </c>
      <c r="M135" s="46">
        <f t="shared" si="33"/>
        <v>100</v>
      </c>
      <c r="N135" s="46">
        <f t="shared" si="34"/>
        <v>100</v>
      </c>
      <c r="O135" s="45"/>
      <c r="P135" s="46"/>
      <c r="Q135" s="46">
        <v>28.7</v>
      </c>
      <c r="R135" s="47">
        <f t="shared" si="35"/>
        <v>28.7</v>
      </c>
      <c r="S135" s="28">
        <v>4</v>
      </c>
      <c r="T135" s="284"/>
      <c r="U135" s="293"/>
      <c r="V135" s="37" t="s">
        <v>469</v>
      </c>
      <c r="W135" s="28" t="s">
        <v>20</v>
      </c>
      <c r="X135" s="28" t="s">
        <v>12</v>
      </c>
      <c r="Y135" s="38">
        <v>28.7</v>
      </c>
      <c r="AC135" s="38"/>
      <c r="AG135" s="38"/>
      <c r="AH135" s="37"/>
      <c r="AL135" s="37"/>
      <c r="AO135" s="38"/>
      <c r="AS135" s="38"/>
      <c r="AW135" s="38"/>
      <c r="BA135" s="39"/>
    </row>
    <row r="136" spans="1:53" s="28" customFormat="1" x14ac:dyDescent="0.15">
      <c r="A136" s="28">
        <v>2022</v>
      </c>
      <c r="B136" s="301">
        <v>44840</v>
      </c>
      <c r="C136" s="394" t="s">
        <v>1505</v>
      </c>
      <c r="D136" s="394"/>
      <c r="E136" s="28">
        <v>12</v>
      </c>
      <c r="F136" s="83">
        <v>0</v>
      </c>
      <c r="G136" s="65"/>
      <c r="I136" s="28">
        <v>22</v>
      </c>
      <c r="J136" s="72">
        <v>22</v>
      </c>
      <c r="K136" s="46">
        <f t="shared" si="31"/>
        <v>0</v>
      </c>
      <c r="L136" s="46">
        <f t="shared" si="32"/>
        <v>0</v>
      </c>
      <c r="M136" s="46">
        <f t="shared" si="33"/>
        <v>100</v>
      </c>
      <c r="N136" s="46">
        <f t="shared" si="34"/>
        <v>100</v>
      </c>
      <c r="O136" s="45"/>
      <c r="P136" s="46"/>
      <c r="Q136" s="46">
        <v>28.7</v>
      </c>
      <c r="R136" s="47">
        <f t="shared" si="35"/>
        <v>28.7</v>
      </c>
      <c r="S136" s="28">
        <v>4</v>
      </c>
      <c r="T136" s="284"/>
      <c r="U136" s="293"/>
      <c r="V136" s="37" t="s">
        <v>469</v>
      </c>
      <c r="W136" s="28" t="s">
        <v>20</v>
      </c>
      <c r="X136" s="28" t="s">
        <v>12</v>
      </c>
      <c r="Y136" s="38">
        <v>28.7</v>
      </c>
      <c r="AC136" s="38"/>
      <c r="AG136" s="38"/>
      <c r="AH136" s="37"/>
      <c r="AL136" s="37"/>
      <c r="AO136" s="38"/>
      <c r="AS136" s="38"/>
      <c r="AW136" s="38"/>
      <c r="BA136" s="39"/>
    </row>
    <row r="137" spans="1:53" s="170" customFormat="1" x14ac:dyDescent="0.15">
      <c r="A137" s="170">
        <v>2022</v>
      </c>
      <c r="B137" s="281">
        <v>44852</v>
      </c>
      <c r="C137" s="395" t="s">
        <v>1532</v>
      </c>
      <c r="D137" s="395"/>
      <c r="E137" s="170">
        <v>75</v>
      </c>
      <c r="F137" s="170">
        <v>1</v>
      </c>
      <c r="G137" s="232">
        <v>18</v>
      </c>
      <c r="H137" s="170">
        <v>6</v>
      </c>
      <c r="J137" s="240">
        <v>24</v>
      </c>
      <c r="K137" s="213">
        <f>G137/$J137*100</f>
        <v>75</v>
      </c>
      <c r="L137" s="213">
        <f>H137/$J137*100</f>
        <v>25</v>
      </c>
      <c r="M137" s="213">
        <f>I137/$J137*100</f>
        <v>0</v>
      </c>
      <c r="N137" s="213">
        <f>K137+L137+M137</f>
        <v>100</v>
      </c>
      <c r="O137" s="212">
        <v>24.1</v>
      </c>
      <c r="P137" s="213">
        <v>5.4</v>
      </c>
      <c r="Q137" s="213"/>
      <c r="R137" s="214">
        <f>O137+P137+Q137</f>
        <v>29.5</v>
      </c>
      <c r="S137" s="170">
        <v>5</v>
      </c>
      <c r="T137" s="283">
        <v>44815</v>
      </c>
      <c r="U137" s="281">
        <v>44852</v>
      </c>
      <c r="V137" s="177" t="s">
        <v>472</v>
      </c>
      <c r="W137" s="170" t="s">
        <v>74</v>
      </c>
      <c r="X137" s="170" t="s">
        <v>11</v>
      </c>
      <c r="Y137" s="178">
        <v>19.5</v>
      </c>
      <c r="Z137" s="177" t="s">
        <v>473</v>
      </c>
      <c r="AA137" s="170" t="s">
        <v>17</v>
      </c>
      <c r="AB137" s="170" t="s">
        <v>18</v>
      </c>
      <c r="AC137" s="170">
        <v>5.4</v>
      </c>
      <c r="AD137" s="177" t="s">
        <v>471</v>
      </c>
      <c r="AE137" s="170" t="s">
        <v>22</v>
      </c>
      <c r="AF137" s="170" t="s">
        <v>11</v>
      </c>
      <c r="AG137" s="178">
        <v>4.5999999999999996</v>
      </c>
      <c r="AH137" s="177"/>
      <c r="AL137" s="177"/>
      <c r="AO137" s="178"/>
      <c r="AP137" s="177"/>
      <c r="AS137" s="178"/>
      <c r="AW137" s="178"/>
      <c r="BA137" s="179"/>
    </row>
    <row r="139" spans="1:53" ht="18" customHeight="1" x14ac:dyDescent="0.15">
      <c r="B139" s="15" t="s">
        <v>1262</v>
      </c>
      <c r="H139" s="4"/>
    </row>
    <row r="140" spans="1:53" ht="9" customHeight="1" x14ac:dyDescent="0.15">
      <c r="H140" s="4"/>
    </row>
    <row r="141" spans="1:53" s="194" customFormat="1" ht="9" customHeight="1" x14ac:dyDescent="0.15">
      <c r="A141" s="192"/>
      <c r="B141" s="193" t="s">
        <v>1213</v>
      </c>
      <c r="C141" s="193"/>
      <c r="D141" s="193"/>
      <c r="E141" s="193"/>
      <c r="F141" s="193"/>
      <c r="G141" s="193" t="s">
        <v>1214</v>
      </c>
      <c r="H141" s="193"/>
      <c r="I141" s="193"/>
      <c r="J141" s="193"/>
      <c r="K141" s="193"/>
      <c r="L141" s="193"/>
      <c r="M141" s="193"/>
      <c r="N141" s="193"/>
      <c r="R141" s="386" t="s">
        <v>1215</v>
      </c>
      <c r="S141" s="386"/>
      <c r="T141" s="386"/>
      <c r="U141" s="386"/>
      <c r="V141" s="386"/>
      <c r="W141" s="386"/>
      <c r="X141" s="195"/>
      <c r="Y141" s="195"/>
      <c r="AA141" s="195"/>
      <c r="AB141" s="195"/>
      <c r="AC141" s="195"/>
      <c r="AD141" s="195"/>
    </row>
    <row r="142" spans="1:53" s="199" customFormat="1" ht="9" customHeight="1" x14ac:dyDescent="0.15">
      <c r="A142" s="196"/>
      <c r="B142" s="197" t="s">
        <v>1217</v>
      </c>
      <c r="C142" s="198"/>
      <c r="D142" s="198"/>
      <c r="E142" s="198"/>
      <c r="F142" s="198"/>
      <c r="G142" s="197" t="s">
        <v>1216</v>
      </c>
      <c r="H142" s="198"/>
      <c r="I142" s="198"/>
      <c r="J142" s="198"/>
      <c r="K142" s="198"/>
      <c r="L142" s="198"/>
      <c r="M142" s="198"/>
      <c r="N142" s="198"/>
      <c r="R142" s="200" t="s">
        <v>1218</v>
      </c>
      <c r="S142" s="201"/>
      <c r="T142" s="202"/>
      <c r="U142" s="202"/>
      <c r="V142" s="202"/>
      <c r="W142" s="200" t="s">
        <v>1219</v>
      </c>
      <c r="X142" s="202"/>
      <c r="Y142" s="202"/>
      <c r="AA142" s="202"/>
      <c r="AB142" s="202"/>
      <c r="AC142" s="202"/>
      <c r="AD142" s="202"/>
    </row>
    <row r="143" spans="1:53" s="185" customFormat="1" ht="12" customHeight="1" x14ac:dyDescent="0.15">
      <c r="A143" s="203" t="s">
        <v>3</v>
      </c>
      <c r="B143" s="204" t="s">
        <v>8</v>
      </c>
      <c r="C143" s="204" t="s">
        <v>9</v>
      </c>
      <c r="D143" s="204" t="s">
        <v>10</v>
      </c>
      <c r="E143" s="205" t="s">
        <v>1193</v>
      </c>
      <c r="F143" s="204"/>
      <c r="G143" s="185" t="s">
        <v>3</v>
      </c>
      <c r="H143" s="387" t="s">
        <v>0</v>
      </c>
      <c r="I143" s="387"/>
      <c r="J143" s="387" t="s">
        <v>1</v>
      </c>
      <c r="K143" s="387"/>
      <c r="L143" s="387" t="s">
        <v>2</v>
      </c>
      <c r="M143" s="387"/>
      <c r="N143" s="388" t="s">
        <v>1193</v>
      </c>
      <c r="O143" s="388"/>
      <c r="P143" s="206"/>
      <c r="Q143" s="206"/>
      <c r="R143" s="207" t="s">
        <v>3</v>
      </c>
      <c r="S143" s="208" t="s">
        <v>135</v>
      </c>
      <c r="T143" s="206" t="s">
        <v>133</v>
      </c>
      <c r="U143" s="204" t="s">
        <v>134</v>
      </c>
      <c r="V143" s="206"/>
      <c r="W143" s="209" t="s">
        <v>26</v>
      </c>
    </row>
    <row r="144" spans="1:53" s="139" customFormat="1" x14ac:dyDescent="0.15">
      <c r="A144" s="139">
        <v>1959</v>
      </c>
      <c r="B144" s="142">
        <f>(K6*($E6/365)) + (K7*($E7/365))</f>
        <v>0</v>
      </c>
      <c r="C144" s="142">
        <f>(L6*($E6/365)) + (L7*($E7/365))</f>
        <v>0</v>
      </c>
      <c r="D144" s="142">
        <f>(M6*($E6/365)) + (M7*($E7/365))</f>
        <v>93.333333333333329</v>
      </c>
      <c r="E144" s="143">
        <f>B144+C144+D144</f>
        <v>93.333333333333329</v>
      </c>
      <c r="G144" s="139">
        <v>1959</v>
      </c>
      <c r="H144" s="396">
        <f>(O6/$R6*100*($E6/365))+(O7/$R7*100*($E7/365))</f>
        <v>0</v>
      </c>
      <c r="I144" s="396"/>
      <c r="J144" s="396">
        <f>(P6/$R6*100*($E6/365))+(P7/$R7*100*($E7/365))</f>
        <v>0</v>
      </c>
      <c r="K144" s="396"/>
      <c r="L144" s="396">
        <f>(Q6/$R6*100*($E6/365))+(Q7/$R7*100*($E7/365))</f>
        <v>100</v>
      </c>
      <c r="M144" s="396"/>
      <c r="N144" s="400">
        <f>H144+J144+L144</f>
        <v>100</v>
      </c>
      <c r="O144" s="400"/>
      <c r="R144" s="139">
        <v>1959</v>
      </c>
      <c r="S144" s="142">
        <f>(O6*($E6/365)) + (O7*($E7/365))</f>
        <v>0</v>
      </c>
      <c r="T144" s="142">
        <f>(P6*($E6/365)) + (P7*($E7/365))</f>
        <v>0</v>
      </c>
      <c r="U144" s="142">
        <f>(Q6*($E6/365)) + (Q7*($E7/365))</f>
        <v>48.1</v>
      </c>
      <c r="V144" s="142"/>
      <c r="W144" s="142">
        <f>S144+T144+U144</f>
        <v>48.1</v>
      </c>
    </row>
    <row r="145" spans="1:23" x14ac:dyDescent="0.15">
      <c r="A145" s="1">
        <v>1960</v>
      </c>
      <c r="B145" s="5">
        <f>(K8*($E8/366))+(K9*($E9/366))</f>
        <v>0</v>
      </c>
      <c r="C145" s="5">
        <f>(L8*($E8/366))+(L9*($E9/366))</f>
        <v>0</v>
      </c>
      <c r="D145" s="5">
        <f>(M8*($E8/366))+(M9*($E9/366))</f>
        <v>93.2136351808483</v>
      </c>
      <c r="E145" s="17">
        <f>B145+C145+D145</f>
        <v>93.2136351808483</v>
      </c>
      <c r="G145" s="1">
        <v>1960</v>
      </c>
      <c r="H145" s="392">
        <f>(O8/$R8*100*($E8/366))+(O9/$R9*100*($E9/366))</f>
        <v>0</v>
      </c>
      <c r="I145" s="392"/>
      <c r="J145" s="392">
        <f>(P8/$R8*100*($E8/366))+(P9/$R9*100*($E9/366))</f>
        <v>0</v>
      </c>
      <c r="K145" s="392"/>
      <c r="L145" s="392">
        <f>(Q8/$R8*100*($E8/366))+(Q9/$R9*100*($E9/366))</f>
        <v>100.00000000000001</v>
      </c>
      <c r="M145" s="392"/>
      <c r="N145" s="363">
        <f t="shared" ref="N145:N176" si="36">H145+J145+L145</f>
        <v>100.00000000000001</v>
      </c>
      <c r="O145" s="363"/>
      <c r="R145" s="1">
        <v>1960</v>
      </c>
      <c r="S145" s="5">
        <f>(O8*($E8/366))+(O9*($E9/366))</f>
        <v>0</v>
      </c>
      <c r="T145" s="5">
        <f>(P8*($E8/366))+(P9*($E9/366))</f>
        <v>0</v>
      </c>
      <c r="U145" s="5">
        <f>(Q8*($E8/366))+(Q9*($E9/366))</f>
        <v>48.351366120218586</v>
      </c>
      <c r="V145" s="5"/>
      <c r="W145" s="5">
        <f>S145+T145+U145</f>
        <v>48.351366120218586</v>
      </c>
    </row>
    <row r="146" spans="1:23" x14ac:dyDescent="0.15">
      <c r="A146" s="1">
        <v>1961</v>
      </c>
      <c r="B146" s="5">
        <f>(K10*($E10/365))+(K11*($E11/365))</f>
        <v>0</v>
      </c>
      <c r="C146" s="5">
        <f>(L10*($E10/365))+(L11*($E11/365))</f>
        <v>0</v>
      </c>
      <c r="D146" s="5">
        <f>(M10*($E10/365))+(M11*($E11/365))</f>
        <v>92.857142857142861</v>
      </c>
      <c r="E146" s="17">
        <f t="shared" ref="E146:E198" si="37">B146+C146+D146</f>
        <v>92.857142857142861</v>
      </c>
      <c r="G146" s="1">
        <v>1961</v>
      </c>
      <c r="H146" s="392">
        <f>(O10/$R10*100*($E10/365))+(O11/$R11*100*($E11/365))</f>
        <v>0</v>
      </c>
      <c r="I146" s="392"/>
      <c r="J146" s="392">
        <f>(P10/$R10*100*($E10/365))+(P11/$R11*100*($E11/365))</f>
        <v>0</v>
      </c>
      <c r="K146" s="392"/>
      <c r="L146" s="392">
        <f>(Q10/$R10*100*($E10/365))+(Q11/$R11*100*($E11/365))</f>
        <v>100</v>
      </c>
      <c r="M146" s="392"/>
      <c r="N146" s="363">
        <f t="shared" si="36"/>
        <v>100</v>
      </c>
      <c r="O146" s="363"/>
      <c r="R146" s="1">
        <v>1961</v>
      </c>
      <c r="S146" s="5">
        <f>(O10*($E10/365))+(O11*($E11/365))</f>
        <v>0</v>
      </c>
      <c r="T146" s="5">
        <f>(P10*($E10/365))+(P11*($E11/365))</f>
        <v>0</v>
      </c>
      <c r="U146" s="5">
        <f>(Q10*($E10/365))+(Q11*($E11/365))</f>
        <v>49.1</v>
      </c>
      <c r="V146" s="5"/>
      <c r="W146" s="5">
        <f t="shared" ref="W146:W198" si="38">S146+T146+U146</f>
        <v>49.1</v>
      </c>
    </row>
    <row r="147" spans="1:23" x14ac:dyDescent="0.15">
      <c r="A147" s="1">
        <v>1962</v>
      </c>
      <c r="B147" s="5">
        <f>(K12*($E12/365))+(K13*($E13/365))</f>
        <v>0</v>
      </c>
      <c r="C147" s="5">
        <f>(L12*($E12/365))+(L13*($E13/365))</f>
        <v>0</v>
      </c>
      <c r="D147" s="5">
        <f>(M12*($E12/365))+(M13*($E13/365))</f>
        <v>92.857142857142861</v>
      </c>
      <c r="E147" s="17">
        <f t="shared" si="37"/>
        <v>92.857142857142861</v>
      </c>
      <c r="G147" s="1">
        <v>1962</v>
      </c>
      <c r="H147" s="392">
        <f>(O12/$R12*100*($E12/365))+(O13/$R13*100*($E13/365))</f>
        <v>0</v>
      </c>
      <c r="I147" s="392"/>
      <c r="J147" s="392">
        <f>(P12/$R12*100*($E12/365))+(P13/$R13*100*($E13/365))</f>
        <v>0</v>
      </c>
      <c r="K147" s="392"/>
      <c r="L147" s="392">
        <f>(Q12/$R12*100*($E12/365))+(Q13/$R13*100*($E13/365))</f>
        <v>100</v>
      </c>
      <c r="M147" s="392"/>
      <c r="N147" s="363">
        <f t="shared" si="36"/>
        <v>100</v>
      </c>
      <c r="O147" s="363"/>
      <c r="R147" s="1">
        <v>1962</v>
      </c>
      <c r="S147" s="5">
        <f>(O12*($E12/365))+(O13*($E13/365))</f>
        <v>0</v>
      </c>
      <c r="T147" s="5">
        <f>(P12*($E12/365))+(P13*($E13/365))</f>
        <v>0</v>
      </c>
      <c r="U147" s="5">
        <f>(Q12*($E12/365))+(Q13*($E13/365))</f>
        <v>49.1</v>
      </c>
      <c r="V147" s="5"/>
      <c r="W147" s="5">
        <f t="shared" si="38"/>
        <v>49.1</v>
      </c>
    </row>
    <row r="148" spans="1:23" x14ac:dyDescent="0.15">
      <c r="A148" s="1">
        <v>1963</v>
      </c>
      <c r="B148" s="5">
        <f>(K14*($E14/365))+(K15*($E15/365))</f>
        <v>0</v>
      </c>
      <c r="C148" s="5">
        <f>(L14*($E14/365))+(L15*($E15/365))</f>
        <v>0</v>
      </c>
      <c r="D148" s="5">
        <f>(M14*($E14/365))+(M15*($E15/365))</f>
        <v>92.857142857142861</v>
      </c>
      <c r="E148" s="17">
        <f t="shared" si="37"/>
        <v>92.857142857142861</v>
      </c>
      <c r="G148" s="1">
        <v>1963</v>
      </c>
      <c r="H148" s="392">
        <f>(O14/$R14*100*($E14/365))+(O15/$R15*100*($E15/365))</f>
        <v>0</v>
      </c>
      <c r="I148" s="392"/>
      <c r="J148" s="392">
        <f>(P14/$R14*100*($E14/365))+(P15/$R15*100*($E15/365))</f>
        <v>0</v>
      </c>
      <c r="K148" s="392"/>
      <c r="L148" s="392">
        <f>(Q14/$R14*100*($E14/365))+(Q15/$R15*100*($E15/365))</f>
        <v>100</v>
      </c>
      <c r="M148" s="392"/>
      <c r="N148" s="363">
        <f t="shared" si="36"/>
        <v>100</v>
      </c>
      <c r="O148" s="363"/>
      <c r="R148" s="1">
        <v>1963</v>
      </c>
      <c r="S148" s="5">
        <f>(O14*($E14/365))+(O15*($E15/365))</f>
        <v>0</v>
      </c>
      <c r="T148" s="5">
        <f>(P14*($E14/365))+(P15*($E15/365))</f>
        <v>0</v>
      </c>
      <c r="U148" s="5">
        <f>(Q14*($E14/365))+(Q15*($E15/365))</f>
        <v>49.1</v>
      </c>
      <c r="V148" s="5"/>
      <c r="W148" s="5">
        <f t="shared" si="38"/>
        <v>49.1</v>
      </c>
    </row>
    <row r="149" spans="1:23" x14ac:dyDescent="0.15">
      <c r="A149" s="1">
        <v>1964</v>
      </c>
      <c r="B149" s="5">
        <f>(K16*($E16/366))+(K17*($E17/366))</f>
        <v>0</v>
      </c>
      <c r="C149" s="5">
        <f>(L16*($E16/366))+(L17*($E17/366))</f>
        <v>0</v>
      </c>
      <c r="D149" s="5">
        <f>(M16*($E16/366))+(M17*($E17/366))</f>
        <v>94.59406713505075</v>
      </c>
      <c r="E149" s="17">
        <f t="shared" si="37"/>
        <v>94.59406713505075</v>
      </c>
      <c r="G149" s="1">
        <v>1964</v>
      </c>
      <c r="H149" s="392">
        <f>(O16/$R16*100*($E16/366))+(O17/$R17*100*($E17/366))</f>
        <v>0</v>
      </c>
      <c r="I149" s="392"/>
      <c r="J149" s="392">
        <f>(P16/$R16*100*($E16/366))+(P17/$R17*100*($E17/366))</f>
        <v>0</v>
      </c>
      <c r="K149" s="392"/>
      <c r="L149" s="392">
        <f>(Q16/$R16*100*($E16/366))+(Q17/$R17*100*($E17/366))</f>
        <v>100</v>
      </c>
      <c r="M149" s="392"/>
      <c r="N149" s="363">
        <f t="shared" si="36"/>
        <v>100</v>
      </c>
      <c r="O149" s="363"/>
      <c r="R149" s="1">
        <v>1964</v>
      </c>
      <c r="S149" s="5">
        <f>(O16*($E16/366))+(O17*($E17/366))</f>
        <v>0</v>
      </c>
      <c r="T149" s="5">
        <f>(P16*($E16/366))+(P17*($E17/366))</f>
        <v>0</v>
      </c>
      <c r="U149" s="5">
        <f>(Q16*($E16/366))+(Q17*($E17/366))</f>
        <v>48.954098360655735</v>
      </c>
      <c r="V149" s="5"/>
      <c r="W149" s="5">
        <f t="shared" si="38"/>
        <v>48.954098360655735</v>
      </c>
    </row>
    <row r="150" spans="1:23" x14ac:dyDescent="0.15">
      <c r="A150" s="1">
        <v>1965</v>
      </c>
      <c r="B150" s="5">
        <f>(K18*($E18/365))+(K19*($E19/365))</f>
        <v>0</v>
      </c>
      <c r="C150" s="5">
        <f>(L18*($E18/365))+(L19*($E19/365))</f>
        <v>0</v>
      </c>
      <c r="D150" s="5">
        <f>(M18*($E18/365))+(M19*($E19/365))</f>
        <v>100</v>
      </c>
      <c r="E150" s="17">
        <f t="shared" si="37"/>
        <v>100</v>
      </c>
      <c r="G150" s="1">
        <v>1965</v>
      </c>
      <c r="H150" s="392">
        <f>(O18/$R18*100*($E18/365))+(O19/$R19*100*($E19/365))</f>
        <v>0</v>
      </c>
      <c r="I150" s="392"/>
      <c r="J150" s="392">
        <f>(P18/$R18*100*($E18/365))+(P19/$R19*100*($E19/365))</f>
        <v>0</v>
      </c>
      <c r="K150" s="392"/>
      <c r="L150" s="392">
        <f>(Q18/$R18*100*($E18/365))+(Q19/$R19*100*($E19/365))</f>
        <v>100</v>
      </c>
      <c r="M150" s="392"/>
      <c r="N150" s="363">
        <f t="shared" si="36"/>
        <v>100</v>
      </c>
      <c r="O150" s="363"/>
      <c r="R150" s="1">
        <v>1965</v>
      </c>
      <c r="S150" s="5">
        <f>(O18*($E18/365))+(O19*($E19/365))</f>
        <v>0</v>
      </c>
      <c r="T150" s="5">
        <f>(P18*($E18/365))+(P19*($E19/365))</f>
        <v>0</v>
      </c>
      <c r="U150" s="5">
        <f>(Q18*($E18/365))+(Q19*($E19/365))</f>
        <v>48.5</v>
      </c>
      <c r="V150" s="5"/>
      <c r="W150" s="5">
        <f t="shared" si="38"/>
        <v>48.5</v>
      </c>
    </row>
    <row r="151" spans="1:23" x14ac:dyDescent="0.15">
      <c r="A151" s="1">
        <v>1966</v>
      </c>
      <c r="B151" s="5">
        <f>(K20*($E20/365))+(K21*($E21/365))</f>
        <v>0</v>
      </c>
      <c r="C151" s="5">
        <f>(L20*($E20/365))+(L21*($E21/365))</f>
        <v>0</v>
      </c>
      <c r="D151" s="5">
        <f>(M20*($E20/365))+(M21*($E21/365))</f>
        <v>100</v>
      </c>
      <c r="E151" s="17">
        <f t="shared" si="37"/>
        <v>100</v>
      </c>
      <c r="G151" s="1">
        <v>1966</v>
      </c>
      <c r="H151" s="392">
        <f>(O20/$R20*100*($E20/365))+(O21/$R21*100*($E21/365))</f>
        <v>0</v>
      </c>
      <c r="I151" s="392"/>
      <c r="J151" s="392">
        <f>(P20/$R20*100*($E20/365))+(P21/$R21*100*($E21/365))</f>
        <v>0</v>
      </c>
      <c r="K151" s="392"/>
      <c r="L151" s="392">
        <f>(Q20/$R20*100*($E20/365))+(Q21/$R21*100*($E21/365))</f>
        <v>100</v>
      </c>
      <c r="M151" s="392"/>
      <c r="N151" s="363">
        <f t="shared" si="36"/>
        <v>100</v>
      </c>
      <c r="O151" s="363"/>
      <c r="R151" s="1">
        <v>1966</v>
      </c>
      <c r="S151" s="5">
        <f>(O20*($E20/365))+(O21*($E21/365))</f>
        <v>0</v>
      </c>
      <c r="T151" s="5">
        <f>(P20*($E20/365))+(P21*($E21/365))</f>
        <v>0</v>
      </c>
      <c r="U151" s="5">
        <f>(Q20*($E20/365))+(Q21*($E21/365))</f>
        <v>48.5</v>
      </c>
      <c r="V151" s="5"/>
      <c r="W151" s="5">
        <f t="shared" si="38"/>
        <v>48.5</v>
      </c>
    </row>
    <row r="152" spans="1:23" x14ac:dyDescent="0.15">
      <c r="A152" s="1">
        <v>1967</v>
      </c>
      <c r="B152" s="5">
        <f>(K22*($E22/365))+(K23*($E23/365))</f>
        <v>0</v>
      </c>
      <c r="C152" s="5">
        <f>(L22*($E22/365))+(L23*($E23/365))</f>
        <v>0</v>
      </c>
      <c r="D152" s="5">
        <f>(M22*($E22/365))+(M23*($E23/365))</f>
        <v>100</v>
      </c>
      <c r="E152" s="17">
        <f t="shared" si="37"/>
        <v>100</v>
      </c>
      <c r="G152" s="1">
        <v>1967</v>
      </c>
      <c r="H152" s="392">
        <f>(O22/$R22*100*($E22/365))+(O23/$R23*100*($E23/365))</f>
        <v>0</v>
      </c>
      <c r="I152" s="392"/>
      <c r="J152" s="392">
        <f>(P22/$R22*100*($E22/365))+(P23/$R23*100*($E23/365))</f>
        <v>0</v>
      </c>
      <c r="K152" s="392"/>
      <c r="L152" s="392">
        <f>(Q22/$R22*100*($E22/365))+(Q23/$R23*100*($E23/365))</f>
        <v>100</v>
      </c>
      <c r="M152" s="392"/>
      <c r="N152" s="363">
        <f t="shared" si="36"/>
        <v>100</v>
      </c>
      <c r="O152" s="363"/>
      <c r="R152" s="1">
        <v>1967</v>
      </c>
      <c r="S152" s="5">
        <f>(O22*($E22/365))+(O23*($E23/365))</f>
        <v>0</v>
      </c>
      <c r="T152" s="5">
        <f>(P22*($E22/365))+(P23*($E23/365))</f>
        <v>0</v>
      </c>
      <c r="U152" s="5">
        <f>(Q22*($E22/365))+(Q23*($E23/365))</f>
        <v>48.5</v>
      </c>
      <c r="V152" s="5"/>
      <c r="W152" s="5">
        <f t="shared" si="38"/>
        <v>48.5</v>
      </c>
    </row>
    <row r="153" spans="1:23" x14ac:dyDescent="0.15">
      <c r="A153" s="1">
        <v>1968</v>
      </c>
      <c r="B153" s="5">
        <f>(K24*($E24/366))+(K25*($E25/366))</f>
        <v>0</v>
      </c>
      <c r="C153" s="5">
        <f>(L24*($E24/366))+(L25*($E25/366))</f>
        <v>0</v>
      </c>
      <c r="D153" s="5">
        <f>(M24*($E24/366))+(M25*($E25/366))</f>
        <v>100</v>
      </c>
      <c r="E153" s="17">
        <f t="shared" si="37"/>
        <v>100</v>
      </c>
      <c r="G153" s="1">
        <v>1968</v>
      </c>
      <c r="H153" s="392">
        <f>(O24/$R24*100*($E24/366))+(O25/$R25*100*($E25/366))</f>
        <v>0</v>
      </c>
      <c r="I153" s="392"/>
      <c r="J153" s="392">
        <f>(P24/$R24*100*($E24/366))+(P25/$R25*100*($E25/366))</f>
        <v>0</v>
      </c>
      <c r="K153" s="392"/>
      <c r="L153" s="392">
        <f>(Q24/$R24*100*($E24/366))+(Q25/$R25*100*($E25/366))</f>
        <v>100</v>
      </c>
      <c r="M153" s="392"/>
      <c r="N153" s="363">
        <f t="shared" si="36"/>
        <v>100</v>
      </c>
      <c r="O153" s="363"/>
      <c r="R153" s="1">
        <v>1968</v>
      </c>
      <c r="S153" s="5">
        <f>(O24*($E24/366))+(O25*($E25/366))</f>
        <v>0</v>
      </c>
      <c r="T153" s="5">
        <f>(P24*($E24/366))+(P25*($E25/366))</f>
        <v>0</v>
      </c>
      <c r="U153" s="5">
        <f>(Q24*($E24/366))+(Q25*($E25/366))</f>
        <v>49.809836065573776</v>
      </c>
      <c r="V153" s="5"/>
      <c r="W153" s="5">
        <f t="shared" si="38"/>
        <v>49.809836065573776</v>
      </c>
    </row>
    <row r="154" spans="1:23" x14ac:dyDescent="0.15">
      <c r="A154" s="1">
        <v>1969</v>
      </c>
      <c r="B154" s="5">
        <f>(K26*($E26/365))+(K27*($E27/365))</f>
        <v>0</v>
      </c>
      <c r="C154" s="5">
        <f>(L26*($E26/365))+(L27*($E27/365))</f>
        <v>0</v>
      </c>
      <c r="D154" s="5">
        <f>(M26*($E26/365))+(M27*($E27/365))</f>
        <v>100</v>
      </c>
      <c r="E154" s="17">
        <f t="shared" si="37"/>
        <v>100</v>
      </c>
      <c r="G154" s="1">
        <v>1969</v>
      </c>
      <c r="H154" s="392">
        <f>(O26/$R26*100*($E26/365))+(O27/$R27*100*($E27/365))</f>
        <v>0</v>
      </c>
      <c r="I154" s="392"/>
      <c r="J154" s="392">
        <f>(P26/$R26*100*($E26/365))+(P27/$R27*100*($E27/365))</f>
        <v>0</v>
      </c>
      <c r="K154" s="392"/>
      <c r="L154" s="392">
        <f>(Q26/$R26*100*($E26/365))+(Q27/$R27*100*($E27/365))</f>
        <v>100</v>
      </c>
      <c r="M154" s="392"/>
      <c r="N154" s="363">
        <f t="shared" si="36"/>
        <v>100</v>
      </c>
      <c r="O154" s="363"/>
      <c r="R154" s="1">
        <v>1969</v>
      </c>
      <c r="S154" s="5">
        <f>(O26*($E26/365))+(O27*($E27/365))</f>
        <v>0</v>
      </c>
      <c r="T154" s="5">
        <f>(P26*($E26/365))+(P27*($E27/365))</f>
        <v>0</v>
      </c>
      <c r="U154" s="5">
        <f>(Q26*($E26/365))+(Q27*($E27/365))</f>
        <v>53.6</v>
      </c>
      <c r="V154" s="5"/>
      <c r="W154" s="5">
        <f t="shared" si="38"/>
        <v>53.6</v>
      </c>
    </row>
    <row r="155" spans="1:23" x14ac:dyDescent="0.15">
      <c r="A155" s="1">
        <v>1970</v>
      </c>
      <c r="B155" s="5">
        <f>(K28*($E28/365))+(K29*($E29/365))</f>
        <v>0</v>
      </c>
      <c r="C155" s="5">
        <f>(L28*($E28/365))+(L29*($E29/365))</f>
        <v>0</v>
      </c>
      <c r="D155" s="5">
        <f>(M28*($E28/365))+(M29*($E29/365))</f>
        <v>100</v>
      </c>
      <c r="E155" s="17">
        <f t="shared" si="37"/>
        <v>100</v>
      </c>
      <c r="G155" s="1">
        <v>1970</v>
      </c>
      <c r="H155" s="392">
        <f>(O28/$R28*100*($E28/365))+(O29/$R29*100*($E29/365))</f>
        <v>0</v>
      </c>
      <c r="I155" s="392"/>
      <c r="J155" s="392">
        <f>(P28/$R28*100*($E28/365))+(P29/$R29*100*($E29/365))</f>
        <v>0</v>
      </c>
      <c r="K155" s="392"/>
      <c r="L155" s="392">
        <f>(Q28/$R28*100*($E28/365))+(Q29/$R29*100*($E29/365))</f>
        <v>100</v>
      </c>
      <c r="M155" s="392"/>
      <c r="N155" s="363">
        <f t="shared" si="36"/>
        <v>100</v>
      </c>
      <c r="O155" s="363"/>
      <c r="R155" s="1">
        <v>1970</v>
      </c>
      <c r="S155" s="5">
        <f>(O28*($E28/365))+(O29*($E29/365))</f>
        <v>0</v>
      </c>
      <c r="T155" s="5">
        <f>(P28*($E28/365))+(P29*($E29/365))</f>
        <v>0</v>
      </c>
      <c r="U155" s="5">
        <f>(Q28*($E28/365))+(Q29*($E29/365))</f>
        <v>51.797260273972597</v>
      </c>
      <c r="V155" s="5"/>
      <c r="W155" s="5">
        <f t="shared" si="38"/>
        <v>51.797260273972597</v>
      </c>
    </row>
    <row r="156" spans="1:23" x14ac:dyDescent="0.15">
      <c r="A156" s="1">
        <v>1971</v>
      </c>
      <c r="B156" s="5">
        <f>(K30*($E30/365))+(K31*($E31/365))</f>
        <v>0</v>
      </c>
      <c r="C156" s="5">
        <f>(L30*($E30/365))+(L31*($E31/365))</f>
        <v>0</v>
      </c>
      <c r="D156" s="5">
        <f>(M30*($E30/365))+(M31*($E31/365))</f>
        <v>100</v>
      </c>
      <c r="E156" s="17">
        <f t="shared" si="37"/>
        <v>100</v>
      </c>
      <c r="G156" s="1">
        <v>1971</v>
      </c>
      <c r="H156" s="392">
        <f>(O30/$R30*100*($E30/365))+(O31/$R31*100*($E31/365))</f>
        <v>0</v>
      </c>
      <c r="I156" s="392"/>
      <c r="J156" s="392">
        <f>(P30/$R30*100*($E30/365))+(P31/$R31*100*($E31/365))</f>
        <v>0</v>
      </c>
      <c r="K156" s="392"/>
      <c r="L156" s="392">
        <f>(Q30/$R30*100*($E30/365))+(Q31/$R31*100*($E31/365))</f>
        <v>100</v>
      </c>
      <c r="M156" s="392"/>
      <c r="N156" s="363">
        <f t="shared" si="36"/>
        <v>100</v>
      </c>
      <c r="O156" s="363"/>
      <c r="R156" s="1">
        <v>1971</v>
      </c>
      <c r="S156" s="5">
        <f>(O30*($E30/365))+(O31*($E31/365))</f>
        <v>0</v>
      </c>
      <c r="T156" s="5">
        <f>(P30*($E30/365))+(P31*($E31/365))</f>
        <v>0</v>
      </c>
      <c r="U156" s="5">
        <f>(Q30*($E30/365))+(Q31*($E31/365))</f>
        <v>46.6</v>
      </c>
      <c r="V156" s="5"/>
      <c r="W156" s="5">
        <f t="shared" si="38"/>
        <v>46.6</v>
      </c>
    </row>
    <row r="157" spans="1:23" x14ac:dyDescent="0.15">
      <c r="A157" s="1">
        <v>1972</v>
      </c>
      <c r="B157" s="5">
        <f>(K32*($E32/366))+(K33*($E33/366))</f>
        <v>0</v>
      </c>
      <c r="C157" s="5">
        <f>(L32*($E32/366))+(L33*($E33/366))</f>
        <v>0</v>
      </c>
      <c r="D157" s="5">
        <f>(M32*($E32/366))+(M33*($E33/366))</f>
        <v>100</v>
      </c>
      <c r="E157" s="17">
        <f t="shared" si="37"/>
        <v>100</v>
      </c>
      <c r="G157" s="1">
        <v>1972</v>
      </c>
      <c r="H157" s="392">
        <f>(O32/$R32*100*($E32/366))+(O33/$R33*100*($E33/366))</f>
        <v>0</v>
      </c>
      <c r="I157" s="392"/>
      <c r="J157" s="392">
        <f>(P32/$R32*100*($E32/366))+(P33/$R33*100*($E33/366))</f>
        <v>0</v>
      </c>
      <c r="K157" s="392"/>
      <c r="L157" s="392">
        <f>(Q32/$R32*100*($E32/366))+(Q33/$R33*100*($E33/366))</f>
        <v>100</v>
      </c>
      <c r="M157" s="392"/>
      <c r="N157" s="363">
        <f t="shared" si="36"/>
        <v>100</v>
      </c>
      <c r="O157" s="363"/>
      <c r="R157" s="1">
        <v>1972</v>
      </c>
      <c r="S157" s="5">
        <f>(O32*($E32/366))+(O33*($E33/366))</f>
        <v>0</v>
      </c>
      <c r="T157" s="5">
        <f>(P32*($E32/366))+(P33*($E33/366))</f>
        <v>0</v>
      </c>
      <c r="U157" s="5">
        <f>(Q32*($E32/366))+(Q33*($E33/366))</f>
        <v>46.6</v>
      </c>
      <c r="V157" s="5"/>
      <c r="W157" s="5">
        <f t="shared" si="38"/>
        <v>46.6</v>
      </c>
    </row>
    <row r="158" spans="1:23" x14ac:dyDescent="0.15">
      <c r="A158" s="1">
        <v>1973</v>
      </c>
      <c r="B158" s="5">
        <f>(K34*($E34/365))+(K35*($E35/365))</f>
        <v>0</v>
      </c>
      <c r="C158" s="5">
        <f>(L34*($E34/365))+(L35*($E35/365))</f>
        <v>0</v>
      </c>
      <c r="D158" s="5">
        <f>(M34*($E34/365))+(M35*($E35/365))</f>
        <v>100</v>
      </c>
      <c r="E158" s="17">
        <f t="shared" si="37"/>
        <v>100</v>
      </c>
      <c r="G158" s="1">
        <v>1973</v>
      </c>
      <c r="H158" s="392">
        <f>(O34/$R34*100*($E34/365))+(O35/$R35*100*($E35/365))</f>
        <v>0</v>
      </c>
      <c r="I158" s="392"/>
      <c r="J158" s="392">
        <f>(P34/$R34*100*($E34/365))+(P35/$R35*100*($E35/365))</f>
        <v>0</v>
      </c>
      <c r="K158" s="392"/>
      <c r="L158" s="392">
        <f>(Q34/$R34*100*($E34/365))+(Q35/$R35*100*($E35/365))</f>
        <v>100</v>
      </c>
      <c r="M158" s="392"/>
      <c r="N158" s="363">
        <f t="shared" si="36"/>
        <v>100</v>
      </c>
      <c r="O158" s="363"/>
      <c r="R158" s="1">
        <v>1973</v>
      </c>
      <c r="S158" s="5">
        <f>(O34*($E34/365))+(O35*($E35/365))</f>
        <v>0</v>
      </c>
      <c r="T158" s="5">
        <f>(P34*($E34/365))+(P35*($E35/365))</f>
        <v>0</v>
      </c>
      <c r="U158" s="5">
        <f>(Q34*($E34/365))+(Q35*($E35/365))</f>
        <v>46.260273972602747</v>
      </c>
      <c r="V158" s="5"/>
      <c r="W158" s="5">
        <f t="shared" si="38"/>
        <v>46.260273972602747</v>
      </c>
    </row>
    <row r="159" spans="1:23" x14ac:dyDescent="0.15">
      <c r="A159" s="1">
        <v>1974</v>
      </c>
      <c r="B159" s="5">
        <f>(K36*($E36/365))+(K37*($E37/365))</f>
        <v>0</v>
      </c>
      <c r="C159" s="5">
        <f>(L36*($E36/365))+(L37*($E37/365))</f>
        <v>0</v>
      </c>
      <c r="D159" s="5">
        <f>(M36*($E36/365))+(M37*($E37/365))</f>
        <v>100</v>
      </c>
      <c r="E159" s="17">
        <f t="shared" si="37"/>
        <v>100</v>
      </c>
      <c r="G159" s="1">
        <v>1974</v>
      </c>
      <c r="H159" s="392">
        <f>(O36/$R36*100*($E36/365))+(O37/$R37*100*($E37/365))</f>
        <v>0</v>
      </c>
      <c r="I159" s="392"/>
      <c r="J159" s="392">
        <f>(P36/$R36*100*($E36/365))+(P37/$R37*100*($E37/365))</f>
        <v>0</v>
      </c>
      <c r="K159" s="392"/>
      <c r="L159" s="392">
        <f>(Q36/$R36*100*($E36/365))+(Q37/$R37*100*($E37/365))</f>
        <v>100</v>
      </c>
      <c r="M159" s="392"/>
      <c r="N159" s="363">
        <f t="shared" si="36"/>
        <v>100</v>
      </c>
      <c r="O159" s="363"/>
      <c r="R159" s="1">
        <v>1974</v>
      </c>
      <c r="S159" s="5">
        <f>(O36*($E36/365))+(O37*($E37/365))</f>
        <v>0</v>
      </c>
      <c r="T159" s="5">
        <f>(P36*($E36/365))+(P37*($E37/365))</f>
        <v>0</v>
      </c>
      <c r="U159" s="5">
        <f>(Q36*($E36/365))+(Q37*($E37/365))</f>
        <v>44.6</v>
      </c>
      <c r="V159" s="5"/>
      <c r="W159" s="5">
        <f t="shared" si="38"/>
        <v>44.6</v>
      </c>
    </row>
    <row r="160" spans="1:23" x14ac:dyDescent="0.15">
      <c r="A160" s="1">
        <v>1975</v>
      </c>
      <c r="B160" s="5">
        <f>(K38*($E38/365))+(K39*($E39/365))</f>
        <v>0</v>
      </c>
      <c r="C160" s="5">
        <f>(L38*($E38/365))+(L39*($E39/365))</f>
        <v>0</v>
      </c>
      <c r="D160" s="5">
        <f>(M38*($E38/365))+(M39*($E39/365))</f>
        <v>100</v>
      </c>
      <c r="E160" s="17">
        <f t="shared" si="37"/>
        <v>100</v>
      </c>
      <c r="G160" s="1">
        <v>1975</v>
      </c>
      <c r="H160" s="392">
        <f>(O38/$R38*100*($E38/365))+(O39/$R39*100*($E39/365))</f>
        <v>0</v>
      </c>
      <c r="I160" s="392"/>
      <c r="J160" s="392">
        <f>(P38/$R38*100*($E38/365))+(P39/$R39*100*($E39/365))</f>
        <v>0</v>
      </c>
      <c r="K160" s="392"/>
      <c r="L160" s="392">
        <f>(Q38/$R38*100*($E38/365))+(Q39/$R39*100*($E39/365))</f>
        <v>100</v>
      </c>
      <c r="M160" s="392"/>
      <c r="N160" s="363">
        <f t="shared" si="36"/>
        <v>100</v>
      </c>
      <c r="O160" s="363"/>
      <c r="R160" s="1">
        <v>1975</v>
      </c>
      <c r="S160" s="5">
        <f>(O38*($E38/365))+(O39*($E39/365))</f>
        <v>0</v>
      </c>
      <c r="T160" s="5">
        <f>(P38*($E38/365))+(P39*($E39/365))</f>
        <v>0</v>
      </c>
      <c r="U160" s="5">
        <f>(Q38*($E38/365))+(Q39*($E39/365))</f>
        <v>44.6</v>
      </c>
      <c r="V160" s="5"/>
      <c r="W160" s="5">
        <f t="shared" si="38"/>
        <v>44.6</v>
      </c>
    </row>
    <row r="161" spans="1:23" x14ac:dyDescent="0.15">
      <c r="A161" s="1">
        <v>1976</v>
      </c>
      <c r="B161" s="5">
        <f>(K40*($E40/366))+(K41*($E41/366))</f>
        <v>12.158469945355192</v>
      </c>
      <c r="C161" s="5">
        <f>(L40*($E40/366))+(L41*($E41/366))</f>
        <v>10.942622950819672</v>
      </c>
      <c r="D161" s="5">
        <f>(M40*($E40/366))+(M41*($E41/366))</f>
        <v>75.683060109289613</v>
      </c>
      <c r="E161" s="17">
        <f t="shared" si="37"/>
        <v>98.784153005464475</v>
      </c>
      <c r="G161" s="1">
        <v>1976</v>
      </c>
      <c r="H161" s="392">
        <f>(O40/$R40*100*($E40/366))+(O41/$R41*100*($E41/366))</f>
        <v>12.723980175371709</v>
      </c>
      <c r="I161" s="392"/>
      <c r="J161" s="392">
        <f>(P40/$R40*100*($E40/366))+(P41/$R41*100*($E41/366))</f>
        <v>11.592959715338671</v>
      </c>
      <c r="K161" s="392"/>
      <c r="L161" s="392">
        <f>(Q40/$R40*100*($E40/366))+(Q41/$R41*100*($E41/366))</f>
        <v>75.683060109289613</v>
      </c>
      <c r="M161" s="392"/>
      <c r="N161" s="363">
        <f t="shared" si="36"/>
        <v>100</v>
      </c>
      <c r="O161" s="363"/>
      <c r="R161" s="1">
        <v>1976</v>
      </c>
      <c r="S161" s="5">
        <f>(O40*($E40/366))+(O41*($E41/366))</f>
        <v>6.5655737704918034</v>
      </c>
      <c r="T161" s="5">
        <f>(P40*($E40/366))+(P41*($E41/366))</f>
        <v>5.9819672131147543</v>
      </c>
      <c r="U161" s="5">
        <f>(Q40*($E40/366))+(Q41*($E41/366))</f>
        <v>33.754644808743166</v>
      </c>
      <c r="V161" s="5"/>
      <c r="W161" s="5">
        <f t="shared" si="38"/>
        <v>46.302185792349725</v>
      </c>
    </row>
    <row r="162" spans="1:23" x14ac:dyDescent="0.15">
      <c r="A162" s="1">
        <v>1977</v>
      </c>
      <c r="B162" s="5">
        <f>(K42*($E42/365))+(K43*($E43/365))</f>
        <v>50</v>
      </c>
      <c r="C162" s="5">
        <f>(L42*($E42/365))+(L43*($E43/365))</f>
        <v>45</v>
      </c>
      <c r="D162" s="5">
        <f>(M42*($E42/365))+(M43*($E43/365))</f>
        <v>0</v>
      </c>
      <c r="E162" s="17">
        <f t="shared" si="37"/>
        <v>95</v>
      </c>
      <c r="G162" s="1">
        <v>1977</v>
      </c>
      <c r="H162" s="392">
        <f>(O42/$R42*100*($E42/365))+(O43/$R43*100*($E43/365))</f>
        <v>52.325581395348827</v>
      </c>
      <c r="I162" s="392"/>
      <c r="J162" s="392">
        <f>(P42/$R42*100*($E42/365))+(P43/$R43*100*($E43/365))</f>
        <v>47.674418604651166</v>
      </c>
      <c r="K162" s="392"/>
      <c r="L162" s="392">
        <f>(Q42/$R42*100*($E42/365))+(Q43/$R43*100*($E43/365))</f>
        <v>0</v>
      </c>
      <c r="M162" s="392"/>
      <c r="N162" s="363">
        <f t="shared" si="36"/>
        <v>100</v>
      </c>
      <c r="O162" s="363"/>
      <c r="R162" s="1">
        <v>1977</v>
      </c>
      <c r="S162" s="5">
        <f>(O42*($E42/365))+(O43*($E43/365))</f>
        <v>27</v>
      </c>
      <c r="T162" s="5">
        <f>(P42*($E42/365))+(P43*($E43/365))</f>
        <v>24.6</v>
      </c>
      <c r="U162" s="5">
        <f>(Q42*($E42/365))+(Q43*($E43/365))</f>
        <v>0</v>
      </c>
      <c r="V162" s="5"/>
      <c r="W162" s="5">
        <f t="shared" si="38"/>
        <v>51.6</v>
      </c>
    </row>
    <row r="163" spans="1:23" x14ac:dyDescent="0.15">
      <c r="A163" s="1">
        <v>1978</v>
      </c>
      <c r="B163" s="5">
        <f>(K44*($E44/365))+(K45*($E45/365))</f>
        <v>59.805335255948087</v>
      </c>
      <c r="C163" s="5">
        <f>(L44*($E44/365))+(L45*($E45/365))</f>
        <v>35.136986301369866</v>
      </c>
      <c r="D163" s="5">
        <f>(M44*($E44/365))+(M45*($E45/365))</f>
        <v>0</v>
      </c>
      <c r="E163" s="17">
        <f t="shared" si="37"/>
        <v>94.942321557317953</v>
      </c>
      <c r="G163" s="1">
        <v>1978</v>
      </c>
      <c r="H163" s="392">
        <f>(O44/$R44*100*($E44/365))+(O45/$R45*100*($E45/365))</f>
        <v>62.774769034724429</v>
      </c>
      <c r="I163" s="392"/>
      <c r="J163" s="392">
        <f>(P44/$R44*100*($E44/365))+(P45/$R45*100*($E45/365))</f>
        <v>37.225230965275571</v>
      </c>
      <c r="K163" s="392"/>
      <c r="L163" s="392">
        <f>(Q44/$R44*100*($E44/365))+(Q45/$R45*100*($E45/365))</f>
        <v>0</v>
      </c>
      <c r="M163" s="392"/>
      <c r="N163" s="363">
        <f t="shared" si="36"/>
        <v>100</v>
      </c>
      <c r="O163" s="363"/>
      <c r="R163" s="1">
        <v>1978</v>
      </c>
      <c r="S163" s="5">
        <f>(O44*($E44/365))+(O45*($E45/365))</f>
        <v>23.536986301369865</v>
      </c>
      <c r="T163" s="5">
        <f>(P44*($E44/365))+(P45*($E45/365))</f>
        <v>19.208219178082192</v>
      </c>
      <c r="U163" s="5">
        <f>(Q44*($E44/365))+(Q45*($E45/365))</f>
        <v>0</v>
      </c>
      <c r="V163" s="5"/>
      <c r="W163" s="5">
        <f t="shared" si="38"/>
        <v>42.745205479452054</v>
      </c>
    </row>
    <row r="164" spans="1:23" x14ac:dyDescent="0.15">
      <c r="A164" s="1">
        <v>1979</v>
      </c>
      <c r="B164" s="5">
        <f>(K46*($E46/365))+(K47*($E47/365))</f>
        <v>87.450818827891652</v>
      </c>
      <c r="C164" s="5">
        <f>(L46*($E46/365))+(L47*($E47/365))</f>
        <v>7.3972602739726021</v>
      </c>
      <c r="D164" s="5">
        <f>(M46*($E46/365))+(M47*($E47/365))</f>
        <v>0</v>
      </c>
      <c r="E164" s="17">
        <f t="shared" si="37"/>
        <v>94.848079101864258</v>
      </c>
      <c r="G164" s="1">
        <v>1979</v>
      </c>
      <c r="H164" s="392">
        <f>(O46/$R46*100*($E46/365))+(O47/$R47*100*($E47/365))</f>
        <v>91.89402017882044</v>
      </c>
      <c r="I164" s="392"/>
      <c r="J164" s="392">
        <f>(P46/$R46*100*($E46/365))+(P47/$R47*100*($E47/365))</f>
        <v>8.1059798211795595</v>
      </c>
      <c r="K164" s="392"/>
      <c r="L164" s="392">
        <f>(Q46/$R46*100*($E46/365))+(Q47/$R47*100*($E47/365))</f>
        <v>0</v>
      </c>
      <c r="M164" s="392"/>
      <c r="N164" s="363">
        <f t="shared" si="36"/>
        <v>100</v>
      </c>
      <c r="O164" s="363"/>
      <c r="R164" s="1">
        <v>1979</v>
      </c>
      <c r="S164" s="5">
        <f>(O46*($E46/365))+(O47*($E47/365))</f>
        <v>15.771506849315069</v>
      </c>
      <c r="T164" s="5">
        <f>(P46*($E46/365))+(P47*($E47/365))</f>
        <v>4.0610958904109591</v>
      </c>
      <c r="U164" s="5">
        <f>(Q46*($E46/365))+(Q47*($E47/365))</f>
        <v>0</v>
      </c>
      <c r="V164" s="5"/>
      <c r="W164" s="5">
        <f t="shared" si="38"/>
        <v>19.832602739726028</v>
      </c>
    </row>
    <row r="165" spans="1:23" x14ac:dyDescent="0.15">
      <c r="A165" s="1">
        <v>1980</v>
      </c>
      <c r="B165" s="5">
        <f>(K48*($E48/366))+(K49*($E49/366))</f>
        <v>61.904761904761905</v>
      </c>
      <c r="C165" s="5">
        <f>(L48*($E48/366))+(L49*($E49/366))</f>
        <v>33.333333333333329</v>
      </c>
      <c r="D165" s="5">
        <f>(M48*($E48/366))+(M49*($E49/366))</f>
        <v>0</v>
      </c>
      <c r="E165" s="17">
        <f t="shared" si="37"/>
        <v>95.238095238095241</v>
      </c>
      <c r="G165" s="1">
        <v>1980</v>
      </c>
      <c r="H165" s="392">
        <f>(O48/$R48*100*($E48/366))+(O49/$R49*100*($E49/366))</f>
        <v>63.473053892215567</v>
      </c>
      <c r="I165" s="392"/>
      <c r="J165" s="392">
        <f>(P48/$R48*100*($E48/366))+(P49/$R49*100*($E49/366))</f>
        <v>36.526946107784433</v>
      </c>
      <c r="K165" s="392"/>
      <c r="L165" s="392">
        <f>(Q48/$R48*100*($E48/366))+(Q49/$R49*100*($E49/366))</f>
        <v>0</v>
      </c>
      <c r="M165" s="392"/>
      <c r="N165" s="363">
        <f t="shared" si="36"/>
        <v>100</v>
      </c>
      <c r="O165" s="363"/>
      <c r="R165" s="1">
        <v>1980</v>
      </c>
      <c r="S165" s="5">
        <f>(O48*($E48/366))+(O49*($E49/366))</f>
        <v>31.799999999999997</v>
      </c>
      <c r="T165" s="5">
        <f>(P48*($E48/366))+(P49*($E49/366))</f>
        <v>18.3</v>
      </c>
      <c r="U165" s="5">
        <f>(Q48*($E48/366))+(Q49*($E49/366))</f>
        <v>0</v>
      </c>
      <c r="V165" s="5"/>
      <c r="W165" s="5">
        <f t="shared" si="38"/>
        <v>50.099999999999994</v>
      </c>
    </row>
    <row r="166" spans="1:23" x14ac:dyDescent="0.15">
      <c r="A166" s="1">
        <v>1981</v>
      </c>
      <c r="B166" s="5">
        <f>(K50*($E50/365))+(K51*($E51/365))</f>
        <v>47.779952163513812</v>
      </c>
      <c r="C166" s="5">
        <f>(L50*($E50/365))+(L51*($E51/365))</f>
        <v>46.971080669710808</v>
      </c>
      <c r="D166" s="5">
        <f>(M50*($E50/365))+(M51*($E51/365))</f>
        <v>0</v>
      </c>
      <c r="E166" s="17">
        <f t="shared" si="37"/>
        <v>94.751032833224627</v>
      </c>
      <c r="G166" s="1">
        <v>1981</v>
      </c>
      <c r="H166" s="392">
        <f>(O50/$R50*100*($E50/365))+(O51/$R51*100*($E51/365))</f>
        <v>47.428340916215987</v>
      </c>
      <c r="I166" s="392"/>
      <c r="J166" s="392">
        <f>(P50/$R50*100*($E50/365))+(P51/$R51*100*($E51/365))</f>
        <v>52.57165908378402</v>
      </c>
      <c r="K166" s="392"/>
      <c r="L166" s="392">
        <f>(Q50/$R50*100*($E50/365))+(Q51/$R51*100*($E51/365))</f>
        <v>0</v>
      </c>
      <c r="M166" s="392"/>
      <c r="N166" s="363">
        <f t="shared" si="36"/>
        <v>100</v>
      </c>
      <c r="O166" s="363"/>
      <c r="R166" s="1">
        <v>1981</v>
      </c>
      <c r="S166" s="5">
        <f>(O50*($E50/365))+(O51*($E51/365))</f>
        <v>18.973698630136987</v>
      </c>
      <c r="T166" s="5">
        <f>(P50*($E50/365))+(P51*($E51/365))</f>
        <v>18.3</v>
      </c>
      <c r="U166" s="5">
        <f>(Q50*($E50/365))+(Q51*($E51/365))</f>
        <v>0</v>
      </c>
      <c r="V166" s="5"/>
      <c r="W166" s="5">
        <f t="shared" si="38"/>
        <v>37.273698630136991</v>
      </c>
    </row>
    <row r="167" spans="1:23" x14ac:dyDescent="0.15">
      <c r="A167" s="1">
        <v>1982</v>
      </c>
      <c r="B167" s="5">
        <f>(K52*($E52/365))+(K53*($E53/365))</f>
        <v>29.832572298325726</v>
      </c>
      <c r="C167" s="5">
        <f>(L52*($E52/365))+(L53*($E53/365))</f>
        <v>42.6179604261796</v>
      </c>
      <c r="D167" s="5">
        <f>(M52*($E52/365))+(M53*($E53/365))</f>
        <v>23.287671232876711</v>
      </c>
      <c r="E167" s="17">
        <f t="shared" si="37"/>
        <v>95.738203957382041</v>
      </c>
      <c r="G167" s="1">
        <v>1982</v>
      </c>
      <c r="H167" s="392">
        <f>(O52/$R52*100*($E52/365))+(O53/$R53*100*($E53/365))</f>
        <v>28.635766560330264</v>
      </c>
      <c r="I167" s="392"/>
      <c r="J167" s="392">
        <f>(P52/$R52*100*($E52/365))+(P53/$R53*100*($E53/365))</f>
        <v>48.076562206793014</v>
      </c>
      <c r="K167" s="392"/>
      <c r="L167" s="392">
        <f>(Q52/$R52*100*($E52/365))+(Q53/$R53*100*($E53/365))</f>
        <v>23.287671232876711</v>
      </c>
      <c r="M167" s="392"/>
      <c r="N167" s="363">
        <f t="shared" si="36"/>
        <v>100</v>
      </c>
      <c r="O167" s="363"/>
      <c r="R167" s="1">
        <v>1982</v>
      </c>
      <c r="S167" s="5">
        <f>(O52*($E52/365))+(O53*($E53/365))</f>
        <v>8.3616438356164373</v>
      </c>
      <c r="T167" s="5">
        <f>(P52*($E52/365))+(P53*($E53/365))</f>
        <v>14.038356164383561</v>
      </c>
      <c r="U167" s="5">
        <f>(Q52*($E52/365))+(Q53*($E53/365))</f>
        <v>11.084931506849315</v>
      </c>
      <c r="V167" s="5"/>
      <c r="W167" s="5">
        <f t="shared" si="38"/>
        <v>33.484931506849314</v>
      </c>
    </row>
    <row r="168" spans="1:23" x14ac:dyDescent="0.15">
      <c r="A168" s="1">
        <v>1983</v>
      </c>
      <c r="B168" s="5">
        <f>(K54*($E54/365))+(K55*($E55/365))</f>
        <v>0</v>
      </c>
      <c r="C168" s="5">
        <f>(L54*($E54/365))+(L55*($E55/365))</f>
        <v>0</v>
      </c>
      <c r="D168" s="5">
        <f>(M54*($E54/365))+(M55*($E55/365))</f>
        <v>100</v>
      </c>
      <c r="E168" s="17">
        <f t="shared" si="37"/>
        <v>100</v>
      </c>
      <c r="G168" s="1">
        <v>1983</v>
      </c>
      <c r="H168" s="392">
        <f>(O54/$R54*100*($E54/365))+(O55/$R55*100*($E55/365))</f>
        <v>0</v>
      </c>
      <c r="I168" s="392"/>
      <c r="J168" s="392">
        <f>(P54/$R54*100*($E54/365))+(P55/$R55*100*($E55/365))</f>
        <v>0</v>
      </c>
      <c r="K168" s="392"/>
      <c r="L168" s="392">
        <f>(Q54/$R54*100*($E54/365))+(Q55/$R55*100*($E55/365))</f>
        <v>100</v>
      </c>
      <c r="M168" s="392"/>
      <c r="N168" s="363">
        <f t="shared" si="36"/>
        <v>100</v>
      </c>
      <c r="O168" s="363"/>
      <c r="R168" s="1">
        <v>1983</v>
      </c>
      <c r="S168" s="5">
        <f>(O54*($E54/365))+(O55*($E55/365))</f>
        <v>0</v>
      </c>
      <c r="T168" s="5">
        <f>(P54*($E54/365))+(P55*($E55/365))</f>
        <v>0</v>
      </c>
      <c r="U168" s="5">
        <f>(Q54*($E54/365))+(Q55*($E55/365))</f>
        <v>47.6</v>
      </c>
      <c r="V168" s="5"/>
      <c r="W168" s="5">
        <f t="shared" si="38"/>
        <v>47.6</v>
      </c>
    </row>
    <row r="169" spans="1:23" x14ac:dyDescent="0.15">
      <c r="A169" s="1">
        <v>1984</v>
      </c>
      <c r="B169" s="5">
        <f>(K56*($E56/366))+(K57*($E57/366))</f>
        <v>0</v>
      </c>
      <c r="C169" s="5">
        <f>(L56*($E56/366))+(L57*($E57/366))</f>
        <v>0</v>
      </c>
      <c r="D169" s="5">
        <f>(M56*($E56/366))+(M57*($E57/366))</f>
        <v>100</v>
      </c>
      <c r="E169" s="17">
        <f t="shared" si="37"/>
        <v>100</v>
      </c>
      <c r="G169" s="1">
        <v>1984</v>
      </c>
      <c r="H169" s="392">
        <f>(O56/$R56*100*($E56/366))+(O57/$R57*100*($E57/366))</f>
        <v>0</v>
      </c>
      <c r="I169" s="392"/>
      <c r="J169" s="392">
        <f>(P56/$R56*100*($E56/366))+(P57/$R57*100*($E57/366))</f>
        <v>0</v>
      </c>
      <c r="K169" s="392"/>
      <c r="L169" s="392">
        <f>(Q56/$R56*100*($E56/366))+(Q57/$R57*100*($E57/366))</f>
        <v>100</v>
      </c>
      <c r="M169" s="392"/>
      <c r="N169" s="363">
        <f t="shared" si="36"/>
        <v>100</v>
      </c>
      <c r="O169" s="363"/>
      <c r="R169" s="1">
        <v>1984</v>
      </c>
      <c r="S169" s="5">
        <f>(O56*($E56/366))+(O57*($E57/366))</f>
        <v>0</v>
      </c>
      <c r="T169" s="5">
        <f>(P56*($E56/366))+(P57*($E57/366))</f>
        <v>0</v>
      </c>
      <c r="U169" s="5">
        <f>(Q56*($E56/366))+(Q57*($E57/366))</f>
        <v>47.6</v>
      </c>
      <c r="V169" s="5"/>
      <c r="W169" s="5">
        <f t="shared" si="38"/>
        <v>47.6</v>
      </c>
    </row>
    <row r="170" spans="1:23" x14ac:dyDescent="0.15">
      <c r="A170" s="1">
        <v>1985</v>
      </c>
      <c r="B170" s="5">
        <f>(K58*($E58/365))+(K59*($E59/365))</f>
        <v>0</v>
      </c>
      <c r="C170" s="5">
        <f>(L58*($E58/365))+(L59*($E59/365))</f>
        <v>0</v>
      </c>
      <c r="D170" s="5">
        <f>(M58*($E58/365))+(M59*($E59/365))</f>
        <v>100</v>
      </c>
      <c r="E170" s="17">
        <f t="shared" si="37"/>
        <v>100</v>
      </c>
      <c r="G170" s="1">
        <v>1985</v>
      </c>
      <c r="H170" s="392">
        <f>(O58/$R58*100*($E58/365))+(O59/$R59*100*($E59/365))</f>
        <v>0</v>
      </c>
      <c r="I170" s="392"/>
      <c r="J170" s="392">
        <f>(P58/$R58*100*($E58/365))+(P59/$R59*100*($E59/365))</f>
        <v>0</v>
      </c>
      <c r="K170" s="392"/>
      <c r="L170" s="392">
        <f>(Q58/$R58*100*($E58/365))+(Q59/$R59*100*($E59/365))</f>
        <v>100</v>
      </c>
      <c r="M170" s="392"/>
      <c r="N170" s="363">
        <f t="shared" si="36"/>
        <v>100</v>
      </c>
      <c r="O170" s="363"/>
      <c r="R170" s="1">
        <v>1985</v>
      </c>
      <c r="S170" s="5">
        <f>(O58*($E58/365))+(O59*($E59/365))</f>
        <v>0</v>
      </c>
      <c r="T170" s="5">
        <f>(P58*($E58/365))+(P59*($E59/365))</f>
        <v>0</v>
      </c>
      <c r="U170" s="5">
        <f>(Q58*($E58/365))+(Q59*($E59/365))</f>
        <v>47.112328767123287</v>
      </c>
      <c r="V170" s="5"/>
      <c r="W170" s="5">
        <f t="shared" si="38"/>
        <v>47.112328767123287</v>
      </c>
    </row>
    <row r="171" spans="1:23" x14ac:dyDescent="0.15">
      <c r="A171" s="1">
        <v>1986</v>
      </c>
      <c r="B171" s="5">
        <f>(K60*($E60/365))+(K61*($E61/365))</f>
        <v>0</v>
      </c>
      <c r="C171" s="5">
        <f>(L60*($E60/365))+(L61*($E61/365))</f>
        <v>0</v>
      </c>
      <c r="D171" s="5">
        <f>(M60*($E60/365))+(M61*($E61/365))</f>
        <v>100</v>
      </c>
      <c r="E171" s="17">
        <f t="shared" si="37"/>
        <v>100</v>
      </c>
      <c r="G171" s="1">
        <v>1986</v>
      </c>
      <c r="H171" s="392">
        <f>(O60/$R60*100*($E60/365))+(O61/$R61*100*($E61/365))</f>
        <v>0</v>
      </c>
      <c r="I171" s="392"/>
      <c r="J171" s="392">
        <f>(P60/$R60*100*($E60/365))+(P61/$R61*100*($E61/365))</f>
        <v>0</v>
      </c>
      <c r="K171" s="392"/>
      <c r="L171" s="392">
        <f>(Q60/$R60*100*($E60/365))+(Q61/$R61*100*($E61/365))</f>
        <v>100</v>
      </c>
      <c r="M171" s="392"/>
      <c r="N171" s="363">
        <f t="shared" si="36"/>
        <v>100</v>
      </c>
      <c r="O171" s="363"/>
      <c r="R171" s="1">
        <v>1986</v>
      </c>
      <c r="S171" s="5">
        <f>(O60*($E60/365))+(O61*($E61/365))</f>
        <v>0</v>
      </c>
      <c r="T171" s="5">
        <f>(P60*($E60/365))+(P61*($E61/365))</f>
        <v>0</v>
      </c>
      <c r="U171" s="5">
        <f>(Q60*($E60/365))+(Q61*($E61/365))</f>
        <v>45.6</v>
      </c>
      <c r="V171" s="5"/>
      <c r="W171" s="5">
        <f t="shared" si="38"/>
        <v>45.6</v>
      </c>
    </row>
    <row r="172" spans="1:23" x14ac:dyDescent="0.15">
      <c r="A172" s="1">
        <v>1987</v>
      </c>
      <c r="B172" s="5">
        <f>(K62*($E62/365))+(K63*($E63/365))</f>
        <v>0</v>
      </c>
      <c r="C172" s="5">
        <f>(L62*($E62/365))+(L63*($E63/365))</f>
        <v>0</v>
      </c>
      <c r="D172" s="5">
        <f>(M62*($E62/365))+(M63*($E63/365))</f>
        <v>100</v>
      </c>
      <c r="E172" s="17">
        <f>B172+C172+D172</f>
        <v>100</v>
      </c>
      <c r="G172" s="1">
        <v>1987</v>
      </c>
      <c r="H172" s="392">
        <f>(O62/$R62*100*($E62/365))+(O63/$R63*100*($E63/365))</f>
        <v>0</v>
      </c>
      <c r="I172" s="392"/>
      <c r="J172" s="392">
        <f>(P62/$R62*100*($E62/365))+(P63/$R63*100*($E63/365))</f>
        <v>0</v>
      </c>
      <c r="K172" s="392"/>
      <c r="L172" s="392">
        <f>(Q62/$R62*100*($E62/365))+(Q63/$R63*100*($E63/365))</f>
        <v>100</v>
      </c>
      <c r="M172" s="392"/>
      <c r="N172" s="363">
        <f t="shared" si="36"/>
        <v>100</v>
      </c>
      <c r="O172" s="363"/>
      <c r="R172" s="1">
        <v>1987</v>
      </c>
      <c r="S172" s="5">
        <f>(O62*($E62/365))+(O63*($E63/365))</f>
        <v>0</v>
      </c>
      <c r="T172" s="5">
        <f>(P62*($E62/365))+(P63*($E63/365))</f>
        <v>0</v>
      </c>
      <c r="U172" s="5">
        <f>(Q62*($E62/365))+(Q63*($E63/365))</f>
        <v>45.6</v>
      </c>
      <c r="V172" s="5"/>
      <c r="W172" s="5">
        <f t="shared" si="38"/>
        <v>45.6</v>
      </c>
    </row>
    <row r="173" spans="1:23" x14ac:dyDescent="0.15">
      <c r="A173" s="1">
        <v>1988</v>
      </c>
      <c r="B173" s="5">
        <f>(K64*($E64/366))+(K65*($E65/366))</f>
        <v>0</v>
      </c>
      <c r="C173" s="5">
        <f>(L64*($E64/366))+(L65*($E65/366))</f>
        <v>0</v>
      </c>
      <c r="D173" s="5">
        <f>(M64*($E64/366))+(M65*($E65/366))</f>
        <v>100</v>
      </c>
      <c r="E173" s="17">
        <f t="shared" si="37"/>
        <v>100</v>
      </c>
      <c r="G173" s="1">
        <v>1988</v>
      </c>
      <c r="H173" s="392">
        <f>(O64/$R64*100*($E64/366))+(O65/$R65*100*($E65/366))</f>
        <v>0</v>
      </c>
      <c r="I173" s="392"/>
      <c r="J173" s="392">
        <f>(P64/$R64*100*($E64/366))+(P65/$R65*100*($E65/366))</f>
        <v>0</v>
      </c>
      <c r="K173" s="392"/>
      <c r="L173" s="392">
        <f>(Q64/$R64*100*($E64/366))+(Q65/$R65*100*($E65/366))</f>
        <v>100</v>
      </c>
      <c r="M173" s="392"/>
      <c r="N173" s="363">
        <f t="shared" si="36"/>
        <v>100</v>
      </c>
      <c r="O173" s="363"/>
      <c r="R173" s="1">
        <v>1988</v>
      </c>
      <c r="S173" s="5">
        <f>(O64*($E64/366))+(O65*($E65/366))</f>
        <v>0</v>
      </c>
      <c r="T173" s="5">
        <f>(P64*($E64/366))+(P65*($E65/366))</f>
        <v>0</v>
      </c>
      <c r="U173" s="5">
        <f>(Q64*($E64/366))+(Q65*($E65/366))</f>
        <v>45.381147540983605</v>
      </c>
      <c r="V173" s="5"/>
      <c r="W173" s="5">
        <f t="shared" si="38"/>
        <v>45.381147540983605</v>
      </c>
    </row>
    <row r="174" spans="1:23" x14ac:dyDescent="0.15">
      <c r="A174" s="1">
        <v>1989</v>
      </c>
      <c r="B174" s="5">
        <f>(K66*($E66/365))+(K67*($E67/365))</f>
        <v>0</v>
      </c>
      <c r="C174" s="5">
        <f>(L66*($E66/365))+(L67*($E67/365))</f>
        <v>0</v>
      </c>
      <c r="D174" s="5">
        <f>(M66*($E66/365))+(M67*($E67/365))</f>
        <v>100</v>
      </c>
      <c r="E174" s="17">
        <f t="shared" si="37"/>
        <v>100</v>
      </c>
      <c r="G174" s="1">
        <v>1989</v>
      </c>
      <c r="H174" s="392">
        <f>(O66/$R66*100*($E66/365))+(O67/$R67*100*($E67/365))</f>
        <v>0</v>
      </c>
      <c r="I174" s="392"/>
      <c r="J174" s="392">
        <f>(P66/$R66*100*($E66/365))+(P67/$R67*100*($E67/365))</f>
        <v>0</v>
      </c>
      <c r="K174" s="392"/>
      <c r="L174" s="392">
        <f>(Q66/$R66*100*($E66/365))+(Q67/$R67*100*($E67/365))</f>
        <v>100</v>
      </c>
      <c r="M174" s="392"/>
      <c r="N174" s="363">
        <f t="shared" si="36"/>
        <v>100</v>
      </c>
      <c r="O174" s="363"/>
      <c r="R174" s="1">
        <v>1989</v>
      </c>
      <c r="S174" s="5">
        <f>(O66*($E66/365))+(O67*($E67/365))</f>
        <v>0</v>
      </c>
      <c r="T174" s="5">
        <f>(P66*($E66/365))+(P67*($E67/365))</f>
        <v>0</v>
      </c>
      <c r="U174" s="5">
        <f>(Q66*($E66/365))+(Q67*($E67/365))</f>
        <v>44.7</v>
      </c>
      <c r="V174" s="5"/>
      <c r="W174" s="5">
        <f t="shared" si="38"/>
        <v>44.7</v>
      </c>
    </row>
    <row r="175" spans="1:23" x14ac:dyDescent="0.15">
      <c r="A175" s="1">
        <v>1990</v>
      </c>
      <c r="B175" s="5">
        <f>(K68*($E68/365))+(K69*($E69/365))</f>
        <v>0</v>
      </c>
      <c r="C175" s="5">
        <f>(L68*($E68/365))+(L69*($E69/365))</f>
        <v>0</v>
      </c>
      <c r="D175" s="5">
        <f>(M68*($E68/365))+(M69*($E69/365))</f>
        <v>100</v>
      </c>
      <c r="E175" s="17">
        <f t="shared" si="37"/>
        <v>100</v>
      </c>
      <c r="G175" s="1">
        <v>1990</v>
      </c>
      <c r="H175" s="392">
        <f>(O68/$R68*100*($E68/365))+(O69/$R69*100*($E69/365))</f>
        <v>0</v>
      </c>
      <c r="I175" s="392"/>
      <c r="J175" s="392">
        <f>(P68/$R68*100*($E68/365))+(P69/$R69*100*($E69/365))</f>
        <v>0</v>
      </c>
      <c r="K175" s="392"/>
      <c r="L175" s="392">
        <f>(Q68/$R68*100*($E68/365))+(Q69/$R69*100*($E69/365))</f>
        <v>100</v>
      </c>
      <c r="M175" s="392"/>
      <c r="N175" s="363">
        <f t="shared" si="36"/>
        <v>100</v>
      </c>
      <c r="O175" s="363"/>
      <c r="R175" s="1">
        <v>1990</v>
      </c>
      <c r="S175" s="5">
        <f>(O68*($E68/365))+(O69*($E69/365))</f>
        <v>0</v>
      </c>
      <c r="T175" s="5">
        <f>(P68*($E68/365))+(P69*($E69/365))</f>
        <v>0</v>
      </c>
      <c r="U175" s="5">
        <f>(Q68*($E68/365))+(Q69*($E69/365))</f>
        <v>44.7</v>
      </c>
      <c r="V175" s="5"/>
      <c r="W175" s="5">
        <f t="shared" si="38"/>
        <v>44.7</v>
      </c>
    </row>
    <row r="176" spans="1:23" x14ac:dyDescent="0.15">
      <c r="A176" s="1">
        <v>1991</v>
      </c>
      <c r="B176" s="5">
        <f>(K70*($E70/365))+(K71*($E71/365))</f>
        <v>15.264187866927593</v>
      </c>
      <c r="C176" s="5">
        <f>(L70*($E70/365))+(L71*($E71/365))</f>
        <v>8.2191780821917799</v>
      </c>
      <c r="D176" s="5">
        <f>(M70*($E70/365))+(M71*($E71/365))</f>
        <v>75.342465753424662</v>
      </c>
      <c r="E176" s="17">
        <f t="shared" si="37"/>
        <v>98.825831702544036</v>
      </c>
      <c r="G176" s="1">
        <v>1991</v>
      </c>
      <c r="H176" s="392">
        <f>(O70/$R70*100*($E70/365))+(O71/$R71*100*($E71/365))</f>
        <v>16.404601839610699</v>
      </c>
      <c r="I176" s="392"/>
      <c r="J176" s="392">
        <f>(P70/$R70*100*($E70/365))+(P71/$R71*100*($E71/365))</f>
        <v>8.252932406964641</v>
      </c>
      <c r="K176" s="392"/>
      <c r="L176" s="392">
        <f>(Q70/$R70*100*($E70/365))+(Q71/$R71*100*($E71/365))</f>
        <v>75.342465753424662</v>
      </c>
      <c r="M176" s="392"/>
      <c r="N176" s="363">
        <f t="shared" si="36"/>
        <v>100</v>
      </c>
      <c r="O176" s="363"/>
      <c r="R176" s="1">
        <v>1991</v>
      </c>
      <c r="S176" s="5">
        <f>(O70*($E70/365))+(O71*($E71/365))</f>
        <v>7.9890410958904106</v>
      </c>
      <c r="T176" s="5">
        <f>(P70*($E70/365))+(P71*($E71/365))</f>
        <v>4.0191780821917806</v>
      </c>
      <c r="U176" s="5">
        <f>(Q70*($E70/365))+(Q71*($E71/365))</f>
        <v>33.678082191780824</v>
      </c>
      <c r="V176" s="5"/>
      <c r="W176" s="5">
        <f t="shared" si="38"/>
        <v>45.686301369863017</v>
      </c>
    </row>
    <row r="177" spans="1:23" x14ac:dyDescent="0.15">
      <c r="A177" s="1">
        <v>1992</v>
      </c>
      <c r="B177" s="5">
        <f>(K72*($E72/366))+(K73*($E73/366))</f>
        <v>65</v>
      </c>
      <c r="C177" s="5">
        <f>(L72*($E72/366))+(L73*($E73/366))</f>
        <v>30</v>
      </c>
      <c r="D177" s="5">
        <f>(M72*($E72/366))+(M73*($E73/366))</f>
        <v>0</v>
      </c>
      <c r="E177" s="17">
        <f t="shared" si="37"/>
        <v>95</v>
      </c>
      <c r="G177" s="1">
        <v>1992</v>
      </c>
      <c r="H177" s="392">
        <f>(O72/$R72*100*($E72/366))+(O73/$R73*100*($E73/366))</f>
        <v>66.529774127310063</v>
      </c>
      <c r="I177" s="392"/>
      <c r="J177" s="392">
        <f>(P72/$R72*100*($E72/366))+(P73/$R73*100*($E73/366))</f>
        <v>33.470225872689937</v>
      </c>
      <c r="K177" s="392"/>
      <c r="L177" s="392">
        <f>(Q72/$R72*100*($E72/366))+(Q73/$R73*100*($E73/366))</f>
        <v>0</v>
      </c>
      <c r="M177" s="392"/>
      <c r="N177" s="363">
        <f t="shared" ref="N177:N197" si="39">H177+J177+L177</f>
        <v>100</v>
      </c>
      <c r="O177" s="363"/>
      <c r="R177" s="1">
        <v>1992</v>
      </c>
      <c r="S177" s="5">
        <f>(O72*($E72/366))+(O73*($E73/366))</f>
        <v>32.4</v>
      </c>
      <c r="T177" s="5">
        <f>(P72*($E72/366))+(P73*($E73/366))</f>
        <v>16.3</v>
      </c>
      <c r="U177" s="5">
        <f>(Q72*($E72/366))+(Q73*($E73/366))</f>
        <v>0</v>
      </c>
      <c r="V177" s="5"/>
      <c r="W177" s="5">
        <f t="shared" si="38"/>
        <v>48.7</v>
      </c>
    </row>
    <row r="178" spans="1:23" x14ac:dyDescent="0.15">
      <c r="A178" s="1">
        <v>1993</v>
      </c>
      <c r="B178" s="5">
        <f>(K74*($E74/365))+(K75*($E75/365))</f>
        <v>61.904761904761905</v>
      </c>
      <c r="C178" s="5">
        <f>(L74*($E74/365))+(L75*($E75/365))</f>
        <v>33.333333333333329</v>
      </c>
      <c r="D178" s="5">
        <f>(M74*($E74/365))+(M75*($E75/365))</f>
        <v>0</v>
      </c>
      <c r="E178" s="17">
        <f t="shared" si="37"/>
        <v>95.238095238095241</v>
      </c>
      <c r="G178" s="1">
        <v>1993</v>
      </c>
      <c r="H178" s="392">
        <f>(O74/$R74*100*($E74/365))+(O75/$R75*100*($E75/365))</f>
        <v>66.529774127310063</v>
      </c>
      <c r="I178" s="392"/>
      <c r="J178" s="392">
        <f>(P74/$R74*100*($E74/365))+(P75/$R75*100*($E75/365))</f>
        <v>33.470225872689937</v>
      </c>
      <c r="K178" s="392"/>
      <c r="L178" s="392">
        <f>(Q74/$R74*100*($E74/365))+(Q75/$R75*100*($E75/365))</f>
        <v>0</v>
      </c>
      <c r="M178" s="392"/>
      <c r="N178" s="363">
        <f t="shared" si="39"/>
        <v>100</v>
      </c>
      <c r="O178" s="363"/>
      <c r="R178" s="1">
        <v>1993</v>
      </c>
      <c r="S178" s="5">
        <f>(O74*($E74/365))+(O75*($E75/365))</f>
        <v>32.4</v>
      </c>
      <c r="T178" s="5">
        <f>(P74*($E74/365))+(P75*($E75/365))</f>
        <v>16.3</v>
      </c>
      <c r="U178" s="5">
        <f>(Q74*($E74/365))+(Q75*($E75/365))</f>
        <v>0</v>
      </c>
      <c r="V178" s="5"/>
      <c r="W178" s="5">
        <f t="shared" si="38"/>
        <v>48.7</v>
      </c>
    </row>
    <row r="179" spans="1:23" x14ac:dyDescent="0.15">
      <c r="A179" s="1">
        <v>1994</v>
      </c>
      <c r="B179" s="5">
        <f>(K76*($E76/365))+(K77*($E77/365))</f>
        <v>47.149380300065232</v>
      </c>
      <c r="C179" s="5">
        <f>(L76*($E76/365))+(L77*($E77/365))</f>
        <v>25.388127853881276</v>
      </c>
      <c r="D179" s="5">
        <f>(M76*($E76/365))+(M77*($E77/365))</f>
        <v>23.835616438356162</v>
      </c>
      <c r="E179" s="17">
        <f t="shared" si="37"/>
        <v>96.373124592302673</v>
      </c>
      <c r="G179" s="1">
        <v>1994</v>
      </c>
      <c r="H179" s="392">
        <f>(O76/$R76*100*($E76/365))+(O77/$R77*100*($E77/365))</f>
        <v>50.671992349019717</v>
      </c>
      <c r="I179" s="392"/>
      <c r="J179" s="392">
        <f>(P76/$R76*100*($E76/365))+(P77/$R77*100*($E77/365))</f>
        <v>25.492391212624117</v>
      </c>
      <c r="K179" s="392"/>
      <c r="L179" s="392">
        <f>(Q76/$R76*100*($E76/365))+(Q77/$R77*100*($E77/365))</f>
        <v>23.835616438356162</v>
      </c>
      <c r="M179" s="392"/>
      <c r="N179" s="363">
        <f t="shared" si="39"/>
        <v>100</v>
      </c>
      <c r="O179" s="363"/>
      <c r="R179" s="1">
        <v>1994</v>
      </c>
      <c r="S179" s="5">
        <f>(O76*($E76/365))+(O77*($E77/365))</f>
        <v>24.6772602739726</v>
      </c>
      <c r="T179" s="5">
        <f>(P76*($E76/365))+(P77*($E77/365))</f>
        <v>12.414794520547945</v>
      </c>
      <c r="U179" s="5">
        <f>(Q76*($E76/365))+(Q77*($E77/365))</f>
        <v>10.988219178082192</v>
      </c>
      <c r="V179" s="5"/>
      <c r="W179" s="5">
        <f t="shared" si="38"/>
        <v>48.080273972602733</v>
      </c>
    </row>
    <row r="180" spans="1:23" x14ac:dyDescent="0.15">
      <c r="A180" s="1">
        <v>1995</v>
      </c>
      <c r="B180" s="5">
        <f>(K78*($E78/365))+(K79*($E79/365))</f>
        <v>0</v>
      </c>
      <c r="C180" s="5">
        <f>(L78*($E78/365))+(L79*($E79/365))</f>
        <v>0</v>
      </c>
      <c r="D180" s="5">
        <f>(M78*($E78/365))+(M79*($E79/365))</f>
        <v>100</v>
      </c>
      <c r="E180" s="17">
        <f t="shared" si="37"/>
        <v>100</v>
      </c>
      <c r="G180" s="1">
        <v>1995</v>
      </c>
      <c r="H180" s="392">
        <f>(O78/$R78*100*($E78/365))+(O79/$R79*100*($E79/365))</f>
        <v>0</v>
      </c>
      <c r="I180" s="392"/>
      <c r="J180" s="392">
        <f>(P78/$R78*100*($E78/365))+(P79/$R79*100*($E79/365))</f>
        <v>0</v>
      </c>
      <c r="K180" s="392"/>
      <c r="L180" s="392">
        <f>(Q78/$R78*100*($E78/365))+(Q79/$R79*100*($E79/365))</f>
        <v>100</v>
      </c>
      <c r="M180" s="392"/>
      <c r="N180" s="363">
        <f t="shared" si="39"/>
        <v>100</v>
      </c>
      <c r="O180" s="363"/>
      <c r="R180" s="1">
        <v>1995</v>
      </c>
      <c r="S180" s="5">
        <f>(O78*($E78/365))+(O79*($E79/365))</f>
        <v>0</v>
      </c>
      <c r="T180" s="5">
        <f>(P78*($E78/365))+(P79*($E79/365))</f>
        <v>0</v>
      </c>
      <c r="U180" s="5">
        <f>(Q78*($E78/365))+(Q79*($E79/365))</f>
        <v>46.1</v>
      </c>
      <c r="V180" s="5"/>
      <c r="W180" s="5">
        <f t="shared" si="38"/>
        <v>46.1</v>
      </c>
    </row>
    <row r="181" spans="1:23" x14ac:dyDescent="0.15">
      <c r="A181" s="1">
        <v>1996</v>
      </c>
      <c r="B181" s="5">
        <f>(K80*($E80/366))+(K81*($E81/366))</f>
        <v>0</v>
      </c>
      <c r="C181" s="5">
        <f>(L80*($E80/366))+(L81*($E81/366))</f>
        <v>0</v>
      </c>
      <c r="D181" s="5">
        <f>(M80*($E80/366))+(M81*($E81/366))</f>
        <v>100</v>
      </c>
      <c r="E181" s="17">
        <f t="shared" si="37"/>
        <v>100</v>
      </c>
      <c r="G181" s="1">
        <v>1996</v>
      </c>
      <c r="H181" s="392">
        <f>(O80/$R80*100*($E80/366))+(O81/$R81*100*($E81/366))</f>
        <v>0</v>
      </c>
      <c r="I181" s="392"/>
      <c r="J181" s="392">
        <f>(P80/$R80*100*($E80/366))+(P81/$R81*100*($E81/366))</f>
        <v>0</v>
      </c>
      <c r="K181" s="392"/>
      <c r="L181" s="392">
        <f>(Q80/$R80*100*($E80/366))+(Q81/$R81*100*($E81/366))</f>
        <v>100</v>
      </c>
      <c r="M181" s="392"/>
      <c r="N181" s="363">
        <f t="shared" si="39"/>
        <v>100</v>
      </c>
      <c r="O181" s="363"/>
      <c r="R181" s="1">
        <v>1996</v>
      </c>
      <c r="S181" s="5">
        <f>(O80*($E80/366))+(O81*($E81/366))</f>
        <v>0</v>
      </c>
      <c r="T181" s="5">
        <f>(P80*($E80/366))+(P81*($E81/366))</f>
        <v>0</v>
      </c>
      <c r="U181" s="5">
        <f>(Q80*($E80/366))+(Q81*($E81/366))</f>
        <v>46.1</v>
      </c>
      <c r="V181" s="5"/>
      <c r="W181" s="5">
        <f t="shared" si="38"/>
        <v>46.1</v>
      </c>
    </row>
    <row r="182" spans="1:23" x14ac:dyDescent="0.15">
      <c r="A182" s="1">
        <v>1997</v>
      </c>
      <c r="B182" s="5">
        <f>(K82*($E82/365))+(K83*($E83/365))</f>
        <v>0</v>
      </c>
      <c r="C182" s="5">
        <f>(L82*($E82/365))+(L83*($E83/365))</f>
        <v>0</v>
      </c>
      <c r="D182" s="5">
        <f>(M82*($E82/365))+(M83*($E83/365))</f>
        <v>100</v>
      </c>
      <c r="E182" s="17">
        <f t="shared" si="37"/>
        <v>100</v>
      </c>
      <c r="G182" s="1">
        <v>1997</v>
      </c>
      <c r="H182" s="392">
        <f>(O82/$R82*100*($E82/365))+(O83/$R83*100*($E83/365))</f>
        <v>0</v>
      </c>
      <c r="I182" s="392"/>
      <c r="J182" s="392">
        <f>(P82/$R82*100*($E82/365))+(P83/$R83*100*($E83/365))</f>
        <v>0</v>
      </c>
      <c r="K182" s="392"/>
      <c r="L182" s="392">
        <f>(Q82/$R82*100*($E82/365))+(Q83/$R83*100*($E83/365))</f>
        <v>100</v>
      </c>
      <c r="M182" s="392"/>
      <c r="N182" s="363">
        <f t="shared" si="39"/>
        <v>100</v>
      </c>
      <c r="O182" s="363"/>
      <c r="R182" s="1">
        <v>1997</v>
      </c>
      <c r="S182" s="5">
        <f>(O82*($E82/365))+(O83*($E83/365))</f>
        <v>0</v>
      </c>
      <c r="T182" s="5">
        <f>(P82*($E82/365))+(P83*($E83/365))</f>
        <v>0</v>
      </c>
      <c r="U182" s="5">
        <f>(Q82*($E82/365))+(Q83*($E83/365))</f>
        <v>46.1</v>
      </c>
      <c r="V182" s="5"/>
      <c r="W182" s="5">
        <f t="shared" si="38"/>
        <v>46.1</v>
      </c>
    </row>
    <row r="183" spans="1:23" x14ac:dyDescent="0.15">
      <c r="A183" s="1">
        <v>1998</v>
      </c>
      <c r="B183" s="5">
        <f>(K84*($E84/365))+(K85*($E85/365))</f>
        <v>0</v>
      </c>
      <c r="C183" s="5">
        <f>(L84*($E84/365))+(L85*($E85/365))</f>
        <v>0</v>
      </c>
      <c r="D183" s="5">
        <f>(M84*($E84/365))+(M85*($E85/365))</f>
        <v>100</v>
      </c>
      <c r="E183" s="17">
        <f t="shared" si="37"/>
        <v>100</v>
      </c>
      <c r="G183" s="1">
        <v>1998</v>
      </c>
      <c r="H183" s="392">
        <f>(O84/$R84*100*($E84/365))+(O85/$R85*100*($E85/365))</f>
        <v>0</v>
      </c>
      <c r="I183" s="392"/>
      <c r="J183" s="392">
        <f>(P84/$R84*100*($E84/365))+(P85/$R85*100*($E85/365))</f>
        <v>0</v>
      </c>
      <c r="K183" s="392"/>
      <c r="L183" s="392">
        <f>(Q84/$R84*100*($E84/365))+(Q85/$R85*100*($E85/365))</f>
        <v>100</v>
      </c>
      <c r="M183" s="392"/>
      <c r="N183" s="363">
        <f t="shared" si="39"/>
        <v>100</v>
      </c>
      <c r="O183" s="363"/>
      <c r="R183" s="1">
        <v>1998</v>
      </c>
      <c r="S183" s="5">
        <f>(O84*($E84/365))+(O85*($E85/365))</f>
        <v>0</v>
      </c>
      <c r="T183" s="5">
        <f>(P84*($E84/365))+(P85*($E85/365))</f>
        <v>0</v>
      </c>
      <c r="U183" s="5">
        <f>(Q84*($E84/365))+(Q85*($E85/365))</f>
        <v>44.050136986301375</v>
      </c>
      <c r="V183" s="5"/>
      <c r="W183" s="5">
        <f t="shared" si="38"/>
        <v>44.050136986301375</v>
      </c>
    </row>
    <row r="184" spans="1:23" x14ac:dyDescent="0.15">
      <c r="A184" s="1">
        <v>1999</v>
      </c>
      <c r="B184" s="5">
        <f>(K86*($E86/365))+(K87*($E87/365))</f>
        <v>0</v>
      </c>
      <c r="C184" s="5">
        <f>(L86*($E86/365))+(L87*($E87/365))</f>
        <v>0</v>
      </c>
      <c r="D184" s="5">
        <f>(M86*($E86/365))+(M87*($E87/365))</f>
        <v>100</v>
      </c>
      <c r="E184" s="17">
        <f t="shared" si="37"/>
        <v>100</v>
      </c>
      <c r="G184" s="1">
        <v>1999</v>
      </c>
      <c r="H184" s="392">
        <f>(O86/$R86*100*($E86/365))+(O87/$R87*100*($E87/365))</f>
        <v>0</v>
      </c>
      <c r="I184" s="392"/>
      <c r="J184" s="392">
        <f>(P86/$R86*100*($E86/365))+(P87/$R87*100*($E87/365))</f>
        <v>0</v>
      </c>
      <c r="K184" s="392"/>
      <c r="L184" s="392">
        <f>(Q86/$R86*100*($E86/365))+(Q87/$R87*100*($E87/365))</f>
        <v>100</v>
      </c>
      <c r="M184" s="392"/>
      <c r="N184" s="363">
        <f t="shared" si="39"/>
        <v>100</v>
      </c>
      <c r="O184" s="363"/>
      <c r="R184" s="1">
        <v>1999</v>
      </c>
      <c r="S184" s="5">
        <f>(O86*($E86/365))+(O87*($E87/365))</f>
        <v>0</v>
      </c>
      <c r="T184" s="5">
        <f>(P86*($E86/365))+(P87*($E87/365))</f>
        <v>0</v>
      </c>
      <c r="U184" s="5">
        <f>(Q86*($E86/365))+(Q87*($E87/365))</f>
        <v>37.5</v>
      </c>
      <c r="V184" s="5"/>
      <c r="W184" s="5">
        <f t="shared" si="38"/>
        <v>37.5</v>
      </c>
    </row>
    <row r="185" spans="1:23" x14ac:dyDescent="0.15">
      <c r="A185" s="1">
        <v>2000</v>
      </c>
      <c r="B185" s="5">
        <f>(K88*($E88/366))+(K89*($E89/366))</f>
        <v>0</v>
      </c>
      <c r="C185" s="5">
        <f>(L88*($E88/366))+(L89*($E89/366))</f>
        <v>0</v>
      </c>
      <c r="D185" s="5">
        <f>(M88*($E88/366))+(M89*($E89/366))</f>
        <v>100</v>
      </c>
      <c r="E185" s="17">
        <f t="shared" si="37"/>
        <v>100</v>
      </c>
      <c r="G185" s="1">
        <v>2000</v>
      </c>
      <c r="H185" s="392">
        <f>(O88/$R88*100*($E88/366))+(O89/$R89*100*($E89/366))</f>
        <v>0</v>
      </c>
      <c r="I185" s="392"/>
      <c r="J185" s="392">
        <f>(P88/$R88*100*($E88/366))+(P89/$R89*100*($E89/366))</f>
        <v>0</v>
      </c>
      <c r="K185" s="392"/>
      <c r="L185" s="392">
        <f>(Q88/$R88*100*($E88/366))+(Q89/$R89*100*($E89/366))</f>
        <v>100</v>
      </c>
      <c r="M185" s="392"/>
      <c r="N185" s="363">
        <f t="shared" si="39"/>
        <v>100</v>
      </c>
      <c r="O185" s="363"/>
      <c r="R185" s="1">
        <v>2000</v>
      </c>
      <c r="S185" s="5">
        <f>(O88*($E88/366))+(O89*($E89/366))</f>
        <v>0</v>
      </c>
      <c r="T185" s="5">
        <f>(P88*($E88/366))+(P89*($E89/366))</f>
        <v>0</v>
      </c>
      <c r="U185" s="5">
        <f>(Q88*($E88/366))+(Q89*($E89/366))</f>
        <v>37.5</v>
      </c>
      <c r="V185" s="5"/>
      <c r="W185" s="5">
        <f t="shared" si="38"/>
        <v>37.5</v>
      </c>
    </row>
    <row r="186" spans="1:23" x14ac:dyDescent="0.15">
      <c r="A186" s="1">
        <v>2001</v>
      </c>
      <c r="B186" s="5">
        <f>(K90*($E90/365))+(K91*($E91/365))</f>
        <v>0</v>
      </c>
      <c r="C186" s="5">
        <f>(L90*($E90/365))+(L91*($E91/365))</f>
        <v>0</v>
      </c>
      <c r="D186" s="5">
        <f>(M90*($E90/365))+(M91*($E91/365))</f>
        <v>100</v>
      </c>
      <c r="E186" s="17">
        <f t="shared" si="37"/>
        <v>100</v>
      </c>
      <c r="G186" s="1">
        <v>2001</v>
      </c>
      <c r="H186" s="392">
        <f>(O90/$R90*100*($E90/365))+(O91/$R91*100*($E91/365))</f>
        <v>0</v>
      </c>
      <c r="I186" s="392"/>
      <c r="J186" s="392">
        <f>(P90/$R90*100*($E90/365))+(P91/$R91*100*($E91/365))</f>
        <v>0</v>
      </c>
      <c r="K186" s="392"/>
      <c r="L186" s="392">
        <f>(Q90/$R90*100*($E90/365))+(Q91/$R91*100*($E91/365))</f>
        <v>100</v>
      </c>
      <c r="M186" s="392"/>
      <c r="N186" s="363">
        <f t="shared" si="39"/>
        <v>100</v>
      </c>
      <c r="O186" s="363"/>
      <c r="R186" s="1">
        <v>2001</v>
      </c>
      <c r="S186" s="5">
        <f>(O90*($E90/365))+(O91*($E91/365))</f>
        <v>0</v>
      </c>
      <c r="T186" s="5">
        <f>(P90*($E90/365))+(P91*($E91/365))</f>
        <v>0</v>
      </c>
      <c r="U186" s="5">
        <f>(Q90*($E90/365))+(Q91*($E91/365))</f>
        <v>37.5</v>
      </c>
      <c r="V186" s="5"/>
      <c r="W186" s="5">
        <f t="shared" si="38"/>
        <v>37.5</v>
      </c>
    </row>
    <row r="187" spans="1:23" x14ac:dyDescent="0.15">
      <c r="A187" s="1">
        <v>2002</v>
      </c>
      <c r="B187" s="5">
        <f>(K92*($E92/365))+(K93*($E93/365))</f>
        <v>0</v>
      </c>
      <c r="C187" s="5">
        <f>(L92*($E92/365))+(L93*($E93/365))</f>
        <v>0</v>
      </c>
      <c r="D187" s="5">
        <f>(M92*($E92/365))+(M93*($E93/365))</f>
        <v>100</v>
      </c>
      <c r="E187" s="17">
        <f t="shared" si="37"/>
        <v>100</v>
      </c>
      <c r="G187" s="1">
        <v>2002</v>
      </c>
      <c r="H187" s="392">
        <f>(O92/$R92*100*($E92/365))+(O93/$R93*100*($E93/365))</f>
        <v>0</v>
      </c>
      <c r="I187" s="392"/>
      <c r="J187" s="392">
        <f>(P92/$R92*100*($E92/365))+(P93/$R93*100*($E93/365))</f>
        <v>0</v>
      </c>
      <c r="K187" s="392"/>
      <c r="L187" s="392">
        <f>(Q92/$R92*100*($E92/365))+(Q93/$R93*100*($E93/365))</f>
        <v>100</v>
      </c>
      <c r="M187" s="392"/>
      <c r="N187" s="363">
        <f t="shared" si="39"/>
        <v>100</v>
      </c>
      <c r="O187" s="363"/>
      <c r="R187" s="1">
        <v>2002</v>
      </c>
      <c r="S187" s="5">
        <f>(O92*($E92/365))+(O93*($E93/365))</f>
        <v>0</v>
      </c>
      <c r="T187" s="5">
        <f>(P92*($E92/365))+(P93*($E93/365))</f>
        <v>0</v>
      </c>
      <c r="U187" s="5">
        <f>(Q92*($E92/365))+(Q93*($E93/365))</f>
        <v>38.447397260273974</v>
      </c>
      <c r="V187" s="5"/>
      <c r="W187" s="5">
        <f t="shared" si="38"/>
        <v>38.447397260273974</v>
      </c>
    </row>
    <row r="188" spans="1:23" x14ac:dyDescent="0.15">
      <c r="A188" s="1">
        <v>2003</v>
      </c>
      <c r="B188" s="5">
        <f>(K94*($E94/365))+(K95*($E95/365))</f>
        <v>0</v>
      </c>
      <c r="C188" s="5">
        <f>(L94*($E94/365))+(L95*($E95/365))</f>
        <v>0</v>
      </c>
      <c r="D188" s="5">
        <f>(M94*($E94/365))+(M95*($E95/365))</f>
        <v>100</v>
      </c>
      <c r="E188" s="17">
        <f t="shared" si="37"/>
        <v>100</v>
      </c>
      <c r="G188" s="1">
        <v>2003</v>
      </c>
      <c r="H188" s="392">
        <f>(O94/$R94*100*($E94/365))+(O95/$R95*100*($E95/365))</f>
        <v>0</v>
      </c>
      <c r="I188" s="392"/>
      <c r="J188" s="392">
        <f>(P94/$R94*100*($E94/365))+(P95/$R95*100*($E95/365))</f>
        <v>0</v>
      </c>
      <c r="K188" s="392"/>
      <c r="L188" s="392">
        <f>(Q94/$R94*100*($E94/365))+(Q95/$R95*100*($E95/365))</f>
        <v>100</v>
      </c>
      <c r="M188" s="392"/>
      <c r="N188" s="363">
        <f t="shared" si="39"/>
        <v>100</v>
      </c>
      <c r="O188" s="363"/>
      <c r="R188" s="1">
        <v>2003</v>
      </c>
      <c r="S188" s="5">
        <f>(O94*($E94/365))+(O95*($E95/365))</f>
        <v>0</v>
      </c>
      <c r="T188" s="5">
        <f>(P94*($E94/365))+(P95*($E95/365))</f>
        <v>0</v>
      </c>
      <c r="U188" s="5">
        <f>(Q94*($E94/365))+(Q95*($E95/365))</f>
        <v>41.3</v>
      </c>
      <c r="V188" s="5"/>
      <c r="W188" s="5">
        <f t="shared" si="38"/>
        <v>41.3</v>
      </c>
    </row>
    <row r="189" spans="1:23" x14ac:dyDescent="0.15">
      <c r="A189" s="1">
        <v>2004</v>
      </c>
      <c r="B189" s="5">
        <f>(K96*($E96/366))+(K97*($E97/366))</f>
        <v>0</v>
      </c>
      <c r="C189" s="5">
        <f>(L96*($E96/366))+(L97*($E97/366))</f>
        <v>0</v>
      </c>
      <c r="D189" s="5">
        <f>(M96*($E96/366))+(M97*($E97/366))</f>
        <v>100</v>
      </c>
      <c r="E189" s="17">
        <f t="shared" si="37"/>
        <v>100</v>
      </c>
      <c r="G189" s="1">
        <v>2004</v>
      </c>
      <c r="H189" s="392">
        <f>(O96/$R96*100*($E96/366))+(O97/$R97*100*($E97/366))</f>
        <v>0</v>
      </c>
      <c r="I189" s="392"/>
      <c r="J189" s="392">
        <f>(P96/$R96*100*($E96/366))+(P97/$R97*100*($E97/366))</f>
        <v>0</v>
      </c>
      <c r="K189" s="392"/>
      <c r="L189" s="392">
        <f>(Q96/$R96*100*($E96/366))+(Q97/$R97*100*($E97/366))</f>
        <v>100</v>
      </c>
      <c r="M189" s="392"/>
      <c r="N189" s="363">
        <f t="shared" si="39"/>
        <v>100</v>
      </c>
      <c r="O189" s="363"/>
      <c r="R189" s="1">
        <v>2004</v>
      </c>
      <c r="S189" s="5">
        <f>(O96*($E96/366))+(O97*($E97/366))</f>
        <v>0</v>
      </c>
      <c r="T189" s="5">
        <f>(P96*($E96/366))+(P97*($E97/366))</f>
        <v>0</v>
      </c>
      <c r="U189" s="5">
        <f>(Q96*($E96/366))+(Q97*($E97/366))</f>
        <v>41.3</v>
      </c>
      <c r="V189" s="5"/>
      <c r="W189" s="5">
        <f t="shared" si="38"/>
        <v>41.3</v>
      </c>
    </row>
    <row r="190" spans="1:23" x14ac:dyDescent="0.15">
      <c r="A190" s="1">
        <v>2005</v>
      </c>
      <c r="B190" s="5">
        <f>(K98*($E98/365))+(K99*($E99/365))</f>
        <v>0</v>
      </c>
      <c r="C190" s="5">
        <f>(L98*($E98/365))+(L99*($E99/365))</f>
        <v>0</v>
      </c>
      <c r="D190" s="5">
        <f>(M98*($E98/365))+(M99*($E99/365))</f>
        <v>100</v>
      </c>
      <c r="E190" s="17">
        <f t="shared" si="37"/>
        <v>100</v>
      </c>
      <c r="G190" s="1">
        <v>2005</v>
      </c>
      <c r="H190" s="392">
        <f>(O98/$R98*100*($E98/365))+(O99/$R99*100*($E99/365))</f>
        <v>0</v>
      </c>
      <c r="I190" s="392"/>
      <c r="J190" s="392">
        <f>(P98/$R98*100*($E98/365))+(P99/$R99*100*($E99/365))</f>
        <v>0</v>
      </c>
      <c r="K190" s="392"/>
      <c r="L190" s="392">
        <f>(Q98/$R98*100*($E98/365))+(Q99/$R99*100*($E99/365))</f>
        <v>100</v>
      </c>
      <c r="M190" s="392"/>
      <c r="N190" s="363">
        <f t="shared" si="39"/>
        <v>100</v>
      </c>
      <c r="O190" s="363"/>
      <c r="R190" s="1">
        <v>2005</v>
      </c>
      <c r="S190" s="5">
        <f>(O98*($E98/365))+(O99*($E99/365))</f>
        <v>0</v>
      </c>
      <c r="T190" s="5">
        <f>(P98*($E98/365))+(P99*($E99/365))</f>
        <v>0</v>
      </c>
      <c r="U190" s="5">
        <f>(Q98*($E98/365))+(Q99*($E99/365))</f>
        <v>41.3</v>
      </c>
      <c r="V190" s="5"/>
      <c r="W190" s="5">
        <f t="shared" si="38"/>
        <v>41.3</v>
      </c>
    </row>
    <row r="191" spans="1:23" x14ac:dyDescent="0.15">
      <c r="A191" s="1">
        <v>2006</v>
      </c>
      <c r="B191" s="5">
        <f>(K100*($E100/365))+(K101*($E101/365))</f>
        <v>16.43835616438356</v>
      </c>
      <c r="C191" s="5">
        <f>(L100*($E100/365))+(L101*($E101/365))</f>
        <v>7.6712328767123283</v>
      </c>
      <c r="D191" s="5">
        <f>(M100*($E100/365))+(M101*($E101/365))</f>
        <v>75.890410958904113</v>
      </c>
      <c r="E191" s="17">
        <f t="shared" si="37"/>
        <v>100</v>
      </c>
      <c r="G191" s="1">
        <v>2006</v>
      </c>
      <c r="H191" s="392">
        <f>(O100/$R100*100*($E100/365))+(O101/$R101*100*($E101/365))</f>
        <v>16.923986032769271</v>
      </c>
      <c r="I191" s="392"/>
      <c r="J191" s="392">
        <f>(P100/$R100*100*($E100/365))+(P101/$R101*100*($E101/365))</f>
        <v>7.1856030083266189</v>
      </c>
      <c r="K191" s="392"/>
      <c r="L191" s="392">
        <f>(Q100/$R100*100*($E100/365))+(Q101/$R101*100*($E101/365))</f>
        <v>75.890410958904113</v>
      </c>
      <c r="M191" s="392"/>
      <c r="N191" s="363">
        <f t="shared" si="39"/>
        <v>100</v>
      </c>
      <c r="O191" s="363"/>
      <c r="R191" s="1">
        <v>2006</v>
      </c>
      <c r="S191" s="5">
        <f>(O100*($E100/365))+(O101*($E101/365))</f>
        <v>8.6312328767123283</v>
      </c>
      <c r="T191" s="5">
        <f>(P100*($E100/365))+(P101*($E101/365))</f>
        <v>3.6646575342465755</v>
      </c>
      <c r="U191" s="5">
        <f>(Q100*($E100/365))+(Q101*($E101/365))</f>
        <v>31.342739726027396</v>
      </c>
      <c r="V191" s="5"/>
      <c r="W191" s="5">
        <f t="shared" si="38"/>
        <v>43.638630136986301</v>
      </c>
    </row>
    <row r="192" spans="1:23" x14ac:dyDescent="0.15">
      <c r="A192" s="1">
        <v>2007</v>
      </c>
      <c r="B192" s="5">
        <f>(K102*($E102/365))+(K103*($E103/365))</f>
        <v>68.181818181818173</v>
      </c>
      <c r="C192" s="5">
        <f>(L102*($E102/365))+(L103*($E103/365))</f>
        <v>31.818181818181817</v>
      </c>
      <c r="D192" s="5">
        <f>(M102*($E102/365))+(M103*($E103/365))</f>
        <v>0</v>
      </c>
      <c r="E192" s="17">
        <f t="shared" si="37"/>
        <v>99.999999999999986</v>
      </c>
      <c r="G192" s="1">
        <v>2007</v>
      </c>
      <c r="H192" s="392">
        <f>(O102/$R102*100*($E102/365))+(O103/$R103*100*($E103/365))</f>
        <v>70.196078431372541</v>
      </c>
      <c r="I192" s="392"/>
      <c r="J192" s="392">
        <f>(P102/$R102*100*($E102/365))+(P103/$R103*100*($E103/365))</f>
        <v>29.803921568627452</v>
      </c>
      <c r="K192" s="392"/>
      <c r="L192" s="392">
        <f>(Q102/$R102*100*($E102/365))+(Q103/$R103*100*($E103/365))</f>
        <v>0</v>
      </c>
      <c r="M192" s="392"/>
      <c r="N192" s="363">
        <f t="shared" si="39"/>
        <v>100</v>
      </c>
      <c r="O192" s="363"/>
      <c r="R192" s="1">
        <v>2007</v>
      </c>
      <c r="S192" s="5">
        <f>(O102*($E102/365))+(O103*($E103/365))</f>
        <v>35.799999999999997</v>
      </c>
      <c r="T192" s="5">
        <f>(P102*($E102/365))+(P103*($E103/365))</f>
        <v>15.2</v>
      </c>
      <c r="U192" s="5">
        <f>(Q102*($E102/365))+(Q103*($E103/365))</f>
        <v>0</v>
      </c>
      <c r="V192" s="5"/>
      <c r="W192" s="5">
        <f t="shared" si="38"/>
        <v>51</v>
      </c>
    </row>
    <row r="193" spans="1:23" x14ac:dyDescent="0.15">
      <c r="A193" s="1">
        <v>2008</v>
      </c>
      <c r="B193" s="5">
        <f>(K104*($E104/366))+(K105*($E105/366))</f>
        <v>68.181818181818173</v>
      </c>
      <c r="C193" s="5">
        <f>(L104*($E104/366))+(L105*($E105/366))</f>
        <v>31.818181818181817</v>
      </c>
      <c r="D193" s="5">
        <f>(M104*($E104/366))+(M105*($E105/366))</f>
        <v>0</v>
      </c>
      <c r="E193" s="17">
        <f t="shared" si="37"/>
        <v>99.999999999999986</v>
      </c>
      <c r="G193" s="1">
        <v>2008</v>
      </c>
      <c r="H193" s="392">
        <f>(O104/$R104*100*($E104/366))+(O105/$R105*100*($E105/366))</f>
        <v>70.196078431372541</v>
      </c>
      <c r="I193" s="392"/>
      <c r="J193" s="392">
        <f>(P104/$R104*100*($E104/366))+(P105/$R105*100*($E105/366))</f>
        <v>29.803921568627452</v>
      </c>
      <c r="K193" s="392"/>
      <c r="L193" s="392">
        <f>(Q104/$R104*100*($E104/366))+(Q105/$R105*100*($E105/366))</f>
        <v>0</v>
      </c>
      <c r="M193" s="392"/>
      <c r="N193" s="363">
        <f t="shared" si="39"/>
        <v>100</v>
      </c>
      <c r="O193" s="363"/>
      <c r="R193" s="1">
        <v>2008</v>
      </c>
      <c r="S193" s="5">
        <f>(O104*($E104/366))+(O105*($E105/366))</f>
        <v>35.799999999999997</v>
      </c>
      <c r="T193" s="5">
        <f>(P104*($E104/366))+(P105*($E105/366))</f>
        <v>15.2</v>
      </c>
      <c r="U193" s="5">
        <f>(Q104*($E104/366))+(Q105*($E105/366))</f>
        <v>0</v>
      </c>
      <c r="V193" s="5"/>
      <c r="W193" s="5">
        <f t="shared" si="38"/>
        <v>51</v>
      </c>
    </row>
    <row r="194" spans="1:23" x14ac:dyDescent="0.15">
      <c r="A194" s="1">
        <v>2009</v>
      </c>
      <c r="B194" s="5">
        <f>(K106*($E106/365))+(K107*($E107/365))</f>
        <v>68.181818181818173</v>
      </c>
      <c r="C194" s="5">
        <f>(L106*($E106/365))+(L107*($E107/365))</f>
        <v>31.818181818181817</v>
      </c>
      <c r="D194" s="5">
        <f>(M106*($E106/365))+(M107*($E107/365))</f>
        <v>0</v>
      </c>
      <c r="E194" s="17">
        <f t="shared" si="37"/>
        <v>99.999999999999986</v>
      </c>
      <c r="G194" s="1">
        <v>2009</v>
      </c>
      <c r="H194" s="392">
        <f>(O106/$R106*100*($E106/365))+(O107/$R107*100*($E107/365))</f>
        <v>70.196078431372541</v>
      </c>
      <c r="I194" s="392"/>
      <c r="J194" s="392">
        <f>(P106/$R106*100*($E106/365))+(P107/$R107*100*($E107/365))</f>
        <v>29.803921568627452</v>
      </c>
      <c r="K194" s="392"/>
      <c r="L194" s="392">
        <f>(Q106/$R106*100*($E106/365))+(Q107/$R107*100*($E107/365))</f>
        <v>0</v>
      </c>
      <c r="M194" s="392"/>
      <c r="N194" s="363">
        <f t="shared" si="39"/>
        <v>100</v>
      </c>
      <c r="O194" s="363"/>
      <c r="R194" s="1">
        <v>2009</v>
      </c>
      <c r="S194" s="5">
        <f>(O106*($E106/365))+(O107*($E107/365))</f>
        <v>35.799999999999997</v>
      </c>
      <c r="T194" s="5">
        <f>(P106*($E106/365))+(P107*($E107/365))</f>
        <v>15.2</v>
      </c>
      <c r="U194" s="5">
        <f>(Q106*($E106/365))+(Q107*($E107/365))</f>
        <v>0</v>
      </c>
      <c r="V194" s="5"/>
      <c r="W194" s="5">
        <f t="shared" si="38"/>
        <v>51</v>
      </c>
    </row>
    <row r="195" spans="1:23" x14ac:dyDescent="0.15">
      <c r="A195" s="1">
        <v>2010</v>
      </c>
      <c r="B195" s="5">
        <f>(K108*($E108/365))+(K109*($E109/365))</f>
        <v>68.930053964300541</v>
      </c>
      <c r="C195" s="5">
        <f>(L108*($E108/365))+(L109*($E109/365))</f>
        <v>31.069946035699459</v>
      </c>
      <c r="D195" s="5">
        <f>(M108*($E108/365))+(M109*($E109/365))</f>
        <v>0</v>
      </c>
      <c r="E195" s="17">
        <f t="shared" si="37"/>
        <v>100</v>
      </c>
      <c r="G195" s="1">
        <v>2010</v>
      </c>
      <c r="H195" s="392">
        <f>(O108/$R108*100*($E108/365))+(O109/$R109*100*($E109/365))</f>
        <v>71.779279630544224</v>
      </c>
      <c r="I195" s="392"/>
      <c r="J195" s="392">
        <f>(P108/$R108*100*($E108/365))+(P109/$R109*100*($E109/365))</f>
        <v>28.220720369455783</v>
      </c>
      <c r="K195" s="392"/>
      <c r="L195" s="392">
        <f>(Q108/$R108*100*($E108/365))+(Q109/$R109*100*($E109/365))</f>
        <v>0</v>
      </c>
      <c r="M195" s="392"/>
      <c r="N195" s="363">
        <f t="shared" si="39"/>
        <v>100</v>
      </c>
      <c r="O195" s="363"/>
      <c r="R195" s="1">
        <v>2010</v>
      </c>
      <c r="S195" s="5">
        <f>(O108*($E108/365))+(O109*($E109/365))</f>
        <v>36.307945205479449</v>
      </c>
      <c r="T195" s="5">
        <f>(P108*($E108/365))+(P109*($E109/365))</f>
        <v>14.296986301369863</v>
      </c>
      <c r="U195" s="5">
        <f>(Q108*($E108/365))+(Q109*($E109/365))</f>
        <v>0</v>
      </c>
      <c r="V195" s="5"/>
      <c r="W195" s="5">
        <f t="shared" si="38"/>
        <v>50.604931506849312</v>
      </c>
    </row>
    <row r="196" spans="1:23" x14ac:dyDescent="0.15">
      <c r="A196" s="1">
        <v>2011</v>
      </c>
      <c r="B196" s="5">
        <f>(K110*($E110/365))+(K111*($E111/365))</f>
        <v>70.833333333333343</v>
      </c>
      <c r="C196" s="5">
        <f>(L110*($E110/365))+(L111*($E111/365))</f>
        <v>29.166666666666668</v>
      </c>
      <c r="D196" s="5">
        <f>(M110*($E110/365))+(M111*($E111/365))</f>
        <v>0</v>
      </c>
      <c r="E196" s="17">
        <f t="shared" si="37"/>
        <v>100.00000000000001</v>
      </c>
      <c r="G196" s="1">
        <v>2011</v>
      </c>
      <c r="H196" s="392">
        <f>(O110/$R110*100*($E110/365))+(O111/$R111*100*($E111/365))</f>
        <v>75.806451612903231</v>
      </c>
      <c r="I196" s="392"/>
      <c r="J196" s="392">
        <f>(P110/$R110*100*($E110/365))+(P111/$R111*100*($E111/365))</f>
        <v>24.193548387096772</v>
      </c>
      <c r="K196" s="392"/>
      <c r="L196" s="392">
        <f>(Q110/$R110*100*($E110/365))+(Q111/$R111*100*($E111/365))</f>
        <v>0</v>
      </c>
      <c r="M196" s="392"/>
      <c r="N196" s="363">
        <f t="shared" si="39"/>
        <v>100</v>
      </c>
      <c r="O196" s="363"/>
      <c r="R196" s="1">
        <v>2011</v>
      </c>
      <c r="S196" s="5">
        <f>(O110*($E110/365))+(O111*($E111/365))</f>
        <v>37.6</v>
      </c>
      <c r="T196" s="5">
        <f>(P110*($E110/365))+(P111*($E111/365))</f>
        <v>12</v>
      </c>
      <c r="U196" s="5">
        <f>(Q110*($E110/365))+(Q111*($E111/365))</f>
        <v>0</v>
      </c>
      <c r="V196" s="5"/>
      <c r="W196" s="5">
        <f t="shared" si="38"/>
        <v>49.6</v>
      </c>
    </row>
    <row r="197" spans="1:23" x14ac:dyDescent="0.15">
      <c r="A197" s="1">
        <v>2012</v>
      </c>
      <c r="B197" s="5">
        <f>(K112*($E112/366))+(K113*($E113/366))</f>
        <v>70.833333333333343</v>
      </c>
      <c r="C197" s="5">
        <f>(L112*($E112/366))+(L113*($E113/366))</f>
        <v>29.166666666666668</v>
      </c>
      <c r="D197" s="5">
        <f>(M112*($E112/366))+(M113*($E113/366))</f>
        <v>0</v>
      </c>
      <c r="E197" s="17">
        <f t="shared" si="37"/>
        <v>100.00000000000001</v>
      </c>
      <c r="G197" s="1">
        <v>2012</v>
      </c>
      <c r="H197" s="392">
        <f>(O112/$R112*100*($E112/366))+(O113/$R113*100*($E113/366))</f>
        <v>75.806451612903231</v>
      </c>
      <c r="I197" s="392"/>
      <c r="J197" s="392">
        <f>(P112/$R112*100*($E112/366))+(P113/$R113*100*($E113/366))</f>
        <v>24.193548387096772</v>
      </c>
      <c r="K197" s="392"/>
      <c r="L197" s="392">
        <f>(Q112/$R112*100*($E112/366))+(Q113/$R113*100*($E113/366))</f>
        <v>0</v>
      </c>
      <c r="M197" s="392"/>
      <c r="N197" s="363">
        <f t="shared" si="39"/>
        <v>100</v>
      </c>
      <c r="O197" s="363"/>
      <c r="R197" s="1">
        <v>2012</v>
      </c>
      <c r="S197" s="5">
        <f>(O112*($E112/366))+(O113*($E113/366))</f>
        <v>37.6</v>
      </c>
      <c r="T197" s="5">
        <f>(P112*($E112/366))+(P113*($E113/366))</f>
        <v>12</v>
      </c>
      <c r="U197" s="5">
        <f>(Q112*($E112/366))+(Q113*($E113/366))</f>
        <v>0</v>
      </c>
      <c r="V197" s="5"/>
      <c r="W197" s="5">
        <f t="shared" si="38"/>
        <v>49.6</v>
      </c>
    </row>
    <row r="198" spans="1:23" x14ac:dyDescent="0.15">
      <c r="A198" s="1">
        <v>2013</v>
      </c>
      <c r="B198" s="5">
        <f>(K114*($E114/365))+(K115*($E115/365))</f>
        <v>70.833333333333343</v>
      </c>
      <c r="C198" s="5">
        <f>(L114*($E114/365))+(L115*($E115/365))</f>
        <v>29.166666666666668</v>
      </c>
      <c r="D198" s="5">
        <f>(M114*($E114/365))+(M115*($E115/365))</f>
        <v>0</v>
      </c>
      <c r="E198" s="17">
        <f t="shared" si="37"/>
        <v>100.00000000000001</v>
      </c>
      <c r="G198" s="1">
        <v>2013</v>
      </c>
      <c r="H198" s="392">
        <f>(O114/$R114*100*($E114/365))+(O115/$R115*100*($E115/365))</f>
        <v>75.806451612903231</v>
      </c>
      <c r="I198" s="392"/>
      <c r="J198" s="392">
        <f>(P114/$R114*100*($E114/365))+(P115/$R115*100*($E115/365))</f>
        <v>24.193548387096772</v>
      </c>
      <c r="K198" s="392"/>
      <c r="L198" s="392">
        <f>(Q114/$R114*100*($E114/365))+(Q115/$R115*100*($E115/365))</f>
        <v>0</v>
      </c>
      <c r="M198" s="392"/>
      <c r="N198" s="363">
        <f>H198+J198+L198</f>
        <v>100</v>
      </c>
      <c r="O198" s="363"/>
      <c r="R198" s="1">
        <v>2013</v>
      </c>
      <c r="S198" s="5">
        <f>(O114*($E114/365))+(O115*($E115/365))</f>
        <v>37.6</v>
      </c>
      <c r="T198" s="5">
        <f>(P114*($E114/365))+(P115*($E115/365))</f>
        <v>12</v>
      </c>
      <c r="U198" s="5">
        <f>(Q114*($E114/365))+(Q115*($E115/365))</f>
        <v>0</v>
      </c>
      <c r="W198" s="5">
        <f t="shared" si="38"/>
        <v>49.6</v>
      </c>
    </row>
    <row r="199" spans="1:23" x14ac:dyDescent="0.15">
      <c r="A199" s="1">
        <v>2014</v>
      </c>
      <c r="B199" s="5">
        <f>(K116*($E116/365))+(K117*($E117/365))</f>
        <v>53.755707762557087</v>
      </c>
      <c r="C199" s="5">
        <f>(L116*($E116/365))+(L117*($E117/365))</f>
        <v>22.134703196347033</v>
      </c>
      <c r="D199" s="5">
        <f>(M116*($E116/365))+(M117*($E117/365))</f>
        <v>24.109589041095891</v>
      </c>
      <c r="E199" s="17">
        <f>B199+C199+D199</f>
        <v>100</v>
      </c>
      <c r="G199" s="1">
        <v>2014</v>
      </c>
      <c r="H199" s="392">
        <f>(O116/$R116*100*($E116/365))+(O117/$R117*100*($E117/365))</f>
        <v>57.529827662395057</v>
      </c>
      <c r="I199" s="392"/>
      <c r="J199" s="392">
        <f>(P116/$R116*100*($E116/365))+(P117/$R117*100*($E117/365))</f>
        <v>18.360583296509056</v>
      </c>
      <c r="K199" s="392"/>
      <c r="L199" s="392">
        <f>(Q116/$R116*100*($E116/365))+(Q117/$R117*100*($E117/365))</f>
        <v>24.109589041095891</v>
      </c>
      <c r="M199" s="392"/>
      <c r="N199" s="363">
        <f>H199+J199+L199</f>
        <v>100</v>
      </c>
      <c r="O199" s="363"/>
      <c r="R199" s="1">
        <v>2014</v>
      </c>
      <c r="S199" s="5">
        <f>(O116*($E116/365))+(O117*($E117/365))</f>
        <v>28.534794520547948</v>
      </c>
      <c r="T199" s="5">
        <f>(P116*($E116/365))+(P117*($E117/365))</f>
        <v>9.1068493150684926</v>
      </c>
      <c r="U199" s="5">
        <f>(Q116*($E116/365))+(Q117*($E117/365))</f>
        <v>9.5473972602739732</v>
      </c>
      <c r="W199" s="5">
        <f>S199+T199+U199</f>
        <v>47.189041095890417</v>
      </c>
    </row>
    <row r="200" spans="1:23" x14ac:dyDescent="0.15">
      <c r="A200" s="1">
        <v>2015</v>
      </c>
      <c r="B200" s="5">
        <f>(K118*($E118/365))+(K119*($E119/365))</f>
        <v>0</v>
      </c>
      <c r="C200" s="5">
        <f>(L118*($E118/365))+(L119*($E119/365))</f>
        <v>0</v>
      </c>
      <c r="D200" s="5">
        <f>(M118*($E118/365))+(M119*($E119/365))</f>
        <v>100</v>
      </c>
      <c r="E200" s="17">
        <f>B200+C200+D200</f>
        <v>100</v>
      </c>
      <c r="G200" s="1">
        <v>2015</v>
      </c>
      <c r="H200" s="392">
        <f>(O118/$R118*100*($E118/365))+(O119/$R119*100*($E119/365))</f>
        <v>0</v>
      </c>
      <c r="I200" s="392"/>
      <c r="J200" s="392">
        <f>(P118/$R118*100*($E118/365))+(P119/$R119*100*($E119/365))</f>
        <v>0</v>
      </c>
      <c r="K200" s="392"/>
      <c r="L200" s="392">
        <f>(Q118/$R118*100*($E118/365))+(Q119/$R119*100*($E119/365))</f>
        <v>100</v>
      </c>
      <c r="M200" s="392"/>
      <c r="N200" s="363">
        <f>H200+J200+L200</f>
        <v>100</v>
      </c>
      <c r="O200" s="363"/>
      <c r="R200" s="1">
        <v>2015</v>
      </c>
      <c r="S200" s="5">
        <f>(O118*($E118/365))+(O119*($E119/365))</f>
        <v>0</v>
      </c>
      <c r="T200" s="5">
        <f>(P118*($E118/365))+(P119*($E119/365))</f>
        <v>0</v>
      </c>
      <c r="U200" s="5">
        <f>(Q118*($E118/365))+(Q119*($E119/365))</f>
        <v>39.6</v>
      </c>
      <c r="W200" s="5">
        <f>S200+T200+U200</f>
        <v>39.6</v>
      </c>
    </row>
    <row r="201" spans="1:23" x14ac:dyDescent="0.15">
      <c r="A201" s="1">
        <v>2016</v>
      </c>
      <c r="B201" s="5">
        <f>(K120*($E120/366))+(K121*($E121/366))</f>
        <v>0</v>
      </c>
      <c r="C201" s="5">
        <f>(L120*($E120/366))+(L121*($E121/366))</f>
        <v>0</v>
      </c>
      <c r="D201" s="5">
        <f>(M120*($E120/366))+(M121*($E121/366))</f>
        <v>100</v>
      </c>
      <c r="E201" s="17">
        <f t="shared" ref="E201" si="40">B201+C201+D201</f>
        <v>100</v>
      </c>
      <c r="G201" s="1">
        <v>2016</v>
      </c>
      <c r="H201" s="392">
        <f>(O120/$R120*100*($E120/366))+(O121/$R121*100*($E121/366))</f>
        <v>0</v>
      </c>
      <c r="I201" s="392"/>
      <c r="J201" s="392">
        <f>(P120/$R120*100*($E120/366))+(P121/$R121*100*($E121/366))</f>
        <v>0</v>
      </c>
      <c r="K201" s="392"/>
      <c r="L201" s="392">
        <f>(Q120/$R120*100*($E120/366))+(Q121/$R121*100*($E121/366))</f>
        <v>100</v>
      </c>
      <c r="M201" s="392"/>
      <c r="N201" s="363">
        <f t="shared" ref="N201" si="41">H201+J201+L201</f>
        <v>100</v>
      </c>
      <c r="O201" s="363"/>
      <c r="R201" s="1">
        <v>2016</v>
      </c>
      <c r="S201" s="5">
        <f>(O120*($E120/366))+(O121*($E121/366))</f>
        <v>0</v>
      </c>
      <c r="T201" s="5">
        <f>(P120*($E120/366))+(P121*($E121/366))</f>
        <v>0</v>
      </c>
      <c r="U201" s="5">
        <f>(Q120*($E120/366))+(Q121*($E121/366))</f>
        <v>39.6</v>
      </c>
      <c r="W201" s="5">
        <f t="shared" ref="W201" si="42">S201+T201+U201</f>
        <v>39.6</v>
      </c>
    </row>
    <row r="202" spans="1:23" x14ac:dyDescent="0.15">
      <c r="A202" s="1">
        <v>2017</v>
      </c>
      <c r="B202" s="5">
        <f>(K122*($E122/365))+(K123*($E123/365))</f>
        <v>0</v>
      </c>
      <c r="C202" s="5">
        <f>(L122*($E122/365))+(L123*($E123/365))</f>
        <v>0</v>
      </c>
      <c r="D202" s="5">
        <f>(M122*($E122/365))+(M123*($E123/365))</f>
        <v>100</v>
      </c>
      <c r="E202" s="17">
        <f t="shared" ref="E202" si="43">B202+C202+D202</f>
        <v>100</v>
      </c>
      <c r="G202" s="1">
        <v>2017</v>
      </c>
      <c r="H202" s="392">
        <f>(O122/$R122*100*($E122/365))+(O123/$R123*100*($E123/365))</f>
        <v>0</v>
      </c>
      <c r="I202" s="392"/>
      <c r="J202" s="392">
        <f>(P122/$R122*100*($E122/365))+(P123/$R123*100*($E123/365))</f>
        <v>0</v>
      </c>
      <c r="K202" s="392"/>
      <c r="L202" s="392">
        <f>(Q122/$R122*100*($E122/365))+(Q123/$R123*100*($E123/365))</f>
        <v>100</v>
      </c>
      <c r="M202" s="392"/>
      <c r="N202" s="363">
        <f t="shared" ref="N202" si="44">H202+J202+L202</f>
        <v>100</v>
      </c>
      <c r="O202" s="363"/>
      <c r="R202" s="1">
        <v>2017</v>
      </c>
      <c r="S202" s="5">
        <f>(O122*($E122/365))+(O123*($E123/365))</f>
        <v>0</v>
      </c>
      <c r="T202" s="5">
        <f>(P122*($E122/365))+(P123*($E123/365))</f>
        <v>0</v>
      </c>
      <c r="U202" s="5">
        <f>(Q122*($E122/365))+(Q123*($E123/365))</f>
        <v>39.6</v>
      </c>
      <c r="W202" s="5">
        <f t="shared" ref="W202" si="45">S202+T202+U202</f>
        <v>39.6</v>
      </c>
    </row>
    <row r="203" spans="1:23" x14ac:dyDescent="0.15">
      <c r="A203" s="1">
        <v>2018</v>
      </c>
      <c r="B203" s="5">
        <f>(K124*($E124/365))+(K125*($E125/365))</f>
        <v>0</v>
      </c>
      <c r="C203" s="5">
        <f>(L124*($E124/365))+(L125*($E125/365))</f>
        <v>0</v>
      </c>
      <c r="D203" s="5">
        <f>(M124*($E124/365))+(M125*($E125/365))</f>
        <v>100</v>
      </c>
      <c r="E203" s="17">
        <f t="shared" ref="E203" si="46">B203+C203+D203</f>
        <v>100</v>
      </c>
      <c r="G203" s="1">
        <v>2018</v>
      </c>
      <c r="H203" s="392">
        <f>(O124/$R124*100*($E124/365))+(O125/$R125*100*($E125/365))</f>
        <v>0</v>
      </c>
      <c r="I203" s="392"/>
      <c r="J203" s="392">
        <f>(P124/$R124*100*($E124/365))+(P125/$R125*100*($E125/365))</f>
        <v>0</v>
      </c>
      <c r="K203" s="392"/>
      <c r="L203" s="392">
        <f>(Q124/$R124*100*($E124/365))+(Q125/$R125*100*($E125/365))</f>
        <v>100</v>
      </c>
      <c r="M203" s="392"/>
      <c r="N203" s="363">
        <f t="shared" ref="N203" si="47">H203+J203+L203</f>
        <v>100</v>
      </c>
      <c r="O203" s="363"/>
      <c r="R203" s="1">
        <v>2018</v>
      </c>
      <c r="S203" s="5">
        <f>(O124*($E124/365))+(O125*($E125/365))</f>
        <v>0</v>
      </c>
      <c r="T203" s="5">
        <f>(P124*($E124/365))+(P125*($E125/365))</f>
        <v>0</v>
      </c>
      <c r="U203" s="5">
        <f>(Q124*($E124/365))+(Q125*($E125/365))</f>
        <v>39.6</v>
      </c>
      <c r="W203" s="5">
        <f t="shared" ref="W203" si="48">S203+T203+U203</f>
        <v>39.6</v>
      </c>
    </row>
    <row r="204" spans="1:23" x14ac:dyDescent="0.15">
      <c r="A204" s="1">
        <v>2019</v>
      </c>
      <c r="B204" s="5">
        <f>(K126*($E126/365))+(K127*($E127/365))</f>
        <v>0</v>
      </c>
      <c r="C204" s="5">
        <f>(L126*($E126/365))+(L127*($E127/365))</f>
        <v>0</v>
      </c>
      <c r="D204" s="5">
        <f>(M126*($E126/365))+(M127*($E127/365))</f>
        <v>100</v>
      </c>
      <c r="E204" s="17">
        <f t="shared" ref="E204:E205" si="49">B204+C204+D204</f>
        <v>100</v>
      </c>
      <c r="G204" s="1">
        <v>2019</v>
      </c>
      <c r="H204" s="392">
        <f>(O126/$R126*100*($E126/365))+(O127/$R127*100*($E127/365))</f>
        <v>0</v>
      </c>
      <c r="I204" s="392"/>
      <c r="J204" s="392">
        <f>(P126/$R126*100*($E126/365))+(P127/$R127*100*($E127/365))</f>
        <v>0</v>
      </c>
      <c r="K204" s="392"/>
      <c r="L204" s="392">
        <f>(Q126/$R126*100*($E126/365))+(Q127/$R127*100*($E127/365))</f>
        <v>100</v>
      </c>
      <c r="M204" s="392"/>
      <c r="N204" s="363">
        <f t="shared" ref="N204" si="50">H204+J204+L204</f>
        <v>100</v>
      </c>
      <c r="O204" s="363"/>
      <c r="R204" s="1">
        <v>2019</v>
      </c>
      <c r="S204" s="5">
        <f>(O126*($E126/365))+(O127*($E127/365))</f>
        <v>0</v>
      </c>
      <c r="T204" s="5">
        <f>(P126*($E126/365))+(P127*($E127/365))</f>
        <v>0</v>
      </c>
      <c r="U204" s="5">
        <f>(Q126*($E126/365))+(Q127*($E127/365))</f>
        <v>33.58575342465754</v>
      </c>
      <c r="W204" s="5">
        <f t="shared" ref="W204:W205" si="51">S204+T204+U204</f>
        <v>33.58575342465754</v>
      </c>
    </row>
    <row r="205" spans="1:23" x14ac:dyDescent="0.15">
      <c r="A205" s="1">
        <v>2020</v>
      </c>
      <c r="B205" s="5">
        <f>(K128*($E128/366))+(K129*($E129/366))</f>
        <v>0</v>
      </c>
      <c r="C205" s="5">
        <f>(L128*($E128/366))+(L129*($E129/366))</f>
        <v>0</v>
      </c>
      <c r="D205" s="5">
        <f>(M128*($E128/366))+(M129*($E129/366))</f>
        <v>100</v>
      </c>
      <c r="E205" s="17">
        <f t="shared" si="49"/>
        <v>100</v>
      </c>
      <c r="G205" s="1">
        <v>2020</v>
      </c>
      <c r="H205" s="392">
        <f>(O128/$R128*100*($E128/366))+(O129/$R129*100*($E129/366))</f>
        <v>0</v>
      </c>
      <c r="I205" s="392"/>
      <c r="J205" s="392">
        <f>(P128/$R128*100*($E128/366))+(P129/$R129*100*($E129/366))</f>
        <v>0</v>
      </c>
      <c r="K205" s="392"/>
      <c r="L205" s="392">
        <f>(Q128/$R128*100*($E128/366))+(Q129/$R129*100*($E129/366))</f>
        <v>100</v>
      </c>
      <c r="M205" s="392"/>
      <c r="N205" s="363">
        <f t="shared" ref="N205" si="52">H205+J205+L205</f>
        <v>100</v>
      </c>
      <c r="O205" s="363"/>
      <c r="R205" s="1">
        <v>2020</v>
      </c>
      <c r="S205" s="5">
        <f>(O128*($E128/366))+(O129*($E129/366))</f>
        <v>0</v>
      </c>
      <c r="T205" s="5">
        <f>(P128*($E128/366))+(P129*($E129/366))</f>
        <v>0</v>
      </c>
      <c r="U205" s="5">
        <f>(Q128*($E128/366))+(Q129*($E129/366))</f>
        <v>33.200000000000003</v>
      </c>
      <c r="W205" s="5">
        <f t="shared" si="51"/>
        <v>33.200000000000003</v>
      </c>
    </row>
    <row r="206" spans="1:23" x14ac:dyDescent="0.15">
      <c r="A206" s="1">
        <v>2021</v>
      </c>
      <c r="B206" s="5">
        <f>(K130*($E130/365))+(K131*($E131/365))+(K132*($E132/365))+(K133*($E133/365))+(K134*($E134/365))</f>
        <v>0</v>
      </c>
      <c r="C206" s="5">
        <f>(L130*($E130/365))+(L131*($E131/365))+(L132*($E132/365))+(L133*($E133/365))+(L134*($E134/365))</f>
        <v>0</v>
      </c>
      <c r="D206" s="5">
        <f>(M130*($E130/365))+(M131*($E131/365))+(M132*($E132/365))+(M133*($E133/365))+(M134*($E134/365))</f>
        <v>100</v>
      </c>
      <c r="E206" s="17">
        <f t="shared" ref="E206" si="53">B206+C206+D206</f>
        <v>100</v>
      </c>
      <c r="G206" s="1">
        <v>2021</v>
      </c>
      <c r="H206" s="392">
        <f>(O130/$R130*100*($E130/365))+(O131/$R131*100*($E131/365))+(O132/$R132*100*($E132/365))+(O133/$R133*100*($E133/365))+(O134/$R134*100*($E134/365))</f>
        <v>0</v>
      </c>
      <c r="I206" s="392"/>
      <c r="J206" s="392">
        <f>(P130/$R130*100*($E130/365))+(P131/$R131*100*($E131/365))+(P132/$R132*100*($E132/365))+(P133/$R133*100*($E133/365))+(P134/$R134*100*($E134/365))</f>
        <v>0</v>
      </c>
      <c r="K206" s="392"/>
      <c r="L206" s="392">
        <f>(Q130/$R130*100*($E130/365))+(Q131/$R131*100*($E131/365))+(Q132/$R132*100*($E132/365))+(Q133/$R133*100*($E133/365))+(Q134/$R134*100*($E134/365))</f>
        <v>100</v>
      </c>
      <c r="M206" s="392"/>
      <c r="N206" s="363">
        <f t="shared" ref="N206" si="54">H206+J206+L206</f>
        <v>100</v>
      </c>
      <c r="O206" s="363"/>
      <c r="R206" s="1">
        <v>2021</v>
      </c>
      <c r="S206" s="5">
        <f>(O130*($E130/365))+(O131*($E131/365))+(O132*($E132/365))+(O133*($E133/365))+(O134*($E134/365))</f>
        <v>0</v>
      </c>
      <c r="T206" s="5">
        <f>(P130*($E130/365))+(P131*($E131/365))+(P132*($E132/365))+(P133*($E133/365))+(P134*($E134/365))</f>
        <v>0</v>
      </c>
      <c r="U206" s="5">
        <f>(Q130*($E130/365))+(Q131*($E131/365))+(Q132*($E132/365))+(Q133*($E133/365))+(Q134*($E134/365))</f>
        <v>32.857260273972599</v>
      </c>
      <c r="W206" s="5">
        <f t="shared" ref="W206" si="55">S206+T206+U206</f>
        <v>32.857260273972599</v>
      </c>
    </row>
    <row r="207" spans="1:23" x14ac:dyDescent="0.15">
      <c r="A207" s="1">
        <v>2022</v>
      </c>
      <c r="B207" s="5">
        <f>(K135*($E135/365))+(K136*($E136/365))+(K137*($E137/365))</f>
        <v>15.410958904109588</v>
      </c>
      <c r="C207" s="5">
        <f>(L135*($E135/365))+(L136*($E136/365))+(L137*($E137/365))</f>
        <v>5.1369863013698627</v>
      </c>
      <c r="D207" s="5">
        <f>(M135*($E135/365))+(M136*($E136/365))+(M137*($E137/365))</f>
        <v>79.452054794520549</v>
      </c>
      <c r="E207" s="17">
        <f t="shared" ref="E207" si="56">B207+C207+D207</f>
        <v>100</v>
      </c>
      <c r="G207" s="1">
        <v>2022</v>
      </c>
      <c r="H207" s="392">
        <f>(O135/$R135*100*($E135/365))+(O136/$R136*100*($E136/365))+(O137/$R137*100*($E137/365))</f>
        <v>16.786626422103552</v>
      </c>
      <c r="I207" s="392"/>
      <c r="J207" s="392">
        <f>(P135/$R135*100*($E135/365))+(P136/$R136*100*($E136/365))+(P137/$R137*100*($E137/365))</f>
        <v>3.7613187833758999</v>
      </c>
      <c r="K207" s="392"/>
      <c r="L207" s="392">
        <f>(Q135/$R135*100*($E135/365))+(Q136/$R136*100*($E136/365))+(Q137/$R137*100*($E137/365))</f>
        <v>79.452054794520549</v>
      </c>
      <c r="M207" s="392"/>
      <c r="N207" s="363">
        <f t="shared" ref="N207" si="57">H207+J207+L207</f>
        <v>100</v>
      </c>
      <c r="O207" s="363"/>
      <c r="R207" s="1">
        <v>2022</v>
      </c>
      <c r="S207" s="5">
        <f>(O135*($E135/365))+(O136*($E136/365))+(O137*($E137/365))</f>
        <v>4.9520547945205475</v>
      </c>
      <c r="T207" s="5">
        <f>(P135*($E135/365))+(P136*($E136/365))+(P137*($E137/365))</f>
        <v>1.1095890410958904</v>
      </c>
      <c r="U207" s="5">
        <f>(Q135*($E135/365))+(Q136*($E136/365))+(Q137*($E137/365))</f>
        <v>22.802739726027394</v>
      </c>
      <c r="W207" s="5">
        <f t="shared" ref="W207" si="58">S207+T207+U207</f>
        <v>28.864383561643834</v>
      </c>
    </row>
  </sheetData>
  <mergeCells count="414">
    <mergeCell ref="C130:D130"/>
    <mergeCell ref="C132:D132"/>
    <mergeCell ref="C133:D133"/>
    <mergeCell ref="C134:D134"/>
    <mergeCell ref="C131:D131"/>
    <mergeCell ref="H206:I206"/>
    <mergeCell ref="J206:K206"/>
    <mergeCell ref="L206:M206"/>
    <mergeCell ref="N206:O206"/>
    <mergeCell ref="H174:I174"/>
    <mergeCell ref="J174:K174"/>
    <mergeCell ref="N174:O174"/>
    <mergeCell ref="H197:I197"/>
    <mergeCell ref="H191:I191"/>
    <mergeCell ref="H192:I192"/>
    <mergeCell ref="J196:K196"/>
    <mergeCell ref="J197:K197"/>
    <mergeCell ref="J193:K193"/>
    <mergeCell ref="J194:K194"/>
    <mergeCell ref="J195:K195"/>
    <mergeCell ref="H195:I195"/>
    <mergeCell ref="H196:I196"/>
    <mergeCell ref="L195:M195"/>
    <mergeCell ref="N178:O178"/>
    <mergeCell ref="N179:O179"/>
    <mergeCell ref="L193:M193"/>
    <mergeCell ref="L180:M180"/>
    <mergeCell ref="L179:M179"/>
    <mergeCell ref="L191:M191"/>
    <mergeCell ref="L192:M192"/>
    <mergeCell ref="H180:I180"/>
    <mergeCell ref="J180:K180"/>
    <mergeCell ref="J181:K181"/>
    <mergeCell ref="J184:K184"/>
    <mergeCell ref="J185:K185"/>
    <mergeCell ref="J186:K186"/>
    <mergeCell ref="J187:K187"/>
    <mergeCell ref="J188:K188"/>
    <mergeCell ref="J189:K189"/>
    <mergeCell ref="J183:K183"/>
    <mergeCell ref="H187:I187"/>
    <mergeCell ref="H189:I189"/>
    <mergeCell ref="H181:I181"/>
    <mergeCell ref="H182:I182"/>
    <mergeCell ref="H183:I183"/>
    <mergeCell ref="J182:K182"/>
    <mergeCell ref="H203:I203"/>
    <mergeCell ref="J203:K203"/>
    <mergeCell ref="L203:M203"/>
    <mergeCell ref="N203:O203"/>
    <mergeCell ref="H201:I201"/>
    <mergeCell ref="J201:K201"/>
    <mergeCell ref="L201:M201"/>
    <mergeCell ref="N201:O201"/>
    <mergeCell ref="H184:I184"/>
    <mergeCell ref="H185:I185"/>
    <mergeCell ref="H186:I186"/>
    <mergeCell ref="H188:I188"/>
    <mergeCell ref="H200:I200"/>
    <mergeCell ref="J200:K200"/>
    <mergeCell ref="L200:M200"/>
    <mergeCell ref="N200:O200"/>
    <mergeCell ref="N198:O198"/>
    <mergeCell ref="N184:O184"/>
    <mergeCell ref="N185:O185"/>
    <mergeCell ref="N186:O186"/>
    <mergeCell ref="N187:O187"/>
    <mergeCell ref="N188:O188"/>
    <mergeCell ref="N189:O189"/>
    <mergeCell ref="H194:I194"/>
    <mergeCell ref="H198:I198"/>
    <mergeCell ref="J198:K198"/>
    <mergeCell ref="L198:M198"/>
    <mergeCell ref="N196:O196"/>
    <mergeCell ref="N197:O197"/>
    <mergeCell ref="N190:O190"/>
    <mergeCell ref="N191:O191"/>
    <mergeCell ref="N192:O192"/>
    <mergeCell ref="N193:O193"/>
    <mergeCell ref="N194:O194"/>
    <mergeCell ref="N195:O195"/>
    <mergeCell ref="L194:M194"/>
    <mergeCell ref="J190:K190"/>
    <mergeCell ref="H190:I190"/>
    <mergeCell ref="L196:M196"/>
    <mergeCell ref="L197:M197"/>
    <mergeCell ref="H193:I193"/>
    <mergeCell ref="J191:K191"/>
    <mergeCell ref="J192:K192"/>
    <mergeCell ref="AT4:AW4"/>
    <mergeCell ref="AX4:BA4"/>
    <mergeCell ref="N175:O175"/>
    <mergeCell ref="N176:O176"/>
    <mergeCell ref="N177:O177"/>
    <mergeCell ref="L187:M187"/>
    <mergeCell ref="L188:M188"/>
    <mergeCell ref="L189:M189"/>
    <mergeCell ref="L190:M190"/>
    <mergeCell ref="L181:M181"/>
    <mergeCell ref="L182:M182"/>
    <mergeCell ref="L183:M183"/>
    <mergeCell ref="L184:M184"/>
    <mergeCell ref="L185:M185"/>
    <mergeCell ref="L186:M186"/>
    <mergeCell ref="N180:O180"/>
    <mergeCell ref="N181:O181"/>
    <mergeCell ref="N182:O182"/>
    <mergeCell ref="N183:O183"/>
    <mergeCell ref="L175:M175"/>
    <mergeCell ref="L176:M176"/>
    <mergeCell ref="L177:M177"/>
    <mergeCell ref="L178:M178"/>
    <mergeCell ref="L174:M174"/>
    <mergeCell ref="J178:K178"/>
    <mergeCell ref="J179:K179"/>
    <mergeCell ref="J175:K175"/>
    <mergeCell ref="J176:K176"/>
    <mergeCell ref="J177:K177"/>
    <mergeCell ref="H175:I175"/>
    <mergeCell ref="H176:I176"/>
    <mergeCell ref="H177:I177"/>
    <mergeCell ref="H178:I178"/>
    <mergeCell ref="H179:I179"/>
    <mergeCell ref="H170:I170"/>
    <mergeCell ref="J170:K170"/>
    <mergeCell ref="L170:M170"/>
    <mergeCell ref="N170:O170"/>
    <mergeCell ref="H171:I171"/>
    <mergeCell ref="J171:K171"/>
    <mergeCell ref="L171:M171"/>
    <mergeCell ref="N171:O171"/>
    <mergeCell ref="J173:K173"/>
    <mergeCell ref="L173:M173"/>
    <mergeCell ref="N173:O173"/>
    <mergeCell ref="H172:I172"/>
    <mergeCell ref="J172:K172"/>
    <mergeCell ref="L172:M172"/>
    <mergeCell ref="N172:O172"/>
    <mergeCell ref="H173:I173"/>
    <mergeCell ref="H168:I168"/>
    <mergeCell ref="J168:K168"/>
    <mergeCell ref="L168:M168"/>
    <mergeCell ref="N168:O168"/>
    <mergeCell ref="H169:I169"/>
    <mergeCell ref="J169:K169"/>
    <mergeCell ref="L169:M169"/>
    <mergeCell ref="N169:O169"/>
    <mergeCell ref="H166:I166"/>
    <mergeCell ref="J166:K166"/>
    <mergeCell ref="L166:M166"/>
    <mergeCell ref="N166:O166"/>
    <mergeCell ref="H167:I167"/>
    <mergeCell ref="J167:K167"/>
    <mergeCell ref="L167:M167"/>
    <mergeCell ref="N167:O167"/>
    <mergeCell ref="H164:I164"/>
    <mergeCell ref="J164:K164"/>
    <mergeCell ref="L164:M164"/>
    <mergeCell ref="N164:O164"/>
    <mergeCell ref="H165:I165"/>
    <mergeCell ref="J165:K165"/>
    <mergeCell ref="L165:M165"/>
    <mergeCell ref="N165:O165"/>
    <mergeCell ref="H162:I162"/>
    <mergeCell ref="J162:K162"/>
    <mergeCell ref="L162:M162"/>
    <mergeCell ref="N162:O162"/>
    <mergeCell ref="H163:I163"/>
    <mergeCell ref="J163:K163"/>
    <mergeCell ref="L163:M163"/>
    <mergeCell ref="N163:O163"/>
    <mergeCell ref="H160:I160"/>
    <mergeCell ref="J160:K160"/>
    <mergeCell ref="L160:M160"/>
    <mergeCell ref="N160:O160"/>
    <mergeCell ref="H161:I161"/>
    <mergeCell ref="J161:K161"/>
    <mergeCell ref="L161:M161"/>
    <mergeCell ref="N161:O161"/>
    <mergeCell ref="H158:I158"/>
    <mergeCell ref="J158:K158"/>
    <mergeCell ref="L158:M158"/>
    <mergeCell ref="N158:O158"/>
    <mergeCell ref="H159:I159"/>
    <mergeCell ref="J159:K159"/>
    <mergeCell ref="L159:M159"/>
    <mergeCell ref="N159:O159"/>
    <mergeCell ref="H157:I157"/>
    <mergeCell ref="J157:K157"/>
    <mergeCell ref="L157:M157"/>
    <mergeCell ref="N157:O157"/>
    <mergeCell ref="H154:I154"/>
    <mergeCell ref="J154:K154"/>
    <mergeCell ref="L154:M154"/>
    <mergeCell ref="N154:O154"/>
    <mergeCell ref="H155:I155"/>
    <mergeCell ref="J155:K155"/>
    <mergeCell ref="L155:M155"/>
    <mergeCell ref="N155:O155"/>
    <mergeCell ref="H151:I151"/>
    <mergeCell ref="J151:K151"/>
    <mergeCell ref="L151:M151"/>
    <mergeCell ref="N151:O151"/>
    <mergeCell ref="J153:K153"/>
    <mergeCell ref="H156:I156"/>
    <mergeCell ref="J156:K156"/>
    <mergeCell ref="L156:M156"/>
    <mergeCell ref="N156:O156"/>
    <mergeCell ref="R141:W141"/>
    <mergeCell ref="H143:I143"/>
    <mergeCell ref="J143:K143"/>
    <mergeCell ref="L143:M143"/>
    <mergeCell ref="N143:O143"/>
    <mergeCell ref="H145:I145"/>
    <mergeCell ref="J145:K145"/>
    <mergeCell ref="L145:M145"/>
    <mergeCell ref="N145:O145"/>
    <mergeCell ref="H144:I144"/>
    <mergeCell ref="J144:K144"/>
    <mergeCell ref="L144:M144"/>
    <mergeCell ref="N144:O144"/>
    <mergeCell ref="G3:M3"/>
    <mergeCell ref="O3:Q3"/>
    <mergeCell ref="C9:D9"/>
    <mergeCell ref="C10:D10"/>
    <mergeCell ref="A4:A5"/>
    <mergeCell ref="B4:B5"/>
    <mergeCell ref="C4:D5"/>
    <mergeCell ref="E4:E5"/>
    <mergeCell ref="F4:F5"/>
    <mergeCell ref="G4:J4"/>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121:D121"/>
    <mergeCell ref="C124:D124"/>
    <mergeCell ref="C116:D116"/>
    <mergeCell ref="C117:D117"/>
    <mergeCell ref="C94:D94"/>
    <mergeCell ref="C95:D95"/>
    <mergeCell ref="C96:D96"/>
    <mergeCell ref="C109:D109"/>
    <mergeCell ref="C97:D97"/>
    <mergeCell ref="C98:D98"/>
    <mergeCell ref="C99:D99"/>
    <mergeCell ref="C100:D100"/>
    <mergeCell ref="C101:D101"/>
    <mergeCell ref="C102:D102"/>
    <mergeCell ref="N147:O147"/>
    <mergeCell ref="L153:M153"/>
    <mergeCell ref="N153:O153"/>
    <mergeCell ref="H150:I150"/>
    <mergeCell ref="J150:K150"/>
    <mergeCell ref="L150:M150"/>
    <mergeCell ref="N150:O150"/>
    <mergeCell ref="C110:D110"/>
    <mergeCell ref="C103:D103"/>
    <mergeCell ref="C104:D104"/>
    <mergeCell ref="C111:D111"/>
    <mergeCell ref="C112:D112"/>
    <mergeCell ref="C113:D113"/>
    <mergeCell ref="C105:D105"/>
    <mergeCell ref="C106:D106"/>
    <mergeCell ref="C107:D107"/>
    <mergeCell ref="C108:D108"/>
    <mergeCell ref="C114:D114"/>
    <mergeCell ref="C115:D115"/>
    <mergeCell ref="C119:D119"/>
    <mergeCell ref="C118:D118"/>
    <mergeCell ref="C122:D122"/>
    <mergeCell ref="C123:D123"/>
    <mergeCell ref="C120:D120"/>
    <mergeCell ref="C125:D125"/>
    <mergeCell ref="C126:D126"/>
    <mergeCell ref="C127:D127"/>
    <mergeCell ref="H204:I204"/>
    <mergeCell ref="J204:K204"/>
    <mergeCell ref="L204:M204"/>
    <mergeCell ref="N204:O204"/>
    <mergeCell ref="H202:I202"/>
    <mergeCell ref="J202:K202"/>
    <mergeCell ref="L202:M202"/>
    <mergeCell ref="N202:O202"/>
    <mergeCell ref="H199:I199"/>
    <mergeCell ref="J199:K199"/>
    <mergeCell ref="L199:M199"/>
    <mergeCell ref="N199:O199"/>
    <mergeCell ref="H149:I149"/>
    <mergeCell ref="J149:K149"/>
    <mergeCell ref="L149:M149"/>
    <mergeCell ref="N149:O149"/>
    <mergeCell ref="H152:I152"/>
    <mergeCell ref="J152:K152"/>
    <mergeCell ref="L152:M152"/>
    <mergeCell ref="N152:O152"/>
    <mergeCell ref="H153:I153"/>
    <mergeCell ref="C135:D135"/>
    <mergeCell ref="C136:D136"/>
    <mergeCell ref="C137:D137"/>
    <mergeCell ref="H207:I207"/>
    <mergeCell ref="J207:K207"/>
    <mergeCell ref="L207:M207"/>
    <mergeCell ref="N207:O207"/>
    <mergeCell ref="C128:D128"/>
    <mergeCell ref="C129:D129"/>
    <mergeCell ref="H205:I205"/>
    <mergeCell ref="J205:K205"/>
    <mergeCell ref="L205:M205"/>
    <mergeCell ref="N205:O205"/>
    <mergeCell ref="H146:I146"/>
    <mergeCell ref="H148:I148"/>
    <mergeCell ref="J148:K148"/>
    <mergeCell ref="L148:M148"/>
    <mergeCell ref="N148:O148"/>
    <mergeCell ref="J146:K146"/>
    <mergeCell ref="L146:M146"/>
    <mergeCell ref="N146:O146"/>
    <mergeCell ref="H147:I147"/>
    <mergeCell ref="J147:K147"/>
    <mergeCell ref="L147:M147"/>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BA204"/>
  <sheetViews>
    <sheetView zoomScale="118" zoomScaleNormal="120" workbookViewId="0">
      <pane xSplit="1" ySplit="5" topLeftCell="B154" activePane="bottomRight" state="frozen"/>
      <selection pane="topRight" activeCell="B1" sqref="B1"/>
      <selection pane="bottomLeft" activeCell="A6" sqref="A6"/>
      <selection pane="bottomRight" activeCell="AB18"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69</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139" customFormat="1" x14ac:dyDescent="0.15">
      <c r="A6" s="145">
        <v>1959</v>
      </c>
      <c r="B6" s="294"/>
      <c r="C6" s="398" t="s">
        <v>1232</v>
      </c>
      <c r="D6" s="398"/>
      <c r="E6" s="139">
        <v>350</v>
      </c>
      <c r="G6" s="147">
        <v>4</v>
      </c>
      <c r="H6" s="139">
        <v>3</v>
      </c>
      <c r="J6" s="153">
        <v>7</v>
      </c>
      <c r="K6" s="133">
        <f t="shared" ref="K6:M7" si="0">G6/$J6*100</f>
        <v>57.142857142857139</v>
      </c>
      <c r="L6" s="133">
        <f t="shared" si="0"/>
        <v>42.857142857142854</v>
      </c>
      <c r="M6" s="133">
        <f t="shared" si="0"/>
        <v>0</v>
      </c>
      <c r="N6" s="149">
        <f>K6+L6+M6</f>
        <v>100</v>
      </c>
      <c r="O6" s="132">
        <f>Y6+AG6</f>
        <v>36.700000000000003</v>
      </c>
      <c r="P6" s="133">
        <v>24</v>
      </c>
      <c r="Q6" s="133"/>
      <c r="R6" s="134">
        <f>O6+P6+Q6</f>
        <v>60.7</v>
      </c>
      <c r="S6" s="139">
        <v>2</v>
      </c>
      <c r="T6" s="306"/>
      <c r="U6" s="294"/>
      <c r="V6" s="138" t="s">
        <v>131</v>
      </c>
      <c r="W6" s="139" t="s">
        <v>22</v>
      </c>
      <c r="X6" s="139" t="s">
        <v>11</v>
      </c>
      <c r="Y6" s="140">
        <v>25.5</v>
      </c>
      <c r="Z6" s="139" t="s">
        <v>80</v>
      </c>
      <c r="AA6" s="139" t="s">
        <v>17</v>
      </c>
      <c r="AB6" s="139" t="s">
        <v>18</v>
      </c>
      <c r="AC6" s="140">
        <v>24</v>
      </c>
      <c r="AD6" s="139" t="s">
        <v>328</v>
      </c>
      <c r="AE6" s="139" t="s">
        <v>869</v>
      </c>
      <c r="AF6" s="139" t="s">
        <v>11</v>
      </c>
      <c r="AG6" s="140">
        <v>11.2</v>
      </c>
      <c r="AL6" s="138"/>
      <c r="AO6" s="140"/>
      <c r="AP6" s="138"/>
      <c r="AS6" s="140"/>
      <c r="AW6" s="140"/>
      <c r="BA6" s="141"/>
    </row>
    <row r="7" spans="1:53" s="139" customFormat="1" x14ac:dyDescent="0.15">
      <c r="A7" s="145">
        <v>1959</v>
      </c>
      <c r="B7" s="294">
        <v>21901</v>
      </c>
      <c r="C7" s="398" t="s">
        <v>449</v>
      </c>
      <c r="D7" s="398"/>
      <c r="E7" s="139">
        <f>365-E6</f>
        <v>15</v>
      </c>
      <c r="F7" s="139">
        <v>1</v>
      </c>
      <c r="G7" s="147">
        <v>3</v>
      </c>
      <c r="H7" s="139">
        <v>2</v>
      </c>
      <c r="I7" s="139">
        <v>2</v>
      </c>
      <c r="J7" s="153">
        <v>7</v>
      </c>
      <c r="K7" s="133">
        <f t="shared" si="0"/>
        <v>42.857142857142854</v>
      </c>
      <c r="L7" s="133">
        <f t="shared" si="0"/>
        <v>28.571428571428569</v>
      </c>
      <c r="M7" s="133">
        <f t="shared" si="0"/>
        <v>28.571428571428569</v>
      </c>
      <c r="N7" s="149">
        <f>K7+L7+M7</f>
        <v>99.999999999999986</v>
      </c>
      <c r="O7" s="132">
        <v>37.700000000000003</v>
      </c>
      <c r="P7" s="133">
        <v>24</v>
      </c>
      <c r="Q7" s="133">
        <v>26</v>
      </c>
      <c r="R7" s="134">
        <f>O7+P7+Q7</f>
        <v>87.7</v>
      </c>
      <c r="S7" s="155">
        <v>3</v>
      </c>
      <c r="T7" s="294">
        <v>21848</v>
      </c>
      <c r="U7" s="295">
        <v>21901</v>
      </c>
      <c r="V7" s="138" t="s">
        <v>131</v>
      </c>
      <c r="W7" s="139" t="s">
        <v>22</v>
      </c>
      <c r="X7" s="139" t="s">
        <v>11</v>
      </c>
      <c r="Y7" s="140">
        <v>26</v>
      </c>
      <c r="Z7" s="139" t="s">
        <v>80</v>
      </c>
      <c r="AA7" s="139" t="s">
        <v>17</v>
      </c>
      <c r="AB7" s="139" t="s">
        <v>18</v>
      </c>
      <c r="AC7" s="139">
        <v>24</v>
      </c>
      <c r="AD7" s="138" t="s">
        <v>454</v>
      </c>
      <c r="AE7" s="139" t="s">
        <v>20</v>
      </c>
      <c r="AF7" s="139" t="s">
        <v>12</v>
      </c>
      <c r="AG7" s="140">
        <v>26</v>
      </c>
      <c r="AH7" s="139" t="s">
        <v>328</v>
      </c>
      <c r="AI7" s="139" t="s">
        <v>869</v>
      </c>
      <c r="AJ7" s="139" t="s">
        <v>11</v>
      </c>
      <c r="AK7" s="139">
        <v>11.7</v>
      </c>
      <c r="AL7" s="138"/>
      <c r="AO7" s="140"/>
      <c r="AP7" s="138"/>
      <c r="AS7" s="140"/>
      <c r="AW7" s="140"/>
      <c r="BA7" s="141"/>
    </row>
    <row r="8" spans="1:53" s="28" customFormat="1" x14ac:dyDescent="0.15">
      <c r="A8" s="51">
        <v>1960</v>
      </c>
      <c r="B8" s="293"/>
      <c r="C8" s="394" t="s">
        <v>449</v>
      </c>
      <c r="D8" s="394"/>
      <c r="E8" s="28">
        <v>0</v>
      </c>
      <c r="G8" s="65">
        <v>3</v>
      </c>
      <c r="H8" s="28">
        <v>2</v>
      </c>
      <c r="I8" s="28">
        <v>2</v>
      </c>
      <c r="J8" s="72">
        <v>7</v>
      </c>
      <c r="K8" s="46">
        <f t="shared" ref="K8:M23" si="1">G8/$J8*100</f>
        <v>42.857142857142854</v>
      </c>
      <c r="L8" s="46">
        <f t="shared" si="1"/>
        <v>28.571428571428569</v>
      </c>
      <c r="M8" s="46">
        <f t="shared" si="1"/>
        <v>28.571428571428569</v>
      </c>
      <c r="N8" s="67">
        <f>K8+L8+M8</f>
        <v>99.999999999999986</v>
      </c>
      <c r="O8" s="45">
        <v>37.700000000000003</v>
      </c>
      <c r="P8" s="46">
        <v>24</v>
      </c>
      <c r="Q8" s="46">
        <v>26</v>
      </c>
      <c r="R8" s="47">
        <f>O8+P8+Q8</f>
        <v>87.7</v>
      </c>
      <c r="S8" s="28">
        <v>3</v>
      </c>
      <c r="T8" s="284"/>
      <c r="U8" s="293"/>
      <c r="V8" s="37" t="s">
        <v>131</v>
      </c>
      <c r="W8" s="28" t="s">
        <v>22</v>
      </c>
      <c r="X8" s="28" t="s">
        <v>11</v>
      </c>
      <c r="Y8" s="38">
        <v>26</v>
      </c>
      <c r="Z8" s="28" t="s">
        <v>80</v>
      </c>
      <c r="AA8" s="28" t="s">
        <v>17</v>
      </c>
      <c r="AB8" s="28" t="s">
        <v>18</v>
      </c>
      <c r="AC8" s="28">
        <v>24</v>
      </c>
      <c r="AD8" s="37" t="s">
        <v>454</v>
      </c>
      <c r="AE8" s="28" t="s">
        <v>20</v>
      </c>
      <c r="AF8" s="28" t="s">
        <v>12</v>
      </c>
      <c r="AG8" s="38">
        <v>26</v>
      </c>
      <c r="AH8" s="28" t="s">
        <v>328</v>
      </c>
      <c r="AI8" s="28" t="s">
        <v>869</v>
      </c>
      <c r="AJ8" s="28" t="s">
        <v>11</v>
      </c>
      <c r="AK8" s="28">
        <v>11.7</v>
      </c>
      <c r="AL8" s="37"/>
      <c r="AO8" s="38"/>
      <c r="AP8" s="37"/>
      <c r="AS8" s="38"/>
      <c r="AW8" s="38"/>
      <c r="BA8" s="39"/>
    </row>
    <row r="9" spans="1:53" s="28" customFormat="1" x14ac:dyDescent="0.15">
      <c r="A9" s="51">
        <v>1960</v>
      </c>
      <c r="B9" s="293"/>
      <c r="C9" s="394" t="s">
        <v>448</v>
      </c>
      <c r="D9" s="394"/>
      <c r="E9" s="28">
        <v>366</v>
      </c>
      <c r="F9" s="28">
        <v>1</v>
      </c>
      <c r="G9" s="65">
        <v>3</v>
      </c>
      <c r="H9" s="28">
        <v>2</v>
      </c>
      <c r="I9" s="28">
        <v>2</v>
      </c>
      <c r="J9" s="72">
        <v>7</v>
      </c>
      <c r="K9" s="46">
        <f t="shared" si="1"/>
        <v>42.857142857142854</v>
      </c>
      <c r="L9" s="46">
        <f t="shared" si="1"/>
        <v>28.571428571428569</v>
      </c>
      <c r="M9" s="46">
        <f t="shared" si="1"/>
        <v>28.571428571428569</v>
      </c>
      <c r="N9" s="67">
        <f>K9+L9+M9</f>
        <v>99.999999999999986</v>
      </c>
      <c r="O9" s="45">
        <v>37.700000000000003</v>
      </c>
      <c r="P9" s="46">
        <v>24</v>
      </c>
      <c r="Q9" s="46">
        <v>26</v>
      </c>
      <c r="R9" s="47">
        <f t="shared" ref="R9:R67" si="2">O9+P9+Q9</f>
        <v>87.7</v>
      </c>
      <c r="S9" s="28">
        <v>3</v>
      </c>
      <c r="T9" s="284"/>
      <c r="U9" s="293"/>
      <c r="V9" s="37" t="s">
        <v>131</v>
      </c>
      <c r="W9" s="28" t="s">
        <v>22</v>
      </c>
      <c r="X9" s="28" t="s">
        <v>11</v>
      </c>
      <c r="Y9" s="38">
        <v>26</v>
      </c>
      <c r="Z9" s="28" t="s">
        <v>80</v>
      </c>
      <c r="AA9" s="28" t="s">
        <v>17</v>
      </c>
      <c r="AB9" s="28" t="s">
        <v>18</v>
      </c>
      <c r="AC9" s="28">
        <v>24</v>
      </c>
      <c r="AD9" s="37" t="s">
        <v>454</v>
      </c>
      <c r="AE9" s="28" t="s">
        <v>20</v>
      </c>
      <c r="AF9" s="28" t="s">
        <v>12</v>
      </c>
      <c r="AG9" s="38">
        <v>26</v>
      </c>
      <c r="AH9" s="28" t="s">
        <v>328</v>
      </c>
      <c r="AI9" s="28" t="s">
        <v>869</v>
      </c>
      <c r="AJ9" s="28" t="s">
        <v>11</v>
      </c>
      <c r="AK9" s="28">
        <v>11.7</v>
      </c>
      <c r="AL9" s="37"/>
      <c r="AO9" s="38"/>
      <c r="AP9" s="37"/>
      <c r="AS9" s="38"/>
      <c r="AW9" s="38"/>
      <c r="BA9" s="39"/>
    </row>
    <row r="10" spans="1:53" s="28" customFormat="1" x14ac:dyDescent="0.15">
      <c r="A10" s="51">
        <v>1961</v>
      </c>
      <c r="B10" s="293"/>
      <c r="C10" s="394" t="s">
        <v>448</v>
      </c>
      <c r="D10" s="394"/>
      <c r="E10" s="28">
        <v>0</v>
      </c>
      <c r="G10" s="65">
        <v>3</v>
      </c>
      <c r="H10" s="28">
        <v>2</v>
      </c>
      <c r="I10" s="28">
        <v>2</v>
      </c>
      <c r="J10" s="72">
        <v>7</v>
      </c>
      <c r="K10" s="46">
        <f t="shared" si="1"/>
        <v>42.857142857142854</v>
      </c>
      <c r="L10" s="46">
        <f t="shared" si="1"/>
        <v>28.571428571428569</v>
      </c>
      <c r="M10" s="46">
        <f t="shared" si="1"/>
        <v>28.571428571428569</v>
      </c>
      <c r="N10" s="67">
        <f t="shared" ref="N10:N73" si="3">K10+L10+M10</f>
        <v>99.999999999999986</v>
      </c>
      <c r="O10" s="45">
        <v>37.700000000000003</v>
      </c>
      <c r="P10" s="46">
        <v>24</v>
      </c>
      <c r="Q10" s="46">
        <v>26</v>
      </c>
      <c r="R10" s="47">
        <f t="shared" si="2"/>
        <v>87.7</v>
      </c>
      <c r="S10" s="28">
        <v>3</v>
      </c>
      <c r="T10" s="284"/>
      <c r="U10" s="293"/>
      <c r="V10" s="37" t="s">
        <v>131</v>
      </c>
      <c r="W10" s="28" t="s">
        <v>22</v>
      </c>
      <c r="X10" s="28" t="s">
        <v>11</v>
      </c>
      <c r="Y10" s="38">
        <v>26</v>
      </c>
      <c r="Z10" s="28" t="s">
        <v>80</v>
      </c>
      <c r="AA10" s="28" t="s">
        <v>17</v>
      </c>
      <c r="AB10" s="28" t="s">
        <v>18</v>
      </c>
      <c r="AC10" s="28">
        <v>24</v>
      </c>
      <c r="AD10" s="37" t="s">
        <v>454</v>
      </c>
      <c r="AE10" s="28" t="s">
        <v>20</v>
      </c>
      <c r="AF10" s="28" t="s">
        <v>12</v>
      </c>
      <c r="AG10" s="38">
        <v>26</v>
      </c>
      <c r="AH10" s="28" t="s">
        <v>328</v>
      </c>
      <c r="AI10" s="28" t="s">
        <v>869</v>
      </c>
      <c r="AJ10" s="28" t="s">
        <v>11</v>
      </c>
      <c r="AK10" s="28">
        <v>11.7</v>
      </c>
      <c r="AL10" s="37"/>
      <c r="AO10" s="38"/>
      <c r="AP10" s="37"/>
      <c r="AS10" s="38"/>
      <c r="AW10" s="38"/>
      <c r="BA10" s="39"/>
    </row>
    <row r="11" spans="1:53" s="28" customFormat="1" x14ac:dyDescent="0.15">
      <c r="A11" s="51">
        <v>1961</v>
      </c>
      <c r="B11" s="293"/>
      <c r="C11" s="394" t="s">
        <v>416</v>
      </c>
      <c r="D11" s="394"/>
      <c r="E11" s="28">
        <v>365</v>
      </c>
      <c r="F11" s="28">
        <v>1</v>
      </c>
      <c r="G11" s="65">
        <v>3</v>
      </c>
      <c r="H11" s="28">
        <v>2</v>
      </c>
      <c r="I11" s="28">
        <v>2</v>
      </c>
      <c r="J11" s="72">
        <v>7</v>
      </c>
      <c r="K11" s="46">
        <f t="shared" si="1"/>
        <v>42.857142857142854</v>
      </c>
      <c r="L11" s="46">
        <f t="shared" si="1"/>
        <v>28.571428571428569</v>
      </c>
      <c r="M11" s="46">
        <f t="shared" si="1"/>
        <v>28.571428571428569</v>
      </c>
      <c r="N11" s="67">
        <f t="shared" si="3"/>
        <v>99.999999999999986</v>
      </c>
      <c r="O11" s="45">
        <v>37.700000000000003</v>
      </c>
      <c r="P11" s="46">
        <v>24</v>
      </c>
      <c r="Q11" s="46">
        <v>26</v>
      </c>
      <c r="R11" s="47">
        <f t="shared" si="2"/>
        <v>87.7</v>
      </c>
      <c r="S11" s="28">
        <v>3</v>
      </c>
      <c r="T11" s="284"/>
      <c r="U11" s="293"/>
      <c r="V11" s="37" t="s">
        <v>131</v>
      </c>
      <c r="W11" s="28" t="s">
        <v>22</v>
      </c>
      <c r="X11" s="28" t="s">
        <v>11</v>
      </c>
      <c r="Y11" s="38">
        <v>26</v>
      </c>
      <c r="Z11" s="28" t="s">
        <v>80</v>
      </c>
      <c r="AA11" s="28" t="s">
        <v>17</v>
      </c>
      <c r="AB11" s="28" t="s">
        <v>18</v>
      </c>
      <c r="AC11" s="28">
        <v>24</v>
      </c>
      <c r="AD11" s="37" t="s">
        <v>454</v>
      </c>
      <c r="AE11" s="28" t="s">
        <v>20</v>
      </c>
      <c r="AF11" s="28" t="s">
        <v>12</v>
      </c>
      <c r="AG11" s="38">
        <v>26</v>
      </c>
      <c r="AH11" s="28" t="s">
        <v>328</v>
      </c>
      <c r="AI11" s="28" t="s">
        <v>869</v>
      </c>
      <c r="AJ11" s="28" t="s">
        <v>11</v>
      </c>
      <c r="AK11" s="28">
        <v>11.7</v>
      </c>
      <c r="AL11" s="37"/>
      <c r="AO11" s="38"/>
      <c r="AP11" s="37"/>
      <c r="AS11" s="38"/>
      <c r="AW11" s="38"/>
      <c r="BA11" s="39"/>
    </row>
    <row r="12" spans="1:53" s="28" customFormat="1" x14ac:dyDescent="0.15">
      <c r="A12" s="51">
        <v>1962</v>
      </c>
      <c r="B12" s="293"/>
      <c r="C12" s="394" t="s">
        <v>416</v>
      </c>
      <c r="D12" s="394"/>
      <c r="E12" s="28">
        <v>0</v>
      </c>
      <c r="G12" s="65">
        <v>3</v>
      </c>
      <c r="H12" s="28">
        <v>2</v>
      </c>
      <c r="I12" s="28">
        <v>2</v>
      </c>
      <c r="J12" s="72">
        <v>7</v>
      </c>
      <c r="K12" s="46">
        <f t="shared" si="1"/>
        <v>42.857142857142854</v>
      </c>
      <c r="L12" s="46">
        <f t="shared" si="1"/>
        <v>28.571428571428569</v>
      </c>
      <c r="M12" s="46">
        <f t="shared" si="1"/>
        <v>28.571428571428569</v>
      </c>
      <c r="N12" s="67">
        <f t="shared" si="3"/>
        <v>99.999999999999986</v>
      </c>
      <c r="O12" s="45">
        <v>37.700000000000003</v>
      </c>
      <c r="P12" s="46">
        <v>24</v>
      </c>
      <c r="Q12" s="46">
        <v>26</v>
      </c>
      <c r="R12" s="47">
        <f t="shared" si="2"/>
        <v>87.7</v>
      </c>
      <c r="S12" s="28">
        <v>3</v>
      </c>
      <c r="T12" s="284"/>
      <c r="U12" s="293"/>
      <c r="V12" s="37" t="s">
        <v>131</v>
      </c>
      <c r="W12" s="28" t="s">
        <v>22</v>
      </c>
      <c r="X12" s="28" t="s">
        <v>11</v>
      </c>
      <c r="Y12" s="38">
        <v>26</v>
      </c>
      <c r="Z12" s="28" t="s">
        <v>80</v>
      </c>
      <c r="AA12" s="28" t="s">
        <v>17</v>
      </c>
      <c r="AB12" s="28" t="s">
        <v>18</v>
      </c>
      <c r="AC12" s="28">
        <v>24</v>
      </c>
      <c r="AD12" s="37" t="s">
        <v>454</v>
      </c>
      <c r="AE12" s="28" t="s">
        <v>20</v>
      </c>
      <c r="AF12" s="28" t="s">
        <v>12</v>
      </c>
      <c r="AG12" s="38">
        <v>26</v>
      </c>
      <c r="AH12" s="28" t="s">
        <v>328</v>
      </c>
      <c r="AI12" s="28" t="s">
        <v>869</v>
      </c>
      <c r="AJ12" s="28" t="s">
        <v>11</v>
      </c>
      <c r="AK12" s="28">
        <v>11.7</v>
      </c>
      <c r="AL12" s="37"/>
      <c r="AO12" s="38"/>
      <c r="AP12" s="37"/>
      <c r="AS12" s="38"/>
      <c r="AW12" s="38"/>
      <c r="BA12" s="39"/>
    </row>
    <row r="13" spans="1:53" s="28" customFormat="1" x14ac:dyDescent="0.15">
      <c r="A13" s="51">
        <v>1962</v>
      </c>
      <c r="B13" s="293"/>
      <c r="C13" s="394" t="s">
        <v>812</v>
      </c>
      <c r="D13" s="394"/>
      <c r="E13" s="28">
        <v>365</v>
      </c>
      <c r="F13" s="28">
        <v>1</v>
      </c>
      <c r="G13" s="65">
        <v>3</v>
      </c>
      <c r="H13" s="28">
        <v>2</v>
      </c>
      <c r="I13" s="28">
        <v>2</v>
      </c>
      <c r="J13" s="72">
        <v>7</v>
      </c>
      <c r="K13" s="46">
        <f t="shared" si="1"/>
        <v>42.857142857142854</v>
      </c>
      <c r="L13" s="46">
        <f t="shared" si="1"/>
        <v>28.571428571428569</v>
      </c>
      <c r="M13" s="46">
        <f t="shared" si="1"/>
        <v>28.571428571428569</v>
      </c>
      <c r="N13" s="67">
        <f t="shared" si="3"/>
        <v>99.999999999999986</v>
      </c>
      <c r="O13" s="45">
        <v>37.700000000000003</v>
      </c>
      <c r="P13" s="46">
        <v>24</v>
      </c>
      <c r="Q13" s="46">
        <v>26</v>
      </c>
      <c r="R13" s="47">
        <f t="shared" si="2"/>
        <v>87.7</v>
      </c>
      <c r="S13" s="28">
        <v>3</v>
      </c>
      <c r="T13" s="284"/>
      <c r="U13" s="293"/>
      <c r="V13" s="37" t="s">
        <v>131</v>
      </c>
      <c r="W13" s="28" t="s">
        <v>22</v>
      </c>
      <c r="X13" s="28" t="s">
        <v>11</v>
      </c>
      <c r="Y13" s="38">
        <v>26</v>
      </c>
      <c r="Z13" s="28" t="s">
        <v>80</v>
      </c>
      <c r="AA13" s="28" t="s">
        <v>17</v>
      </c>
      <c r="AB13" s="28" t="s">
        <v>18</v>
      </c>
      <c r="AC13" s="28">
        <v>24</v>
      </c>
      <c r="AD13" s="37" t="s">
        <v>454</v>
      </c>
      <c r="AE13" s="28" t="s">
        <v>20</v>
      </c>
      <c r="AF13" s="28" t="s">
        <v>12</v>
      </c>
      <c r="AG13" s="38">
        <v>26</v>
      </c>
      <c r="AH13" s="28" t="s">
        <v>328</v>
      </c>
      <c r="AI13" s="28" t="s">
        <v>869</v>
      </c>
      <c r="AJ13" s="28" t="s">
        <v>11</v>
      </c>
      <c r="AK13" s="28">
        <v>11.7</v>
      </c>
      <c r="AL13" s="37"/>
      <c r="AO13" s="38"/>
      <c r="AP13" s="37"/>
      <c r="AS13" s="38"/>
      <c r="AW13" s="38"/>
      <c r="BA13" s="39"/>
    </row>
    <row r="14" spans="1:53" s="28" customFormat="1" x14ac:dyDescent="0.15">
      <c r="A14" s="51">
        <v>1963</v>
      </c>
      <c r="B14" s="293"/>
      <c r="C14" s="394" t="s">
        <v>812</v>
      </c>
      <c r="D14" s="394"/>
      <c r="E14" s="28">
        <v>345</v>
      </c>
      <c r="G14" s="65">
        <v>3</v>
      </c>
      <c r="H14" s="28">
        <v>2</v>
      </c>
      <c r="I14" s="28">
        <v>2</v>
      </c>
      <c r="J14" s="72">
        <v>7</v>
      </c>
      <c r="K14" s="46">
        <f t="shared" si="1"/>
        <v>42.857142857142854</v>
      </c>
      <c r="L14" s="46">
        <f t="shared" si="1"/>
        <v>28.571428571428569</v>
      </c>
      <c r="M14" s="46">
        <f t="shared" si="1"/>
        <v>28.571428571428569</v>
      </c>
      <c r="N14" s="67">
        <f t="shared" si="3"/>
        <v>99.999999999999986</v>
      </c>
      <c r="O14" s="45">
        <v>37.700000000000003</v>
      </c>
      <c r="P14" s="46">
        <v>24</v>
      </c>
      <c r="Q14" s="46">
        <v>26</v>
      </c>
      <c r="R14" s="47">
        <f t="shared" si="2"/>
        <v>87.7</v>
      </c>
      <c r="S14" s="28">
        <v>3</v>
      </c>
      <c r="T14" s="284"/>
      <c r="U14" s="293"/>
      <c r="V14" s="37" t="s">
        <v>131</v>
      </c>
      <c r="W14" s="28" t="s">
        <v>22</v>
      </c>
      <c r="X14" s="28" t="s">
        <v>11</v>
      </c>
      <c r="Y14" s="38">
        <v>26</v>
      </c>
      <c r="Z14" s="28" t="s">
        <v>80</v>
      </c>
      <c r="AA14" s="28" t="s">
        <v>17</v>
      </c>
      <c r="AB14" s="28" t="s">
        <v>18</v>
      </c>
      <c r="AC14" s="28">
        <v>24</v>
      </c>
      <c r="AD14" s="37" t="s">
        <v>454</v>
      </c>
      <c r="AE14" s="28" t="s">
        <v>20</v>
      </c>
      <c r="AF14" s="28" t="s">
        <v>12</v>
      </c>
      <c r="AG14" s="38">
        <v>26</v>
      </c>
      <c r="AH14" s="28" t="s">
        <v>328</v>
      </c>
      <c r="AI14" s="28" t="s">
        <v>869</v>
      </c>
      <c r="AJ14" s="28" t="s">
        <v>11</v>
      </c>
      <c r="AK14" s="28">
        <v>11.7</v>
      </c>
      <c r="AL14" s="37"/>
      <c r="AO14" s="38"/>
      <c r="AP14" s="37"/>
      <c r="AS14" s="38"/>
      <c r="AW14" s="38"/>
      <c r="BA14" s="39"/>
    </row>
    <row r="15" spans="1:53" s="170" customFormat="1" x14ac:dyDescent="0.15">
      <c r="A15" s="215">
        <v>1963</v>
      </c>
      <c r="B15" s="281">
        <v>23357</v>
      </c>
      <c r="C15" s="395" t="s">
        <v>850</v>
      </c>
      <c r="D15" s="395"/>
      <c r="E15" s="170">
        <f>365-E14</f>
        <v>20</v>
      </c>
      <c r="F15" s="170">
        <v>1</v>
      </c>
      <c r="G15" s="232">
        <v>3</v>
      </c>
      <c r="H15" s="170">
        <v>2</v>
      </c>
      <c r="I15" s="170">
        <v>2</v>
      </c>
      <c r="J15" s="240">
        <v>7</v>
      </c>
      <c r="K15" s="213">
        <f t="shared" si="1"/>
        <v>42.857142857142854</v>
      </c>
      <c r="L15" s="213">
        <f t="shared" si="1"/>
        <v>28.571428571428569</v>
      </c>
      <c r="M15" s="213">
        <f t="shared" si="1"/>
        <v>28.571428571428569</v>
      </c>
      <c r="N15" s="234">
        <f t="shared" si="3"/>
        <v>99.999999999999986</v>
      </c>
      <c r="O15" s="212">
        <v>36.5</v>
      </c>
      <c r="P15" s="213">
        <v>24</v>
      </c>
      <c r="Q15" s="213">
        <v>26.5</v>
      </c>
      <c r="R15" s="214">
        <f t="shared" si="2"/>
        <v>87</v>
      </c>
      <c r="S15" s="170">
        <v>3</v>
      </c>
      <c r="T15" s="283">
        <v>23311</v>
      </c>
      <c r="U15" s="281">
        <v>23357</v>
      </c>
      <c r="V15" s="177" t="s">
        <v>131</v>
      </c>
      <c r="W15" s="170" t="s">
        <v>22</v>
      </c>
      <c r="X15" s="170" t="s">
        <v>11</v>
      </c>
      <c r="Y15" s="178">
        <v>25.5</v>
      </c>
      <c r="Z15" s="170" t="s">
        <v>80</v>
      </c>
      <c r="AA15" s="170" t="s">
        <v>17</v>
      </c>
      <c r="AB15" s="170" t="s">
        <v>18</v>
      </c>
      <c r="AC15" s="170">
        <v>24</v>
      </c>
      <c r="AD15" s="177" t="s">
        <v>454</v>
      </c>
      <c r="AE15" s="170" t="s">
        <v>20</v>
      </c>
      <c r="AF15" s="170" t="s">
        <v>12</v>
      </c>
      <c r="AG15" s="178">
        <v>26.5</v>
      </c>
      <c r="AH15" s="170" t="s">
        <v>328</v>
      </c>
      <c r="AI15" s="170" t="s">
        <v>869</v>
      </c>
      <c r="AJ15" s="170" t="s">
        <v>11</v>
      </c>
      <c r="AK15" s="170">
        <v>11</v>
      </c>
      <c r="AL15" s="177"/>
      <c r="AO15" s="178"/>
      <c r="AP15" s="177"/>
      <c r="AS15" s="178"/>
      <c r="AW15" s="178"/>
      <c r="BA15" s="179"/>
    </row>
    <row r="16" spans="1:53" s="170" customFormat="1" x14ac:dyDescent="0.15">
      <c r="A16" s="215">
        <v>1964</v>
      </c>
      <c r="B16" s="281"/>
      <c r="C16" s="395" t="s">
        <v>850</v>
      </c>
      <c r="D16" s="395"/>
      <c r="E16" s="170">
        <v>0</v>
      </c>
      <c r="G16" s="232">
        <v>3</v>
      </c>
      <c r="H16" s="170">
        <v>2</v>
      </c>
      <c r="I16" s="170">
        <v>2</v>
      </c>
      <c r="J16" s="240">
        <v>7</v>
      </c>
      <c r="K16" s="213">
        <f t="shared" si="1"/>
        <v>42.857142857142854</v>
      </c>
      <c r="L16" s="213">
        <f t="shared" si="1"/>
        <v>28.571428571428569</v>
      </c>
      <c r="M16" s="213">
        <f t="shared" si="1"/>
        <v>28.571428571428569</v>
      </c>
      <c r="N16" s="234">
        <f t="shared" si="3"/>
        <v>99.999999999999986</v>
      </c>
      <c r="O16" s="212">
        <v>36.5</v>
      </c>
      <c r="P16" s="213">
        <v>24</v>
      </c>
      <c r="Q16" s="213">
        <v>26.5</v>
      </c>
      <c r="R16" s="214">
        <f t="shared" si="2"/>
        <v>87</v>
      </c>
      <c r="S16" s="170">
        <v>3</v>
      </c>
      <c r="T16" s="283"/>
      <c r="U16" s="281"/>
      <c r="V16" s="177" t="s">
        <v>131</v>
      </c>
      <c r="W16" s="170" t="s">
        <v>22</v>
      </c>
      <c r="X16" s="170" t="s">
        <v>11</v>
      </c>
      <c r="Y16" s="178">
        <v>25.5</v>
      </c>
      <c r="Z16" s="170" t="s">
        <v>80</v>
      </c>
      <c r="AA16" s="170" t="s">
        <v>17</v>
      </c>
      <c r="AB16" s="170" t="s">
        <v>18</v>
      </c>
      <c r="AC16" s="170">
        <v>24</v>
      </c>
      <c r="AD16" s="177" t="s">
        <v>454</v>
      </c>
      <c r="AE16" s="170" t="s">
        <v>20</v>
      </c>
      <c r="AF16" s="170" t="s">
        <v>12</v>
      </c>
      <c r="AG16" s="178">
        <v>26.5</v>
      </c>
      <c r="AH16" s="170" t="s">
        <v>328</v>
      </c>
      <c r="AI16" s="170" t="s">
        <v>869</v>
      </c>
      <c r="AJ16" s="170" t="s">
        <v>11</v>
      </c>
      <c r="AK16" s="170">
        <v>11</v>
      </c>
      <c r="AL16" s="177"/>
      <c r="AO16" s="178"/>
      <c r="AP16" s="177"/>
      <c r="AS16" s="178"/>
      <c r="AW16" s="178"/>
      <c r="BA16" s="179"/>
    </row>
    <row r="17" spans="1:53" s="170" customFormat="1" x14ac:dyDescent="0.15">
      <c r="A17" s="215">
        <v>1964</v>
      </c>
      <c r="B17" s="281"/>
      <c r="C17" s="395" t="s">
        <v>455</v>
      </c>
      <c r="D17" s="395"/>
      <c r="E17" s="170">
        <v>366</v>
      </c>
      <c r="F17" s="170">
        <v>1</v>
      </c>
      <c r="G17" s="232">
        <v>3</v>
      </c>
      <c r="H17" s="170">
        <v>2</v>
      </c>
      <c r="I17" s="170">
        <v>2</v>
      </c>
      <c r="J17" s="240">
        <v>7</v>
      </c>
      <c r="K17" s="213">
        <f t="shared" si="1"/>
        <v>42.857142857142854</v>
      </c>
      <c r="L17" s="213">
        <f t="shared" si="1"/>
        <v>28.571428571428569</v>
      </c>
      <c r="M17" s="213">
        <f t="shared" si="1"/>
        <v>28.571428571428569</v>
      </c>
      <c r="N17" s="234">
        <f t="shared" si="3"/>
        <v>99.999999999999986</v>
      </c>
      <c r="O17" s="212">
        <v>36.5</v>
      </c>
      <c r="P17" s="213">
        <v>24</v>
      </c>
      <c r="Q17" s="213">
        <v>26.5</v>
      </c>
      <c r="R17" s="214">
        <f t="shared" si="2"/>
        <v>87</v>
      </c>
      <c r="S17" s="170">
        <v>3</v>
      </c>
      <c r="T17" s="283"/>
      <c r="U17" s="281"/>
      <c r="V17" s="177" t="s">
        <v>131</v>
      </c>
      <c r="W17" s="170" t="s">
        <v>22</v>
      </c>
      <c r="X17" s="170" t="s">
        <v>11</v>
      </c>
      <c r="Y17" s="178">
        <v>25.5</v>
      </c>
      <c r="Z17" s="170" t="s">
        <v>80</v>
      </c>
      <c r="AA17" s="170" t="s">
        <v>17</v>
      </c>
      <c r="AB17" s="170" t="s">
        <v>18</v>
      </c>
      <c r="AC17" s="170">
        <v>24</v>
      </c>
      <c r="AD17" s="177" t="s">
        <v>454</v>
      </c>
      <c r="AE17" s="170" t="s">
        <v>20</v>
      </c>
      <c r="AF17" s="170" t="s">
        <v>12</v>
      </c>
      <c r="AG17" s="178">
        <v>26.5</v>
      </c>
      <c r="AH17" s="170" t="s">
        <v>328</v>
      </c>
      <c r="AI17" s="170" t="s">
        <v>869</v>
      </c>
      <c r="AJ17" s="170" t="s">
        <v>11</v>
      </c>
      <c r="AK17" s="170">
        <v>11</v>
      </c>
      <c r="AL17" s="177"/>
      <c r="AO17" s="178"/>
      <c r="AP17" s="177"/>
      <c r="AS17" s="178"/>
      <c r="AW17" s="178"/>
      <c r="BA17" s="179"/>
    </row>
    <row r="18" spans="1:53" s="170" customFormat="1" x14ac:dyDescent="0.15">
      <c r="A18" s="215">
        <v>1965</v>
      </c>
      <c r="B18" s="281"/>
      <c r="C18" s="395" t="s">
        <v>455</v>
      </c>
      <c r="D18" s="395"/>
      <c r="E18" s="170">
        <v>0</v>
      </c>
      <c r="G18" s="232">
        <v>3</v>
      </c>
      <c r="H18" s="170">
        <v>2</v>
      </c>
      <c r="I18" s="170">
        <v>2</v>
      </c>
      <c r="J18" s="240">
        <v>7</v>
      </c>
      <c r="K18" s="213">
        <f t="shared" si="1"/>
        <v>42.857142857142854</v>
      </c>
      <c r="L18" s="213">
        <f t="shared" si="1"/>
        <v>28.571428571428569</v>
      </c>
      <c r="M18" s="213">
        <f t="shared" si="1"/>
        <v>28.571428571428569</v>
      </c>
      <c r="N18" s="234">
        <f t="shared" si="3"/>
        <v>99.999999999999986</v>
      </c>
      <c r="O18" s="212">
        <v>36.5</v>
      </c>
      <c r="P18" s="213">
        <v>24</v>
      </c>
      <c r="Q18" s="213">
        <v>26.5</v>
      </c>
      <c r="R18" s="214">
        <f t="shared" si="2"/>
        <v>87</v>
      </c>
      <c r="S18" s="170">
        <v>3</v>
      </c>
      <c r="T18" s="283"/>
      <c r="U18" s="281"/>
      <c r="V18" s="177" t="s">
        <v>131</v>
      </c>
      <c r="W18" s="170" t="s">
        <v>22</v>
      </c>
      <c r="X18" s="170" t="s">
        <v>11</v>
      </c>
      <c r="Y18" s="178">
        <v>25.5</v>
      </c>
      <c r="Z18" s="170" t="s">
        <v>80</v>
      </c>
      <c r="AA18" s="170" t="s">
        <v>17</v>
      </c>
      <c r="AB18" s="170" t="s">
        <v>18</v>
      </c>
      <c r="AC18" s="170">
        <v>24</v>
      </c>
      <c r="AD18" s="177" t="s">
        <v>454</v>
      </c>
      <c r="AE18" s="170" t="s">
        <v>20</v>
      </c>
      <c r="AF18" s="170" t="s">
        <v>12</v>
      </c>
      <c r="AG18" s="178">
        <v>26.5</v>
      </c>
      <c r="AH18" s="170" t="s">
        <v>328</v>
      </c>
      <c r="AI18" s="170" t="s">
        <v>869</v>
      </c>
      <c r="AJ18" s="170" t="s">
        <v>11</v>
      </c>
      <c r="AK18" s="170">
        <v>11</v>
      </c>
      <c r="AL18" s="177"/>
      <c r="AO18" s="178"/>
      <c r="AP18" s="177"/>
      <c r="AS18" s="178"/>
      <c r="AW18" s="178"/>
      <c r="BA18" s="179"/>
    </row>
    <row r="19" spans="1:53" s="170" customFormat="1" x14ac:dyDescent="0.15">
      <c r="A19" s="215">
        <v>1965</v>
      </c>
      <c r="B19" s="281"/>
      <c r="C19" s="428" t="s">
        <v>414</v>
      </c>
      <c r="D19" s="395"/>
      <c r="E19" s="170">
        <v>365</v>
      </c>
      <c r="F19" s="170">
        <v>1</v>
      </c>
      <c r="G19" s="232">
        <v>3</v>
      </c>
      <c r="H19" s="170">
        <v>2</v>
      </c>
      <c r="I19" s="170">
        <v>2</v>
      </c>
      <c r="J19" s="240">
        <v>7</v>
      </c>
      <c r="K19" s="213">
        <f t="shared" si="1"/>
        <v>42.857142857142854</v>
      </c>
      <c r="L19" s="213">
        <f t="shared" si="1"/>
        <v>28.571428571428569</v>
      </c>
      <c r="M19" s="213">
        <f t="shared" si="1"/>
        <v>28.571428571428569</v>
      </c>
      <c r="N19" s="234">
        <f t="shared" si="3"/>
        <v>99.999999999999986</v>
      </c>
      <c r="O19" s="212">
        <v>36.5</v>
      </c>
      <c r="P19" s="213">
        <v>24</v>
      </c>
      <c r="Q19" s="213">
        <v>26.5</v>
      </c>
      <c r="R19" s="214">
        <f t="shared" si="2"/>
        <v>87</v>
      </c>
      <c r="S19" s="170">
        <v>3</v>
      </c>
      <c r="T19" s="283"/>
      <c r="U19" s="281"/>
      <c r="V19" s="177" t="s">
        <v>131</v>
      </c>
      <c r="W19" s="170" t="s">
        <v>22</v>
      </c>
      <c r="X19" s="170" t="s">
        <v>11</v>
      </c>
      <c r="Y19" s="178">
        <v>25.5</v>
      </c>
      <c r="Z19" s="170" t="s">
        <v>80</v>
      </c>
      <c r="AA19" s="170" t="s">
        <v>17</v>
      </c>
      <c r="AB19" s="170" t="s">
        <v>18</v>
      </c>
      <c r="AC19" s="170">
        <v>24</v>
      </c>
      <c r="AD19" s="177" t="s">
        <v>454</v>
      </c>
      <c r="AE19" s="170" t="s">
        <v>20</v>
      </c>
      <c r="AF19" s="170" t="s">
        <v>12</v>
      </c>
      <c r="AG19" s="178">
        <v>26.5</v>
      </c>
      <c r="AH19" s="170" t="s">
        <v>328</v>
      </c>
      <c r="AI19" s="170" t="s">
        <v>869</v>
      </c>
      <c r="AJ19" s="170" t="s">
        <v>11</v>
      </c>
      <c r="AK19" s="170">
        <v>11</v>
      </c>
      <c r="AL19" s="177"/>
      <c r="AO19" s="178"/>
      <c r="AP19" s="177"/>
      <c r="AS19" s="178"/>
      <c r="AW19" s="178"/>
      <c r="BA19" s="179"/>
    </row>
    <row r="20" spans="1:53" s="170" customFormat="1" x14ac:dyDescent="0.15">
      <c r="A20" s="215">
        <v>1966</v>
      </c>
      <c r="B20" s="281"/>
      <c r="C20" s="428" t="s">
        <v>414</v>
      </c>
      <c r="D20" s="395"/>
      <c r="E20" s="170">
        <v>0</v>
      </c>
      <c r="G20" s="232">
        <v>3</v>
      </c>
      <c r="H20" s="170">
        <v>2</v>
      </c>
      <c r="I20" s="170">
        <v>2</v>
      </c>
      <c r="J20" s="240">
        <v>7</v>
      </c>
      <c r="K20" s="213">
        <f t="shared" si="1"/>
        <v>42.857142857142854</v>
      </c>
      <c r="L20" s="213">
        <f t="shared" si="1"/>
        <v>28.571428571428569</v>
      </c>
      <c r="M20" s="213">
        <f t="shared" si="1"/>
        <v>28.571428571428569</v>
      </c>
      <c r="N20" s="234">
        <f t="shared" si="3"/>
        <v>99.999999999999986</v>
      </c>
      <c r="O20" s="212">
        <v>36.5</v>
      </c>
      <c r="P20" s="213">
        <v>24</v>
      </c>
      <c r="Q20" s="213">
        <v>26.5</v>
      </c>
      <c r="R20" s="214">
        <f t="shared" si="2"/>
        <v>87</v>
      </c>
      <c r="S20" s="170">
        <v>3</v>
      </c>
      <c r="T20" s="283"/>
      <c r="U20" s="281"/>
      <c r="V20" s="177" t="s">
        <v>131</v>
      </c>
      <c r="W20" s="170" t="s">
        <v>22</v>
      </c>
      <c r="X20" s="170" t="s">
        <v>11</v>
      </c>
      <c r="Y20" s="178">
        <v>25.5</v>
      </c>
      <c r="Z20" s="170" t="s">
        <v>80</v>
      </c>
      <c r="AA20" s="170" t="s">
        <v>17</v>
      </c>
      <c r="AB20" s="170" t="s">
        <v>18</v>
      </c>
      <c r="AC20" s="170">
        <v>24</v>
      </c>
      <c r="AD20" s="177" t="s">
        <v>454</v>
      </c>
      <c r="AE20" s="170" t="s">
        <v>20</v>
      </c>
      <c r="AF20" s="170" t="s">
        <v>12</v>
      </c>
      <c r="AG20" s="178">
        <v>26.5</v>
      </c>
      <c r="AH20" s="170" t="s">
        <v>328</v>
      </c>
      <c r="AI20" s="170" t="s">
        <v>869</v>
      </c>
      <c r="AJ20" s="170" t="s">
        <v>11</v>
      </c>
      <c r="AK20" s="170">
        <v>11</v>
      </c>
      <c r="AL20" s="177"/>
      <c r="AO20" s="178"/>
      <c r="AP20" s="177"/>
      <c r="AS20" s="178"/>
      <c r="AW20" s="178"/>
      <c r="BA20" s="179"/>
    </row>
    <row r="21" spans="1:53" s="170" customFormat="1" x14ac:dyDescent="0.15">
      <c r="A21" s="215">
        <v>1966</v>
      </c>
      <c r="B21" s="281"/>
      <c r="C21" s="395" t="s">
        <v>415</v>
      </c>
      <c r="D21" s="395"/>
      <c r="E21" s="170">
        <v>365</v>
      </c>
      <c r="F21" s="170">
        <v>1</v>
      </c>
      <c r="G21" s="232">
        <v>3</v>
      </c>
      <c r="H21" s="170">
        <v>2</v>
      </c>
      <c r="I21" s="170">
        <v>2</v>
      </c>
      <c r="J21" s="240">
        <v>7</v>
      </c>
      <c r="K21" s="213">
        <f t="shared" si="1"/>
        <v>42.857142857142854</v>
      </c>
      <c r="L21" s="213">
        <f t="shared" si="1"/>
        <v>28.571428571428569</v>
      </c>
      <c r="M21" s="213">
        <f t="shared" si="1"/>
        <v>28.571428571428569</v>
      </c>
      <c r="N21" s="234">
        <f t="shared" si="3"/>
        <v>99.999999999999986</v>
      </c>
      <c r="O21" s="212">
        <v>36.5</v>
      </c>
      <c r="P21" s="213">
        <v>24</v>
      </c>
      <c r="Q21" s="213">
        <v>26.5</v>
      </c>
      <c r="R21" s="214">
        <f t="shared" si="2"/>
        <v>87</v>
      </c>
      <c r="S21" s="170">
        <v>3</v>
      </c>
      <c r="T21" s="283"/>
      <c r="U21" s="281"/>
      <c r="V21" s="177" t="s">
        <v>131</v>
      </c>
      <c r="W21" s="170" t="s">
        <v>22</v>
      </c>
      <c r="X21" s="170" t="s">
        <v>11</v>
      </c>
      <c r="Y21" s="178">
        <v>25.5</v>
      </c>
      <c r="Z21" s="170" t="s">
        <v>80</v>
      </c>
      <c r="AA21" s="170" t="s">
        <v>17</v>
      </c>
      <c r="AB21" s="170" t="s">
        <v>18</v>
      </c>
      <c r="AC21" s="170">
        <v>24</v>
      </c>
      <c r="AD21" s="177" t="s">
        <v>454</v>
      </c>
      <c r="AE21" s="170" t="s">
        <v>20</v>
      </c>
      <c r="AF21" s="170" t="s">
        <v>12</v>
      </c>
      <c r="AG21" s="178">
        <v>26.5</v>
      </c>
      <c r="AH21" s="170" t="s">
        <v>328</v>
      </c>
      <c r="AI21" s="170" t="s">
        <v>869</v>
      </c>
      <c r="AJ21" s="170" t="s">
        <v>11</v>
      </c>
      <c r="AK21" s="170">
        <v>11</v>
      </c>
      <c r="AL21" s="177"/>
      <c r="AO21" s="178"/>
      <c r="AP21" s="177"/>
      <c r="AS21" s="178"/>
      <c r="AW21" s="178"/>
      <c r="BA21" s="179"/>
    </row>
    <row r="22" spans="1:53" s="170" customFormat="1" x14ac:dyDescent="0.15">
      <c r="A22" s="215">
        <v>1967</v>
      </c>
      <c r="B22" s="281"/>
      <c r="C22" s="395" t="s">
        <v>415</v>
      </c>
      <c r="D22" s="395"/>
      <c r="E22" s="170">
        <v>363</v>
      </c>
      <c r="G22" s="232">
        <v>3</v>
      </c>
      <c r="H22" s="170">
        <v>2</v>
      </c>
      <c r="I22" s="170">
        <v>2</v>
      </c>
      <c r="J22" s="240">
        <v>7</v>
      </c>
      <c r="K22" s="213">
        <f t="shared" si="1"/>
        <v>42.857142857142854</v>
      </c>
      <c r="L22" s="213">
        <f t="shared" si="1"/>
        <v>28.571428571428569</v>
      </c>
      <c r="M22" s="213">
        <f t="shared" si="1"/>
        <v>28.571428571428569</v>
      </c>
      <c r="N22" s="234">
        <f t="shared" si="3"/>
        <v>99.999999999999986</v>
      </c>
      <c r="O22" s="212">
        <v>36.5</v>
      </c>
      <c r="P22" s="213">
        <v>24</v>
      </c>
      <c r="Q22" s="213">
        <v>26.5</v>
      </c>
      <c r="R22" s="214">
        <f t="shared" si="2"/>
        <v>87</v>
      </c>
      <c r="S22" s="170">
        <v>3</v>
      </c>
      <c r="T22" s="283"/>
      <c r="U22" s="281"/>
      <c r="V22" s="177" t="s">
        <v>131</v>
      </c>
      <c r="W22" s="170" t="s">
        <v>22</v>
      </c>
      <c r="X22" s="170" t="s">
        <v>11</v>
      </c>
      <c r="Y22" s="178">
        <v>25.5</v>
      </c>
      <c r="Z22" s="170" t="s">
        <v>80</v>
      </c>
      <c r="AA22" s="170" t="s">
        <v>17</v>
      </c>
      <c r="AB22" s="170" t="s">
        <v>18</v>
      </c>
      <c r="AC22" s="170">
        <v>24</v>
      </c>
      <c r="AD22" s="177" t="s">
        <v>454</v>
      </c>
      <c r="AE22" s="170" t="s">
        <v>20</v>
      </c>
      <c r="AF22" s="170" t="s">
        <v>12</v>
      </c>
      <c r="AG22" s="178">
        <v>26.5</v>
      </c>
      <c r="AH22" s="170" t="s">
        <v>328</v>
      </c>
      <c r="AI22" s="170" t="s">
        <v>869</v>
      </c>
      <c r="AJ22" s="170" t="s">
        <v>11</v>
      </c>
      <c r="AK22" s="170">
        <v>11</v>
      </c>
      <c r="AL22" s="177"/>
      <c r="AO22" s="178"/>
      <c r="AP22" s="177"/>
      <c r="AS22" s="178"/>
      <c r="AW22" s="178"/>
      <c r="BA22" s="179"/>
    </row>
    <row r="23" spans="1:53" s="28" customFormat="1" x14ac:dyDescent="0.15">
      <c r="A23" s="51">
        <v>1967</v>
      </c>
      <c r="B23" s="293">
        <v>24836</v>
      </c>
      <c r="C23" s="394" t="s">
        <v>813</v>
      </c>
      <c r="D23" s="394"/>
      <c r="E23" s="28">
        <f>365-E22</f>
        <v>2</v>
      </c>
      <c r="F23" s="28">
        <v>1</v>
      </c>
      <c r="G23" s="65">
        <v>3</v>
      </c>
      <c r="H23" s="28">
        <v>2</v>
      </c>
      <c r="I23" s="28">
        <v>2</v>
      </c>
      <c r="J23" s="72">
        <v>7</v>
      </c>
      <c r="K23" s="46">
        <f t="shared" si="1"/>
        <v>42.857142857142854</v>
      </c>
      <c r="L23" s="46">
        <f t="shared" si="1"/>
        <v>28.571428571428569</v>
      </c>
      <c r="M23" s="46">
        <f t="shared" si="1"/>
        <v>28.571428571428569</v>
      </c>
      <c r="N23" s="67">
        <f t="shared" si="3"/>
        <v>99.999999999999986</v>
      </c>
      <c r="O23" s="45">
        <v>35</v>
      </c>
      <c r="P23" s="46">
        <v>22.5</v>
      </c>
      <c r="Q23" s="46">
        <v>25.5</v>
      </c>
      <c r="R23" s="47">
        <f t="shared" si="2"/>
        <v>83</v>
      </c>
      <c r="S23" s="28">
        <v>3</v>
      </c>
      <c r="T23" s="284">
        <v>24774</v>
      </c>
      <c r="U23" s="293">
        <v>24836</v>
      </c>
      <c r="V23" s="37" t="s">
        <v>131</v>
      </c>
      <c r="W23" s="28" t="s">
        <v>22</v>
      </c>
      <c r="X23" s="28" t="s">
        <v>11</v>
      </c>
      <c r="Y23" s="38">
        <v>24.5</v>
      </c>
      <c r="Z23" s="28" t="s">
        <v>80</v>
      </c>
      <c r="AA23" s="28" t="s">
        <v>17</v>
      </c>
      <c r="AB23" s="28" t="s">
        <v>18</v>
      </c>
      <c r="AC23" s="28">
        <v>22.5</v>
      </c>
      <c r="AD23" s="37" t="s">
        <v>454</v>
      </c>
      <c r="AE23" s="28" t="s">
        <v>20</v>
      </c>
      <c r="AF23" s="28" t="s">
        <v>12</v>
      </c>
      <c r="AG23" s="38">
        <v>25.5</v>
      </c>
      <c r="AH23" s="28" t="s">
        <v>328</v>
      </c>
      <c r="AI23" s="28" t="s">
        <v>869</v>
      </c>
      <c r="AJ23" s="28" t="s">
        <v>11</v>
      </c>
      <c r="AK23" s="28">
        <v>10.5</v>
      </c>
      <c r="AL23" s="37"/>
      <c r="AO23" s="38"/>
      <c r="AP23" s="37"/>
      <c r="AS23" s="38"/>
      <c r="AW23" s="38"/>
      <c r="BA23" s="39"/>
    </row>
    <row r="24" spans="1:53" s="28" customFormat="1" x14ac:dyDescent="0.15">
      <c r="A24" s="51">
        <v>1968</v>
      </c>
      <c r="B24" s="293"/>
      <c r="C24" s="394" t="s">
        <v>813</v>
      </c>
      <c r="D24" s="394"/>
      <c r="E24" s="28">
        <v>0</v>
      </c>
      <c r="G24" s="65">
        <v>3</v>
      </c>
      <c r="H24" s="28">
        <v>2</v>
      </c>
      <c r="I24" s="28">
        <v>2</v>
      </c>
      <c r="J24" s="72">
        <v>7</v>
      </c>
      <c r="K24" s="46">
        <f t="shared" ref="K24:M59" si="4">G24/$J24*100</f>
        <v>42.857142857142854</v>
      </c>
      <c r="L24" s="46">
        <f t="shared" si="4"/>
        <v>28.571428571428569</v>
      </c>
      <c r="M24" s="46">
        <f t="shared" si="4"/>
        <v>28.571428571428569</v>
      </c>
      <c r="N24" s="67">
        <f t="shared" si="3"/>
        <v>99.999999999999986</v>
      </c>
      <c r="O24" s="45">
        <v>35</v>
      </c>
      <c r="P24" s="46">
        <v>22.5</v>
      </c>
      <c r="Q24" s="46">
        <v>25.5</v>
      </c>
      <c r="R24" s="47">
        <f t="shared" si="2"/>
        <v>83</v>
      </c>
      <c r="S24" s="28">
        <v>3</v>
      </c>
      <c r="T24" s="284"/>
      <c r="U24" s="293"/>
      <c r="V24" s="37" t="s">
        <v>131</v>
      </c>
      <c r="W24" s="28" t="s">
        <v>22</v>
      </c>
      <c r="X24" s="28" t="s">
        <v>11</v>
      </c>
      <c r="Y24" s="38">
        <v>24.5</v>
      </c>
      <c r="Z24" s="28" t="s">
        <v>80</v>
      </c>
      <c r="AA24" s="28" t="s">
        <v>17</v>
      </c>
      <c r="AB24" s="28" t="s">
        <v>18</v>
      </c>
      <c r="AC24" s="28">
        <v>22.5</v>
      </c>
      <c r="AD24" s="37" t="s">
        <v>454</v>
      </c>
      <c r="AE24" s="28" t="s">
        <v>20</v>
      </c>
      <c r="AF24" s="28" t="s">
        <v>12</v>
      </c>
      <c r="AG24" s="38">
        <v>25.5</v>
      </c>
      <c r="AH24" s="28" t="s">
        <v>328</v>
      </c>
      <c r="AI24" s="28" t="s">
        <v>869</v>
      </c>
      <c r="AJ24" s="28" t="s">
        <v>11</v>
      </c>
      <c r="AK24" s="28">
        <v>10.5</v>
      </c>
      <c r="AL24" s="37"/>
      <c r="AO24" s="38"/>
      <c r="AP24" s="37"/>
      <c r="AS24" s="38"/>
      <c r="AW24" s="38"/>
      <c r="BA24" s="39"/>
    </row>
    <row r="25" spans="1:53" s="28" customFormat="1" x14ac:dyDescent="0.15">
      <c r="A25" s="51">
        <v>1968</v>
      </c>
      <c r="B25" s="293"/>
      <c r="C25" s="394" t="s">
        <v>851</v>
      </c>
      <c r="D25" s="394"/>
      <c r="E25" s="28">
        <v>366</v>
      </c>
      <c r="F25" s="28">
        <v>1</v>
      </c>
      <c r="G25" s="65">
        <v>3</v>
      </c>
      <c r="H25" s="28">
        <v>2</v>
      </c>
      <c r="I25" s="28">
        <v>2</v>
      </c>
      <c r="J25" s="72">
        <v>7</v>
      </c>
      <c r="K25" s="46">
        <f t="shared" si="4"/>
        <v>42.857142857142854</v>
      </c>
      <c r="L25" s="46">
        <f t="shared" si="4"/>
        <v>28.571428571428569</v>
      </c>
      <c r="M25" s="46">
        <f t="shared" si="4"/>
        <v>28.571428571428569</v>
      </c>
      <c r="N25" s="67">
        <f t="shared" si="3"/>
        <v>99.999999999999986</v>
      </c>
      <c r="O25" s="45">
        <v>35</v>
      </c>
      <c r="P25" s="46">
        <v>22.5</v>
      </c>
      <c r="Q25" s="46">
        <v>25.5</v>
      </c>
      <c r="R25" s="47">
        <f t="shared" si="2"/>
        <v>83</v>
      </c>
      <c r="S25" s="28">
        <v>3</v>
      </c>
      <c r="T25" s="284"/>
      <c r="U25" s="293"/>
      <c r="V25" s="37" t="s">
        <v>131</v>
      </c>
      <c r="W25" s="28" t="s">
        <v>22</v>
      </c>
      <c r="X25" s="28" t="s">
        <v>11</v>
      </c>
      <c r="Y25" s="38">
        <v>24.5</v>
      </c>
      <c r="Z25" s="28" t="s">
        <v>80</v>
      </c>
      <c r="AA25" s="28" t="s">
        <v>17</v>
      </c>
      <c r="AB25" s="28" t="s">
        <v>18</v>
      </c>
      <c r="AC25" s="28">
        <v>22.5</v>
      </c>
      <c r="AD25" s="37" t="s">
        <v>454</v>
      </c>
      <c r="AE25" s="28" t="s">
        <v>20</v>
      </c>
      <c r="AF25" s="28" t="s">
        <v>12</v>
      </c>
      <c r="AG25" s="38">
        <v>25.5</v>
      </c>
      <c r="AH25" s="28" t="s">
        <v>328</v>
      </c>
      <c r="AI25" s="28" t="s">
        <v>869</v>
      </c>
      <c r="AJ25" s="28" t="s">
        <v>11</v>
      </c>
      <c r="AK25" s="28">
        <v>10.5</v>
      </c>
      <c r="AL25" s="37"/>
      <c r="AO25" s="38"/>
      <c r="AP25" s="37"/>
      <c r="AS25" s="38"/>
      <c r="AW25" s="38"/>
      <c r="BA25" s="39"/>
    </row>
    <row r="26" spans="1:53" s="28" customFormat="1" x14ac:dyDescent="0.15">
      <c r="A26" s="51">
        <v>1969</v>
      </c>
      <c r="B26" s="293"/>
      <c r="C26" s="394" t="s">
        <v>851</v>
      </c>
      <c r="D26" s="394"/>
      <c r="E26" s="28">
        <v>0</v>
      </c>
      <c r="G26" s="65">
        <v>3</v>
      </c>
      <c r="H26" s="28">
        <v>2</v>
      </c>
      <c r="I26" s="28">
        <v>2</v>
      </c>
      <c r="J26" s="72">
        <v>7</v>
      </c>
      <c r="K26" s="46">
        <f t="shared" si="4"/>
        <v>42.857142857142854</v>
      </c>
      <c r="L26" s="46">
        <f t="shared" si="4"/>
        <v>28.571428571428569</v>
      </c>
      <c r="M26" s="46">
        <f t="shared" si="4"/>
        <v>28.571428571428569</v>
      </c>
      <c r="N26" s="67">
        <f t="shared" si="3"/>
        <v>99.999999999999986</v>
      </c>
      <c r="O26" s="45">
        <v>35</v>
      </c>
      <c r="P26" s="46">
        <v>22.5</v>
      </c>
      <c r="Q26" s="46">
        <v>25.5</v>
      </c>
      <c r="R26" s="47">
        <f t="shared" si="2"/>
        <v>83</v>
      </c>
      <c r="S26" s="28">
        <v>3</v>
      </c>
      <c r="T26" s="284"/>
      <c r="U26" s="293"/>
      <c r="V26" s="37" t="s">
        <v>131</v>
      </c>
      <c r="W26" s="28" t="s">
        <v>22</v>
      </c>
      <c r="X26" s="28" t="s">
        <v>11</v>
      </c>
      <c r="Y26" s="38">
        <v>24.5</v>
      </c>
      <c r="Z26" s="28" t="s">
        <v>80</v>
      </c>
      <c r="AA26" s="28" t="s">
        <v>17</v>
      </c>
      <c r="AB26" s="28" t="s">
        <v>18</v>
      </c>
      <c r="AC26" s="28">
        <v>22.5</v>
      </c>
      <c r="AD26" s="37" t="s">
        <v>454</v>
      </c>
      <c r="AE26" s="28" t="s">
        <v>20</v>
      </c>
      <c r="AF26" s="28" t="s">
        <v>12</v>
      </c>
      <c r="AG26" s="38">
        <v>25.5</v>
      </c>
      <c r="AH26" s="28" t="s">
        <v>328</v>
      </c>
      <c r="AI26" s="28" t="s">
        <v>869</v>
      </c>
      <c r="AJ26" s="28" t="s">
        <v>11</v>
      </c>
      <c r="AK26" s="28">
        <v>10.5</v>
      </c>
      <c r="AL26" s="37"/>
      <c r="AO26" s="38"/>
      <c r="AP26" s="37"/>
      <c r="AS26" s="38"/>
      <c r="AW26" s="38"/>
      <c r="BA26" s="39"/>
    </row>
    <row r="27" spans="1:53" s="28" customFormat="1" x14ac:dyDescent="0.15">
      <c r="A27" s="51">
        <v>1969</v>
      </c>
      <c r="B27" s="293"/>
      <c r="C27" s="394" t="s">
        <v>456</v>
      </c>
      <c r="D27" s="394"/>
      <c r="E27" s="28">
        <v>365</v>
      </c>
      <c r="F27" s="28">
        <v>1</v>
      </c>
      <c r="G27" s="65">
        <v>3</v>
      </c>
      <c r="H27" s="28">
        <v>2</v>
      </c>
      <c r="I27" s="28">
        <v>2</v>
      </c>
      <c r="J27" s="72">
        <v>7</v>
      </c>
      <c r="K27" s="46">
        <f t="shared" si="4"/>
        <v>42.857142857142854</v>
      </c>
      <c r="L27" s="46">
        <f t="shared" si="4"/>
        <v>28.571428571428569</v>
      </c>
      <c r="M27" s="46">
        <f t="shared" si="4"/>
        <v>28.571428571428569</v>
      </c>
      <c r="N27" s="67">
        <f t="shared" si="3"/>
        <v>99.999999999999986</v>
      </c>
      <c r="O27" s="45">
        <v>35</v>
      </c>
      <c r="P27" s="46">
        <v>22.5</v>
      </c>
      <c r="Q27" s="46">
        <v>25.5</v>
      </c>
      <c r="R27" s="47">
        <f t="shared" si="2"/>
        <v>83</v>
      </c>
      <c r="S27" s="28">
        <v>3</v>
      </c>
      <c r="T27" s="284"/>
      <c r="U27" s="293"/>
      <c r="V27" s="37" t="s">
        <v>131</v>
      </c>
      <c r="W27" s="28" t="s">
        <v>22</v>
      </c>
      <c r="X27" s="28" t="s">
        <v>11</v>
      </c>
      <c r="Y27" s="38">
        <v>24.5</v>
      </c>
      <c r="Z27" s="28" t="s">
        <v>80</v>
      </c>
      <c r="AA27" s="28" t="s">
        <v>17</v>
      </c>
      <c r="AB27" s="28" t="s">
        <v>18</v>
      </c>
      <c r="AC27" s="28">
        <v>22.5</v>
      </c>
      <c r="AD27" s="37" t="s">
        <v>454</v>
      </c>
      <c r="AE27" s="28" t="s">
        <v>20</v>
      </c>
      <c r="AF27" s="28" t="s">
        <v>12</v>
      </c>
      <c r="AG27" s="38">
        <v>25.5</v>
      </c>
      <c r="AH27" s="28" t="s">
        <v>328</v>
      </c>
      <c r="AI27" s="28" t="s">
        <v>869</v>
      </c>
      <c r="AJ27" s="28" t="s">
        <v>11</v>
      </c>
      <c r="AK27" s="28">
        <v>10.5</v>
      </c>
      <c r="AL27" s="37"/>
      <c r="AO27" s="38"/>
      <c r="AP27" s="37"/>
      <c r="AS27" s="38"/>
      <c r="AW27" s="38"/>
      <c r="BA27" s="39"/>
    </row>
    <row r="28" spans="1:53" s="28" customFormat="1" x14ac:dyDescent="0.15">
      <c r="A28" s="51">
        <v>1970</v>
      </c>
      <c r="B28" s="293"/>
      <c r="C28" s="394" t="s">
        <v>456</v>
      </c>
      <c r="D28" s="394"/>
      <c r="E28" s="28">
        <v>0</v>
      </c>
      <c r="G28" s="65">
        <v>3</v>
      </c>
      <c r="H28" s="28">
        <v>2</v>
      </c>
      <c r="I28" s="28">
        <v>2</v>
      </c>
      <c r="J28" s="72">
        <v>7</v>
      </c>
      <c r="K28" s="46">
        <f t="shared" si="4"/>
        <v>42.857142857142854</v>
      </c>
      <c r="L28" s="46">
        <f t="shared" si="4"/>
        <v>28.571428571428569</v>
      </c>
      <c r="M28" s="46">
        <f t="shared" si="4"/>
        <v>28.571428571428569</v>
      </c>
      <c r="N28" s="67">
        <f t="shared" si="3"/>
        <v>99.999999999999986</v>
      </c>
      <c r="O28" s="45">
        <v>35</v>
      </c>
      <c r="P28" s="46">
        <v>22.5</v>
      </c>
      <c r="Q28" s="46">
        <v>25.5</v>
      </c>
      <c r="R28" s="47">
        <f t="shared" si="2"/>
        <v>83</v>
      </c>
      <c r="S28" s="28">
        <v>3</v>
      </c>
      <c r="T28" s="284"/>
      <c r="U28" s="293"/>
      <c r="V28" s="37" t="s">
        <v>131</v>
      </c>
      <c r="W28" s="28" t="s">
        <v>22</v>
      </c>
      <c r="X28" s="28" t="s">
        <v>11</v>
      </c>
      <c r="Y28" s="38">
        <v>24.5</v>
      </c>
      <c r="Z28" s="28" t="s">
        <v>80</v>
      </c>
      <c r="AA28" s="28" t="s">
        <v>17</v>
      </c>
      <c r="AB28" s="28" t="s">
        <v>18</v>
      </c>
      <c r="AC28" s="28">
        <v>22.5</v>
      </c>
      <c r="AD28" s="37" t="s">
        <v>454</v>
      </c>
      <c r="AE28" s="28" t="s">
        <v>20</v>
      </c>
      <c r="AF28" s="28" t="s">
        <v>12</v>
      </c>
      <c r="AG28" s="38">
        <v>25.5</v>
      </c>
      <c r="AH28" s="28" t="s">
        <v>328</v>
      </c>
      <c r="AI28" s="28" t="s">
        <v>869</v>
      </c>
      <c r="AJ28" s="28" t="s">
        <v>11</v>
      </c>
      <c r="AK28" s="28">
        <v>10.5</v>
      </c>
      <c r="AL28" s="37"/>
      <c r="AO28" s="38"/>
      <c r="AP28" s="37"/>
      <c r="AS28" s="38"/>
      <c r="AW28" s="38"/>
      <c r="BA28" s="39"/>
    </row>
    <row r="29" spans="1:53" s="28" customFormat="1" x14ac:dyDescent="0.15">
      <c r="A29" s="51">
        <v>1970</v>
      </c>
      <c r="B29" s="293"/>
      <c r="C29" s="394" t="s">
        <v>417</v>
      </c>
      <c r="D29" s="394"/>
      <c r="E29" s="28">
        <v>365</v>
      </c>
      <c r="F29" s="28">
        <v>1</v>
      </c>
      <c r="G29" s="65">
        <v>3</v>
      </c>
      <c r="H29" s="28">
        <v>2</v>
      </c>
      <c r="I29" s="28">
        <v>2</v>
      </c>
      <c r="J29" s="72">
        <v>7</v>
      </c>
      <c r="K29" s="46">
        <f t="shared" si="4"/>
        <v>42.857142857142854</v>
      </c>
      <c r="L29" s="46">
        <f t="shared" si="4"/>
        <v>28.571428571428569</v>
      </c>
      <c r="M29" s="46">
        <f t="shared" si="4"/>
        <v>28.571428571428569</v>
      </c>
      <c r="N29" s="67">
        <f t="shared" si="3"/>
        <v>99.999999999999986</v>
      </c>
      <c r="O29" s="45">
        <v>35</v>
      </c>
      <c r="P29" s="46">
        <v>22.5</v>
      </c>
      <c r="Q29" s="46">
        <v>25.5</v>
      </c>
      <c r="R29" s="47">
        <f t="shared" si="2"/>
        <v>83</v>
      </c>
      <c r="S29" s="28">
        <v>3</v>
      </c>
      <c r="T29" s="284"/>
      <c r="U29" s="293"/>
      <c r="V29" s="37" t="s">
        <v>131</v>
      </c>
      <c r="W29" s="28" t="s">
        <v>22</v>
      </c>
      <c r="X29" s="28" t="s">
        <v>11</v>
      </c>
      <c r="Y29" s="38">
        <v>24.5</v>
      </c>
      <c r="Z29" s="28" t="s">
        <v>80</v>
      </c>
      <c r="AA29" s="28" t="s">
        <v>17</v>
      </c>
      <c r="AB29" s="28" t="s">
        <v>18</v>
      </c>
      <c r="AC29" s="28">
        <v>22.5</v>
      </c>
      <c r="AD29" s="37" t="s">
        <v>454</v>
      </c>
      <c r="AE29" s="28" t="s">
        <v>20</v>
      </c>
      <c r="AF29" s="28" t="s">
        <v>12</v>
      </c>
      <c r="AG29" s="38">
        <v>25.5</v>
      </c>
      <c r="AH29" s="28" t="s">
        <v>328</v>
      </c>
      <c r="AI29" s="28" t="s">
        <v>869</v>
      </c>
      <c r="AJ29" s="28" t="s">
        <v>11</v>
      </c>
      <c r="AK29" s="28">
        <v>10.5</v>
      </c>
      <c r="AL29" s="37"/>
      <c r="AO29" s="38"/>
      <c r="AP29" s="37"/>
      <c r="AS29" s="38"/>
      <c r="AW29" s="38"/>
      <c r="BA29" s="39"/>
    </row>
    <row r="30" spans="1:53" s="28" customFormat="1" x14ac:dyDescent="0.15">
      <c r="A30" s="51">
        <v>1971</v>
      </c>
      <c r="B30" s="293"/>
      <c r="C30" s="394" t="s">
        <v>417</v>
      </c>
      <c r="D30" s="394"/>
      <c r="E30" s="28">
        <v>341</v>
      </c>
      <c r="G30" s="65">
        <v>3</v>
      </c>
      <c r="H30" s="28">
        <v>2</v>
      </c>
      <c r="I30" s="28">
        <v>2</v>
      </c>
      <c r="J30" s="72">
        <v>7</v>
      </c>
      <c r="K30" s="46">
        <f t="shared" si="4"/>
        <v>42.857142857142854</v>
      </c>
      <c r="L30" s="46">
        <f t="shared" si="4"/>
        <v>28.571428571428569</v>
      </c>
      <c r="M30" s="46">
        <f t="shared" si="4"/>
        <v>28.571428571428569</v>
      </c>
      <c r="N30" s="67">
        <f t="shared" si="3"/>
        <v>99.999999999999986</v>
      </c>
      <c r="O30" s="45">
        <v>35</v>
      </c>
      <c r="P30" s="46">
        <v>22.5</v>
      </c>
      <c r="Q30" s="46">
        <v>25.5</v>
      </c>
      <c r="R30" s="47">
        <f t="shared" si="2"/>
        <v>83</v>
      </c>
      <c r="S30" s="28">
        <v>3</v>
      </c>
      <c r="T30" s="284"/>
      <c r="U30" s="293"/>
      <c r="V30" s="37" t="s">
        <v>131</v>
      </c>
      <c r="W30" s="28" t="s">
        <v>22</v>
      </c>
      <c r="X30" s="28" t="s">
        <v>11</v>
      </c>
      <c r="Y30" s="38">
        <v>24.5</v>
      </c>
      <c r="Z30" s="28" t="s">
        <v>80</v>
      </c>
      <c r="AA30" s="28" t="s">
        <v>17</v>
      </c>
      <c r="AB30" s="28" t="s">
        <v>18</v>
      </c>
      <c r="AC30" s="28">
        <v>22.5</v>
      </c>
      <c r="AD30" s="37" t="s">
        <v>454</v>
      </c>
      <c r="AE30" s="28" t="s">
        <v>20</v>
      </c>
      <c r="AF30" s="28" t="s">
        <v>12</v>
      </c>
      <c r="AG30" s="38">
        <v>25.5</v>
      </c>
      <c r="AH30" s="28" t="s">
        <v>328</v>
      </c>
      <c r="AI30" s="28" t="s">
        <v>869</v>
      </c>
      <c r="AJ30" s="28" t="s">
        <v>11</v>
      </c>
      <c r="AK30" s="28">
        <v>10.5</v>
      </c>
      <c r="AL30" s="37"/>
      <c r="AO30" s="38"/>
      <c r="AP30" s="37"/>
      <c r="AS30" s="38"/>
      <c r="AW30" s="38"/>
      <c r="BA30" s="39"/>
    </row>
    <row r="31" spans="1:53" s="170" customFormat="1" x14ac:dyDescent="0.15">
      <c r="A31" s="215">
        <v>1971</v>
      </c>
      <c r="B31" s="281">
        <v>26275</v>
      </c>
      <c r="C31" s="395" t="s">
        <v>418</v>
      </c>
      <c r="D31" s="395"/>
      <c r="E31" s="170">
        <f xml:space="preserve"> 365-E30</f>
        <v>24</v>
      </c>
      <c r="F31" s="170">
        <v>1</v>
      </c>
      <c r="G31" s="232">
        <v>3</v>
      </c>
      <c r="H31" s="170">
        <v>2</v>
      </c>
      <c r="I31" s="170">
        <v>2</v>
      </c>
      <c r="J31" s="240">
        <v>7</v>
      </c>
      <c r="K31" s="213">
        <f t="shared" si="4"/>
        <v>42.857142857142854</v>
      </c>
      <c r="L31" s="213">
        <f t="shared" si="4"/>
        <v>28.571428571428569</v>
      </c>
      <c r="M31" s="213">
        <f t="shared" si="4"/>
        <v>28.571428571428569</v>
      </c>
      <c r="N31" s="234">
        <f t="shared" si="3"/>
        <v>99.999999999999986</v>
      </c>
      <c r="O31" s="212">
        <v>36</v>
      </c>
      <c r="P31" s="213">
        <v>22</v>
      </c>
      <c r="Q31" s="213">
        <v>23</v>
      </c>
      <c r="R31" s="214">
        <f t="shared" si="2"/>
        <v>81</v>
      </c>
      <c r="S31" s="170">
        <v>3</v>
      </c>
      <c r="T31" s="283">
        <v>26237</v>
      </c>
      <c r="U31" s="281">
        <v>26275</v>
      </c>
      <c r="V31" s="177" t="s">
        <v>131</v>
      </c>
      <c r="W31" s="170" t="s">
        <v>22</v>
      </c>
      <c r="X31" s="170" t="s">
        <v>11</v>
      </c>
      <c r="Y31" s="178">
        <v>24.5</v>
      </c>
      <c r="Z31" s="170" t="s">
        <v>80</v>
      </c>
      <c r="AA31" s="170" t="s">
        <v>17</v>
      </c>
      <c r="AB31" s="170" t="s">
        <v>18</v>
      </c>
      <c r="AC31" s="170">
        <v>22</v>
      </c>
      <c r="AD31" s="177" t="s">
        <v>454</v>
      </c>
      <c r="AE31" s="170" t="s">
        <v>20</v>
      </c>
      <c r="AF31" s="170" t="s">
        <v>12</v>
      </c>
      <c r="AG31" s="178">
        <v>23</v>
      </c>
      <c r="AH31" s="170" t="s">
        <v>328</v>
      </c>
      <c r="AI31" s="170" t="s">
        <v>869</v>
      </c>
      <c r="AJ31" s="170" t="s">
        <v>11</v>
      </c>
      <c r="AK31" s="170">
        <v>11.5</v>
      </c>
      <c r="AL31" s="177"/>
      <c r="AO31" s="178"/>
      <c r="AP31" s="177"/>
      <c r="AS31" s="178"/>
      <c r="AW31" s="178"/>
      <c r="BA31" s="179"/>
    </row>
    <row r="32" spans="1:53" s="170" customFormat="1" x14ac:dyDescent="0.15">
      <c r="A32" s="215">
        <v>1972</v>
      </c>
      <c r="B32" s="281"/>
      <c r="C32" s="395" t="s">
        <v>418</v>
      </c>
      <c r="D32" s="395"/>
      <c r="E32" s="170">
        <v>0</v>
      </c>
      <c r="G32" s="232">
        <v>3</v>
      </c>
      <c r="H32" s="170">
        <v>2</v>
      </c>
      <c r="I32" s="170">
        <v>2</v>
      </c>
      <c r="J32" s="240">
        <v>7</v>
      </c>
      <c r="K32" s="213">
        <f t="shared" si="4"/>
        <v>42.857142857142854</v>
      </c>
      <c r="L32" s="213">
        <f t="shared" si="4"/>
        <v>28.571428571428569</v>
      </c>
      <c r="M32" s="213">
        <f t="shared" si="4"/>
        <v>28.571428571428569</v>
      </c>
      <c r="N32" s="234">
        <f t="shared" si="3"/>
        <v>99.999999999999986</v>
      </c>
      <c r="O32" s="212">
        <v>36</v>
      </c>
      <c r="P32" s="213">
        <v>22</v>
      </c>
      <c r="Q32" s="213">
        <v>23</v>
      </c>
      <c r="R32" s="214">
        <f t="shared" si="2"/>
        <v>81</v>
      </c>
      <c r="S32" s="170">
        <v>3</v>
      </c>
      <c r="T32" s="283"/>
      <c r="U32" s="281"/>
      <c r="V32" s="177" t="s">
        <v>131</v>
      </c>
      <c r="W32" s="170" t="s">
        <v>22</v>
      </c>
      <c r="X32" s="170" t="s">
        <v>11</v>
      </c>
      <c r="Y32" s="178">
        <v>24.5</v>
      </c>
      <c r="Z32" s="170" t="s">
        <v>80</v>
      </c>
      <c r="AA32" s="170" t="s">
        <v>17</v>
      </c>
      <c r="AB32" s="170" t="s">
        <v>18</v>
      </c>
      <c r="AC32" s="170">
        <v>22</v>
      </c>
      <c r="AD32" s="177" t="s">
        <v>454</v>
      </c>
      <c r="AE32" s="170" t="s">
        <v>20</v>
      </c>
      <c r="AF32" s="170" t="s">
        <v>12</v>
      </c>
      <c r="AG32" s="178">
        <v>23</v>
      </c>
      <c r="AH32" s="170" t="s">
        <v>328</v>
      </c>
      <c r="AI32" s="170" t="s">
        <v>869</v>
      </c>
      <c r="AJ32" s="170" t="s">
        <v>11</v>
      </c>
      <c r="AK32" s="170">
        <v>11.5</v>
      </c>
      <c r="AL32" s="177"/>
      <c r="AO32" s="178"/>
      <c r="AP32" s="177"/>
      <c r="AS32" s="178"/>
      <c r="AW32" s="178"/>
      <c r="BA32" s="179"/>
    </row>
    <row r="33" spans="1:53" s="170" customFormat="1" x14ac:dyDescent="0.15">
      <c r="A33" s="215">
        <v>1972</v>
      </c>
      <c r="B33" s="281"/>
      <c r="C33" s="395" t="s">
        <v>419</v>
      </c>
      <c r="D33" s="395"/>
      <c r="E33" s="170">
        <v>366</v>
      </c>
      <c r="F33" s="170">
        <v>1</v>
      </c>
      <c r="G33" s="232">
        <v>3</v>
      </c>
      <c r="H33" s="170">
        <v>2</v>
      </c>
      <c r="I33" s="170">
        <v>2</v>
      </c>
      <c r="J33" s="240">
        <v>7</v>
      </c>
      <c r="K33" s="213">
        <f t="shared" si="4"/>
        <v>42.857142857142854</v>
      </c>
      <c r="L33" s="213">
        <f t="shared" si="4"/>
        <v>28.571428571428569</v>
      </c>
      <c r="M33" s="213">
        <f t="shared" si="4"/>
        <v>28.571428571428569</v>
      </c>
      <c r="N33" s="234">
        <f t="shared" si="3"/>
        <v>99.999999999999986</v>
      </c>
      <c r="O33" s="212">
        <v>36</v>
      </c>
      <c r="P33" s="213">
        <v>22</v>
      </c>
      <c r="Q33" s="213">
        <v>23</v>
      </c>
      <c r="R33" s="214">
        <f t="shared" si="2"/>
        <v>81</v>
      </c>
      <c r="S33" s="170">
        <v>3</v>
      </c>
      <c r="T33" s="283"/>
      <c r="U33" s="281"/>
      <c r="V33" s="177" t="s">
        <v>131</v>
      </c>
      <c r="W33" s="170" t="s">
        <v>22</v>
      </c>
      <c r="X33" s="170" t="s">
        <v>11</v>
      </c>
      <c r="Y33" s="178">
        <v>24.5</v>
      </c>
      <c r="Z33" s="170" t="s">
        <v>80</v>
      </c>
      <c r="AA33" s="170" t="s">
        <v>17</v>
      </c>
      <c r="AB33" s="170" t="s">
        <v>18</v>
      </c>
      <c r="AC33" s="170">
        <v>22</v>
      </c>
      <c r="AD33" s="177" t="s">
        <v>454</v>
      </c>
      <c r="AE33" s="170" t="s">
        <v>20</v>
      </c>
      <c r="AF33" s="170" t="s">
        <v>12</v>
      </c>
      <c r="AG33" s="178">
        <v>23</v>
      </c>
      <c r="AH33" s="170" t="s">
        <v>328</v>
      </c>
      <c r="AI33" s="170" t="s">
        <v>869</v>
      </c>
      <c r="AJ33" s="170" t="s">
        <v>11</v>
      </c>
      <c r="AK33" s="170">
        <v>11.5</v>
      </c>
      <c r="AL33" s="177"/>
      <c r="AO33" s="178"/>
      <c r="AP33" s="177"/>
      <c r="AS33" s="178"/>
      <c r="AW33" s="178"/>
      <c r="BA33" s="179"/>
    </row>
    <row r="34" spans="1:53" s="170" customFormat="1" x14ac:dyDescent="0.15">
      <c r="A34" s="215">
        <v>1973</v>
      </c>
      <c r="B34" s="281"/>
      <c r="C34" s="395" t="s">
        <v>419</v>
      </c>
      <c r="D34" s="395"/>
      <c r="E34" s="170">
        <v>0</v>
      </c>
      <c r="G34" s="232">
        <v>3</v>
      </c>
      <c r="H34" s="170">
        <v>2</v>
      </c>
      <c r="I34" s="170">
        <v>2</v>
      </c>
      <c r="J34" s="240">
        <v>7</v>
      </c>
      <c r="K34" s="213">
        <f t="shared" si="4"/>
        <v>42.857142857142854</v>
      </c>
      <c r="L34" s="213">
        <f t="shared" si="4"/>
        <v>28.571428571428569</v>
      </c>
      <c r="M34" s="213">
        <f t="shared" si="4"/>
        <v>28.571428571428569</v>
      </c>
      <c r="N34" s="234">
        <f t="shared" si="3"/>
        <v>99.999999999999986</v>
      </c>
      <c r="O34" s="212">
        <v>36</v>
      </c>
      <c r="P34" s="213">
        <v>22</v>
      </c>
      <c r="Q34" s="213">
        <v>23</v>
      </c>
      <c r="R34" s="214">
        <f t="shared" si="2"/>
        <v>81</v>
      </c>
      <c r="S34" s="170">
        <v>3</v>
      </c>
      <c r="T34" s="283"/>
      <c r="U34" s="281"/>
      <c r="V34" s="177" t="s">
        <v>131</v>
      </c>
      <c r="W34" s="170" t="s">
        <v>22</v>
      </c>
      <c r="X34" s="170" t="s">
        <v>11</v>
      </c>
      <c r="Y34" s="178">
        <v>24.5</v>
      </c>
      <c r="Z34" s="170" t="s">
        <v>80</v>
      </c>
      <c r="AA34" s="170" t="s">
        <v>17</v>
      </c>
      <c r="AB34" s="170" t="s">
        <v>18</v>
      </c>
      <c r="AC34" s="170">
        <v>22</v>
      </c>
      <c r="AD34" s="177" t="s">
        <v>454</v>
      </c>
      <c r="AE34" s="170" t="s">
        <v>20</v>
      </c>
      <c r="AF34" s="170" t="s">
        <v>12</v>
      </c>
      <c r="AG34" s="178">
        <v>23</v>
      </c>
      <c r="AH34" s="170" t="s">
        <v>328</v>
      </c>
      <c r="AI34" s="170" t="s">
        <v>869</v>
      </c>
      <c r="AJ34" s="170" t="s">
        <v>11</v>
      </c>
      <c r="AK34" s="170">
        <v>11.5</v>
      </c>
      <c r="AL34" s="177"/>
      <c r="AO34" s="178"/>
      <c r="AP34" s="177"/>
      <c r="AS34" s="178"/>
      <c r="AW34" s="178"/>
      <c r="BA34" s="179"/>
    </row>
    <row r="35" spans="1:53" s="170" customFormat="1" x14ac:dyDescent="0.15">
      <c r="A35" s="215">
        <v>1973</v>
      </c>
      <c r="B35" s="281"/>
      <c r="C35" s="395" t="s">
        <v>420</v>
      </c>
      <c r="D35" s="395"/>
      <c r="E35" s="170">
        <v>365</v>
      </c>
      <c r="F35" s="170">
        <v>1</v>
      </c>
      <c r="G35" s="232">
        <v>3</v>
      </c>
      <c r="H35" s="170">
        <v>2</v>
      </c>
      <c r="I35" s="170">
        <v>2</v>
      </c>
      <c r="J35" s="240">
        <v>7</v>
      </c>
      <c r="K35" s="213">
        <f t="shared" si="4"/>
        <v>42.857142857142854</v>
      </c>
      <c r="L35" s="213">
        <f t="shared" si="4"/>
        <v>28.571428571428569</v>
      </c>
      <c r="M35" s="213">
        <f t="shared" si="4"/>
        <v>28.571428571428569</v>
      </c>
      <c r="N35" s="234">
        <f t="shared" si="3"/>
        <v>99.999999999999986</v>
      </c>
      <c r="O35" s="212">
        <v>36</v>
      </c>
      <c r="P35" s="213">
        <v>22</v>
      </c>
      <c r="Q35" s="213">
        <v>23</v>
      </c>
      <c r="R35" s="214">
        <f t="shared" si="2"/>
        <v>81</v>
      </c>
      <c r="S35" s="170">
        <v>3</v>
      </c>
      <c r="T35" s="283"/>
      <c r="U35" s="281"/>
      <c r="V35" s="177" t="s">
        <v>131</v>
      </c>
      <c r="W35" s="170" t="s">
        <v>22</v>
      </c>
      <c r="X35" s="170" t="s">
        <v>11</v>
      </c>
      <c r="Y35" s="178">
        <v>24.5</v>
      </c>
      <c r="Z35" s="170" t="s">
        <v>80</v>
      </c>
      <c r="AA35" s="170" t="s">
        <v>17</v>
      </c>
      <c r="AB35" s="170" t="s">
        <v>18</v>
      </c>
      <c r="AC35" s="170">
        <v>22</v>
      </c>
      <c r="AD35" s="177" t="s">
        <v>454</v>
      </c>
      <c r="AE35" s="170" t="s">
        <v>20</v>
      </c>
      <c r="AF35" s="170" t="s">
        <v>12</v>
      </c>
      <c r="AG35" s="178">
        <v>23</v>
      </c>
      <c r="AH35" s="170" t="s">
        <v>328</v>
      </c>
      <c r="AI35" s="170" t="s">
        <v>869</v>
      </c>
      <c r="AJ35" s="170" t="s">
        <v>11</v>
      </c>
      <c r="AK35" s="170">
        <v>11.5</v>
      </c>
      <c r="AL35" s="177"/>
      <c r="AO35" s="178"/>
      <c r="AP35" s="177"/>
      <c r="AS35" s="178"/>
      <c r="AW35" s="178"/>
      <c r="BA35" s="179"/>
    </row>
    <row r="36" spans="1:53" s="170" customFormat="1" x14ac:dyDescent="0.15">
      <c r="A36" s="215">
        <v>1974</v>
      </c>
      <c r="B36" s="281"/>
      <c r="C36" s="395" t="s">
        <v>420</v>
      </c>
      <c r="D36" s="395"/>
      <c r="E36" s="170">
        <v>0</v>
      </c>
      <c r="G36" s="232">
        <v>3</v>
      </c>
      <c r="H36" s="170">
        <v>2</v>
      </c>
      <c r="I36" s="170">
        <v>2</v>
      </c>
      <c r="J36" s="240">
        <v>7</v>
      </c>
      <c r="K36" s="213">
        <f t="shared" si="4"/>
        <v>42.857142857142854</v>
      </c>
      <c r="L36" s="213">
        <f t="shared" si="4"/>
        <v>28.571428571428569</v>
      </c>
      <c r="M36" s="213">
        <f t="shared" si="4"/>
        <v>28.571428571428569</v>
      </c>
      <c r="N36" s="234">
        <f t="shared" si="3"/>
        <v>99.999999999999986</v>
      </c>
      <c r="O36" s="212">
        <v>36</v>
      </c>
      <c r="P36" s="213">
        <v>22</v>
      </c>
      <c r="Q36" s="213">
        <v>23</v>
      </c>
      <c r="R36" s="214">
        <f t="shared" si="2"/>
        <v>81</v>
      </c>
      <c r="S36" s="170">
        <v>3</v>
      </c>
      <c r="T36" s="283"/>
      <c r="U36" s="281"/>
      <c r="V36" s="177" t="s">
        <v>131</v>
      </c>
      <c r="W36" s="170" t="s">
        <v>22</v>
      </c>
      <c r="X36" s="170" t="s">
        <v>11</v>
      </c>
      <c r="Y36" s="178">
        <v>24.5</v>
      </c>
      <c r="Z36" s="170" t="s">
        <v>80</v>
      </c>
      <c r="AA36" s="170" t="s">
        <v>17</v>
      </c>
      <c r="AB36" s="170" t="s">
        <v>18</v>
      </c>
      <c r="AC36" s="170">
        <v>22</v>
      </c>
      <c r="AD36" s="177" t="s">
        <v>454</v>
      </c>
      <c r="AE36" s="170" t="s">
        <v>20</v>
      </c>
      <c r="AF36" s="170" t="s">
        <v>12</v>
      </c>
      <c r="AG36" s="178">
        <v>23</v>
      </c>
      <c r="AH36" s="170" t="s">
        <v>328</v>
      </c>
      <c r="AI36" s="170" t="s">
        <v>869</v>
      </c>
      <c r="AJ36" s="170" t="s">
        <v>11</v>
      </c>
      <c r="AK36" s="170">
        <v>11.5</v>
      </c>
      <c r="AL36" s="177"/>
      <c r="AO36" s="178"/>
      <c r="AP36" s="177"/>
      <c r="AS36" s="178"/>
      <c r="AW36" s="178"/>
      <c r="BA36" s="179"/>
    </row>
    <row r="37" spans="1:53" s="170" customFormat="1" x14ac:dyDescent="0.15">
      <c r="A37" s="215">
        <v>1974</v>
      </c>
      <c r="B37" s="281"/>
      <c r="C37" s="395" t="s">
        <v>457</v>
      </c>
      <c r="D37" s="395"/>
      <c r="E37" s="170">
        <v>365</v>
      </c>
      <c r="F37" s="170">
        <v>1</v>
      </c>
      <c r="G37" s="232">
        <v>3</v>
      </c>
      <c r="H37" s="170">
        <v>2</v>
      </c>
      <c r="I37" s="170">
        <v>2</v>
      </c>
      <c r="J37" s="240">
        <v>7</v>
      </c>
      <c r="K37" s="213">
        <f t="shared" si="4"/>
        <v>42.857142857142854</v>
      </c>
      <c r="L37" s="213">
        <f t="shared" si="4"/>
        <v>28.571428571428569</v>
      </c>
      <c r="M37" s="213">
        <f t="shared" si="4"/>
        <v>28.571428571428569</v>
      </c>
      <c r="N37" s="234">
        <f t="shared" si="3"/>
        <v>99.999999999999986</v>
      </c>
      <c r="O37" s="212">
        <v>36</v>
      </c>
      <c r="P37" s="213">
        <v>22</v>
      </c>
      <c r="Q37" s="213">
        <v>23</v>
      </c>
      <c r="R37" s="214">
        <f t="shared" si="2"/>
        <v>81</v>
      </c>
      <c r="S37" s="170">
        <v>3</v>
      </c>
      <c r="T37" s="283"/>
      <c r="U37" s="281"/>
      <c r="V37" s="177" t="s">
        <v>131</v>
      </c>
      <c r="W37" s="170" t="s">
        <v>22</v>
      </c>
      <c r="X37" s="170" t="s">
        <v>11</v>
      </c>
      <c r="Y37" s="178">
        <v>24.5</v>
      </c>
      <c r="Z37" s="170" t="s">
        <v>80</v>
      </c>
      <c r="AA37" s="170" t="s">
        <v>17</v>
      </c>
      <c r="AB37" s="170" t="s">
        <v>18</v>
      </c>
      <c r="AC37" s="170">
        <v>22</v>
      </c>
      <c r="AD37" s="177" t="s">
        <v>454</v>
      </c>
      <c r="AE37" s="170" t="s">
        <v>20</v>
      </c>
      <c r="AF37" s="170" t="s">
        <v>12</v>
      </c>
      <c r="AG37" s="178">
        <v>23</v>
      </c>
      <c r="AH37" s="170" t="s">
        <v>328</v>
      </c>
      <c r="AI37" s="170" t="s">
        <v>869</v>
      </c>
      <c r="AJ37" s="170" t="s">
        <v>11</v>
      </c>
      <c r="AK37" s="170">
        <v>11.5</v>
      </c>
      <c r="AL37" s="177"/>
      <c r="AO37" s="178"/>
      <c r="AP37" s="177"/>
      <c r="AS37" s="178"/>
      <c r="AW37" s="178"/>
      <c r="BA37" s="179"/>
    </row>
    <row r="38" spans="1:53" s="170" customFormat="1" ht="8.25" customHeight="1" x14ac:dyDescent="0.15">
      <c r="A38" s="215">
        <v>1975</v>
      </c>
      <c r="B38" s="281"/>
      <c r="C38" s="395" t="s">
        <v>457</v>
      </c>
      <c r="D38" s="395"/>
      <c r="E38" s="170">
        <v>343</v>
      </c>
      <c r="G38" s="232">
        <v>3</v>
      </c>
      <c r="H38" s="170">
        <v>2</v>
      </c>
      <c r="I38" s="170">
        <v>2</v>
      </c>
      <c r="J38" s="240">
        <v>7</v>
      </c>
      <c r="K38" s="213">
        <f t="shared" si="4"/>
        <v>42.857142857142854</v>
      </c>
      <c r="L38" s="213">
        <f t="shared" si="4"/>
        <v>28.571428571428569</v>
      </c>
      <c r="M38" s="213">
        <f t="shared" si="4"/>
        <v>28.571428571428569</v>
      </c>
      <c r="N38" s="234">
        <f t="shared" si="3"/>
        <v>99.999999999999986</v>
      </c>
      <c r="O38" s="212">
        <v>36</v>
      </c>
      <c r="P38" s="213">
        <v>22</v>
      </c>
      <c r="Q38" s="213">
        <v>23</v>
      </c>
      <c r="R38" s="214">
        <f t="shared" si="2"/>
        <v>81</v>
      </c>
      <c r="S38" s="170">
        <v>3</v>
      </c>
      <c r="T38" s="283"/>
      <c r="U38" s="281"/>
      <c r="V38" s="177" t="s">
        <v>131</v>
      </c>
      <c r="W38" s="170" t="s">
        <v>22</v>
      </c>
      <c r="X38" s="170" t="s">
        <v>11</v>
      </c>
      <c r="Y38" s="178">
        <v>24.5</v>
      </c>
      <c r="Z38" s="170" t="s">
        <v>80</v>
      </c>
      <c r="AA38" s="170" t="s">
        <v>17</v>
      </c>
      <c r="AB38" s="170" t="s">
        <v>18</v>
      </c>
      <c r="AC38" s="170">
        <v>22</v>
      </c>
      <c r="AD38" s="177" t="s">
        <v>454</v>
      </c>
      <c r="AE38" s="170" t="s">
        <v>20</v>
      </c>
      <c r="AF38" s="170" t="s">
        <v>12</v>
      </c>
      <c r="AG38" s="178">
        <v>23</v>
      </c>
      <c r="AH38" s="170" t="s">
        <v>328</v>
      </c>
      <c r="AI38" s="170" t="s">
        <v>869</v>
      </c>
      <c r="AJ38" s="170" t="s">
        <v>11</v>
      </c>
      <c r="AK38" s="170">
        <v>11.5</v>
      </c>
      <c r="AL38" s="177"/>
      <c r="AO38" s="178"/>
      <c r="AP38" s="177"/>
      <c r="AS38" s="178"/>
      <c r="AW38" s="178"/>
      <c r="BA38" s="179"/>
    </row>
    <row r="39" spans="1:53" s="28" customFormat="1" x14ac:dyDescent="0.15">
      <c r="A39" s="51">
        <v>1975</v>
      </c>
      <c r="B39" s="293">
        <v>27738</v>
      </c>
      <c r="C39" s="394" t="s">
        <v>421</v>
      </c>
      <c r="D39" s="394"/>
      <c r="E39" s="28">
        <f>365-E38</f>
        <v>22</v>
      </c>
      <c r="F39" s="28">
        <v>1</v>
      </c>
      <c r="G39" s="65">
        <v>3</v>
      </c>
      <c r="H39" s="28">
        <v>2</v>
      </c>
      <c r="I39" s="28">
        <v>2</v>
      </c>
      <c r="J39" s="72">
        <v>7</v>
      </c>
      <c r="K39" s="46">
        <f t="shared" si="4"/>
        <v>42.857142857142854</v>
      </c>
      <c r="L39" s="46">
        <f t="shared" si="4"/>
        <v>28.571428571428569</v>
      </c>
      <c r="M39" s="46">
        <f t="shared" si="4"/>
        <v>28.571428571428569</v>
      </c>
      <c r="N39" s="67">
        <f t="shared" si="3"/>
        <v>99.999999999999986</v>
      </c>
      <c r="O39" s="45">
        <v>34</v>
      </c>
      <c r="P39" s="46">
        <v>23</v>
      </c>
      <c r="Q39" s="46">
        <v>27.5</v>
      </c>
      <c r="R39" s="47">
        <f t="shared" si="2"/>
        <v>84.5</v>
      </c>
      <c r="S39" s="28">
        <v>3</v>
      </c>
      <c r="T39" s="284">
        <v>27693</v>
      </c>
      <c r="U39" s="293">
        <v>27738</v>
      </c>
      <c r="V39" s="37" t="s">
        <v>131</v>
      </c>
      <c r="W39" s="28" t="s">
        <v>22</v>
      </c>
      <c r="X39" s="28" t="s">
        <v>11</v>
      </c>
      <c r="Y39" s="38">
        <v>23.5</v>
      </c>
      <c r="Z39" s="28" t="s">
        <v>80</v>
      </c>
      <c r="AA39" s="28" t="s">
        <v>17</v>
      </c>
      <c r="AB39" s="28" t="s">
        <v>18</v>
      </c>
      <c r="AC39" s="28">
        <v>23</v>
      </c>
      <c r="AD39" s="37" t="s">
        <v>454</v>
      </c>
      <c r="AE39" s="28" t="s">
        <v>20</v>
      </c>
      <c r="AF39" s="28" t="s">
        <v>12</v>
      </c>
      <c r="AG39" s="38">
        <v>27.5</v>
      </c>
      <c r="AH39" s="28" t="s">
        <v>328</v>
      </c>
      <c r="AI39" s="28" t="s">
        <v>869</v>
      </c>
      <c r="AJ39" s="28" t="s">
        <v>11</v>
      </c>
      <c r="AK39" s="28">
        <v>10.5</v>
      </c>
      <c r="AL39" s="37"/>
      <c r="AO39" s="38"/>
      <c r="AP39" s="37"/>
      <c r="AS39" s="38"/>
      <c r="AW39" s="38"/>
      <c r="BA39" s="39"/>
    </row>
    <row r="40" spans="1:53" s="28" customFormat="1" x14ac:dyDescent="0.15">
      <c r="A40" s="51">
        <v>1976</v>
      </c>
      <c r="B40" s="293"/>
      <c r="C40" s="394" t="s">
        <v>421</v>
      </c>
      <c r="D40" s="394"/>
      <c r="E40" s="28">
        <v>0</v>
      </c>
      <c r="G40" s="65">
        <v>3</v>
      </c>
      <c r="H40" s="28">
        <v>2</v>
      </c>
      <c r="I40" s="28">
        <v>2</v>
      </c>
      <c r="J40" s="72">
        <v>7</v>
      </c>
      <c r="K40" s="46">
        <f t="shared" si="4"/>
        <v>42.857142857142854</v>
      </c>
      <c r="L40" s="46">
        <f t="shared" si="4"/>
        <v>28.571428571428569</v>
      </c>
      <c r="M40" s="46">
        <f t="shared" si="4"/>
        <v>28.571428571428569</v>
      </c>
      <c r="N40" s="67">
        <f t="shared" si="3"/>
        <v>99.999999999999986</v>
      </c>
      <c r="O40" s="45">
        <v>34</v>
      </c>
      <c r="P40" s="46">
        <v>23</v>
      </c>
      <c r="Q40" s="46">
        <v>27.5</v>
      </c>
      <c r="R40" s="47">
        <f t="shared" si="2"/>
        <v>84.5</v>
      </c>
      <c r="S40" s="28">
        <v>3</v>
      </c>
      <c r="T40" s="284"/>
      <c r="U40" s="293"/>
      <c r="V40" s="37" t="s">
        <v>131</v>
      </c>
      <c r="W40" s="28" t="s">
        <v>22</v>
      </c>
      <c r="X40" s="28" t="s">
        <v>11</v>
      </c>
      <c r="Y40" s="38">
        <v>23.5</v>
      </c>
      <c r="Z40" s="28" t="s">
        <v>80</v>
      </c>
      <c r="AA40" s="28" t="s">
        <v>17</v>
      </c>
      <c r="AB40" s="28" t="s">
        <v>18</v>
      </c>
      <c r="AC40" s="28">
        <v>23</v>
      </c>
      <c r="AD40" s="37" t="s">
        <v>454</v>
      </c>
      <c r="AE40" s="28" t="s">
        <v>20</v>
      </c>
      <c r="AF40" s="28" t="s">
        <v>12</v>
      </c>
      <c r="AG40" s="38">
        <v>27.5</v>
      </c>
      <c r="AH40" s="28" t="s">
        <v>328</v>
      </c>
      <c r="AI40" s="28" t="s">
        <v>869</v>
      </c>
      <c r="AJ40" s="28" t="s">
        <v>11</v>
      </c>
      <c r="AK40" s="28">
        <v>10.5</v>
      </c>
      <c r="AL40" s="37"/>
      <c r="AO40" s="38"/>
      <c r="AP40" s="37"/>
      <c r="AS40" s="38"/>
      <c r="AW40" s="38"/>
      <c r="BA40" s="39"/>
    </row>
    <row r="41" spans="1:53" s="28" customFormat="1" x14ac:dyDescent="0.15">
      <c r="A41" s="51">
        <v>1976</v>
      </c>
      <c r="B41" s="293"/>
      <c r="C41" s="394" t="s">
        <v>422</v>
      </c>
      <c r="D41" s="394"/>
      <c r="E41" s="28">
        <v>366</v>
      </c>
      <c r="F41" s="28">
        <v>1</v>
      </c>
      <c r="G41" s="65">
        <v>3</v>
      </c>
      <c r="H41" s="28">
        <v>2</v>
      </c>
      <c r="I41" s="28">
        <v>2</v>
      </c>
      <c r="J41" s="72">
        <v>7</v>
      </c>
      <c r="K41" s="46">
        <f t="shared" si="4"/>
        <v>42.857142857142854</v>
      </c>
      <c r="L41" s="46">
        <f t="shared" si="4"/>
        <v>28.571428571428569</v>
      </c>
      <c r="M41" s="46">
        <f t="shared" si="4"/>
        <v>28.571428571428569</v>
      </c>
      <c r="N41" s="67">
        <f t="shared" si="3"/>
        <v>99.999999999999986</v>
      </c>
      <c r="O41" s="45">
        <v>34</v>
      </c>
      <c r="P41" s="46">
        <v>23</v>
      </c>
      <c r="Q41" s="46">
        <v>27.5</v>
      </c>
      <c r="R41" s="47">
        <f t="shared" si="2"/>
        <v>84.5</v>
      </c>
      <c r="S41" s="28">
        <v>3</v>
      </c>
      <c r="T41" s="284"/>
      <c r="U41" s="293"/>
      <c r="V41" s="37" t="s">
        <v>131</v>
      </c>
      <c r="W41" s="28" t="s">
        <v>22</v>
      </c>
      <c r="X41" s="28" t="s">
        <v>11</v>
      </c>
      <c r="Y41" s="38">
        <v>23.5</v>
      </c>
      <c r="Z41" s="28" t="s">
        <v>80</v>
      </c>
      <c r="AA41" s="28" t="s">
        <v>17</v>
      </c>
      <c r="AB41" s="28" t="s">
        <v>18</v>
      </c>
      <c r="AC41" s="28">
        <v>23</v>
      </c>
      <c r="AD41" s="37" t="s">
        <v>454</v>
      </c>
      <c r="AE41" s="28" t="s">
        <v>20</v>
      </c>
      <c r="AF41" s="28" t="s">
        <v>12</v>
      </c>
      <c r="AG41" s="38">
        <v>27.5</v>
      </c>
      <c r="AH41" s="28" t="s">
        <v>328</v>
      </c>
      <c r="AI41" s="28" t="s">
        <v>869</v>
      </c>
      <c r="AJ41" s="28" t="s">
        <v>11</v>
      </c>
      <c r="AK41" s="28">
        <v>10.5</v>
      </c>
      <c r="AL41" s="37"/>
      <c r="AO41" s="38"/>
      <c r="AP41" s="37"/>
      <c r="AS41" s="38"/>
      <c r="AW41" s="38"/>
      <c r="BA41" s="39"/>
    </row>
    <row r="42" spans="1:53" s="28" customFormat="1" x14ac:dyDescent="0.15">
      <c r="A42" s="51">
        <v>1977</v>
      </c>
      <c r="B42" s="293"/>
      <c r="C42" s="394" t="s">
        <v>422</v>
      </c>
      <c r="D42" s="394"/>
      <c r="E42" s="28">
        <v>0</v>
      </c>
      <c r="G42" s="65">
        <v>3</v>
      </c>
      <c r="H42" s="28">
        <v>2</v>
      </c>
      <c r="I42" s="28">
        <v>2</v>
      </c>
      <c r="J42" s="72">
        <v>7</v>
      </c>
      <c r="K42" s="46">
        <f t="shared" si="4"/>
        <v>42.857142857142854</v>
      </c>
      <c r="L42" s="46">
        <f t="shared" si="4"/>
        <v>28.571428571428569</v>
      </c>
      <c r="M42" s="46">
        <f t="shared" si="4"/>
        <v>28.571428571428569</v>
      </c>
      <c r="N42" s="67">
        <f t="shared" si="3"/>
        <v>99.999999999999986</v>
      </c>
      <c r="O42" s="45">
        <v>34</v>
      </c>
      <c r="P42" s="46">
        <v>23</v>
      </c>
      <c r="Q42" s="46">
        <v>27.5</v>
      </c>
      <c r="R42" s="47">
        <f t="shared" si="2"/>
        <v>84.5</v>
      </c>
      <c r="S42" s="28">
        <v>3</v>
      </c>
      <c r="T42" s="284"/>
      <c r="U42" s="293"/>
      <c r="V42" s="37" t="s">
        <v>131</v>
      </c>
      <c r="W42" s="28" t="s">
        <v>22</v>
      </c>
      <c r="X42" s="28" t="s">
        <v>11</v>
      </c>
      <c r="Y42" s="38">
        <v>23.5</v>
      </c>
      <c r="Z42" s="28" t="s">
        <v>80</v>
      </c>
      <c r="AA42" s="28" t="s">
        <v>17</v>
      </c>
      <c r="AB42" s="28" t="s">
        <v>18</v>
      </c>
      <c r="AC42" s="28">
        <v>23</v>
      </c>
      <c r="AD42" s="37" t="s">
        <v>454</v>
      </c>
      <c r="AE42" s="28" t="s">
        <v>20</v>
      </c>
      <c r="AF42" s="28" t="s">
        <v>12</v>
      </c>
      <c r="AG42" s="38">
        <v>27.5</v>
      </c>
      <c r="AH42" s="28" t="s">
        <v>328</v>
      </c>
      <c r="AI42" s="28" t="s">
        <v>869</v>
      </c>
      <c r="AJ42" s="28" t="s">
        <v>11</v>
      </c>
      <c r="AK42" s="28">
        <v>10.5</v>
      </c>
      <c r="AL42" s="37"/>
      <c r="AO42" s="38"/>
      <c r="AP42" s="37"/>
      <c r="AS42" s="38"/>
      <c r="AW42" s="38"/>
      <c r="BA42" s="39"/>
    </row>
    <row r="43" spans="1:53" s="28" customFormat="1" x14ac:dyDescent="0.15">
      <c r="A43" s="51">
        <v>1977</v>
      </c>
      <c r="B43" s="293"/>
      <c r="C43" s="394" t="s">
        <v>458</v>
      </c>
      <c r="D43" s="394"/>
      <c r="E43" s="28">
        <v>365</v>
      </c>
      <c r="F43" s="28">
        <v>1</v>
      </c>
      <c r="G43" s="65">
        <v>3</v>
      </c>
      <c r="H43" s="28">
        <v>2</v>
      </c>
      <c r="I43" s="28">
        <v>2</v>
      </c>
      <c r="J43" s="72">
        <v>7</v>
      </c>
      <c r="K43" s="46">
        <f t="shared" si="4"/>
        <v>42.857142857142854</v>
      </c>
      <c r="L43" s="46">
        <f t="shared" si="4"/>
        <v>28.571428571428569</v>
      </c>
      <c r="M43" s="46">
        <f t="shared" si="4"/>
        <v>28.571428571428569</v>
      </c>
      <c r="N43" s="67">
        <f t="shared" si="3"/>
        <v>99.999999999999986</v>
      </c>
      <c r="O43" s="45">
        <v>34</v>
      </c>
      <c r="P43" s="46">
        <v>23</v>
      </c>
      <c r="Q43" s="46">
        <v>27.5</v>
      </c>
      <c r="R43" s="47">
        <f t="shared" si="2"/>
        <v>84.5</v>
      </c>
      <c r="S43" s="28">
        <v>3</v>
      </c>
      <c r="T43" s="284"/>
      <c r="U43" s="293"/>
      <c r="V43" s="37" t="s">
        <v>131</v>
      </c>
      <c r="W43" s="28" t="s">
        <v>22</v>
      </c>
      <c r="X43" s="28" t="s">
        <v>11</v>
      </c>
      <c r="Y43" s="38">
        <v>23.5</v>
      </c>
      <c r="Z43" s="28" t="s">
        <v>80</v>
      </c>
      <c r="AA43" s="28" t="s">
        <v>17</v>
      </c>
      <c r="AB43" s="28" t="s">
        <v>18</v>
      </c>
      <c r="AC43" s="28">
        <v>23</v>
      </c>
      <c r="AD43" s="37" t="s">
        <v>454</v>
      </c>
      <c r="AE43" s="28" t="s">
        <v>20</v>
      </c>
      <c r="AF43" s="28" t="s">
        <v>12</v>
      </c>
      <c r="AG43" s="38">
        <v>27.5</v>
      </c>
      <c r="AH43" s="28" t="s">
        <v>328</v>
      </c>
      <c r="AI43" s="28" t="s">
        <v>869</v>
      </c>
      <c r="AJ43" s="28" t="s">
        <v>11</v>
      </c>
      <c r="AK43" s="28">
        <v>10.5</v>
      </c>
      <c r="AL43" s="37"/>
      <c r="AO43" s="38"/>
      <c r="AP43" s="37"/>
      <c r="AS43" s="38"/>
      <c r="AW43" s="38"/>
      <c r="BA43" s="39"/>
    </row>
    <row r="44" spans="1:53" s="28" customFormat="1" x14ac:dyDescent="0.15">
      <c r="A44" s="51">
        <v>1978</v>
      </c>
      <c r="B44" s="293"/>
      <c r="C44" s="394" t="s">
        <v>458</v>
      </c>
      <c r="D44" s="394"/>
      <c r="E44" s="28">
        <v>0</v>
      </c>
      <c r="G44" s="65">
        <v>3</v>
      </c>
      <c r="H44" s="28">
        <v>2</v>
      </c>
      <c r="I44" s="28">
        <v>2</v>
      </c>
      <c r="J44" s="72">
        <v>7</v>
      </c>
      <c r="K44" s="46">
        <f t="shared" si="4"/>
        <v>42.857142857142854</v>
      </c>
      <c r="L44" s="46">
        <f t="shared" si="4"/>
        <v>28.571428571428569</v>
      </c>
      <c r="M44" s="46">
        <f t="shared" si="4"/>
        <v>28.571428571428569</v>
      </c>
      <c r="N44" s="67">
        <f t="shared" si="3"/>
        <v>99.999999999999986</v>
      </c>
      <c r="O44" s="45">
        <v>34</v>
      </c>
      <c r="P44" s="46">
        <v>23</v>
      </c>
      <c r="Q44" s="46">
        <v>27.5</v>
      </c>
      <c r="R44" s="47">
        <f t="shared" si="2"/>
        <v>84.5</v>
      </c>
      <c r="S44" s="28">
        <v>3</v>
      </c>
      <c r="T44" s="284"/>
      <c r="U44" s="293"/>
      <c r="V44" s="37" t="s">
        <v>131</v>
      </c>
      <c r="W44" s="28" t="s">
        <v>22</v>
      </c>
      <c r="X44" s="28" t="s">
        <v>11</v>
      </c>
      <c r="Y44" s="38">
        <v>23.5</v>
      </c>
      <c r="Z44" s="28" t="s">
        <v>80</v>
      </c>
      <c r="AA44" s="28" t="s">
        <v>17</v>
      </c>
      <c r="AB44" s="28" t="s">
        <v>18</v>
      </c>
      <c r="AC44" s="28">
        <v>23</v>
      </c>
      <c r="AD44" s="37" t="s">
        <v>454</v>
      </c>
      <c r="AE44" s="28" t="s">
        <v>20</v>
      </c>
      <c r="AF44" s="28" t="s">
        <v>12</v>
      </c>
      <c r="AG44" s="38">
        <v>27.5</v>
      </c>
      <c r="AH44" s="28" t="s">
        <v>328</v>
      </c>
      <c r="AI44" s="28" t="s">
        <v>869</v>
      </c>
      <c r="AJ44" s="28" t="s">
        <v>11</v>
      </c>
      <c r="AK44" s="28">
        <v>10.5</v>
      </c>
      <c r="AL44" s="37"/>
      <c r="AO44" s="38"/>
      <c r="AP44" s="37"/>
      <c r="AS44" s="38"/>
      <c r="AW44" s="38"/>
      <c r="BA44" s="39"/>
    </row>
    <row r="45" spans="1:53" s="28" customFormat="1" x14ac:dyDescent="0.15">
      <c r="A45" s="51">
        <v>1978</v>
      </c>
      <c r="B45" s="293"/>
      <c r="C45" s="394" t="s">
        <v>423</v>
      </c>
      <c r="D45" s="394"/>
      <c r="E45" s="28">
        <v>365</v>
      </c>
      <c r="F45" s="28">
        <v>1</v>
      </c>
      <c r="G45" s="65">
        <v>3</v>
      </c>
      <c r="H45" s="28">
        <v>2</v>
      </c>
      <c r="I45" s="28">
        <v>2</v>
      </c>
      <c r="J45" s="72">
        <v>7</v>
      </c>
      <c r="K45" s="46">
        <f t="shared" si="4"/>
        <v>42.857142857142854</v>
      </c>
      <c r="L45" s="46">
        <f t="shared" si="4"/>
        <v>28.571428571428569</v>
      </c>
      <c r="M45" s="46">
        <f t="shared" si="4"/>
        <v>28.571428571428569</v>
      </c>
      <c r="N45" s="67">
        <f t="shared" si="3"/>
        <v>99.999999999999986</v>
      </c>
      <c r="O45" s="45">
        <v>34</v>
      </c>
      <c r="P45" s="46">
        <v>23</v>
      </c>
      <c r="Q45" s="46">
        <v>27.5</v>
      </c>
      <c r="R45" s="47">
        <f t="shared" si="2"/>
        <v>84.5</v>
      </c>
      <c r="S45" s="28">
        <v>3</v>
      </c>
      <c r="T45" s="284"/>
      <c r="U45" s="293"/>
      <c r="V45" s="37" t="s">
        <v>131</v>
      </c>
      <c r="W45" s="28" t="s">
        <v>22</v>
      </c>
      <c r="X45" s="28" t="s">
        <v>11</v>
      </c>
      <c r="Y45" s="38">
        <v>23.5</v>
      </c>
      <c r="Z45" s="28" t="s">
        <v>80</v>
      </c>
      <c r="AA45" s="28" t="s">
        <v>17</v>
      </c>
      <c r="AB45" s="28" t="s">
        <v>18</v>
      </c>
      <c r="AC45" s="28">
        <v>23</v>
      </c>
      <c r="AD45" s="37" t="s">
        <v>454</v>
      </c>
      <c r="AE45" s="28" t="s">
        <v>20</v>
      </c>
      <c r="AF45" s="28" t="s">
        <v>12</v>
      </c>
      <c r="AG45" s="38">
        <v>27.5</v>
      </c>
      <c r="AH45" s="28" t="s">
        <v>328</v>
      </c>
      <c r="AI45" s="28" t="s">
        <v>869</v>
      </c>
      <c r="AJ45" s="28" t="s">
        <v>11</v>
      </c>
      <c r="AK45" s="28">
        <v>10.5</v>
      </c>
      <c r="AL45" s="37"/>
      <c r="AO45" s="38"/>
      <c r="AP45" s="37"/>
      <c r="AS45" s="38"/>
      <c r="AW45" s="38"/>
      <c r="BA45" s="39"/>
    </row>
    <row r="46" spans="1:53" s="28" customFormat="1" x14ac:dyDescent="0.15">
      <c r="A46" s="51">
        <v>1979</v>
      </c>
      <c r="B46" s="293"/>
      <c r="C46" s="394" t="s">
        <v>423</v>
      </c>
      <c r="D46" s="394"/>
      <c r="E46" s="28">
        <v>360</v>
      </c>
      <c r="G46" s="65">
        <v>3</v>
      </c>
      <c r="H46" s="28">
        <v>2</v>
      </c>
      <c r="I46" s="28">
        <v>2</v>
      </c>
      <c r="J46" s="72">
        <v>7</v>
      </c>
      <c r="K46" s="46">
        <f t="shared" si="4"/>
        <v>42.857142857142854</v>
      </c>
      <c r="L46" s="46">
        <f t="shared" si="4"/>
        <v>28.571428571428569</v>
      </c>
      <c r="M46" s="46">
        <f t="shared" si="4"/>
        <v>28.571428571428569</v>
      </c>
      <c r="N46" s="67">
        <f t="shared" si="3"/>
        <v>99.999999999999986</v>
      </c>
      <c r="O46" s="45">
        <v>34</v>
      </c>
      <c r="P46" s="46">
        <v>23</v>
      </c>
      <c r="Q46" s="46">
        <v>27.5</v>
      </c>
      <c r="R46" s="47">
        <f t="shared" si="2"/>
        <v>84.5</v>
      </c>
      <c r="S46" s="28">
        <v>3</v>
      </c>
      <c r="T46" s="284"/>
      <c r="U46" s="293"/>
      <c r="V46" s="37" t="s">
        <v>131</v>
      </c>
      <c r="W46" s="28" t="s">
        <v>22</v>
      </c>
      <c r="X46" s="28" t="s">
        <v>11</v>
      </c>
      <c r="Y46" s="38">
        <v>23.5</v>
      </c>
      <c r="Z46" s="28" t="s">
        <v>80</v>
      </c>
      <c r="AA46" s="28" t="s">
        <v>17</v>
      </c>
      <c r="AB46" s="28" t="s">
        <v>18</v>
      </c>
      <c r="AC46" s="28">
        <v>23</v>
      </c>
      <c r="AD46" s="37" t="s">
        <v>454</v>
      </c>
      <c r="AE46" s="28" t="s">
        <v>20</v>
      </c>
      <c r="AF46" s="28" t="s">
        <v>12</v>
      </c>
      <c r="AG46" s="38">
        <v>27.5</v>
      </c>
      <c r="AH46" s="28" t="s">
        <v>328</v>
      </c>
      <c r="AI46" s="28" t="s">
        <v>869</v>
      </c>
      <c r="AJ46" s="28" t="s">
        <v>11</v>
      </c>
      <c r="AK46" s="28">
        <v>10.5</v>
      </c>
      <c r="AL46" s="37"/>
      <c r="AO46" s="38"/>
      <c r="AP46" s="37"/>
      <c r="AS46" s="38"/>
      <c r="AW46" s="38"/>
      <c r="BA46" s="39"/>
    </row>
    <row r="47" spans="1:53" s="170" customFormat="1" x14ac:dyDescent="0.15">
      <c r="A47" s="215">
        <v>1979</v>
      </c>
      <c r="B47" s="281">
        <v>29216</v>
      </c>
      <c r="C47" s="395" t="s">
        <v>424</v>
      </c>
      <c r="D47" s="395"/>
      <c r="E47" s="170">
        <f>365-E46</f>
        <v>5</v>
      </c>
      <c r="F47" s="170">
        <v>1</v>
      </c>
      <c r="G47" s="232">
        <v>3</v>
      </c>
      <c r="H47" s="170">
        <v>2</v>
      </c>
      <c r="I47" s="170">
        <v>2</v>
      </c>
      <c r="J47" s="240">
        <v>7</v>
      </c>
      <c r="K47" s="213">
        <f t="shared" si="4"/>
        <v>42.857142857142854</v>
      </c>
      <c r="L47" s="213">
        <f t="shared" si="4"/>
        <v>28.571428571428569</v>
      </c>
      <c r="M47" s="213">
        <f t="shared" si="4"/>
        <v>28.571428571428569</v>
      </c>
      <c r="N47" s="234">
        <f t="shared" si="3"/>
        <v>99.999999999999986</v>
      </c>
      <c r="O47" s="212">
        <v>37</v>
      </c>
      <c r="P47" s="213">
        <v>22</v>
      </c>
      <c r="Q47" s="213">
        <v>25.5</v>
      </c>
      <c r="R47" s="214">
        <f t="shared" si="2"/>
        <v>84.5</v>
      </c>
      <c r="S47" s="170">
        <v>3</v>
      </c>
      <c r="T47" s="283">
        <v>29149</v>
      </c>
      <c r="U47" s="281">
        <v>29216</v>
      </c>
      <c r="V47" s="177" t="s">
        <v>131</v>
      </c>
      <c r="W47" s="170" t="s">
        <v>22</v>
      </c>
      <c r="X47" s="170" t="s">
        <v>11</v>
      </c>
      <c r="Y47" s="178">
        <v>25.5</v>
      </c>
      <c r="Z47" s="170" t="s">
        <v>80</v>
      </c>
      <c r="AA47" s="170" t="s">
        <v>17</v>
      </c>
      <c r="AB47" s="170" t="s">
        <v>18</v>
      </c>
      <c r="AC47" s="170">
        <v>22</v>
      </c>
      <c r="AD47" s="177" t="s">
        <v>454</v>
      </c>
      <c r="AE47" s="170" t="s">
        <v>20</v>
      </c>
      <c r="AF47" s="170" t="s">
        <v>12</v>
      </c>
      <c r="AG47" s="178">
        <v>25.5</v>
      </c>
      <c r="AH47" s="170" t="s">
        <v>328</v>
      </c>
      <c r="AI47" s="170" t="s">
        <v>869</v>
      </c>
      <c r="AJ47" s="170" t="s">
        <v>11</v>
      </c>
      <c r="AK47" s="170">
        <v>11.5</v>
      </c>
      <c r="AL47" s="177"/>
      <c r="AO47" s="178"/>
      <c r="AP47" s="177"/>
      <c r="AS47" s="178"/>
      <c r="AW47" s="178"/>
      <c r="BA47" s="179"/>
    </row>
    <row r="48" spans="1:53" s="170" customFormat="1" x14ac:dyDescent="0.15">
      <c r="A48" s="215">
        <v>1980</v>
      </c>
      <c r="B48" s="281"/>
      <c r="C48" s="395" t="s">
        <v>424</v>
      </c>
      <c r="D48" s="395"/>
      <c r="E48" s="170">
        <v>0</v>
      </c>
      <c r="G48" s="232">
        <v>3</v>
      </c>
      <c r="H48" s="170">
        <v>2</v>
      </c>
      <c r="I48" s="170">
        <v>2</v>
      </c>
      <c r="J48" s="240">
        <v>7</v>
      </c>
      <c r="K48" s="213">
        <f t="shared" si="4"/>
        <v>42.857142857142854</v>
      </c>
      <c r="L48" s="213">
        <f t="shared" si="4"/>
        <v>28.571428571428569</v>
      </c>
      <c r="M48" s="213">
        <f t="shared" si="4"/>
        <v>28.571428571428569</v>
      </c>
      <c r="N48" s="234">
        <f t="shared" si="3"/>
        <v>99.999999999999986</v>
      </c>
      <c r="O48" s="212">
        <v>37</v>
      </c>
      <c r="P48" s="213">
        <v>22</v>
      </c>
      <c r="Q48" s="213">
        <v>25.5</v>
      </c>
      <c r="R48" s="214">
        <f t="shared" si="2"/>
        <v>84.5</v>
      </c>
      <c r="S48" s="170">
        <v>3</v>
      </c>
      <c r="T48" s="283"/>
      <c r="U48" s="281"/>
      <c r="V48" s="177" t="s">
        <v>131</v>
      </c>
      <c r="W48" s="170" t="s">
        <v>22</v>
      </c>
      <c r="X48" s="170" t="s">
        <v>11</v>
      </c>
      <c r="Y48" s="178">
        <v>25.5</v>
      </c>
      <c r="Z48" s="170" t="s">
        <v>80</v>
      </c>
      <c r="AA48" s="170" t="s">
        <v>17</v>
      </c>
      <c r="AB48" s="170" t="s">
        <v>18</v>
      </c>
      <c r="AC48" s="170">
        <v>22</v>
      </c>
      <c r="AD48" s="177" t="s">
        <v>454</v>
      </c>
      <c r="AE48" s="170" t="s">
        <v>20</v>
      </c>
      <c r="AF48" s="170" t="s">
        <v>12</v>
      </c>
      <c r="AG48" s="178">
        <v>25.5</v>
      </c>
      <c r="AH48" s="170" t="s">
        <v>328</v>
      </c>
      <c r="AI48" s="170" t="s">
        <v>869</v>
      </c>
      <c r="AJ48" s="170" t="s">
        <v>11</v>
      </c>
      <c r="AK48" s="170">
        <v>11.5</v>
      </c>
      <c r="AL48" s="177"/>
      <c r="AO48" s="178"/>
      <c r="AP48" s="177"/>
      <c r="AS48" s="178"/>
      <c r="AW48" s="178"/>
      <c r="BA48" s="179"/>
    </row>
    <row r="49" spans="1:53" s="170" customFormat="1" x14ac:dyDescent="0.15">
      <c r="A49" s="215">
        <v>1980</v>
      </c>
      <c r="B49" s="281"/>
      <c r="C49" s="395" t="s">
        <v>425</v>
      </c>
      <c r="D49" s="395"/>
      <c r="E49" s="170">
        <v>366</v>
      </c>
      <c r="F49" s="170">
        <v>1</v>
      </c>
      <c r="G49" s="232">
        <v>3</v>
      </c>
      <c r="H49" s="170">
        <v>2</v>
      </c>
      <c r="I49" s="170">
        <v>2</v>
      </c>
      <c r="J49" s="240">
        <v>7</v>
      </c>
      <c r="K49" s="213">
        <f t="shared" si="4"/>
        <v>42.857142857142854</v>
      </c>
      <c r="L49" s="213">
        <f t="shared" si="4"/>
        <v>28.571428571428569</v>
      </c>
      <c r="M49" s="213">
        <f t="shared" si="4"/>
        <v>28.571428571428569</v>
      </c>
      <c r="N49" s="234">
        <f t="shared" si="3"/>
        <v>99.999999999999986</v>
      </c>
      <c r="O49" s="212">
        <v>37</v>
      </c>
      <c r="P49" s="213">
        <v>22</v>
      </c>
      <c r="Q49" s="213">
        <v>25.5</v>
      </c>
      <c r="R49" s="214">
        <f t="shared" si="2"/>
        <v>84.5</v>
      </c>
      <c r="S49" s="170">
        <v>3</v>
      </c>
      <c r="T49" s="283"/>
      <c r="U49" s="281"/>
      <c r="V49" s="177" t="s">
        <v>131</v>
      </c>
      <c r="W49" s="170" t="s">
        <v>22</v>
      </c>
      <c r="X49" s="170" t="s">
        <v>11</v>
      </c>
      <c r="Y49" s="178">
        <v>25.5</v>
      </c>
      <c r="Z49" s="170" t="s">
        <v>80</v>
      </c>
      <c r="AA49" s="170" t="s">
        <v>17</v>
      </c>
      <c r="AB49" s="170" t="s">
        <v>18</v>
      </c>
      <c r="AC49" s="170">
        <v>22</v>
      </c>
      <c r="AD49" s="177" t="s">
        <v>454</v>
      </c>
      <c r="AE49" s="170" t="s">
        <v>20</v>
      </c>
      <c r="AF49" s="170" t="s">
        <v>12</v>
      </c>
      <c r="AG49" s="178">
        <v>25.5</v>
      </c>
      <c r="AH49" s="170" t="s">
        <v>328</v>
      </c>
      <c r="AI49" s="170" t="s">
        <v>869</v>
      </c>
      <c r="AJ49" s="170" t="s">
        <v>11</v>
      </c>
      <c r="AK49" s="170">
        <v>11.5</v>
      </c>
      <c r="AL49" s="177"/>
      <c r="AO49" s="178"/>
      <c r="AP49" s="177"/>
      <c r="AS49" s="178"/>
      <c r="AW49" s="178"/>
      <c r="BA49" s="179"/>
    </row>
    <row r="50" spans="1:53" s="170" customFormat="1" x14ac:dyDescent="0.15">
      <c r="A50" s="215">
        <v>1981</v>
      </c>
      <c r="B50" s="281"/>
      <c r="C50" s="395" t="s">
        <v>425</v>
      </c>
      <c r="D50" s="395"/>
      <c r="E50" s="170">
        <v>0</v>
      </c>
      <c r="G50" s="232">
        <v>3</v>
      </c>
      <c r="H50" s="170">
        <v>2</v>
      </c>
      <c r="I50" s="170">
        <v>2</v>
      </c>
      <c r="J50" s="240">
        <v>7</v>
      </c>
      <c r="K50" s="213">
        <f t="shared" si="4"/>
        <v>42.857142857142854</v>
      </c>
      <c r="L50" s="213">
        <f t="shared" si="4"/>
        <v>28.571428571428569</v>
      </c>
      <c r="M50" s="213">
        <f t="shared" si="4"/>
        <v>28.571428571428569</v>
      </c>
      <c r="N50" s="234">
        <f t="shared" si="3"/>
        <v>99.999999999999986</v>
      </c>
      <c r="O50" s="212">
        <v>37</v>
      </c>
      <c r="P50" s="213">
        <v>22</v>
      </c>
      <c r="Q50" s="213">
        <v>25.5</v>
      </c>
      <c r="R50" s="214">
        <f t="shared" si="2"/>
        <v>84.5</v>
      </c>
      <c r="S50" s="170">
        <v>3</v>
      </c>
      <c r="T50" s="283"/>
      <c r="U50" s="281"/>
      <c r="V50" s="177" t="s">
        <v>131</v>
      </c>
      <c r="W50" s="170" t="s">
        <v>22</v>
      </c>
      <c r="X50" s="170" t="s">
        <v>11</v>
      </c>
      <c r="Y50" s="178">
        <v>25.5</v>
      </c>
      <c r="Z50" s="170" t="s">
        <v>80</v>
      </c>
      <c r="AA50" s="170" t="s">
        <v>17</v>
      </c>
      <c r="AB50" s="170" t="s">
        <v>18</v>
      </c>
      <c r="AC50" s="170">
        <v>22</v>
      </c>
      <c r="AD50" s="177" t="s">
        <v>454</v>
      </c>
      <c r="AE50" s="170" t="s">
        <v>20</v>
      </c>
      <c r="AF50" s="170" t="s">
        <v>12</v>
      </c>
      <c r="AG50" s="178">
        <v>25.5</v>
      </c>
      <c r="AH50" s="170" t="s">
        <v>328</v>
      </c>
      <c r="AI50" s="170" t="s">
        <v>869</v>
      </c>
      <c r="AJ50" s="170" t="s">
        <v>11</v>
      </c>
      <c r="AK50" s="170">
        <v>11.5</v>
      </c>
      <c r="AL50" s="177"/>
      <c r="AO50" s="178"/>
      <c r="AP50" s="177"/>
      <c r="AS50" s="178"/>
      <c r="AW50" s="178"/>
      <c r="BA50" s="179"/>
    </row>
    <row r="51" spans="1:53" s="170" customFormat="1" x14ac:dyDescent="0.15">
      <c r="A51" s="215">
        <v>1981</v>
      </c>
      <c r="B51" s="281"/>
      <c r="C51" s="395" t="s">
        <v>426</v>
      </c>
      <c r="D51" s="395"/>
      <c r="E51" s="170">
        <v>365</v>
      </c>
      <c r="F51" s="170">
        <v>1</v>
      </c>
      <c r="G51" s="232">
        <v>3</v>
      </c>
      <c r="H51" s="170">
        <v>2</v>
      </c>
      <c r="I51" s="170">
        <v>2</v>
      </c>
      <c r="J51" s="240">
        <v>7</v>
      </c>
      <c r="K51" s="213">
        <f t="shared" si="4"/>
        <v>42.857142857142854</v>
      </c>
      <c r="L51" s="213">
        <f t="shared" si="4"/>
        <v>28.571428571428569</v>
      </c>
      <c r="M51" s="213">
        <f t="shared" si="4"/>
        <v>28.571428571428569</v>
      </c>
      <c r="N51" s="234">
        <f t="shared" si="3"/>
        <v>99.999999999999986</v>
      </c>
      <c r="O51" s="212">
        <v>37</v>
      </c>
      <c r="P51" s="213">
        <v>22</v>
      </c>
      <c r="Q51" s="213">
        <v>25.5</v>
      </c>
      <c r="R51" s="214">
        <f t="shared" si="2"/>
        <v>84.5</v>
      </c>
      <c r="S51" s="170">
        <v>3</v>
      </c>
      <c r="T51" s="283"/>
      <c r="U51" s="281"/>
      <c r="V51" s="177" t="s">
        <v>131</v>
      </c>
      <c r="W51" s="170" t="s">
        <v>22</v>
      </c>
      <c r="X51" s="170" t="s">
        <v>11</v>
      </c>
      <c r="Y51" s="178">
        <v>25.5</v>
      </c>
      <c r="Z51" s="170" t="s">
        <v>80</v>
      </c>
      <c r="AA51" s="170" t="s">
        <v>17</v>
      </c>
      <c r="AB51" s="170" t="s">
        <v>18</v>
      </c>
      <c r="AC51" s="170">
        <v>22</v>
      </c>
      <c r="AD51" s="177" t="s">
        <v>454</v>
      </c>
      <c r="AE51" s="170" t="s">
        <v>20</v>
      </c>
      <c r="AF51" s="170" t="s">
        <v>12</v>
      </c>
      <c r="AG51" s="178">
        <v>25.5</v>
      </c>
      <c r="AH51" s="170" t="s">
        <v>328</v>
      </c>
      <c r="AI51" s="170" t="s">
        <v>869</v>
      </c>
      <c r="AJ51" s="170" t="s">
        <v>11</v>
      </c>
      <c r="AK51" s="170">
        <v>11.5</v>
      </c>
      <c r="AL51" s="177"/>
      <c r="AO51" s="178"/>
      <c r="AP51" s="177"/>
      <c r="AS51" s="178"/>
      <c r="AW51" s="178"/>
      <c r="BA51" s="179"/>
    </row>
    <row r="52" spans="1:53" s="170" customFormat="1" x14ac:dyDescent="0.15">
      <c r="A52" s="215">
        <v>1982</v>
      </c>
      <c r="B52" s="281"/>
      <c r="C52" s="395" t="s">
        <v>426</v>
      </c>
      <c r="D52" s="395"/>
      <c r="E52" s="170">
        <v>0</v>
      </c>
      <c r="G52" s="232">
        <v>3</v>
      </c>
      <c r="H52" s="170">
        <v>2</v>
      </c>
      <c r="I52" s="170">
        <v>2</v>
      </c>
      <c r="J52" s="240">
        <v>7</v>
      </c>
      <c r="K52" s="213">
        <f t="shared" si="4"/>
        <v>42.857142857142854</v>
      </c>
      <c r="L52" s="213">
        <f t="shared" si="4"/>
        <v>28.571428571428569</v>
      </c>
      <c r="M52" s="213">
        <f t="shared" si="4"/>
        <v>28.571428571428569</v>
      </c>
      <c r="N52" s="234">
        <f t="shared" si="3"/>
        <v>99.999999999999986</v>
      </c>
      <c r="O52" s="212">
        <v>37</v>
      </c>
      <c r="P52" s="213">
        <v>22</v>
      </c>
      <c r="Q52" s="213">
        <v>25.5</v>
      </c>
      <c r="R52" s="214">
        <f t="shared" si="2"/>
        <v>84.5</v>
      </c>
      <c r="S52" s="170">
        <v>3</v>
      </c>
      <c r="T52" s="283"/>
      <c r="U52" s="281"/>
      <c r="V52" s="177" t="s">
        <v>131</v>
      </c>
      <c r="W52" s="170" t="s">
        <v>22</v>
      </c>
      <c r="X52" s="170" t="s">
        <v>11</v>
      </c>
      <c r="Y52" s="178">
        <v>25.5</v>
      </c>
      <c r="Z52" s="170" t="s">
        <v>80</v>
      </c>
      <c r="AA52" s="170" t="s">
        <v>17</v>
      </c>
      <c r="AB52" s="170" t="s">
        <v>18</v>
      </c>
      <c r="AC52" s="170">
        <v>22</v>
      </c>
      <c r="AD52" s="177" t="s">
        <v>454</v>
      </c>
      <c r="AE52" s="170" t="s">
        <v>20</v>
      </c>
      <c r="AF52" s="170" t="s">
        <v>12</v>
      </c>
      <c r="AG52" s="178">
        <v>25.5</v>
      </c>
      <c r="AH52" s="170" t="s">
        <v>328</v>
      </c>
      <c r="AI52" s="170" t="s">
        <v>869</v>
      </c>
      <c r="AJ52" s="170" t="s">
        <v>11</v>
      </c>
      <c r="AK52" s="170">
        <v>11.5</v>
      </c>
      <c r="AL52" s="177"/>
      <c r="AO52" s="178"/>
      <c r="AP52" s="177"/>
      <c r="AS52" s="178"/>
      <c r="AW52" s="178"/>
      <c r="BA52" s="179"/>
    </row>
    <row r="53" spans="1:53" s="170" customFormat="1" x14ac:dyDescent="0.15">
      <c r="A53" s="215">
        <v>1982</v>
      </c>
      <c r="B53" s="281"/>
      <c r="C53" s="395" t="s">
        <v>459</v>
      </c>
      <c r="D53" s="395"/>
      <c r="E53" s="170">
        <v>365</v>
      </c>
      <c r="F53" s="170">
        <v>1</v>
      </c>
      <c r="G53" s="232">
        <v>3</v>
      </c>
      <c r="H53" s="170">
        <v>2</v>
      </c>
      <c r="I53" s="170">
        <v>2</v>
      </c>
      <c r="J53" s="240">
        <v>7</v>
      </c>
      <c r="K53" s="213">
        <f t="shared" si="4"/>
        <v>42.857142857142854</v>
      </c>
      <c r="L53" s="213">
        <f t="shared" si="4"/>
        <v>28.571428571428569</v>
      </c>
      <c r="M53" s="213">
        <f t="shared" si="4"/>
        <v>28.571428571428569</v>
      </c>
      <c r="N53" s="234">
        <f t="shared" si="3"/>
        <v>99.999999999999986</v>
      </c>
      <c r="O53" s="212">
        <v>37</v>
      </c>
      <c r="P53" s="213">
        <v>22</v>
      </c>
      <c r="Q53" s="213">
        <v>25.5</v>
      </c>
      <c r="R53" s="214">
        <f t="shared" si="2"/>
        <v>84.5</v>
      </c>
      <c r="S53" s="170">
        <v>3</v>
      </c>
      <c r="T53" s="283"/>
      <c r="U53" s="281"/>
      <c r="V53" s="177" t="s">
        <v>131</v>
      </c>
      <c r="W53" s="170" t="s">
        <v>22</v>
      </c>
      <c r="X53" s="170" t="s">
        <v>11</v>
      </c>
      <c r="Y53" s="178">
        <v>25.5</v>
      </c>
      <c r="Z53" s="170" t="s">
        <v>80</v>
      </c>
      <c r="AA53" s="170" t="s">
        <v>17</v>
      </c>
      <c r="AB53" s="170" t="s">
        <v>18</v>
      </c>
      <c r="AC53" s="170">
        <v>22</v>
      </c>
      <c r="AD53" s="177" t="s">
        <v>454</v>
      </c>
      <c r="AE53" s="170" t="s">
        <v>20</v>
      </c>
      <c r="AF53" s="170" t="s">
        <v>12</v>
      </c>
      <c r="AG53" s="178">
        <v>25.5</v>
      </c>
      <c r="AH53" s="170" t="s">
        <v>328</v>
      </c>
      <c r="AI53" s="170" t="s">
        <v>869</v>
      </c>
      <c r="AJ53" s="170" t="s">
        <v>11</v>
      </c>
      <c r="AK53" s="170">
        <v>11.5</v>
      </c>
      <c r="AL53" s="177"/>
      <c r="AO53" s="178"/>
      <c r="AP53" s="177"/>
      <c r="AS53" s="178"/>
      <c r="AW53" s="178"/>
      <c r="BA53" s="179"/>
    </row>
    <row r="54" spans="1:53" s="170" customFormat="1" x14ac:dyDescent="0.15">
      <c r="A54" s="215">
        <v>1983</v>
      </c>
      <c r="B54" s="281"/>
      <c r="C54" s="395" t="s">
        <v>459</v>
      </c>
      <c r="D54" s="395"/>
      <c r="E54" s="170">
        <v>352</v>
      </c>
      <c r="G54" s="232">
        <v>3</v>
      </c>
      <c r="H54" s="170">
        <v>2</v>
      </c>
      <c r="I54" s="170">
        <v>2</v>
      </c>
      <c r="J54" s="240">
        <v>7</v>
      </c>
      <c r="K54" s="213">
        <f t="shared" si="4"/>
        <v>42.857142857142854</v>
      </c>
      <c r="L54" s="213">
        <f t="shared" si="4"/>
        <v>28.571428571428569</v>
      </c>
      <c r="M54" s="213">
        <f t="shared" si="4"/>
        <v>28.571428571428569</v>
      </c>
      <c r="N54" s="234">
        <f t="shared" si="3"/>
        <v>99.999999999999986</v>
      </c>
      <c r="O54" s="212">
        <v>37</v>
      </c>
      <c r="P54" s="213">
        <v>22</v>
      </c>
      <c r="Q54" s="213">
        <v>25.5</v>
      </c>
      <c r="R54" s="214">
        <f t="shared" si="2"/>
        <v>84.5</v>
      </c>
      <c r="S54" s="170">
        <v>3</v>
      </c>
      <c r="T54" s="283"/>
      <c r="U54" s="281"/>
      <c r="V54" s="177" t="s">
        <v>131</v>
      </c>
      <c r="W54" s="170" t="s">
        <v>22</v>
      </c>
      <c r="X54" s="170" t="s">
        <v>11</v>
      </c>
      <c r="Y54" s="178">
        <v>25.5</v>
      </c>
      <c r="Z54" s="170" t="s">
        <v>80</v>
      </c>
      <c r="AA54" s="170" t="s">
        <v>17</v>
      </c>
      <c r="AB54" s="170" t="s">
        <v>18</v>
      </c>
      <c r="AC54" s="170">
        <v>22</v>
      </c>
      <c r="AD54" s="177" t="s">
        <v>454</v>
      </c>
      <c r="AE54" s="170" t="s">
        <v>20</v>
      </c>
      <c r="AF54" s="170" t="s">
        <v>12</v>
      </c>
      <c r="AG54" s="178">
        <v>25.5</v>
      </c>
      <c r="AH54" s="170" t="s">
        <v>328</v>
      </c>
      <c r="AI54" s="170" t="s">
        <v>869</v>
      </c>
      <c r="AJ54" s="170" t="s">
        <v>11</v>
      </c>
      <c r="AK54" s="170">
        <v>11.5</v>
      </c>
      <c r="AL54" s="177"/>
      <c r="AO54" s="178"/>
      <c r="AP54" s="177"/>
      <c r="AS54" s="178"/>
      <c r="AW54" s="178"/>
      <c r="BA54" s="179"/>
    </row>
    <row r="55" spans="1:53" s="28" customFormat="1" x14ac:dyDescent="0.15">
      <c r="A55" s="51">
        <v>1983</v>
      </c>
      <c r="B55" s="293">
        <v>30669</v>
      </c>
      <c r="C55" s="394" t="s">
        <v>427</v>
      </c>
      <c r="D55" s="394"/>
      <c r="E55" s="28">
        <f>365-E54</f>
        <v>13</v>
      </c>
      <c r="F55" s="28">
        <v>1</v>
      </c>
      <c r="G55" s="65">
        <v>3</v>
      </c>
      <c r="H55" s="28">
        <v>2</v>
      </c>
      <c r="I55" s="28">
        <v>2</v>
      </c>
      <c r="J55" s="72">
        <v>7</v>
      </c>
      <c r="K55" s="46">
        <f t="shared" si="4"/>
        <v>42.857142857142854</v>
      </c>
      <c r="L55" s="46">
        <f t="shared" si="4"/>
        <v>28.571428571428569</v>
      </c>
      <c r="M55" s="46">
        <f t="shared" si="4"/>
        <v>28.571428571428569</v>
      </c>
      <c r="N55" s="67">
        <f t="shared" si="3"/>
        <v>99.999999999999986</v>
      </c>
      <c r="O55" s="45">
        <v>38.5</v>
      </c>
      <c r="P55" s="46">
        <v>21</v>
      </c>
      <c r="Q55" s="46">
        <v>23.5</v>
      </c>
      <c r="R55" s="47">
        <f t="shared" si="2"/>
        <v>83</v>
      </c>
      <c r="S55" s="28">
        <v>3</v>
      </c>
      <c r="T55" s="284">
        <v>30612</v>
      </c>
      <c r="U55" s="293">
        <v>30669</v>
      </c>
      <c r="V55" s="37" t="s">
        <v>131</v>
      </c>
      <c r="W55" s="28" t="s">
        <v>22</v>
      </c>
      <c r="X55" s="28" t="s">
        <v>11</v>
      </c>
      <c r="Y55" s="38">
        <v>27</v>
      </c>
      <c r="Z55" s="28" t="s">
        <v>80</v>
      </c>
      <c r="AA55" s="28" t="s">
        <v>17</v>
      </c>
      <c r="AB55" s="28" t="s">
        <v>18</v>
      </c>
      <c r="AC55" s="28">
        <v>21</v>
      </c>
      <c r="AD55" s="37" t="s">
        <v>454</v>
      </c>
      <c r="AE55" s="28" t="s">
        <v>20</v>
      </c>
      <c r="AF55" s="28" t="s">
        <v>12</v>
      </c>
      <c r="AG55" s="38">
        <v>23.5</v>
      </c>
      <c r="AH55" s="28" t="s">
        <v>328</v>
      </c>
      <c r="AI55" s="28" t="s">
        <v>869</v>
      </c>
      <c r="AJ55" s="28" t="s">
        <v>11</v>
      </c>
      <c r="AK55" s="28">
        <v>11.5</v>
      </c>
      <c r="AL55" s="37"/>
      <c r="AO55" s="38"/>
      <c r="AP55" s="37"/>
      <c r="AS55" s="38"/>
      <c r="AW55" s="38"/>
      <c r="BA55" s="39"/>
    </row>
    <row r="56" spans="1:53" s="28" customFormat="1" x14ac:dyDescent="0.15">
      <c r="A56" s="51">
        <v>1984</v>
      </c>
      <c r="B56" s="293"/>
      <c r="C56" s="394" t="s">
        <v>427</v>
      </c>
      <c r="D56" s="394"/>
      <c r="E56" s="28">
        <v>0</v>
      </c>
      <c r="G56" s="65">
        <v>3</v>
      </c>
      <c r="H56" s="28">
        <v>2</v>
      </c>
      <c r="I56" s="28">
        <v>2</v>
      </c>
      <c r="J56" s="72">
        <v>7</v>
      </c>
      <c r="K56" s="46">
        <f t="shared" si="4"/>
        <v>42.857142857142854</v>
      </c>
      <c r="L56" s="46">
        <f t="shared" si="4"/>
        <v>28.571428571428569</v>
      </c>
      <c r="M56" s="46">
        <f t="shared" si="4"/>
        <v>28.571428571428569</v>
      </c>
      <c r="N56" s="67">
        <f t="shared" si="3"/>
        <v>99.999999999999986</v>
      </c>
      <c r="O56" s="45">
        <v>38.5</v>
      </c>
      <c r="P56" s="46">
        <v>21</v>
      </c>
      <c r="Q56" s="46">
        <v>23.5</v>
      </c>
      <c r="R56" s="47">
        <f t="shared" si="2"/>
        <v>83</v>
      </c>
      <c r="S56" s="28">
        <v>3</v>
      </c>
      <c r="T56" s="284"/>
      <c r="U56" s="293"/>
      <c r="V56" s="37" t="s">
        <v>131</v>
      </c>
      <c r="W56" s="28" t="s">
        <v>22</v>
      </c>
      <c r="X56" s="28" t="s">
        <v>11</v>
      </c>
      <c r="Y56" s="38">
        <v>27</v>
      </c>
      <c r="Z56" s="28" t="s">
        <v>80</v>
      </c>
      <c r="AA56" s="28" t="s">
        <v>17</v>
      </c>
      <c r="AB56" s="28" t="s">
        <v>18</v>
      </c>
      <c r="AC56" s="28">
        <v>21</v>
      </c>
      <c r="AD56" s="37" t="s">
        <v>454</v>
      </c>
      <c r="AE56" s="28" t="s">
        <v>20</v>
      </c>
      <c r="AF56" s="28" t="s">
        <v>12</v>
      </c>
      <c r="AG56" s="38">
        <v>23.5</v>
      </c>
      <c r="AH56" s="28" t="s">
        <v>328</v>
      </c>
      <c r="AI56" s="28" t="s">
        <v>869</v>
      </c>
      <c r="AJ56" s="28" t="s">
        <v>11</v>
      </c>
      <c r="AK56" s="28">
        <v>11.5</v>
      </c>
      <c r="AL56" s="37"/>
      <c r="AO56" s="38"/>
      <c r="AP56" s="37"/>
      <c r="AS56" s="38"/>
      <c r="AW56" s="38"/>
      <c r="BA56" s="39"/>
    </row>
    <row r="57" spans="1:53" s="28" customFormat="1" x14ac:dyDescent="0.15">
      <c r="A57" s="51">
        <v>1984</v>
      </c>
      <c r="B57" s="293"/>
      <c r="C57" s="394" t="s">
        <v>428</v>
      </c>
      <c r="D57" s="394"/>
      <c r="E57" s="28">
        <v>366</v>
      </c>
      <c r="F57" s="28">
        <v>1</v>
      </c>
      <c r="G57" s="65">
        <v>3</v>
      </c>
      <c r="H57" s="28">
        <v>2</v>
      </c>
      <c r="I57" s="28">
        <v>2</v>
      </c>
      <c r="J57" s="72">
        <v>7</v>
      </c>
      <c r="K57" s="46">
        <f t="shared" si="4"/>
        <v>42.857142857142854</v>
      </c>
      <c r="L57" s="46">
        <f t="shared" si="4"/>
        <v>28.571428571428569</v>
      </c>
      <c r="M57" s="46">
        <f t="shared" si="4"/>
        <v>28.571428571428569</v>
      </c>
      <c r="N57" s="67">
        <f t="shared" si="3"/>
        <v>99.999999999999986</v>
      </c>
      <c r="O57" s="45">
        <v>38.5</v>
      </c>
      <c r="P57" s="46">
        <v>21</v>
      </c>
      <c r="Q57" s="46">
        <v>23.5</v>
      </c>
      <c r="R57" s="47">
        <f t="shared" si="2"/>
        <v>83</v>
      </c>
      <c r="S57" s="28">
        <v>3</v>
      </c>
      <c r="T57" s="284"/>
      <c r="U57" s="293"/>
      <c r="V57" s="37" t="s">
        <v>131</v>
      </c>
      <c r="W57" s="28" t="s">
        <v>22</v>
      </c>
      <c r="X57" s="28" t="s">
        <v>11</v>
      </c>
      <c r="Y57" s="38">
        <v>27</v>
      </c>
      <c r="Z57" s="28" t="s">
        <v>80</v>
      </c>
      <c r="AA57" s="28" t="s">
        <v>17</v>
      </c>
      <c r="AB57" s="28" t="s">
        <v>18</v>
      </c>
      <c r="AC57" s="28">
        <v>21</v>
      </c>
      <c r="AD57" s="37" t="s">
        <v>454</v>
      </c>
      <c r="AE57" s="28" t="s">
        <v>20</v>
      </c>
      <c r="AF57" s="28" t="s">
        <v>12</v>
      </c>
      <c r="AG57" s="38">
        <v>23.5</v>
      </c>
      <c r="AH57" s="28" t="s">
        <v>328</v>
      </c>
      <c r="AI57" s="28" t="s">
        <v>869</v>
      </c>
      <c r="AJ57" s="28" t="s">
        <v>11</v>
      </c>
      <c r="AK57" s="28">
        <v>11.5</v>
      </c>
      <c r="AL57" s="37"/>
      <c r="AO57" s="38"/>
      <c r="AP57" s="37"/>
      <c r="AS57" s="38"/>
      <c r="AW57" s="38"/>
      <c r="BA57" s="39"/>
    </row>
    <row r="58" spans="1:53" s="28" customFormat="1" x14ac:dyDescent="0.15">
      <c r="A58" s="51">
        <v>1985</v>
      </c>
      <c r="B58" s="293"/>
      <c r="C58" s="394" t="s">
        <v>428</v>
      </c>
      <c r="D58" s="394"/>
      <c r="E58" s="28">
        <v>0</v>
      </c>
      <c r="G58" s="65">
        <v>3</v>
      </c>
      <c r="H58" s="28">
        <v>2</v>
      </c>
      <c r="I58" s="28">
        <v>2</v>
      </c>
      <c r="J58" s="72">
        <v>7</v>
      </c>
      <c r="K58" s="46">
        <f t="shared" si="4"/>
        <v>42.857142857142854</v>
      </c>
      <c r="L58" s="46">
        <f t="shared" si="4"/>
        <v>28.571428571428569</v>
      </c>
      <c r="M58" s="46">
        <f t="shared" si="4"/>
        <v>28.571428571428569</v>
      </c>
      <c r="N58" s="67">
        <f t="shared" si="3"/>
        <v>99.999999999999986</v>
      </c>
      <c r="O58" s="45">
        <v>38.5</v>
      </c>
      <c r="P58" s="46">
        <v>21</v>
      </c>
      <c r="Q58" s="46">
        <v>23.5</v>
      </c>
      <c r="R58" s="47">
        <f t="shared" si="2"/>
        <v>83</v>
      </c>
      <c r="S58" s="28">
        <v>3</v>
      </c>
      <c r="T58" s="284"/>
      <c r="U58" s="293"/>
      <c r="V58" s="37" t="s">
        <v>131</v>
      </c>
      <c r="W58" s="28" t="s">
        <v>22</v>
      </c>
      <c r="X58" s="28" t="s">
        <v>11</v>
      </c>
      <c r="Y58" s="38">
        <v>27</v>
      </c>
      <c r="Z58" s="28" t="s">
        <v>80</v>
      </c>
      <c r="AA58" s="28" t="s">
        <v>17</v>
      </c>
      <c r="AB58" s="28" t="s">
        <v>18</v>
      </c>
      <c r="AC58" s="28">
        <v>21</v>
      </c>
      <c r="AD58" s="37" t="s">
        <v>454</v>
      </c>
      <c r="AE58" s="28" t="s">
        <v>20</v>
      </c>
      <c r="AF58" s="28" t="s">
        <v>12</v>
      </c>
      <c r="AG58" s="38">
        <v>23.5</v>
      </c>
      <c r="AH58" s="28" t="s">
        <v>328</v>
      </c>
      <c r="AI58" s="28" t="s">
        <v>869</v>
      </c>
      <c r="AJ58" s="28" t="s">
        <v>11</v>
      </c>
      <c r="AK58" s="28">
        <v>11.5</v>
      </c>
      <c r="AL58" s="37"/>
      <c r="AO58" s="38"/>
      <c r="AP58" s="37"/>
      <c r="AS58" s="38"/>
      <c r="AW58" s="38"/>
      <c r="BA58" s="39"/>
    </row>
    <row r="59" spans="1:53" s="28" customFormat="1" x14ac:dyDescent="0.15">
      <c r="A59" s="51">
        <v>1985</v>
      </c>
      <c r="B59" s="293"/>
      <c r="C59" s="394" t="s">
        <v>429</v>
      </c>
      <c r="D59" s="394"/>
      <c r="E59" s="28">
        <v>365</v>
      </c>
      <c r="F59" s="28">
        <v>1</v>
      </c>
      <c r="G59" s="65">
        <v>3</v>
      </c>
      <c r="H59" s="28">
        <v>2</v>
      </c>
      <c r="I59" s="28">
        <v>2</v>
      </c>
      <c r="J59" s="72">
        <v>7</v>
      </c>
      <c r="K59" s="46">
        <f t="shared" si="4"/>
        <v>42.857142857142854</v>
      </c>
      <c r="L59" s="46">
        <f t="shared" si="4"/>
        <v>28.571428571428569</v>
      </c>
      <c r="M59" s="46">
        <f t="shared" si="4"/>
        <v>28.571428571428569</v>
      </c>
      <c r="N59" s="67">
        <f t="shared" si="3"/>
        <v>99.999999999999986</v>
      </c>
      <c r="O59" s="45">
        <v>38.5</v>
      </c>
      <c r="P59" s="46">
        <v>21</v>
      </c>
      <c r="Q59" s="46">
        <v>23.5</v>
      </c>
      <c r="R59" s="47">
        <f t="shared" si="2"/>
        <v>83</v>
      </c>
      <c r="S59" s="28">
        <v>3</v>
      </c>
      <c r="T59" s="284"/>
      <c r="U59" s="293"/>
      <c r="V59" s="37" t="s">
        <v>131</v>
      </c>
      <c r="W59" s="28" t="s">
        <v>22</v>
      </c>
      <c r="X59" s="28" t="s">
        <v>11</v>
      </c>
      <c r="Y59" s="38">
        <v>27</v>
      </c>
      <c r="Z59" s="28" t="s">
        <v>80</v>
      </c>
      <c r="AA59" s="28" t="s">
        <v>17</v>
      </c>
      <c r="AB59" s="28" t="s">
        <v>18</v>
      </c>
      <c r="AC59" s="28">
        <v>21</v>
      </c>
      <c r="AD59" s="37" t="s">
        <v>454</v>
      </c>
      <c r="AE59" s="28" t="s">
        <v>20</v>
      </c>
      <c r="AF59" s="28" t="s">
        <v>12</v>
      </c>
      <c r="AG59" s="38">
        <v>23.5</v>
      </c>
      <c r="AH59" s="28" t="s">
        <v>328</v>
      </c>
      <c r="AI59" s="28" t="s">
        <v>869</v>
      </c>
      <c r="AJ59" s="28" t="s">
        <v>11</v>
      </c>
      <c r="AK59" s="28">
        <v>11.5</v>
      </c>
      <c r="AL59" s="37"/>
      <c r="AO59" s="38"/>
      <c r="AP59" s="37"/>
      <c r="AS59" s="38"/>
      <c r="AW59" s="38"/>
      <c r="BA59" s="39"/>
    </row>
    <row r="60" spans="1:53" s="28" customFormat="1" x14ac:dyDescent="0.15">
      <c r="A60" s="51">
        <v>1986</v>
      </c>
      <c r="B60" s="293"/>
      <c r="C60" s="394" t="s">
        <v>429</v>
      </c>
      <c r="D60" s="394"/>
      <c r="E60" s="28">
        <v>0</v>
      </c>
      <c r="G60" s="65">
        <v>3</v>
      </c>
      <c r="H60" s="28">
        <v>2</v>
      </c>
      <c r="I60" s="28">
        <v>2</v>
      </c>
      <c r="J60" s="72">
        <v>7</v>
      </c>
      <c r="K60" s="46">
        <f>G60/J60*100</f>
        <v>42.857142857142854</v>
      </c>
      <c r="L60" s="46">
        <f>H60/J60*100</f>
        <v>28.571428571428569</v>
      </c>
      <c r="M60" s="46">
        <f>I60/J60*100</f>
        <v>28.571428571428569</v>
      </c>
      <c r="N60" s="67">
        <f t="shared" si="3"/>
        <v>99.999999999999986</v>
      </c>
      <c r="O60" s="45">
        <v>38.5</v>
      </c>
      <c r="P60" s="46">
        <v>21</v>
      </c>
      <c r="Q60" s="46">
        <v>23.5</v>
      </c>
      <c r="R60" s="47">
        <f t="shared" si="2"/>
        <v>83</v>
      </c>
      <c r="S60" s="28">
        <v>3</v>
      </c>
      <c r="T60" s="284"/>
      <c r="U60" s="293"/>
      <c r="V60" s="37" t="s">
        <v>131</v>
      </c>
      <c r="W60" s="28" t="s">
        <v>22</v>
      </c>
      <c r="X60" s="28" t="s">
        <v>11</v>
      </c>
      <c r="Y60" s="38">
        <v>27</v>
      </c>
      <c r="Z60" s="28" t="s">
        <v>80</v>
      </c>
      <c r="AA60" s="28" t="s">
        <v>17</v>
      </c>
      <c r="AB60" s="28" t="s">
        <v>18</v>
      </c>
      <c r="AC60" s="28">
        <v>21</v>
      </c>
      <c r="AD60" s="37" t="s">
        <v>454</v>
      </c>
      <c r="AE60" s="28" t="s">
        <v>20</v>
      </c>
      <c r="AF60" s="28" t="s">
        <v>12</v>
      </c>
      <c r="AG60" s="38">
        <v>23.5</v>
      </c>
      <c r="AH60" s="28" t="s">
        <v>328</v>
      </c>
      <c r="AI60" s="28" t="s">
        <v>869</v>
      </c>
      <c r="AJ60" s="28" t="s">
        <v>11</v>
      </c>
      <c r="AK60" s="28">
        <v>11.5</v>
      </c>
      <c r="AL60" s="37"/>
      <c r="AO60" s="38"/>
      <c r="AP60" s="37"/>
      <c r="AS60" s="38"/>
      <c r="AW60" s="38"/>
      <c r="BA60" s="39"/>
    </row>
    <row r="61" spans="1:53" s="28" customFormat="1" x14ac:dyDescent="0.15">
      <c r="A61" s="51">
        <v>1986</v>
      </c>
      <c r="B61" s="293"/>
      <c r="C61" s="394" t="s">
        <v>460</v>
      </c>
      <c r="D61" s="394"/>
      <c r="E61" s="28">
        <v>365</v>
      </c>
      <c r="F61" s="28">
        <v>1</v>
      </c>
      <c r="G61" s="65">
        <v>3</v>
      </c>
      <c r="H61" s="28">
        <v>2</v>
      </c>
      <c r="I61" s="28">
        <v>2</v>
      </c>
      <c r="J61" s="72">
        <v>7</v>
      </c>
      <c r="K61" s="46">
        <f t="shared" ref="K61:K68" si="5">G61/J61*100</f>
        <v>42.857142857142854</v>
      </c>
      <c r="L61" s="46">
        <f t="shared" ref="L61:L68" si="6">H61/J61*100</f>
        <v>28.571428571428569</v>
      </c>
      <c r="M61" s="46">
        <f t="shared" ref="M61:M68" si="7">I61/J61*100</f>
        <v>28.571428571428569</v>
      </c>
      <c r="N61" s="67">
        <f t="shared" si="3"/>
        <v>99.999999999999986</v>
      </c>
      <c r="O61" s="45">
        <v>38.5</v>
      </c>
      <c r="P61" s="46">
        <v>21</v>
      </c>
      <c r="Q61" s="46">
        <v>23.5</v>
      </c>
      <c r="R61" s="47">
        <f t="shared" si="2"/>
        <v>83</v>
      </c>
      <c r="S61" s="28">
        <v>3</v>
      </c>
      <c r="T61" s="284"/>
      <c r="U61" s="293"/>
      <c r="V61" s="37" t="s">
        <v>131</v>
      </c>
      <c r="W61" s="28" t="s">
        <v>22</v>
      </c>
      <c r="X61" s="28" t="s">
        <v>11</v>
      </c>
      <c r="Y61" s="38">
        <v>27</v>
      </c>
      <c r="Z61" s="28" t="s">
        <v>80</v>
      </c>
      <c r="AA61" s="28" t="s">
        <v>17</v>
      </c>
      <c r="AB61" s="28" t="s">
        <v>18</v>
      </c>
      <c r="AC61" s="28">
        <v>21</v>
      </c>
      <c r="AD61" s="37" t="s">
        <v>454</v>
      </c>
      <c r="AE61" s="28" t="s">
        <v>20</v>
      </c>
      <c r="AF61" s="28" t="s">
        <v>12</v>
      </c>
      <c r="AG61" s="38">
        <v>23.5</v>
      </c>
      <c r="AH61" s="28" t="s">
        <v>328</v>
      </c>
      <c r="AI61" s="28" t="s">
        <v>869</v>
      </c>
      <c r="AJ61" s="28" t="s">
        <v>11</v>
      </c>
      <c r="AK61" s="28">
        <v>11.5</v>
      </c>
      <c r="AL61" s="37"/>
      <c r="AO61" s="38"/>
      <c r="AP61" s="37"/>
      <c r="AS61" s="38"/>
      <c r="AW61" s="38"/>
      <c r="BA61" s="39"/>
    </row>
    <row r="62" spans="1:53" s="28" customFormat="1" x14ac:dyDescent="0.15">
      <c r="A62" s="51">
        <v>1987</v>
      </c>
      <c r="B62" s="293"/>
      <c r="C62" s="394" t="s">
        <v>460</v>
      </c>
      <c r="D62" s="394"/>
      <c r="E62" s="28">
        <v>342</v>
      </c>
      <c r="G62" s="65">
        <v>3</v>
      </c>
      <c r="H62" s="28">
        <v>2</v>
      </c>
      <c r="I62" s="28">
        <v>2</v>
      </c>
      <c r="J62" s="72">
        <v>7</v>
      </c>
      <c r="K62" s="46">
        <f t="shared" si="5"/>
        <v>42.857142857142854</v>
      </c>
      <c r="L62" s="46">
        <f t="shared" si="6"/>
        <v>28.571428571428569</v>
      </c>
      <c r="M62" s="46">
        <f t="shared" si="7"/>
        <v>28.571428571428569</v>
      </c>
      <c r="N62" s="67">
        <f t="shared" si="3"/>
        <v>99.999999999999986</v>
      </c>
      <c r="O62" s="45">
        <v>38.5</v>
      </c>
      <c r="P62" s="46">
        <v>21</v>
      </c>
      <c r="Q62" s="46">
        <v>23.5</v>
      </c>
      <c r="R62" s="47">
        <f t="shared" si="2"/>
        <v>83</v>
      </c>
      <c r="S62" s="36">
        <v>3</v>
      </c>
      <c r="T62" s="284"/>
      <c r="U62" s="293"/>
      <c r="V62" s="37" t="s">
        <v>131</v>
      </c>
      <c r="W62" s="28" t="s">
        <v>22</v>
      </c>
      <c r="X62" s="28" t="s">
        <v>11</v>
      </c>
      <c r="Y62" s="38">
        <v>27</v>
      </c>
      <c r="Z62" s="28" t="s">
        <v>80</v>
      </c>
      <c r="AA62" s="28" t="s">
        <v>17</v>
      </c>
      <c r="AB62" s="28" t="s">
        <v>18</v>
      </c>
      <c r="AC62" s="28">
        <v>21</v>
      </c>
      <c r="AD62" s="37" t="s">
        <v>454</v>
      </c>
      <c r="AE62" s="28" t="s">
        <v>20</v>
      </c>
      <c r="AF62" s="28" t="s">
        <v>12</v>
      </c>
      <c r="AG62" s="38">
        <v>23.5</v>
      </c>
      <c r="AH62" s="28" t="s">
        <v>328</v>
      </c>
      <c r="AI62" s="28" t="s">
        <v>869</v>
      </c>
      <c r="AJ62" s="28" t="s">
        <v>11</v>
      </c>
      <c r="AK62" s="28">
        <v>11.5</v>
      </c>
      <c r="AL62" s="37"/>
      <c r="AO62" s="38"/>
      <c r="AP62" s="37"/>
      <c r="AS62" s="38"/>
      <c r="AW62" s="38"/>
      <c r="BA62" s="39"/>
    </row>
    <row r="63" spans="1:53" s="170" customFormat="1" x14ac:dyDescent="0.15">
      <c r="A63" s="215">
        <v>1987</v>
      </c>
      <c r="B63" s="281">
        <v>32120</v>
      </c>
      <c r="C63" s="395" t="s">
        <v>461</v>
      </c>
      <c r="D63" s="395"/>
      <c r="E63" s="170">
        <f>365-E62</f>
        <v>23</v>
      </c>
      <c r="F63" s="170">
        <v>1</v>
      </c>
      <c r="G63" s="232">
        <v>3</v>
      </c>
      <c r="H63" s="170">
        <v>2</v>
      </c>
      <c r="I63" s="170">
        <v>2</v>
      </c>
      <c r="J63" s="240">
        <v>7</v>
      </c>
      <c r="K63" s="213">
        <f t="shared" si="5"/>
        <v>42.857142857142854</v>
      </c>
      <c r="L63" s="213">
        <f t="shared" si="6"/>
        <v>28.571428571428569</v>
      </c>
      <c r="M63" s="213">
        <f t="shared" si="7"/>
        <v>28.571428571428569</v>
      </c>
      <c r="N63" s="234">
        <f t="shared" si="3"/>
        <v>99.999999999999986</v>
      </c>
      <c r="O63" s="212">
        <v>38</v>
      </c>
      <c r="P63" s="213">
        <v>21</v>
      </c>
      <c r="Q63" s="213">
        <v>20.5</v>
      </c>
      <c r="R63" s="214">
        <f t="shared" si="2"/>
        <v>79.5</v>
      </c>
      <c r="S63" s="189">
        <v>3</v>
      </c>
      <c r="T63" s="283">
        <v>32068</v>
      </c>
      <c r="U63" s="281">
        <v>32120</v>
      </c>
      <c r="V63" s="177" t="s">
        <v>131</v>
      </c>
      <c r="W63" s="170" t="s">
        <v>22</v>
      </c>
      <c r="X63" s="170" t="s">
        <v>11</v>
      </c>
      <c r="Y63" s="178">
        <v>25.5</v>
      </c>
      <c r="Z63" s="170" t="s">
        <v>80</v>
      </c>
      <c r="AA63" s="170" t="s">
        <v>17</v>
      </c>
      <c r="AB63" s="170" t="s">
        <v>18</v>
      </c>
      <c r="AC63" s="170">
        <v>21</v>
      </c>
      <c r="AD63" s="177" t="s">
        <v>454</v>
      </c>
      <c r="AE63" s="170" t="s">
        <v>20</v>
      </c>
      <c r="AF63" s="170" t="s">
        <v>12</v>
      </c>
      <c r="AG63" s="178">
        <v>20.5</v>
      </c>
      <c r="AH63" s="170" t="s">
        <v>328</v>
      </c>
      <c r="AI63" s="170" t="s">
        <v>869</v>
      </c>
      <c r="AJ63" s="170" t="s">
        <v>11</v>
      </c>
      <c r="AK63" s="170">
        <v>12.5</v>
      </c>
      <c r="AL63" s="177"/>
      <c r="AO63" s="178"/>
      <c r="AP63" s="177"/>
      <c r="AS63" s="178"/>
      <c r="AW63" s="178"/>
      <c r="BA63" s="179"/>
    </row>
    <row r="64" spans="1:53" s="170" customFormat="1" x14ac:dyDescent="0.15">
      <c r="A64" s="215">
        <v>1988</v>
      </c>
      <c r="B64" s="281"/>
      <c r="C64" s="395" t="s">
        <v>461</v>
      </c>
      <c r="D64" s="395"/>
      <c r="E64" s="170">
        <v>0</v>
      </c>
      <c r="G64" s="232">
        <v>3</v>
      </c>
      <c r="H64" s="170">
        <v>2</v>
      </c>
      <c r="I64" s="170">
        <v>2</v>
      </c>
      <c r="J64" s="240">
        <v>7</v>
      </c>
      <c r="K64" s="213">
        <f t="shared" si="5"/>
        <v>42.857142857142854</v>
      </c>
      <c r="L64" s="213">
        <f t="shared" si="6"/>
        <v>28.571428571428569</v>
      </c>
      <c r="M64" s="213">
        <f t="shared" si="7"/>
        <v>28.571428571428569</v>
      </c>
      <c r="N64" s="234">
        <f t="shared" si="3"/>
        <v>99.999999999999986</v>
      </c>
      <c r="O64" s="212">
        <v>38</v>
      </c>
      <c r="P64" s="213">
        <v>21</v>
      </c>
      <c r="Q64" s="213">
        <v>20.5</v>
      </c>
      <c r="R64" s="214">
        <f t="shared" si="2"/>
        <v>79.5</v>
      </c>
      <c r="S64" s="189">
        <v>3</v>
      </c>
      <c r="T64" s="283"/>
      <c r="U64" s="281"/>
      <c r="V64" s="177" t="s">
        <v>131</v>
      </c>
      <c r="W64" s="170" t="s">
        <v>22</v>
      </c>
      <c r="X64" s="170" t="s">
        <v>11</v>
      </c>
      <c r="Y64" s="178">
        <v>25.5</v>
      </c>
      <c r="Z64" s="170" t="s">
        <v>80</v>
      </c>
      <c r="AA64" s="170" t="s">
        <v>17</v>
      </c>
      <c r="AB64" s="170" t="s">
        <v>18</v>
      </c>
      <c r="AC64" s="170">
        <v>21</v>
      </c>
      <c r="AD64" s="177" t="s">
        <v>454</v>
      </c>
      <c r="AE64" s="170" t="s">
        <v>20</v>
      </c>
      <c r="AF64" s="170" t="s">
        <v>12</v>
      </c>
      <c r="AG64" s="178">
        <v>20.5</v>
      </c>
      <c r="AH64" s="170" t="s">
        <v>328</v>
      </c>
      <c r="AI64" s="170" t="s">
        <v>869</v>
      </c>
      <c r="AJ64" s="170" t="s">
        <v>11</v>
      </c>
      <c r="AK64" s="170">
        <v>12.5</v>
      </c>
      <c r="AL64" s="177"/>
      <c r="AO64" s="178"/>
      <c r="AP64" s="177"/>
      <c r="AS64" s="178"/>
      <c r="AW64" s="178"/>
      <c r="BA64" s="179"/>
    </row>
    <row r="65" spans="1:53" s="170" customFormat="1" x14ac:dyDescent="0.15">
      <c r="A65" s="215">
        <v>1988</v>
      </c>
      <c r="B65" s="281"/>
      <c r="C65" s="395" t="s">
        <v>430</v>
      </c>
      <c r="D65" s="395"/>
      <c r="E65" s="170">
        <v>366</v>
      </c>
      <c r="F65" s="170">
        <v>1</v>
      </c>
      <c r="G65" s="232">
        <v>3</v>
      </c>
      <c r="H65" s="170">
        <v>2</v>
      </c>
      <c r="I65" s="170">
        <v>2</v>
      </c>
      <c r="J65" s="240">
        <v>7</v>
      </c>
      <c r="K65" s="213">
        <f t="shared" si="5"/>
        <v>42.857142857142854</v>
      </c>
      <c r="L65" s="213">
        <f t="shared" si="6"/>
        <v>28.571428571428569</v>
      </c>
      <c r="M65" s="213">
        <f t="shared" si="7"/>
        <v>28.571428571428569</v>
      </c>
      <c r="N65" s="234">
        <f t="shared" si="3"/>
        <v>99.999999999999986</v>
      </c>
      <c r="O65" s="212">
        <v>38</v>
      </c>
      <c r="P65" s="213">
        <v>21</v>
      </c>
      <c r="Q65" s="213">
        <v>20.5</v>
      </c>
      <c r="R65" s="214">
        <f t="shared" si="2"/>
        <v>79.5</v>
      </c>
      <c r="S65" s="189">
        <v>3</v>
      </c>
      <c r="T65" s="283"/>
      <c r="U65" s="281"/>
      <c r="V65" s="177" t="s">
        <v>131</v>
      </c>
      <c r="W65" s="170" t="s">
        <v>22</v>
      </c>
      <c r="X65" s="170" t="s">
        <v>11</v>
      </c>
      <c r="Y65" s="178">
        <v>25.5</v>
      </c>
      <c r="Z65" s="170" t="s">
        <v>80</v>
      </c>
      <c r="AA65" s="170" t="s">
        <v>17</v>
      </c>
      <c r="AB65" s="170" t="s">
        <v>18</v>
      </c>
      <c r="AC65" s="170">
        <v>21</v>
      </c>
      <c r="AD65" s="177" t="s">
        <v>454</v>
      </c>
      <c r="AE65" s="170" t="s">
        <v>20</v>
      </c>
      <c r="AF65" s="170" t="s">
        <v>12</v>
      </c>
      <c r="AG65" s="178">
        <v>20.5</v>
      </c>
      <c r="AH65" s="170" t="s">
        <v>328</v>
      </c>
      <c r="AI65" s="170" t="s">
        <v>869</v>
      </c>
      <c r="AJ65" s="170" t="s">
        <v>11</v>
      </c>
      <c r="AK65" s="170">
        <v>12.5</v>
      </c>
      <c r="AL65" s="177"/>
      <c r="AO65" s="178"/>
      <c r="AP65" s="177"/>
      <c r="AS65" s="178"/>
      <c r="AW65" s="178"/>
      <c r="BA65" s="179"/>
    </row>
    <row r="66" spans="1:53" s="170" customFormat="1" x14ac:dyDescent="0.15">
      <c r="A66" s="215">
        <v>1989</v>
      </c>
      <c r="B66" s="281"/>
      <c r="C66" s="395" t="s">
        <v>430</v>
      </c>
      <c r="D66" s="395"/>
      <c r="E66" s="170">
        <v>0</v>
      </c>
      <c r="G66" s="232">
        <v>3</v>
      </c>
      <c r="H66" s="170">
        <v>2</v>
      </c>
      <c r="I66" s="170">
        <v>2</v>
      </c>
      <c r="J66" s="240">
        <v>7</v>
      </c>
      <c r="K66" s="213">
        <f t="shared" si="5"/>
        <v>42.857142857142854</v>
      </c>
      <c r="L66" s="213">
        <f t="shared" si="6"/>
        <v>28.571428571428569</v>
      </c>
      <c r="M66" s="213">
        <f t="shared" si="7"/>
        <v>28.571428571428569</v>
      </c>
      <c r="N66" s="234">
        <f t="shared" si="3"/>
        <v>99.999999999999986</v>
      </c>
      <c r="O66" s="212">
        <v>38</v>
      </c>
      <c r="P66" s="213">
        <v>21</v>
      </c>
      <c r="Q66" s="213">
        <v>20.5</v>
      </c>
      <c r="R66" s="214">
        <f t="shared" si="2"/>
        <v>79.5</v>
      </c>
      <c r="S66" s="189">
        <v>3</v>
      </c>
      <c r="T66" s="283"/>
      <c r="U66" s="281"/>
      <c r="V66" s="177" t="s">
        <v>131</v>
      </c>
      <c r="W66" s="170" t="s">
        <v>22</v>
      </c>
      <c r="X66" s="170" t="s">
        <v>11</v>
      </c>
      <c r="Y66" s="178">
        <v>25.5</v>
      </c>
      <c r="Z66" s="170" t="s">
        <v>80</v>
      </c>
      <c r="AA66" s="170" t="s">
        <v>17</v>
      </c>
      <c r="AB66" s="170" t="s">
        <v>18</v>
      </c>
      <c r="AC66" s="170">
        <v>21</v>
      </c>
      <c r="AD66" s="177" t="s">
        <v>454</v>
      </c>
      <c r="AE66" s="170" t="s">
        <v>20</v>
      </c>
      <c r="AF66" s="170" t="s">
        <v>12</v>
      </c>
      <c r="AG66" s="178">
        <v>20.5</v>
      </c>
      <c r="AH66" s="170" t="s">
        <v>328</v>
      </c>
      <c r="AI66" s="170" t="s">
        <v>869</v>
      </c>
      <c r="AJ66" s="170" t="s">
        <v>11</v>
      </c>
      <c r="AK66" s="170">
        <v>12.5</v>
      </c>
      <c r="AL66" s="177"/>
      <c r="AO66" s="178"/>
      <c r="AP66" s="177"/>
      <c r="AS66" s="178"/>
      <c r="AW66" s="178"/>
      <c r="BA66" s="179"/>
    </row>
    <row r="67" spans="1:53" s="53" customFormat="1" x14ac:dyDescent="0.15">
      <c r="A67" s="117">
        <v>1989</v>
      </c>
      <c r="B67" s="291"/>
      <c r="C67" s="399" t="s">
        <v>432</v>
      </c>
      <c r="D67" s="399"/>
      <c r="E67" s="53">
        <f>365-E66</f>
        <v>365</v>
      </c>
      <c r="F67" s="53">
        <v>1</v>
      </c>
      <c r="G67" s="248">
        <v>3</v>
      </c>
      <c r="H67" s="53">
        <v>2</v>
      </c>
      <c r="I67" s="53">
        <v>2</v>
      </c>
      <c r="J67" s="249">
        <v>7</v>
      </c>
      <c r="K67" s="225">
        <f t="shared" si="5"/>
        <v>42.857142857142854</v>
      </c>
      <c r="L67" s="225">
        <f t="shared" si="6"/>
        <v>28.571428571428569</v>
      </c>
      <c r="M67" s="225">
        <f t="shared" si="7"/>
        <v>28.571428571428569</v>
      </c>
      <c r="N67" s="226">
        <f t="shared" si="3"/>
        <v>99.999999999999986</v>
      </c>
      <c r="O67" s="224">
        <v>38</v>
      </c>
      <c r="P67" s="225">
        <v>21</v>
      </c>
      <c r="Q67" s="225">
        <v>20.5</v>
      </c>
      <c r="R67" s="226">
        <f t="shared" si="2"/>
        <v>79.5</v>
      </c>
      <c r="S67" s="257">
        <v>3</v>
      </c>
      <c r="T67" s="285"/>
      <c r="U67" s="291"/>
      <c r="V67" s="54" t="s">
        <v>131</v>
      </c>
      <c r="W67" s="53" t="s">
        <v>22</v>
      </c>
      <c r="X67" s="53" t="s">
        <v>11</v>
      </c>
      <c r="Y67" s="55">
        <v>25.5</v>
      </c>
      <c r="Z67" s="53" t="s">
        <v>80</v>
      </c>
      <c r="AA67" s="53" t="s">
        <v>17</v>
      </c>
      <c r="AB67" s="53" t="s">
        <v>18</v>
      </c>
      <c r="AC67" s="53">
        <v>21</v>
      </c>
      <c r="AD67" s="54" t="s">
        <v>454</v>
      </c>
      <c r="AE67" s="53" t="s">
        <v>20</v>
      </c>
      <c r="AF67" s="53" t="s">
        <v>12</v>
      </c>
      <c r="AG67" s="55">
        <v>20.5</v>
      </c>
      <c r="AH67" s="53" t="s">
        <v>328</v>
      </c>
      <c r="AI67" s="53" t="s">
        <v>869</v>
      </c>
      <c r="AJ67" s="53" t="s">
        <v>11</v>
      </c>
      <c r="AK67" s="55">
        <v>12.5</v>
      </c>
      <c r="AL67" s="54"/>
      <c r="AO67" s="55"/>
      <c r="AP67" s="54"/>
      <c r="AS67" s="55"/>
      <c r="AW67" s="55"/>
      <c r="BA67" s="56"/>
    </row>
    <row r="68" spans="1:53" s="170" customFormat="1" x14ac:dyDescent="0.15">
      <c r="A68" s="170">
        <v>1990</v>
      </c>
      <c r="B68" s="281"/>
      <c r="C68" s="395" t="s">
        <v>432</v>
      </c>
      <c r="D68" s="395"/>
      <c r="E68" s="170">
        <v>0</v>
      </c>
      <c r="G68" s="232">
        <v>3</v>
      </c>
      <c r="H68" s="170">
        <v>2</v>
      </c>
      <c r="I68" s="170">
        <v>2</v>
      </c>
      <c r="J68" s="240">
        <v>7</v>
      </c>
      <c r="K68" s="213">
        <f t="shared" si="5"/>
        <v>42.857142857142854</v>
      </c>
      <c r="L68" s="213">
        <f t="shared" si="6"/>
        <v>28.571428571428569</v>
      </c>
      <c r="M68" s="213">
        <f t="shared" si="7"/>
        <v>28.571428571428569</v>
      </c>
      <c r="N68" s="234">
        <f t="shared" si="3"/>
        <v>99.999999999999986</v>
      </c>
      <c r="O68" s="212">
        <v>38</v>
      </c>
      <c r="P68" s="213">
        <v>21</v>
      </c>
      <c r="Q68" s="213">
        <v>20.5</v>
      </c>
      <c r="R68" s="214">
        <f>O68+P68+Q68</f>
        <v>79.5</v>
      </c>
      <c r="S68" s="170">
        <v>3</v>
      </c>
      <c r="T68" s="283"/>
      <c r="U68" s="281"/>
      <c r="V68" s="177" t="s">
        <v>131</v>
      </c>
      <c r="W68" s="170" t="s">
        <v>22</v>
      </c>
      <c r="X68" s="170" t="s">
        <v>11</v>
      </c>
      <c r="Y68" s="178">
        <v>25.5</v>
      </c>
      <c r="Z68" s="170" t="s">
        <v>80</v>
      </c>
      <c r="AA68" s="170" t="s">
        <v>17</v>
      </c>
      <c r="AB68" s="170" t="s">
        <v>18</v>
      </c>
      <c r="AC68" s="170">
        <v>21</v>
      </c>
      <c r="AD68" s="177" t="s">
        <v>454</v>
      </c>
      <c r="AE68" s="170" t="s">
        <v>20</v>
      </c>
      <c r="AF68" s="170" t="s">
        <v>12</v>
      </c>
      <c r="AG68" s="178">
        <v>20.5</v>
      </c>
      <c r="AH68" s="170" t="s">
        <v>328</v>
      </c>
      <c r="AI68" s="170" t="s">
        <v>869</v>
      </c>
      <c r="AJ68" s="170" t="s">
        <v>11</v>
      </c>
      <c r="AK68" s="170">
        <v>12.5</v>
      </c>
      <c r="AL68" s="177"/>
      <c r="AO68" s="178"/>
      <c r="AP68" s="177"/>
      <c r="AS68" s="178"/>
      <c r="AW68" s="178"/>
      <c r="BA68" s="179"/>
    </row>
    <row r="69" spans="1:53" s="170" customFormat="1" x14ac:dyDescent="0.15">
      <c r="A69" s="170">
        <v>1990</v>
      </c>
      <c r="B69" s="281"/>
      <c r="C69" s="395" t="s">
        <v>433</v>
      </c>
      <c r="D69" s="395"/>
      <c r="E69" s="170">
        <f>365-E68</f>
        <v>365</v>
      </c>
      <c r="F69" s="170">
        <v>1</v>
      </c>
      <c r="G69" s="232">
        <v>3</v>
      </c>
      <c r="H69" s="170">
        <v>2</v>
      </c>
      <c r="I69" s="170">
        <v>2</v>
      </c>
      <c r="J69" s="240">
        <v>7</v>
      </c>
      <c r="K69" s="213">
        <f>G69/J69*100</f>
        <v>42.857142857142854</v>
      </c>
      <c r="L69" s="213">
        <f>H69/J69*100</f>
        <v>28.571428571428569</v>
      </c>
      <c r="M69" s="213">
        <f>I69/J69*100</f>
        <v>28.571428571428569</v>
      </c>
      <c r="N69" s="234">
        <f t="shared" si="3"/>
        <v>99.999999999999986</v>
      </c>
      <c r="O69" s="212">
        <v>38</v>
      </c>
      <c r="P69" s="213">
        <v>21</v>
      </c>
      <c r="Q69" s="213">
        <v>20.5</v>
      </c>
      <c r="R69" s="214">
        <f>O69+P69+Q69</f>
        <v>79.5</v>
      </c>
      <c r="S69" s="170">
        <v>3</v>
      </c>
      <c r="T69" s="283"/>
      <c r="U69" s="281"/>
      <c r="V69" s="177" t="s">
        <v>131</v>
      </c>
      <c r="W69" s="170" t="s">
        <v>22</v>
      </c>
      <c r="X69" s="170" t="s">
        <v>11</v>
      </c>
      <c r="Y69" s="178">
        <v>25.5</v>
      </c>
      <c r="Z69" s="170" t="s">
        <v>80</v>
      </c>
      <c r="AA69" s="170" t="s">
        <v>17</v>
      </c>
      <c r="AB69" s="170" t="s">
        <v>18</v>
      </c>
      <c r="AC69" s="170">
        <v>21</v>
      </c>
      <c r="AD69" s="177" t="s">
        <v>454</v>
      </c>
      <c r="AE69" s="170" t="s">
        <v>20</v>
      </c>
      <c r="AF69" s="170" t="s">
        <v>12</v>
      </c>
      <c r="AG69" s="178">
        <v>20.5</v>
      </c>
      <c r="AH69" s="170" t="s">
        <v>328</v>
      </c>
      <c r="AI69" s="170" t="s">
        <v>869</v>
      </c>
      <c r="AJ69" s="170" t="s">
        <v>11</v>
      </c>
      <c r="AK69" s="170">
        <v>12.5</v>
      </c>
      <c r="AL69" s="177"/>
      <c r="AO69" s="178"/>
      <c r="AP69" s="177"/>
      <c r="AS69" s="178"/>
      <c r="AW69" s="178"/>
      <c r="BA69" s="179"/>
    </row>
    <row r="70" spans="1:53" s="170" customFormat="1" x14ac:dyDescent="0.15">
      <c r="A70" s="170">
        <v>1991</v>
      </c>
      <c r="B70" s="281"/>
      <c r="C70" s="395" t="s">
        <v>433</v>
      </c>
      <c r="D70" s="395"/>
      <c r="E70" s="170">
        <v>337</v>
      </c>
      <c r="G70" s="232">
        <v>3</v>
      </c>
      <c r="H70" s="170">
        <v>2</v>
      </c>
      <c r="I70" s="170">
        <v>2</v>
      </c>
      <c r="J70" s="240">
        <v>7</v>
      </c>
      <c r="K70" s="213">
        <f>G70/J70*100</f>
        <v>42.857142857142854</v>
      </c>
      <c r="L70" s="213">
        <f>H70/J70*100</f>
        <v>28.571428571428569</v>
      </c>
      <c r="M70" s="213">
        <f>I70/J70*100</f>
        <v>28.571428571428569</v>
      </c>
      <c r="N70" s="234">
        <f t="shared" si="3"/>
        <v>99.999999999999986</v>
      </c>
      <c r="O70" s="212">
        <v>38</v>
      </c>
      <c r="P70" s="213">
        <v>21</v>
      </c>
      <c r="Q70" s="213">
        <v>20.5</v>
      </c>
      <c r="R70" s="214">
        <f t="shared" ref="R70:R113" si="8">O70+P70+Q70</f>
        <v>79.5</v>
      </c>
      <c r="S70" s="170">
        <v>3</v>
      </c>
      <c r="T70" s="283"/>
      <c r="U70" s="281"/>
      <c r="V70" s="177" t="s">
        <v>131</v>
      </c>
      <c r="W70" s="170" t="s">
        <v>22</v>
      </c>
      <c r="X70" s="170" t="s">
        <v>11</v>
      </c>
      <c r="Y70" s="178">
        <v>25.5</v>
      </c>
      <c r="Z70" s="170" t="s">
        <v>80</v>
      </c>
      <c r="AA70" s="170" t="s">
        <v>17</v>
      </c>
      <c r="AB70" s="170" t="s">
        <v>18</v>
      </c>
      <c r="AC70" s="170">
        <v>21</v>
      </c>
      <c r="AD70" s="177" t="s">
        <v>454</v>
      </c>
      <c r="AE70" s="170" t="s">
        <v>20</v>
      </c>
      <c r="AF70" s="170" t="s">
        <v>12</v>
      </c>
      <c r="AG70" s="178">
        <v>20.5</v>
      </c>
      <c r="AH70" s="170" t="s">
        <v>328</v>
      </c>
      <c r="AI70" s="170" t="s">
        <v>869</v>
      </c>
      <c r="AJ70" s="170" t="s">
        <v>11</v>
      </c>
      <c r="AK70" s="170">
        <v>12.5</v>
      </c>
      <c r="AL70" s="177"/>
      <c r="AO70" s="178"/>
      <c r="AP70" s="177"/>
      <c r="AS70" s="178"/>
      <c r="AW70" s="178"/>
      <c r="BA70" s="179"/>
    </row>
    <row r="71" spans="1:53" s="28" customFormat="1" x14ac:dyDescent="0.15">
      <c r="A71" s="28">
        <v>1991</v>
      </c>
      <c r="B71" s="293">
        <v>33576</v>
      </c>
      <c r="C71" s="394" t="s">
        <v>462</v>
      </c>
      <c r="D71" s="394"/>
      <c r="E71" s="28">
        <f>365-E70</f>
        <v>28</v>
      </c>
      <c r="F71" s="28">
        <v>1</v>
      </c>
      <c r="G71" s="65">
        <v>3</v>
      </c>
      <c r="H71" s="28">
        <v>2</v>
      </c>
      <c r="I71" s="28">
        <v>2</v>
      </c>
      <c r="J71" s="72">
        <v>7</v>
      </c>
      <c r="K71" s="46">
        <f>G71/J71*100</f>
        <v>42.857142857142854</v>
      </c>
      <c r="L71" s="46">
        <f>H71/J71*100</f>
        <v>28.571428571428569</v>
      </c>
      <c r="M71" s="46">
        <f>I71/J71*100</f>
        <v>28.571428571428569</v>
      </c>
      <c r="N71" s="67">
        <f t="shared" si="3"/>
        <v>99.999999999999986</v>
      </c>
      <c r="O71" s="45">
        <v>34.5</v>
      </c>
      <c r="P71" s="46">
        <v>18</v>
      </c>
      <c r="Q71" s="46">
        <v>20.5</v>
      </c>
      <c r="R71" s="47">
        <f t="shared" si="8"/>
        <v>73</v>
      </c>
      <c r="S71" s="28">
        <v>3</v>
      </c>
      <c r="T71" s="284">
        <v>33531</v>
      </c>
      <c r="U71" s="293">
        <v>33576</v>
      </c>
      <c r="V71" s="37" t="s">
        <v>131</v>
      </c>
      <c r="W71" s="28" t="s">
        <v>22</v>
      </c>
      <c r="X71" s="28" t="s">
        <v>11</v>
      </c>
      <c r="Y71" s="38">
        <v>22</v>
      </c>
      <c r="Z71" s="28" t="s">
        <v>80</v>
      </c>
      <c r="AA71" s="28" t="s">
        <v>17</v>
      </c>
      <c r="AB71" s="28" t="s">
        <v>18</v>
      </c>
      <c r="AC71" s="28">
        <v>18</v>
      </c>
      <c r="AD71" s="37" t="s">
        <v>454</v>
      </c>
      <c r="AE71" s="28" t="s">
        <v>20</v>
      </c>
      <c r="AF71" s="28" t="s">
        <v>12</v>
      </c>
      <c r="AG71" s="38">
        <v>20.5</v>
      </c>
      <c r="AH71" s="28" t="s">
        <v>328</v>
      </c>
      <c r="AI71" s="28" t="s">
        <v>869</v>
      </c>
      <c r="AJ71" s="28" t="s">
        <v>11</v>
      </c>
      <c r="AK71" s="28">
        <v>12.5</v>
      </c>
      <c r="AL71" s="37"/>
      <c r="AO71" s="38"/>
      <c r="AP71" s="37"/>
      <c r="AS71" s="38"/>
      <c r="AW71" s="38"/>
      <c r="BA71" s="39"/>
    </row>
    <row r="72" spans="1:53" s="28" customFormat="1" x14ac:dyDescent="0.15">
      <c r="A72" s="28">
        <v>1992</v>
      </c>
      <c r="B72" s="293"/>
      <c r="C72" s="394" t="s">
        <v>462</v>
      </c>
      <c r="D72" s="394"/>
      <c r="E72" s="28">
        <v>0</v>
      </c>
      <c r="G72" s="65">
        <v>3</v>
      </c>
      <c r="H72" s="28">
        <v>2</v>
      </c>
      <c r="I72" s="28">
        <v>2</v>
      </c>
      <c r="J72" s="72">
        <v>7</v>
      </c>
      <c r="K72" s="46">
        <f>G72/J72*100</f>
        <v>42.857142857142854</v>
      </c>
      <c r="L72" s="46">
        <f>H72/J72*100</f>
        <v>28.571428571428569</v>
      </c>
      <c r="M72" s="46">
        <f>I72/J72*100</f>
        <v>28.571428571428569</v>
      </c>
      <c r="N72" s="67">
        <f t="shared" si="3"/>
        <v>99.999999999999986</v>
      </c>
      <c r="O72" s="45">
        <v>34.5</v>
      </c>
      <c r="P72" s="46">
        <v>18</v>
      </c>
      <c r="Q72" s="46">
        <v>20.5</v>
      </c>
      <c r="R72" s="47">
        <f t="shared" si="8"/>
        <v>73</v>
      </c>
      <c r="S72" s="28">
        <v>3</v>
      </c>
      <c r="T72" s="284"/>
      <c r="U72" s="293"/>
      <c r="V72" s="37" t="s">
        <v>131</v>
      </c>
      <c r="W72" s="28" t="s">
        <v>22</v>
      </c>
      <c r="X72" s="28" t="s">
        <v>11</v>
      </c>
      <c r="Y72" s="38">
        <v>22</v>
      </c>
      <c r="Z72" s="28" t="s">
        <v>80</v>
      </c>
      <c r="AA72" s="28" t="s">
        <v>17</v>
      </c>
      <c r="AB72" s="28" t="s">
        <v>18</v>
      </c>
      <c r="AC72" s="28">
        <v>18</v>
      </c>
      <c r="AD72" s="37" t="s">
        <v>454</v>
      </c>
      <c r="AE72" s="28" t="s">
        <v>20</v>
      </c>
      <c r="AF72" s="28" t="s">
        <v>12</v>
      </c>
      <c r="AG72" s="38">
        <v>20.5</v>
      </c>
      <c r="AH72" s="28" t="s">
        <v>328</v>
      </c>
      <c r="AI72" s="28" t="s">
        <v>869</v>
      </c>
      <c r="AJ72" s="28" t="s">
        <v>11</v>
      </c>
      <c r="AK72" s="28">
        <v>12.5</v>
      </c>
      <c r="AL72" s="37"/>
      <c r="AO72" s="38"/>
      <c r="AP72" s="37"/>
      <c r="AS72" s="38"/>
      <c r="AW72" s="38"/>
      <c r="BA72" s="39"/>
    </row>
    <row r="73" spans="1:53" s="28" customFormat="1" x14ac:dyDescent="0.15">
      <c r="A73" s="28">
        <v>1992</v>
      </c>
      <c r="B73" s="293"/>
      <c r="C73" s="394" t="s">
        <v>434</v>
      </c>
      <c r="D73" s="394"/>
      <c r="E73" s="28">
        <v>366</v>
      </c>
      <c r="F73" s="28">
        <v>1</v>
      </c>
      <c r="G73" s="65">
        <v>3</v>
      </c>
      <c r="H73" s="28">
        <v>2</v>
      </c>
      <c r="I73" s="28">
        <v>2</v>
      </c>
      <c r="J73" s="72">
        <v>7</v>
      </c>
      <c r="K73" s="46">
        <f>G73/J73*100</f>
        <v>42.857142857142854</v>
      </c>
      <c r="L73" s="46">
        <f>H73/J73*100</f>
        <v>28.571428571428569</v>
      </c>
      <c r="M73" s="46">
        <f>I73/J73*100</f>
        <v>28.571428571428569</v>
      </c>
      <c r="N73" s="67">
        <f t="shared" si="3"/>
        <v>99.999999999999986</v>
      </c>
      <c r="O73" s="45">
        <v>34.5</v>
      </c>
      <c r="P73" s="46">
        <v>18</v>
      </c>
      <c r="Q73" s="46">
        <v>20.5</v>
      </c>
      <c r="R73" s="47">
        <f t="shared" si="8"/>
        <v>73</v>
      </c>
      <c r="S73" s="28">
        <v>3</v>
      </c>
      <c r="T73" s="284"/>
      <c r="U73" s="293"/>
      <c r="V73" s="37" t="s">
        <v>131</v>
      </c>
      <c r="W73" s="28" t="s">
        <v>22</v>
      </c>
      <c r="X73" s="28" t="s">
        <v>11</v>
      </c>
      <c r="Y73" s="38">
        <v>22</v>
      </c>
      <c r="Z73" s="28" t="s">
        <v>80</v>
      </c>
      <c r="AA73" s="28" t="s">
        <v>17</v>
      </c>
      <c r="AB73" s="28" t="s">
        <v>18</v>
      </c>
      <c r="AC73" s="28">
        <v>18</v>
      </c>
      <c r="AD73" s="37" t="s">
        <v>454</v>
      </c>
      <c r="AE73" s="28" t="s">
        <v>20</v>
      </c>
      <c r="AF73" s="28" t="s">
        <v>12</v>
      </c>
      <c r="AG73" s="38">
        <v>20.5</v>
      </c>
      <c r="AH73" s="28" t="s">
        <v>328</v>
      </c>
      <c r="AI73" s="28" t="s">
        <v>869</v>
      </c>
      <c r="AJ73" s="28" t="s">
        <v>11</v>
      </c>
      <c r="AK73" s="28">
        <v>12.5</v>
      </c>
      <c r="AL73" s="37"/>
      <c r="AO73" s="38"/>
      <c r="AP73" s="37"/>
      <c r="AS73" s="38"/>
      <c r="AW73" s="38"/>
      <c r="BA73" s="39"/>
    </row>
    <row r="74" spans="1:53" s="28" customFormat="1" x14ac:dyDescent="0.15">
      <c r="A74" s="28">
        <v>1993</v>
      </c>
      <c r="B74" s="293"/>
      <c r="C74" s="394" t="s">
        <v>434</v>
      </c>
      <c r="D74" s="394"/>
      <c r="E74" s="28">
        <v>0</v>
      </c>
      <c r="G74" s="65">
        <v>3</v>
      </c>
      <c r="H74" s="28">
        <v>2</v>
      </c>
      <c r="I74" s="28">
        <v>2</v>
      </c>
      <c r="J74" s="72">
        <v>7</v>
      </c>
      <c r="K74" s="46">
        <f t="shared" ref="K74:K109" si="9">G74/J74*100</f>
        <v>42.857142857142854</v>
      </c>
      <c r="L74" s="46">
        <f t="shared" ref="L74:L109" si="10">H74/J74*100</f>
        <v>28.571428571428569</v>
      </c>
      <c r="M74" s="46">
        <f t="shared" ref="M74:M109" si="11">I74/J74*100</f>
        <v>28.571428571428569</v>
      </c>
      <c r="N74" s="67">
        <f t="shared" ref="N74:N112" si="12">K74+L74+M74</f>
        <v>99.999999999999986</v>
      </c>
      <c r="O74" s="45">
        <v>34.5</v>
      </c>
      <c r="P74" s="46">
        <v>18</v>
      </c>
      <c r="Q74" s="46">
        <v>20.5</v>
      </c>
      <c r="R74" s="47">
        <f t="shared" si="8"/>
        <v>73</v>
      </c>
      <c r="S74" s="28">
        <v>3</v>
      </c>
      <c r="T74" s="284"/>
      <c r="U74" s="293"/>
      <c r="V74" s="37" t="s">
        <v>131</v>
      </c>
      <c r="W74" s="28" t="s">
        <v>22</v>
      </c>
      <c r="X74" s="28" t="s">
        <v>11</v>
      </c>
      <c r="Y74" s="38">
        <v>22</v>
      </c>
      <c r="Z74" s="28" t="s">
        <v>80</v>
      </c>
      <c r="AA74" s="28" t="s">
        <v>17</v>
      </c>
      <c r="AB74" s="28" t="s">
        <v>18</v>
      </c>
      <c r="AC74" s="28">
        <v>18</v>
      </c>
      <c r="AD74" s="37" t="s">
        <v>454</v>
      </c>
      <c r="AE74" s="28" t="s">
        <v>20</v>
      </c>
      <c r="AF74" s="28" t="s">
        <v>12</v>
      </c>
      <c r="AG74" s="38">
        <v>20.5</v>
      </c>
      <c r="AH74" s="28" t="s">
        <v>328</v>
      </c>
      <c r="AI74" s="28" t="s">
        <v>869</v>
      </c>
      <c r="AJ74" s="28" t="s">
        <v>11</v>
      </c>
      <c r="AK74" s="28">
        <v>12.5</v>
      </c>
      <c r="AL74" s="37"/>
      <c r="AO74" s="38"/>
      <c r="AP74" s="37"/>
      <c r="AS74" s="38"/>
      <c r="AW74" s="38"/>
      <c r="BA74" s="39"/>
    </row>
    <row r="75" spans="1:53" s="28" customFormat="1" x14ac:dyDescent="0.15">
      <c r="A75" s="28">
        <v>1993</v>
      </c>
      <c r="B75" s="293"/>
      <c r="C75" s="394" t="s">
        <v>463</v>
      </c>
      <c r="D75" s="394"/>
      <c r="E75" s="28">
        <f>365-E74</f>
        <v>365</v>
      </c>
      <c r="F75" s="28">
        <v>1</v>
      </c>
      <c r="G75" s="65">
        <v>3</v>
      </c>
      <c r="H75" s="28">
        <v>2</v>
      </c>
      <c r="I75" s="28">
        <v>2</v>
      </c>
      <c r="J75" s="72">
        <v>7</v>
      </c>
      <c r="K75" s="46">
        <f t="shared" si="9"/>
        <v>42.857142857142854</v>
      </c>
      <c r="L75" s="46">
        <f t="shared" si="10"/>
        <v>28.571428571428569</v>
      </c>
      <c r="M75" s="46">
        <f t="shared" si="11"/>
        <v>28.571428571428569</v>
      </c>
      <c r="N75" s="67">
        <f t="shared" si="12"/>
        <v>99.999999999999986</v>
      </c>
      <c r="O75" s="45">
        <v>34.5</v>
      </c>
      <c r="P75" s="46">
        <v>18</v>
      </c>
      <c r="Q75" s="46">
        <v>20.5</v>
      </c>
      <c r="R75" s="47">
        <f t="shared" si="8"/>
        <v>73</v>
      </c>
      <c r="S75" s="28">
        <v>3</v>
      </c>
      <c r="T75" s="284"/>
      <c r="U75" s="293"/>
      <c r="V75" s="37" t="s">
        <v>131</v>
      </c>
      <c r="W75" s="28" t="s">
        <v>22</v>
      </c>
      <c r="X75" s="28" t="s">
        <v>11</v>
      </c>
      <c r="Y75" s="38">
        <v>22</v>
      </c>
      <c r="Z75" s="28" t="s">
        <v>80</v>
      </c>
      <c r="AA75" s="28" t="s">
        <v>17</v>
      </c>
      <c r="AB75" s="28" t="s">
        <v>18</v>
      </c>
      <c r="AC75" s="28">
        <v>18</v>
      </c>
      <c r="AD75" s="37" t="s">
        <v>454</v>
      </c>
      <c r="AE75" s="28" t="s">
        <v>20</v>
      </c>
      <c r="AF75" s="28" t="s">
        <v>12</v>
      </c>
      <c r="AG75" s="38">
        <v>20.5</v>
      </c>
      <c r="AH75" s="28" t="s">
        <v>328</v>
      </c>
      <c r="AI75" s="28" t="s">
        <v>869</v>
      </c>
      <c r="AJ75" s="28" t="s">
        <v>11</v>
      </c>
      <c r="AK75" s="28">
        <v>12.5</v>
      </c>
      <c r="AL75" s="37"/>
      <c r="AO75" s="38"/>
      <c r="AP75" s="37"/>
      <c r="AS75" s="38"/>
      <c r="AW75" s="38"/>
      <c r="BA75" s="39"/>
    </row>
    <row r="76" spans="1:53" s="28" customFormat="1" x14ac:dyDescent="0.15">
      <c r="A76" s="28">
        <v>1994</v>
      </c>
      <c r="B76" s="293"/>
      <c r="C76" s="394" t="s">
        <v>463</v>
      </c>
      <c r="D76" s="394"/>
      <c r="E76" s="28">
        <v>0</v>
      </c>
      <c r="G76" s="65">
        <v>3</v>
      </c>
      <c r="H76" s="28">
        <v>2</v>
      </c>
      <c r="I76" s="28">
        <v>2</v>
      </c>
      <c r="J76" s="72">
        <v>7</v>
      </c>
      <c r="K76" s="46">
        <f t="shared" si="9"/>
        <v>42.857142857142854</v>
      </c>
      <c r="L76" s="46">
        <f t="shared" si="10"/>
        <v>28.571428571428569</v>
      </c>
      <c r="M76" s="46">
        <f t="shared" si="11"/>
        <v>28.571428571428569</v>
      </c>
      <c r="N76" s="67">
        <f t="shared" si="12"/>
        <v>99.999999999999986</v>
      </c>
      <c r="O76" s="45">
        <v>34.5</v>
      </c>
      <c r="P76" s="46">
        <v>18</v>
      </c>
      <c r="Q76" s="46">
        <v>20.5</v>
      </c>
      <c r="R76" s="47">
        <f t="shared" si="8"/>
        <v>73</v>
      </c>
      <c r="S76" s="28">
        <v>3</v>
      </c>
      <c r="T76" s="284"/>
      <c r="U76" s="293"/>
      <c r="V76" s="37" t="s">
        <v>131</v>
      </c>
      <c r="W76" s="28" t="s">
        <v>22</v>
      </c>
      <c r="X76" s="28" t="s">
        <v>11</v>
      </c>
      <c r="Y76" s="38">
        <v>22</v>
      </c>
      <c r="Z76" s="28" t="s">
        <v>80</v>
      </c>
      <c r="AA76" s="28" t="s">
        <v>17</v>
      </c>
      <c r="AB76" s="28" t="s">
        <v>18</v>
      </c>
      <c r="AC76" s="28">
        <v>18</v>
      </c>
      <c r="AD76" s="37" t="s">
        <v>454</v>
      </c>
      <c r="AE76" s="28" t="s">
        <v>20</v>
      </c>
      <c r="AF76" s="28" t="s">
        <v>12</v>
      </c>
      <c r="AG76" s="38">
        <v>20.5</v>
      </c>
      <c r="AH76" s="28" t="s">
        <v>328</v>
      </c>
      <c r="AI76" s="28" t="s">
        <v>869</v>
      </c>
      <c r="AJ76" s="28" t="s">
        <v>11</v>
      </c>
      <c r="AK76" s="28">
        <v>12.5</v>
      </c>
      <c r="AL76" s="37"/>
      <c r="AO76" s="38"/>
      <c r="AP76" s="37"/>
      <c r="AS76" s="38"/>
      <c r="AW76" s="38"/>
      <c r="BA76" s="39"/>
    </row>
    <row r="77" spans="1:53" s="28" customFormat="1" x14ac:dyDescent="0.15">
      <c r="A77" s="28">
        <v>1994</v>
      </c>
      <c r="B77" s="293"/>
      <c r="C77" s="394" t="s">
        <v>439</v>
      </c>
      <c r="D77" s="394"/>
      <c r="E77" s="28">
        <f>365-E76</f>
        <v>365</v>
      </c>
      <c r="F77" s="28">
        <v>1</v>
      </c>
      <c r="G77" s="65">
        <v>3</v>
      </c>
      <c r="H77" s="28">
        <v>2</v>
      </c>
      <c r="I77" s="28">
        <v>2</v>
      </c>
      <c r="J77" s="72">
        <v>7</v>
      </c>
      <c r="K77" s="46">
        <f t="shared" si="9"/>
        <v>42.857142857142854</v>
      </c>
      <c r="L77" s="46">
        <f t="shared" si="10"/>
        <v>28.571428571428569</v>
      </c>
      <c r="M77" s="46">
        <f t="shared" si="11"/>
        <v>28.571428571428569</v>
      </c>
      <c r="N77" s="67">
        <f t="shared" si="12"/>
        <v>99.999999999999986</v>
      </c>
      <c r="O77" s="45">
        <v>34.5</v>
      </c>
      <c r="P77" s="46">
        <v>18</v>
      </c>
      <c r="Q77" s="46">
        <v>20.5</v>
      </c>
      <c r="R77" s="47">
        <f t="shared" si="8"/>
        <v>73</v>
      </c>
      <c r="S77" s="28">
        <v>3</v>
      </c>
      <c r="T77" s="284"/>
      <c r="U77" s="293"/>
      <c r="V77" s="37" t="s">
        <v>131</v>
      </c>
      <c r="W77" s="28" t="s">
        <v>22</v>
      </c>
      <c r="X77" s="28" t="s">
        <v>11</v>
      </c>
      <c r="Y77" s="38">
        <v>22</v>
      </c>
      <c r="Z77" s="28" t="s">
        <v>80</v>
      </c>
      <c r="AA77" s="28" t="s">
        <v>17</v>
      </c>
      <c r="AB77" s="28" t="s">
        <v>18</v>
      </c>
      <c r="AC77" s="28">
        <v>18</v>
      </c>
      <c r="AD77" s="37" t="s">
        <v>454</v>
      </c>
      <c r="AE77" s="28" t="s">
        <v>20</v>
      </c>
      <c r="AF77" s="28" t="s">
        <v>12</v>
      </c>
      <c r="AG77" s="38">
        <v>20.5</v>
      </c>
      <c r="AH77" s="28" t="s">
        <v>328</v>
      </c>
      <c r="AI77" s="28" t="s">
        <v>869</v>
      </c>
      <c r="AJ77" s="28" t="s">
        <v>11</v>
      </c>
      <c r="AK77" s="28">
        <v>12.5</v>
      </c>
      <c r="AL77" s="37"/>
      <c r="AO77" s="38"/>
      <c r="AP77" s="37"/>
      <c r="AS77" s="38"/>
      <c r="AW77" s="38"/>
      <c r="BA77" s="39"/>
    </row>
    <row r="78" spans="1:53" s="28" customFormat="1" x14ac:dyDescent="0.15">
      <c r="A78" s="28">
        <v>1995</v>
      </c>
      <c r="B78" s="293"/>
      <c r="C78" s="394" t="s">
        <v>439</v>
      </c>
      <c r="D78" s="394"/>
      <c r="E78" s="28">
        <v>346</v>
      </c>
      <c r="G78" s="65">
        <v>3</v>
      </c>
      <c r="H78" s="28">
        <v>2</v>
      </c>
      <c r="I78" s="28">
        <v>2</v>
      </c>
      <c r="J78" s="72">
        <v>7</v>
      </c>
      <c r="K78" s="46">
        <f t="shared" si="9"/>
        <v>42.857142857142854</v>
      </c>
      <c r="L78" s="46">
        <f t="shared" si="10"/>
        <v>28.571428571428569</v>
      </c>
      <c r="M78" s="46">
        <f t="shared" si="11"/>
        <v>28.571428571428569</v>
      </c>
      <c r="N78" s="67">
        <f t="shared" si="12"/>
        <v>99.999999999999986</v>
      </c>
      <c r="O78" s="45">
        <v>34.5</v>
      </c>
      <c r="P78" s="46">
        <v>18</v>
      </c>
      <c r="Q78" s="46">
        <v>20.5</v>
      </c>
      <c r="R78" s="47">
        <f t="shared" si="8"/>
        <v>73</v>
      </c>
      <c r="S78" s="28">
        <v>3</v>
      </c>
      <c r="T78" s="284"/>
      <c r="U78" s="293"/>
      <c r="V78" s="37" t="s">
        <v>131</v>
      </c>
      <c r="W78" s="28" t="s">
        <v>22</v>
      </c>
      <c r="X78" s="28" t="s">
        <v>11</v>
      </c>
      <c r="Y78" s="38">
        <v>22</v>
      </c>
      <c r="Z78" s="28" t="s">
        <v>80</v>
      </c>
      <c r="AA78" s="28" t="s">
        <v>17</v>
      </c>
      <c r="AB78" s="28" t="s">
        <v>18</v>
      </c>
      <c r="AC78" s="28">
        <v>18</v>
      </c>
      <c r="AD78" s="37" t="s">
        <v>454</v>
      </c>
      <c r="AE78" s="28" t="s">
        <v>20</v>
      </c>
      <c r="AF78" s="28" t="s">
        <v>12</v>
      </c>
      <c r="AG78" s="38">
        <v>20.5</v>
      </c>
      <c r="AH78" s="28" t="s">
        <v>328</v>
      </c>
      <c r="AI78" s="28" t="s">
        <v>869</v>
      </c>
      <c r="AJ78" s="28" t="s">
        <v>11</v>
      </c>
      <c r="AK78" s="28">
        <v>12.5</v>
      </c>
      <c r="AL78" s="37"/>
      <c r="AO78" s="38"/>
      <c r="AP78" s="37"/>
      <c r="AS78" s="38"/>
      <c r="AW78" s="38"/>
      <c r="BA78" s="39"/>
    </row>
    <row r="79" spans="1:53" s="170" customFormat="1" x14ac:dyDescent="0.15">
      <c r="A79" s="170">
        <v>1995</v>
      </c>
      <c r="B79" s="281">
        <v>35046</v>
      </c>
      <c r="C79" s="395" t="s">
        <v>431</v>
      </c>
      <c r="D79" s="395"/>
      <c r="E79" s="170">
        <f>365-E78</f>
        <v>19</v>
      </c>
      <c r="F79" s="170">
        <v>1</v>
      </c>
      <c r="G79" s="232">
        <v>3</v>
      </c>
      <c r="H79" s="170">
        <v>2</v>
      </c>
      <c r="I79" s="170">
        <v>2</v>
      </c>
      <c r="J79" s="240">
        <v>7</v>
      </c>
      <c r="K79" s="213">
        <f t="shared" si="9"/>
        <v>42.857142857142854</v>
      </c>
      <c r="L79" s="213">
        <f t="shared" si="10"/>
        <v>28.571428571428569</v>
      </c>
      <c r="M79" s="213">
        <f t="shared" si="11"/>
        <v>28.571428571428569</v>
      </c>
      <c r="N79" s="234">
        <f t="shared" si="12"/>
        <v>99.999999999999986</v>
      </c>
      <c r="O79" s="212">
        <v>37</v>
      </c>
      <c r="P79" s="213">
        <v>17</v>
      </c>
      <c r="Q79" s="213">
        <v>27</v>
      </c>
      <c r="R79" s="214">
        <f t="shared" si="8"/>
        <v>81</v>
      </c>
      <c r="S79" s="170">
        <v>3</v>
      </c>
      <c r="T79" s="283">
        <v>34994</v>
      </c>
      <c r="U79" s="281">
        <v>35046</v>
      </c>
      <c r="V79" s="177" t="s">
        <v>131</v>
      </c>
      <c r="W79" s="170" t="s">
        <v>22</v>
      </c>
      <c r="X79" s="170" t="s">
        <v>11</v>
      </c>
      <c r="Y79" s="178">
        <v>22.5</v>
      </c>
      <c r="Z79" s="170" t="s">
        <v>80</v>
      </c>
      <c r="AA79" s="170" t="s">
        <v>17</v>
      </c>
      <c r="AB79" s="170" t="s">
        <v>18</v>
      </c>
      <c r="AC79" s="170">
        <v>17</v>
      </c>
      <c r="AD79" s="177" t="s">
        <v>454</v>
      </c>
      <c r="AE79" s="170" t="s">
        <v>20</v>
      </c>
      <c r="AF79" s="170" t="s">
        <v>12</v>
      </c>
      <c r="AG79" s="178">
        <v>27</v>
      </c>
      <c r="AH79" s="170" t="s">
        <v>328</v>
      </c>
      <c r="AI79" s="170" t="s">
        <v>852</v>
      </c>
      <c r="AJ79" s="170" t="s">
        <v>11</v>
      </c>
      <c r="AK79" s="170">
        <v>14.5</v>
      </c>
      <c r="AL79" s="177"/>
      <c r="AO79" s="178"/>
      <c r="AP79" s="177"/>
      <c r="AS79" s="178"/>
      <c r="AW79" s="178"/>
      <c r="BA79" s="179"/>
    </row>
    <row r="80" spans="1:53" s="170" customFormat="1" x14ac:dyDescent="0.15">
      <c r="A80" s="170">
        <v>1996</v>
      </c>
      <c r="B80" s="281"/>
      <c r="C80" s="395" t="s">
        <v>431</v>
      </c>
      <c r="D80" s="395"/>
      <c r="E80" s="170">
        <v>0</v>
      </c>
      <c r="G80" s="232">
        <v>3</v>
      </c>
      <c r="H80" s="170">
        <v>2</v>
      </c>
      <c r="I80" s="170">
        <v>2</v>
      </c>
      <c r="J80" s="240">
        <v>7</v>
      </c>
      <c r="K80" s="213">
        <f t="shared" si="9"/>
        <v>42.857142857142854</v>
      </c>
      <c r="L80" s="213">
        <f t="shared" si="10"/>
        <v>28.571428571428569</v>
      </c>
      <c r="M80" s="213">
        <f t="shared" si="11"/>
        <v>28.571428571428569</v>
      </c>
      <c r="N80" s="234">
        <f t="shared" si="12"/>
        <v>99.999999999999986</v>
      </c>
      <c r="O80" s="212">
        <v>37</v>
      </c>
      <c r="P80" s="213">
        <v>17</v>
      </c>
      <c r="Q80" s="213">
        <v>27</v>
      </c>
      <c r="R80" s="214">
        <f t="shared" si="8"/>
        <v>81</v>
      </c>
      <c r="S80" s="170">
        <v>3</v>
      </c>
      <c r="T80" s="283"/>
      <c r="U80" s="281"/>
      <c r="V80" s="177" t="s">
        <v>131</v>
      </c>
      <c r="W80" s="170" t="s">
        <v>22</v>
      </c>
      <c r="X80" s="170" t="s">
        <v>11</v>
      </c>
      <c r="Y80" s="178">
        <v>22.5</v>
      </c>
      <c r="Z80" s="170" t="s">
        <v>80</v>
      </c>
      <c r="AA80" s="170" t="s">
        <v>17</v>
      </c>
      <c r="AB80" s="170" t="s">
        <v>18</v>
      </c>
      <c r="AC80" s="170">
        <v>17</v>
      </c>
      <c r="AD80" s="177" t="s">
        <v>454</v>
      </c>
      <c r="AE80" s="170" t="s">
        <v>20</v>
      </c>
      <c r="AF80" s="170" t="s">
        <v>12</v>
      </c>
      <c r="AG80" s="178">
        <v>27</v>
      </c>
      <c r="AH80" s="170" t="s">
        <v>328</v>
      </c>
      <c r="AI80" s="170" t="s">
        <v>852</v>
      </c>
      <c r="AJ80" s="170" t="s">
        <v>11</v>
      </c>
      <c r="AK80" s="170">
        <v>14.5</v>
      </c>
      <c r="AL80" s="177"/>
      <c r="AO80" s="178"/>
      <c r="AP80" s="177"/>
      <c r="AS80" s="178"/>
      <c r="AW80" s="178"/>
      <c r="BA80" s="179"/>
    </row>
    <row r="81" spans="1:53" s="170" customFormat="1" x14ac:dyDescent="0.15">
      <c r="A81" s="170">
        <v>1996</v>
      </c>
      <c r="B81" s="281"/>
      <c r="C81" s="395" t="s">
        <v>436</v>
      </c>
      <c r="D81" s="395"/>
      <c r="E81" s="170">
        <v>366</v>
      </c>
      <c r="F81" s="170">
        <v>1</v>
      </c>
      <c r="G81" s="232">
        <v>3</v>
      </c>
      <c r="H81" s="170">
        <v>2</v>
      </c>
      <c r="I81" s="170">
        <v>2</v>
      </c>
      <c r="J81" s="240">
        <v>7</v>
      </c>
      <c r="K81" s="213">
        <f t="shared" si="9"/>
        <v>42.857142857142854</v>
      </c>
      <c r="L81" s="213">
        <f t="shared" si="10"/>
        <v>28.571428571428569</v>
      </c>
      <c r="M81" s="213">
        <f t="shared" si="11"/>
        <v>28.571428571428569</v>
      </c>
      <c r="N81" s="234">
        <f t="shared" si="12"/>
        <v>99.999999999999986</v>
      </c>
      <c r="O81" s="212">
        <v>37</v>
      </c>
      <c r="P81" s="213">
        <v>17</v>
      </c>
      <c r="Q81" s="213">
        <v>27</v>
      </c>
      <c r="R81" s="214">
        <f t="shared" si="8"/>
        <v>81</v>
      </c>
      <c r="S81" s="170">
        <v>3</v>
      </c>
      <c r="T81" s="283"/>
      <c r="U81" s="281"/>
      <c r="V81" s="177" t="s">
        <v>131</v>
      </c>
      <c r="W81" s="170" t="s">
        <v>22</v>
      </c>
      <c r="X81" s="170" t="s">
        <v>11</v>
      </c>
      <c r="Y81" s="178">
        <v>22.5</v>
      </c>
      <c r="Z81" s="170" t="s">
        <v>80</v>
      </c>
      <c r="AA81" s="170" t="s">
        <v>17</v>
      </c>
      <c r="AB81" s="170" t="s">
        <v>18</v>
      </c>
      <c r="AC81" s="170">
        <v>17</v>
      </c>
      <c r="AD81" s="177" t="s">
        <v>454</v>
      </c>
      <c r="AE81" s="170" t="s">
        <v>20</v>
      </c>
      <c r="AF81" s="170" t="s">
        <v>12</v>
      </c>
      <c r="AG81" s="178">
        <v>27</v>
      </c>
      <c r="AH81" s="170" t="s">
        <v>328</v>
      </c>
      <c r="AI81" s="170" t="s">
        <v>852</v>
      </c>
      <c r="AJ81" s="170" t="s">
        <v>11</v>
      </c>
      <c r="AK81" s="170">
        <v>14.5</v>
      </c>
      <c r="AL81" s="177"/>
      <c r="AO81" s="178"/>
      <c r="AP81" s="177"/>
      <c r="AS81" s="178"/>
      <c r="AW81" s="178"/>
      <c r="BA81" s="179"/>
    </row>
    <row r="82" spans="1:53" s="170" customFormat="1" x14ac:dyDescent="0.15">
      <c r="A82" s="170">
        <v>1997</v>
      </c>
      <c r="B82" s="281"/>
      <c r="C82" s="395" t="s">
        <v>436</v>
      </c>
      <c r="D82" s="395"/>
      <c r="E82" s="170">
        <v>0</v>
      </c>
      <c r="G82" s="232">
        <v>3</v>
      </c>
      <c r="H82" s="170">
        <v>2</v>
      </c>
      <c r="I82" s="170">
        <v>2</v>
      </c>
      <c r="J82" s="240">
        <v>7</v>
      </c>
      <c r="K82" s="213">
        <f t="shared" si="9"/>
        <v>42.857142857142854</v>
      </c>
      <c r="L82" s="213">
        <f t="shared" si="10"/>
        <v>28.571428571428569</v>
      </c>
      <c r="M82" s="213">
        <f t="shared" si="11"/>
        <v>28.571428571428569</v>
      </c>
      <c r="N82" s="234">
        <f t="shared" si="12"/>
        <v>99.999999999999986</v>
      </c>
      <c r="O82" s="212">
        <v>37</v>
      </c>
      <c r="P82" s="213">
        <v>17</v>
      </c>
      <c r="Q82" s="213">
        <v>27</v>
      </c>
      <c r="R82" s="214">
        <f t="shared" si="8"/>
        <v>81</v>
      </c>
      <c r="S82" s="170">
        <v>3</v>
      </c>
      <c r="T82" s="283"/>
      <c r="U82" s="281"/>
      <c r="V82" s="177" t="s">
        <v>131</v>
      </c>
      <c r="W82" s="170" t="s">
        <v>22</v>
      </c>
      <c r="X82" s="170" t="s">
        <v>11</v>
      </c>
      <c r="Y82" s="178">
        <v>22.5</v>
      </c>
      <c r="Z82" s="170" t="s">
        <v>80</v>
      </c>
      <c r="AA82" s="170" t="s">
        <v>17</v>
      </c>
      <c r="AB82" s="170" t="s">
        <v>18</v>
      </c>
      <c r="AC82" s="170">
        <v>17</v>
      </c>
      <c r="AD82" s="177" t="s">
        <v>454</v>
      </c>
      <c r="AE82" s="170" t="s">
        <v>20</v>
      </c>
      <c r="AF82" s="170" t="s">
        <v>12</v>
      </c>
      <c r="AG82" s="178">
        <v>27</v>
      </c>
      <c r="AH82" s="170" t="s">
        <v>328</v>
      </c>
      <c r="AI82" s="170" t="s">
        <v>852</v>
      </c>
      <c r="AJ82" s="170" t="s">
        <v>11</v>
      </c>
      <c r="AK82" s="170">
        <v>14.5</v>
      </c>
      <c r="AL82" s="177"/>
      <c r="AO82" s="178"/>
      <c r="AP82" s="177"/>
      <c r="AS82" s="178"/>
      <c r="AW82" s="178"/>
      <c r="BA82" s="179"/>
    </row>
    <row r="83" spans="1:53" s="170" customFormat="1" x14ac:dyDescent="0.15">
      <c r="A83" s="170">
        <v>1997</v>
      </c>
      <c r="B83" s="281"/>
      <c r="C83" s="395" t="s">
        <v>437</v>
      </c>
      <c r="D83" s="395"/>
      <c r="E83" s="170">
        <f>365-E82</f>
        <v>365</v>
      </c>
      <c r="F83" s="170">
        <v>1</v>
      </c>
      <c r="G83" s="232">
        <v>3</v>
      </c>
      <c r="H83" s="170">
        <v>2</v>
      </c>
      <c r="I83" s="170">
        <v>2</v>
      </c>
      <c r="J83" s="240">
        <v>7</v>
      </c>
      <c r="K83" s="213">
        <f t="shared" si="9"/>
        <v>42.857142857142854</v>
      </c>
      <c r="L83" s="213">
        <f t="shared" si="10"/>
        <v>28.571428571428569</v>
      </c>
      <c r="M83" s="213">
        <f t="shared" si="11"/>
        <v>28.571428571428569</v>
      </c>
      <c r="N83" s="234">
        <f t="shared" si="12"/>
        <v>99.999999999999986</v>
      </c>
      <c r="O83" s="212">
        <v>37</v>
      </c>
      <c r="P83" s="213">
        <v>17</v>
      </c>
      <c r="Q83" s="213">
        <v>27</v>
      </c>
      <c r="R83" s="214">
        <f t="shared" si="8"/>
        <v>81</v>
      </c>
      <c r="S83" s="170">
        <v>3</v>
      </c>
      <c r="T83" s="283"/>
      <c r="U83" s="281"/>
      <c r="V83" s="177" t="s">
        <v>131</v>
      </c>
      <c r="W83" s="170" t="s">
        <v>22</v>
      </c>
      <c r="X83" s="170" t="s">
        <v>11</v>
      </c>
      <c r="Y83" s="178">
        <v>22.5</v>
      </c>
      <c r="Z83" s="170" t="s">
        <v>80</v>
      </c>
      <c r="AA83" s="170" t="s">
        <v>17</v>
      </c>
      <c r="AB83" s="170" t="s">
        <v>18</v>
      </c>
      <c r="AC83" s="170">
        <v>17</v>
      </c>
      <c r="AD83" s="177" t="s">
        <v>454</v>
      </c>
      <c r="AE83" s="170" t="s">
        <v>20</v>
      </c>
      <c r="AF83" s="170" t="s">
        <v>12</v>
      </c>
      <c r="AG83" s="178">
        <v>27</v>
      </c>
      <c r="AH83" s="170" t="s">
        <v>328</v>
      </c>
      <c r="AI83" s="170" t="s">
        <v>852</v>
      </c>
      <c r="AJ83" s="170" t="s">
        <v>11</v>
      </c>
      <c r="AK83" s="170">
        <v>14.5</v>
      </c>
      <c r="AL83" s="177"/>
      <c r="AO83" s="178"/>
      <c r="AP83" s="177"/>
      <c r="AS83" s="178"/>
      <c r="AW83" s="178"/>
      <c r="BA83" s="179"/>
    </row>
    <row r="84" spans="1:53" s="170" customFormat="1" x14ac:dyDescent="0.15">
      <c r="A84" s="170">
        <v>1998</v>
      </c>
      <c r="B84" s="281"/>
      <c r="C84" s="395" t="s">
        <v>437</v>
      </c>
      <c r="D84" s="395"/>
      <c r="E84" s="170">
        <v>0</v>
      </c>
      <c r="G84" s="232">
        <v>3</v>
      </c>
      <c r="H84" s="170">
        <v>2</v>
      </c>
      <c r="I84" s="170">
        <v>2</v>
      </c>
      <c r="J84" s="240">
        <v>7</v>
      </c>
      <c r="K84" s="213">
        <f t="shared" si="9"/>
        <v>42.857142857142854</v>
      </c>
      <c r="L84" s="213">
        <f t="shared" si="10"/>
        <v>28.571428571428569</v>
      </c>
      <c r="M84" s="213">
        <f t="shared" si="11"/>
        <v>28.571428571428569</v>
      </c>
      <c r="N84" s="234">
        <f t="shared" si="12"/>
        <v>99.999999999999986</v>
      </c>
      <c r="O84" s="212">
        <v>37</v>
      </c>
      <c r="P84" s="213">
        <v>17</v>
      </c>
      <c r="Q84" s="213">
        <v>27</v>
      </c>
      <c r="R84" s="214">
        <f t="shared" si="8"/>
        <v>81</v>
      </c>
      <c r="S84" s="170">
        <v>3</v>
      </c>
      <c r="T84" s="283"/>
      <c r="U84" s="281"/>
      <c r="V84" s="177" t="s">
        <v>131</v>
      </c>
      <c r="W84" s="170" t="s">
        <v>22</v>
      </c>
      <c r="X84" s="170" t="s">
        <v>11</v>
      </c>
      <c r="Y84" s="178">
        <v>22.5</v>
      </c>
      <c r="Z84" s="170" t="s">
        <v>80</v>
      </c>
      <c r="AA84" s="170" t="s">
        <v>17</v>
      </c>
      <c r="AB84" s="170" t="s">
        <v>18</v>
      </c>
      <c r="AC84" s="170">
        <v>17</v>
      </c>
      <c r="AD84" s="177" t="s">
        <v>454</v>
      </c>
      <c r="AE84" s="170" t="s">
        <v>20</v>
      </c>
      <c r="AF84" s="170" t="s">
        <v>12</v>
      </c>
      <c r="AG84" s="178">
        <v>27</v>
      </c>
      <c r="AH84" s="170" t="s">
        <v>328</v>
      </c>
      <c r="AI84" s="170" t="s">
        <v>852</v>
      </c>
      <c r="AJ84" s="170" t="s">
        <v>11</v>
      </c>
      <c r="AK84" s="170">
        <v>14.5</v>
      </c>
      <c r="AL84" s="177"/>
      <c r="AO84" s="178"/>
      <c r="AP84" s="177"/>
      <c r="AS84" s="178"/>
      <c r="AW84" s="178"/>
      <c r="BA84" s="179"/>
    </row>
    <row r="85" spans="1:53" s="170" customFormat="1" x14ac:dyDescent="0.15">
      <c r="A85" s="170">
        <v>1998</v>
      </c>
      <c r="B85" s="281"/>
      <c r="C85" s="395" t="s">
        <v>464</v>
      </c>
      <c r="D85" s="395"/>
      <c r="E85" s="170">
        <f>365-E84</f>
        <v>365</v>
      </c>
      <c r="F85" s="170">
        <v>1</v>
      </c>
      <c r="G85" s="232">
        <v>3</v>
      </c>
      <c r="H85" s="170">
        <v>2</v>
      </c>
      <c r="I85" s="170">
        <v>2</v>
      </c>
      <c r="J85" s="240">
        <v>7</v>
      </c>
      <c r="K85" s="213">
        <f t="shared" si="9"/>
        <v>42.857142857142854</v>
      </c>
      <c r="L85" s="213">
        <f t="shared" si="10"/>
        <v>28.571428571428569</v>
      </c>
      <c r="M85" s="213">
        <f t="shared" si="11"/>
        <v>28.571428571428569</v>
      </c>
      <c r="N85" s="234">
        <f t="shared" si="12"/>
        <v>99.999999999999986</v>
      </c>
      <c r="O85" s="212">
        <v>37</v>
      </c>
      <c r="P85" s="213">
        <v>17</v>
      </c>
      <c r="Q85" s="213">
        <v>27</v>
      </c>
      <c r="R85" s="214">
        <f t="shared" si="8"/>
        <v>81</v>
      </c>
      <c r="S85" s="170">
        <v>3</v>
      </c>
      <c r="T85" s="283"/>
      <c r="U85" s="281"/>
      <c r="V85" s="177" t="s">
        <v>131</v>
      </c>
      <c r="W85" s="170" t="s">
        <v>22</v>
      </c>
      <c r="X85" s="170" t="s">
        <v>11</v>
      </c>
      <c r="Y85" s="178">
        <v>22.5</v>
      </c>
      <c r="Z85" s="170" t="s">
        <v>80</v>
      </c>
      <c r="AA85" s="170" t="s">
        <v>17</v>
      </c>
      <c r="AB85" s="170" t="s">
        <v>18</v>
      </c>
      <c r="AC85" s="170">
        <v>17</v>
      </c>
      <c r="AD85" s="177" t="s">
        <v>454</v>
      </c>
      <c r="AE85" s="170" t="s">
        <v>20</v>
      </c>
      <c r="AF85" s="170" t="s">
        <v>12</v>
      </c>
      <c r="AG85" s="178">
        <v>27</v>
      </c>
      <c r="AH85" s="170" t="s">
        <v>328</v>
      </c>
      <c r="AI85" s="170" t="s">
        <v>852</v>
      </c>
      <c r="AJ85" s="170" t="s">
        <v>11</v>
      </c>
      <c r="AK85" s="170">
        <v>14.5</v>
      </c>
      <c r="AL85" s="177"/>
      <c r="AO85" s="178"/>
      <c r="AP85" s="177"/>
      <c r="AS85" s="178"/>
      <c r="AW85" s="178"/>
      <c r="BA85" s="179"/>
    </row>
    <row r="86" spans="1:53" s="170" customFormat="1" x14ac:dyDescent="0.15">
      <c r="A86" s="170">
        <v>1999</v>
      </c>
      <c r="B86" s="281"/>
      <c r="C86" s="395" t="s">
        <v>464</v>
      </c>
      <c r="D86" s="395"/>
      <c r="E86" s="170">
        <v>348</v>
      </c>
      <c r="G86" s="232">
        <v>3</v>
      </c>
      <c r="H86" s="170">
        <v>2</v>
      </c>
      <c r="I86" s="170">
        <v>2</v>
      </c>
      <c r="J86" s="240">
        <v>7</v>
      </c>
      <c r="K86" s="213">
        <f t="shared" si="9"/>
        <v>42.857142857142854</v>
      </c>
      <c r="L86" s="213">
        <f t="shared" si="10"/>
        <v>28.571428571428569</v>
      </c>
      <c r="M86" s="213">
        <f t="shared" si="11"/>
        <v>28.571428571428569</v>
      </c>
      <c r="N86" s="234">
        <f t="shared" si="12"/>
        <v>99.999999999999986</v>
      </c>
      <c r="O86" s="212">
        <v>37</v>
      </c>
      <c r="P86" s="213">
        <v>17</v>
      </c>
      <c r="Q86" s="213">
        <v>27</v>
      </c>
      <c r="R86" s="214">
        <f t="shared" si="8"/>
        <v>81</v>
      </c>
      <c r="S86" s="170">
        <v>3</v>
      </c>
      <c r="T86" s="283"/>
      <c r="U86" s="281"/>
      <c r="V86" s="177" t="s">
        <v>131</v>
      </c>
      <c r="W86" s="170" t="s">
        <v>22</v>
      </c>
      <c r="X86" s="170" t="s">
        <v>11</v>
      </c>
      <c r="Y86" s="178">
        <v>22.5</v>
      </c>
      <c r="Z86" s="170" t="s">
        <v>80</v>
      </c>
      <c r="AA86" s="170" t="s">
        <v>17</v>
      </c>
      <c r="AB86" s="170" t="s">
        <v>18</v>
      </c>
      <c r="AC86" s="170">
        <v>17</v>
      </c>
      <c r="AD86" s="177" t="s">
        <v>454</v>
      </c>
      <c r="AE86" s="170" t="s">
        <v>20</v>
      </c>
      <c r="AF86" s="170" t="s">
        <v>12</v>
      </c>
      <c r="AG86" s="178">
        <v>27</v>
      </c>
      <c r="AH86" s="170" t="s">
        <v>328</v>
      </c>
      <c r="AI86" s="170" t="s">
        <v>852</v>
      </c>
      <c r="AJ86" s="170" t="s">
        <v>11</v>
      </c>
      <c r="AK86" s="170">
        <v>14.5</v>
      </c>
      <c r="AL86" s="177"/>
      <c r="AO86" s="178"/>
      <c r="AP86" s="177"/>
      <c r="AS86" s="178"/>
      <c r="AW86" s="178"/>
      <c r="BA86" s="179"/>
    </row>
    <row r="87" spans="1:53" s="28" customFormat="1" x14ac:dyDescent="0.15">
      <c r="A87" s="28">
        <v>1999</v>
      </c>
      <c r="B87" s="293">
        <v>36509</v>
      </c>
      <c r="C87" s="394" t="s">
        <v>438</v>
      </c>
      <c r="D87" s="394"/>
      <c r="E87" s="28">
        <f>365-E86</f>
        <v>17</v>
      </c>
      <c r="F87" s="28">
        <v>1</v>
      </c>
      <c r="G87" s="65">
        <v>3</v>
      </c>
      <c r="H87" s="28">
        <v>2</v>
      </c>
      <c r="I87" s="28">
        <v>2</v>
      </c>
      <c r="J87" s="72">
        <v>7</v>
      </c>
      <c r="K87" s="46">
        <f t="shared" si="9"/>
        <v>42.857142857142854</v>
      </c>
      <c r="L87" s="46">
        <f t="shared" si="10"/>
        <v>28.571428571428569</v>
      </c>
      <c r="M87" s="46">
        <f t="shared" si="11"/>
        <v>28.571428571428569</v>
      </c>
      <c r="N87" s="67">
        <f t="shared" si="12"/>
        <v>99.999999999999986</v>
      </c>
      <c r="O87" s="45">
        <v>43.5</v>
      </c>
      <c r="P87" s="46">
        <v>17.5</v>
      </c>
      <c r="Q87" s="46">
        <v>25.5</v>
      </c>
      <c r="R87" s="47">
        <f t="shared" si="8"/>
        <v>86.5</v>
      </c>
      <c r="S87" s="28">
        <v>3</v>
      </c>
      <c r="T87" s="284">
        <v>36457</v>
      </c>
      <c r="U87" s="293">
        <v>36509</v>
      </c>
      <c r="V87" s="37" t="s">
        <v>131</v>
      </c>
      <c r="W87" s="28" t="s">
        <v>22</v>
      </c>
      <c r="X87" s="28" t="s">
        <v>11</v>
      </c>
      <c r="Y87" s="38">
        <v>21.5</v>
      </c>
      <c r="Z87" s="28" t="s">
        <v>80</v>
      </c>
      <c r="AA87" s="28" t="s">
        <v>17</v>
      </c>
      <c r="AB87" s="28" t="s">
        <v>18</v>
      </c>
      <c r="AC87" s="28">
        <v>17.5</v>
      </c>
      <c r="AD87" s="37" t="s">
        <v>454</v>
      </c>
      <c r="AE87" s="28" t="s">
        <v>20</v>
      </c>
      <c r="AF87" s="28" t="s">
        <v>12</v>
      </c>
      <c r="AG87" s="38">
        <v>25.5</v>
      </c>
      <c r="AH87" s="28" t="s">
        <v>328</v>
      </c>
      <c r="AI87" s="28" t="s">
        <v>852</v>
      </c>
      <c r="AJ87" s="28" t="s">
        <v>11</v>
      </c>
      <c r="AK87" s="28">
        <v>22</v>
      </c>
      <c r="AL87" s="37"/>
      <c r="AO87" s="38"/>
      <c r="AP87" s="37"/>
      <c r="AS87" s="38"/>
      <c r="AW87" s="38"/>
      <c r="BA87" s="39"/>
    </row>
    <row r="88" spans="1:53" s="28" customFormat="1" x14ac:dyDescent="0.15">
      <c r="A88" s="28">
        <v>2000</v>
      </c>
      <c r="B88" s="293"/>
      <c r="C88" s="394" t="s">
        <v>438</v>
      </c>
      <c r="D88" s="394"/>
      <c r="E88" s="28">
        <v>0</v>
      </c>
      <c r="G88" s="65">
        <v>3</v>
      </c>
      <c r="H88" s="28">
        <v>2</v>
      </c>
      <c r="I88" s="28">
        <v>2</v>
      </c>
      <c r="J88" s="72">
        <v>7</v>
      </c>
      <c r="K88" s="46">
        <f t="shared" si="9"/>
        <v>42.857142857142854</v>
      </c>
      <c r="L88" s="46">
        <f t="shared" si="10"/>
        <v>28.571428571428569</v>
      </c>
      <c r="M88" s="46">
        <f t="shared" si="11"/>
        <v>28.571428571428569</v>
      </c>
      <c r="N88" s="67">
        <f t="shared" si="12"/>
        <v>99.999999999999986</v>
      </c>
      <c r="O88" s="45">
        <v>43.5</v>
      </c>
      <c r="P88" s="46">
        <v>17.5</v>
      </c>
      <c r="Q88" s="46">
        <v>25.5</v>
      </c>
      <c r="R88" s="47">
        <f t="shared" si="8"/>
        <v>86.5</v>
      </c>
      <c r="S88" s="28">
        <v>3</v>
      </c>
      <c r="T88" s="284"/>
      <c r="U88" s="293"/>
      <c r="V88" s="37" t="s">
        <v>131</v>
      </c>
      <c r="W88" s="28" t="s">
        <v>22</v>
      </c>
      <c r="X88" s="28" t="s">
        <v>11</v>
      </c>
      <c r="Y88" s="38">
        <v>21.5</v>
      </c>
      <c r="Z88" s="28" t="s">
        <v>80</v>
      </c>
      <c r="AA88" s="28" t="s">
        <v>17</v>
      </c>
      <c r="AB88" s="28" t="s">
        <v>18</v>
      </c>
      <c r="AC88" s="28">
        <v>17.5</v>
      </c>
      <c r="AD88" s="37" t="s">
        <v>454</v>
      </c>
      <c r="AE88" s="28" t="s">
        <v>20</v>
      </c>
      <c r="AF88" s="28" t="s">
        <v>12</v>
      </c>
      <c r="AG88" s="38">
        <v>25.5</v>
      </c>
      <c r="AH88" s="28" t="s">
        <v>328</v>
      </c>
      <c r="AI88" s="28" t="s">
        <v>852</v>
      </c>
      <c r="AJ88" s="28" t="s">
        <v>11</v>
      </c>
      <c r="AK88" s="28">
        <v>22</v>
      </c>
      <c r="AL88" s="37"/>
      <c r="AO88" s="38"/>
      <c r="AP88" s="37"/>
      <c r="AS88" s="38"/>
      <c r="AW88" s="38"/>
      <c r="BA88" s="39"/>
    </row>
    <row r="89" spans="1:53" s="28" customFormat="1" x14ac:dyDescent="0.15">
      <c r="A89" s="28">
        <v>2000</v>
      </c>
      <c r="B89" s="293"/>
      <c r="C89" s="394" t="s">
        <v>465</v>
      </c>
      <c r="D89" s="394"/>
      <c r="E89" s="28">
        <v>366</v>
      </c>
      <c r="F89" s="28">
        <v>1</v>
      </c>
      <c r="G89" s="65">
        <v>3</v>
      </c>
      <c r="H89" s="28">
        <v>2</v>
      </c>
      <c r="I89" s="28">
        <v>2</v>
      </c>
      <c r="J89" s="72">
        <v>7</v>
      </c>
      <c r="K89" s="46">
        <f t="shared" si="9"/>
        <v>42.857142857142854</v>
      </c>
      <c r="L89" s="46">
        <f t="shared" si="10"/>
        <v>28.571428571428569</v>
      </c>
      <c r="M89" s="46">
        <f t="shared" si="11"/>
        <v>28.571428571428569</v>
      </c>
      <c r="N89" s="67">
        <f t="shared" si="12"/>
        <v>99.999999999999986</v>
      </c>
      <c r="O89" s="45">
        <v>43.5</v>
      </c>
      <c r="P89" s="46">
        <v>17.5</v>
      </c>
      <c r="Q89" s="46">
        <v>25.5</v>
      </c>
      <c r="R89" s="47">
        <f t="shared" si="8"/>
        <v>86.5</v>
      </c>
      <c r="S89" s="28">
        <v>3</v>
      </c>
      <c r="T89" s="284"/>
      <c r="U89" s="293"/>
      <c r="V89" s="37" t="s">
        <v>131</v>
      </c>
      <c r="W89" s="28" t="s">
        <v>22</v>
      </c>
      <c r="X89" s="28" t="s">
        <v>11</v>
      </c>
      <c r="Y89" s="38">
        <v>21.5</v>
      </c>
      <c r="Z89" s="28" t="s">
        <v>80</v>
      </c>
      <c r="AA89" s="28" t="s">
        <v>17</v>
      </c>
      <c r="AB89" s="28" t="s">
        <v>18</v>
      </c>
      <c r="AC89" s="28">
        <v>17.5</v>
      </c>
      <c r="AD89" s="37" t="s">
        <v>454</v>
      </c>
      <c r="AE89" s="28" t="s">
        <v>20</v>
      </c>
      <c r="AF89" s="28" t="s">
        <v>12</v>
      </c>
      <c r="AG89" s="38">
        <v>25.5</v>
      </c>
      <c r="AH89" s="28" t="s">
        <v>328</v>
      </c>
      <c r="AI89" s="28" t="s">
        <v>852</v>
      </c>
      <c r="AJ89" s="28" t="s">
        <v>11</v>
      </c>
      <c r="AK89" s="28">
        <v>22</v>
      </c>
      <c r="AL89" s="37"/>
      <c r="AO89" s="38"/>
      <c r="AP89" s="37"/>
      <c r="AS89" s="38"/>
      <c r="AW89" s="38"/>
      <c r="BA89" s="39"/>
    </row>
    <row r="90" spans="1:53" s="28" customFormat="1" x14ac:dyDescent="0.15">
      <c r="A90" s="28">
        <v>2001</v>
      </c>
      <c r="B90" s="293"/>
      <c r="C90" s="394" t="s">
        <v>465</v>
      </c>
      <c r="D90" s="394"/>
      <c r="E90" s="28">
        <v>0</v>
      </c>
      <c r="G90" s="65">
        <v>3</v>
      </c>
      <c r="H90" s="28">
        <v>2</v>
      </c>
      <c r="I90" s="28">
        <v>2</v>
      </c>
      <c r="J90" s="72">
        <v>7</v>
      </c>
      <c r="K90" s="46">
        <f t="shared" si="9"/>
        <v>42.857142857142854</v>
      </c>
      <c r="L90" s="46">
        <f t="shared" si="10"/>
        <v>28.571428571428569</v>
      </c>
      <c r="M90" s="46">
        <f t="shared" si="11"/>
        <v>28.571428571428569</v>
      </c>
      <c r="N90" s="67">
        <f t="shared" si="12"/>
        <v>99.999999999999986</v>
      </c>
      <c r="O90" s="45">
        <v>43.5</v>
      </c>
      <c r="P90" s="46">
        <v>17.5</v>
      </c>
      <c r="Q90" s="46">
        <v>25.5</v>
      </c>
      <c r="R90" s="47">
        <f t="shared" si="8"/>
        <v>86.5</v>
      </c>
      <c r="S90" s="28">
        <v>3</v>
      </c>
      <c r="T90" s="284"/>
      <c r="U90" s="293"/>
      <c r="V90" s="37" t="s">
        <v>131</v>
      </c>
      <c r="W90" s="28" t="s">
        <v>22</v>
      </c>
      <c r="X90" s="28" t="s">
        <v>11</v>
      </c>
      <c r="Y90" s="38">
        <v>21.5</v>
      </c>
      <c r="Z90" s="28" t="s">
        <v>80</v>
      </c>
      <c r="AA90" s="28" t="s">
        <v>17</v>
      </c>
      <c r="AB90" s="28" t="s">
        <v>18</v>
      </c>
      <c r="AC90" s="28">
        <v>17.5</v>
      </c>
      <c r="AD90" s="37" t="s">
        <v>454</v>
      </c>
      <c r="AE90" s="28" t="s">
        <v>20</v>
      </c>
      <c r="AF90" s="28" t="s">
        <v>12</v>
      </c>
      <c r="AG90" s="38">
        <v>25.5</v>
      </c>
      <c r="AH90" s="28" t="s">
        <v>328</v>
      </c>
      <c r="AI90" s="28" t="s">
        <v>852</v>
      </c>
      <c r="AJ90" s="28" t="s">
        <v>11</v>
      </c>
      <c r="AK90" s="28">
        <v>22</v>
      </c>
      <c r="AL90" s="37"/>
      <c r="AO90" s="38"/>
      <c r="AP90" s="37"/>
      <c r="AS90" s="38"/>
      <c r="AW90" s="38"/>
      <c r="BA90" s="39"/>
    </row>
    <row r="91" spans="1:53" s="28" customFormat="1" x14ac:dyDescent="0.15">
      <c r="A91" s="28">
        <v>2001</v>
      </c>
      <c r="B91" s="293"/>
      <c r="C91" s="394" t="s">
        <v>435</v>
      </c>
      <c r="D91" s="394"/>
      <c r="E91" s="28">
        <f>365-E90</f>
        <v>365</v>
      </c>
      <c r="F91" s="28">
        <v>1</v>
      </c>
      <c r="G91" s="65">
        <v>3</v>
      </c>
      <c r="H91" s="28">
        <v>2</v>
      </c>
      <c r="I91" s="28">
        <v>2</v>
      </c>
      <c r="J91" s="72">
        <v>7</v>
      </c>
      <c r="K91" s="46">
        <f t="shared" si="9"/>
        <v>42.857142857142854</v>
      </c>
      <c r="L91" s="46">
        <f t="shared" si="10"/>
        <v>28.571428571428569</v>
      </c>
      <c r="M91" s="46">
        <f t="shared" si="11"/>
        <v>28.571428571428569</v>
      </c>
      <c r="N91" s="67">
        <f t="shared" si="12"/>
        <v>99.999999999999986</v>
      </c>
      <c r="O91" s="45">
        <v>43.5</v>
      </c>
      <c r="P91" s="46">
        <v>17.5</v>
      </c>
      <c r="Q91" s="46">
        <v>25.5</v>
      </c>
      <c r="R91" s="47">
        <f t="shared" si="8"/>
        <v>86.5</v>
      </c>
      <c r="S91" s="28">
        <v>3</v>
      </c>
      <c r="T91" s="284"/>
      <c r="U91" s="293"/>
      <c r="V91" s="37" t="s">
        <v>131</v>
      </c>
      <c r="W91" s="28" t="s">
        <v>22</v>
      </c>
      <c r="X91" s="28" t="s">
        <v>11</v>
      </c>
      <c r="Y91" s="38">
        <v>21.5</v>
      </c>
      <c r="Z91" s="28" t="s">
        <v>80</v>
      </c>
      <c r="AA91" s="28" t="s">
        <v>17</v>
      </c>
      <c r="AB91" s="28" t="s">
        <v>18</v>
      </c>
      <c r="AC91" s="28">
        <v>17.5</v>
      </c>
      <c r="AD91" s="37" t="s">
        <v>454</v>
      </c>
      <c r="AE91" s="28" t="s">
        <v>20</v>
      </c>
      <c r="AF91" s="28" t="s">
        <v>12</v>
      </c>
      <c r="AG91" s="38">
        <v>25.5</v>
      </c>
      <c r="AH91" s="28" t="s">
        <v>328</v>
      </c>
      <c r="AI91" s="28" t="s">
        <v>852</v>
      </c>
      <c r="AJ91" s="28" t="s">
        <v>11</v>
      </c>
      <c r="AK91" s="28">
        <v>22</v>
      </c>
      <c r="AL91" s="37"/>
      <c r="AO91" s="38"/>
      <c r="AP91" s="37"/>
      <c r="AS91" s="38"/>
      <c r="AW91" s="38"/>
      <c r="BA91" s="39"/>
    </row>
    <row r="92" spans="1:53" s="28" customFormat="1" x14ac:dyDescent="0.15">
      <c r="A92" s="28">
        <v>2002</v>
      </c>
      <c r="B92" s="293"/>
      <c r="C92" s="394" t="s">
        <v>435</v>
      </c>
      <c r="D92" s="394"/>
      <c r="E92" s="28">
        <v>0</v>
      </c>
      <c r="G92" s="65">
        <v>3</v>
      </c>
      <c r="H92" s="28">
        <v>2</v>
      </c>
      <c r="I92" s="28">
        <v>2</v>
      </c>
      <c r="J92" s="72">
        <v>7</v>
      </c>
      <c r="K92" s="46">
        <f t="shared" si="9"/>
        <v>42.857142857142854</v>
      </c>
      <c r="L92" s="46">
        <f t="shared" si="10"/>
        <v>28.571428571428569</v>
      </c>
      <c r="M92" s="46">
        <f t="shared" si="11"/>
        <v>28.571428571428569</v>
      </c>
      <c r="N92" s="67">
        <f t="shared" si="12"/>
        <v>99.999999999999986</v>
      </c>
      <c r="O92" s="45">
        <v>43.5</v>
      </c>
      <c r="P92" s="46">
        <v>17.5</v>
      </c>
      <c r="Q92" s="46">
        <v>25.5</v>
      </c>
      <c r="R92" s="47">
        <f t="shared" si="8"/>
        <v>86.5</v>
      </c>
      <c r="S92" s="28">
        <v>3</v>
      </c>
      <c r="T92" s="284"/>
      <c r="U92" s="293"/>
      <c r="V92" s="37" t="s">
        <v>131</v>
      </c>
      <c r="W92" s="28" t="s">
        <v>22</v>
      </c>
      <c r="X92" s="28" t="s">
        <v>11</v>
      </c>
      <c r="Y92" s="38">
        <v>21.5</v>
      </c>
      <c r="Z92" s="28" t="s">
        <v>80</v>
      </c>
      <c r="AA92" s="28" t="s">
        <v>17</v>
      </c>
      <c r="AB92" s="28" t="s">
        <v>18</v>
      </c>
      <c r="AC92" s="28">
        <v>17.5</v>
      </c>
      <c r="AD92" s="37" t="s">
        <v>454</v>
      </c>
      <c r="AE92" s="28" t="s">
        <v>20</v>
      </c>
      <c r="AF92" s="28" t="s">
        <v>12</v>
      </c>
      <c r="AG92" s="38">
        <v>25.5</v>
      </c>
      <c r="AH92" s="28" t="s">
        <v>328</v>
      </c>
      <c r="AI92" s="28" t="s">
        <v>852</v>
      </c>
      <c r="AJ92" s="28" t="s">
        <v>11</v>
      </c>
      <c r="AK92" s="28">
        <v>22</v>
      </c>
      <c r="AL92" s="37"/>
      <c r="AO92" s="38"/>
      <c r="AP92" s="37"/>
      <c r="AS92" s="38"/>
      <c r="AW92" s="38"/>
      <c r="BA92" s="39"/>
    </row>
    <row r="93" spans="1:53" s="28" customFormat="1" x14ac:dyDescent="0.15">
      <c r="A93" s="28">
        <v>2002</v>
      </c>
      <c r="B93" s="293"/>
      <c r="C93" s="394" t="s">
        <v>440</v>
      </c>
      <c r="D93" s="394"/>
      <c r="E93" s="28">
        <f>365-E92</f>
        <v>365</v>
      </c>
      <c r="F93" s="28">
        <v>1</v>
      </c>
      <c r="G93" s="65">
        <v>3</v>
      </c>
      <c r="H93" s="28">
        <v>2</v>
      </c>
      <c r="I93" s="28">
        <v>2</v>
      </c>
      <c r="J93" s="72">
        <v>7</v>
      </c>
      <c r="K93" s="46">
        <f t="shared" si="9"/>
        <v>42.857142857142854</v>
      </c>
      <c r="L93" s="46">
        <f t="shared" si="10"/>
        <v>28.571428571428569</v>
      </c>
      <c r="M93" s="46">
        <f t="shared" si="11"/>
        <v>28.571428571428569</v>
      </c>
      <c r="N93" s="67">
        <f t="shared" si="12"/>
        <v>99.999999999999986</v>
      </c>
      <c r="O93" s="45">
        <v>43.5</v>
      </c>
      <c r="P93" s="46">
        <v>17.5</v>
      </c>
      <c r="Q93" s="46">
        <v>25.5</v>
      </c>
      <c r="R93" s="47">
        <f t="shared" si="8"/>
        <v>86.5</v>
      </c>
      <c r="S93" s="28">
        <v>3</v>
      </c>
      <c r="T93" s="284"/>
      <c r="U93" s="293"/>
      <c r="V93" s="37" t="s">
        <v>131</v>
      </c>
      <c r="W93" s="28" t="s">
        <v>22</v>
      </c>
      <c r="X93" s="28" t="s">
        <v>11</v>
      </c>
      <c r="Y93" s="38">
        <v>21.5</v>
      </c>
      <c r="Z93" s="28" t="s">
        <v>80</v>
      </c>
      <c r="AA93" s="28" t="s">
        <v>17</v>
      </c>
      <c r="AB93" s="28" t="s">
        <v>18</v>
      </c>
      <c r="AC93" s="28">
        <v>17.5</v>
      </c>
      <c r="AD93" s="37" t="s">
        <v>454</v>
      </c>
      <c r="AE93" s="28" t="s">
        <v>20</v>
      </c>
      <c r="AF93" s="28" t="s">
        <v>12</v>
      </c>
      <c r="AG93" s="38">
        <v>25.5</v>
      </c>
      <c r="AH93" s="28" t="s">
        <v>328</v>
      </c>
      <c r="AI93" s="28" t="s">
        <v>852</v>
      </c>
      <c r="AJ93" s="28" t="s">
        <v>11</v>
      </c>
      <c r="AK93" s="28">
        <v>22</v>
      </c>
      <c r="AL93" s="37"/>
      <c r="AO93" s="38"/>
      <c r="AP93" s="37"/>
      <c r="AS93" s="38"/>
      <c r="AW93" s="38"/>
      <c r="BA93" s="39"/>
    </row>
    <row r="94" spans="1:53" s="28" customFormat="1" x14ac:dyDescent="0.15">
      <c r="A94" s="28">
        <v>2003</v>
      </c>
      <c r="B94" s="293"/>
      <c r="C94" s="394" t="s">
        <v>440</v>
      </c>
      <c r="D94" s="394"/>
      <c r="E94" s="28">
        <v>343</v>
      </c>
      <c r="G94" s="65">
        <v>3</v>
      </c>
      <c r="H94" s="28">
        <v>2</v>
      </c>
      <c r="I94" s="28">
        <v>2</v>
      </c>
      <c r="J94" s="72">
        <v>7</v>
      </c>
      <c r="K94" s="46">
        <f t="shared" si="9"/>
        <v>42.857142857142854</v>
      </c>
      <c r="L94" s="46">
        <f t="shared" si="10"/>
        <v>28.571428571428569</v>
      </c>
      <c r="M94" s="46">
        <f t="shared" si="11"/>
        <v>28.571428571428569</v>
      </c>
      <c r="N94" s="67">
        <f t="shared" si="12"/>
        <v>99.999999999999986</v>
      </c>
      <c r="O94" s="45">
        <v>43.5</v>
      </c>
      <c r="P94" s="46">
        <v>17.5</v>
      </c>
      <c r="Q94" s="46">
        <v>25.5</v>
      </c>
      <c r="R94" s="47">
        <f t="shared" si="8"/>
        <v>86.5</v>
      </c>
      <c r="S94" s="28">
        <v>3</v>
      </c>
      <c r="T94" s="284"/>
      <c r="U94" s="293"/>
      <c r="V94" s="37" t="s">
        <v>131</v>
      </c>
      <c r="W94" s="28" t="s">
        <v>22</v>
      </c>
      <c r="X94" s="28" t="s">
        <v>11</v>
      </c>
      <c r="Y94" s="38">
        <v>21.5</v>
      </c>
      <c r="Z94" s="28" t="s">
        <v>80</v>
      </c>
      <c r="AA94" s="28" t="s">
        <v>17</v>
      </c>
      <c r="AB94" s="28" t="s">
        <v>18</v>
      </c>
      <c r="AC94" s="28">
        <v>17.5</v>
      </c>
      <c r="AD94" s="37" t="s">
        <v>454</v>
      </c>
      <c r="AE94" s="28" t="s">
        <v>20</v>
      </c>
      <c r="AF94" s="28" t="s">
        <v>12</v>
      </c>
      <c r="AG94" s="38">
        <v>25.5</v>
      </c>
      <c r="AH94" s="28" t="s">
        <v>328</v>
      </c>
      <c r="AI94" s="28" t="s">
        <v>852</v>
      </c>
      <c r="AJ94" s="28" t="s">
        <v>11</v>
      </c>
      <c r="AK94" s="28">
        <v>22</v>
      </c>
      <c r="AL94" s="37"/>
      <c r="AO94" s="38"/>
      <c r="AP94" s="37"/>
      <c r="AS94" s="38"/>
      <c r="AW94" s="38"/>
      <c r="BA94" s="39"/>
    </row>
    <row r="95" spans="1:53" s="170" customFormat="1" x14ac:dyDescent="0.15">
      <c r="A95" s="170">
        <v>2003</v>
      </c>
      <c r="B95" s="281">
        <v>37965</v>
      </c>
      <c r="C95" s="395" t="s">
        <v>441</v>
      </c>
      <c r="D95" s="395"/>
      <c r="E95" s="170">
        <f>365-E94</f>
        <v>22</v>
      </c>
      <c r="F95" s="170">
        <v>1</v>
      </c>
      <c r="G95" s="232">
        <v>3</v>
      </c>
      <c r="H95" s="170">
        <v>2</v>
      </c>
      <c r="I95" s="170">
        <v>2</v>
      </c>
      <c r="J95" s="240">
        <v>7</v>
      </c>
      <c r="K95" s="213">
        <f t="shared" si="9"/>
        <v>42.857142857142854</v>
      </c>
      <c r="L95" s="213">
        <f t="shared" si="10"/>
        <v>28.571428571428569</v>
      </c>
      <c r="M95" s="213">
        <f t="shared" si="11"/>
        <v>28.571428571428569</v>
      </c>
      <c r="N95" s="234">
        <f t="shared" si="12"/>
        <v>99.999999999999986</v>
      </c>
      <c r="O95" s="212">
        <v>45.5</v>
      </c>
      <c r="P95" s="213">
        <v>14</v>
      </c>
      <c r="Q95" s="213">
        <v>26</v>
      </c>
      <c r="R95" s="214">
        <f t="shared" si="8"/>
        <v>85.5</v>
      </c>
      <c r="S95" s="170">
        <v>3</v>
      </c>
      <c r="T95" s="283">
        <v>37913</v>
      </c>
      <c r="U95" s="281">
        <v>37965</v>
      </c>
      <c r="V95" s="177" t="s">
        <v>131</v>
      </c>
      <c r="W95" s="170" t="s">
        <v>22</v>
      </c>
      <c r="X95" s="170" t="s">
        <v>11</v>
      </c>
      <c r="Y95" s="178">
        <v>18</v>
      </c>
      <c r="Z95" s="170" t="s">
        <v>80</v>
      </c>
      <c r="AA95" s="170" t="s">
        <v>17</v>
      </c>
      <c r="AB95" s="170" t="s">
        <v>18</v>
      </c>
      <c r="AC95" s="170">
        <v>14</v>
      </c>
      <c r="AD95" s="177" t="s">
        <v>454</v>
      </c>
      <c r="AE95" s="170" t="s">
        <v>20</v>
      </c>
      <c r="AF95" s="170" t="s">
        <v>12</v>
      </c>
      <c r="AG95" s="178">
        <v>26</v>
      </c>
      <c r="AH95" s="170" t="s">
        <v>328</v>
      </c>
      <c r="AI95" s="170" t="s">
        <v>852</v>
      </c>
      <c r="AJ95" s="170" t="s">
        <v>11</v>
      </c>
      <c r="AK95" s="170">
        <v>27.5</v>
      </c>
      <c r="AL95" s="177"/>
      <c r="AO95" s="178"/>
      <c r="AP95" s="177"/>
      <c r="AS95" s="178"/>
      <c r="AW95" s="178"/>
      <c r="BA95" s="179"/>
    </row>
    <row r="96" spans="1:53" s="170" customFormat="1" x14ac:dyDescent="0.15">
      <c r="A96" s="170">
        <v>2004</v>
      </c>
      <c r="B96" s="281"/>
      <c r="C96" s="395" t="s">
        <v>441</v>
      </c>
      <c r="D96" s="395"/>
      <c r="E96" s="170">
        <v>0</v>
      </c>
      <c r="G96" s="232">
        <v>4</v>
      </c>
      <c r="H96" s="170">
        <v>1</v>
      </c>
      <c r="I96" s="170">
        <v>2</v>
      </c>
      <c r="J96" s="240">
        <v>7</v>
      </c>
      <c r="K96" s="213">
        <f t="shared" si="9"/>
        <v>57.142857142857139</v>
      </c>
      <c r="L96" s="213">
        <f t="shared" si="10"/>
        <v>14.285714285714285</v>
      </c>
      <c r="M96" s="213">
        <f t="shared" si="11"/>
        <v>28.571428571428569</v>
      </c>
      <c r="N96" s="234">
        <f t="shared" si="12"/>
        <v>99.999999999999986</v>
      </c>
      <c r="O96" s="212">
        <v>45.5</v>
      </c>
      <c r="P96" s="213">
        <v>14</v>
      </c>
      <c r="Q96" s="213">
        <v>26</v>
      </c>
      <c r="R96" s="214">
        <f t="shared" si="8"/>
        <v>85.5</v>
      </c>
      <c r="S96" s="170">
        <v>3</v>
      </c>
      <c r="T96" s="283"/>
      <c r="U96" s="281"/>
      <c r="V96" s="177" t="s">
        <v>131</v>
      </c>
      <c r="W96" s="170" t="s">
        <v>22</v>
      </c>
      <c r="X96" s="170" t="s">
        <v>11</v>
      </c>
      <c r="Y96" s="178">
        <v>18</v>
      </c>
      <c r="Z96" s="170" t="s">
        <v>80</v>
      </c>
      <c r="AA96" s="170" t="s">
        <v>17</v>
      </c>
      <c r="AB96" s="170" t="s">
        <v>18</v>
      </c>
      <c r="AC96" s="170">
        <v>14</v>
      </c>
      <c r="AD96" s="177" t="s">
        <v>454</v>
      </c>
      <c r="AE96" s="170" t="s">
        <v>20</v>
      </c>
      <c r="AF96" s="170" t="s">
        <v>12</v>
      </c>
      <c r="AG96" s="178">
        <v>26</v>
      </c>
      <c r="AH96" s="170" t="s">
        <v>328</v>
      </c>
      <c r="AI96" s="170" t="s">
        <v>852</v>
      </c>
      <c r="AJ96" s="170" t="s">
        <v>11</v>
      </c>
      <c r="AK96" s="170">
        <v>27.5</v>
      </c>
      <c r="AL96" s="177"/>
      <c r="AO96" s="178"/>
      <c r="AP96" s="177"/>
      <c r="AS96" s="178"/>
      <c r="AW96" s="178"/>
      <c r="BA96" s="179"/>
    </row>
    <row r="97" spans="1:53" s="170" customFormat="1" x14ac:dyDescent="0.15">
      <c r="A97" s="170">
        <v>2004</v>
      </c>
      <c r="B97" s="281"/>
      <c r="C97" s="395" t="s">
        <v>442</v>
      </c>
      <c r="D97" s="395"/>
      <c r="E97" s="170">
        <v>366</v>
      </c>
      <c r="F97" s="170">
        <v>1</v>
      </c>
      <c r="G97" s="232">
        <v>4</v>
      </c>
      <c r="H97" s="170">
        <v>1</v>
      </c>
      <c r="I97" s="170">
        <v>2</v>
      </c>
      <c r="J97" s="240">
        <v>7</v>
      </c>
      <c r="K97" s="213">
        <f t="shared" si="9"/>
        <v>57.142857142857139</v>
      </c>
      <c r="L97" s="213">
        <f t="shared" si="10"/>
        <v>14.285714285714285</v>
      </c>
      <c r="M97" s="213">
        <f t="shared" si="11"/>
        <v>28.571428571428569</v>
      </c>
      <c r="N97" s="234">
        <f t="shared" si="12"/>
        <v>99.999999999999986</v>
      </c>
      <c r="O97" s="212">
        <v>45.5</v>
      </c>
      <c r="P97" s="213">
        <v>14</v>
      </c>
      <c r="Q97" s="213">
        <v>26</v>
      </c>
      <c r="R97" s="214">
        <f t="shared" si="8"/>
        <v>85.5</v>
      </c>
      <c r="S97" s="170">
        <v>3</v>
      </c>
      <c r="T97" s="283"/>
      <c r="U97" s="281"/>
      <c r="V97" s="177" t="s">
        <v>131</v>
      </c>
      <c r="W97" s="170" t="s">
        <v>22</v>
      </c>
      <c r="X97" s="170" t="s">
        <v>11</v>
      </c>
      <c r="Y97" s="178">
        <v>18</v>
      </c>
      <c r="Z97" s="170" t="s">
        <v>80</v>
      </c>
      <c r="AA97" s="170" t="s">
        <v>17</v>
      </c>
      <c r="AB97" s="170" t="s">
        <v>18</v>
      </c>
      <c r="AC97" s="170">
        <v>14</v>
      </c>
      <c r="AD97" s="177" t="s">
        <v>454</v>
      </c>
      <c r="AE97" s="170" t="s">
        <v>20</v>
      </c>
      <c r="AF97" s="170" t="s">
        <v>12</v>
      </c>
      <c r="AG97" s="178">
        <v>26</v>
      </c>
      <c r="AH97" s="170" t="s">
        <v>328</v>
      </c>
      <c r="AI97" s="170" t="s">
        <v>852</v>
      </c>
      <c r="AJ97" s="170" t="s">
        <v>11</v>
      </c>
      <c r="AK97" s="170">
        <v>27.5</v>
      </c>
      <c r="AL97" s="177"/>
      <c r="AO97" s="178"/>
      <c r="AP97" s="177"/>
      <c r="AS97" s="178"/>
      <c r="AW97" s="178"/>
      <c r="BA97" s="179"/>
    </row>
    <row r="98" spans="1:53" s="170" customFormat="1" x14ac:dyDescent="0.15">
      <c r="A98" s="170">
        <v>2005</v>
      </c>
      <c r="B98" s="281"/>
      <c r="C98" s="395" t="s">
        <v>442</v>
      </c>
      <c r="D98" s="395"/>
      <c r="E98" s="170">
        <v>0</v>
      </c>
      <c r="G98" s="232">
        <v>4</v>
      </c>
      <c r="H98" s="170">
        <v>1</v>
      </c>
      <c r="I98" s="170">
        <v>2</v>
      </c>
      <c r="J98" s="240">
        <v>7</v>
      </c>
      <c r="K98" s="213">
        <f t="shared" si="9"/>
        <v>57.142857142857139</v>
      </c>
      <c r="L98" s="213">
        <f t="shared" si="10"/>
        <v>14.285714285714285</v>
      </c>
      <c r="M98" s="213">
        <f t="shared" si="11"/>
        <v>28.571428571428569</v>
      </c>
      <c r="N98" s="234">
        <f t="shared" si="12"/>
        <v>99.999999999999986</v>
      </c>
      <c r="O98" s="212">
        <v>45.5</v>
      </c>
      <c r="P98" s="213">
        <v>14</v>
      </c>
      <c r="Q98" s="213">
        <v>26</v>
      </c>
      <c r="R98" s="214">
        <f t="shared" si="8"/>
        <v>85.5</v>
      </c>
      <c r="S98" s="170">
        <v>3</v>
      </c>
      <c r="T98" s="283"/>
      <c r="U98" s="281"/>
      <c r="V98" s="177" t="s">
        <v>131</v>
      </c>
      <c r="W98" s="170" t="s">
        <v>22</v>
      </c>
      <c r="X98" s="170" t="s">
        <v>11</v>
      </c>
      <c r="Y98" s="178">
        <v>18</v>
      </c>
      <c r="Z98" s="170" t="s">
        <v>80</v>
      </c>
      <c r="AA98" s="170" t="s">
        <v>17</v>
      </c>
      <c r="AB98" s="170" t="s">
        <v>18</v>
      </c>
      <c r="AC98" s="170">
        <v>14</v>
      </c>
      <c r="AD98" s="177" t="s">
        <v>454</v>
      </c>
      <c r="AE98" s="170" t="s">
        <v>20</v>
      </c>
      <c r="AF98" s="170" t="s">
        <v>12</v>
      </c>
      <c r="AG98" s="178">
        <v>26</v>
      </c>
      <c r="AH98" s="170" t="s">
        <v>328</v>
      </c>
      <c r="AI98" s="170" t="s">
        <v>852</v>
      </c>
      <c r="AJ98" s="170" t="s">
        <v>11</v>
      </c>
      <c r="AK98" s="170">
        <v>27.5</v>
      </c>
      <c r="AL98" s="177"/>
      <c r="AO98" s="178"/>
      <c r="AP98" s="177"/>
      <c r="AS98" s="178"/>
      <c r="AW98" s="178"/>
      <c r="BA98" s="179"/>
    </row>
    <row r="99" spans="1:53" s="170" customFormat="1" x14ac:dyDescent="0.15">
      <c r="A99" s="170">
        <v>2005</v>
      </c>
      <c r="B99" s="281"/>
      <c r="C99" s="395" t="s">
        <v>466</v>
      </c>
      <c r="D99" s="395"/>
      <c r="E99" s="170">
        <f>365-E98</f>
        <v>365</v>
      </c>
      <c r="F99" s="170">
        <v>1</v>
      </c>
      <c r="G99" s="232">
        <v>4</v>
      </c>
      <c r="H99" s="170">
        <v>1</v>
      </c>
      <c r="I99" s="170">
        <v>2</v>
      </c>
      <c r="J99" s="240">
        <v>7</v>
      </c>
      <c r="K99" s="213">
        <f t="shared" si="9"/>
        <v>57.142857142857139</v>
      </c>
      <c r="L99" s="213">
        <f t="shared" si="10"/>
        <v>14.285714285714285</v>
      </c>
      <c r="M99" s="213">
        <f t="shared" si="11"/>
        <v>28.571428571428569</v>
      </c>
      <c r="N99" s="234">
        <f t="shared" si="12"/>
        <v>99.999999999999986</v>
      </c>
      <c r="O99" s="212">
        <v>45.5</v>
      </c>
      <c r="P99" s="213">
        <v>14</v>
      </c>
      <c r="Q99" s="213">
        <v>26</v>
      </c>
      <c r="R99" s="214">
        <f t="shared" si="8"/>
        <v>85.5</v>
      </c>
      <c r="S99" s="170">
        <v>3</v>
      </c>
      <c r="T99" s="283"/>
      <c r="U99" s="281"/>
      <c r="V99" s="177" t="s">
        <v>131</v>
      </c>
      <c r="W99" s="170" t="s">
        <v>22</v>
      </c>
      <c r="X99" s="170" t="s">
        <v>11</v>
      </c>
      <c r="Y99" s="178">
        <v>18</v>
      </c>
      <c r="Z99" s="170" t="s">
        <v>80</v>
      </c>
      <c r="AA99" s="170" t="s">
        <v>17</v>
      </c>
      <c r="AB99" s="170" t="s">
        <v>18</v>
      </c>
      <c r="AC99" s="170">
        <v>14</v>
      </c>
      <c r="AD99" s="177" t="s">
        <v>454</v>
      </c>
      <c r="AE99" s="170" t="s">
        <v>20</v>
      </c>
      <c r="AF99" s="170" t="s">
        <v>12</v>
      </c>
      <c r="AG99" s="178">
        <v>26</v>
      </c>
      <c r="AH99" s="170" t="s">
        <v>328</v>
      </c>
      <c r="AI99" s="170" t="s">
        <v>852</v>
      </c>
      <c r="AJ99" s="170" t="s">
        <v>11</v>
      </c>
      <c r="AK99" s="170">
        <v>27.5</v>
      </c>
      <c r="AL99" s="177"/>
      <c r="AO99" s="178"/>
      <c r="AP99" s="177"/>
      <c r="AS99" s="178"/>
      <c r="AW99" s="178"/>
      <c r="BA99" s="179"/>
    </row>
    <row r="100" spans="1:53" s="170" customFormat="1" x14ac:dyDescent="0.15">
      <c r="A100" s="170">
        <v>2006</v>
      </c>
      <c r="B100" s="281"/>
      <c r="C100" s="395" t="s">
        <v>466</v>
      </c>
      <c r="D100" s="395"/>
      <c r="E100" s="170">
        <v>0</v>
      </c>
      <c r="G100" s="232">
        <v>4</v>
      </c>
      <c r="H100" s="170">
        <v>1</v>
      </c>
      <c r="I100" s="170">
        <v>2</v>
      </c>
      <c r="J100" s="240">
        <v>7</v>
      </c>
      <c r="K100" s="213">
        <f t="shared" si="9"/>
        <v>57.142857142857139</v>
      </c>
      <c r="L100" s="213">
        <f t="shared" si="10"/>
        <v>14.285714285714285</v>
      </c>
      <c r="M100" s="213">
        <f t="shared" si="11"/>
        <v>28.571428571428569</v>
      </c>
      <c r="N100" s="234">
        <f t="shared" si="12"/>
        <v>99.999999999999986</v>
      </c>
      <c r="O100" s="212">
        <v>45.5</v>
      </c>
      <c r="P100" s="213">
        <v>14</v>
      </c>
      <c r="Q100" s="213">
        <v>26</v>
      </c>
      <c r="R100" s="214">
        <f t="shared" si="8"/>
        <v>85.5</v>
      </c>
      <c r="S100" s="170">
        <v>3</v>
      </c>
      <c r="T100" s="283"/>
      <c r="U100" s="281"/>
      <c r="V100" s="177" t="s">
        <v>131</v>
      </c>
      <c r="W100" s="170" t="s">
        <v>22</v>
      </c>
      <c r="X100" s="170" t="s">
        <v>11</v>
      </c>
      <c r="Y100" s="178">
        <v>18</v>
      </c>
      <c r="Z100" s="170" t="s">
        <v>80</v>
      </c>
      <c r="AA100" s="170" t="s">
        <v>17</v>
      </c>
      <c r="AB100" s="170" t="s">
        <v>18</v>
      </c>
      <c r="AC100" s="170">
        <v>14</v>
      </c>
      <c r="AD100" s="177" t="s">
        <v>454</v>
      </c>
      <c r="AE100" s="170" t="s">
        <v>20</v>
      </c>
      <c r="AF100" s="170" t="s">
        <v>12</v>
      </c>
      <c r="AG100" s="178">
        <v>26</v>
      </c>
      <c r="AH100" s="170" t="s">
        <v>328</v>
      </c>
      <c r="AI100" s="170" t="s">
        <v>852</v>
      </c>
      <c r="AJ100" s="170" t="s">
        <v>11</v>
      </c>
      <c r="AK100" s="170">
        <v>27.5</v>
      </c>
      <c r="AL100" s="177"/>
      <c r="AO100" s="178"/>
      <c r="AP100" s="177"/>
      <c r="AS100" s="178"/>
      <c r="AW100" s="178"/>
      <c r="BA100" s="179"/>
    </row>
    <row r="101" spans="1:53" s="170" customFormat="1" x14ac:dyDescent="0.15">
      <c r="A101" s="170">
        <v>2006</v>
      </c>
      <c r="B101" s="281"/>
      <c r="C101" s="395" t="s">
        <v>467</v>
      </c>
      <c r="D101" s="395"/>
      <c r="E101" s="170">
        <f>365-E100</f>
        <v>365</v>
      </c>
      <c r="F101" s="170">
        <v>1</v>
      </c>
      <c r="G101" s="232">
        <v>4</v>
      </c>
      <c r="H101" s="170">
        <v>1</v>
      </c>
      <c r="I101" s="170">
        <v>2</v>
      </c>
      <c r="J101" s="240">
        <v>7</v>
      </c>
      <c r="K101" s="213">
        <f t="shared" si="9"/>
        <v>57.142857142857139</v>
      </c>
      <c r="L101" s="213">
        <f t="shared" si="10"/>
        <v>14.285714285714285</v>
      </c>
      <c r="M101" s="213">
        <f t="shared" si="11"/>
        <v>28.571428571428569</v>
      </c>
      <c r="N101" s="234">
        <f t="shared" si="12"/>
        <v>99.999999999999986</v>
      </c>
      <c r="O101" s="212">
        <v>45.5</v>
      </c>
      <c r="P101" s="213">
        <v>14</v>
      </c>
      <c r="Q101" s="213">
        <v>26</v>
      </c>
      <c r="R101" s="214">
        <f t="shared" si="8"/>
        <v>85.5</v>
      </c>
      <c r="S101" s="170">
        <v>3</v>
      </c>
      <c r="T101" s="283"/>
      <c r="U101" s="281"/>
      <c r="V101" s="177" t="s">
        <v>131</v>
      </c>
      <c r="W101" s="170" t="s">
        <v>22</v>
      </c>
      <c r="X101" s="170" t="s">
        <v>11</v>
      </c>
      <c r="Y101" s="178">
        <v>18</v>
      </c>
      <c r="Z101" s="170" t="s">
        <v>80</v>
      </c>
      <c r="AA101" s="170" t="s">
        <v>17</v>
      </c>
      <c r="AB101" s="170" t="s">
        <v>18</v>
      </c>
      <c r="AC101" s="170">
        <v>14</v>
      </c>
      <c r="AD101" s="177" t="s">
        <v>454</v>
      </c>
      <c r="AE101" s="170" t="s">
        <v>20</v>
      </c>
      <c r="AF101" s="170" t="s">
        <v>12</v>
      </c>
      <c r="AG101" s="178">
        <v>26</v>
      </c>
      <c r="AH101" s="170" t="s">
        <v>328</v>
      </c>
      <c r="AI101" s="170" t="s">
        <v>852</v>
      </c>
      <c r="AJ101" s="170" t="s">
        <v>11</v>
      </c>
      <c r="AK101" s="170">
        <v>27.5</v>
      </c>
      <c r="AL101" s="177"/>
      <c r="AO101" s="178"/>
      <c r="AP101" s="177"/>
      <c r="AS101" s="178"/>
      <c r="AW101" s="178"/>
      <c r="BA101" s="179"/>
    </row>
    <row r="102" spans="1:53" s="170" customFormat="1" x14ac:dyDescent="0.15">
      <c r="A102" s="170">
        <v>2007</v>
      </c>
      <c r="B102" s="281"/>
      <c r="C102" s="395" t="s">
        <v>467</v>
      </c>
      <c r="D102" s="395"/>
      <c r="E102" s="170">
        <v>345</v>
      </c>
      <c r="G102" s="232">
        <v>4</v>
      </c>
      <c r="H102" s="170">
        <v>1</v>
      </c>
      <c r="I102" s="170">
        <v>2</v>
      </c>
      <c r="J102" s="240">
        <v>7</v>
      </c>
      <c r="K102" s="213">
        <f t="shared" si="9"/>
        <v>57.142857142857139</v>
      </c>
      <c r="L102" s="213">
        <f t="shared" si="10"/>
        <v>14.285714285714285</v>
      </c>
      <c r="M102" s="213">
        <f t="shared" si="11"/>
        <v>28.571428571428569</v>
      </c>
      <c r="N102" s="234">
        <f t="shared" si="12"/>
        <v>99.999999999999986</v>
      </c>
      <c r="O102" s="212">
        <v>45.5</v>
      </c>
      <c r="P102" s="213">
        <v>14</v>
      </c>
      <c r="Q102" s="213">
        <v>26</v>
      </c>
      <c r="R102" s="214">
        <f t="shared" si="8"/>
        <v>85.5</v>
      </c>
      <c r="S102" s="170">
        <v>3</v>
      </c>
      <c r="T102" s="283"/>
      <c r="U102" s="281"/>
      <c r="V102" s="177" t="s">
        <v>131</v>
      </c>
      <c r="W102" s="170" t="s">
        <v>22</v>
      </c>
      <c r="X102" s="170" t="s">
        <v>11</v>
      </c>
      <c r="Y102" s="178">
        <v>18</v>
      </c>
      <c r="Z102" s="170" t="s">
        <v>80</v>
      </c>
      <c r="AA102" s="170" t="s">
        <v>17</v>
      </c>
      <c r="AB102" s="170" t="s">
        <v>18</v>
      </c>
      <c r="AC102" s="170">
        <v>14</v>
      </c>
      <c r="AD102" s="177" t="s">
        <v>454</v>
      </c>
      <c r="AE102" s="170" t="s">
        <v>20</v>
      </c>
      <c r="AF102" s="170" t="s">
        <v>12</v>
      </c>
      <c r="AG102" s="178">
        <v>26</v>
      </c>
      <c r="AH102" s="170" t="s">
        <v>328</v>
      </c>
      <c r="AI102" s="170" t="s">
        <v>852</v>
      </c>
      <c r="AJ102" s="170" t="s">
        <v>11</v>
      </c>
      <c r="AK102" s="170">
        <v>27.5</v>
      </c>
      <c r="AL102" s="177"/>
      <c r="AO102" s="178"/>
      <c r="AP102" s="177"/>
      <c r="AS102" s="178"/>
      <c r="AW102" s="178"/>
      <c r="BA102" s="179"/>
    </row>
    <row r="103" spans="1:53" s="28" customFormat="1" x14ac:dyDescent="0.15">
      <c r="A103" s="28">
        <v>2007</v>
      </c>
      <c r="B103" s="293">
        <v>39428</v>
      </c>
      <c r="C103" s="394" t="s">
        <v>443</v>
      </c>
      <c r="D103" s="394"/>
      <c r="E103" s="28">
        <f>365-E102</f>
        <v>20</v>
      </c>
      <c r="F103" s="28">
        <v>1</v>
      </c>
      <c r="G103" s="65">
        <v>4</v>
      </c>
      <c r="H103" s="28">
        <v>1</v>
      </c>
      <c r="I103" s="28">
        <v>2</v>
      </c>
      <c r="J103" s="72">
        <v>7</v>
      </c>
      <c r="K103" s="46">
        <f t="shared" si="9"/>
        <v>57.142857142857139</v>
      </c>
      <c r="L103" s="46">
        <f t="shared" si="10"/>
        <v>14.285714285714285</v>
      </c>
      <c r="M103" s="46">
        <f t="shared" si="11"/>
        <v>28.571428571428569</v>
      </c>
      <c r="N103" s="67">
        <f t="shared" si="12"/>
        <v>99.999999999999986</v>
      </c>
      <c r="O103" s="45">
        <v>46.5</v>
      </c>
      <c r="P103" s="46">
        <v>15.5</v>
      </c>
      <c r="Q103" s="46">
        <v>21.5</v>
      </c>
      <c r="R103" s="47">
        <f t="shared" si="8"/>
        <v>83.5</v>
      </c>
      <c r="S103" s="28">
        <v>3</v>
      </c>
      <c r="T103" s="284">
        <v>39376</v>
      </c>
      <c r="U103" s="293">
        <v>39428</v>
      </c>
      <c r="V103" s="37" t="s">
        <v>131</v>
      </c>
      <c r="W103" s="28" t="s">
        <v>22</v>
      </c>
      <c r="X103" s="28" t="s">
        <v>11</v>
      </c>
      <c r="Y103" s="38">
        <v>15.5</v>
      </c>
      <c r="Z103" s="28" t="s">
        <v>80</v>
      </c>
      <c r="AA103" s="28" t="s">
        <v>17</v>
      </c>
      <c r="AB103" s="28" t="s">
        <v>18</v>
      </c>
      <c r="AC103" s="28">
        <v>15.5</v>
      </c>
      <c r="AD103" s="37" t="s">
        <v>454</v>
      </c>
      <c r="AE103" s="28" t="s">
        <v>20</v>
      </c>
      <c r="AF103" s="28" t="s">
        <v>12</v>
      </c>
      <c r="AG103" s="38">
        <v>21.5</v>
      </c>
      <c r="AH103" s="28" t="s">
        <v>328</v>
      </c>
      <c r="AI103" s="28" t="s">
        <v>852</v>
      </c>
      <c r="AJ103" s="28" t="s">
        <v>11</v>
      </c>
      <c r="AK103" s="28">
        <v>31</v>
      </c>
      <c r="AL103" s="37"/>
      <c r="AO103" s="38"/>
      <c r="AP103" s="37"/>
      <c r="AS103" s="38"/>
      <c r="AW103" s="38"/>
      <c r="BA103" s="39"/>
    </row>
    <row r="104" spans="1:53" s="28" customFormat="1" x14ac:dyDescent="0.15">
      <c r="A104" s="28">
        <v>2008</v>
      </c>
      <c r="B104" s="293"/>
      <c r="C104" s="394" t="s">
        <v>443</v>
      </c>
      <c r="D104" s="394"/>
      <c r="E104" s="28">
        <v>0</v>
      </c>
      <c r="G104" s="65">
        <v>4</v>
      </c>
      <c r="H104" s="28">
        <v>1</v>
      </c>
      <c r="I104" s="28">
        <v>2</v>
      </c>
      <c r="J104" s="72">
        <v>7</v>
      </c>
      <c r="K104" s="46">
        <f t="shared" si="9"/>
        <v>57.142857142857139</v>
      </c>
      <c r="L104" s="46">
        <f t="shared" si="10"/>
        <v>14.285714285714285</v>
      </c>
      <c r="M104" s="46">
        <f>I104/J104*100</f>
        <v>28.571428571428569</v>
      </c>
      <c r="N104" s="67">
        <f t="shared" si="12"/>
        <v>99.999999999999986</v>
      </c>
      <c r="O104" s="45">
        <v>46.5</v>
      </c>
      <c r="P104" s="46">
        <v>15.5</v>
      </c>
      <c r="Q104" s="46">
        <v>21.5</v>
      </c>
      <c r="R104" s="47">
        <f t="shared" si="8"/>
        <v>83.5</v>
      </c>
      <c r="S104" s="28">
        <v>3</v>
      </c>
      <c r="T104" s="284"/>
      <c r="U104" s="293"/>
      <c r="V104" s="37" t="s">
        <v>131</v>
      </c>
      <c r="W104" s="28" t="s">
        <v>22</v>
      </c>
      <c r="X104" s="28" t="s">
        <v>11</v>
      </c>
      <c r="Y104" s="38">
        <v>15.5</v>
      </c>
      <c r="Z104" s="28" t="s">
        <v>80</v>
      </c>
      <c r="AA104" s="28" t="s">
        <v>17</v>
      </c>
      <c r="AB104" s="28" t="s">
        <v>18</v>
      </c>
      <c r="AC104" s="28">
        <v>15.5</v>
      </c>
      <c r="AD104" s="37" t="s">
        <v>454</v>
      </c>
      <c r="AE104" s="28" t="s">
        <v>20</v>
      </c>
      <c r="AF104" s="28" t="s">
        <v>12</v>
      </c>
      <c r="AG104" s="38">
        <v>21.5</v>
      </c>
      <c r="AH104" s="28" t="s">
        <v>328</v>
      </c>
      <c r="AI104" s="28" t="s">
        <v>852</v>
      </c>
      <c r="AJ104" s="28" t="s">
        <v>11</v>
      </c>
      <c r="AK104" s="28">
        <v>31</v>
      </c>
      <c r="AL104" s="37"/>
      <c r="AO104" s="38"/>
      <c r="AP104" s="37"/>
      <c r="AS104" s="38"/>
      <c r="AW104" s="38"/>
      <c r="BA104" s="39"/>
    </row>
    <row r="105" spans="1:53" s="28" customFormat="1" x14ac:dyDescent="0.15">
      <c r="A105" s="28">
        <v>2008</v>
      </c>
      <c r="B105" s="293"/>
      <c r="C105" s="394" t="s">
        <v>444</v>
      </c>
      <c r="D105" s="394"/>
      <c r="E105" s="28">
        <v>366</v>
      </c>
      <c r="F105" s="28">
        <v>1</v>
      </c>
      <c r="G105" s="65">
        <v>4</v>
      </c>
      <c r="H105" s="28">
        <v>1</v>
      </c>
      <c r="I105" s="28">
        <v>2</v>
      </c>
      <c r="J105" s="72">
        <v>7</v>
      </c>
      <c r="K105" s="46">
        <f t="shared" si="9"/>
        <v>57.142857142857139</v>
      </c>
      <c r="L105" s="46">
        <f t="shared" si="10"/>
        <v>14.285714285714285</v>
      </c>
      <c r="M105" s="46">
        <f t="shared" si="11"/>
        <v>28.571428571428569</v>
      </c>
      <c r="N105" s="67">
        <f t="shared" si="12"/>
        <v>99.999999999999986</v>
      </c>
      <c r="O105" s="45">
        <v>46.5</v>
      </c>
      <c r="P105" s="46">
        <v>15.5</v>
      </c>
      <c r="Q105" s="46">
        <v>21.5</v>
      </c>
      <c r="R105" s="47">
        <f t="shared" si="8"/>
        <v>83.5</v>
      </c>
      <c r="S105" s="28">
        <v>3</v>
      </c>
      <c r="T105" s="284"/>
      <c r="U105" s="293"/>
      <c r="V105" s="37" t="s">
        <v>131</v>
      </c>
      <c r="W105" s="28" t="s">
        <v>22</v>
      </c>
      <c r="X105" s="28" t="s">
        <v>11</v>
      </c>
      <c r="Y105" s="38">
        <v>15.5</v>
      </c>
      <c r="Z105" s="28" t="s">
        <v>80</v>
      </c>
      <c r="AA105" s="28" t="s">
        <v>17</v>
      </c>
      <c r="AB105" s="28" t="s">
        <v>18</v>
      </c>
      <c r="AC105" s="28">
        <v>15.5</v>
      </c>
      <c r="AD105" s="37" t="s">
        <v>454</v>
      </c>
      <c r="AE105" s="28" t="s">
        <v>20</v>
      </c>
      <c r="AF105" s="28" t="s">
        <v>12</v>
      </c>
      <c r="AG105" s="38">
        <v>21.5</v>
      </c>
      <c r="AH105" s="28" t="s">
        <v>328</v>
      </c>
      <c r="AI105" s="28" t="s">
        <v>852</v>
      </c>
      <c r="AJ105" s="28" t="s">
        <v>11</v>
      </c>
      <c r="AK105" s="28">
        <v>31</v>
      </c>
      <c r="AL105" s="37"/>
      <c r="AO105" s="38"/>
      <c r="AP105" s="37"/>
      <c r="AS105" s="38"/>
      <c r="AW105" s="38"/>
      <c r="BA105" s="39"/>
    </row>
    <row r="106" spans="1:53" s="28" customFormat="1" x14ac:dyDescent="0.15">
      <c r="A106" s="28">
        <v>2009</v>
      </c>
      <c r="B106" s="293"/>
      <c r="C106" s="394" t="s">
        <v>444</v>
      </c>
      <c r="D106" s="394"/>
      <c r="E106" s="28">
        <v>0</v>
      </c>
      <c r="G106" s="65">
        <v>4</v>
      </c>
      <c r="H106" s="28">
        <v>1</v>
      </c>
      <c r="I106" s="28">
        <v>2</v>
      </c>
      <c r="J106" s="72">
        <v>7</v>
      </c>
      <c r="K106" s="46">
        <f t="shared" si="9"/>
        <v>57.142857142857139</v>
      </c>
      <c r="L106" s="46">
        <f t="shared" si="10"/>
        <v>14.285714285714285</v>
      </c>
      <c r="M106" s="46">
        <f t="shared" si="11"/>
        <v>28.571428571428569</v>
      </c>
      <c r="N106" s="67">
        <f t="shared" si="12"/>
        <v>99.999999999999986</v>
      </c>
      <c r="O106" s="45">
        <v>46.5</v>
      </c>
      <c r="P106" s="46">
        <v>15.5</v>
      </c>
      <c r="Q106" s="46">
        <v>21.5</v>
      </c>
      <c r="R106" s="47">
        <f t="shared" si="8"/>
        <v>83.5</v>
      </c>
      <c r="S106" s="28">
        <v>3</v>
      </c>
      <c r="T106" s="284"/>
      <c r="U106" s="293"/>
      <c r="V106" s="37" t="s">
        <v>131</v>
      </c>
      <c r="W106" s="28" t="s">
        <v>22</v>
      </c>
      <c r="X106" s="28" t="s">
        <v>11</v>
      </c>
      <c r="Y106" s="38">
        <v>15.5</v>
      </c>
      <c r="Z106" s="28" t="s">
        <v>80</v>
      </c>
      <c r="AA106" s="28" t="s">
        <v>17</v>
      </c>
      <c r="AB106" s="28" t="s">
        <v>18</v>
      </c>
      <c r="AC106" s="28">
        <v>15.5</v>
      </c>
      <c r="AD106" s="37" t="s">
        <v>454</v>
      </c>
      <c r="AE106" s="28" t="s">
        <v>20</v>
      </c>
      <c r="AF106" s="28" t="s">
        <v>12</v>
      </c>
      <c r="AG106" s="38">
        <v>21.5</v>
      </c>
      <c r="AH106" s="28" t="s">
        <v>328</v>
      </c>
      <c r="AI106" s="28" t="s">
        <v>852</v>
      </c>
      <c r="AJ106" s="28" t="s">
        <v>11</v>
      </c>
      <c r="AK106" s="28">
        <v>31</v>
      </c>
      <c r="AL106" s="37"/>
      <c r="AO106" s="38"/>
      <c r="AP106" s="37"/>
      <c r="AS106" s="38"/>
      <c r="AW106" s="38"/>
      <c r="BA106" s="39"/>
    </row>
    <row r="107" spans="1:53" s="28" customFormat="1" x14ac:dyDescent="0.15">
      <c r="A107" s="28">
        <v>2009</v>
      </c>
      <c r="B107" s="293"/>
      <c r="C107" s="394" t="s">
        <v>445</v>
      </c>
      <c r="D107" s="394"/>
      <c r="E107" s="28">
        <v>365</v>
      </c>
      <c r="F107" s="28">
        <v>1</v>
      </c>
      <c r="G107" s="65">
        <v>4</v>
      </c>
      <c r="H107" s="28">
        <v>1</v>
      </c>
      <c r="I107" s="28">
        <v>2</v>
      </c>
      <c r="J107" s="72">
        <v>7</v>
      </c>
      <c r="K107" s="46">
        <f t="shared" si="9"/>
        <v>57.142857142857139</v>
      </c>
      <c r="L107" s="46">
        <f t="shared" si="10"/>
        <v>14.285714285714285</v>
      </c>
      <c r="M107" s="46">
        <f t="shared" si="11"/>
        <v>28.571428571428569</v>
      </c>
      <c r="N107" s="67">
        <f t="shared" si="12"/>
        <v>99.999999999999986</v>
      </c>
      <c r="O107" s="45">
        <v>46.5</v>
      </c>
      <c r="P107" s="46">
        <v>15.5</v>
      </c>
      <c r="Q107" s="46">
        <v>21.5</v>
      </c>
      <c r="R107" s="47">
        <f t="shared" si="8"/>
        <v>83.5</v>
      </c>
      <c r="S107" s="28">
        <v>3</v>
      </c>
      <c r="T107" s="284"/>
      <c r="U107" s="293"/>
      <c r="V107" s="37" t="s">
        <v>131</v>
      </c>
      <c r="W107" s="28" t="s">
        <v>22</v>
      </c>
      <c r="X107" s="28" t="s">
        <v>11</v>
      </c>
      <c r="Y107" s="38">
        <v>15.5</v>
      </c>
      <c r="Z107" s="28" t="s">
        <v>80</v>
      </c>
      <c r="AA107" s="28" t="s">
        <v>17</v>
      </c>
      <c r="AB107" s="28" t="s">
        <v>18</v>
      </c>
      <c r="AC107" s="28">
        <v>15.5</v>
      </c>
      <c r="AD107" s="37" t="s">
        <v>454</v>
      </c>
      <c r="AE107" s="28" t="s">
        <v>20</v>
      </c>
      <c r="AF107" s="28" t="s">
        <v>12</v>
      </c>
      <c r="AG107" s="38">
        <v>21.5</v>
      </c>
      <c r="AH107" s="28" t="s">
        <v>328</v>
      </c>
      <c r="AI107" s="28" t="s">
        <v>852</v>
      </c>
      <c r="AJ107" s="28" t="s">
        <v>11</v>
      </c>
      <c r="AK107" s="28">
        <v>31</v>
      </c>
      <c r="AL107" s="37"/>
      <c r="AO107" s="38"/>
      <c r="AP107" s="37"/>
      <c r="AS107" s="38"/>
      <c r="AW107" s="38"/>
      <c r="BA107" s="39"/>
    </row>
    <row r="108" spans="1:53" s="28" customFormat="1" x14ac:dyDescent="0.15">
      <c r="A108" s="28">
        <v>2010</v>
      </c>
      <c r="B108" s="293"/>
      <c r="C108" s="394" t="s">
        <v>445</v>
      </c>
      <c r="D108" s="394"/>
      <c r="E108" s="28">
        <v>0</v>
      </c>
      <c r="G108" s="65">
        <v>4</v>
      </c>
      <c r="H108" s="28">
        <v>1</v>
      </c>
      <c r="I108" s="28">
        <v>2</v>
      </c>
      <c r="J108" s="72">
        <v>7</v>
      </c>
      <c r="K108" s="46">
        <f t="shared" si="9"/>
        <v>57.142857142857139</v>
      </c>
      <c r="L108" s="46">
        <f t="shared" si="10"/>
        <v>14.285714285714285</v>
      </c>
      <c r="M108" s="46">
        <f t="shared" si="11"/>
        <v>28.571428571428569</v>
      </c>
      <c r="N108" s="67">
        <f t="shared" si="12"/>
        <v>99.999999999999986</v>
      </c>
      <c r="O108" s="45">
        <v>46.5</v>
      </c>
      <c r="P108" s="46">
        <v>15.5</v>
      </c>
      <c r="Q108" s="46">
        <v>21.5</v>
      </c>
      <c r="R108" s="47">
        <f t="shared" si="8"/>
        <v>83.5</v>
      </c>
      <c r="S108" s="28">
        <v>3</v>
      </c>
      <c r="T108" s="284"/>
      <c r="U108" s="293"/>
      <c r="V108" s="37" t="s">
        <v>131</v>
      </c>
      <c r="W108" s="28" t="s">
        <v>22</v>
      </c>
      <c r="X108" s="28" t="s">
        <v>11</v>
      </c>
      <c r="Y108" s="38">
        <v>15.5</v>
      </c>
      <c r="Z108" s="28" t="s">
        <v>80</v>
      </c>
      <c r="AA108" s="28" t="s">
        <v>17</v>
      </c>
      <c r="AB108" s="28" t="s">
        <v>18</v>
      </c>
      <c r="AC108" s="28">
        <v>15.5</v>
      </c>
      <c r="AD108" s="37" t="s">
        <v>454</v>
      </c>
      <c r="AE108" s="28" t="s">
        <v>20</v>
      </c>
      <c r="AF108" s="28" t="s">
        <v>12</v>
      </c>
      <c r="AG108" s="38">
        <v>21.5</v>
      </c>
      <c r="AH108" s="28" t="s">
        <v>328</v>
      </c>
      <c r="AI108" s="28" t="s">
        <v>852</v>
      </c>
      <c r="AJ108" s="28" t="s">
        <v>11</v>
      </c>
      <c r="AK108" s="28">
        <v>31</v>
      </c>
      <c r="AL108" s="37"/>
      <c r="AO108" s="38"/>
      <c r="AP108" s="37"/>
      <c r="AS108" s="38"/>
      <c r="AW108" s="38"/>
      <c r="BA108" s="39"/>
    </row>
    <row r="109" spans="1:53" s="28" customFormat="1" x14ac:dyDescent="0.15">
      <c r="A109" s="28">
        <v>2010</v>
      </c>
      <c r="B109" s="293"/>
      <c r="C109" s="394" t="s">
        <v>468</v>
      </c>
      <c r="D109" s="394"/>
      <c r="E109" s="28">
        <v>365</v>
      </c>
      <c r="F109" s="28">
        <v>1</v>
      </c>
      <c r="G109" s="65">
        <v>4</v>
      </c>
      <c r="H109" s="28">
        <v>1</v>
      </c>
      <c r="I109" s="28">
        <v>2</v>
      </c>
      <c r="J109" s="72">
        <v>7</v>
      </c>
      <c r="K109" s="46">
        <f t="shared" si="9"/>
        <v>57.142857142857139</v>
      </c>
      <c r="L109" s="46">
        <f t="shared" si="10"/>
        <v>14.285714285714285</v>
      </c>
      <c r="M109" s="46">
        <f t="shared" si="11"/>
        <v>28.571428571428569</v>
      </c>
      <c r="N109" s="67">
        <f t="shared" si="12"/>
        <v>99.999999999999986</v>
      </c>
      <c r="O109" s="45">
        <v>46.5</v>
      </c>
      <c r="P109" s="46">
        <v>15.5</v>
      </c>
      <c r="Q109" s="46">
        <v>21.5</v>
      </c>
      <c r="R109" s="47">
        <f t="shared" si="8"/>
        <v>83.5</v>
      </c>
      <c r="S109" s="28">
        <v>3</v>
      </c>
      <c r="T109" s="284"/>
      <c r="U109" s="293"/>
      <c r="V109" s="37" t="s">
        <v>131</v>
      </c>
      <c r="W109" s="28" t="s">
        <v>22</v>
      </c>
      <c r="X109" s="28" t="s">
        <v>11</v>
      </c>
      <c r="Y109" s="38">
        <v>15.5</v>
      </c>
      <c r="Z109" s="28" t="s">
        <v>80</v>
      </c>
      <c r="AA109" s="28" t="s">
        <v>17</v>
      </c>
      <c r="AB109" s="28" t="s">
        <v>18</v>
      </c>
      <c r="AC109" s="28">
        <v>15.5</v>
      </c>
      <c r="AD109" s="37" t="s">
        <v>454</v>
      </c>
      <c r="AE109" s="28" t="s">
        <v>20</v>
      </c>
      <c r="AF109" s="28" t="s">
        <v>12</v>
      </c>
      <c r="AG109" s="38">
        <v>21.5</v>
      </c>
      <c r="AH109" s="28" t="s">
        <v>328</v>
      </c>
      <c r="AI109" s="28" t="s">
        <v>852</v>
      </c>
      <c r="AJ109" s="28" t="s">
        <v>11</v>
      </c>
      <c r="AK109" s="28">
        <v>31</v>
      </c>
      <c r="AL109" s="37"/>
      <c r="AO109" s="38"/>
      <c r="AP109" s="37"/>
      <c r="AS109" s="38"/>
      <c r="AW109" s="38"/>
      <c r="BA109" s="39"/>
    </row>
    <row r="110" spans="1:53" s="28" customFormat="1" x14ac:dyDescent="0.15">
      <c r="A110" s="28">
        <v>2011</v>
      </c>
      <c r="B110" s="293"/>
      <c r="C110" s="394" t="s">
        <v>468</v>
      </c>
      <c r="D110" s="394"/>
      <c r="E110" s="28">
        <v>347</v>
      </c>
      <c r="G110" s="65">
        <v>4</v>
      </c>
      <c r="H110" s="28">
        <v>1</v>
      </c>
      <c r="I110" s="28">
        <v>2</v>
      </c>
      <c r="J110" s="72">
        <v>7</v>
      </c>
      <c r="K110" s="46">
        <f t="shared" ref="K110:K112" si="13">G110/J110*100</f>
        <v>57.142857142857139</v>
      </c>
      <c r="L110" s="46">
        <f t="shared" ref="L110:L112" si="14">H110/J110*100</f>
        <v>14.285714285714285</v>
      </c>
      <c r="M110" s="46">
        <f t="shared" ref="M110:M112" si="15">I110/J110*100</f>
        <v>28.571428571428569</v>
      </c>
      <c r="N110" s="67">
        <f t="shared" si="12"/>
        <v>99.999999999999986</v>
      </c>
      <c r="O110" s="45">
        <v>46.5</v>
      </c>
      <c r="P110" s="46">
        <v>15.5</v>
      </c>
      <c r="Q110" s="46">
        <v>21.5</v>
      </c>
      <c r="R110" s="47">
        <f t="shared" si="8"/>
        <v>83.5</v>
      </c>
      <c r="S110" s="28">
        <v>3</v>
      </c>
      <c r="T110" s="284"/>
      <c r="U110" s="293"/>
      <c r="V110" s="37" t="s">
        <v>131</v>
      </c>
      <c r="W110" s="28" t="s">
        <v>22</v>
      </c>
      <c r="X110" s="28" t="s">
        <v>11</v>
      </c>
      <c r="Y110" s="38">
        <v>15.5</v>
      </c>
      <c r="Z110" s="28" t="s">
        <v>80</v>
      </c>
      <c r="AA110" s="28" t="s">
        <v>17</v>
      </c>
      <c r="AB110" s="28" t="s">
        <v>18</v>
      </c>
      <c r="AC110" s="28">
        <v>15.5</v>
      </c>
      <c r="AD110" s="37" t="s">
        <v>454</v>
      </c>
      <c r="AE110" s="28" t="s">
        <v>20</v>
      </c>
      <c r="AF110" s="28" t="s">
        <v>12</v>
      </c>
      <c r="AG110" s="38">
        <v>21.5</v>
      </c>
      <c r="AH110" s="28" t="s">
        <v>328</v>
      </c>
      <c r="AI110" s="28" t="s">
        <v>852</v>
      </c>
      <c r="AJ110" s="28" t="s">
        <v>11</v>
      </c>
      <c r="AK110" s="28">
        <v>31</v>
      </c>
      <c r="AL110" s="37"/>
      <c r="AO110" s="38"/>
      <c r="AP110" s="37"/>
      <c r="AS110" s="38"/>
      <c r="AW110" s="38"/>
      <c r="BA110" s="39"/>
    </row>
    <row r="111" spans="1:53" s="170" customFormat="1" x14ac:dyDescent="0.15">
      <c r="A111" s="170">
        <v>2011</v>
      </c>
      <c r="B111" s="281">
        <v>40891</v>
      </c>
      <c r="C111" s="395" t="s">
        <v>446</v>
      </c>
      <c r="D111" s="395"/>
      <c r="E111" s="170">
        <f>365-E110</f>
        <v>18</v>
      </c>
      <c r="F111" s="170">
        <v>1</v>
      </c>
      <c r="G111" s="232">
        <v>4</v>
      </c>
      <c r="H111" s="170">
        <v>1</v>
      </c>
      <c r="I111" s="170">
        <v>2</v>
      </c>
      <c r="J111" s="240">
        <v>7</v>
      </c>
      <c r="K111" s="213">
        <f t="shared" si="13"/>
        <v>57.142857142857139</v>
      </c>
      <c r="L111" s="213">
        <f t="shared" si="14"/>
        <v>14.285714285714285</v>
      </c>
      <c r="M111" s="213">
        <f t="shared" si="15"/>
        <v>28.571428571428569</v>
      </c>
      <c r="N111" s="234">
        <f t="shared" si="12"/>
        <v>99.999999999999986</v>
      </c>
      <c r="O111" s="212">
        <v>46.5</v>
      </c>
      <c r="P111" s="213">
        <v>14</v>
      </c>
      <c r="Q111" s="213">
        <v>23</v>
      </c>
      <c r="R111" s="214">
        <f t="shared" si="8"/>
        <v>83.5</v>
      </c>
      <c r="S111" s="170">
        <v>3</v>
      </c>
      <c r="T111" s="283">
        <v>40839</v>
      </c>
      <c r="U111" s="281">
        <v>40891</v>
      </c>
      <c r="V111" s="177" t="s">
        <v>131</v>
      </c>
      <c r="W111" s="170" t="s">
        <v>22</v>
      </c>
      <c r="X111" s="170" t="s">
        <v>11</v>
      </c>
      <c r="Y111" s="178">
        <v>15</v>
      </c>
      <c r="Z111" s="170" t="s">
        <v>80</v>
      </c>
      <c r="AA111" s="170" t="s">
        <v>17</v>
      </c>
      <c r="AB111" s="170" t="s">
        <v>18</v>
      </c>
      <c r="AC111" s="170">
        <v>14</v>
      </c>
      <c r="AD111" s="177" t="s">
        <v>454</v>
      </c>
      <c r="AE111" s="170" t="s">
        <v>20</v>
      </c>
      <c r="AF111" s="170" t="s">
        <v>12</v>
      </c>
      <c r="AG111" s="178">
        <v>23</v>
      </c>
      <c r="AH111" s="170" t="s">
        <v>328</v>
      </c>
      <c r="AI111" s="170" t="s">
        <v>852</v>
      </c>
      <c r="AJ111" s="170" t="s">
        <v>11</v>
      </c>
      <c r="AK111" s="170">
        <v>27</v>
      </c>
      <c r="AL111" s="177" t="s">
        <v>329</v>
      </c>
      <c r="AM111" s="170" t="s">
        <v>74</v>
      </c>
      <c r="AN111" s="170" t="s">
        <v>11</v>
      </c>
      <c r="AO111" s="178">
        <v>4.5</v>
      </c>
      <c r="AP111" s="177"/>
      <c r="AS111" s="178"/>
      <c r="AW111" s="178"/>
      <c r="BA111" s="179"/>
    </row>
    <row r="112" spans="1:53" s="170" customFormat="1" x14ac:dyDescent="0.15">
      <c r="A112" s="170">
        <v>2012</v>
      </c>
      <c r="B112" s="281"/>
      <c r="C112" s="395" t="s">
        <v>446</v>
      </c>
      <c r="D112" s="395"/>
      <c r="E112" s="170">
        <v>0</v>
      </c>
      <c r="G112" s="232">
        <v>4</v>
      </c>
      <c r="H112" s="170">
        <v>1</v>
      </c>
      <c r="I112" s="170">
        <v>2</v>
      </c>
      <c r="J112" s="240">
        <v>7</v>
      </c>
      <c r="K112" s="213">
        <f t="shared" si="13"/>
        <v>57.142857142857139</v>
      </c>
      <c r="L112" s="213">
        <f t="shared" si="14"/>
        <v>14.285714285714285</v>
      </c>
      <c r="M112" s="213">
        <f t="shared" si="15"/>
        <v>28.571428571428569</v>
      </c>
      <c r="N112" s="234">
        <f t="shared" si="12"/>
        <v>99.999999999999986</v>
      </c>
      <c r="O112" s="212">
        <v>46.5</v>
      </c>
      <c r="P112" s="213">
        <v>14</v>
      </c>
      <c r="Q112" s="213">
        <v>23</v>
      </c>
      <c r="R112" s="214">
        <f t="shared" si="8"/>
        <v>83.5</v>
      </c>
      <c r="S112" s="170">
        <v>3</v>
      </c>
      <c r="T112" s="283"/>
      <c r="U112" s="281"/>
      <c r="V112" s="177" t="s">
        <v>131</v>
      </c>
      <c r="W112" s="170" t="s">
        <v>22</v>
      </c>
      <c r="X112" s="170" t="s">
        <v>11</v>
      </c>
      <c r="Y112" s="178">
        <v>15</v>
      </c>
      <c r="Z112" s="170" t="s">
        <v>80</v>
      </c>
      <c r="AA112" s="170" t="s">
        <v>17</v>
      </c>
      <c r="AB112" s="170" t="s">
        <v>18</v>
      </c>
      <c r="AC112" s="170">
        <v>14</v>
      </c>
      <c r="AD112" s="177" t="s">
        <v>454</v>
      </c>
      <c r="AE112" s="170" t="s">
        <v>20</v>
      </c>
      <c r="AF112" s="170" t="s">
        <v>12</v>
      </c>
      <c r="AG112" s="178">
        <v>23</v>
      </c>
      <c r="AH112" s="170" t="s">
        <v>328</v>
      </c>
      <c r="AI112" s="170" t="s">
        <v>852</v>
      </c>
      <c r="AJ112" s="170" t="s">
        <v>11</v>
      </c>
      <c r="AK112" s="170">
        <v>27</v>
      </c>
      <c r="AL112" s="177" t="s">
        <v>329</v>
      </c>
      <c r="AM112" s="170" t="s">
        <v>74</v>
      </c>
      <c r="AN112" s="170" t="s">
        <v>11</v>
      </c>
      <c r="AO112" s="178">
        <v>4.5</v>
      </c>
      <c r="AP112" s="177"/>
      <c r="AS112" s="178"/>
      <c r="AW112" s="178"/>
      <c r="BA112" s="179"/>
    </row>
    <row r="113" spans="1:53" s="170" customFormat="1" x14ac:dyDescent="0.15">
      <c r="A113" s="170">
        <v>2012</v>
      </c>
      <c r="B113" s="281"/>
      <c r="C113" s="395" t="s">
        <v>447</v>
      </c>
      <c r="D113" s="395"/>
      <c r="E113" s="170">
        <v>366</v>
      </c>
      <c r="F113" s="170">
        <v>1</v>
      </c>
      <c r="G113" s="232">
        <v>4</v>
      </c>
      <c r="H113" s="170">
        <v>1</v>
      </c>
      <c r="I113" s="170">
        <v>2</v>
      </c>
      <c r="J113" s="240">
        <v>7</v>
      </c>
      <c r="K113" s="213">
        <f t="shared" ref="K113:K123" si="16">G113/J113*100</f>
        <v>57.142857142857139</v>
      </c>
      <c r="L113" s="213">
        <f t="shared" ref="L113:L123" si="17">H113/J113*100</f>
        <v>14.285714285714285</v>
      </c>
      <c r="M113" s="213">
        <f t="shared" ref="M113:M123" si="18">I113/J113*100</f>
        <v>28.571428571428569</v>
      </c>
      <c r="N113" s="234">
        <f t="shared" ref="N113:N123" si="19">K113+L113+M113</f>
        <v>99.999999999999986</v>
      </c>
      <c r="O113" s="212">
        <v>46.5</v>
      </c>
      <c r="P113" s="213">
        <v>14</v>
      </c>
      <c r="Q113" s="213">
        <v>23</v>
      </c>
      <c r="R113" s="214">
        <f t="shared" si="8"/>
        <v>83.5</v>
      </c>
      <c r="S113" s="170">
        <v>3</v>
      </c>
      <c r="T113" s="283"/>
      <c r="U113" s="281"/>
      <c r="V113" s="177" t="s">
        <v>131</v>
      </c>
      <c r="W113" s="170" t="s">
        <v>22</v>
      </c>
      <c r="X113" s="170" t="s">
        <v>11</v>
      </c>
      <c r="Y113" s="178">
        <v>15</v>
      </c>
      <c r="Z113" s="170" t="s">
        <v>80</v>
      </c>
      <c r="AA113" s="170" t="s">
        <v>17</v>
      </c>
      <c r="AB113" s="170" t="s">
        <v>18</v>
      </c>
      <c r="AC113" s="170">
        <v>14</v>
      </c>
      <c r="AD113" s="177" t="s">
        <v>454</v>
      </c>
      <c r="AE113" s="170" t="s">
        <v>20</v>
      </c>
      <c r="AF113" s="170" t="s">
        <v>12</v>
      </c>
      <c r="AG113" s="178">
        <v>23</v>
      </c>
      <c r="AH113" s="170" t="s">
        <v>328</v>
      </c>
      <c r="AI113" s="170" t="s">
        <v>852</v>
      </c>
      <c r="AJ113" s="170" t="s">
        <v>11</v>
      </c>
      <c r="AK113" s="170">
        <v>27</v>
      </c>
      <c r="AL113" s="177" t="s">
        <v>329</v>
      </c>
      <c r="AM113" s="170" t="s">
        <v>74</v>
      </c>
      <c r="AN113" s="170" t="s">
        <v>11</v>
      </c>
      <c r="AO113" s="178">
        <v>4.5</v>
      </c>
      <c r="AP113" s="177"/>
      <c r="AS113" s="178"/>
      <c r="AW113" s="178"/>
      <c r="BA113" s="179"/>
    </row>
    <row r="114" spans="1:53" s="170" customFormat="1" x14ac:dyDescent="0.15">
      <c r="A114" s="170">
        <v>2013</v>
      </c>
      <c r="B114" s="281"/>
      <c r="C114" s="395" t="s">
        <v>447</v>
      </c>
      <c r="D114" s="395"/>
      <c r="E114" s="170">
        <v>0</v>
      </c>
      <c r="G114" s="232">
        <v>4</v>
      </c>
      <c r="H114" s="170">
        <v>1</v>
      </c>
      <c r="I114" s="170">
        <v>2</v>
      </c>
      <c r="J114" s="240">
        <v>7</v>
      </c>
      <c r="K114" s="213">
        <f t="shared" si="16"/>
        <v>57.142857142857139</v>
      </c>
      <c r="L114" s="213">
        <f t="shared" si="17"/>
        <v>14.285714285714285</v>
      </c>
      <c r="M114" s="213">
        <f t="shared" si="18"/>
        <v>28.571428571428569</v>
      </c>
      <c r="N114" s="234">
        <f t="shared" si="19"/>
        <v>99.999999999999986</v>
      </c>
      <c r="O114" s="212">
        <v>46.5</v>
      </c>
      <c r="P114" s="213">
        <v>14</v>
      </c>
      <c r="Q114" s="213">
        <v>23</v>
      </c>
      <c r="R114" s="214">
        <f>O114+P114+Q114</f>
        <v>83.5</v>
      </c>
      <c r="S114" s="170">
        <v>3</v>
      </c>
      <c r="T114" s="283"/>
      <c r="U114" s="281"/>
      <c r="V114" s="177" t="s">
        <v>131</v>
      </c>
      <c r="W114" s="170" t="s">
        <v>22</v>
      </c>
      <c r="X114" s="170" t="s">
        <v>11</v>
      </c>
      <c r="Y114" s="178">
        <v>15</v>
      </c>
      <c r="Z114" s="170" t="s">
        <v>80</v>
      </c>
      <c r="AA114" s="170" t="s">
        <v>17</v>
      </c>
      <c r="AB114" s="170" t="s">
        <v>18</v>
      </c>
      <c r="AC114" s="170">
        <v>14</v>
      </c>
      <c r="AD114" s="177" t="s">
        <v>454</v>
      </c>
      <c r="AE114" s="170" t="s">
        <v>20</v>
      </c>
      <c r="AF114" s="170" t="s">
        <v>12</v>
      </c>
      <c r="AG114" s="178">
        <v>23</v>
      </c>
      <c r="AH114" s="170" t="s">
        <v>328</v>
      </c>
      <c r="AI114" s="170" t="s">
        <v>852</v>
      </c>
      <c r="AJ114" s="170" t="s">
        <v>11</v>
      </c>
      <c r="AK114" s="170">
        <v>27</v>
      </c>
      <c r="AL114" s="177" t="s">
        <v>329</v>
      </c>
      <c r="AM114" s="170" t="s">
        <v>74</v>
      </c>
      <c r="AN114" s="170" t="s">
        <v>11</v>
      </c>
      <c r="AO114" s="178">
        <v>4.5</v>
      </c>
      <c r="AP114" s="177"/>
      <c r="AS114" s="178"/>
      <c r="AW114" s="178"/>
      <c r="BA114" s="179"/>
    </row>
    <row r="115" spans="1:53" s="170" customFormat="1" x14ac:dyDescent="0.15">
      <c r="A115" s="170">
        <v>2013</v>
      </c>
      <c r="B115" s="281"/>
      <c r="C115" s="395" t="s">
        <v>1246</v>
      </c>
      <c r="D115" s="395"/>
      <c r="E115" s="170">
        <v>365</v>
      </c>
      <c r="F115" s="170">
        <v>1</v>
      </c>
      <c r="G115" s="232">
        <v>4</v>
      </c>
      <c r="H115" s="170">
        <v>1</v>
      </c>
      <c r="I115" s="170">
        <v>2</v>
      </c>
      <c r="J115" s="240">
        <v>7</v>
      </c>
      <c r="K115" s="213">
        <f t="shared" si="16"/>
        <v>57.142857142857139</v>
      </c>
      <c r="L115" s="213">
        <f t="shared" si="17"/>
        <v>14.285714285714285</v>
      </c>
      <c r="M115" s="213">
        <f t="shared" si="18"/>
        <v>28.571428571428569</v>
      </c>
      <c r="N115" s="234">
        <f t="shared" si="19"/>
        <v>99.999999999999986</v>
      </c>
      <c r="O115" s="212">
        <v>46.5</v>
      </c>
      <c r="P115" s="213">
        <v>14</v>
      </c>
      <c r="Q115" s="213">
        <v>23</v>
      </c>
      <c r="R115" s="214">
        <f>O115+P115+Q115</f>
        <v>83.5</v>
      </c>
      <c r="S115" s="170">
        <v>3</v>
      </c>
      <c r="T115" s="283"/>
      <c r="U115" s="281"/>
      <c r="V115" s="177" t="s">
        <v>131</v>
      </c>
      <c r="W115" s="170" t="s">
        <v>22</v>
      </c>
      <c r="X115" s="170" t="s">
        <v>11</v>
      </c>
      <c r="Y115" s="178">
        <v>15</v>
      </c>
      <c r="Z115" s="170" t="s">
        <v>80</v>
      </c>
      <c r="AA115" s="170" t="s">
        <v>17</v>
      </c>
      <c r="AB115" s="170" t="s">
        <v>18</v>
      </c>
      <c r="AC115" s="170">
        <v>14</v>
      </c>
      <c r="AD115" s="177" t="s">
        <v>454</v>
      </c>
      <c r="AE115" s="170" t="s">
        <v>20</v>
      </c>
      <c r="AF115" s="170" t="s">
        <v>12</v>
      </c>
      <c r="AG115" s="178">
        <v>23</v>
      </c>
      <c r="AH115" s="170" t="s">
        <v>328</v>
      </c>
      <c r="AI115" s="170" t="s">
        <v>852</v>
      </c>
      <c r="AJ115" s="170" t="s">
        <v>11</v>
      </c>
      <c r="AK115" s="170">
        <v>27</v>
      </c>
      <c r="AL115" s="177" t="s">
        <v>329</v>
      </c>
      <c r="AM115" s="170" t="s">
        <v>74</v>
      </c>
      <c r="AN115" s="170" t="s">
        <v>11</v>
      </c>
      <c r="AO115" s="178">
        <v>4.5</v>
      </c>
      <c r="AP115" s="177"/>
      <c r="AS115" s="178"/>
      <c r="AW115" s="178"/>
      <c r="BA115" s="179"/>
    </row>
    <row r="116" spans="1:53" s="170" customFormat="1" x14ac:dyDescent="0.15">
      <c r="A116" s="170">
        <v>2014</v>
      </c>
      <c r="B116" s="281"/>
      <c r="C116" s="395" t="s">
        <v>1246</v>
      </c>
      <c r="D116" s="395"/>
      <c r="E116" s="170">
        <v>0</v>
      </c>
      <c r="G116" s="232">
        <v>4</v>
      </c>
      <c r="H116" s="170">
        <v>1</v>
      </c>
      <c r="I116" s="170">
        <v>2</v>
      </c>
      <c r="J116" s="240">
        <v>7</v>
      </c>
      <c r="K116" s="213">
        <f t="shared" si="16"/>
        <v>57.142857142857139</v>
      </c>
      <c r="L116" s="213">
        <f t="shared" si="17"/>
        <v>14.285714285714285</v>
      </c>
      <c r="M116" s="213">
        <f t="shared" si="18"/>
        <v>28.571428571428569</v>
      </c>
      <c r="N116" s="234">
        <f t="shared" si="19"/>
        <v>99.999999999999986</v>
      </c>
      <c r="O116" s="212">
        <v>46.5</v>
      </c>
      <c r="P116" s="213">
        <v>14</v>
      </c>
      <c r="Q116" s="213">
        <v>23</v>
      </c>
      <c r="R116" s="214">
        <v>83.5</v>
      </c>
      <c r="S116" s="170">
        <v>3</v>
      </c>
      <c r="T116" s="283"/>
      <c r="U116" s="281"/>
      <c r="V116" s="177" t="s">
        <v>131</v>
      </c>
      <c r="W116" s="170" t="s">
        <v>22</v>
      </c>
      <c r="X116" s="170" t="s">
        <v>11</v>
      </c>
      <c r="Y116" s="178">
        <v>15</v>
      </c>
      <c r="Z116" s="170" t="s">
        <v>80</v>
      </c>
      <c r="AA116" s="170" t="s">
        <v>17</v>
      </c>
      <c r="AB116" s="170" t="s">
        <v>18</v>
      </c>
      <c r="AC116" s="170">
        <v>14</v>
      </c>
      <c r="AD116" s="177" t="s">
        <v>454</v>
      </c>
      <c r="AE116" s="170" t="s">
        <v>20</v>
      </c>
      <c r="AF116" s="170" t="s">
        <v>12</v>
      </c>
      <c r="AG116" s="178">
        <v>23</v>
      </c>
      <c r="AH116" s="170" t="s">
        <v>328</v>
      </c>
      <c r="AI116" s="170" t="s">
        <v>852</v>
      </c>
      <c r="AJ116" s="170" t="s">
        <v>11</v>
      </c>
      <c r="AK116" s="170">
        <v>27</v>
      </c>
      <c r="AL116" s="177" t="s">
        <v>329</v>
      </c>
      <c r="AM116" s="170" t="s">
        <v>74</v>
      </c>
      <c r="AN116" s="170" t="s">
        <v>11</v>
      </c>
      <c r="AO116" s="178">
        <v>4.5</v>
      </c>
      <c r="AP116" s="177"/>
      <c r="AS116" s="178"/>
      <c r="AW116" s="178"/>
      <c r="BA116" s="179"/>
    </row>
    <row r="117" spans="1:53" s="170" customFormat="1" x14ac:dyDescent="0.15">
      <c r="A117" s="170">
        <v>2014</v>
      </c>
      <c r="B117" s="281"/>
      <c r="C117" s="395" t="s">
        <v>1292</v>
      </c>
      <c r="D117" s="395"/>
      <c r="E117" s="170">
        <v>365</v>
      </c>
      <c r="F117" s="170">
        <v>1</v>
      </c>
      <c r="G117" s="232">
        <v>4</v>
      </c>
      <c r="H117" s="170">
        <v>1</v>
      </c>
      <c r="I117" s="170">
        <v>2</v>
      </c>
      <c r="J117" s="240">
        <v>7</v>
      </c>
      <c r="K117" s="213">
        <f t="shared" si="16"/>
        <v>57.142857142857139</v>
      </c>
      <c r="L117" s="213">
        <f t="shared" si="17"/>
        <v>14.285714285714285</v>
      </c>
      <c r="M117" s="213">
        <f t="shared" si="18"/>
        <v>28.571428571428569</v>
      </c>
      <c r="N117" s="234">
        <f t="shared" si="19"/>
        <v>99.999999999999986</v>
      </c>
      <c r="O117" s="212">
        <v>46.5</v>
      </c>
      <c r="P117" s="213">
        <v>14</v>
      </c>
      <c r="Q117" s="213">
        <v>23</v>
      </c>
      <c r="R117" s="214">
        <v>83.5</v>
      </c>
      <c r="S117" s="170">
        <v>3</v>
      </c>
      <c r="T117" s="283"/>
      <c r="U117" s="281"/>
      <c r="V117" s="177" t="s">
        <v>131</v>
      </c>
      <c r="W117" s="170" t="s">
        <v>22</v>
      </c>
      <c r="X117" s="170" t="s">
        <v>11</v>
      </c>
      <c r="Y117" s="178">
        <v>15</v>
      </c>
      <c r="Z117" s="170" t="s">
        <v>80</v>
      </c>
      <c r="AA117" s="170" t="s">
        <v>17</v>
      </c>
      <c r="AB117" s="170" t="s">
        <v>18</v>
      </c>
      <c r="AC117" s="170">
        <v>14</v>
      </c>
      <c r="AD117" s="177" t="s">
        <v>454</v>
      </c>
      <c r="AE117" s="170" t="s">
        <v>20</v>
      </c>
      <c r="AF117" s="170" t="s">
        <v>12</v>
      </c>
      <c r="AG117" s="178">
        <v>23</v>
      </c>
      <c r="AH117" s="170" t="s">
        <v>328</v>
      </c>
      <c r="AI117" s="170" t="s">
        <v>852</v>
      </c>
      <c r="AJ117" s="170" t="s">
        <v>11</v>
      </c>
      <c r="AK117" s="170">
        <v>27</v>
      </c>
      <c r="AL117" s="177" t="s">
        <v>329</v>
      </c>
      <c r="AM117" s="170" t="s">
        <v>74</v>
      </c>
      <c r="AN117" s="170" t="s">
        <v>11</v>
      </c>
      <c r="AO117" s="178">
        <v>4.5</v>
      </c>
      <c r="AP117" s="177"/>
      <c r="AS117" s="178"/>
      <c r="AW117" s="178"/>
      <c r="BA117" s="179"/>
    </row>
    <row r="118" spans="1:53" s="170" customFormat="1" x14ac:dyDescent="0.15">
      <c r="A118" s="170">
        <v>2015</v>
      </c>
      <c r="B118" s="281"/>
      <c r="C118" s="395" t="s">
        <v>1292</v>
      </c>
      <c r="D118" s="395"/>
      <c r="E118" s="170">
        <v>342</v>
      </c>
      <c r="G118" s="232">
        <v>4</v>
      </c>
      <c r="H118" s="170">
        <v>1</v>
      </c>
      <c r="I118" s="170">
        <v>2</v>
      </c>
      <c r="J118" s="240">
        <v>7</v>
      </c>
      <c r="K118" s="213">
        <f t="shared" si="16"/>
        <v>57.142857142857139</v>
      </c>
      <c r="L118" s="213">
        <f t="shared" si="17"/>
        <v>14.285714285714285</v>
      </c>
      <c r="M118" s="213">
        <f t="shared" si="18"/>
        <v>28.571428571428569</v>
      </c>
      <c r="N118" s="234">
        <f t="shared" si="19"/>
        <v>99.999999999999986</v>
      </c>
      <c r="O118" s="212">
        <v>46.5</v>
      </c>
      <c r="P118" s="213">
        <v>14</v>
      </c>
      <c r="Q118" s="213">
        <v>23</v>
      </c>
      <c r="R118" s="214">
        <v>83.5</v>
      </c>
      <c r="S118" s="170">
        <v>3</v>
      </c>
      <c r="T118" s="283"/>
      <c r="U118" s="281"/>
      <c r="V118" s="177" t="s">
        <v>131</v>
      </c>
      <c r="W118" s="170" t="s">
        <v>22</v>
      </c>
      <c r="X118" s="170" t="s">
        <v>11</v>
      </c>
      <c r="Y118" s="178">
        <v>15</v>
      </c>
      <c r="Z118" s="170" t="s">
        <v>80</v>
      </c>
      <c r="AA118" s="170" t="s">
        <v>17</v>
      </c>
      <c r="AB118" s="170" t="s">
        <v>18</v>
      </c>
      <c r="AC118" s="170">
        <v>14</v>
      </c>
      <c r="AD118" s="177" t="s">
        <v>454</v>
      </c>
      <c r="AE118" s="170" t="s">
        <v>20</v>
      </c>
      <c r="AF118" s="170" t="s">
        <v>12</v>
      </c>
      <c r="AG118" s="178">
        <v>23</v>
      </c>
      <c r="AH118" s="170" t="s">
        <v>328</v>
      </c>
      <c r="AI118" s="170" t="s">
        <v>852</v>
      </c>
      <c r="AJ118" s="170" t="s">
        <v>11</v>
      </c>
      <c r="AK118" s="170">
        <v>27</v>
      </c>
      <c r="AL118" s="177" t="s">
        <v>329</v>
      </c>
      <c r="AM118" s="170" t="s">
        <v>74</v>
      </c>
      <c r="AN118" s="170" t="s">
        <v>11</v>
      </c>
      <c r="AO118" s="178">
        <v>4.5</v>
      </c>
      <c r="AP118" s="177"/>
      <c r="AS118" s="178"/>
      <c r="AW118" s="178"/>
      <c r="BA118" s="179"/>
    </row>
    <row r="119" spans="1:53" s="28" customFormat="1" x14ac:dyDescent="0.15">
      <c r="A119" s="28">
        <v>2015</v>
      </c>
      <c r="B119" s="293">
        <v>42347</v>
      </c>
      <c r="C119" s="394" t="s">
        <v>1329</v>
      </c>
      <c r="D119" s="394"/>
      <c r="E119" s="28">
        <v>23</v>
      </c>
      <c r="F119" s="28">
        <v>1</v>
      </c>
      <c r="G119" s="65">
        <v>4</v>
      </c>
      <c r="H119" s="28">
        <v>1</v>
      </c>
      <c r="I119" s="28">
        <v>2</v>
      </c>
      <c r="J119" s="72">
        <v>7</v>
      </c>
      <c r="K119" s="46">
        <f t="shared" si="16"/>
        <v>57.142857142857139</v>
      </c>
      <c r="L119" s="46">
        <f t="shared" si="17"/>
        <v>14.285714285714285</v>
      </c>
      <c r="M119" s="46">
        <f t="shared" si="18"/>
        <v>28.571428571428569</v>
      </c>
      <c r="N119" s="67">
        <f t="shared" si="19"/>
        <v>99.999999999999986</v>
      </c>
      <c r="O119" s="45">
        <v>49</v>
      </c>
      <c r="P119" s="46">
        <v>14</v>
      </c>
      <c r="Q119" s="46">
        <v>28.6</v>
      </c>
      <c r="R119" s="47">
        <f t="shared" ref="R119" si="20">O119+P119+Q119</f>
        <v>91.6</v>
      </c>
      <c r="S119" s="28">
        <v>3</v>
      </c>
      <c r="T119" s="284">
        <v>42295</v>
      </c>
      <c r="U119" s="293">
        <v>42347</v>
      </c>
      <c r="V119" s="37" t="s">
        <v>131</v>
      </c>
      <c r="W119" s="28" t="s">
        <v>22</v>
      </c>
      <c r="X119" s="28" t="s">
        <v>11</v>
      </c>
      <c r="Y119" s="38">
        <v>16.5</v>
      </c>
      <c r="Z119" s="28" t="s">
        <v>80</v>
      </c>
      <c r="AA119" s="28" t="s">
        <v>17</v>
      </c>
      <c r="AB119" s="28" t="s">
        <v>18</v>
      </c>
      <c r="AC119" s="28">
        <v>14</v>
      </c>
      <c r="AD119" s="37" t="s">
        <v>454</v>
      </c>
      <c r="AE119" s="28" t="s">
        <v>20</v>
      </c>
      <c r="AF119" s="28" t="s">
        <v>12</v>
      </c>
      <c r="AG119" s="38">
        <v>21.5</v>
      </c>
      <c r="AH119" s="28" t="s">
        <v>328</v>
      </c>
      <c r="AI119" s="28" t="s">
        <v>852</v>
      </c>
      <c r="AJ119" s="28" t="s">
        <v>11</v>
      </c>
      <c r="AK119" s="28">
        <v>32.5</v>
      </c>
      <c r="AL119" s="37"/>
      <c r="AO119" s="38"/>
      <c r="AP119" s="37"/>
      <c r="AS119" s="38"/>
      <c r="AW119" s="38"/>
      <c r="BA119" s="39"/>
    </row>
    <row r="120" spans="1:53" s="28" customFormat="1" x14ac:dyDescent="0.15">
      <c r="A120" s="28">
        <v>2016</v>
      </c>
      <c r="B120" s="293"/>
      <c r="C120" s="394" t="s">
        <v>1329</v>
      </c>
      <c r="D120" s="394"/>
      <c r="E120" s="28">
        <v>0</v>
      </c>
      <c r="G120" s="65">
        <v>4</v>
      </c>
      <c r="H120" s="28">
        <v>1</v>
      </c>
      <c r="I120" s="28">
        <v>2</v>
      </c>
      <c r="J120" s="72">
        <v>7</v>
      </c>
      <c r="K120" s="46">
        <f t="shared" si="16"/>
        <v>57.142857142857139</v>
      </c>
      <c r="L120" s="46">
        <f t="shared" si="17"/>
        <v>14.285714285714285</v>
      </c>
      <c r="M120" s="46">
        <f t="shared" si="18"/>
        <v>28.571428571428569</v>
      </c>
      <c r="N120" s="67">
        <f t="shared" si="19"/>
        <v>99.999999999999986</v>
      </c>
      <c r="O120" s="45">
        <v>49</v>
      </c>
      <c r="P120" s="46">
        <v>14</v>
      </c>
      <c r="Q120" s="46">
        <v>28.6</v>
      </c>
      <c r="R120" s="47">
        <f t="shared" ref="R120:R121" si="21">O120+P120+Q120</f>
        <v>91.6</v>
      </c>
      <c r="S120" s="28">
        <v>3</v>
      </c>
      <c r="T120" s="284"/>
      <c r="U120" s="293"/>
      <c r="V120" s="37" t="s">
        <v>131</v>
      </c>
      <c r="W120" s="28" t="s">
        <v>22</v>
      </c>
      <c r="X120" s="28" t="s">
        <v>11</v>
      </c>
      <c r="Y120" s="38">
        <v>16.5</v>
      </c>
      <c r="Z120" s="28" t="s">
        <v>80</v>
      </c>
      <c r="AA120" s="28" t="s">
        <v>17</v>
      </c>
      <c r="AB120" s="28" t="s">
        <v>18</v>
      </c>
      <c r="AC120" s="28">
        <v>14</v>
      </c>
      <c r="AD120" s="37" t="s">
        <v>454</v>
      </c>
      <c r="AE120" s="28" t="s">
        <v>20</v>
      </c>
      <c r="AF120" s="28" t="s">
        <v>12</v>
      </c>
      <c r="AG120" s="38">
        <v>21.5</v>
      </c>
      <c r="AH120" s="28" t="s">
        <v>328</v>
      </c>
      <c r="AI120" s="28" t="s">
        <v>852</v>
      </c>
      <c r="AJ120" s="28" t="s">
        <v>11</v>
      </c>
      <c r="AK120" s="28">
        <v>32.5</v>
      </c>
      <c r="AL120" s="37"/>
      <c r="AO120" s="38"/>
      <c r="AP120" s="37"/>
      <c r="AS120" s="38"/>
      <c r="AW120" s="38"/>
      <c r="BA120" s="39"/>
    </row>
    <row r="121" spans="1:53" s="28" customFormat="1" x14ac:dyDescent="0.15">
      <c r="A121" s="28">
        <v>2016</v>
      </c>
      <c r="B121" s="293"/>
      <c r="C121" s="394" t="s">
        <v>1350</v>
      </c>
      <c r="D121" s="394"/>
      <c r="E121" s="28">
        <v>366</v>
      </c>
      <c r="F121" s="28">
        <v>1</v>
      </c>
      <c r="G121" s="65">
        <v>4</v>
      </c>
      <c r="H121" s="28">
        <v>1</v>
      </c>
      <c r="I121" s="28">
        <v>2</v>
      </c>
      <c r="J121" s="72">
        <v>7</v>
      </c>
      <c r="K121" s="46">
        <f t="shared" si="16"/>
        <v>57.142857142857139</v>
      </c>
      <c r="L121" s="46">
        <f t="shared" si="17"/>
        <v>14.285714285714285</v>
      </c>
      <c r="M121" s="46">
        <f t="shared" si="18"/>
        <v>28.571428571428569</v>
      </c>
      <c r="N121" s="67">
        <f t="shared" si="19"/>
        <v>99.999999999999986</v>
      </c>
      <c r="O121" s="45">
        <v>49</v>
      </c>
      <c r="P121" s="46">
        <v>14</v>
      </c>
      <c r="Q121" s="46">
        <v>28.6</v>
      </c>
      <c r="R121" s="47">
        <f t="shared" si="21"/>
        <v>91.6</v>
      </c>
      <c r="S121" s="28">
        <v>3</v>
      </c>
      <c r="T121" s="284"/>
      <c r="U121" s="293"/>
      <c r="V121" s="37" t="s">
        <v>131</v>
      </c>
      <c r="W121" s="28" t="s">
        <v>22</v>
      </c>
      <c r="X121" s="28" t="s">
        <v>11</v>
      </c>
      <c r="Y121" s="38">
        <v>16.5</v>
      </c>
      <c r="Z121" s="28" t="s">
        <v>80</v>
      </c>
      <c r="AA121" s="28" t="s">
        <v>17</v>
      </c>
      <c r="AB121" s="28" t="s">
        <v>18</v>
      </c>
      <c r="AC121" s="28">
        <v>14</v>
      </c>
      <c r="AD121" s="37" t="s">
        <v>454</v>
      </c>
      <c r="AE121" s="28" t="s">
        <v>20</v>
      </c>
      <c r="AF121" s="28" t="s">
        <v>12</v>
      </c>
      <c r="AG121" s="38">
        <v>21.5</v>
      </c>
      <c r="AH121" s="28" t="s">
        <v>328</v>
      </c>
      <c r="AI121" s="28" t="s">
        <v>852</v>
      </c>
      <c r="AJ121" s="28" t="s">
        <v>11</v>
      </c>
      <c r="AK121" s="28">
        <v>32.5</v>
      </c>
      <c r="AL121" s="37"/>
      <c r="AO121" s="38"/>
      <c r="AP121" s="37"/>
      <c r="AS121" s="38"/>
      <c r="AW121" s="38"/>
      <c r="BA121" s="39"/>
    </row>
    <row r="122" spans="1:53" s="28" customFormat="1" x14ac:dyDescent="0.15">
      <c r="A122" s="28">
        <v>2017</v>
      </c>
      <c r="B122" s="293"/>
      <c r="C122" s="394" t="s">
        <v>1350</v>
      </c>
      <c r="D122" s="394"/>
      <c r="E122" s="28">
        <v>0</v>
      </c>
      <c r="G122" s="65">
        <v>4</v>
      </c>
      <c r="H122" s="28">
        <v>1</v>
      </c>
      <c r="I122" s="28">
        <v>2</v>
      </c>
      <c r="J122" s="72">
        <v>7</v>
      </c>
      <c r="K122" s="46">
        <f t="shared" si="16"/>
        <v>57.142857142857139</v>
      </c>
      <c r="L122" s="46">
        <f t="shared" si="17"/>
        <v>14.285714285714285</v>
      </c>
      <c r="M122" s="46">
        <f t="shared" si="18"/>
        <v>28.571428571428569</v>
      </c>
      <c r="N122" s="67">
        <f t="shared" si="19"/>
        <v>99.999999999999986</v>
      </c>
      <c r="O122" s="45">
        <v>49</v>
      </c>
      <c r="P122" s="46">
        <v>14</v>
      </c>
      <c r="Q122" s="46">
        <v>28.6</v>
      </c>
      <c r="R122" s="47">
        <f t="shared" ref="R122:R123" si="22">O122+P122+Q122</f>
        <v>91.6</v>
      </c>
      <c r="S122" s="28">
        <v>3</v>
      </c>
      <c r="T122" s="284"/>
      <c r="U122" s="293"/>
      <c r="V122" s="37" t="s">
        <v>131</v>
      </c>
      <c r="W122" s="28" t="s">
        <v>22</v>
      </c>
      <c r="X122" s="28" t="s">
        <v>11</v>
      </c>
      <c r="Y122" s="38">
        <v>16.5</v>
      </c>
      <c r="Z122" s="28" t="s">
        <v>80</v>
      </c>
      <c r="AA122" s="28" t="s">
        <v>17</v>
      </c>
      <c r="AB122" s="28" t="s">
        <v>18</v>
      </c>
      <c r="AC122" s="28">
        <v>14</v>
      </c>
      <c r="AD122" s="37" t="s">
        <v>454</v>
      </c>
      <c r="AE122" s="28" t="s">
        <v>20</v>
      </c>
      <c r="AF122" s="28" t="s">
        <v>12</v>
      </c>
      <c r="AG122" s="38">
        <v>21.5</v>
      </c>
      <c r="AH122" s="28" t="s">
        <v>328</v>
      </c>
      <c r="AI122" s="28" t="s">
        <v>852</v>
      </c>
      <c r="AJ122" s="28" t="s">
        <v>11</v>
      </c>
      <c r="AK122" s="28">
        <v>32.5</v>
      </c>
      <c r="AL122" s="37"/>
      <c r="AO122" s="38"/>
      <c r="AP122" s="37"/>
      <c r="AS122" s="38"/>
      <c r="AW122" s="38"/>
      <c r="BA122" s="39"/>
    </row>
    <row r="123" spans="1:53" s="28" customFormat="1" x14ac:dyDescent="0.15">
      <c r="A123" s="28">
        <v>2017</v>
      </c>
      <c r="B123" s="293"/>
      <c r="C123" s="394" t="s">
        <v>1427</v>
      </c>
      <c r="D123" s="394"/>
      <c r="E123" s="28">
        <v>365</v>
      </c>
      <c r="F123" s="28">
        <v>1</v>
      </c>
      <c r="G123" s="65">
        <v>4</v>
      </c>
      <c r="H123" s="28">
        <v>1</v>
      </c>
      <c r="I123" s="28">
        <v>2</v>
      </c>
      <c r="J123" s="72">
        <v>7</v>
      </c>
      <c r="K123" s="46">
        <f t="shared" si="16"/>
        <v>57.142857142857139</v>
      </c>
      <c r="L123" s="46">
        <f t="shared" si="17"/>
        <v>14.285714285714285</v>
      </c>
      <c r="M123" s="46">
        <f t="shared" si="18"/>
        <v>28.571428571428569</v>
      </c>
      <c r="N123" s="67">
        <f t="shared" si="19"/>
        <v>99.999999999999986</v>
      </c>
      <c r="O123" s="45">
        <v>49</v>
      </c>
      <c r="P123" s="46">
        <v>14</v>
      </c>
      <c r="Q123" s="46">
        <v>28.6</v>
      </c>
      <c r="R123" s="47">
        <f t="shared" si="22"/>
        <v>91.6</v>
      </c>
      <c r="S123" s="28">
        <v>3</v>
      </c>
      <c r="T123" s="284"/>
      <c r="U123" s="293"/>
      <c r="V123" s="37" t="s">
        <v>131</v>
      </c>
      <c r="W123" s="28" t="s">
        <v>22</v>
      </c>
      <c r="X123" s="28" t="s">
        <v>11</v>
      </c>
      <c r="Y123" s="38">
        <v>16.5</v>
      </c>
      <c r="Z123" s="28" t="s">
        <v>80</v>
      </c>
      <c r="AA123" s="28" t="s">
        <v>17</v>
      </c>
      <c r="AB123" s="28" t="s">
        <v>18</v>
      </c>
      <c r="AC123" s="28">
        <v>14</v>
      </c>
      <c r="AD123" s="37" t="s">
        <v>454</v>
      </c>
      <c r="AE123" s="28" t="s">
        <v>20</v>
      </c>
      <c r="AF123" s="28" t="s">
        <v>12</v>
      </c>
      <c r="AG123" s="38">
        <v>21.5</v>
      </c>
      <c r="AH123" s="28" t="s">
        <v>328</v>
      </c>
      <c r="AI123" s="28" t="s">
        <v>852</v>
      </c>
      <c r="AJ123" s="28" t="s">
        <v>11</v>
      </c>
      <c r="AK123" s="28">
        <v>32.5</v>
      </c>
      <c r="AL123" s="37"/>
      <c r="AO123" s="38"/>
      <c r="AP123" s="37"/>
      <c r="AS123" s="38"/>
      <c r="AW123" s="38"/>
      <c r="BA123" s="39"/>
    </row>
    <row r="124" spans="1:53" s="28" customFormat="1" x14ac:dyDescent="0.15">
      <c r="A124" s="28">
        <v>2018</v>
      </c>
      <c r="B124" s="293"/>
      <c r="C124" s="394" t="s">
        <v>1427</v>
      </c>
      <c r="D124" s="394"/>
      <c r="E124" s="28">
        <v>0</v>
      </c>
      <c r="G124" s="65">
        <v>4</v>
      </c>
      <c r="H124" s="28">
        <v>1</v>
      </c>
      <c r="I124" s="28">
        <v>2</v>
      </c>
      <c r="J124" s="72">
        <v>7</v>
      </c>
      <c r="K124" s="46">
        <f t="shared" ref="K124:K125" si="23">G124/J124*100</f>
        <v>57.142857142857139</v>
      </c>
      <c r="L124" s="46">
        <f t="shared" ref="L124:L125" si="24">H124/J124*100</f>
        <v>14.285714285714285</v>
      </c>
      <c r="M124" s="46">
        <f t="shared" ref="M124:M125" si="25">I124/J124*100</f>
        <v>28.571428571428569</v>
      </c>
      <c r="N124" s="67">
        <f t="shared" ref="N124:N125" si="26">K124+L124+M124</f>
        <v>99.999999999999986</v>
      </c>
      <c r="O124" s="45">
        <v>49</v>
      </c>
      <c r="P124" s="46">
        <v>14</v>
      </c>
      <c r="Q124" s="46">
        <v>28.6</v>
      </c>
      <c r="R124" s="47">
        <f t="shared" ref="R124:R125" si="27">O124+P124+Q124</f>
        <v>91.6</v>
      </c>
      <c r="S124" s="28">
        <v>3</v>
      </c>
      <c r="T124" s="284"/>
      <c r="U124" s="293"/>
      <c r="V124" s="37" t="s">
        <v>131</v>
      </c>
      <c r="W124" s="28" t="s">
        <v>22</v>
      </c>
      <c r="X124" s="28" t="s">
        <v>11</v>
      </c>
      <c r="Y124" s="38">
        <v>16.5</v>
      </c>
      <c r="Z124" s="28" t="s">
        <v>80</v>
      </c>
      <c r="AA124" s="28" t="s">
        <v>17</v>
      </c>
      <c r="AB124" s="28" t="s">
        <v>18</v>
      </c>
      <c r="AC124" s="28">
        <v>14</v>
      </c>
      <c r="AD124" s="37" t="s">
        <v>454</v>
      </c>
      <c r="AE124" s="28" t="s">
        <v>20</v>
      </c>
      <c r="AF124" s="28" t="s">
        <v>12</v>
      </c>
      <c r="AG124" s="38">
        <v>21.5</v>
      </c>
      <c r="AH124" s="28" t="s">
        <v>328</v>
      </c>
      <c r="AI124" s="28" t="s">
        <v>852</v>
      </c>
      <c r="AJ124" s="28" t="s">
        <v>11</v>
      </c>
      <c r="AK124" s="28">
        <v>32.5</v>
      </c>
      <c r="AL124" s="37"/>
      <c r="AO124" s="38"/>
      <c r="AP124" s="37"/>
      <c r="AS124" s="38"/>
      <c r="AW124" s="38"/>
      <c r="BA124" s="39"/>
    </row>
    <row r="125" spans="1:53" s="28" customFormat="1" x14ac:dyDescent="0.15">
      <c r="A125" s="28">
        <v>2018</v>
      </c>
      <c r="B125" s="293"/>
      <c r="C125" s="394" t="s">
        <v>1428</v>
      </c>
      <c r="D125" s="394"/>
      <c r="E125" s="28">
        <v>365</v>
      </c>
      <c r="F125" s="28">
        <v>1</v>
      </c>
      <c r="G125" s="65">
        <v>4</v>
      </c>
      <c r="H125" s="28">
        <v>1</v>
      </c>
      <c r="I125" s="28">
        <v>2</v>
      </c>
      <c r="J125" s="72">
        <v>7</v>
      </c>
      <c r="K125" s="46">
        <f t="shared" si="23"/>
        <v>57.142857142857139</v>
      </c>
      <c r="L125" s="46">
        <f t="shared" si="24"/>
        <v>14.285714285714285</v>
      </c>
      <c r="M125" s="46">
        <f t="shared" si="25"/>
        <v>28.571428571428569</v>
      </c>
      <c r="N125" s="67">
        <f t="shared" si="26"/>
        <v>99.999999999999986</v>
      </c>
      <c r="O125" s="45">
        <v>49</v>
      </c>
      <c r="P125" s="46">
        <v>14</v>
      </c>
      <c r="Q125" s="46">
        <v>28.6</v>
      </c>
      <c r="R125" s="47">
        <f t="shared" si="27"/>
        <v>91.6</v>
      </c>
      <c r="S125" s="28">
        <v>3</v>
      </c>
      <c r="T125" s="284"/>
      <c r="U125" s="293"/>
      <c r="V125" s="37" t="s">
        <v>131</v>
      </c>
      <c r="W125" s="28" t="s">
        <v>22</v>
      </c>
      <c r="X125" s="28" t="s">
        <v>11</v>
      </c>
      <c r="Y125" s="38">
        <v>16.5</v>
      </c>
      <c r="Z125" s="28" t="s">
        <v>80</v>
      </c>
      <c r="AA125" s="28" t="s">
        <v>17</v>
      </c>
      <c r="AB125" s="28" t="s">
        <v>18</v>
      </c>
      <c r="AC125" s="28">
        <v>14</v>
      </c>
      <c r="AD125" s="37" t="s">
        <v>454</v>
      </c>
      <c r="AE125" s="28" t="s">
        <v>20</v>
      </c>
      <c r="AF125" s="28" t="s">
        <v>12</v>
      </c>
      <c r="AG125" s="38">
        <v>21.5</v>
      </c>
      <c r="AH125" s="28" t="s">
        <v>328</v>
      </c>
      <c r="AI125" s="28" t="s">
        <v>852</v>
      </c>
      <c r="AJ125" s="28" t="s">
        <v>11</v>
      </c>
      <c r="AK125" s="28">
        <v>32.5</v>
      </c>
      <c r="AL125" s="37"/>
      <c r="AO125" s="38"/>
      <c r="AP125" s="37"/>
      <c r="AS125" s="38"/>
      <c r="AW125" s="38"/>
      <c r="BA125" s="39"/>
    </row>
    <row r="126" spans="1:53" s="28" customFormat="1" x14ac:dyDescent="0.15">
      <c r="A126" s="28">
        <v>2019</v>
      </c>
      <c r="B126" s="293"/>
      <c r="C126" s="394" t="s">
        <v>1428</v>
      </c>
      <c r="D126" s="394"/>
      <c r="E126" s="28">
        <v>336</v>
      </c>
      <c r="G126" s="65">
        <v>4</v>
      </c>
      <c r="H126" s="28">
        <v>1</v>
      </c>
      <c r="I126" s="28">
        <v>2</v>
      </c>
      <c r="J126" s="72">
        <v>7</v>
      </c>
      <c r="K126" s="46">
        <f t="shared" ref="K126:K133" si="28">G126/J126*100</f>
        <v>57.142857142857139</v>
      </c>
      <c r="L126" s="46">
        <f t="shared" ref="L126:L133" si="29">H126/J126*100</f>
        <v>14.285714285714285</v>
      </c>
      <c r="M126" s="46">
        <f t="shared" ref="M126:M133" si="30">I126/J126*100</f>
        <v>28.571428571428569</v>
      </c>
      <c r="N126" s="67">
        <f t="shared" ref="N126:N129" si="31">K126+L126+M126</f>
        <v>99.999999999999986</v>
      </c>
      <c r="O126" s="45">
        <v>49</v>
      </c>
      <c r="P126" s="46">
        <v>14</v>
      </c>
      <c r="Q126" s="46">
        <v>28.6</v>
      </c>
      <c r="R126" s="47">
        <f t="shared" ref="R126:R129" si="32">O126+P126+Q126</f>
        <v>91.6</v>
      </c>
      <c r="S126" s="28">
        <v>3</v>
      </c>
      <c r="T126" s="284"/>
      <c r="U126" s="293"/>
      <c r="V126" s="37" t="s">
        <v>131</v>
      </c>
      <c r="W126" s="28" t="s">
        <v>22</v>
      </c>
      <c r="X126" s="28" t="s">
        <v>11</v>
      </c>
      <c r="Y126" s="38">
        <v>16.5</v>
      </c>
      <c r="Z126" s="28" t="s">
        <v>80</v>
      </c>
      <c r="AA126" s="28" t="s">
        <v>17</v>
      </c>
      <c r="AB126" s="28" t="s">
        <v>18</v>
      </c>
      <c r="AC126" s="28">
        <v>14</v>
      </c>
      <c r="AD126" s="37" t="s">
        <v>454</v>
      </c>
      <c r="AE126" s="28" t="s">
        <v>20</v>
      </c>
      <c r="AF126" s="28" t="s">
        <v>12</v>
      </c>
      <c r="AG126" s="38">
        <v>21.5</v>
      </c>
      <c r="AH126" s="28" t="s">
        <v>328</v>
      </c>
      <c r="AI126" s="28" t="s">
        <v>852</v>
      </c>
      <c r="AJ126" s="28" t="s">
        <v>11</v>
      </c>
      <c r="AK126" s="28">
        <v>32.5</v>
      </c>
      <c r="AL126" s="37"/>
      <c r="AO126" s="38"/>
      <c r="AP126" s="37"/>
      <c r="AS126" s="38"/>
      <c r="AW126" s="38"/>
      <c r="BA126" s="39"/>
    </row>
    <row r="127" spans="1:53" s="170" customFormat="1" x14ac:dyDescent="0.15">
      <c r="A127" s="170">
        <v>2019</v>
      </c>
      <c r="B127" s="281">
        <v>43801</v>
      </c>
      <c r="C127" s="395" t="s">
        <v>1429</v>
      </c>
      <c r="D127" s="395"/>
      <c r="E127" s="170">
        <v>29</v>
      </c>
      <c r="F127" s="170">
        <v>1</v>
      </c>
      <c r="G127" s="232">
        <v>4</v>
      </c>
      <c r="H127" s="170">
        <v>1</v>
      </c>
      <c r="I127" s="170">
        <v>2</v>
      </c>
      <c r="J127" s="240">
        <v>7</v>
      </c>
      <c r="K127" s="213">
        <f t="shared" si="28"/>
        <v>57.142857142857139</v>
      </c>
      <c r="L127" s="213">
        <f t="shared" si="29"/>
        <v>14.285714285714285</v>
      </c>
      <c r="M127" s="213">
        <f t="shared" si="30"/>
        <v>28.571428571428569</v>
      </c>
      <c r="N127" s="214">
        <f t="shared" si="31"/>
        <v>99.999999999999986</v>
      </c>
      <c r="O127" s="213">
        <v>40.6</v>
      </c>
      <c r="P127" s="213">
        <v>15.5</v>
      </c>
      <c r="Q127" s="213">
        <v>19.5</v>
      </c>
      <c r="R127" s="214">
        <f t="shared" si="32"/>
        <v>75.599999999999994</v>
      </c>
      <c r="S127" s="179">
        <v>3</v>
      </c>
      <c r="T127" s="346">
        <v>43758</v>
      </c>
      <c r="U127" s="348">
        <v>43801</v>
      </c>
      <c r="V127" s="170" t="s">
        <v>131</v>
      </c>
      <c r="W127" s="170" t="s">
        <v>22</v>
      </c>
      <c r="X127" s="170" t="s">
        <v>11</v>
      </c>
      <c r="Y127" s="178">
        <v>16.600000000000001</v>
      </c>
      <c r="Z127" s="170" t="s">
        <v>80</v>
      </c>
      <c r="AA127" s="170" t="s">
        <v>17</v>
      </c>
      <c r="AB127" s="170" t="s">
        <v>18</v>
      </c>
      <c r="AC127" s="178">
        <v>15.5</v>
      </c>
      <c r="AD127" s="170" t="s">
        <v>454</v>
      </c>
      <c r="AE127" s="170" t="s">
        <v>20</v>
      </c>
      <c r="AF127" s="170" t="s">
        <v>12</v>
      </c>
      <c r="AG127" s="178">
        <v>19.5</v>
      </c>
      <c r="AH127" s="170" t="s">
        <v>328</v>
      </c>
      <c r="AI127" s="170" t="s">
        <v>852</v>
      </c>
      <c r="AJ127" s="170" t="s">
        <v>11</v>
      </c>
      <c r="AK127" s="170">
        <v>24</v>
      </c>
      <c r="AL127" s="177"/>
      <c r="AO127" s="178"/>
      <c r="AP127" s="177"/>
      <c r="AS127" s="178"/>
      <c r="AW127" s="178"/>
      <c r="BA127" s="179"/>
    </row>
    <row r="128" spans="1:53" s="170" customFormat="1" x14ac:dyDescent="0.15">
      <c r="A128" s="170">
        <v>2020</v>
      </c>
      <c r="C128" s="395" t="s">
        <v>1429</v>
      </c>
      <c r="D128" s="395"/>
      <c r="E128" s="170">
        <v>0</v>
      </c>
      <c r="F128" s="179"/>
      <c r="G128" s="170">
        <v>4</v>
      </c>
      <c r="H128" s="170">
        <v>1</v>
      </c>
      <c r="I128" s="170">
        <v>2</v>
      </c>
      <c r="J128" s="179">
        <v>7</v>
      </c>
      <c r="K128" s="213">
        <f t="shared" si="28"/>
        <v>57.142857142857139</v>
      </c>
      <c r="L128" s="213">
        <f t="shared" si="29"/>
        <v>14.285714285714285</v>
      </c>
      <c r="M128" s="213">
        <f t="shared" si="30"/>
        <v>28.571428571428569</v>
      </c>
      <c r="N128" s="329">
        <f t="shared" si="31"/>
        <v>99.999999999999986</v>
      </c>
      <c r="O128" s="170">
        <v>40.6</v>
      </c>
      <c r="P128" s="170">
        <v>15.5</v>
      </c>
      <c r="Q128" s="170">
        <v>19.5</v>
      </c>
      <c r="R128" s="179">
        <f t="shared" si="32"/>
        <v>75.599999999999994</v>
      </c>
      <c r="S128" s="179">
        <v>3</v>
      </c>
      <c r="T128" s="179"/>
      <c r="U128" s="178"/>
      <c r="V128" s="170" t="s">
        <v>131</v>
      </c>
      <c r="W128" s="170" t="s">
        <v>22</v>
      </c>
      <c r="X128" s="170" t="s">
        <v>11</v>
      </c>
      <c r="Y128" s="178">
        <v>16.600000000000001</v>
      </c>
      <c r="Z128" s="170" t="s">
        <v>80</v>
      </c>
      <c r="AA128" s="170" t="s">
        <v>17</v>
      </c>
      <c r="AB128" s="170" t="s">
        <v>18</v>
      </c>
      <c r="AC128" s="178">
        <v>15.5</v>
      </c>
      <c r="AD128" s="170" t="s">
        <v>454</v>
      </c>
      <c r="AE128" s="170" t="s">
        <v>20</v>
      </c>
      <c r="AF128" s="170" t="s">
        <v>12</v>
      </c>
      <c r="AG128" s="178">
        <v>19.5</v>
      </c>
      <c r="AH128" s="170" t="s">
        <v>328</v>
      </c>
      <c r="AI128" s="170" t="s">
        <v>852</v>
      </c>
      <c r="AJ128" s="170" t="s">
        <v>11</v>
      </c>
      <c r="AK128" s="178">
        <v>24</v>
      </c>
      <c r="AO128" s="178"/>
      <c r="AS128" s="178"/>
      <c r="AW128" s="178"/>
      <c r="BA128" s="179"/>
    </row>
    <row r="129" spans="1:53" s="170" customFormat="1" x14ac:dyDescent="0.15">
      <c r="A129" s="170">
        <v>2020</v>
      </c>
      <c r="C129" s="395" t="s">
        <v>1502</v>
      </c>
      <c r="D129" s="395"/>
      <c r="E129" s="170">
        <v>366</v>
      </c>
      <c r="F129" s="179">
        <v>1</v>
      </c>
      <c r="G129" s="170">
        <v>4</v>
      </c>
      <c r="H129" s="170">
        <v>1</v>
      </c>
      <c r="I129" s="170">
        <v>2</v>
      </c>
      <c r="J129" s="179">
        <v>7</v>
      </c>
      <c r="K129" s="213">
        <f t="shared" si="28"/>
        <v>57.142857142857139</v>
      </c>
      <c r="L129" s="213">
        <f t="shared" si="29"/>
        <v>14.285714285714285</v>
      </c>
      <c r="M129" s="213">
        <f t="shared" si="30"/>
        <v>28.571428571428569</v>
      </c>
      <c r="N129" s="329">
        <f t="shared" si="31"/>
        <v>99.999999999999986</v>
      </c>
      <c r="O129" s="170">
        <v>40.6</v>
      </c>
      <c r="P129" s="170">
        <v>15.5</v>
      </c>
      <c r="Q129" s="170">
        <v>19.5</v>
      </c>
      <c r="R129" s="179">
        <f t="shared" si="32"/>
        <v>75.599999999999994</v>
      </c>
      <c r="S129" s="179">
        <v>3</v>
      </c>
      <c r="T129" s="179"/>
      <c r="U129" s="178"/>
      <c r="V129" s="170" t="s">
        <v>131</v>
      </c>
      <c r="W129" s="170" t="s">
        <v>22</v>
      </c>
      <c r="X129" s="170" t="s">
        <v>11</v>
      </c>
      <c r="Y129" s="178">
        <v>16.600000000000001</v>
      </c>
      <c r="Z129" s="170" t="s">
        <v>80</v>
      </c>
      <c r="AA129" s="170" t="s">
        <v>17</v>
      </c>
      <c r="AB129" s="170" t="s">
        <v>18</v>
      </c>
      <c r="AC129" s="178">
        <v>15.5</v>
      </c>
      <c r="AD129" s="170" t="s">
        <v>454</v>
      </c>
      <c r="AE129" s="170" t="s">
        <v>20</v>
      </c>
      <c r="AF129" s="170" t="s">
        <v>12</v>
      </c>
      <c r="AG129" s="178">
        <v>19.5</v>
      </c>
      <c r="AH129" s="170" t="s">
        <v>328</v>
      </c>
      <c r="AI129" s="170" t="s">
        <v>852</v>
      </c>
      <c r="AJ129" s="170" t="s">
        <v>11</v>
      </c>
      <c r="AK129" s="178">
        <v>24</v>
      </c>
      <c r="AO129" s="178"/>
      <c r="AS129" s="178"/>
      <c r="AW129" s="178"/>
      <c r="BA129" s="179"/>
    </row>
    <row r="130" spans="1:53" s="170" customFormat="1" x14ac:dyDescent="0.15">
      <c r="A130" s="170">
        <v>2021</v>
      </c>
      <c r="C130" s="395" t="s">
        <v>1502</v>
      </c>
      <c r="D130" s="395"/>
      <c r="E130" s="170">
        <v>0</v>
      </c>
      <c r="F130" s="179"/>
      <c r="G130" s="170">
        <v>4</v>
      </c>
      <c r="H130" s="170">
        <v>1</v>
      </c>
      <c r="I130" s="170">
        <v>2</v>
      </c>
      <c r="J130" s="179">
        <v>7</v>
      </c>
      <c r="K130" s="213">
        <f t="shared" si="28"/>
        <v>57.142857142857139</v>
      </c>
      <c r="L130" s="213">
        <f t="shared" si="29"/>
        <v>14.285714285714285</v>
      </c>
      <c r="M130" s="213">
        <f t="shared" si="30"/>
        <v>28.571428571428569</v>
      </c>
      <c r="N130" s="329">
        <f>K130+L130+M130</f>
        <v>99.999999999999986</v>
      </c>
      <c r="O130" s="170">
        <v>40.6</v>
      </c>
      <c r="P130" s="170">
        <v>15.5</v>
      </c>
      <c r="Q130" s="170">
        <v>19.5</v>
      </c>
      <c r="R130" s="179">
        <v>75.599999999999994</v>
      </c>
      <c r="S130" s="179">
        <v>3</v>
      </c>
      <c r="T130" s="179"/>
      <c r="U130" s="178"/>
      <c r="V130" s="170" t="s">
        <v>131</v>
      </c>
      <c r="W130" s="170" t="s">
        <v>22</v>
      </c>
      <c r="X130" s="170" t="s">
        <v>11</v>
      </c>
      <c r="Y130" s="178">
        <v>16.600000000000001</v>
      </c>
      <c r="Z130" s="170" t="s">
        <v>80</v>
      </c>
      <c r="AA130" s="170" t="s">
        <v>17</v>
      </c>
      <c r="AB130" s="170" t="s">
        <v>18</v>
      </c>
      <c r="AC130" s="178">
        <v>15.5</v>
      </c>
      <c r="AD130" s="170" t="s">
        <v>454</v>
      </c>
      <c r="AE130" s="170" t="s">
        <v>20</v>
      </c>
      <c r="AF130" s="170" t="s">
        <v>12</v>
      </c>
      <c r="AG130" s="178">
        <v>19.5</v>
      </c>
      <c r="AH130" s="170" t="s">
        <v>328</v>
      </c>
      <c r="AI130" s="170" t="s">
        <v>852</v>
      </c>
      <c r="AJ130" s="170" t="s">
        <v>11</v>
      </c>
      <c r="AK130" s="178">
        <v>24</v>
      </c>
      <c r="AO130" s="178"/>
      <c r="AS130" s="178"/>
      <c r="AW130" s="178"/>
      <c r="BA130" s="179"/>
    </row>
    <row r="131" spans="1:53" s="170" customFormat="1" x14ac:dyDescent="0.15">
      <c r="A131" s="170">
        <v>2021</v>
      </c>
      <c r="C131" s="395" t="s">
        <v>1508</v>
      </c>
      <c r="D131" s="395"/>
      <c r="E131" s="170">
        <v>365</v>
      </c>
      <c r="F131" s="179">
        <v>1</v>
      </c>
      <c r="G131" s="170">
        <v>4</v>
      </c>
      <c r="H131" s="170">
        <v>1</v>
      </c>
      <c r="I131" s="170">
        <v>2</v>
      </c>
      <c r="J131" s="179">
        <v>7</v>
      </c>
      <c r="K131" s="213">
        <f t="shared" si="28"/>
        <v>57.142857142857139</v>
      </c>
      <c r="L131" s="213">
        <f t="shared" si="29"/>
        <v>14.285714285714285</v>
      </c>
      <c r="M131" s="213">
        <f t="shared" si="30"/>
        <v>28.571428571428569</v>
      </c>
      <c r="N131" s="329">
        <f>K131+L131+M131</f>
        <v>99.999999999999986</v>
      </c>
      <c r="O131" s="170">
        <v>40.6</v>
      </c>
      <c r="P131" s="170">
        <v>15.5</v>
      </c>
      <c r="Q131" s="170">
        <v>19.5</v>
      </c>
      <c r="R131" s="179">
        <v>75.599999999999994</v>
      </c>
      <c r="S131" s="179">
        <v>3</v>
      </c>
      <c r="T131" s="179"/>
      <c r="U131" s="178"/>
      <c r="V131" s="170" t="s">
        <v>131</v>
      </c>
      <c r="W131" s="170" t="s">
        <v>22</v>
      </c>
      <c r="X131" s="170" t="s">
        <v>11</v>
      </c>
      <c r="Y131" s="178">
        <v>16.600000000000001</v>
      </c>
      <c r="Z131" s="170" t="s">
        <v>80</v>
      </c>
      <c r="AA131" s="170" t="s">
        <v>17</v>
      </c>
      <c r="AB131" s="170" t="s">
        <v>18</v>
      </c>
      <c r="AC131" s="178">
        <v>15.5</v>
      </c>
      <c r="AD131" s="170" t="s">
        <v>454</v>
      </c>
      <c r="AE131" s="170" t="s">
        <v>20</v>
      </c>
      <c r="AF131" s="170" t="s">
        <v>12</v>
      </c>
      <c r="AG131" s="178">
        <v>19.5</v>
      </c>
      <c r="AH131" s="170" t="s">
        <v>328</v>
      </c>
      <c r="AI131" s="170" t="s">
        <v>852</v>
      </c>
      <c r="AJ131" s="170" t="s">
        <v>11</v>
      </c>
      <c r="AK131" s="178">
        <v>24</v>
      </c>
      <c r="AO131" s="178"/>
      <c r="AS131" s="178"/>
      <c r="AW131" s="178"/>
      <c r="BA131" s="179"/>
    </row>
    <row r="132" spans="1:53" s="170" customFormat="1" x14ac:dyDescent="0.15">
      <c r="A132" s="170">
        <v>2022</v>
      </c>
      <c r="C132" s="395" t="s">
        <v>1508</v>
      </c>
      <c r="D132" s="395"/>
      <c r="E132" s="170">
        <v>0</v>
      </c>
      <c r="F132" s="179"/>
      <c r="G132" s="170">
        <v>4</v>
      </c>
      <c r="H132" s="170">
        <v>1</v>
      </c>
      <c r="I132" s="170">
        <v>2</v>
      </c>
      <c r="J132" s="179">
        <v>7</v>
      </c>
      <c r="K132" s="213">
        <f t="shared" si="28"/>
        <v>57.142857142857139</v>
      </c>
      <c r="L132" s="213">
        <f t="shared" si="29"/>
        <v>14.285714285714285</v>
      </c>
      <c r="M132" s="213">
        <f t="shared" si="30"/>
        <v>28.571428571428569</v>
      </c>
      <c r="N132" s="329">
        <f>K132+L132+M132</f>
        <v>99.999999999999986</v>
      </c>
      <c r="O132" s="170">
        <v>40.6</v>
      </c>
      <c r="P132" s="170">
        <v>15.5</v>
      </c>
      <c r="Q132" s="170">
        <v>19.5</v>
      </c>
      <c r="R132" s="179">
        <v>75.599999999999994</v>
      </c>
      <c r="S132" s="179">
        <v>3</v>
      </c>
      <c r="T132" s="179"/>
      <c r="U132" s="178"/>
      <c r="V132" s="170" t="s">
        <v>131</v>
      </c>
      <c r="W132" s="170" t="s">
        <v>22</v>
      </c>
      <c r="X132" s="170" t="s">
        <v>11</v>
      </c>
      <c r="Y132" s="178">
        <v>16.600000000000001</v>
      </c>
      <c r="Z132" s="170" t="s">
        <v>80</v>
      </c>
      <c r="AA132" s="170" t="s">
        <v>17</v>
      </c>
      <c r="AB132" s="170" t="s">
        <v>18</v>
      </c>
      <c r="AC132" s="178">
        <v>15.5</v>
      </c>
      <c r="AD132" s="170" t="s">
        <v>454</v>
      </c>
      <c r="AE132" s="170" t="s">
        <v>20</v>
      </c>
      <c r="AF132" s="170" t="s">
        <v>12</v>
      </c>
      <c r="AG132" s="178">
        <v>19.5</v>
      </c>
      <c r="AH132" s="170" t="s">
        <v>328</v>
      </c>
      <c r="AI132" s="170" t="s">
        <v>852</v>
      </c>
      <c r="AJ132" s="170" t="s">
        <v>11</v>
      </c>
      <c r="AK132" s="178">
        <v>24</v>
      </c>
      <c r="AO132" s="178"/>
      <c r="AS132" s="178"/>
      <c r="AW132" s="178"/>
      <c r="BA132" s="179"/>
    </row>
    <row r="133" spans="1:53" s="170" customFormat="1" x14ac:dyDescent="0.15">
      <c r="A133" s="170">
        <v>2022</v>
      </c>
      <c r="C133" s="395" t="s">
        <v>1533</v>
      </c>
      <c r="D133" s="395"/>
      <c r="E133" s="170">
        <v>365</v>
      </c>
      <c r="F133" s="179">
        <v>1</v>
      </c>
      <c r="G133" s="170">
        <v>4</v>
      </c>
      <c r="H133" s="170">
        <v>1</v>
      </c>
      <c r="I133" s="170">
        <v>2</v>
      </c>
      <c r="J133" s="179">
        <v>7</v>
      </c>
      <c r="K133" s="213">
        <f t="shared" si="28"/>
        <v>57.142857142857139</v>
      </c>
      <c r="L133" s="213">
        <f t="shared" si="29"/>
        <v>14.285714285714285</v>
      </c>
      <c r="M133" s="213">
        <f t="shared" si="30"/>
        <v>28.571428571428569</v>
      </c>
      <c r="N133" s="329">
        <f>K133+L133+M133</f>
        <v>99.999999999999986</v>
      </c>
      <c r="O133" s="170">
        <v>40.6</v>
      </c>
      <c r="P133" s="170">
        <v>15.5</v>
      </c>
      <c r="Q133" s="170">
        <v>19.5</v>
      </c>
      <c r="R133" s="179">
        <v>75.599999999999994</v>
      </c>
      <c r="S133" s="179">
        <v>3</v>
      </c>
      <c r="T133" s="179"/>
      <c r="U133" s="178"/>
      <c r="V133" s="170" t="s">
        <v>131</v>
      </c>
      <c r="W133" s="170" t="s">
        <v>22</v>
      </c>
      <c r="X133" s="170" t="s">
        <v>11</v>
      </c>
      <c r="Y133" s="178">
        <v>16.600000000000001</v>
      </c>
      <c r="Z133" s="170" t="s">
        <v>80</v>
      </c>
      <c r="AA133" s="170" t="s">
        <v>17</v>
      </c>
      <c r="AB133" s="170" t="s">
        <v>18</v>
      </c>
      <c r="AC133" s="178">
        <v>15.5</v>
      </c>
      <c r="AD133" s="170" t="s">
        <v>454</v>
      </c>
      <c r="AE133" s="170" t="s">
        <v>20</v>
      </c>
      <c r="AF133" s="170" t="s">
        <v>12</v>
      </c>
      <c r="AG133" s="178">
        <v>19.5</v>
      </c>
      <c r="AH133" s="170" t="s">
        <v>328</v>
      </c>
      <c r="AI133" s="170" t="s">
        <v>852</v>
      </c>
      <c r="AJ133" s="170" t="s">
        <v>11</v>
      </c>
      <c r="AK133" s="178">
        <v>24</v>
      </c>
      <c r="AO133" s="178"/>
      <c r="AS133" s="178"/>
      <c r="AW133" s="178"/>
      <c r="BA133" s="179"/>
    </row>
    <row r="136" spans="1:53" ht="18" customHeight="1" x14ac:dyDescent="0.15">
      <c r="B136" s="15" t="s">
        <v>1262</v>
      </c>
      <c r="H136" s="4"/>
    </row>
    <row r="137" spans="1:53" ht="9" customHeight="1" x14ac:dyDescent="0.15">
      <c r="H137" s="4"/>
    </row>
    <row r="138" spans="1:53" s="194" customFormat="1" ht="9" customHeight="1" x14ac:dyDescent="0.15">
      <c r="A138" s="192"/>
      <c r="B138" s="193" t="s">
        <v>1213</v>
      </c>
      <c r="C138" s="193"/>
      <c r="D138" s="193"/>
      <c r="E138" s="193"/>
      <c r="F138" s="193"/>
      <c r="G138" s="193" t="s">
        <v>1214</v>
      </c>
      <c r="H138" s="193"/>
      <c r="I138" s="193"/>
      <c r="J138" s="193"/>
      <c r="K138" s="193"/>
      <c r="L138" s="193"/>
      <c r="M138" s="193"/>
      <c r="N138" s="193"/>
      <c r="R138" s="386" t="s">
        <v>1215</v>
      </c>
      <c r="S138" s="386"/>
      <c r="T138" s="386"/>
      <c r="U138" s="386"/>
      <c r="V138" s="386"/>
      <c r="W138" s="386"/>
      <c r="X138" s="195"/>
      <c r="Y138" s="195"/>
      <c r="AA138" s="195"/>
      <c r="AB138" s="195"/>
      <c r="AC138" s="195"/>
      <c r="AD138" s="195"/>
    </row>
    <row r="139" spans="1:53" s="199" customFormat="1" ht="9" customHeight="1" x14ac:dyDescent="0.15">
      <c r="A139" s="196"/>
      <c r="B139" s="197" t="s">
        <v>1217</v>
      </c>
      <c r="C139" s="198"/>
      <c r="D139" s="198"/>
      <c r="E139" s="198"/>
      <c r="F139" s="198"/>
      <c r="G139" s="197" t="s">
        <v>1216</v>
      </c>
      <c r="H139" s="198"/>
      <c r="I139" s="198"/>
      <c r="J139" s="198"/>
      <c r="K139" s="198"/>
      <c r="L139" s="198"/>
      <c r="M139" s="198"/>
      <c r="N139" s="198"/>
      <c r="R139" s="200" t="s">
        <v>1218</v>
      </c>
      <c r="S139" s="201"/>
      <c r="T139" s="202"/>
      <c r="U139" s="202"/>
      <c r="V139" s="202"/>
      <c r="W139" s="200" t="s">
        <v>1219</v>
      </c>
      <c r="X139" s="202"/>
      <c r="Y139" s="202"/>
      <c r="AA139" s="202"/>
      <c r="AB139" s="202"/>
      <c r="AC139" s="202"/>
      <c r="AD139" s="202"/>
    </row>
    <row r="140" spans="1:53" s="185" customFormat="1" ht="12" customHeight="1" x14ac:dyDescent="0.15">
      <c r="A140" s="203" t="s">
        <v>3</v>
      </c>
      <c r="B140" s="204" t="s">
        <v>8</v>
      </c>
      <c r="C140" s="204" t="s">
        <v>9</v>
      </c>
      <c r="D140" s="204" t="s">
        <v>10</v>
      </c>
      <c r="E140" s="205" t="s">
        <v>1193</v>
      </c>
      <c r="F140" s="204"/>
      <c r="G140" s="185" t="s">
        <v>3</v>
      </c>
      <c r="H140" s="387" t="s">
        <v>0</v>
      </c>
      <c r="I140" s="387"/>
      <c r="J140" s="387" t="s">
        <v>1</v>
      </c>
      <c r="K140" s="387"/>
      <c r="L140" s="387" t="s">
        <v>2</v>
      </c>
      <c r="M140" s="387"/>
      <c r="N140" s="388" t="s">
        <v>1193</v>
      </c>
      <c r="O140" s="388"/>
      <c r="P140" s="206"/>
      <c r="Q140" s="206"/>
      <c r="R140" s="207" t="s">
        <v>3</v>
      </c>
      <c r="S140" s="208" t="s">
        <v>135</v>
      </c>
      <c r="T140" s="206" t="s">
        <v>133</v>
      </c>
      <c r="U140" s="204" t="s">
        <v>134</v>
      </c>
      <c r="V140" s="206"/>
      <c r="W140" s="209" t="s">
        <v>26</v>
      </c>
    </row>
    <row r="141" spans="1:53" s="139" customFormat="1" x14ac:dyDescent="0.15">
      <c r="A141" s="139">
        <v>1959</v>
      </c>
      <c r="B141" s="142">
        <f>(K6*($E6/365)) + (K7*($E7/365))</f>
        <v>56.55577299412915</v>
      </c>
      <c r="C141" s="142">
        <f>(L6*($E6/365)) + (L7*($E7/365))</f>
        <v>42.270058708414872</v>
      </c>
      <c r="D141" s="142">
        <f>(M6*($E6/365)) + (M7*($E7/365))</f>
        <v>1.1741682974559686</v>
      </c>
      <c r="E141" s="143">
        <f>B141+C141+D141</f>
        <v>99.999999999999986</v>
      </c>
      <c r="G141" s="139">
        <v>1959</v>
      </c>
      <c r="H141" s="396">
        <f>(O6/$R6*100*($E6/365))+(O7/$R7*100*($E7/365))</f>
        <v>59.743182497238152</v>
      </c>
      <c r="I141" s="396"/>
      <c r="J141" s="396">
        <f>(P6/$R6*100*($E6/365))+(P7/$R7*100*($E7/365))</f>
        <v>39.038467273930678</v>
      </c>
      <c r="K141" s="396"/>
      <c r="L141" s="396">
        <f>(Q6/$R6*100*($E6/365))+(Q7/$R7*100*($E7/365))</f>
        <v>1.2183502288311647</v>
      </c>
      <c r="M141" s="396"/>
      <c r="N141" s="400">
        <f>H141+J141+L141</f>
        <v>100</v>
      </c>
      <c r="O141" s="400"/>
      <c r="R141" s="139">
        <v>1959</v>
      </c>
      <c r="S141" s="142">
        <f>(O6*($E6/365)) + (O7*($E7/365))</f>
        <v>36.741095890410961</v>
      </c>
      <c r="T141" s="142">
        <f>(P6*($E6/365)) + (P7*($E7/365))</f>
        <v>24</v>
      </c>
      <c r="U141" s="142">
        <f>(Q6*($E6/365)) + (Q7*($E7/365))</f>
        <v>1.0684931506849313</v>
      </c>
      <c r="V141" s="142"/>
      <c r="W141" s="142">
        <f>S141+T141+U141</f>
        <v>61.80958904109589</v>
      </c>
    </row>
    <row r="142" spans="1:53" x14ac:dyDescent="0.15">
      <c r="A142" s="1">
        <v>1960</v>
      </c>
      <c r="B142" s="5">
        <f>(K8*($E8/366))+(K9*($E9/366))</f>
        <v>42.857142857142854</v>
      </c>
      <c r="C142" s="5">
        <f>(L8*($E8/366))+(L9*($E9/366))</f>
        <v>28.571428571428569</v>
      </c>
      <c r="D142" s="5">
        <f>(M8*($E8/366))+(M9*($E9/366))</f>
        <v>28.571428571428569</v>
      </c>
      <c r="E142" s="17">
        <f>B142+C142+D142</f>
        <v>99.999999999999986</v>
      </c>
      <c r="G142" s="1">
        <v>1960</v>
      </c>
      <c r="H142" s="392">
        <f>(O8/$R8*100*($E8/366))+(O9/$R9*100*($E9/366))</f>
        <v>42.987457240592931</v>
      </c>
      <c r="I142" s="392"/>
      <c r="J142" s="392">
        <f>(P8/$R8*100*($E8/366))+(P9/$R9*100*($E9/366))</f>
        <v>27.366020524515395</v>
      </c>
      <c r="K142" s="392"/>
      <c r="L142" s="392">
        <f>(Q8/$R8*100*($E8/366))+(Q9/$R9*100*($E9/366))</f>
        <v>29.646522234891677</v>
      </c>
      <c r="M142" s="392"/>
      <c r="N142" s="363">
        <f t="shared" ref="N142:N173" si="33">H142+J142+L142</f>
        <v>100</v>
      </c>
      <c r="O142" s="363"/>
      <c r="R142" s="1">
        <v>1960</v>
      </c>
      <c r="S142" s="5">
        <f>(O8*($E8/366))+(O9*($E9/366))</f>
        <v>37.700000000000003</v>
      </c>
      <c r="T142" s="5">
        <f>(P8*($E8/366))+(P9*($E9/366))</f>
        <v>24</v>
      </c>
      <c r="U142" s="5">
        <f>(Q8*($E8/366))+(Q9*($E9/366))</f>
        <v>26</v>
      </c>
      <c r="V142" s="5"/>
      <c r="W142" s="5">
        <f>S142+T142+U142</f>
        <v>87.7</v>
      </c>
    </row>
    <row r="143" spans="1:53" x14ac:dyDescent="0.15">
      <c r="A143" s="1">
        <v>1961</v>
      </c>
      <c r="B143" s="5">
        <f>(K10*($E10/365))+(K11*($E11/365))</f>
        <v>42.857142857142854</v>
      </c>
      <c r="C143" s="5">
        <f>(L10*($E10/365))+(L11*($E11/365))</f>
        <v>28.571428571428569</v>
      </c>
      <c r="D143" s="5">
        <f>(M10*($E10/365))+(M11*($E11/365))</f>
        <v>28.571428571428569</v>
      </c>
      <c r="E143" s="17">
        <f t="shared" ref="E143:E195" si="34">B143+C143+D143</f>
        <v>99.999999999999986</v>
      </c>
      <c r="G143" s="1">
        <v>1961</v>
      </c>
      <c r="H143" s="392">
        <f>(O10/$R10*100*($E10/365))+(O11/$R11*100*($E11/365))</f>
        <v>42.987457240592931</v>
      </c>
      <c r="I143" s="392"/>
      <c r="J143" s="392">
        <f>(P10/$R10*100*($E10/365))+(P11/$R11*100*($E11/365))</f>
        <v>27.366020524515395</v>
      </c>
      <c r="K143" s="392"/>
      <c r="L143" s="392">
        <f>(Q10/$R10*100*($E10/365))+(Q11/$R11*100*($E11/365))</f>
        <v>29.646522234891677</v>
      </c>
      <c r="M143" s="392"/>
      <c r="N143" s="363">
        <f t="shared" si="33"/>
        <v>100</v>
      </c>
      <c r="O143" s="363"/>
      <c r="R143" s="1">
        <v>1961</v>
      </c>
      <c r="S143" s="5">
        <f>(O10*($E10/365))+(O11*($E11/365))</f>
        <v>37.700000000000003</v>
      </c>
      <c r="T143" s="5">
        <f>(P10*($E10/365))+(P11*($E11/365))</f>
        <v>24</v>
      </c>
      <c r="U143" s="5">
        <f>(Q10*($E10/365))+(Q11*($E11/365))</f>
        <v>26</v>
      </c>
      <c r="V143" s="5"/>
      <c r="W143" s="5">
        <f t="shared" ref="W143:W195" si="35">S143+T143+U143</f>
        <v>87.7</v>
      </c>
    </row>
    <row r="144" spans="1:53" x14ac:dyDescent="0.15">
      <c r="A144" s="1">
        <v>1962</v>
      </c>
      <c r="B144" s="5">
        <f>(K12*($E12/365))+(K13*($E13/365))</f>
        <v>42.857142857142854</v>
      </c>
      <c r="C144" s="5">
        <f>(L12*($E12/365))+(L13*($E13/365))</f>
        <v>28.571428571428569</v>
      </c>
      <c r="D144" s="5">
        <f>(M12*($E12/365))+(M13*($E13/365))</f>
        <v>28.571428571428569</v>
      </c>
      <c r="E144" s="17">
        <f t="shared" si="34"/>
        <v>99.999999999999986</v>
      </c>
      <c r="G144" s="1">
        <v>1962</v>
      </c>
      <c r="H144" s="392">
        <f>(O12/$R12*100*($E12/365))+(O13/$R13*100*($E13/365))</f>
        <v>42.987457240592931</v>
      </c>
      <c r="I144" s="392"/>
      <c r="J144" s="392">
        <f>(P12/$R12*100*($E12/365))+(P13/$R13*100*($E13/365))</f>
        <v>27.366020524515395</v>
      </c>
      <c r="K144" s="392"/>
      <c r="L144" s="392">
        <f>(Q12/$R12*100*($E12/365))+(Q13/$R13*100*($E13/365))</f>
        <v>29.646522234891677</v>
      </c>
      <c r="M144" s="392"/>
      <c r="N144" s="363">
        <f t="shared" si="33"/>
        <v>100</v>
      </c>
      <c r="O144" s="363"/>
      <c r="R144" s="1">
        <v>1962</v>
      </c>
      <c r="S144" s="5">
        <f>(O12*($E12/365))+(O13*($E13/365))</f>
        <v>37.700000000000003</v>
      </c>
      <c r="T144" s="5">
        <f>(P12*($E12/365))+(P13*($E13/365))</f>
        <v>24</v>
      </c>
      <c r="U144" s="5">
        <f>(Q12*($E12/365))+(Q13*($E13/365))</f>
        <v>26</v>
      </c>
      <c r="V144" s="5"/>
      <c r="W144" s="5">
        <f t="shared" si="35"/>
        <v>87.7</v>
      </c>
    </row>
    <row r="145" spans="1:23" x14ac:dyDescent="0.15">
      <c r="A145" s="1">
        <v>1963</v>
      </c>
      <c r="B145" s="5">
        <f>(K14*($E14/365))+(K15*($E15/365))</f>
        <v>42.857142857142854</v>
      </c>
      <c r="C145" s="5">
        <f>(L14*($E14/365))+(L15*($E15/365))</f>
        <v>28.571428571428569</v>
      </c>
      <c r="D145" s="5">
        <f>(M14*($E14/365))+(M15*($E15/365))</f>
        <v>28.571428571428569</v>
      </c>
      <c r="E145" s="17">
        <f t="shared" si="34"/>
        <v>99.999999999999986</v>
      </c>
      <c r="G145" s="1">
        <v>1963</v>
      </c>
      <c r="H145" s="392">
        <f>(O14/$R14*100*($E14/365))+(O15/$R15*100*($E15/365))</f>
        <v>42.930830706231994</v>
      </c>
      <c r="I145" s="392"/>
      <c r="J145" s="392">
        <f>(P14/$R14*100*($E14/365))+(P15/$R15*100*($E15/365))</f>
        <v>27.378085531202316</v>
      </c>
      <c r="K145" s="392"/>
      <c r="L145" s="392">
        <f>(Q14/$R14*100*($E14/365))+(Q15/$R15*100*($E15/365))</f>
        <v>29.691083762565697</v>
      </c>
      <c r="M145" s="392"/>
      <c r="N145" s="363">
        <f t="shared" si="33"/>
        <v>100.00000000000001</v>
      </c>
      <c r="O145" s="363"/>
      <c r="R145" s="1">
        <v>1963</v>
      </c>
      <c r="S145" s="5">
        <f>(O14*($E14/365))+(O15*($E15/365))</f>
        <v>37.634246575342466</v>
      </c>
      <c r="T145" s="5">
        <f>(P14*($E14/365))+(P15*($E15/365))</f>
        <v>24</v>
      </c>
      <c r="U145" s="5">
        <f>(Q14*($E14/365))+(Q15*($E15/365))</f>
        <v>26.027397260273975</v>
      </c>
      <c r="V145" s="5"/>
      <c r="W145" s="5">
        <f t="shared" si="35"/>
        <v>87.661643835616445</v>
      </c>
    </row>
    <row r="146" spans="1:23" x14ac:dyDescent="0.15">
      <c r="A146" s="1">
        <v>1964</v>
      </c>
      <c r="B146" s="5">
        <f>(K16*($E16/366))+(K17*($E17/366))</f>
        <v>42.857142857142854</v>
      </c>
      <c r="C146" s="5">
        <f>(L16*($E16/366))+(L17*($E17/366))</f>
        <v>28.571428571428569</v>
      </c>
      <c r="D146" s="5">
        <f>(M16*($E16/366))+(M17*($E17/366))</f>
        <v>28.571428571428569</v>
      </c>
      <c r="E146" s="17">
        <f t="shared" si="34"/>
        <v>99.999999999999986</v>
      </c>
      <c r="G146" s="1">
        <v>1964</v>
      </c>
      <c r="H146" s="392">
        <f>(O16/$R16*100*($E16/366))+(O17/$R17*100*($E17/366))</f>
        <v>41.954022988505749</v>
      </c>
      <c r="I146" s="392"/>
      <c r="J146" s="392">
        <f>(P16/$R16*100*($E16/366))+(P17/$R17*100*($E17/366))</f>
        <v>27.586206896551722</v>
      </c>
      <c r="K146" s="392"/>
      <c r="L146" s="392">
        <f>(Q16/$R16*100*($E16/366))+(Q17/$R17*100*($E17/366))</f>
        <v>30.459770114942529</v>
      </c>
      <c r="M146" s="392"/>
      <c r="N146" s="363">
        <f t="shared" si="33"/>
        <v>100</v>
      </c>
      <c r="O146" s="363"/>
      <c r="R146" s="1">
        <v>1964</v>
      </c>
      <c r="S146" s="5">
        <f>(O16*($E16/366))+(O17*($E17/366))</f>
        <v>36.5</v>
      </c>
      <c r="T146" s="5">
        <f>(P16*($E16/366))+(P17*($E17/366))</f>
        <v>24</v>
      </c>
      <c r="U146" s="5">
        <f>(Q16*($E16/366))+(Q17*($E17/366))</f>
        <v>26.5</v>
      </c>
      <c r="V146" s="5"/>
      <c r="W146" s="5">
        <f t="shared" si="35"/>
        <v>87</v>
      </c>
    </row>
    <row r="147" spans="1:23" x14ac:dyDescent="0.15">
      <c r="A147" s="1">
        <v>1965</v>
      </c>
      <c r="B147" s="5">
        <f>(K18*($E18/365))+(K19*($E19/365))</f>
        <v>42.857142857142854</v>
      </c>
      <c r="C147" s="5">
        <f>(L18*($E18/365))+(L19*($E19/365))</f>
        <v>28.571428571428569</v>
      </c>
      <c r="D147" s="5">
        <f>(M18*($E18/365))+(M19*($E19/365))</f>
        <v>28.571428571428569</v>
      </c>
      <c r="E147" s="17">
        <f t="shared" si="34"/>
        <v>99.999999999999986</v>
      </c>
      <c r="G147" s="1">
        <v>1965</v>
      </c>
      <c r="H147" s="392">
        <f>(O18/$R18*100*($E18/365))+(O19/$R19*100*($E19/365))</f>
        <v>41.954022988505749</v>
      </c>
      <c r="I147" s="392"/>
      <c r="J147" s="392">
        <f>(P18/$R18*100*($E18/365))+(P19/$R19*100*($E19/365))</f>
        <v>27.586206896551722</v>
      </c>
      <c r="K147" s="392"/>
      <c r="L147" s="392">
        <f>(Q18/$R18*100*($E18/365))+(Q19/$R19*100*($E19/365))</f>
        <v>30.459770114942529</v>
      </c>
      <c r="M147" s="392"/>
      <c r="N147" s="363">
        <f t="shared" si="33"/>
        <v>100</v>
      </c>
      <c r="O147" s="363"/>
      <c r="R147" s="1">
        <v>1965</v>
      </c>
      <c r="S147" s="5">
        <f>(O18*($E18/365))+(O19*($E19/365))</f>
        <v>36.5</v>
      </c>
      <c r="T147" s="5">
        <f>(P18*($E18/365))+(P19*($E19/365))</f>
        <v>24</v>
      </c>
      <c r="U147" s="5">
        <f>(Q18*($E18/365))+(Q19*($E19/365))</f>
        <v>26.5</v>
      </c>
      <c r="V147" s="5"/>
      <c r="W147" s="5">
        <f t="shared" si="35"/>
        <v>87</v>
      </c>
    </row>
    <row r="148" spans="1:23" x14ac:dyDescent="0.15">
      <c r="A148" s="1">
        <v>1966</v>
      </c>
      <c r="B148" s="5">
        <f>(K20*($E20/365))+(K21*($E21/365))</f>
        <v>42.857142857142854</v>
      </c>
      <c r="C148" s="5">
        <f>(L20*($E20/365))+(L21*($E21/365))</f>
        <v>28.571428571428569</v>
      </c>
      <c r="D148" s="5">
        <f>(M20*($E20/365))+(M21*($E21/365))</f>
        <v>28.571428571428569</v>
      </c>
      <c r="E148" s="17">
        <f t="shared" si="34"/>
        <v>99.999999999999986</v>
      </c>
      <c r="G148" s="1">
        <v>1966</v>
      </c>
      <c r="H148" s="392">
        <f>(O20/$R20*100*($E20/365))+(O21/$R21*100*($E21/365))</f>
        <v>41.954022988505749</v>
      </c>
      <c r="I148" s="392"/>
      <c r="J148" s="392">
        <f>(P20/$R20*100*($E20/365))+(P21/$R21*100*($E21/365))</f>
        <v>27.586206896551722</v>
      </c>
      <c r="K148" s="392"/>
      <c r="L148" s="392">
        <f>(Q20/$R20*100*($E20/365))+(Q21/$R21*100*($E21/365))</f>
        <v>30.459770114942529</v>
      </c>
      <c r="M148" s="392"/>
      <c r="N148" s="363">
        <f t="shared" si="33"/>
        <v>100</v>
      </c>
      <c r="O148" s="363"/>
      <c r="R148" s="1">
        <v>1966</v>
      </c>
      <c r="S148" s="5">
        <f>(O20*($E20/365))+(O21*($E21/365))</f>
        <v>36.5</v>
      </c>
      <c r="T148" s="5">
        <f>(P20*($E20/365))+(P21*($E21/365))</f>
        <v>24</v>
      </c>
      <c r="U148" s="5">
        <f>(Q20*($E20/365))+(Q21*($E21/365))</f>
        <v>26.5</v>
      </c>
      <c r="V148" s="5"/>
      <c r="W148" s="5">
        <f t="shared" si="35"/>
        <v>87</v>
      </c>
    </row>
    <row r="149" spans="1:23" x14ac:dyDescent="0.15">
      <c r="A149" s="1">
        <v>1967</v>
      </c>
      <c r="B149" s="5">
        <f>(K22*($E22/365))+(K23*($E23/365))</f>
        <v>42.857142857142854</v>
      </c>
      <c r="C149" s="5">
        <f>(L22*($E22/365))+(L23*($E23/365))</f>
        <v>28.571428571428569</v>
      </c>
      <c r="D149" s="5">
        <f>(M22*($E22/365))+(M23*($E23/365))</f>
        <v>28.571428571428569</v>
      </c>
      <c r="E149" s="17">
        <f t="shared" si="34"/>
        <v>99.999999999999986</v>
      </c>
      <c r="G149" s="1">
        <v>1967</v>
      </c>
      <c r="H149" s="392">
        <f>(O22/$R22*100*($E22/365))+(O23/$R23*100*($E23/365))</f>
        <v>41.955199162260762</v>
      </c>
      <c r="I149" s="392"/>
      <c r="J149" s="392">
        <f>(P22/$R22*100*($E22/365))+(P23/$R23*100*($E23/365))</f>
        <v>27.583588961419604</v>
      </c>
      <c r="K149" s="392"/>
      <c r="L149" s="392">
        <f>(Q22/$R22*100*($E22/365))+(Q23/$R23*100*($E23/365))</f>
        <v>30.461211876319638</v>
      </c>
      <c r="M149" s="392"/>
      <c r="N149" s="363">
        <f t="shared" si="33"/>
        <v>100</v>
      </c>
      <c r="O149" s="363"/>
      <c r="R149" s="1">
        <v>1967</v>
      </c>
      <c r="S149" s="5">
        <f>(O22*($E22/365))+(O23*($E23/365))</f>
        <v>36.491780821917814</v>
      </c>
      <c r="T149" s="5">
        <f>(P22*($E22/365))+(P23*($E23/365))</f>
        <v>23.991780821917811</v>
      </c>
      <c r="U149" s="5">
        <f>(Q22*($E22/365))+(Q23*($E23/365))</f>
        <v>26.494520547945204</v>
      </c>
      <c r="V149" s="5"/>
      <c r="W149" s="5">
        <f t="shared" si="35"/>
        <v>86.978082191780828</v>
      </c>
    </row>
    <row r="150" spans="1:23" x14ac:dyDescent="0.15">
      <c r="A150" s="1">
        <v>1968</v>
      </c>
      <c r="B150" s="5">
        <f>(K24*($E24/366))+(K25*($E25/366))</f>
        <v>42.857142857142854</v>
      </c>
      <c r="C150" s="5">
        <f>(L24*($E24/366))+(L25*($E25/366))</f>
        <v>28.571428571428569</v>
      </c>
      <c r="D150" s="5">
        <f>(M24*($E24/366))+(M25*($E25/366))</f>
        <v>28.571428571428569</v>
      </c>
      <c r="E150" s="17">
        <f t="shared" si="34"/>
        <v>99.999999999999986</v>
      </c>
      <c r="G150" s="1">
        <v>1968</v>
      </c>
      <c r="H150" s="392">
        <f>(O24/$R24*100*($E24/366))+(O25/$R25*100*($E25/366))</f>
        <v>42.168674698795186</v>
      </c>
      <c r="I150" s="392"/>
      <c r="J150" s="392">
        <f>(P24/$R24*100*($E24/366))+(P25/$R25*100*($E25/366))</f>
        <v>27.108433734939759</v>
      </c>
      <c r="K150" s="392"/>
      <c r="L150" s="392">
        <f>(Q24/$R24*100*($E24/366))+(Q25/$R25*100*($E25/366))</f>
        <v>30.722891566265059</v>
      </c>
      <c r="M150" s="392"/>
      <c r="N150" s="363">
        <f t="shared" si="33"/>
        <v>100.00000000000001</v>
      </c>
      <c r="O150" s="363"/>
      <c r="R150" s="1">
        <v>1968</v>
      </c>
      <c r="S150" s="5">
        <f>(O24*($E24/366))+(O25*($E25/366))</f>
        <v>35</v>
      </c>
      <c r="T150" s="5">
        <f>(P24*($E24/366))+(P25*($E25/366))</f>
        <v>22.5</v>
      </c>
      <c r="U150" s="5">
        <f>(Q24*($E24/366))+(Q25*($E25/366))</f>
        <v>25.5</v>
      </c>
      <c r="V150" s="5"/>
      <c r="W150" s="5">
        <f t="shared" si="35"/>
        <v>83</v>
      </c>
    </row>
    <row r="151" spans="1:23" x14ac:dyDescent="0.15">
      <c r="A151" s="1">
        <v>1969</v>
      </c>
      <c r="B151" s="5">
        <f>(K26*($E26/365))+(K27*($E27/365))</f>
        <v>42.857142857142854</v>
      </c>
      <c r="C151" s="5">
        <f>(L26*($E26/365))+(L27*($E27/365))</f>
        <v>28.571428571428569</v>
      </c>
      <c r="D151" s="5">
        <f>(M26*($E26/365))+(M27*($E27/365))</f>
        <v>28.571428571428569</v>
      </c>
      <c r="E151" s="17">
        <f t="shared" si="34"/>
        <v>99.999999999999986</v>
      </c>
      <c r="G151" s="1">
        <v>1969</v>
      </c>
      <c r="H151" s="392">
        <f>(O26/$R26*100*($E26/365))+(O27/$R27*100*($E27/365))</f>
        <v>42.168674698795186</v>
      </c>
      <c r="I151" s="392"/>
      <c r="J151" s="392">
        <f>(P26/$R26*100*($E26/365))+(P27/$R27*100*($E27/365))</f>
        <v>27.108433734939759</v>
      </c>
      <c r="K151" s="392"/>
      <c r="L151" s="392">
        <f>(Q26/$R26*100*($E26/365))+(Q27/$R27*100*($E27/365))</f>
        <v>30.722891566265059</v>
      </c>
      <c r="M151" s="392"/>
      <c r="N151" s="363">
        <f t="shared" si="33"/>
        <v>100.00000000000001</v>
      </c>
      <c r="O151" s="363"/>
      <c r="R151" s="1">
        <v>1969</v>
      </c>
      <c r="S151" s="5">
        <f>(O26*($E26/365))+(O27*($E27/365))</f>
        <v>35</v>
      </c>
      <c r="T151" s="5">
        <f>(P26*($E26/365))+(P27*($E27/365))</f>
        <v>22.5</v>
      </c>
      <c r="U151" s="5">
        <f>(Q26*($E26/365))+(Q27*($E27/365))</f>
        <v>25.5</v>
      </c>
      <c r="V151" s="5"/>
      <c r="W151" s="5">
        <f t="shared" si="35"/>
        <v>83</v>
      </c>
    </row>
    <row r="152" spans="1:23" x14ac:dyDescent="0.15">
      <c r="A152" s="1">
        <v>1970</v>
      </c>
      <c r="B152" s="5">
        <f>(K28*($E28/365))+(K29*($E29/365))</f>
        <v>42.857142857142854</v>
      </c>
      <c r="C152" s="5">
        <f>(L28*($E28/365))+(L29*($E29/365))</f>
        <v>28.571428571428569</v>
      </c>
      <c r="D152" s="5">
        <f>(M28*($E28/365))+(M29*($E29/365))</f>
        <v>28.571428571428569</v>
      </c>
      <c r="E152" s="17">
        <f t="shared" si="34"/>
        <v>99.999999999999986</v>
      </c>
      <c r="G152" s="1">
        <v>1970</v>
      </c>
      <c r="H152" s="392">
        <f>(O28/$R28*100*($E28/365))+(O29/$R29*100*($E29/365))</f>
        <v>42.168674698795186</v>
      </c>
      <c r="I152" s="392"/>
      <c r="J152" s="392">
        <f>(P28/$R28*100*($E28/365))+(P29/$R29*100*($E29/365))</f>
        <v>27.108433734939759</v>
      </c>
      <c r="K152" s="392"/>
      <c r="L152" s="392">
        <f>(Q28/$R28*100*($E28/365))+(Q29/$R29*100*($E29/365))</f>
        <v>30.722891566265059</v>
      </c>
      <c r="M152" s="392"/>
      <c r="N152" s="363">
        <f t="shared" si="33"/>
        <v>100.00000000000001</v>
      </c>
      <c r="O152" s="363"/>
      <c r="R152" s="1">
        <v>1970</v>
      </c>
      <c r="S152" s="5">
        <f>(O28*($E28/365))+(O29*($E29/365))</f>
        <v>35</v>
      </c>
      <c r="T152" s="5">
        <f>(P28*($E28/365))+(P29*($E29/365))</f>
        <v>22.5</v>
      </c>
      <c r="U152" s="5">
        <f>(Q28*($E28/365))+(Q29*($E29/365))</f>
        <v>25.5</v>
      </c>
      <c r="V152" s="5"/>
      <c r="W152" s="5">
        <f t="shared" si="35"/>
        <v>83</v>
      </c>
    </row>
    <row r="153" spans="1:23" x14ac:dyDescent="0.15">
      <c r="A153" s="1">
        <v>1971</v>
      </c>
      <c r="B153" s="5">
        <f>(K30*($E30/365))+(K31*($E31/365))</f>
        <v>42.857142857142854</v>
      </c>
      <c r="C153" s="5">
        <f>(L30*($E30/365))+(L31*($E31/365))</f>
        <v>28.571428571428569</v>
      </c>
      <c r="D153" s="5">
        <f>(M30*($E30/365))+(M31*($E31/365))</f>
        <v>28.571428571428569</v>
      </c>
      <c r="E153" s="17">
        <f t="shared" si="34"/>
        <v>99.999999999999986</v>
      </c>
      <c r="G153" s="1">
        <v>1971</v>
      </c>
      <c r="H153" s="392">
        <f>(O30/$R30*100*($E30/365))+(O31/$R31*100*($E31/365))</f>
        <v>42.318314353303634</v>
      </c>
      <c r="I153" s="392"/>
      <c r="J153" s="392">
        <f>(P30/$R30*100*($E30/365))+(P31/$R31*100*($E31/365))</f>
        <v>27.111856864291259</v>
      </c>
      <c r="K153" s="392"/>
      <c r="L153" s="392">
        <f>(Q30/$R30*100*($E30/365))+(Q31/$R31*100*($E31/365))</f>
        <v>30.569828782405114</v>
      </c>
      <c r="M153" s="392"/>
      <c r="N153" s="363">
        <f t="shared" si="33"/>
        <v>100</v>
      </c>
      <c r="O153" s="363"/>
      <c r="R153" s="1">
        <v>1971</v>
      </c>
      <c r="S153" s="5">
        <f>(O30*($E30/365))+(O31*($E31/365))</f>
        <v>35.065753424657537</v>
      </c>
      <c r="T153" s="5">
        <f>(P30*($E30/365))+(P31*($E31/365))</f>
        <v>22.467123287671232</v>
      </c>
      <c r="U153" s="5">
        <f>(Q30*($E30/365))+(Q31*($E31/365))</f>
        <v>25.335616438356166</v>
      </c>
      <c r="V153" s="5"/>
      <c r="W153" s="5">
        <f t="shared" si="35"/>
        <v>82.868493150684941</v>
      </c>
    </row>
    <row r="154" spans="1:23" x14ac:dyDescent="0.15">
      <c r="A154" s="1">
        <v>1972</v>
      </c>
      <c r="B154" s="5">
        <f>(K32*($E32/366))+(K33*($E33/366))</f>
        <v>42.857142857142854</v>
      </c>
      <c r="C154" s="5">
        <f>(L32*($E32/366))+(L33*($E33/366))</f>
        <v>28.571428571428569</v>
      </c>
      <c r="D154" s="5">
        <f>(M32*($E32/366))+(M33*($E33/366))</f>
        <v>28.571428571428569</v>
      </c>
      <c r="E154" s="17">
        <f t="shared" si="34"/>
        <v>99.999999999999986</v>
      </c>
      <c r="G154" s="1">
        <v>1972</v>
      </c>
      <c r="H154" s="392">
        <f>(O32/$R32*100*($E32/366))+(O33/$R33*100*($E33/366))</f>
        <v>44.444444444444443</v>
      </c>
      <c r="I154" s="392"/>
      <c r="J154" s="392">
        <f>(P32/$R32*100*($E32/366))+(P33/$R33*100*($E33/366))</f>
        <v>27.160493827160494</v>
      </c>
      <c r="K154" s="392"/>
      <c r="L154" s="392">
        <f>(Q32/$R32*100*($E32/366))+(Q33/$R33*100*($E33/366))</f>
        <v>28.39506172839506</v>
      </c>
      <c r="M154" s="392"/>
      <c r="N154" s="363">
        <f t="shared" si="33"/>
        <v>100</v>
      </c>
      <c r="O154" s="363"/>
      <c r="R154" s="1">
        <v>1972</v>
      </c>
      <c r="S154" s="5">
        <f>(O32*($E32/366))+(O33*($E33/366))</f>
        <v>36</v>
      </c>
      <c r="T154" s="5">
        <f>(P32*($E32/366))+(P33*($E33/366))</f>
        <v>22</v>
      </c>
      <c r="U154" s="5">
        <f>(Q32*($E32/366))+(Q33*($E33/366))</f>
        <v>23</v>
      </c>
      <c r="V154" s="5"/>
      <c r="W154" s="5">
        <f t="shared" si="35"/>
        <v>81</v>
      </c>
    </row>
    <row r="155" spans="1:23" x14ac:dyDescent="0.15">
      <c r="A155" s="1">
        <v>1973</v>
      </c>
      <c r="B155" s="5">
        <f>(K34*($E34/365))+(K35*($E35/365))</f>
        <v>42.857142857142854</v>
      </c>
      <c r="C155" s="5">
        <f>(L34*($E34/365))+(L35*($E35/365))</f>
        <v>28.571428571428569</v>
      </c>
      <c r="D155" s="5">
        <f>(M34*($E34/365))+(M35*($E35/365))</f>
        <v>28.571428571428569</v>
      </c>
      <c r="E155" s="17">
        <f t="shared" si="34"/>
        <v>99.999999999999986</v>
      </c>
      <c r="G155" s="1">
        <v>1973</v>
      </c>
      <c r="H155" s="392">
        <f>(O34/$R34*100*($E34/365))+(O35/$R35*100*($E35/365))</f>
        <v>44.444444444444443</v>
      </c>
      <c r="I155" s="392"/>
      <c r="J155" s="392">
        <f>(P34/$R34*100*($E34/365))+(P35/$R35*100*($E35/365))</f>
        <v>27.160493827160494</v>
      </c>
      <c r="K155" s="392"/>
      <c r="L155" s="392">
        <f>(Q34/$R34*100*($E34/365))+(Q35/$R35*100*($E35/365))</f>
        <v>28.39506172839506</v>
      </c>
      <c r="M155" s="392"/>
      <c r="N155" s="363">
        <f t="shared" si="33"/>
        <v>100</v>
      </c>
      <c r="O155" s="363"/>
      <c r="R155" s="1">
        <v>1973</v>
      </c>
      <c r="S155" s="5">
        <f>(O34*($E34/365))+(O35*($E35/365))</f>
        <v>36</v>
      </c>
      <c r="T155" s="5">
        <f>(P34*($E34/365))+(P35*($E35/365))</f>
        <v>22</v>
      </c>
      <c r="U155" s="5">
        <f>(Q34*($E34/365))+(Q35*($E35/365))</f>
        <v>23</v>
      </c>
      <c r="V155" s="5"/>
      <c r="W155" s="5">
        <f t="shared" si="35"/>
        <v>81</v>
      </c>
    </row>
    <row r="156" spans="1:23" x14ac:dyDescent="0.15">
      <c r="A156" s="1">
        <v>1974</v>
      </c>
      <c r="B156" s="5">
        <f>(K36*($E36/365))+(K37*($E37/365))</f>
        <v>42.857142857142854</v>
      </c>
      <c r="C156" s="5">
        <f>(L36*($E36/365))+(L37*($E37/365))</f>
        <v>28.571428571428569</v>
      </c>
      <c r="D156" s="5">
        <f>(M36*($E36/365))+(M37*($E37/365))</f>
        <v>28.571428571428569</v>
      </c>
      <c r="E156" s="17">
        <f t="shared" si="34"/>
        <v>99.999999999999986</v>
      </c>
      <c r="G156" s="1">
        <v>1974</v>
      </c>
      <c r="H156" s="392">
        <f>(O36/$R36*100*($E36/365))+(O37/$R37*100*($E37/365))</f>
        <v>44.444444444444443</v>
      </c>
      <c r="I156" s="392"/>
      <c r="J156" s="392">
        <f>(P36/$R36*100*($E36/365))+(P37/$R37*100*($E37/365))</f>
        <v>27.160493827160494</v>
      </c>
      <c r="K156" s="392"/>
      <c r="L156" s="392">
        <f>(Q36/$R36*100*($E36/365))+(Q37/$R37*100*($E37/365))</f>
        <v>28.39506172839506</v>
      </c>
      <c r="M156" s="392"/>
      <c r="N156" s="363">
        <f t="shared" si="33"/>
        <v>100</v>
      </c>
      <c r="O156" s="363"/>
      <c r="R156" s="1">
        <v>1974</v>
      </c>
      <c r="S156" s="5">
        <f>(O36*($E36/365))+(O37*($E37/365))</f>
        <v>36</v>
      </c>
      <c r="T156" s="5">
        <f>(P36*($E36/365))+(P37*($E37/365))</f>
        <v>22</v>
      </c>
      <c r="U156" s="5">
        <f>(Q36*($E36/365))+(Q37*($E37/365))</f>
        <v>23</v>
      </c>
      <c r="V156" s="5"/>
      <c r="W156" s="5">
        <f t="shared" si="35"/>
        <v>81</v>
      </c>
    </row>
    <row r="157" spans="1:23" x14ac:dyDescent="0.15">
      <c r="A157" s="1">
        <v>1975</v>
      </c>
      <c r="B157" s="5">
        <f>(K38*($E38/365))+(K39*($E39/365))</f>
        <v>42.857142857142854</v>
      </c>
      <c r="C157" s="5">
        <f>(L38*($E38/365))+(L39*($E39/365))</f>
        <v>28.571428571428569</v>
      </c>
      <c r="D157" s="5">
        <f>(M38*($E38/365))+(M39*($E39/365))</f>
        <v>28.571428571428569</v>
      </c>
      <c r="E157" s="17">
        <f t="shared" si="34"/>
        <v>99.999999999999986</v>
      </c>
      <c r="G157" s="1">
        <v>1975</v>
      </c>
      <c r="H157" s="392">
        <f>(O38/$R38*100*($E38/365))+(O39/$R39*100*($E39/365))</f>
        <v>44.190826150784005</v>
      </c>
      <c r="I157" s="392"/>
      <c r="J157" s="392">
        <f>(P38/$R38*100*($E38/365))+(P39/$R39*100*($E39/365))</f>
        <v>27.164016303461331</v>
      </c>
      <c r="K157" s="392"/>
      <c r="L157" s="392">
        <f>(Q38/$R38*100*($E38/365))+(Q39/$R39*100*($E39/365))</f>
        <v>28.645157545754664</v>
      </c>
      <c r="M157" s="392"/>
      <c r="N157" s="363">
        <f t="shared" si="33"/>
        <v>100</v>
      </c>
      <c r="O157" s="363"/>
      <c r="R157" s="1">
        <v>1975</v>
      </c>
      <c r="S157" s="5">
        <f>(O38*($E38/365))+(O39*($E39/365))</f>
        <v>35.87945205479452</v>
      </c>
      <c r="T157" s="5">
        <f>(P38*($E38/365))+(P39*($E39/365))</f>
        <v>22.06027397260274</v>
      </c>
      <c r="U157" s="5">
        <f>(Q38*($E38/365))+(Q39*($E39/365))</f>
        <v>23.271232876712329</v>
      </c>
      <c r="V157" s="5"/>
      <c r="W157" s="5">
        <f t="shared" si="35"/>
        <v>81.210958904109589</v>
      </c>
    </row>
    <row r="158" spans="1:23" x14ac:dyDescent="0.15">
      <c r="A158" s="1">
        <v>1976</v>
      </c>
      <c r="B158" s="5">
        <f>(K40*($E40/366))+(K41*($E41/366))</f>
        <v>42.857142857142854</v>
      </c>
      <c r="C158" s="5">
        <f>(L40*($E40/366))+(L41*($E41/366))</f>
        <v>28.571428571428569</v>
      </c>
      <c r="D158" s="5">
        <f>(M40*($E40/366))+(M41*($E41/366))</f>
        <v>28.571428571428569</v>
      </c>
      <c r="E158" s="17">
        <f t="shared" si="34"/>
        <v>99.999999999999986</v>
      </c>
      <c r="G158" s="1">
        <v>1976</v>
      </c>
      <c r="H158" s="392">
        <f>(O40/$R40*100*($E40/366))+(O41/$R41*100*($E41/366))</f>
        <v>40.236686390532547</v>
      </c>
      <c r="I158" s="392"/>
      <c r="J158" s="392">
        <f>(P40/$R40*100*($E40/366))+(P41/$R41*100*($E41/366))</f>
        <v>27.218934911242602</v>
      </c>
      <c r="K158" s="392"/>
      <c r="L158" s="392">
        <f>(Q40/$R40*100*($E40/366))+(Q41/$R41*100*($E41/366))</f>
        <v>32.544378698224854</v>
      </c>
      <c r="M158" s="392"/>
      <c r="N158" s="363">
        <f t="shared" si="33"/>
        <v>100</v>
      </c>
      <c r="O158" s="363"/>
      <c r="R158" s="1">
        <v>1976</v>
      </c>
      <c r="S158" s="5">
        <f>(O40*($E40/366))+(O41*($E41/366))</f>
        <v>34</v>
      </c>
      <c r="T158" s="5">
        <f>(P40*($E40/366))+(P41*($E41/366))</f>
        <v>23</v>
      </c>
      <c r="U158" s="5">
        <f>(Q40*($E40/366))+(Q41*($E41/366))</f>
        <v>27.5</v>
      </c>
      <c r="V158" s="5"/>
      <c r="W158" s="5">
        <f t="shared" si="35"/>
        <v>84.5</v>
      </c>
    </row>
    <row r="159" spans="1:23" x14ac:dyDescent="0.15">
      <c r="A159" s="1">
        <v>1977</v>
      </c>
      <c r="B159" s="5">
        <f>(K42*($E42/365))+(K43*($E43/365))</f>
        <v>42.857142857142854</v>
      </c>
      <c r="C159" s="5">
        <f>(L42*($E42/365))+(L43*($E43/365))</f>
        <v>28.571428571428569</v>
      </c>
      <c r="D159" s="5">
        <f>(M42*($E42/365))+(M43*($E43/365))</f>
        <v>28.571428571428569</v>
      </c>
      <c r="E159" s="17">
        <f t="shared" si="34"/>
        <v>99.999999999999986</v>
      </c>
      <c r="G159" s="1">
        <v>1977</v>
      </c>
      <c r="H159" s="392">
        <f>(O42/$R42*100*($E42/365))+(O43/$R43*100*($E43/365))</f>
        <v>40.236686390532547</v>
      </c>
      <c r="I159" s="392"/>
      <c r="J159" s="392">
        <f>(P42/$R42*100*($E42/365))+(P43/$R43*100*($E43/365))</f>
        <v>27.218934911242602</v>
      </c>
      <c r="K159" s="392"/>
      <c r="L159" s="392">
        <f>(Q42/$R42*100*($E42/365))+(Q43/$R43*100*($E43/365))</f>
        <v>32.544378698224854</v>
      </c>
      <c r="M159" s="392"/>
      <c r="N159" s="363">
        <f t="shared" si="33"/>
        <v>100</v>
      </c>
      <c r="O159" s="363"/>
      <c r="R159" s="1">
        <v>1977</v>
      </c>
      <c r="S159" s="5">
        <f>(O42*($E42/365))+(O43*($E43/365))</f>
        <v>34</v>
      </c>
      <c r="T159" s="5">
        <f>(P42*($E42/365))+(P43*($E43/365))</f>
        <v>23</v>
      </c>
      <c r="U159" s="5">
        <f>(Q42*($E42/365))+(Q43*($E43/365))</f>
        <v>27.5</v>
      </c>
      <c r="V159" s="5"/>
      <c r="W159" s="5">
        <f t="shared" si="35"/>
        <v>84.5</v>
      </c>
    </row>
    <row r="160" spans="1:23" x14ac:dyDescent="0.15">
      <c r="A160" s="1">
        <v>1978</v>
      </c>
      <c r="B160" s="5">
        <f>(K44*($E44/365))+(K45*($E45/365))</f>
        <v>42.857142857142854</v>
      </c>
      <c r="C160" s="5">
        <f>(L44*($E44/365))+(L45*($E45/365))</f>
        <v>28.571428571428569</v>
      </c>
      <c r="D160" s="5">
        <f>(M44*($E44/365))+(M45*($E45/365))</f>
        <v>28.571428571428569</v>
      </c>
      <c r="E160" s="17">
        <f t="shared" si="34"/>
        <v>99.999999999999986</v>
      </c>
      <c r="G160" s="1">
        <v>1978</v>
      </c>
      <c r="H160" s="392">
        <f>(O44/$R44*100*($E44/365))+(O45/$R45*100*($E45/365))</f>
        <v>40.236686390532547</v>
      </c>
      <c r="I160" s="392"/>
      <c r="J160" s="392">
        <f>(P44/$R44*100*($E44/365))+(P45/$R45*100*($E45/365))</f>
        <v>27.218934911242602</v>
      </c>
      <c r="K160" s="392"/>
      <c r="L160" s="392">
        <f>(Q44/$R44*100*($E44/365))+(Q45/$R45*100*($E45/365))</f>
        <v>32.544378698224854</v>
      </c>
      <c r="M160" s="392"/>
      <c r="N160" s="363">
        <f t="shared" si="33"/>
        <v>100</v>
      </c>
      <c r="O160" s="363"/>
      <c r="R160" s="1">
        <v>1978</v>
      </c>
      <c r="S160" s="5">
        <f>(O44*($E44/365))+(O45*($E45/365))</f>
        <v>34</v>
      </c>
      <c r="T160" s="5">
        <f>(P44*($E44/365))+(P45*($E45/365))</f>
        <v>23</v>
      </c>
      <c r="U160" s="5">
        <f>(Q44*($E44/365))+(Q45*($E45/365))</f>
        <v>27.5</v>
      </c>
      <c r="V160" s="5"/>
      <c r="W160" s="5">
        <f t="shared" si="35"/>
        <v>84.5</v>
      </c>
    </row>
    <row r="161" spans="1:23" x14ac:dyDescent="0.15">
      <c r="A161" s="1">
        <v>1979</v>
      </c>
      <c r="B161" s="5">
        <f>(K46*($E46/365))+(K47*($E47/365))</f>
        <v>42.857142857142847</v>
      </c>
      <c r="C161" s="5">
        <f>(L46*($E46/365))+(L47*($E47/365))</f>
        <v>28.571428571428566</v>
      </c>
      <c r="D161" s="5">
        <f>(M46*($E46/365))+(M47*($E47/365))</f>
        <v>28.571428571428566</v>
      </c>
      <c r="E161" s="17">
        <f t="shared" si="34"/>
        <v>99.999999999999986</v>
      </c>
      <c r="G161" s="1">
        <v>1979</v>
      </c>
      <c r="H161" s="392">
        <f>(O46/$R46*100*($E46/365))+(O47/$R47*100*($E47/365))</f>
        <v>40.285320580368001</v>
      </c>
      <c r="I161" s="392"/>
      <c r="J161" s="392">
        <f>(P46/$R46*100*($E46/365))+(P47/$R47*100*($E47/365))</f>
        <v>27.202723514630783</v>
      </c>
      <c r="K161" s="392"/>
      <c r="L161" s="392">
        <f>(Q46/$R46*100*($E46/365))+(Q47/$R47*100*($E47/365))</f>
        <v>32.511955905001216</v>
      </c>
      <c r="M161" s="392"/>
      <c r="N161" s="363">
        <f t="shared" si="33"/>
        <v>100</v>
      </c>
      <c r="O161" s="363"/>
      <c r="R161" s="1">
        <v>1979</v>
      </c>
      <c r="S161" s="5">
        <f>(O46*($E46/365))+(O47*($E47/365))</f>
        <v>34.041095890410958</v>
      </c>
      <c r="T161" s="5">
        <f>(P46*($E46/365))+(P47*($E47/365))</f>
        <v>22.986301369863011</v>
      </c>
      <c r="U161" s="5">
        <f>(Q46*($E46/365))+(Q47*($E47/365))</f>
        <v>27.472602739726028</v>
      </c>
      <c r="V161" s="5"/>
      <c r="W161" s="5">
        <f t="shared" si="35"/>
        <v>84.5</v>
      </c>
    </row>
    <row r="162" spans="1:23" x14ac:dyDescent="0.15">
      <c r="A162" s="1">
        <v>1980</v>
      </c>
      <c r="B162" s="5">
        <f>(K48*($E48/366))+(K49*($E49/366))</f>
        <v>42.857142857142854</v>
      </c>
      <c r="C162" s="5">
        <f>(L48*($E48/366))+(L49*($E49/366))</f>
        <v>28.571428571428569</v>
      </c>
      <c r="D162" s="5">
        <f>(M48*($E48/366))+(M49*($E49/366))</f>
        <v>28.571428571428569</v>
      </c>
      <c r="E162" s="17">
        <f t="shared" si="34"/>
        <v>99.999999999999986</v>
      </c>
      <c r="G162" s="1">
        <v>1980</v>
      </c>
      <c r="H162" s="392">
        <f>(O48/$R48*100*($E48/366))+(O49/$R49*100*($E49/366))</f>
        <v>43.786982248520715</v>
      </c>
      <c r="I162" s="392"/>
      <c r="J162" s="392">
        <f>(P48/$R48*100*($E48/366))+(P49/$R49*100*($E49/366))</f>
        <v>26.035502958579883</v>
      </c>
      <c r="K162" s="392"/>
      <c r="L162" s="392">
        <f>(Q48/$R48*100*($E48/366))+(Q49/$R49*100*($E49/366))</f>
        <v>30.177514792899409</v>
      </c>
      <c r="M162" s="392"/>
      <c r="N162" s="363">
        <f t="shared" si="33"/>
        <v>100</v>
      </c>
      <c r="O162" s="363"/>
      <c r="R162" s="1">
        <v>1980</v>
      </c>
      <c r="S162" s="5">
        <f>(O48*($E48/366))+(O49*($E49/366))</f>
        <v>37</v>
      </c>
      <c r="T162" s="5">
        <f>(P48*($E48/366))+(P49*($E49/366))</f>
        <v>22</v>
      </c>
      <c r="U162" s="5">
        <f>(Q48*($E48/366))+(Q49*($E49/366))</f>
        <v>25.5</v>
      </c>
      <c r="V162" s="5"/>
      <c r="W162" s="5">
        <f t="shared" si="35"/>
        <v>84.5</v>
      </c>
    </row>
    <row r="163" spans="1:23" x14ac:dyDescent="0.15">
      <c r="A163" s="1">
        <v>1981</v>
      </c>
      <c r="B163" s="5">
        <f>(K50*($E50/365))+(K51*($E51/365))</f>
        <v>42.857142857142854</v>
      </c>
      <c r="C163" s="5">
        <f>(L50*($E50/365))+(L51*($E51/365))</f>
        <v>28.571428571428569</v>
      </c>
      <c r="D163" s="5">
        <f>(M50*($E50/365))+(M51*($E51/365))</f>
        <v>28.571428571428569</v>
      </c>
      <c r="E163" s="17">
        <f t="shared" si="34"/>
        <v>99.999999999999986</v>
      </c>
      <c r="G163" s="1">
        <v>1981</v>
      </c>
      <c r="H163" s="392">
        <f>(O50/$R50*100*($E50/365))+(O51/$R51*100*($E51/365))</f>
        <v>43.786982248520715</v>
      </c>
      <c r="I163" s="392"/>
      <c r="J163" s="392">
        <f>(P50/$R50*100*($E50/365))+(P51/$R51*100*($E51/365))</f>
        <v>26.035502958579883</v>
      </c>
      <c r="K163" s="392"/>
      <c r="L163" s="392">
        <f>(Q50/$R50*100*($E50/365))+(Q51/$R51*100*($E51/365))</f>
        <v>30.177514792899409</v>
      </c>
      <c r="M163" s="392"/>
      <c r="N163" s="363">
        <f t="shared" si="33"/>
        <v>100</v>
      </c>
      <c r="O163" s="363"/>
      <c r="R163" s="1">
        <v>1981</v>
      </c>
      <c r="S163" s="5">
        <f>(O50*($E50/365))+(O51*($E51/365))</f>
        <v>37</v>
      </c>
      <c r="T163" s="5">
        <f>(P50*($E50/365))+(P51*($E51/365))</f>
        <v>22</v>
      </c>
      <c r="U163" s="5">
        <f>(Q50*($E50/365))+(Q51*($E51/365))</f>
        <v>25.5</v>
      </c>
      <c r="V163" s="5"/>
      <c r="W163" s="5">
        <f t="shared" si="35"/>
        <v>84.5</v>
      </c>
    </row>
    <row r="164" spans="1:23" x14ac:dyDescent="0.15">
      <c r="A164" s="1">
        <v>1982</v>
      </c>
      <c r="B164" s="5">
        <f>(K52*($E52/365))+(K53*($E53/365))</f>
        <v>42.857142857142854</v>
      </c>
      <c r="C164" s="5">
        <f>(L52*($E52/365))+(L53*($E53/365))</f>
        <v>28.571428571428569</v>
      </c>
      <c r="D164" s="5">
        <f>(M52*($E52/365))+(M53*($E53/365))</f>
        <v>28.571428571428569</v>
      </c>
      <c r="E164" s="17">
        <f t="shared" si="34"/>
        <v>99.999999999999986</v>
      </c>
      <c r="G164" s="1">
        <v>1982</v>
      </c>
      <c r="H164" s="392">
        <f>(O52/$R52*100*($E52/365))+(O53/$R53*100*($E53/365))</f>
        <v>43.786982248520715</v>
      </c>
      <c r="I164" s="392"/>
      <c r="J164" s="392">
        <f>(P52/$R52*100*($E52/365))+(P53/$R53*100*($E53/365))</f>
        <v>26.035502958579883</v>
      </c>
      <c r="K164" s="392"/>
      <c r="L164" s="392">
        <f>(Q52/$R52*100*($E52/365))+(Q53/$R53*100*($E53/365))</f>
        <v>30.177514792899409</v>
      </c>
      <c r="M164" s="392"/>
      <c r="N164" s="363">
        <f t="shared" si="33"/>
        <v>100</v>
      </c>
      <c r="O164" s="363"/>
      <c r="R164" s="1">
        <v>1982</v>
      </c>
      <c r="S164" s="5">
        <f>(O52*($E52/365))+(O53*($E53/365))</f>
        <v>37</v>
      </c>
      <c r="T164" s="5">
        <f>(P52*($E52/365))+(P53*($E53/365))</f>
        <v>22</v>
      </c>
      <c r="U164" s="5">
        <f>(Q52*($E52/365))+(Q53*($E53/365))</f>
        <v>25.5</v>
      </c>
      <c r="V164" s="5"/>
      <c r="W164" s="5">
        <f t="shared" si="35"/>
        <v>84.5</v>
      </c>
    </row>
    <row r="165" spans="1:23" x14ac:dyDescent="0.15">
      <c r="A165" s="1">
        <v>1983</v>
      </c>
      <c r="B165" s="5">
        <f>(K54*($E54/365))+(K55*($E55/365))</f>
        <v>42.857142857142854</v>
      </c>
      <c r="C165" s="5">
        <f>(L54*($E54/365))+(L55*($E55/365))</f>
        <v>28.571428571428569</v>
      </c>
      <c r="D165" s="5">
        <f>(M54*($E54/365))+(M55*($E55/365))</f>
        <v>28.571428571428569</v>
      </c>
      <c r="E165" s="17">
        <f t="shared" si="34"/>
        <v>99.999999999999986</v>
      </c>
      <c r="G165" s="1">
        <v>1983</v>
      </c>
      <c r="H165" s="392">
        <f>(O54/$R54*100*($E54/365))+(O55/$R55*100*($E55/365))</f>
        <v>43.879533697731681</v>
      </c>
      <c r="I165" s="392"/>
      <c r="J165" s="392">
        <f>(P54/$R54*100*($E54/365))+(P55/$R55*100*($E55/365))</f>
        <v>26.009349874166361</v>
      </c>
      <c r="K165" s="392"/>
      <c r="L165" s="392">
        <f>(Q54/$R54*100*($E54/365))+(Q55/$R55*100*($E55/365))</f>
        <v>30.111116428101969</v>
      </c>
      <c r="M165" s="392"/>
      <c r="N165" s="363">
        <f t="shared" si="33"/>
        <v>100.00000000000001</v>
      </c>
      <c r="O165" s="363"/>
      <c r="R165" s="1">
        <v>1983</v>
      </c>
      <c r="S165" s="5">
        <f>(O54*($E54/365))+(O55*($E55/365))</f>
        <v>37.053424657534244</v>
      </c>
      <c r="T165" s="5">
        <f>(P54*($E54/365))+(P55*($E55/365))</f>
        <v>21.964383561643839</v>
      </c>
      <c r="U165" s="5">
        <f>(Q54*($E54/365))+(Q55*($E55/365))</f>
        <v>25.42876712328767</v>
      </c>
      <c r="V165" s="5"/>
      <c r="W165" s="5">
        <f t="shared" si="35"/>
        <v>84.446575342465749</v>
      </c>
    </row>
    <row r="166" spans="1:23" x14ac:dyDescent="0.15">
      <c r="A166" s="1">
        <v>1984</v>
      </c>
      <c r="B166" s="5">
        <f>(K56*($E56/366))+(K57*($E57/366))</f>
        <v>42.857142857142854</v>
      </c>
      <c r="C166" s="5">
        <f>(L56*($E56/366))+(L57*($E57/366))</f>
        <v>28.571428571428569</v>
      </c>
      <c r="D166" s="5">
        <f>(M56*($E56/366))+(M57*($E57/366))</f>
        <v>28.571428571428569</v>
      </c>
      <c r="E166" s="17">
        <f t="shared" si="34"/>
        <v>99.999999999999986</v>
      </c>
      <c r="G166" s="1">
        <v>1984</v>
      </c>
      <c r="H166" s="392">
        <f>(O56/$R56*100*($E56/366))+(O57/$R57*100*($E57/366))</f>
        <v>46.385542168674696</v>
      </c>
      <c r="I166" s="392"/>
      <c r="J166" s="392">
        <f>(P56/$R56*100*($E56/366))+(P57/$R57*100*($E57/366))</f>
        <v>25.301204819277107</v>
      </c>
      <c r="K166" s="392"/>
      <c r="L166" s="392">
        <f>(Q56/$R56*100*($E56/366))+(Q57/$R57*100*($E57/366))</f>
        <v>28.313253012048197</v>
      </c>
      <c r="M166" s="392"/>
      <c r="N166" s="363">
        <f t="shared" si="33"/>
        <v>100</v>
      </c>
      <c r="O166" s="363"/>
      <c r="R166" s="1">
        <v>1984</v>
      </c>
      <c r="S166" s="5">
        <f>(O56*($E56/366))+(O57*($E57/366))</f>
        <v>38.5</v>
      </c>
      <c r="T166" s="5">
        <f>(P56*($E56/366))+(P57*($E57/366))</f>
        <v>21</v>
      </c>
      <c r="U166" s="5">
        <f>(Q56*($E56/366))+(Q57*($E57/366))</f>
        <v>23.5</v>
      </c>
      <c r="V166" s="5"/>
      <c r="W166" s="5">
        <f t="shared" si="35"/>
        <v>83</v>
      </c>
    </row>
    <row r="167" spans="1:23" x14ac:dyDescent="0.15">
      <c r="A167" s="1">
        <v>1985</v>
      </c>
      <c r="B167" s="5">
        <f>(K58*($E58/365))+(K59*($E59/365))</f>
        <v>42.857142857142854</v>
      </c>
      <c r="C167" s="5">
        <f>(L58*($E58/365))+(L59*($E59/365))</f>
        <v>28.571428571428569</v>
      </c>
      <c r="D167" s="5">
        <f>(M58*($E58/365))+(M59*($E59/365))</f>
        <v>28.571428571428569</v>
      </c>
      <c r="E167" s="17">
        <f t="shared" si="34"/>
        <v>99.999999999999986</v>
      </c>
      <c r="G167" s="1">
        <v>1985</v>
      </c>
      <c r="H167" s="392">
        <f>(O58/$R58*100*($E58/365))+(O59/$R59*100*($E59/365))</f>
        <v>46.385542168674696</v>
      </c>
      <c r="I167" s="392"/>
      <c r="J167" s="392">
        <f>(P58/$R58*100*($E58/365))+(P59/$R59*100*($E59/365))</f>
        <v>25.301204819277107</v>
      </c>
      <c r="K167" s="392"/>
      <c r="L167" s="392">
        <f>(Q58/$R58*100*($E58/365))+(Q59/$R59*100*($E59/365))</f>
        <v>28.313253012048197</v>
      </c>
      <c r="M167" s="392"/>
      <c r="N167" s="363">
        <f t="shared" si="33"/>
        <v>100</v>
      </c>
      <c r="O167" s="363"/>
      <c r="R167" s="1">
        <v>1985</v>
      </c>
      <c r="S167" s="5">
        <f>(O58*($E58/365))+(O59*($E59/365))</f>
        <v>38.5</v>
      </c>
      <c r="T167" s="5">
        <f>(P58*($E58/365))+(P59*($E59/365))</f>
        <v>21</v>
      </c>
      <c r="U167" s="5">
        <f>(Q58*($E58/365))+(Q59*($E59/365))</f>
        <v>23.5</v>
      </c>
      <c r="V167" s="5"/>
      <c r="W167" s="5">
        <f t="shared" si="35"/>
        <v>83</v>
      </c>
    </row>
    <row r="168" spans="1:23" x14ac:dyDescent="0.15">
      <c r="A168" s="1">
        <v>1986</v>
      </c>
      <c r="B168" s="5">
        <f>(K60*($E60/365))+(K61*($E61/365))</f>
        <v>42.857142857142854</v>
      </c>
      <c r="C168" s="5">
        <f>(L60*($E60/365))+(L61*($E61/365))</f>
        <v>28.571428571428569</v>
      </c>
      <c r="D168" s="5">
        <f>(M60*($E60/365))+(M61*($E61/365))</f>
        <v>28.571428571428569</v>
      </c>
      <c r="E168" s="17">
        <f t="shared" si="34"/>
        <v>99.999999999999986</v>
      </c>
      <c r="G168" s="1">
        <v>1986</v>
      </c>
      <c r="H168" s="392">
        <f>(O60/$R60*100*($E60/365))+(O61/$R61*100*($E61/365))</f>
        <v>46.385542168674696</v>
      </c>
      <c r="I168" s="392"/>
      <c r="J168" s="392">
        <f>(P60/$R60*100*($E60/365))+(P61/$R61*100*($E61/365))</f>
        <v>25.301204819277107</v>
      </c>
      <c r="K168" s="392"/>
      <c r="L168" s="392">
        <f>(Q60/$R60*100*($E60/365))+(Q61/$R61*100*($E61/365))</f>
        <v>28.313253012048197</v>
      </c>
      <c r="M168" s="392"/>
      <c r="N168" s="363">
        <f t="shared" si="33"/>
        <v>100</v>
      </c>
      <c r="O168" s="363"/>
      <c r="R168" s="1">
        <v>1986</v>
      </c>
      <c r="S168" s="5">
        <f>(O60*($E60/365))+(O61*($E61/365))</f>
        <v>38.5</v>
      </c>
      <c r="T168" s="5">
        <f>(P60*($E60/365))+(P61*($E61/365))</f>
        <v>21</v>
      </c>
      <c r="U168" s="5">
        <f>(Q60*($E60/365))+(Q61*($E61/365))</f>
        <v>23.5</v>
      </c>
      <c r="V168" s="5"/>
      <c r="W168" s="5">
        <f t="shared" si="35"/>
        <v>83</v>
      </c>
    </row>
    <row r="169" spans="1:23" x14ac:dyDescent="0.15">
      <c r="A169" s="1">
        <v>1987</v>
      </c>
      <c r="B169" s="5">
        <f>(K62*($E62/365))+(K63*($E63/365))</f>
        <v>42.857142857142854</v>
      </c>
      <c r="C169" s="5">
        <f>(L62*($E62/365))+(L63*($E63/365))</f>
        <v>28.571428571428569</v>
      </c>
      <c r="D169" s="5">
        <f>(M62*($E62/365))+(M63*($E63/365))</f>
        <v>28.571428571428569</v>
      </c>
      <c r="E169" s="17">
        <f t="shared" si="34"/>
        <v>99.999999999999986</v>
      </c>
      <c r="G169" s="1">
        <v>1987</v>
      </c>
      <c r="H169" s="392">
        <f>(O62/$R62*100*($E62/365))+(O63/$R63*100*($E63/365))</f>
        <v>46.474593125668868</v>
      </c>
      <c r="I169" s="392"/>
      <c r="J169" s="392">
        <f>(P62/$R62*100*($E62/365))+(P63/$R63*100*($E63/365))</f>
        <v>25.371395117819432</v>
      </c>
      <c r="K169" s="392"/>
      <c r="L169" s="392">
        <f>(Q62/$R62*100*($E62/365))+(Q63/$R63*100*($E63/365))</f>
        <v>28.154011756511707</v>
      </c>
      <c r="M169" s="392"/>
      <c r="N169" s="363">
        <f t="shared" si="33"/>
        <v>100.00000000000001</v>
      </c>
      <c r="O169" s="363"/>
      <c r="R169" s="1">
        <v>1987</v>
      </c>
      <c r="S169" s="5">
        <f>(O62*($E62/365))+(O63*($E63/365))</f>
        <v>38.468493150684935</v>
      </c>
      <c r="T169" s="5">
        <f>(P62*($E62/365))+(P63*($E63/365))</f>
        <v>21</v>
      </c>
      <c r="U169" s="5">
        <f>(Q62*($E62/365))+(Q63*($E63/365))</f>
        <v>23.31095890410959</v>
      </c>
      <c r="V169" s="5"/>
      <c r="W169" s="5">
        <f t="shared" si="35"/>
        <v>82.779452054794518</v>
      </c>
    </row>
    <row r="170" spans="1:23" x14ac:dyDescent="0.15">
      <c r="A170" s="1">
        <v>1988</v>
      </c>
      <c r="B170" s="5">
        <f>(K64*($E64/366))+(K65*($E65/366))</f>
        <v>42.857142857142854</v>
      </c>
      <c r="C170" s="5">
        <f>(L64*($E64/366))+(L65*($E65/366))</f>
        <v>28.571428571428569</v>
      </c>
      <c r="D170" s="5">
        <f>(M64*($E64/366))+(M65*($E65/366))</f>
        <v>28.571428571428569</v>
      </c>
      <c r="E170" s="17">
        <f t="shared" si="34"/>
        <v>99.999999999999986</v>
      </c>
      <c r="G170" s="1">
        <v>1988</v>
      </c>
      <c r="H170" s="392">
        <f>(O64/$R64*100*($E64/366))+(O65/$R65*100*($E65/366))</f>
        <v>47.79874213836478</v>
      </c>
      <c r="I170" s="392"/>
      <c r="J170" s="392">
        <f>(P64/$R64*100*($E64/366))+(P65/$R65*100*($E65/366))</f>
        <v>26.415094339622641</v>
      </c>
      <c r="K170" s="392"/>
      <c r="L170" s="392">
        <f>(Q64/$R64*100*($E64/366))+(Q65/$R65*100*($E65/366))</f>
        <v>25.786163522012579</v>
      </c>
      <c r="M170" s="392"/>
      <c r="N170" s="363">
        <f t="shared" si="33"/>
        <v>100</v>
      </c>
      <c r="O170" s="363"/>
      <c r="R170" s="1">
        <v>1988</v>
      </c>
      <c r="S170" s="5">
        <f>(O64*($E64/366))+(O65*($E65/366))</f>
        <v>38</v>
      </c>
      <c r="T170" s="5">
        <f>(P64*($E64/366))+(P65*($E65/366))</f>
        <v>21</v>
      </c>
      <c r="U170" s="5">
        <f>(Q64*($E64/366))+(Q65*($E65/366))</f>
        <v>20.5</v>
      </c>
      <c r="V170" s="5"/>
      <c r="W170" s="5">
        <f t="shared" si="35"/>
        <v>79.5</v>
      </c>
    </row>
    <row r="171" spans="1:23" x14ac:dyDescent="0.15">
      <c r="A171" s="1">
        <v>1989</v>
      </c>
      <c r="B171" s="5">
        <f>(K66*($E66/365))+(K67*($E67/365))</f>
        <v>42.857142857142854</v>
      </c>
      <c r="C171" s="5">
        <f>(L66*($E66/365))+(L67*($E67/365))</f>
        <v>28.571428571428569</v>
      </c>
      <c r="D171" s="5">
        <f>(M66*($E66/365))+(M67*($E67/365))</f>
        <v>28.571428571428569</v>
      </c>
      <c r="E171" s="17">
        <f t="shared" si="34"/>
        <v>99.999999999999986</v>
      </c>
      <c r="G171" s="1">
        <v>1989</v>
      </c>
      <c r="H171" s="392">
        <f>(O66/$R66*100*($E66/365))+(O67/$R67*100*($E67/365))</f>
        <v>47.79874213836478</v>
      </c>
      <c r="I171" s="392"/>
      <c r="J171" s="392">
        <f>(P66/$R66*100*($E66/365))+(P67/$R67*100*($E67/365))</f>
        <v>26.415094339622641</v>
      </c>
      <c r="K171" s="392"/>
      <c r="L171" s="392">
        <f>(Q66/$R66*100*($E66/365))+(Q67/$R67*100*($E67/365))</f>
        <v>25.786163522012579</v>
      </c>
      <c r="M171" s="392"/>
      <c r="N171" s="363">
        <f t="shared" si="33"/>
        <v>100</v>
      </c>
      <c r="O171" s="363"/>
      <c r="R171" s="1">
        <v>1989</v>
      </c>
      <c r="S171" s="5">
        <f>(O66*($E66/365))+(O67*($E67/365))</f>
        <v>38</v>
      </c>
      <c r="T171" s="5">
        <f>(P66*($E66/365))+(P67*($E67/365))</f>
        <v>21</v>
      </c>
      <c r="U171" s="5">
        <f>(Q66*($E66/365))+(Q67*($E67/365))</f>
        <v>20.5</v>
      </c>
      <c r="V171" s="5"/>
      <c r="W171" s="5">
        <f t="shared" si="35"/>
        <v>79.5</v>
      </c>
    </row>
    <row r="172" spans="1:23" x14ac:dyDescent="0.15">
      <c r="A172" s="1">
        <v>1990</v>
      </c>
      <c r="B172" s="5">
        <f>(K68*($E68/365))+(K69*($E69/365))</f>
        <v>42.857142857142854</v>
      </c>
      <c r="C172" s="5">
        <f>(L68*($E68/365))+(L69*($E69/365))</f>
        <v>28.571428571428569</v>
      </c>
      <c r="D172" s="5">
        <f>(M68*($E68/365))+(M69*($E69/365))</f>
        <v>28.571428571428569</v>
      </c>
      <c r="E172" s="17">
        <f t="shared" si="34"/>
        <v>99.999999999999986</v>
      </c>
      <c r="G172" s="1">
        <v>1990</v>
      </c>
      <c r="H172" s="392">
        <f>(O68/$R68*100*($E68/365))+(O69/$R69*100*($E69/365))</f>
        <v>47.79874213836478</v>
      </c>
      <c r="I172" s="392"/>
      <c r="J172" s="392">
        <f>(P68/$R68*100*($E68/365))+(P69/$R69*100*($E69/365))</f>
        <v>26.415094339622641</v>
      </c>
      <c r="K172" s="392"/>
      <c r="L172" s="392">
        <f>(Q68/$R68*100*($E68/365))+(Q69/$R69*100*($E69/365))</f>
        <v>25.786163522012579</v>
      </c>
      <c r="M172" s="392"/>
      <c r="N172" s="363">
        <f t="shared" si="33"/>
        <v>100</v>
      </c>
      <c r="O172" s="363"/>
      <c r="R172" s="1">
        <v>1990</v>
      </c>
      <c r="S172" s="5">
        <f>(O68*($E68/365))+(O69*($E69/365))</f>
        <v>38</v>
      </c>
      <c r="T172" s="5">
        <f>(P68*($E68/365))+(P69*($E69/365))</f>
        <v>21</v>
      </c>
      <c r="U172" s="5">
        <f>(Q68*($E68/365))+(Q69*($E69/365))</f>
        <v>20.5</v>
      </c>
      <c r="V172" s="5"/>
      <c r="W172" s="5">
        <f t="shared" si="35"/>
        <v>79.5</v>
      </c>
    </row>
    <row r="173" spans="1:23" x14ac:dyDescent="0.15">
      <c r="A173" s="1">
        <v>1991</v>
      </c>
      <c r="B173" s="5">
        <f>(K70*($E70/365))+(K71*($E71/365))</f>
        <v>42.857142857142854</v>
      </c>
      <c r="C173" s="5">
        <f>(L70*($E70/365))+(L71*($E71/365))</f>
        <v>28.571428571428569</v>
      </c>
      <c r="D173" s="5">
        <f>(M70*($E70/365))+(M71*($E71/365))</f>
        <v>28.571428571428569</v>
      </c>
      <c r="E173" s="17">
        <f t="shared" si="34"/>
        <v>99.999999999999986</v>
      </c>
      <c r="G173" s="1">
        <v>1991</v>
      </c>
      <c r="H173" s="392">
        <f>(O70/$R70*100*($E70/365))+(O71/$R71*100*($E71/365))</f>
        <v>47.757434991402214</v>
      </c>
      <c r="I173" s="392"/>
      <c r="J173" s="392">
        <f>(P70/$R70*100*($E70/365))+(P71/$R71*100*($E71/365))</f>
        <v>26.28026781193682</v>
      </c>
      <c r="K173" s="392"/>
      <c r="L173" s="392">
        <f>(Q70/$R70*100*($E70/365))+(Q71/$R71*100*($E71/365))</f>
        <v>25.962297196660966</v>
      </c>
      <c r="M173" s="392"/>
      <c r="N173" s="363">
        <f t="shared" si="33"/>
        <v>100</v>
      </c>
      <c r="O173" s="363"/>
      <c r="R173" s="1">
        <v>1991</v>
      </c>
      <c r="S173" s="5">
        <f>(O70*($E70/365))+(O71*($E71/365))</f>
        <v>37.731506849315068</v>
      </c>
      <c r="T173" s="5">
        <f>(P70*($E70/365))+(P71*($E71/365))</f>
        <v>20.769863013698629</v>
      </c>
      <c r="U173" s="5">
        <f>(Q70*($E70/365))+(Q71*($E71/365))</f>
        <v>20.5</v>
      </c>
      <c r="V173" s="5"/>
      <c r="W173" s="5">
        <f t="shared" si="35"/>
        <v>79.001369863013693</v>
      </c>
    </row>
    <row r="174" spans="1:23" x14ac:dyDescent="0.15">
      <c r="A174" s="1">
        <v>1992</v>
      </c>
      <c r="B174" s="5">
        <f>(K72*($E72/366))+(K73*($E73/366))</f>
        <v>42.857142857142854</v>
      </c>
      <c r="C174" s="5">
        <f>(L72*($E72/366))+(L73*($E73/366))</f>
        <v>28.571428571428569</v>
      </c>
      <c r="D174" s="5">
        <f>(M72*($E72/366))+(M73*($E73/366))</f>
        <v>28.571428571428569</v>
      </c>
      <c r="E174" s="17">
        <f t="shared" si="34"/>
        <v>99.999999999999986</v>
      </c>
      <c r="G174" s="1">
        <v>1992</v>
      </c>
      <c r="H174" s="392">
        <f>(O72/$R72*100*($E72/366))+(O73/$R73*100*($E73/366))</f>
        <v>47.260273972602739</v>
      </c>
      <c r="I174" s="392"/>
      <c r="J174" s="392">
        <f>(P72/$R72*100*($E72/366))+(P73/$R73*100*($E73/366))</f>
        <v>24.657534246575342</v>
      </c>
      <c r="K174" s="392"/>
      <c r="L174" s="392">
        <f>(Q72/$R72*100*($E72/366))+(Q73/$R73*100*($E73/366))</f>
        <v>28.082191780821919</v>
      </c>
      <c r="M174" s="392"/>
      <c r="N174" s="363">
        <f t="shared" ref="N174:N194" si="36">H174+J174+L174</f>
        <v>100</v>
      </c>
      <c r="O174" s="363"/>
      <c r="R174" s="1">
        <v>1992</v>
      </c>
      <c r="S174" s="5">
        <f>(O72*($E72/366))+(O73*($E73/366))</f>
        <v>34.5</v>
      </c>
      <c r="T174" s="5">
        <f>(P72*($E72/366))+(P73*($E73/366))</f>
        <v>18</v>
      </c>
      <c r="U174" s="5">
        <f>(Q72*($E72/366))+(Q73*($E73/366))</f>
        <v>20.5</v>
      </c>
      <c r="V174" s="5"/>
      <c r="W174" s="5">
        <f t="shared" si="35"/>
        <v>73</v>
      </c>
    </row>
    <row r="175" spans="1:23" x14ac:dyDescent="0.15">
      <c r="A175" s="1">
        <v>1993</v>
      </c>
      <c r="B175" s="5">
        <f>(K74*($E74/365))+(K75*($E75/365))</f>
        <v>42.857142857142854</v>
      </c>
      <c r="C175" s="5">
        <f>(L74*($E74/365))+(L75*($E75/365))</f>
        <v>28.571428571428569</v>
      </c>
      <c r="D175" s="5">
        <f>(M74*($E74/365))+(M75*($E75/365))</f>
        <v>28.571428571428569</v>
      </c>
      <c r="E175" s="17">
        <f t="shared" si="34"/>
        <v>99.999999999999986</v>
      </c>
      <c r="G175" s="1">
        <v>1993</v>
      </c>
      <c r="H175" s="392">
        <f>(O74/$R74*100*($E74/365))+(O75/$R75*100*($E75/365))</f>
        <v>47.260273972602739</v>
      </c>
      <c r="I175" s="392"/>
      <c r="J175" s="392">
        <f>(P74/$R74*100*($E74/365))+(P75/$R75*100*($E75/365))</f>
        <v>24.657534246575342</v>
      </c>
      <c r="K175" s="392"/>
      <c r="L175" s="392">
        <f>(Q74/$R74*100*($E74/365))+(Q75/$R75*100*($E75/365))</f>
        <v>28.082191780821919</v>
      </c>
      <c r="M175" s="392"/>
      <c r="N175" s="363">
        <f t="shared" si="36"/>
        <v>100</v>
      </c>
      <c r="O175" s="363"/>
      <c r="R175" s="1">
        <v>1993</v>
      </c>
      <c r="S175" s="5">
        <f>(O74*($E74/365))+(O75*($E75/365))</f>
        <v>34.5</v>
      </c>
      <c r="T175" s="5">
        <f>(P74*($E74/365))+(P75*($E75/365))</f>
        <v>18</v>
      </c>
      <c r="U175" s="5">
        <f>(Q74*($E74/365))+(Q75*($E75/365))</f>
        <v>20.5</v>
      </c>
      <c r="V175" s="5"/>
      <c r="W175" s="5">
        <f t="shared" si="35"/>
        <v>73</v>
      </c>
    </row>
    <row r="176" spans="1:23" x14ac:dyDescent="0.15">
      <c r="A176" s="1">
        <v>1994</v>
      </c>
      <c r="B176" s="5">
        <f>(K76*($E76/365))+(K77*($E77/365))</f>
        <v>42.857142857142854</v>
      </c>
      <c r="C176" s="5">
        <f>(L76*($E76/365))+(L77*($E77/365))</f>
        <v>28.571428571428569</v>
      </c>
      <c r="D176" s="5">
        <f>(M76*($E76/365))+(M77*($E77/365))</f>
        <v>28.571428571428569</v>
      </c>
      <c r="E176" s="17">
        <f t="shared" si="34"/>
        <v>99.999999999999986</v>
      </c>
      <c r="G176" s="1">
        <v>1994</v>
      </c>
      <c r="H176" s="392">
        <f>(O76/$R76*100*($E76/365))+(O77/$R77*100*($E77/365))</f>
        <v>47.260273972602739</v>
      </c>
      <c r="I176" s="392"/>
      <c r="J176" s="392">
        <f>(P76/$R76*100*($E76/365))+(P77/$R77*100*($E77/365))</f>
        <v>24.657534246575342</v>
      </c>
      <c r="K176" s="392"/>
      <c r="L176" s="392">
        <f>(Q76/$R76*100*($E76/365))+(Q77/$R77*100*($E77/365))</f>
        <v>28.082191780821919</v>
      </c>
      <c r="M176" s="392"/>
      <c r="N176" s="363">
        <f t="shared" si="36"/>
        <v>100</v>
      </c>
      <c r="O176" s="363"/>
      <c r="R176" s="1">
        <v>1994</v>
      </c>
      <c r="S176" s="5">
        <f>(O76*($E76/365))+(O77*($E77/365))</f>
        <v>34.5</v>
      </c>
      <c r="T176" s="5">
        <f>(P76*($E76/365))+(P77*($E77/365))</f>
        <v>18</v>
      </c>
      <c r="U176" s="5">
        <f>(Q76*($E76/365))+(Q77*($E77/365))</f>
        <v>20.5</v>
      </c>
      <c r="V176" s="5"/>
      <c r="W176" s="5">
        <f t="shared" si="35"/>
        <v>73</v>
      </c>
    </row>
    <row r="177" spans="1:23" x14ac:dyDescent="0.15">
      <c r="A177" s="1">
        <v>1995</v>
      </c>
      <c r="B177" s="5">
        <f>(K78*($E78/365))+(K79*($E79/365))</f>
        <v>42.857142857142854</v>
      </c>
      <c r="C177" s="5">
        <f>(L78*($E78/365))+(L79*($E79/365))</f>
        <v>28.571428571428569</v>
      </c>
      <c r="D177" s="5">
        <f>(M78*($E78/365))+(M79*($E79/365))</f>
        <v>28.571428571428569</v>
      </c>
      <c r="E177" s="17">
        <f t="shared" si="34"/>
        <v>99.999999999999986</v>
      </c>
      <c r="G177" s="1">
        <v>1995</v>
      </c>
      <c r="H177" s="392">
        <f>(O78/$R78*100*($E78/365))+(O79/$R79*100*($E79/365))</f>
        <v>47.177961723529997</v>
      </c>
      <c r="I177" s="392"/>
      <c r="J177" s="392">
        <f>(P78/$R78*100*($E78/365))+(P79/$R79*100*($E79/365))</f>
        <v>24.466499401133792</v>
      </c>
      <c r="K177" s="392"/>
      <c r="L177" s="392">
        <f>(Q78/$R78*100*($E78/365))+(Q79/$R79*100*($E79/365))</f>
        <v>28.355538875336212</v>
      </c>
      <c r="M177" s="392"/>
      <c r="N177" s="363">
        <f t="shared" si="36"/>
        <v>100</v>
      </c>
      <c r="O177" s="363"/>
      <c r="R177" s="1">
        <v>1995</v>
      </c>
      <c r="S177" s="5">
        <f>(O78*($E78/365))+(O79*($E79/365))</f>
        <v>34.630136986301366</v>
      </c>
      <c r="T177" s="5">
        <f>(P78*($E78/365))+(P79*($E79/365))</f>
        <v>17.947945205479453</v>
      </c>
      <c r="U177" s="5">
        <f>(Q78*($E78/365))+(Q79*($E79/365))</f>
        <v>20.838356164383562</v>
      </c>
      <c r="V177" s="5"/>
      <c r="W177" s="5">
        <f t="shared" si="35"/>
        <v>73.416438356164377</v>
      </c>
    </row>
    <row r="178" spans="1:23" x14ac:dyDescent="0.15">
      <c r="A178" s="1">
        <v>1996</v>
      </c>
      <c r="B178" s="5">
        <f>(K80*($E80/366))+(K81*($E81/366))</f>
        <v>42.857142857142854</v>
      </c>
      <c r="C178" s="5">
        <f>(L80*($E80/366))+(L81*($E81/366))</f>
        <v>28.571428571428569</v>
      </c>
      <c r="D178" s="5">
        <f>(M80*($E80/366))+(M81*($E81/366))</f>
        <v>28.571428571428569</v>
      </c>
      <c r="E178" s="17">
        <f t="shared" si="34"/>
        <v>99.999999999999986</v>
      </c>
      <c r="G178" s="1">
        <v>1996</v>
      </c>
      <c r="H178" s="392">
        <f>(O80/$R80*100*($E80/366))+(O81/$R81*100*($E81/366))</f>
        <v>45.679012345679013</v>
      </c>
      <c r="I178" s="392"/>
      <c r="J178" s="392">
        <f>(P80/$R80*100*($E80/366))+(P81/$R81*100*($E81/366))</f>
        <v>20.987654320987652</v>
      </c>
      <c r="K178" s="392"/>
      <c r="L178" s="392">
        <f>(Q80/$R80*100*($E80/366))+(Q81/$R81*100*($E81/366))</f>
        <v>33.333333333333329</v>
      </c>
      <c r="M178" s="392"/>
      <c r="N178" s="363">
        <f t="shared" si="36"/>
        <v>99.999999999999986</v>
      </c>
      <c r="O178" s="363"/>
      <c r="R178" s="1">
        <v>1996</v>
      </c>
      <c r="S178" s="5">
        <f>(O80*($E80/366))+(O81*($E81/366))</f>
        <v>37</v>
      </c>
      <c r="T178" s="5">
        <f>(P80*($E80/366))+(P81*($E81/366))</f>
        <v>17</v>
      </c>
      <c r="U178" s="5">
        <f>(Q80*($E80/366))+(Q81*($E81/366))</f>
        <v>27</v>
      </c>
      <c r="V178" s="5"/>
      <c r="W178" s="5">
        <f t="shared" si="35"/>
        <v>81</v>
      </c>
    </row>
    <row r="179" spans="1:23" x14ac:dyDescent="0.15">
      <c r="A179" s="1">
        <v>1997</v>
      </c>
      <c r="B179" s="5">
        <f>(K82*($E82/365))+(K83*($E83/365))</f>
        <v>42.857142857142854</v>
      </c>
      <c r="C179" s="5">
        <f>(L82*($E82/365))+(L83*($E83/365))</f>
        <v>28.571428571428569</v>
      </c>
      <c r="D179" s="5">
        <f>(M82*($E82/365))+(M83*($E83/365))</f>
        <v>28.571428571428569</v>
      </c>
      <c r="E179" s="17">
        <f t="shared" si="34"/>
        <v>99.999999999999986</v>
      </c>
      <c r="G179" s="1">
        <v>1997</v>
      </c>
      <c r="H179" s="392">
        <f>(O82/$R82*100*($E82/365))+(O83/$R83*100*($E83/365))</f>
        <v>45.679012345679013</v>
      </c>
      <c r="I179" s="392"/>
      <c r="J179" s="392">
        <f>(P82/$R82*100*($E82/365))+(P83/$R83*100*($E83/365))</f>
        <v>20.987654320987652</v>
      </c>
      <c r="K179" s="392"/>
      <c r="L179" s="392">
        <f>(Q82/$R82*100*($E82/365))+(Q83/$R83*100*($E83/365))</f>
        <v>33.333333333333329</v>
      </c>
      <c r="M179" s="392"/>
      <c r="N179" s="363">
        <f t="shared" si="36"/>
        <v>99.999999999999986</v>
      </c>
      <c r="O179" s="363"/>
      <c r="R179" s="1">
        <v>1997</v>
      </c>
      <c r="S179" s="5">
        <f>(O82*($E82/365))+(O83*($E83/365))</f>
        <v>37</v>
      </c>
      <c r="T179" s="5">
        <f>(P82*($E82/365))+(P83*($E83/365))</f>
        <v>17</v>
      </c>
      <c r="U179" s="5">
        <f>(Q82*($E82/365))+(Q83*($E83/365))</f>
        <v>27</v>
      </c>
      <c r="V179" s="5"/>
      <c r="W179" s="5">
        <f t="shared" si="35"/>
        <v>81</v>
      </c>
    </row>
    <row r="180" spans="1:23" x14ac:dyDescent="0.15">
      <c r="A180" s="1">
        <v>1998</v>
      </c>
      <c r="B180" s="5">
        <f>(K84*($E84/365))+(K85*($E85/365))</f>
        <v>42.857142857142854</v>
      </c>
      <c r="C180" s="5">
        <f>(L84*($E84/365))+(L85*($E85/365))</f>
        <v>28.571428571428569</v>
      </c>
      <c r="D180" s="5">
        <f>(M84*($E84/365))+(M85*($E85/365))</f>
        <v>28.571428571428569</v>
      </c>
      <c r="E180" s="17">
        <f t="shared" si="34"/>
        <v>99.999999999999986</v>
      </c>
      <c r="G180" s="1">
        <v>1998</v>
      </c>
      <c r="H180" s="392">
        <f>(O84/$R84*100*($E84/365))+(O85/$R85*100*($E85/365))</f>
        <v>45.679012345679013</v>
      </c>
      <c r="I180" s="392"/>
      <c r="J180" s="392">
        <f>(P84/$R84*100*($E84/365))+(P85/$R85*100*($E85/365))</f>
        <v>20.987654320987652</v>
      </c>
      <c r="K180" s="392"/>
      <c r="L180" s="392">
        <f>(Q84/$R84*100*($E84/365))+(Q85/$R85*100*($E85/365))</f>
        <v>33.333333333333329</v>
      </c>
      <c r="M180" s="392"/>
      <c r="N180" s="363">
        <f t="shared" si="36"/>
        <v>99.999999999999986</v>
      </c>
      <c r="O180" s="363"/>
      <c r="R180" s="1">
        <v>1998</v>
      </c>
      <c r="S180" s="5">
        <f>(O84*($E84/365))+(O85*($E85/365))</f>
        <v>37</v>
      </c>
      <c r="T180" s="5">
        <f>(P84*($E84/365))+(P85*($E85/365))</f>
        <v>17</v>
      </c>
      <c r="U180" s="5">
        <f>(Q84*($E84/365))+(Q85*($E85/365))</f>
        <v>27</v>
      </c>
      <c r="V180" s="5"/>
      <c r="W180" s="5">
        <f t="shared" si="35"/>
        <v>81</v>
      </c>
    </row>
    <row r="181" spans="1:23" x14ac:dyDescent="0.15">
      <c r="A181" s="1">
        <v>1999</v>
      </c>
      <c r="B181" s="5">
        <f>(K86*($E86/365))+(K87*($E87/365))</f>
        <v>42.857142857142854</v>
      </c>
      <c r="C181" s="5">
        <f>(L86*($E86/365))+(L87*($E87/365))</f>
        <v>28.571428571428569</v>
      </c>
      <c r="D181" s="5">
        <f>(M86*($E86/365))+(M87*($E87/365))</f>
        <v>28.571428571428569</v>
      </c>
      <c r="E181" s="17">
        <f t="shared" si="34"/>
        <v>99.999999999999986</v>
      </c>
      <c r="G181" s="1">
        <v>1999</v>
      </c>
      <c r="H181" s="392">
        <f>(O86/$R86*100*($E86/365))+(O87/$R87*100*($E87/365))</f>
        <v>45.893724907106801</v>
      </c>
      <c r="I181" s="392"/>
      <c r="J181" s="392">
        <f>(P86/$R86*100*($E86/365))+(P87/$R87*100*($E87/365))</f>
        <v>20.952422848059872</v>
      </c>
      <c r="K181" s="392"/>
      <c r="L181" s="392">
        <f>(Q86/$R86*100*($E86/365))+(Q87/$R87*100*($E87/365))</f>
        <v>33.153852244833317</v>
      </c>
      <c r="M181" s="392"/>
      <c r="N181" s="363">
        <f t="shared" si="36"/>
        <v>99.999999999999986</v>
      </c>
      <c r="O181" s="363"/>
      <c r="R181" s="1">
        <v>1999</v>
      </c>
      <c r="S181" s="5">
        <f>(O86*($E86/365))+(O87*($E87/365))</f>
        <v>37.302739726027397</v>
      </c>
      <c r="T181" s="5">
        <f>(P86*($E86/365))+(P87*($E87/365))</f>
        <v>17.023287671232879</v>
      </c>
      <c r="U181" s="5">
        <f>(Q86*($E86/365))+(Q87*($E87/365))</f>
        <v>26.93013698630137</v>
      </c>
      <c r="V181" s="5"/>
      <c r="W181" s="5">
        <f t="shared" si="35"/>
        <v>81.256164383561639</v>
      </c>
    </row>
    <row r="182" spans="1:23" x14ac:dyDescent="0.15">
      <c r="A182" s="1">
        <v>2000</v>
      </c>
      <c r="B182" s="5">
        <f>(K88*($E88/366))+(K89*($E89/366))</f>
        <v>42.857142857142854</v>
      </c>
      <c r="C182" s="5">
        <f>(L88*($E88/366))+(L89*($E89/366))</f>
        <v>28.571428571428569</v>
      </c>
      <c r="D182" s="5">
        <f>(M88*($E88/366))+(M89*($E89/366))</f>
        <v>28.571428571428569</v>
      </c>
      <c r="E182" s="17">
        <f t="shared" si="34"/>
        <v>99.999999999999986</v>
      </c>
      <c r="G182" s="1">
        <v>2000</v>
      </c>
      <c r="H182" s="392">
        <f>(O88/$R88*100*($E88/366))+(O89/$R89*100*($E89/366))</f>
        <v>50.289017341040463</v>
      </c>
      <c r="I182" s="392"/>
      <c r="J182" s="392">
        <f>(P88/$R88*100*($E88/366))+(P89/$R89*100*($E89/366))</f>
        <v>20.23121387283237</v>
      </c>
      <c r="K182" s="392"/>
      <c r="L182" s="392">
        <f>(Q88/$R88*100*($E88/366))+(Q89/$R89*100*($E89/366))</f>
        <v>29.47976878612717</v>
      </c>
      <c r="M182" s="392"/>
      <c r="N182" s="363">
        <f t="shared" si="36"/>
        <v>100</v>
      </c>
      <c r="O182" s="363"/>
      <c r="R182" s="1">
        <v>2000</v>
      </c>
      <c r="S182" s="5">
        <f>(O88*($E88/366))+(O89*($E89/366))</f>
        <v>43.5</v>
      </c>
      <c r="T182" s="5">
        <f>(P88*($E88/366))+(P89*($E89/366))</f>
        <v>17.5</v>
      </c>
      <c r="U182" s="5">
        <f>(Q88*($E88/366))+(Q89*($E89/366))</f>
        <v>25.5</v>
      </c>
      <c r="V182" s="5"/>
      <c r="W182" s="5">
        <f t="shared" si="35"/>
        <v>86.5</v>
      </c>
    </row>
    <row r="183" spans="1:23" x14ac:dyDescent="0.15">
      <c r="A183" s="1">
        <v>2001</v>
      </c>
      <c r="B183" s="5">
        <f>(K90*($E90/365))+(K91*($E91/365))</f>
        <v>42.857142857142854</v>
      </c>
      <c r="C183" s="5">
        <f>(L90*($E90/365))+(L91*($E91/365))</f>
        <v>28.571428571428569</v>
      </c>
      <c r="D183" s="5">
        <f>(M90*($E90/365))+(M91*($E91/365))</f>
        <v>28.571428571428569</v>
      </c>
      <c r="E183" s="17">
        <f t="shared" si="34"/>
        <v>99.999999999999986</v>
      </c>
      <c r="G183" s="1">
        <v>2001</v>
      </c>
      <c r="H183" s="392">
        <f>(O90/$R90*100*($E90/365))+(O91/$R91*100*($E91/365))</f>
        <v>50.289017341040463</v>
      </c>
      <c r="I183" s="392"/>
      <c r="J183" s="392">
        <f>(P90/$R90*100*($E90/365))+(P91/$R91*100*($E91/365))</f>
        <v>20.23121387283237</v>
      </c>
      <c r="K183" s="392"/>
      <c r="L183" s="392">
        <f>(Q90/$R90*100*($E90/365))+(Q91/$R91*100*($E91/365))</f>
        <v>29.47976878612717</v>
      </c>
      <c r="M183" s="392"/>
      <c r="N183" s="363">
        <f t="shared" si="36"/>
        <v>100</v>
      </c>
      <c r="O183" s="363"/>
      <c r="R183" s="1">
        <v>2001</v>
      </c>
      <c r="S183" s="5">
        <f>(O90*($E90/365))+(O91*($E91/365))</f>
        <v>43.5</v>
      </c>
      <c r="T183" s="5">
        <f>(P90*($E90/365))+(P91*($E91/365))</f>
        <v>17.5</v>
      </c>
      <c r="U183" s="5">
        <f>(Q90*($E90/365))+(Q91*($E91/365))</f>
        <v>25.5</v>
      </c>
      <c r="V183" s="5"/>
      <c r="W183" s="5">
        <f t="shared" si="35"/>
        <v>86.5</v>
      </c>
    </row>
    <row r="184" spans="1:23" x14ac:dyDescent="0.15">
      <c r="A184" s="1">
        <v>2002</v>
      </c>
      <c r="B184" s="5">
        <f>(K92*($E92/365))+(K93*($E93/365))</f>
        <v>42.857142857142854</v>
      </c>
      <c r="C184" s="5">
        <f>(L92*($E92/365))+(L93*($E93/365))</f>
        <v>28.571428571428569</v>
      </c>
      <c r="D184" s="5">
        <f>(M92*($E92/365))+(M93*($E93/365))</f>
        <v>28.571428571428569</v>
      </c>
      <c r="E184" s="17">
        <f t="shared" si="34"/>
        <v>99.999999999999986</v>
      </c>
      <c r="G184" s="1">
        <v>2002</v>
      </c>
      <c r="H184" s="392">
        <f>(O92/$R92*100*($E92/365))+(O93/$R93*100*($E93/365))</f>
        <v>50.289017341040463</v>
      </c>
      <c r="I184" s="392"/>
      <c r="J184" s="392">
        <f>(P92/$R92*100*($E92/365))+(P93/$R93*100*($E93/365))</f>
        <v>20.23121387283237</v>
      </c>
      <c r="K184" s="392"/>
      <c r="L184" s="392">
        <f>(Q92/$R92*100*($E92/365))+(Q93/$R93*100*($E93/365))</f>
        <v>29.47976878612717</v>
      </c>
      <c r="M184" s="392"/>
      <c r="N184" s="363">
        <f t="shared" si="36"/>
        <v>100</v>
      </c>
      <c r="O184" s="363"/>
      <c r="R184" s="1">
        <v>2002</v>
      </c>
      <c r="S184" s="5">
        <f>(O92*($E92/365))+(O93*($E93/365))</f>
        <v>43.5</v>
      </c>
      <c r="T184" s="5">
        <f>(P92*($E92/365))+(P93*($E93/365))</f>
        <v>17.5</v>
      </c>
      <c r="U184" s="5">
        <f>(Q92*($E92/365))+(Q93*($E93/365))</f>
        <v>25.5</v>
      </c>
      <c r="V184" s="5"/>
      <c r="W184" s="5">
        <f t="shared" si="35"/>
        <v>86.5</v>
      </c>
    </row>
    <row r="185" spans="1:23" x14ac:dyDescent="0.15">
      <c r="A185" s="1">
        <v>2003</v>
      </c>
      <c r="B185" s="5">
        <f>(K94*($E94/365))+(K95*($E95/365))</f>
        <v>42.857142857142854</v>
      </c>
      <c r="C185" s="5">
        <f>(L94*($E94/365))+(L95*($E95/365))</f>
        <v>28.571428571428569</v>
      </c>
      <c r="D185" s="5">
        <f>(M94*($E94/365))+(M95*($E95/365))</f>
        <v>28.571428571428569</v>
      </c>
      <c r="E185" s="17">
        <f t="shared" si="34"/>
        <v>99.999999999999986</v>
      </c>
      <c r="G185" s="1">
        <v>2003</v>
      </c>
      <c r="H185" s="392">
        <f>(O94/$R94*100*($E94/365))+(O95/$R95*100*($E95/365))</f>
        <v>50.46546077231509</v>
      </c>
      <c r="I185" s="392"/>
      <c r="J185" s="392">
        <f>(P94/$R94*100*($E94/365))+(P95/$R95*100*($E95/365))</f>
        <v>19.998740483589476</v>
      </c>
      <c r="K185" s="392"/>
      <c r="L185" s="392">
        <f>(Q94/$R94*100*($E94/365))+(Q95/$R95*100*($E95/365))</f>
        <v>29.535798744095445</v>
      </c>
      <c r="M185" s="392"/>
      <c r="N185" s="363">
        <f t="shared" si="36"/>
        <v>100.00000000000001</v>
      </c>
      <c r="O185" s="363"/>
      <c r="R185" s="1">
        <v>2003</v>
      </c>
      <c r="S185" s="5">
        <f>(O94*($E94/365))+(O95*($E95/365))</f>
        <v>43.62054794520548</v>
      </c>
      <c r="T185" s="5">
        <f>(P94*($E94/365))+(P95*($E95/365))</f>
        <v>17.289041095890411</v>
      </c>
      <c r="U185" s="5">
        <f>(Q94*($E94/365))+(Q95*($E95/365))</f>
        <v>25.530136986301372</v>
      </c>
      <c r="V185" s="5"/>
      <c r="W185" s="5">
        <f t="shared" si="35"/>
        <v>86.439726027397256</v>
      </c>
    </row>
    <row r="186" spans="1:23" x14ac:dyDescent="0.15">
      <c r="A186" s="1">
        <v>2004</v>
      </c>
      <c r="B186" s="5">
        <f>(K96*($E96/366))+(K97*($E97/366))</f>
        <v>57.142857142857139</v>
      </c>
      <c r="C186" s="5">
        <f>(L96*($E96/366))+(L97*($E97/366))</f>
        <v>14.285714285714285</v>
      </c>
      <c r="D186" s="5">
        <f>(M96*($E96/366))+(M97*($E97/366))</f>
        <v>28.571428571428569</v>
      </c>
      <c r="E186" s="17">
        <f t="shared" si="34"/>
        <v>99.999999999999986</v>
      </c>
      <c r="G186" s="1">
        <v>2004</v>
      </c>
      <c r="H186" s="392">
        <f>(O96/$R96*100*($E96/366))+(O97/$R97*100*($E97/366))</f>
        <v>53.216374269005854</v>
      </c>
      <c r="I186" s="392"/>
      <c r="J186" s="392">
        <f>(P96/$R96*100*($E96/366))+(P97/$R97*100*($E97/366))</f>
        <v>16.374269005847953</v>
      </c>
      <c r="K186" s="392"/>
      <c r="L186" s="392">
        <f>(Q96/$R96*100*($E96/366))+(Q97/$R97*100*($E97/366))</f>
        <v>30.409356725146196</v>
      </c>
      <c r="M186" s="392"/>
      <c r="N186" s="363">
        <f t="shared" si="36"/>
        <v>100</v>
      </c>
      <c r="O186" s="363"/>
      <c r="R186" s="1">
        <v>2004</v>
      </c>
      <c r="S186" s="5">
        <f>(O96*($E96/366))+(O97*($E97/366))</f>
        <v>45.5</v>
      </c>
      <c r="T186" s="5">
        <f>(P96*($E96/366))+(P97*($E97/366))</f>
        <v>14</v>
      </c>
      <c r="U186" s="5">
        <f>(Q96*($E96/366))+(Q97*($E97/366))</f>
        <v>26</v>
      </c>
      <c r="V186" s="5"/>
      <c r="W186" s="5">
        <f t="shared" si="35"/>
        <v>85.5</v>
      </c>
    </row>
    <row r="187" spans="1:23" x14ac:dyDescent="0.15">
      <c r="A187" s="1">
        <v>2005</v>
      </c>
      <c r="B187" s="5">
        <f>(K98*($E98/365))+(K99*($E99/365))</f>
        <v>57.142857142857139</v>
      </c>
      <c r="C187" s="5">
        <f>(L98*($E98/365))+(L99*($E99/365))</f>
        <v>14.285714285714285</v>
      </c>
      <c r="D187" s="5">
        <f>(M98*($E98/365))+(M99*($E99/365))</f>
        <v>28.571428571428569</v>
      </c>
      <c r="E187" s="17">
        <f t="shared" si="34"/>
        <v>99.999999999999986</v>
      </c>
      <c r="G187" s="1">
        <v>2005</v>
      </c>
      <c r="H187" s="392">
        <f>(O98/$R98*100*($E98/365))+(O99/$R99*100*($E99/365))</f>
        <v>53.216374269005854</v>
      </c>
      <c r="I187" s="392"/>
      <c r="J187" s="392">
        <f>(P98/$R98*100*($E98/365))+(P99/$R99*100*($E99/365))</f>
        <v>16.374269005847953</v>
      </c>
      <c r="K187" s="392"/>
      <c r="L187" s="392">
        <f>(Q98/$R98*100*($E98/365))+(Q99/$R99*100*($E99/365))</f>
        <v>30.409356725146196</v>
      </c>
      <c r="M187" s="392"/>
      <c r="N187" s="363">
        <f t="shared" si="36"/>
        <v>100</v>
      </c>
      <c r="O187" s="363"/>
      <c r="R187" s="1">
        <v>2005</v>
      </c>
      <c r="S187" s="5">
        <f>(O98*($E98/365))+(O99*($E99/365))</f>
        <v>45.5</v>
      </c>
      <c r="T187" s="5">
        <f>(P98*($E98/365))+(P99*($E99/365))</f>
        <v>14</v>
      </c>
      <c r="U187" s="5">
        <f>(Q98*($E98/365))+(Q99*($E99/365))</f>
        <v>26</v>
      </c>
      <c r="V187" s="5"/>
      <c r="W187" s="5">
        <f t="shared" si="35"/>
        <v>85.5</v>
      </c>
    </row>
    <row r="188" spans="1:23" x14ac:dyDescent="0.15">
      <c r="A188" s="1">
        <v>2006</v>
      </c>
      <c r="B188" s="5">
        <f>(K100*($E100/365))+(K101*($E101/365))</f>
        <v>57.142857142857139</v>
      </c>
      <c r="C188" s="5">
        <f>(L100*($E100/365))+(L101*($E101/365))</f>
        <v>14.285714285714285</v>
      </c>
      <c r="D188" s="5">
        <f>(M100*($E100/365))+(M101*($E101/365))</f>
        <v>28.571428571428569</v>
      </c>
      <c r="E188" s="17">
        <f t="shared" si="34"/>
        <v>99.999999999999986</v>
      </c>
      <c r="G188" s="1">
        <v>2006</v>
      </c>
      <c r="H188" s="392">
        <f>(O100/$R100*100*($E100/365))+(O101/$R101*100*($E101/365))</f>
        <v>53.216374269005854</v>
      </c>
      <c r="I188" s="392"/>
      <c r="J188" s="392">
        <f>(P100/$R100*100*($E100/365))+(P101/$R101*100*($E101/365))</f>
        <v>16.374269005847953</v>
      </c>
      <c r="K188" s="392"/>
      <c r="L188" s="392">
        <f>(Q100/$R100*100*($E100/365))+(Q101/$R101*100*($E101/365))</f>
        <v>30.409356725146196</v>
      </c>
      <c r="M188" s="392"/>
      <c r="N188" s="363">
        <f t="shared" si="36"/>
        <v>100</v>
      </c>
      <c r="O188" s="363"/>
      <c r="R188" s="1">
        <v>2006</v>
      </c>
      <c r="S188" s="5">
        <f>(O100*($E100/365))+(O101*($E101/365))</f>
        <v>45.5</v>
      </c>
      <c r="T188" s="5">
        <f>(P100*($E100/365))+(P101*($E101/365))</f>
        <v>14</v>
      </c>
      <c r="U188" s="5">
        <f>(Q100*($E100/365))+(Q101*($E101/365))</f>
        <v>26</v>
      </c>
      <c r="V188" s="5"/>
      <c r="W188" s="5">
        <f t="shared" si="35"/>
        <v>85.5</v>
      </c>
    </row>
    <row r="189" spans="1:23" x14ac:dyDescent="0.15">
      <c r="A189" s="1">
        <v>2007</v>
      </c>
      <c r="B189" s="5">
        <f>(K102*($E102/365))+(K103*($E103/365))</f>
        <v>57.142857142857139</v>
      </c>
      <c r="C189" s="5">
        <f>(L102*($E102/365))+(L103*($E103/365))</f>
        <v>14.285714285714285</v>
      </c>
      <c r="D189" s="5">
        <f>(M102*($E102/365))+(M103*($E103/365))</f>
        <v>28.571428571428569</v>
      </c>
      <c r="E189" s="17">
        <f t="shared" si="34"/>
        <v>99.999999999999986</v>
      </c>
      <c r="G189" s="1">
        <v>2007</v>
      </c>
      <c r="H189" s="392">
        <f>(O102/$R102*100*($E102/365))+(O103/$R103*100*($E103/365))</f>
        <v>53.351839939443394</v>
      </c>
      <c r="I189" s="392"/>
      <c r="J189" s="392">
        <f>(P102/$R102*100*($E102/365))+(P103/$R103*100*($E103/365))</f>
        <v>16.49419258095201</v>
      </c>
      <c r="K189" s="392"/>
      <c r="L189" s="392">
        <f>(Q102/$R102*100*($E102/365))+(Q103/$R103*100*($E103/365))</f>
        <v>30.153967479604596</v>
      </c>
      <c r="M189" s="392"/>
      <c r="N189" s="363">
        <f t="shared" si="36"/>
        <v>100</v>
      </c>
      <c r="O189" s="363"/>
      <c r="R189" s="1">
        <v>2007</v>
      </c>
      <c r="S189" s="5">
        <f>(O102*($E102/365))+(O103*($E103/365))</f>
        <v>45.554794520547944</v>
      </c>
      <c r="T189" s="5">
        <f>(P102*($E102/365))+(P103*($E103/365))</f>
        <v>14.082191780821919</v>
      </c>
      <c r="U189" s="5">
        <f>(Q102*($E102/365))+(Q103*($E103/365))</f>
        <v>25.753424657534246</v>
      </c>
      <c r="V189" s="5"/>
      <c r="W189" s="5">
        <f t="shared" si="35"/>
        <v>85.390410958904113</v>
      </c>
    </row>
    <row r="190" spans="1:23" x14ac:dyDescent="0.15">
      <c r="A190" s="1">
        <v>2008</v>
      </c>
      <c r="B190" s="5">
        <f>(K104*($E104/366))+(K105*($E105/366))</f>
        <v>57.142857142857139</v>
      </c>
      <c r="C190" s="5">
        <f>(L104*($E104/366))+(L105*($E105/366))</f>
        <v>14.285714285714285</v>
      </c>
      <c r="D190" s="5">
        <f>(M104*($E104/366))+(M105*($E105/366))</f>
        <v>28.571428571428569</v>
      </c>
      <c r="E190" s="17">
        <f t="shared" si="34"/>
        <v>99.999999999999986</v>
      </c>
      <c r="G190" s="1">
        <v>2008</v>
      </c>
      <c r="H190" s="392">
        <f>(O104/$R104*100*($E104/366))+(O105/$R105*100*($E105/366))</f>
        <v>55.688622754491014</v>
      </c>
      <c r="I190" s="392"/>
      <c r="J190" s="392">
        <f>(P104/$R104*100*($E104/366))+(P105/$R105*100*($E105/366))</f>
        <v>18.562874251497004</v>
      </c>
      <c r="K190" s="392"/>
      <c r="L190" s="392">
        <f>(Q104/$R104*100*($E104/366))+(Q105/$R105*100*($E105/366))</f>
        <v>25.748502994011975</v>
      </c>
      <c r="M190" s="392"/>
      <c r="N190" s="363">
        <f t="shared" si="36"/>
        <v>99.999999999999986</v>
      </c>
      <c r="O190" s="363"/>
      <c r="R190" s="1">
        <v>2008</v>
      </c>
      <c r="S190" s="5">
        <f>(O104*($E104/366))+(O105*($E105/366))</f>
        <v>46.5</v>
      </c>
      <c r="T190" s="5">
        <f>(P104*($E104/366))+(P105*($E105/366))</f>
        <v>15.5</v>
      </c>
      <c r="U190" s="5">
        <f>(Q104*($E104/366))+(Q105*($E105/366))</f>
        <v>21.5</v>
      </c>
      <c r="V190" s="5"/>
      <c r="W190" s="5">
        <f t="shared" si="35"/>
        <v>83.5</v>
      </c>
    </row>
    <row r="191" spans="1:23" x14ac:dyDescent="0.15">
      <c r="A191" s="1">
        <v>2009</v>
      </c>
      <c r="B191" s="5">
        <f>(K106*($E106/365))+(K107*($E107/365))</f>
        <v>57.142857142857139</v>
      </c>
      <c r="C191" s="5">
        <f>(L106*($E106/365))+(L107*($E107/365))</f>
        <v>14.285714285714285</v>
      </c>
      <c r="D191" s="5">
        <f>(M106*($E106/365))+(M107*($E107/365))</f>
        <v>28.571428571428569</v>
      </c>
      <c r="E191" s="17">
        <f t="shared" si="34"/>
        <v>99.999999999999986</v>
      </c>
      <c r="G191" s="1">
        <v>2009</v>
      </c>
      <c r="H191" s="392">
        <f>(O106/$R106*100*($E106/365))+(O107/$R107*100*($E107/365))</f>
        <v>55.688622754491014</v>
      </c>
      <c r="I191" s="392"/>
      <c r="J191" s="392">
        <f>(P106/$R106*100*($E106/365))+(P107/$R107*100*($E107/365))</f>
        <v>18.562874251497004</v>
      </c>
      <c r="K191" s="392"/>
      <c r="L191" s="392">
        <f>(Q106/$R106*100*($E106/365))+(Q107/$R107*100*($E107/365))</f>
        <v>25.748502994011975</v>
      </c>
      <c r="M191" s="392"/>
      <c r="N191" s="363">
        <f t="shared" si="36"/>
        <v>99.999999999999986</v>
      </c>
      <c r="O191" s="363"/>
      <c r="R191" s="1">
        <v>2009</v>
      </c>
      <c r="S191" s="5">
        <f>(O106*($E106/365))+(O107*($E107/365))</f>
        <v>46.5</v>
      </c>
      <c r="T191" s="5">
        <f>(P106*($E106/365))+(P107*($E107/365))</f>
        <v>15.5</v>
      </c>
      <c r="U191" s="5">
        <f>(Q106*($E106/365))+(Q107*($E107/365))</f>
        <v>21.5</v>
      </c>
      <c r="V191" s="5"/>
      <c r="W191" s="5">
        <f t="shared" si="35"/>
        <v>83.5</v>
      </c>
    </row>
    <row r="192" spans="1:23" x14ac:dyDescent="0.15">
      <c r="A192" s="1">
        <v>2010</v>
      </c>
      <c r="B192" s="5">
        <f>(K108*($E108/365))+(K109*($E109/365))</f>
        <v>57.142857142857139</v>
      </c>
      <c r="C192" s="5">
        <f>(L108*($E108/365))+(L109*($E109/365))</f>
        <v>14.285714285714285</v>
      </c>
      <c r="D192" s="5">
        <f>(M108*($E108/365))+(M109*($E109/365))</f>
        <v>28.571428571428569</v>
      </c>
      <c r="E192" s="17">
        <f t="shared" si="34"/>
        <v>99.999999999999986</v>
      </c>
      <c r="G192" s="1">
        <v>2010</v>
      </c>
      <c r="H192" s="392">
        <f>(O108/$R108*100*($E108/365))+(O109/$R109*100*($E109/365))</f>
        <v>55.688622754491014</v>
      </c>
      <c r="I192" s="392"/>
      <c r="J192" s="392">
        <f>(P108/$R108*100*($E108/365))+(P109/$R109*100*($E109/365))</f>
        <v>18.562874251497004</v>
      </c>
      <c r="K192" s="392"/>
      <c r="L192" s="392">
        <f>(Q108/$R108*100*($E108/365))+(Q109/$R109*100*($E109/365))</f>
        <v>25.748502994011975</v>
      </c>
      <c r="M192" s="392"/>
      <c r="N192" s="363">
        <f t="shared" si="36"/>
        <v>99.999999999999986</v>
      </c>
      <c r="O192" s="363"/>
      <c r="R192" s="1">
        <v>2010</v>
      </c>
      <c r="S192" s="5">
        <f>(O108*($E108/365))+(O109*($E109/365))</f>
        <v>46.5</v>
      </c>
      <c r="T192" s="5">
        <f>(P108*($E108/365))+(P109*($E109/365))</f>
        <v>15.5</v>
      </c>
      <c r="U192" s="5">
        <f>(Q108*($E108/365))+(Q109*($E109/365))</f>
        <v>21.5</v>
      </c>
      <c r="V192" s="5"/>
      <c r="W192" s="5">
        <f t="shared" si="35"/>
        <v>83.5</v>
      </c>
    </row>
    <row r="193" spans="1:23" x14ac:dyDescent="0.15">
      <c r="A193" s="1">
        <v>2011</v>
      </c>
      <c r="B193" s="5">
        <f>(K110*($E110/365))+(K111*($E111/365))</f>
        <v>57.142857142857139</v>
      </c>
      <c r="C193" s="5">
        <f>(L110*($E110/365))+(L111*($E111/365))</f>
        <v>14.285714285714285</v>
      </c>
      <c r="D193" s="5">
        <f>(M110*($E110/365))+(M111*($E111/365))</f>
        <v>28.571428571428569</v>
      </c>
      <c r="E193" s="17">
        <f t="shared" si="34"/>
        <v>99.999999999999986</v>
      </c>
      <c r="G193" s="1">
        <v>2011</v>
      </c>
      <c r="H193" s="392">
        <f>(O110/$R110*100*($E110/365))+(O111/$R111*100*($E111/365))</f>
        <v>55.688622754491014</v>
      </c>
      <c r="I193" s="392"/>
      <c r="J193" s="392">
        <f>(P110/$R110*100*($E110/365))+(P111/$R111*100*($E111/365))</f>
        <v>18.474284308096134</v>
      </c>
      <c r="K193" s="392"/>
      <c r="L193" s="392">
        <f>(Q110/$R110*100*($E110/365))+(Q111/$R111*100*($E111/365))</f>
        <v>25.837092937412844</v>
      </c>
      <c r="M193" s="392"/>
      <c r="N193" s="363">
        <f t="shared" si="36"/>
        <v>100</v>
      </c>
      <c r="O193" s="363"/>
      <c r="R193" s="1">
        <v>2011</v>
      </c>
      <c r="S193" s="5">
        <f>(O110*($E110/365))+(O111*($E111/365))</f>
        <v>46.5</v>
      </c>
      <c r="T193" s="5">
        <f>(P110*($E110/365))+(P111*($E111/365))</f>
        <v>15.426027397260274</v>
      </c>
      <c r="U193" s="5">
        <f>(Q110*($E110/365))+(Q111*($E111/365))</f>
        <v>21.573972602739726</v>
      </c>
      <c r="V193" s="5"/>
      <c r="W193" s="5">
        <f t="shared" si="35"/>
        <v>83.5</v>
      </c>
    </row>
    <row r="194" spans="1:23" x14ac:dyDescent="0.15">
      <c r="A194" s="1">
        <v>2012</v>
      </c>
      <c r="B194" s="5">
        <f>(K112*($E112/366))+(K113*($E113/366))</f>
        <v>57.142857142857139</v>
      </c>
      <c r="C194" s="5">
        <f>(L112*($E112/366))+(L113*($E113/366))</f>
        <v>14.285714285714285</v>
      </c>
      <c r="D194" s="5">
        <f>(M112*($E112/366))+(M113*($E113/366))</f>
        <v>28.571428571428569</v>
      </c>
      <c r="E194" s="17">
        <f t="shared" si="34"/>
        <v>99.999999999999986</v>
      </c>
      <c r="G194" s="1">
        <v>2012</v>
      </c>
      <c r="H194" s="392">
        <f>(O112/$R112*100*($E112/366))+(O113/$R113*100*($E113/366))</f>
        <v>55.688622754491014</v>
      </c>
      <c r="I194" s="392"/>
      <c r="J194" s="392">
        <f>(P112/$R112*100*($E112/366))+(P113/$R113*100*($E113/366))</f>
        <v>16.766467065868262</v>
      </c>
      <c r="K194" s="392"/>
      <c r="L194" s="392">
        <f>(Q112/$R112*100*($E112/366))+(Q113/$R113*100*($E113/366))</f>
        <v>27.54491017964072</v>
      </c>
      <c r="M194" s="392"/>
      <c r="N194" s="363">
        <f t="shared" si="36"/>
        <v>100</v>
      </c>
      <c r="O194" s="363"/>
      <c r="R194" s="1">
        <v>2012</v>
      </c>
      <c r="S194" s="5">
        <f>(O112*($E112/366))+(O113*($E113/366))</f>
        <v>46.5</v>
      </c>
      <c r="T194" s="5">
        <f>(P112*($E112/366))+(P113*($E113/366))</f>
        <v>14</v>
      </c>
      <c r="U194" s="5">
        <f>(Q112*($E112/366))+(Q113*($E113/366))</f>
        <v>23</v>
      </c>
      <c r="V194" s="5"/>
      <c r="W194" s="5">
        <f t="shared" si="35"/>
        <v>83.5</v>
      </c>
    </row>
    <row r="195" spans="1:23" x14ac:dyDescent="0.15">
      <c r="A195" s="1">
        <v>2013</v>
      </c>
      <c r="B195" s="5">
        <f>(K114*($E114/365))+(K115*($E115/365))</f>
        <v>57.142857142857139</v>
      </c>
      <c r="C195" s="5">
        <f>(L114*($E114/365))+(L115*($E115/365))</f>
        <v>14.285714285714285</v>
      </c>
      <c r="D195" s="5">
        <f>(M114*($E114/365))+(M115*($E115/365))</f>
        <v>28.571428571428569</v>
      </c>
      <c r="E195" s="17">
        <f t="shared" si="34"/>
        <v>99.999999999999986</v>
      </c>
      <c r="G195" s="1">
        <v>2013</v>
      </c>
      <c r="H195" s="392">
        <f>(O114/$R114*100*($E114/365))+(O115/$R115*100*($E115/365))</f>
        <v>55.688622754491014</v>
      </c>
      <c r="I195" s="392"/>
      <c r="J195" s="392">
        <f>(P114/$R114*100*($E114/365))+(P115/$R115*100*($E115/365))</f>
        <v>16.766467065868262</v>
      </c>
      <c r="K195" s="392"/>
      <c r="L195" s="392">
        <f>(Q114/$R114*100*($E114/365))+(Q115/$R115*100*($E115/365))</f>
        <v>27.54491017964072</v>
      </c>
      <c r="M195" s="392"/>
      <c r="N195" s="363">
        <f>H195+J195+L195</f>
        <v>100</v>
      </c>
      <c r="O195" s="363"/>
      <c r="R195" s="1">
        <v>2013</v>
      </c>
      <c r="S195" s="5">
        <f>(O114*($E114/365))+(O115*($E115/365))</f>
        <v>46.5</v>
      </c>
      <c r="T195" s="5">
        <f>(P114*($E114/365))+(P115*($E115/365))</f>
        <v>14</v>
      </c>
      <c r="U195" s="5">
        <f>(Q114*($E114/365))+(Q115*($E115/365))</f>
        <v>23</v>
      </c>
      <c r="W195" s="5">
        <f t="shared" si="35"/>
        <v>83.5</v>
      </c>
    </row>
    <row r="196" spans="1:23" x14ac:dyDescent="0.15">
      <c r="A196" s="1">
        <v>2014</v>
      </c>
      <c r="B196" s="5">
        <f>(K116*($E116/365))+(K117*($E117/365))</f>
        <v>57.142857142857139</v>
      </c>
      <c r="C196" s="5">
        <f>(L116*($E116/365))+(L117*($E117/365))</f>
        <v>14.285714285714285</v>
      </c>
      <c r="D196" s="5">
        <f>(M116*($E116/365))+(M117*($E117/365))</f>
        <v>28.571428571428569</v>
      </c>
      <c r="E196" s="17">
        <f>B196+C196+D196</f>
        <v>99.999999999999986</v>
      </c>
      <c r="G196" s="1">
        <v>2014</v>
      </c>
      <c r="H196" s="392">
        <f>(O116/$R116*100*($E116/365))+(O117/$R117*100*($E117/365))</f>
        <v>55.688622754491014</v>
      </c>
      <c r="I196" s="392"/>
      <c r="J196" s="392">
        <f>(P116/$R116*100*($E116/365))+(P117/$R117*100*($E117/365))</f>
        <v>16.766467065868262</v>
      </c>
      <c r="K196" s="392"/>
      <c r="L196" s="392">
        <f>(Q116/$R116*100*($E116/365))+(Q117/$R117*100*($E117/365))</f>
        <v>27.54491017964072</v>
      </c>
      <c r="M196" s="392"/>
      <c r="N196" s="363">
        <f>H196+J196+L196</f>
        <v>100</v>
      </c>
      <c r="O196" s="363"/>
      <c r="R196" s="1">
        <v>2014</v>
      </c>
      <c r="S196" s="5">
        <f>(O116*($E116/365))+(O117*($E117/365))</f>
        <v>46.5</v>
      </c>
      <c r="T196" s="5">
        <f>(P116*($E116/365))+(P117*($E117/365))</f>
        <v>14</v>
      </c>
      <c r="U196" s="5">
        <f>(Q116*($E116/365))+(Q117*($E117/365))</f>
        <v>23</v>
      </c>
      <c r="W196" s="5">
        <f>S196+T196+U196</f>
        <v>83.5</v>
      </c>
    </row>
    <row r="197" spans="1:23" x14ac:dyDescent="0.15">
      <c r="A197" s="1">
        <v>2015</v>
      </c>
      <c r="B197" s="5">
        <f>(K118*($E118/365))+(K119*($E119/365))</f>
        <v>57.142857142857139</v>
      </c>
      <c r="C197" s="5">
        <f>(L118*($E118/365))+(L119*($E119/365))</f>
        <v>14.285714285714285</v>
      </c>
      <c r="D197" s="5">
        <f>(M118*($E118/365))+(M119*($E119/365))</f>
        <v>28.571428571428569</v>
      </c>
      <c r="E197" s="17">
        <f>B197+C197+D197</f>
        <v>99.999999999999986</v>
      </c>
      <c r="G197" s="1">
        <v>2015</v>
      </c>
      <c r="H197" s="392">
        <f>(O118/$R118*100*($E118/365))+(O119/$R119*100*($E119/365))</f>
        <v>55.550296786339985</v>
      </c>
      <c r="I197" s="392"/>
      <c r="J197" s="392">
        <f>(P118/$R118*100*($E118/365))+(P119/$R119*100*($E119/365))</f>
        <v>16.673041426866909</v>
      </c>
      <c r="K197" s="392"/>
      <c r="L197" s="392">
        <f>(Q118/$R118*100*($E118/365))+(Q119/$R119*100*($E119/365))</f>
        <v>27.77666178679311</v>
      </c>
      <c r="M197" s="392"/>
      <c r="N197" s="363">
        <f>H197+J197+L197</f>
        <v>100</v>
      </c>
      <c r="O197" s="363"/>
      <c r="R197" s="1">
        <v>2015</v>
      </c>
      <c r="S197" s="5">
        <f>(O118*($E118/365))+(O119*($E119/365))</f>
        <v>46.657534246575345</v>
      </c>
      <c r="T197" s="5">
        <f>(P118*($E118/365))+(P119*($E119/365))</f>
        <v>14</v>
      </c>
      <c r="U197" s="5">
        <f>(Q118*($E118/365))+(Q119*($E119/365))</f>
        <v>23.352876712328769</v>
      </c>
      <c r="W197" s="5">
        <f>S197+T197+U197</f>
        <v>84.010410958904117</v>
      </c>
    </row>
    <row r="198" spans="1:23" x14ac:dyDescent="0.15">
      <c r="A198" s="1">
        <v>2016</v>
      </c>
      <c r="B198" s="5">
        <f>(K120*($E120/366))+(K121*($E121/366))</f>
        <v>57.142857142857139</v>
      </c>
      <c r="C198" s="5">
        <f>(L120*($E120/366))+(L121*($E121/366))</f>
        <v>14.285714285714285</v>
      </c>
      <c r="D198" s="5">
        <f>(M120*($E120/366))+(M121*($E121/366))</f>
        <v>28.571428571428569</v>
      </c>
      <c r="E198" s="17">
        <f t="shared" ref="E198" si="37">B198+C198+D198</f>
        <v>99.999999999999986</v>
      </c>
      <c r="G198" s="1">
        <v>2016</v>
      </c>
      <c r="H198" s="392">
        <f>(O120/$R120*100*($E120/366))+(O121/$R121*100*($E121/366))</f>
        <v>53.493449781659393</v>
      </c>
      <c r="I198" s="392"/>
      <c r="J198" s="392">
        <f>(P120/$R120*100*($E120/366))+(P121/$R121*100*($E121/366))</f>
        <v>15.283842794759828</v>
      </c>
      <c r="K198" s="392"/>
      <c r="L198" s="392">
        <f>(Q120/$R120*100*($E120/366))+(Q121/$R121*100*($E121/366))</f>
        <v>31.222707423580793</v>
      </c>
      <c r="M198" s="392"/>
      <c r="N198" s="363">
        <f t="shared" ref="N198" si="38">H198+J198+L198</f>
        <v>100.00000000000003</v>
      </c>
      <c r="O198" s="363"/>
      <c r="R198" s="1">
        <v>2016</v>
      </c>
      <c r="S198" s="5">
        <f>(O120*($E120/366))+(O121*($E121/366))</f>
        <v>49</v>
      </c>
      <c r="T198" s="5">
        <f>(P120*($E120/366))+(P121*($E121/366))</f>
        <v>14</v>
      </c>
      <c r="U198" s="5">
        <f>(Q120*($E120/366))+(Q121*($E121/366))</f>
        <v>28.6</v>
      </c>
      <c r="W198" s="5">
        <f t="shared" ref="W198" si="39">S198+T198+U198</f>
        <v>91.6</v>
      </c>
    </row>
    <row r="199" spans="1:23" x14ac:dyDescent="0.15">
      <c r="A199" s="1">
        <v>2017</v>
      </c>
      <c r="B199" s="5">
        <f>(K122*($E122/365))+(K123*($E123/365))</f>
        <v>57.142857142857139</v>
      </c>
      <c r="C199" s="5">
        <f t="shared" ref="C199:D199" si="40">(L122*($E122/365))+(L123*($E123/365))</f>
        <v>14.285714285714285</v>
      </c>
      <c r="D199" s="5">
        <f t="shared" si="40"/>
        <v>28.571428571428569</v>
      </c>
      <c r="E199" s="17">
        <f t="shared" ref="E199" si="41">B199+C199+D199</f>
        <v>99.999999999999986</v>
      </c>
      <c r="G199" s="1">
        <v>2017</v>
      </c>
      <c r="H199" s="392">
        <f>(O122/$R122*100*($E122/365))+(O123/$R123*100*($E123/365))</f>
        <v>53.493449781659393</v>
      </c>
      <c r="I199" s="392"/>
      <c r="J199" s="392">
        <f>(P122/$R122*100*($E122/365))+(P123/$R123*100*($E123/365))</f>
        <v>15.283842794759828</v>
      </c>
      <c r="K199" s="392"/>
      <c r="L199" s="392">
        <f>(Q122/$R122*100*($E122/365))+(Q123/$R123*100*($E123/365))</f>
        <v>31.222707423580793</v>
      </c>
      <c r="M199" s="392"/>
      <c r="N199" s="363">
        <f t="shared" ref="N199" si="42">H199+J199+L199</f>
        <v>100.00000000000003</v>
      </c>
      <c r="O199" s="363"/>
      <c r="R199" s="1">
        <v>2017</v>
      </c>
      <c r="S199" s="5">
        <f>(O122*($E122/365))+(O123*($E123/365))</f>
        <v>49</v>
      </c>
      <c r="T199" s="5">
        <f t="shared" ref="T199:U199" si="43">(P122*($E122/365))+(P123*($E123/365))</f>
        <v>14</v>
      </c>
      <c r="U199" s="5">
        <f t="shared" si="43"/>
        <v>28.6</v>
      </c>
      <c r="W199" s="5">
        <f t="shared" ref="W199" si="44">S199+T199+U199</f>
        <v>91.6</v>
      </c>
    </row>
    <row r="200" spans="1:23" x14ac:dyDescent="0.15">
      <c r="A200" s="1">
        <v>2018</v>
      </c>
      <c r="B200" s="5">
        <f>(K124*($E124/365))+(K125*($E125/365))</f>
        <v>57.142857142857139</v>
      </c>
      <c r="C200" s="5">
        <f>(L124*($E124/365))+(L125*($E125/365))</f>
        <v>14.285714285714285</v>
      </c>
      <c r="D200" s="5">
        <f>(M124*($E124/365))+(M125*($E125/365))</f>
        <v>28.571428571428569</v>
      </c>
      <c r="E200" s="17">
        <f t="shared" ref="E200" si="45">B200+C200+D200</f>
        <v>99.999999999999986</v>
      </c>
      <c r="G200" s="1">
        <v>2018</v>
      </c>
      <c r="H200" s="392">
        <f>(O124/$R124*100*($E124/365))+(O125/$R125*100*($E125/365))</f>
        <v>53.493449781659393</v>
      </c>
      <c r="I200" s="392"/>
      <c r="J200" s="392">
        <f>(P124/$R124*100*($E124/365))+(P125/$R125*100*($E125/365))</f>
        <v>15.283842794759828</v>
      </c>
      <c r="K200" s="392"/>
      <c r="L200" s="392">
        <f>(Q124/$R124*100*($E124/365))+(Q125/$R125*100*($E125/365))</f>
        <v>31.222707423580793</v>
      </c>
      <c r="M200" s="392"/>
      <c r="N200" s="363">
        <f t="shared" ref="N200" si="46">H200+J200+L200</f>
        <v>100.00000000000003</v>
      </c>
      <c r="O200" s="363"/>
      <c r="R200" s="1">
        <v>2018</v>
      </c>
      <c r="S200" s="5">
        <f>(O124*($E124/365))+(O125*($E125/365))</f>
        <v>49</v>
      </c>
      <c r="T200" s="5">
        <f>(P124*($E124/365))+(P125*($E125/365))</f>
        <v>14</v>
      </c>
      <c r="U200" s="5">
        <f>(Q124*($E124/365))+(Q125*($E125/365))</f>
        <v>28.6</v>
      </c>
      <c r="W200" s="5">
        <f t="shared" ref="W200" si="47">S200+T200+U200</f>
        <v>91.6</v>
      </c>
    </row>
    <row r="201" spans="1:23" x14ac:dyDescent="0.15">
      <c r="A201" s="1">
        <v>2019</v>
      </c>
      <c r="B201" s="5">
        <f>(K126*($E126/365))+(K127*($E127/365))</f>
        <v>57.142857142857139</v>
      </c>
      <c r="C201" s="5">
        <f>(L126*($E126/365))+(L127*($E127/365))</f>
        <v>14.285714285714285</v>
      </c>
      <c r="D201" s="5">
        <f>(M126*($E126/365))+(M127*($E127/365))</f>
        <v>28.571428571428569</v>
      </c>
      <c r="E201" s="17">
        <f t="shared" ref="E201:E202" si="48">B201+C201+D201</f>
        <v>99.999999999999986</v>
      </c>
      <c r="G201" s="1">
        <v>2019</v>
      </c>
      <c r="H201" s="392">
        <f>(O126/$R126*100*($E126/365))+(O127/$R127*100*($E127/365))</f>
        <v>53.510154887794421</v>
      </c>
      <c r="I201" s="392"/>
      <c r="J201" s="392">
        <f>(P126/$R126*100*($E126/365))+(P127/$R127*100*($E127/365))</f>
        <v>15.698487393468554</v>
      </c>
      <c r="K201" s="392"/>
      <c r="L201" s="392">
        <f>(Q126/$R126*100*($E126/365))+(Q127/$R127*100*($E127/365))</f>
        <v>30.791357718737039</v>
      </c>
      <c r="M201" s="392"/>
      <c r="N201" s="363">
        <f t="shared" ref="N201" si="49">H201+J201+L201</f>
        <v>100</v>
      </c>
      <c r="O201" s="363"/>
      <c r="R201" s="1">
        <v>2019</v>
      </c>
      <c r="S201" s="5">
        <f>(O126*($E126/365))+(O127*($E127/365))</f>
        <v>48.332602739726028</v>
      </c>
      <c r="T201" s="5">
        <f>(P126*($E126/365))+(P127*($E127/365))</f>
        <v>14.11917808219178</v>
      </c>
      <c r="U201" s="5">
        <f>(Q126*($E126/365))+(Q127*($E127/365))</f>
        <v>27.876986301369865</v>
      </c>
      <c r="W201" s="5">
        <f t="shared" ref="W201:W202" si="50">S201+T201+U201</f>
        <v>90.328767123287676</v>
      </c>
    </row>
    <row r="202" spans="1:23" x14ac:dyDescent="0.15">
      <c r="A202" s="1">
        <v>2020</v>
      </c>
      <c r="B202" s="5">
        <f>(K128*($E128/366))+(K129*($E129/366))</f>
        <v>57.142857142857139</v>
      </c>
      <c r="C202" s="5">
        <f>(L128*($E128/366))+(L129*($E129/366))</f>
        <v>14.285714285714285</v>
      </c>
      <c r="D202" s="5">
        <f>(M128*($E128/366))+(M129*($E129/366))</f>
        <v>28.571428571428569</v>
      </c>
      <c r="E202" s="17">
        <f t="shared" si="48"/>
        <v>99.999999999999986</v>
      </c>
      <c r="G202" s="1">
        <v>2020</v>
      </c>
      <c r="H202" s="392">
        <f>(O128/$R128*100*($E128/366))+(O129/$R129*100*($E129/366))</f>
        <v>53.703703703703709</v>
      </c>
      <c r="I202" s="392"/>
      <c r="J202" s="392">
        <f>(P128/$R128*100*($E128/366))+(P129/$R129*100*($E129/366))</f>
        <v>20.502645502645503</v>
      </c>
      <c r="K202" s="392"/>
      <c r="L202" s="392">
        <f>(Q128/$R128*100*($E128/366))+(Q129/$R129*100*($E129/366))</f>
        <v>25.793650793650798</v>
      </c>
      <c r="M202" s="392"/>
      <c r="N202" s="363">
        <f t="shared" ref="N202" si="51">H202+J202+L202</f>
        <v>100.00000000000001</v>
      </c>
      <c r="O202" s="363"/>
      <c r="R202" s="1">
        <v>2020</v>
      </c>
      <c r="S202" s="5">
        <f>(O128*($E128/366))+(O129*($E129/366))</f>
        <v>40.6</v>
      </c>
      <c r="T202" s="5">
        <f>(P128*($E128/366))+(P129*($E129/366))</f>
        <v>15.5</v>
      </c>
      <c r="U202" s="5">
        <f>(Q128*($E128/366))+(Q129*($E129/366))</f>
        <v>19.5</v>
      </c>
      <c r="W202" s="5">
        <f t="shared" si="50"/>
        <v>75.599999999999994</v>
      </c>
    </row>
    <row r="203" spans="1:23" x14ac:dyDescent="0.15">
      <c r="A203" s="1">
        <v>2021</v>
      </c>
      <c r="B203" s="5">
        <f>(K130*($E130/365))+(K131*($E131/365))</f>
        <v>57.142857142857139</v>
      </c>
      <c r="C203" s="5">
        <f>(L130*($E130/365))+(L131*($E131/365))</f>
        <v>14.285714285714285</v>
      </c>
      <c r="D203" s="5">
        <f>(M130*($E130/365))+(M131*($E131/365))</f>
        <v>28.571428571428569</v>
      </c>
      <c r="E203" s="17">
        <f t="shared" ref="E203" si="52">B203+C203+D203</f>
        <v>99.999999999999986</v>
      </c>
      <c r="G203" s="1">
        <v>2021</v>
      </c>
      <c r="H203" s="392">
        <f>(O130/$R130*100*($E130/365))+(O131/$R131*100*($E131/365))</f>
        <v>53.703703703703709</v>
      </c>
      <c r="I203" s="392"/>
      <c r="J203" s="392">
        <f>(P130/$R130*100*($E130/365))+(P131/$R131*100*($E131/365))</f>
        <v>20.502645502645503</v>
      </c>
      <c r="K203" s="392"/>
      <c r="L203" s="392">
        <f>(Q130/$R130*100*($E130/365))+(Q131/$R131*100*($E131/365))</f>
        <v>25.793650793650798</v>
      </c>
      <c r="M203" s="392"/>
      <c r="N203" s="363">
        <f t="shared" ref="N203" si="53">H203+J203+L203</f>
        <v>100.00000000000001</v>
      </c>
      <c r="O203" s="363"/>
      <c r="R203" s="1">
        <v>2021</v>
      </c>
      <c r="S203" s="5">
        <f>(O130*($E130/365))+(O131*($E131/365))</f>
        <v>40.6</v>
      </c>
      <c r="T203" s="5">
        <f>(P130*($E130/365))+(P131*($E131/365))</f>
        <v>15.5</v>
      </c>
      <c r="U203" s="5">
        <f>(Q130*($E130/365))+(Q131*($E131/365))</f>
        <v>19.5</v>
      </c>
      <c r="W203" s="5">
        <f t="shared" ref="W203" si="54">S203+T203+U203</f>
        <v>75.599999999999994</v>
      </c>
    </row>
    <row r="204" spans="1:23" x14ac:dyDescent="0.15">
      <c r="A204" s="1">
        <v>2022</v>
      </c>
      <c r="B204" s="5">
        <f>(K133*($E133/365))+(K132*($E132/365))</f>
        <v>57.142857142857139</v>
      </c>
      <c r="C204" s="5">
        <f>(L133*($E133/365))+(L132*($E132/365))</f>
        <v>14.285714285714285</v>
      </c>
      <c r="D204" s="5">
        <f>(M133*($E133/365))+(M132*($E132/365))</f>
        <v>28.571428571428569</v>
      </c>
      <c r="E204" s="17">
        <f t="shared" ref="E204" si="55">B204+C204+D204</f>
        <v>99.999999999999986</v>
      </c>
      <c r="G204" s="1">
        <v>2022</v>
      </c>
      <c r="H204" s="392">
        <f>(O133/$R133*100*($E133/365))+(O132/$R132*100*($E132/365))</f>
        <v>53.703703703703709</v>
      </c>
      <c r="I204" s="392"/>
      <c r="J204" s="392">
        <f>(P133/$R133*100*($E133/365))+(P132/$R132*100*($E132/365))</f>
        <v>20.502645502645503</v>
      </c>
      <c r="K204" s="392"/>
      <c r="L204" s="392">
        <f>(Q133/$R133*100*($E133/365))+(Q132/$R132*100*($E132/365))</f>
        <v>25.793650793650798</v>
      </c>
      <c r="M204" s="392"/>
      <c r="N204" s="363">
        <f t="shared" ref="N204" si="56">H204+J204+L204</f>
        <v>100.00000000000001</v>
      </c>
      <c r="O204" s="363"/>
      <c r="R204" s="1">
        <v>2022</v>
      </c>
      <c r="S204" s="5">
        <f>(O133*($E133/365))+(O132*($E132/365))</f>
        <v>40.6</v>
      </c>
      <c r="T204" s="5">
        <f>(P133*($E133/365))+(P132*($E132/365))</f>
        <v>15.5</v>
      </c>
      <c r="U204" s="5">
        <f>(Q133*($E133/365))+(Q132*($E132/365))</f>
        <v>19.5</v>
      </c>
      <c r="W204" s="5">
        <f t="shared" ref="W204" si="57">S204+T204+U204</f>
        <v>75.599999999999994</v>
      </c>
    </row>
  </sheetData>
  <mergeCells count="410">
    <mergeCell ref="C132:D132"/>
    <mergeCell ref="C131:D131"/>
    <mergeCell ref="H203:I203"/>
    <mergeCell ref="J203:K203"/>
    <mergeCell ref="L203:M203"/>
    <mergeCell ref="N203:O203"/>
    <mergeCell ref="H200:I200"/>
    <mergeCell ref="J200:K200"/>
    <mergeCell ref="L200:M200"/>
    <mergeCell ref="N200:O200"/>
    <mergeCell ref="L191:M191"/>
    <mergeCell ref="J194:K194"/>
    <mergeCell ref="L174:M174"/>
    <mergeCell ref="L175:M175"/>
    <mergeCell ref="N172:O172"/>
    <mergeCell ref="N173:O173"/>
    <mergeCell ref="N174:O174"/>
    <mergeCell ref="N168:O168"/>
    <mergeCell ref="N170:O170"/>
    <mergeCell ref="N166:O166"/>
    <mergeCell ref="J174:K174"/>
    <mergeCell ref="J175:K175"/>
    <mergeCell ref="J170:K170"/>
    <mergeCell ref="L170:M170"/>
    <mergeCell ref="C122:D122"/>
    <mergeCell ref="C123:D123"/>
    <mergeCell ref="H198:I198"/>
    <mergeCell ref="J198:K198"/>
    <mergeCell ref="L198:M198"/>
    <mergeCell ref="N198:O198"/>
    <mergeCell ref="L176:M176"/>
    <mergeCell ref="J186:K186"/>
    <mergeCell ref="J187:K187"/>
    <mergeCell ref="J188:K188"/>
    <mergeCell ref="J181:K181"/>
    <mergeCell ref="J182:K182"/>
    <mergeCell ref="J183:K183"/>
    <mergeCell ref="J184:K184"/>
    <mergeCell ref="J185:K185"/>
    <mergeCell ref="J171:K171"/>
    <mergeCell ref="H197:I197"/>
    <mergeCell ref="J197:K197"/>
    <mergeCell ref="L197:M197"/>
    <mergeCell ref="N197:O197"/>
    <mergeCell ref="N191:O191"/>
    <mergeCell ref="N188:O188"/>
    <mergeCell ref="N189:O189"/>
    <mergeCell ref="N190:O190"/>
    <mergeCell ref="R138:W138"/>
    <mergeCell ref="N171:O171"/>
    <mergeCell ref="J173:K173"/>
    <mergeCell ref="N162:O162"/>
    <mergeCell ref="J160:K160"/>
    <mergeCell ref="L160:M160"/>
    <mergeCell ref="N160:O160"/>
    <mergeCell ref="J180:K180"/>
    <mergeCell ref="L161:M161"/>
    <mergeCell ref="N161:O161"/>
    <mergeCell ref="J162:K162"/>
    <mergeCell ref="L162:M162"/>
    <mergeCell ref="L142:M142"/>
    <mergeCell ref="N142:O142"/>
    <mergeCell ref="L163:M163"/>
    <mergeCell ref="N163:O163"/>
    <mergeCell ref="J158:K158"/>
    <mergeCell ref="L158:M158"/>
    <mergeCell ref="N158:O158"/>
    <mergeCell ref="J159:K159"/>
    <mergeCell ref="N175:O175"/>
    <mergeCell ref="L171:M171"/>
    <mergeCell ref="L172:M172"/>
    <mergeCell ref="L173:M173"/>
    <mergeCell ref="L181:M181"/>
    <mergeCell ref="J189:K189"/>
    <mergeCell ref="J172:K172"/>
    <mergeCell ref="H175:I175"/>
    <mergeCell ref="N184:O184"/>
    <mergeCell ref="N185:O185"/>
    <mergeCell ref="N186:O186"/>
    <mergeCell ref="N187:O187"/>
    <mergeCell ref="L177:M177"/>
    <mergeCell ref="L178:M178"/>
    <mergeCell ref="L179:M179"/>
    <mergeCell ref="H172:I172"/>
    <mergeCell ref="H173:I173"/>
    <mergeCell ref="N176:O176"/>
    <mergeCell ref="N179:O179"/>
    <mergeCell ref="J176:K176"/>
    <mergeCell ref="J177:K177"/>
    <mergeCell ref="J178:K178"/>
    <mergeCell ref="J179:K179"/>
    <mergeCell ref="H174:I174"/>
    <mergeCell ref="L187:M187"/>
    <mergeCell ref="AX4:BA4"/>
    <mergeCell ref="C114:D114"/>
    <mergeCell ref="C115:D115"/>
    <mergeCell ref="H195:I195"/>
    <mergeCell ref="J195:K195"/>
    <mergeCell ref="L195:M195"/>
    <mergeCell ref="N177:O177"/>
    <mergeCell ref="N178:O178"/>
    <mergeCell ref="N193:O193"/>
    <mergeCell ref="C116:D116"/>
    <mergeCell ref="C117:D117"/>
    <mergeCell ref="N194:O194"/>
    <mergeCell ref="N192:O192"/>
    <mergeCell ref="N180:O180"/>
    <mergeCell ref="N181:O181"/>
    <mergeCell ref="N182:O182"/>
    <mergeCell ref="N183:O183"/>
    <mergeCell ref="H140:I140"/>
    <mergeCell ref="N195:O195"/>
    <mergeCell ref="AT4:AW4"/>
    <mergeCell ref="H171:I171"/>
    <mergeCell ref="J169:K169"/>
    <mergeCell ref="L169:M169"/>
    <mergeCell ref="N169:O169"/>
    <mergeCell ref="H164:I164"/>
    <mergeCell ref="J164:K164"/>
    <mergeCell ref="L164:M164"/>
    <mergeCell ref="N164:O164"/>
    <mergeCell ref="H165:I165"/>
    <mergeCell ref="J165:K165"/>
    <mergeCell ref="L165:M165"/>
    <mergeCell ref="N165:O165"/>
    <mergeCell ref="N159:O159"/>
    <mergeCell ref="H160:I160"/>
    <mergeCell ref="J161:K161"/>
    <mergeCell ref="H192:I192"/>
    <mergeCell ref="H193:I193"/>
    <mergeCell ref="H194:I194"/>
    <mergeCell ref="H183:I183"/>
    <mergeCell ref="H184:I184"/>
    <mergeCell ref="H185:I185"/>
    <mergeCell ref="H186:I186"/>
    <mergeCell ref="H187:I187"/>
    <mergeCell ref="H188:I188"/>
    <mergeCell ref="H191:I191"/>
    <mergeCell ref="J192:K192"/>
    <mergeCell ref="J193:K193"/>
    <mergeCell ref="H158:I158"/>
    <mergeCell ref="H159:I159"/>
    <mergeCell ref="L159:M159"/>
    <mergeCell ref="L188:M188"/>
    <mergeCell ref="L189:M189"/>
    <mergeCell ref="L180:M180"/>
    <mergeCell ref="L182:M182"/>
    <mergeCell ref="H176:I176"/>
    <mergeCell ref="H163:I163"/>
    <mergeCell ref="J163:K163"/>
    <mergeCell ref="H161:I161"/>
    <mergeCell ref="H162:I162"/>
    <mergeCell ref="H181:I181"/>
    <mergeCell ref="H182:I182"/>
    <mergeCell ref="H166:I166"/>
    <mergeCell ref="J166:K166"/>
    <mergeCell ref="L166:M166"/>
    <mergeCell ref="H169:I169"/>
    <mergeCell ref="H167:I167"/>
    <mergeCell ref="J167:K167"/>
    <mergeCell ref="L168:M168"/>
    <mergeCell ref="H170:I170"/>
    <mergeCell ref="N196:O196"/>
    <mergeCell ref="L167:M167"/>
    <mergeCell ref="N167:O167"/>
    <mergeCell ref="H168:I168"/>
    <mergeCell ref="J168:K168"/>
    <mergeCell ref="H189:I189"/>
    <mergeCell ref="H190:I190"/>
    <mergeCell ref="H177:I177"/>
    <mergeCell ref="H178:I178"/>
    <mergeCell ref="H179:I179"/>
    <mergeCell ref="H180:I180"/>
    <mergeCell ref="J190:K190"/>
    <mergeCell ref="J191:K191"/>
    <mergeCell ref="L192:M192"/>
    <mergeCell ref="L193:M193"/>
    <mergeCell ref="L190:M190"/>
    <mergeCell ref="H196:I196"/>
    <mergeCell ref="J196:K196"/>
    <mergeCell ref="L196:M196"/>
    <mergeCell ref="L194:M194"/>
    <mergeCell ref="L183:M183"/>
    <mergeCell ref="L184:M184"/>
    <mergeCell ref="L185:M185"/>
    <mergeCell ref="L186:M186"/>
    <mergeCell ref="H156:I156"/>
    <mergeCell ref="J156:K156"/>
    <mergeCell ref="L156:M156"/>
    <mergeCell ref="N156:O156"/>
    <mergeCell ref="H157:I157"/>
    <mergeCell ref="J157:K157"/>
    <mergeCell ref="L157:M157"/>
    <mergeCell ref="N157:O157"/>
    <mergeCell ref="H154:I154"/>
    <mergeCell ref="J154:K154"/>
    <mergeCell ref="L154:M154"/>
    <mergeCell ref="N154:O154"/>
    <mergeCell ref="H155:I155"/>
    <mergeCell ref="J155:K155"/>
    <mergeCell ref="L155:M155"/>
    <mergeCell ref="N155:O155"/>
    <mergeCell ref="N146:O146"/>
    <mergeCell ref="H147:I147"/>
    <mergeCell ref="J147:K147"/>
    <mergeCell ref="L147:M147"/>
    <mergeCell ref="N147:O147"/>
    <mergeCell ref="H153:I153"/>
    <mergeCell ref="J153:K153"/>
    <mergeCell ref="L153:M153"/>
    <mergeCell ref="N153:O153"/>
    <mergeCell ref="H150:I150"/>
    <mergeCell ref="J150:K150"/>
    <mergeCell ref="L150:M150"/>
    <mergeCell ref="N150:O150"/>
    <mergeCell ref="H151:I151"/>
    <mergeCell ref="J151:K151"/>
    <mergeCell ref="L151:M151"/>
    <mergeCell ref="N151:O151"/>
    <mergeCell ref="G3:M3"/>
    <mergeCell ref="O3:Q3"/>
    <mergeCell ref="N141:O141"/>
    <mergeCell ref="L140:M140"/>
    <mergeCell ref="N140:O140"/>
    <mergeCell ref="J141:K141"/>
    <mergeCell ref="L141:M141"/>
    <mergeCell ref="J140:K140"/>
    <mergeCell ref="A4:A5"/>
    <mergeCell ref="B4:B5"/>
    <mergeCell ref="C4:D5"/>
    <mergeCell ref="E4:E5"/>
    <mergeCell ref="F4:F5"/>
    <mergeCell ref="G4:J4"/>
    <mergeCell ref="C11:D11"/>
    <mergeCell ref="C12:D12"/>
    <mergeCell ref="C9:D9"/>
    <mergeCell ref="C10:D10"/>
    <mergeCell ref="C13:D13"/>
    <mergeCell ref="C14:D14"/>
    <mergeCell ref="C15:D15"/>
    <mergeCell ref="C16:D16"/>
    <mergeCell ref="C17:D17"/>
    <mergeCell ref="C18:D18"/>
    <mergeCell ref="C19:D19"/>
    <mergeCell ref="C20:D20"/>
    <mergeCell ref="C21:D21"/>
    <mergeCell ref="C22:D22"/>
    <mergeCell ref="C23:D23"/>
    <mergeCell ref="C24:D24"/>
    <mergeCell ref="Z4:AC4"/>
    <mergeCell ref="AD4:AG4"/>
    <mergeCell ref="AH4:AK4"/>
    <mergeCell ref="AL4:AO4"/>
    <mergeCell ref="U4:U5"/>
    <mergeCell ref="V4:Y4"/>
    <mergeCell ref="AP4:AS4"/>
    <mergeCell ref="C8:D8"/>
    <mergeCell ref="K4:N4"/>
    <mergeCell ref="O4:R4"/>
    <mergeCell ref="S4:S5"/>
    <mergeCell ref="T4:T5"/>
    <mergeCell ref="C7:D7"/>
    <mergeCell ref="C6:D6"/>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76:D76"/>
    <mergeCell ref="C77:D77"/>
    <mergeCell ref="C78:D78"/>
    <mergeCell ref="C67:D67"/>
    <mergeCell ref="C68:D68"/>
    <mergeCell ref="C69:D69"/>
    <mergeCell ref="C70:D70"/>
    <mergeCell ref="C71:D71"/>
    <mergeCell ref="C72:D72"/>
    <mergeCell ref="C73:D73"/>
    <mergeCell ref="C74:D74"/>
    <mergeCell ref="C75:D75"/>
    <mergeCell ref="C58:D58"/>
    <mergeCell ref="C59:D59"/>
    <mergeCell ref="C60:D60"/>
    <mergeCell ref="C61:D61"/>
    <mergeCell ref="C62:D62"/>
    <mergeCell ref="C63:D63"/>
    <mergeCell ref="C64:D64"/>
    <mergeCell ref="C65:D65"/>
    <mergeCell ref="C66:D66"/>
    <mergeCell ref="C113:D113"/>
    <mergeCell ref="C105:D105"/>
    <mergeCell ref="C106:D106"/>
    <mergeCell ref="C107:D107"/>
    <mergeCell ref="C108:D108"/>
    <mergeCell ref="C109:D109"/>
    <mergeCell ref="C79:D79"/>
    <mergeCell ref="C80:D80"/>
    <mergeCell ref="C81:D81"/>
    <mergeCell ref="C85:D85"/>
    <mergeCell ref="C86:D86"/>
    <mergeCell ref="C87:D87"/>
    <mergeCell ref="C96:D96"/>
    <mergeCell ref="C110:D110"/>
    <mergeCell ref="C103:D103"/>
    <mergeCell ref="C104:D104"/>
    <mergeCell ref="C111:D111"/>
    <mergeCell ref="C112:D112"/>
    <mergeCell ref="C94:D94"/>
    <mergeCell ref="C95:D95"/>
    <mergeCell ref="C82:D82"/>
    <mergeCell ref="C83:D83"/>
    <mergeCell ref="C84:D84"/>
    <mergeCell ref="C88:D88"/>
    <mergeCell ref="C89:D89"/>
    <mergeCell ref="C90:D90"/>
    <mergeCell ref="H141:I141"/>
    <mergeCell ref="C102:D102"/>
    <mergeCell ref="C91:D91"/>
    <mergeCell ref="C92:D92"/>
    <mergeCell ref="C93:D93"/>
    <mergeCell ref="C97:D97"/>
    <mergeCell ref="C98:D98"/>
    <mergeCell ref="C99:D99"/>
    <mergeCell ref="C100:D100"/>
    <mergeCell ref="C101:D101"/>
    <mergeCell ref="C128:D128"/>
    <mergeCell ref="C129:D129"/>
    <mergeCell ref="C119:D119"/>
    <mergeCell ref="C120:D120"/>
    <mergeCell ref="C121:D121"/>
    <mergeCell ref="C124:D124"/>
    <mergeCell ref="C125:D125"/>
    <mergeCell ref="C118:D118"/>
    <mergeCell ref="C130:D130"/>
    <mergeCell ref="C126:D126"/>
    <mergeCell ref="C127:D127"/>
    <mergeCell ref="H201:I201"/>
    <mergeCell ref="J201:K201"/>
    <mergeCell ref="L201:M201"/>
    <mergeCell ref="N201:O201"/>
    <mergeCell ref="H199:I199"/>
    <mergeCell ref="J199:K199"/>
    <mergeCell ref="L199:M199"/>
    <mergeCell ref="N199:O199"/>
    <mergeCell ref="H144:I144"/>
    <mergeCell ref="J144:K144"/>
    <mergeCell ref="L144:M144"/>
    <mergeCell ref="N144:O144"/>
    <mergeCell ref="H145:I145"/>
    <mergeCell ref="J145:K145"/>
    <mergeCell ref="L145:M145"/>
    <mergeCell ref="N145:O145"/>
    <mergeCell ref="H142:I142"/>
    <mergeCell ref="J142:K142"/>
    <mergeCell ref="H143:I143"/>
    <mergeCell ref="J143:K143"/>
    <mergeCell ref="L143:M143"/>
    <mergeCell ref="N143:O143"/>
    <mergeCell ref="C133:D133"/>
    <mergeCell ref="H204:I204"/>
    <mergeCell ref="J204:K204"/>
    <mergeCell ref="L204:M204"/>
    <mergeCell ref="N204:O204"/>
    <mergeCell ref="H202:I202"/>
    <mergeCell ref="J202:K202"/>
    <mergeCell ref="L202:M202"/>
    <mergeCell ref="N202:O202"/>
    <mergeCell ref="H152:I152"/>
    <mergeCell ref="J152:K152"/>
    <mergeCell ref="L152:M152"/>
    <mergeCell ref="N152:O152"/>
    <mergeCell ref="H148:I148"/>
    <mergeCell ref="J148:K148"/>
    <mergeCell ref="L148:M148"/>
    <mergeCell ref="N148:O148"/>
    <mergeCell ref="H149:I149"/>
    <mergeCell ref="J149:K149"/>
    <mergeCell ref="L149:M149"/>
    <mergeCell ref="N149:O149"/>
    <mergeCell ref="H146:I146"/>
    <mergeCell ref="J146:K146"/>
    <mergeCell ref="L146:M146"/>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BA214"/>
  <sheetViews>
    <sheetView zoomScale="119" zoomScaleNormal="120" workbookViewId="0">
      <pane xSplit="1" ySplit="5" topLeftCell="B6"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70</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6</v>
      </c>
      <c r="D4" s="372"/>
      <c r="E4" s="378" t="s">
        <v>5</v>
      </c>
      <c r="F4" s="378" t="s">
        <v>7</v>
      </c>
      <c r="G4" s="374" t="s">
        <v>1196</v>
      </c>
      <c r="H4" s="372"/>
      <c r="I4" s="372"/>
      <c r="J4" s="375"/>
      <c r="K4" s="374" t="s">
        <v>1197</v>
      </c>
      <c r="L4" s="372"/>
      <c r="M4" s="372"/>
      <c r="N4" s="375"/>
      <c r="O4" s="374" t="s">
        <v>1194</v>
      </c>
      <c r="P4" s="372"/>
      <c r="Q4" s="372"/>
      <c r="R4" s="372"/>
      <c r="S4" s="376" t="s">
        <v>13</v>
      </c>
      <c r="T4" s="378" t="s">
        <v>777</v>
      </c>
      <c r="U4" s="380" t="s">
        <v>4</v>
      </c>
      <c r="V4" s="371" t="s">
        <v>1185</v>
      </c>
      <c r="W4" s="372"/>
      <c r="X4" s="372"/>
      <c r="Y4" s="373"/>
      <c r="Z4" s="371" t="s">
        <v>1186</v>
      </c>
      <c r="AA4" s="372"/>
      <c r="AB4" s="372"/>
      <c r="AC4" s="373"/>
      <c r="AD4" s="371" t="s">
        <v>1187</v>
      </c>
      <c r="AE4" s="372"/>
      <c r="AF4" s="372"/>
      <c r="AG4" s="373"/>
      <c r="AH4" s="372" t="s">
        <v>1188</v>
      </c>
      <c r="AI4" s="372"/>
      <c r="AJ4" s="372"/>
      <c r="AK4" s="372"/>
      <c r="AL4" s="371" t="s">
        <v>1189</v>
      </c>
      <c r="AM4" s="372"/>
      <c r="AN4" s="372"/>
      <c r="AO4" s="373"/>
      <c r="AP4" s="371" t="s">
        <v>1190</v>
      </c>
      <c r="AQ4" s="372"/>
      <c r="AR4" s="372"/>
      <c r="AS4" s="373"/>
      <c r="AT4" s="371" t="s">
        <v>1258</v>
      </c>
      <c r="AU4" s="372"/>
      <c r="AV4" s="372"/>
      <c r="AW4" s="373"/>
      <c r="AX4" s="372" t="s">
        <v>1259</v>
      </c>
      <c r="AY4" s="372"/>
      <c r="AZ4" s="372"/>
      <c r="BA4" s="375"/>
    </row>
    <row r="5" spans="1:53" s="185" customFormat="1" x14ac:dyDescent="0.15">
      <c r="A5" s="384"/>
      <c r="B5" s="379"/>
      <c r="C5" s="385"/>
      <c r="D5" s="385"/>
      <c r="E5" s="379"/>
      <c r="F5" s="379"/>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379"/>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139" customFormat="1" x14ac:dyDescent="0.15">
      <c r="A6" s="145">
        <v>1959</v>
      </c>
      <c r="B6" s="294"/>
      <c r="C6" s="398" t="s">
        <v>1233</v>
      </c>
      <c r="D6" s="398"/>
      <c r="E6" s="139">
        <v>287</v>
      </c>
      <c r="G6" s="147">
        <v>18</v>
      </c>
      <c r="J6" s="153">
        <v>18</v>
      </c>
      <c r="K6" s="133">
        <f t="shared" ref="K6:M8" si="0">G6/$J6*100</f>
        <v>100</v>
      </c>
      <c r="L6" s="133">
        <f t="shared" si="0"/>
        <v>0</v>
      </c>
      <c r="M6" s="133">
        <f t="shared" si="0"/>
        <v>0</v>
      </c>
      <c r="N6" s="149">
        <f>K6+L6+M6</f>
        <v>100</v>
      </c>
      <c r="O6" s="132">
        <v>51.4</v>
      </c>
      <c r="P6" s="133"/>
      <c r="Q6" s="133"/>
      <c r="R6" s="134">
        <f>O6+P6+Q6</f>
        <v>51.4</v>
      </c>
      <c r="S6" s="139">
        <v>1</v>
      </c>
      <c r="T6" s="306"/>
      <c r="U6" s="294"/>
      <c r="V6" s="138" t="s">
        <v>788</v>
      </c>
      <c r="W6" s="139" t="s">
        <v>74</v>
      </c>
      <c r="X6" s="139" t="s">
        <v>11</v>
      </c>
      <c r="Y6" s="140">
        <v>51.4</v>
      </c>
      <c r="AD6" s="138"/>
      <c r="AG6" s="140"/>
      <c r="AL6" s="138"/>
      <c r="AO6" s="140"/>
      <c r="AP6" s="138"/>
      <c r="AS6" s="140"/>
      <c r="AW6" s="140"/>
      <c r="BA6" s="141"/>
    </row>
    <row r="7" spans="1:53" s="139" customFormat="1" x14ac:dyDescent="0.15">
      <c r="A7" s="145">
        <v>1959</v>
      </c>
      <c r="B7" s="294">
        <v>21838</v>
      </c>
      <c r="C7" s="398" t="s">
        <v>853</v>
      </c>
      <c r="D7" s="398"/>
      <c r="E7" s="139">
        <f xml:space="preserve"> 365-E6</f>
        <v>78</v>
      </c>
      <c r="F7" s="139">
        <v>1</v>
      </c>
      <c r="G7" s="147">
        <v>19</v>
      </c>
      <c r="J7" s="153">
        <v>19</v>
      </c>
      <c r="K7" s="133">
        <f t="shared" si="0"/>
        <v>100</v>
      </c>
      <c r="L7" s="133">
        <f t="shared" si="0"/>
        <v>0</v>
      </c>
      <c r="M7" s="133">
        <f t="shared" si="0"/>
        <v>0</v>
      </c>
      <c r="N7" s="149">
        <f>K7+L7+M7</f>
        <v>100</v>
      </c>
      <c r="O7" s="132">
        <v>57.9</v>
      </c>
      <c r="P7" s="133"/>
      <c r="Q7" s="133"/>
      <c r="R7" s="134">
        <f>O7+P7+Q7</f>
        <v>57.9</v>
      </c>
      <c r="S7" s="139">
        <v>1</v>
      </c>
      <c r="T7" s="306">
        <v>21831</v>
      </c>
      <c r="U7" s="294">
        <v>21838</v>
      </c>
      <c r="V7" s="138" t="s">
        <v>788</v>
      </c>
      <c r="W7" s="139" t="s">
        <v>74</v>
      </c>
      <c r="X7" s="139" t="s">
        <v>11</v>
      </c>
      <c r="Y7" s="140">
        <v>57.9</v>
      </c>
      <c r="AD7" s="138"/>
      <c r="AG7" s="140"/>
      <c r="AL7" s="138"/>
      <c r="AO7" s="140"/>
      <c r="AP7" s="138"/>
      <c r="AS7" s="140"/>
      <c r="AW7" s="140"/>
      <c r="BA7" s="141"/>
    </row>
    <row r="8" spans="1:53" s="28" customFormat="1" x14ac:dyDescent="0.15">
      <c r="A8" s="51">
        <v>1960</v>
      </c>
      <c r="B8" s="293"/>
      <c r="C8" s="394" t="s">
        <v>853</v>
      </c>
      <c r="D8" s="394"/>
      <c r="E8" s="28">
        <v>0</v>
      </c>
      <c r="G8" s="65">
        <v>19</v>
      </c>
      <c r="J8" s="72">
        <v>19</v>
      </c>
      <c r="K8" s="46">
        <f t="shared" si="0"/>
        <v>100</v>
      </c>
      <c r="L8" s="46">
        <f t="shared" si="0"/>
        <v>0</v>
      </c>
      <c r="M8" s="46">
        <f t="shared" si="0"/>
        <v>0</v>
      </c>
      <c r="N8" s="67">
        <f>K8+L8+M8</f>
        <v>100</v>
      </c>
      <c r="O8" s="45">
        <v>57.9</v>
      </c>
      <c r="P8" s="46"/>
      <c r="Q8" s="46"/>
      <c r="R8" s="47">
        <f>O8+P8+Q8</f>
        <v>57.9</v>
      </c>
      <c r="S8" s="28">
        <v>1</v>
      </c>
      <c r="T8" s="284"/>
      <c r="U8" s="293"/>
      <c r="V8" s="37" t="s">
        <v>788</v>
      </c>
      <c r="W8" s="28" t="s">
        <v>74</v>
      </c>
      <c r="X8" s="28" t="s">
        <v>11</v>
      </c>
      <c r="Y8" s="38">
        <v>57.9</v>
      </c>
      <c r="AD8" s="37"/>
      <c r="AG8" s="38"/>
      <c r="AL8" s="37"/>
      <c r="AO8" s="38"/>
      <c r="AP8" s="37"/>
      <c r="AS8" s="38"/>
      <c r="AW8" s="38"/>
      <c r="BA8" s="39"/>
    </row>
    <row r="9" spans="1:53" s="28" customFormat="1" x14ac:dyDescent="0.15">
      <c r="A9" s="51">
        <v>1960</v>
      </c>
      <c r="B9" s="293"/>
      <c r="C9" s="394" t="s">
        <v>853</v>
      </c>
      <c r="D9" s="394"/>
      <c r="E9" s="28">
        <v>366</v>
      </c>
      <c r="G9" s="65">
        <v>19</v>
      </c>
      <c r="J9" s="72">
        <v>19</v>
      </c>
      <c r="K9" s="46">
        <f t="shared" ref="K9:M72" si="1">G9/$J9*100</f>
        <v>100</v>
      </c>
      <c r="L9" s="46">
        <f t="shared" si="1"/>
        <v>0</v>
      </c>
      <c r="M9" s="46">
        <f t="shared" si="1"/>
        <v>0</v>
      </c>
      <c r="N9" s="67">
        <f t="shared" ref="N9:N72" si="2">K9+L9+M9</f>
        <v>100</v>
      </c>
      <c r="O9" s="45">
        <v>57.9</v>
      </c>
      <c r="P9" s="46"/>
      <c r="Q9" s="46"/>
      <c r="R9" s="47">
        <f t="shared" ref="R9:R72" si="3">O9+P9+Q9</f>
        <v>57.9</v>
      </c>
      <c r="S9" s="28">
        <v>1</v>
      </c>
      <c r="T9" s="284"/>
      <c r="U9" s="293"/>
      <c r="V9" s="37" t="s">
        <v>788</v>
      </c>
      <c r="W9" s="28" t="s">
        <v>74</v>
      </c>
      <c r="X9" s="28" t="s">
        <v>11</v>
      </c>
      <c r="Y9" s="38">
        <v>57.9</v>
      </c>
      <c r="AD9" s="37"/>
      <c r="AG9" s="38"/>
      <c r="AL9" s="37"/>
      <c r="AO9" s="38"/>
      <c r="AP9" s="37"/>
      <c r="AS9" s="38"/>
      <c r="AW9" s="38"/>
      <c r="BA9" s="39"/>
    </row>
    <row r="10" spans="1:53" s="28" customFormat="1" x14ac:dyDescent="0.15">
      <c r="A10" s="51">
        <v>1961</v>
      </c>
      <c r="B10" s="293"/>
      <c r="C10" s="394" t="s">
        <v>853</v>
      </c>
      <c r="D10" s="394"/>
      <c r="E10" s="28">
        <v>0</v>
      </c>
      <c r="G10" s="65">
        <v>19</v>
      </c>
      <c r="J10" s="72">
        <v>19</v>
      </c>
      <c r="K10" s="46">
        <f t="shared" si="1"/>
        <v>100</v>
      </c>
      <c r="L10" s="46">
        <f t="shared" si="1"/>
        <v>0</v>
      </c>
      <c r="M10" s="46">
        <f t="shared" si="1"/>
        <v>0</v>
      </c>
      <c r="N10" s="67">
        <f t="shared" si="2"/>
        <v>100</v>
      </c>
      <c r="O10" s="45">
        <v>57.9</v>
      </c>
      <c r="P10" s="46"/>
      <c r="Q10" s="46"/>
      <c r="R10" s="47">
        <f t="shared" si="3"/>
        <v>57.9</v>
      </c>
      <c r="S10" s="28">
        <v>1</v>
      </c>
      <c r="T10" s="284"/>
      <c r="U10" s="293"/>
      <c r="V10" s="37" t="s">
        <v>788</v>
      </c>
      <c r="W10" s="28" t="s">
        <v>74</v>
      </c>
      <c r="X10" s="28" t="s">
        <v>11</v>
      </c>
      <c r="Y10" s="38">
        <v>57.9</v>
      </c>
      <c r="AD10" s="37"/>
      <c r="AG10" s="38"/>
      <c r="AL10" s="37"/>
      <c r="AO10" s="38"/>
      <c r="AP10" s="37"/>
      <c r="AS10" s="38"/>
      <c r="AW10" s="38"/>
      <c r="BA10" s="39"/>
    </row>
    <row r="11" spans="1:53" s="28" customFormat="1" x14ac:dyDescent="0.15">
      <c r="A11" s="51">
        <v>1961</v>
      </c>
      <c r="B11" s="293"/>
      <c r="C11" s="394" t="s">
        <v>853</v>
      </c>
      <c r="D11" s="394"/>
      <c r="E11" s="28">
        <v>365</v>
      </c>
      <c r="G11" s="65">
        <v>19</v>
      </c>
      <c r="J11" s="72">
        <v>19</v>
      </c>
      <c r="K11" s="46">
        <f t="shared" si="1"/>
        <v>100</v>
      </c>
      <c r="L11" s="46">
        <f t="shared" si="1"/>
        <v>0</v>
      </c>
      <c r="M11" s="46">
        <f t="shared" si="1"/>
        <v>0</v>
      </c>
      <c r="N11" s="67">
        <f t="shared" si="2"/>
        <v>100</v>
      </c>
      <c r="O11" s="45">
        <v>57.9</v>
      </c>
      <c r="P11" s="46"/>
      <c r="Q11" s="46"/>
      <c r="R11" s="47">
        <f t="shared" si="3"/>
        <v>57.9</v>
      </c>
      <c r="S11" s="28">
        <v>1</v>
      </c>
      <c r="T11" s="284"/>
      <c r="U11" s="293"/>
      <c r="V11" s="37" t="s">
        <v>788</v>
      </c>
      <c r="W11" s="28" t="s">
        <v>74</v>
      </c>
      <c r="X11" s="28" t="s">
        <v>11</v>
      </c>
      <c r="Y11" s="38">
        <v>57.9</v>
      </c>
      <c r="AD11" s="37"/>
      <c r="AG11" s="38"/>
      <c r="AL11" s="37"/>
      <c r="AO11" s="38"/>
      <c r="AP11" s="37"/>
      <c r="AS11" s="38"/>
      <c r="AW11" s="38"/>
      <c r="BA11" s="39"/>
    </row>
    <row r="12" spans="1:53" s="28" customFormat="1" x14ac:dyDescent="0.15">
      <c r="A12" s="51">
        <v>1962</v>
      </c>
      <c r="B12" s="293"/>
      <c r="C12" s="394" t="s">
        <v>853</v>
      </c>
      <c r="D12" s="394"/>
      <c r="E12" s="28">
        <v>0</v>
      </c>
      <c r="G12" s="65">
        <v>19</v>
      </c>
      <c r="J12" s="72">
        <v>19</v>
      </c>
      <c r="K12" s="46">
        <f t="shared" si="1"/>
        <v>100</v>
      </c>
      <c r="L12" s="46">
        <f t="shared" si="1"/>
        <v>0</v>
      </c>
      <c r="M12" s="46">
        <f t="shared" si="1"/>
        <v>0</v>
      </c>
      <c r="N12" s="67">
        <f t="shared" si="2"/>
        <v>100</v>
      </c>
      <c r="O12" s="45">
        <v>57.9</v>
      </c>
      <c r="P12" s="46"/>
      <c r="Q12" s="46"/>
      <c r="R12" s="47">
        <f t="shared" si="3"/>
        <v>57.9</v>
      </c>
      <c r="S12" s="28">
        <v>1</v>
      </c>
      <c r="T12" s="284"/>
      <c r="U12" s="293"/>
      <c r="V12" s="37" t="s">
        <v>788</v>
      </c>
      <c r="W12" s="28" t="s">
        <v>74</v>
      </c>
      <c r="X12" s="28" t="s">
        <v>11</v>
      </c>
      <c r="Y12" s="38">
        <v>57.9</v>
      </c>
      <c r="AD12" s="37"/>
      <c r="AG12" s="38"/>
      <c r="AL12" s="37"/>
      <c r="AO12" s="38"/>
      <c r="AP12" s="37"/>
      <c r="AS12" s="38"/>
      <c r="AW12" s="38"/>
      <c r="BA12" s="39"/>
    </row>
    <row r="13" spans="1:53" s="28" customFormat="1" x14ac:dyDescent="0.15">
      <c r="A13" s="51">
        <v>1962</v>
      </c>
      <c r="B13" s="293"/>
      <c r="C13" s="394" t="s">
        <v>853</v>
      </c>
      <c r="D13" s="394"/>
      <c r="E13" s="28">
        <v>365</v>
      </c>
      <c r="G13" s="65">
        <v>19</v>
      </c>
      <c r="J13" s="72">
        <v>19</v>
      </c>
      <c r="K13" s="46">
        <f t="shared" si="1"/>
        <v>100</v>
      </c>
      <c r="L13" s="46">
        <f t="shared" si="1"/>
        <v>0</v>
      </c>
      <c r="M13" s="46">
        <f t="shared" si="1"/>
        <v>0</v>
      </c>
      <c r="N13" s="67">
        <f t="shared" si="2"/>
        <v>100</v>
      </c>
      <c r="O13" s="45">
        <v>57.9</v>
      </c>
      <c r="P13" s="46"/>
      <c r="Q13" s="46"/>
      <c r="R13" s="47">
        <f t="shared" si="3"/>
        <v>57.9</v>
      </c>
      <c r="S13" s="28">
        <v>1</v>
      </c>
      <c r="T13" s="284"/>
      <c r="U13" s="293"/>
      <c r="V13" s="37" t="s">
        <v>788</v>
      </c>
      <c r="W13" s="28" t="s">
        <v>74</v>
      </c>
      <c r="X13" s="28" t="s">
        <v>11</v>
      </c>
      <c r="Y13" s="38">
        <v>57.9</v>
      </c>
      <c r="AD13" s="37"/>
      <c r="AG13" s="38"/>
      <c r="AL13" s="37"/>
      <c r="AO13" s="38"/>
      <c r="AP13" s="37"/>
      <c r="AS13" s="38"/>
      <c r="AW13" s="38"/>
      <c r="BA13" s="39"/>
    </row>
    <row r="14" spans="1:53" s="28" customFormat="1" x14ac:dyDescent="0.15">
      <c r="A14" s="51">
        <v>1963</v>
      </c>
      <c r="B14" s="293"/>
      <c r="C14" s="394" t="s">
        <v>853</v>
      </c>
      <c r="D14" s="394"/>
      <c r="E14" s="28">
        <v>291</v>
      </c>
      <c r="G14" s="65">
        <v>19</v>
      </c>
      <c r="J14" s="72">
        <v>19</v>
      </c>
      <c r="K14" s="46">
        <f t="shared" si="1"/>
        <v>100</v>
      </c>
      <c r="L14" s="46">
        <f t="shared" si="1"/>
        <v>0</v>
      </c>
      <c r="M14" s="46">
        <f t="shared" si="1"/>
        <v>0</v>
      </c>
      <c r="N14" s="67">
        <f t="shared" si="2"/>
        <v>100</v>
      </c>
      <c r="O14" s="45">
        <v>57.9</v>
      </c>
      <c r="P14" s="46"/>
      <c r="Q14" s="46"/>
      <c r="R14" s="47">
        <f t="shared" si="3"/>
        <v>57.9</v>
      </c>
      <c r="S14" s="28">
        <v>1</v>
      </c>
      <c r="T14" s="284"/>
      <c r="U14" s="293"/>
      <c r="V14" s="37" t="s">
        <v>788</v>
      </c>
      <c r="W14" s="28" t="s">
        <v>74</v>
      </c>
      <c r="X14" s="28" t="s">
        <v>11</v>
      </c>
      <c r="Y14" s="38">
        <v>57.9</v>
      </c>
      <c r="AD14" s="37"/>
      <c r="AG14" s="38"/>
      <c r="AL14" s="37"/>
      <c r="AO14" s="38"/>
      <c r="AP14" s="37"/>
      <c r="AS14" s="38"/>
      <c r="AW14" s="38"/>
      <c r="BA14" s="39"/>
    </row>
    <row r="15" spans="1:53" s="170" customFormat="1" x14ac:dyDescent="0.15">
      <c r="A15" s="215">
        <v>1963</v>
      </c>
      <c r="B15" s="281">
        <v>23303</v>
      </c>
      <c r="C15" s="395" t="s">
        <v>789</v>
      </c>
      <c r="D15" s="395"/>
      <c r="E15" s="170">
        <f xml:space="preserve"> 365-E14</f>
        <v>74</v>
      </c>
      <c r="F15" s="170">
        <v>3</v>
      </c>
      <c r="G15" s="232">
        <v>23</v>
      </c>
      <c r="J15" s="240">
        <v>23</v>
      </c>
      <c r="K15" s="213">
        <f t="shared" si="1"/>
        <v>100</v>
      </c>
      <c r="L15" s="213">
        <f t="shared" si="1"/>
        <v>0</v>
      </c>
      <c r="M15" s="213">
        <f t="shared" si="1"/>
        <v>0</v>
      </c>
      <c r="N15" s="234">
        <f t="shared" si="2"/>
        <v>100</v>
      </c>
      <c r="O15" s="212">
        <v>57.9</v>
      </c>
      <c r="P15" s="213"/>
      <c r="Q15" s="213"/>
      <c r="R15" s="214">
        <f t="shared" si="3"/>
        <v>57.9</v>
      </c>
      <c r="S15" s="170">
        <v>1</v>
      </c>
      <c r="T15" s="283"/>
      <c r="U15" s="281">
        <v>23303</v>
      </c>
      <c r="V15" s="177" t="s">
        <v>788</v>
      </c>
      <c r="W15" s="170" t="s">
        <v>74</v>
      </c>
      <c r="X15" s="170" t="s">
        <v>11</v>
      </c>
      <c r="Y15" s="178">
        <v>57.9</v>
      </c>
      <c r="AD15" s="177"/>
      <c r="AG15" s="178"/>
      <c r="AL15" s="177"/>
      <c r="AO15" s="178"/>
      <c r="AP15" s="177"/>
      <c r="AS15" s="178"/>
      <c r="AW15" s="178"/>
      <c r="BA15" s="179"/>
    </row>
    <row r="16" spans="1:53" s="170" customFormat="1" x14ac:dyDescent="0.15">
      <c r="A16" s="215">
        <v>1964</v>
      </c>
      <c r="B16" s="281"/>
      <c r="C16" s="395" t="s">
        <v>789</v>
      </c>
      <c r="D16" s="395"/>
      <c r="E16" s="170">
        <v>290</v>
      </c>
      <c r="G16" s="232">
        <v>23</v>
      </c>
      <c r="J16" s="240">
        <v>23</v>
      </c>
      <c r="K16" s="213">
        <f t="shared" si="1"/>
        <v>100</v>
      </c>
      <c r="L16" s="213">
        <f t="shared" si="1"/>
        <v>0</v>
      </c>
      <c r="M16" s="213">
        <f t="shared" si="1"/>
        <v>0</v>
      </c>
      <c r="N16" s="234">
        <f t="shared" si="2"/>
        <v>100</v>
      </c>
      <c r="O16" s="212">
        <v>57.9</v>
      </c>
      <c r="P16" s="213"/>
      <c r="Q16" s="213"/>
      <c r="R16" s="214">
        <f t="shared" si="3"/>
        <v>57.9</v>
      </c>
      <c r="S16" s="170">
        <v>1</v>
      </c>
      <c r="T16" s="283"/>
      <c r="U16" s="281"/>
      <c r="V16" s="177" t="s">
        <v>788</v>
      </c>
      <c r="W16" s="170" t="s">
        <v>74</v>
      </c>
      <c r="X16" s="170" t="s">
        <v>11</v>
      </c>
      <c r="Y16" s="178">
        <v>57.9</v>
      </c>
      <c r="AD16" s="177"/>
      <c r="AG16" s="178"/>
      <c r="AL16" s="177"/>
      <c r="AO16" s="178"/>
      <c r="AP16" s="177"/>
      <c r="AS16" s="178"/>
      <c r="AW16" s="178"/>
      <c r="BA16" s="179"/>
    </row>
    <row r="17" spans="1:53" s="28" customFormat="1" x14ac:dyDescent="0.15">
      <c r="A17" s="51">
        <v>1964</v>
      </c>
      <c r="B17" s="293">
        <v>23667</v>
      </c>
      <c r="C17" s="394" t="s">
        <v>779</v>
      </c>
      <c r="D17" s="394"/>
      <c r="E17" s="28">
        <f xml:space="preserve"> 366-E16</f>
        <v>76</v>
      </c>
      <c r="F17" s="28">
        <v>1</v>
      </c>
      <c r="G17" s="65"/>
      <c r="I17" s="28">
        <v>23</v>
      </c>
      <c r="J17" s="72">
        <v>23</v>
      </c>
      <c r="K17" s="46">
        <f t="shared" si="1"/>
        <v>0</v>
      </c>
      <c r="L17" s="46">
        <f t="shared" si="1"/>
        <v>0</v>
      </c>
      <c r="M17" s="46">
        <f t="shared" si="1"/>
        <v>100</v>
      </c>
      <c r="N17" s="67">
        <f t="shared" si="2"/>
        <v>100</v>
      </c>
      <c r="O17" s="45"/>
      <c r="P17" s="46"/>
      <c r="Q17" s="46">
        <v>50.3</v>
      </c>
      <c r="R17" s="47">
        <f t="shared" si="3"/>
        <v>50.3</v>
      </c>
      <c r="S17" s="28">
        <v>1</v>
      </c>
      <c r="T17" s="284">
        <v>23665</v>
      </c>
      <c r="U17" s="293">
        <v>23667</v>
      </c>
      <c r="V17" s="37" t="s">
        <v>451</v>
      </c>
      <c r="W17" s="28" t="s">
        <v>20</v>
      </c>
      <c r="X17" s="28" t="s">
        <v>12</v>
      </c>
      <c r="Y17" s="38">
        <v>50.3</v>
      </c>
      <c r="AD17" s="37"/>
      <c r="AG17" s="38"/>
      <c r="AL17" s="37"/>
      <c r="AO17" s="38"/>
      <c r="AP17" s="37"/>
      <c r="AS17" s="38"/>
      <c r="AW17" s="38"/>
      <c r="BA17" s="39"/>
    </row>
    <row r="18" spans="1:53" s="28" customFormat="1" x14ac:dyDescent="0.15">
      <c r="A18" s="51">
        <v>1965</v>
      </c>
      <c r="B18" s="293"/>
      <c r="C18" s="394" t="s">
        <v>779</v>
      </c>
      <c r="D18" s="394"/>
      <c r="E18" s="28">
        <v>0</v>
      </c>
      <c r="G18" s="65"/>
      <c r="I18" s="28">
        <v>23</v>
      </c>
      <c r="J18" s="72">
        <v>23</v>
      </c>
      <c r="K18" s="46">
        <f t="shared" si="1"/>
        <v>0</v>
      </c>
      <c r="L18" s="46">
        <f t="shared" si="1"/>
        <v>0</v>
      </c>
      <c r="M18" s="46">
        <f t="shared" si="1"/>
        <v>100</v>
      </c>
      <c r="N18" s="67">
        <f t="shared" si="2"/>
        <v>100</v>
      </c>
      <c r="O18" s="45"/>
      <c r="P18" s="46"/>
      <c r="Q18" s="46">
        <v>50.3</v>
      </c>
      <c r="R18" s="47">
        <f t="shared" si="3"/>
        <v>50.3</v>
      </c>
      <c r="S18" s="28">
        <v>1</v>
      </c>
      <c r="T18" s="284"/>
      <c r="U18" s="293"/>
      <c r="V18" s="37" t="s">
        <v>451</v>
      </c>
      <c r="W18" s="28" t="s">
        <v>20</v>
      </c>
      <c r="X18" s="28" t="s">
        <v>12</v>
      </c>
      <c r="Y18" s="38">
        <v>50.3</v>
      </c>
      <c r="AD18" s="37"/>
      <c r="AG18" s="38"/>
      <c r="AL18" s="37"/>
      <c r="AO18" s="38"/>
      <c r="AP18" s="37"/>
      <c r="AS18" s="38"/>
      <c r="AW18" s="38"/>
      <c r="BA18" s="39"/>
    </row>
    <row r="19" spans="1:53" s="28" customFormat="1" x14ac:dyDescent="0.15">
      <c r="A19" s="51">
        <v>1965</v>
      </c>
      <c r="B19" s="293"/>
      <c r="C19" s="394" t="s">
        <v>779</v>
      </c>
      <c r="D19" s="394"/>
      <c r="E19" s="28">
        <v>365</v>
      </c>
      <c r="G19" s="65"/>
      <c r="I19" s="28">
        <v>23</v>
      </c>
      <c r="J19" s="72">
        <v>23</v>
      </c>
      <c r="K19" s="46">
        <f t="shared" si="1"/>
        <v>0</v>
      </c>
      <c r="L19" s="46">
        <f t="shared" si="1"/>
        <v>0</v>
      </c>
      <c r="M19" s="46">
        <f t="shared" si="1"/>
        <v>100</v>
      </c>
      <c r="N19" s="67">
        <f t="shared" si="2"/>
        <v>100</v>
      </c>
      <c r="O19" s="45"/>
      <c r="P19" s="46"/>
      <c r="Q19" s="46">
        <v>50.3</v>
      </c>
      <c r="R19" s="47">
        <f t="shared" si="3"/>
        <v>50.3</v>
      </c>
      <c r="S19" s="28">
        <v>1</v>
      </c>
      <c r="T19" s="284"/>
      <c r="U19" s="293"/>
      <c r="V19" s="37" t="s">
        <v>451</v>
      </c>
      <c r="W19" s="28" t="s">
        <v>20</v>
      </c>
      <c r="X19" s="28" t="s">
        <v>12</v>
      </c>
      <c r="Y19" s="38">
        <v>50.3</v>
      </c>
      <c r="AD19" s="37"/>
      <c r="AG19" s="38"/>
      <c r="AL19" s="37"/>
      <c r="AO19" s="38"/>
      <c r="AP19" s="37"/>
      <c r="AS19" s="38"/>
      <c r="AW19" s="38"/>
      <c r="BA19" s="39"/>
    </row>
    <row r="20" spans="1:53" s="28" customFormat="1" x14ac:dyDescent="0.15">
      <c r="A20" s="51">
        <v>1966</v>
      </c>
      <c r="B20" s="293"/>
      <c r="C20" s="394" t="s">
        <v>779</v>
      </c>
      <c r="D20" s="394"/>
      <c r="E20" s="28">
        <v>95</v>
      </c>
      <c r="G20" s="65"/>
      <c r="I20" s="28">
        <v>23</v>
      </c>
      <c r="J20" s="72">
        <v>23</v>
      </c>
      <c r="K20" s="46">
        <f t="shared" si="1"/>
        <v>0</v>
      </c>
      <c r="L20" s="46">
        <f t="shared" si="1"/>
        <v>0</v>
      </c>
      <c r="M20" s="46">
        <f t="shared" si="1"/>
        <v>100</v>
      </c>
      <c r="N20" s="67">
        <f t="shared" si="2"/>
        <v>100</v>
      </c>
      <c r="O20" s="45"/>
      <c r="P20" s="46"/>
      <c r="Q20" s="46">
        <v>50.3</v>
      </c>
      <c r="R20" s="47">
        <f t="shared" si="3"/>
        <v>50.3</v>
      </c>
      <c r="S20" s="28">
        <v>1</v>
      </c>
      <c r="T20" s="284"/>
      <c r="U20" s="293"/>
      <c r="V20" s="37" t="s">
        <v>451</v>
      </c>
      <c r="W20" s="28" t="s">
        <v>20</v>
      </c>
      <c r="X20" s="28" t="s">
        <v>12</v>
      </c>
      <c r="Y20" s="38">
        <v>50.3</v>
      </c>
      <c r="AD20" s="37"/>
      <c r="AG20" s="38"/>
      <c r="AL20" s="37"/>
      <c r="AO20" s="38"/>
      <c r="AP20" s="37"/>
      <c r="AS20" s="38"/>
      <c r="AW20" s="38"/>
      <c r="BA20" s="39"/>
    </row>
    <row r="21" spans="1:53" s="170" customFormat="1" x14ac:dyDescent="0.15">
      <c r="A21" s="215">
        <v>1966</v>
      </c>
      <c r="B21" s="281">
        <v>24203</v>
      </c>
      <c r="C21" s="395" t="s">
        <v>780</v>
      </c>
      <c r="D21" s="395"/>
      <c r="E21" s="170">
        <f>365-E20</f>
        <v>270</v>
      </c>
      <c r="F21" s="170">
        <v>1</v>
      </c>
      <c r="G21" s="232"/>
      <c r="I21" s="170">
        <v>23</v>
      </c>
      <c r="J21" s="240">
        <v>23</v>
      </c>
      <c r="K21" s="213">
        <f t="shared" si="1"/>
        <v>0</v>
      </c>
      <c r="L21" s="213">
        <f t="shared" si="1"/>
        <v>0</v>
      </c>
      <c r="M21" s="213">
        <f t="shared" si="1"/>
        <v>100</v>
      </c>
      <c r="N21" s="234">
        <f t="shared" si="2"/>
        <v>100</v>
      </c>
      <c r="O21" s="212"/>
      <c r="P21" s="213"/>
      <c r="Q21" s="213">
        <v>57.8</v>
      </c>
      <c r="R21" s="214">
        <f t="shared" si="3"/>
        <v>57.8</v>
      </c>
      <c r="S21" s="170">
        <v>1</v>
      </c>
      <c r="T21" s="283">
        <v>24197</v>
      </c>
      <c r="U21" s="281">
        <v>24203</v>
      </c>
      <c r="V21" s="177" t="s">
        <v>451</v>
      </c>
      <c r="W21" s="170" t="s">
        <v>20</v>
      </c>
      <c r="X21" s="170" t="s">
        <v>12</v>
      </c>
      <c r="Y21" s="178">
        <v>57.8</v>
      </c>
      <c r="AD21" s="177"/>
      <c r="AG21" s="178"/>
      <c r="AL21" s="177"/>
      <c r="AO21" s="178"/>
      <c r="AP21" s="177"/>
      <c r="AS21" s="178"/>
      <c r="AW21" s="178"/>
      <c r="BA21" s="179"/>
    </row>
    <row r="22" spans="1:53" s="170" customFormat="1" x14ac:dyDescent="0.15">
      <c r="A22" s="215">
        <v>1967</v>
      </c>
      <c r="B22" s="281"/>
      <c r="C22" s="395" t="s">
        <v>780</v>
      </c>
      <c r="D22" s="395"/>
      <c r="E22" s="170">
        <v>0</v>
      </c>
      <c r="G22" s="232"/>
      <c r="I22" s="170">
        <v>23</v>
      </c>
      <c r="J22" s="240">
        <v>23</v>
      </c>
      <c r="K22" s="213">
        <f t="shared" si="1"/>
        <v>0</v>
      </c>
      <c r="L22" s="213">
        <f t="shared" si="1"/>
        <v>0</v>
      </c>
      <c r="M22" s="213">
        <f t="shared" si="1"/>
        <v>100</v>
      </c>
      <c r="N22" s="234">
        <f t="shared" si="2"/>
        <v>100</v>
      </c>
      <c r="O22" s="212"/>
      <c r="P22" s="213"/>
      <c r="Q22" s="213">
        <v>57.8</v>
      </c>
      <c r="R22" s="214">
        <f t="shared" si="3"/>
        <v>57.8</v>
      </c>
      <c r="S22" s="170">
        <v>1</v>
      </c>
      <c r="T22" s="283"/>
      <c r="U22" s="281"/>
      <c r="V22" s="177" t="s">
        <v>451</v>
      </c>
      <c r="W22" s="170" t="s">
        <v>20</v>
      </c>
      <c r="X22" s="170" t="s">
        <v>12</v>
      </c>
      <c r="Y22" s="178">
        <v>57.8</v>
      </c>
      <c r="AD22" s="177"/>
      <c r="AG22" s="178"/>
      <c r="AL22" s="177"/>
      <c r="AO22" s="178"/>
      <c r="AP22" s="177"/>
      <c r="AS22" s="178"/>
      <c r="AW22" s="178"/>
      <c r="BA22" s="179"/>
    </row>
    <row r="23" spans="1:53" s="170" customFormat="1" x14ac:dyDescent="0.15">
      <c r="A23" s="215">
        <v>1967</v>
      </c>
      <c r="B23" s="281"/>
      <c r="C23" s="395" t="s">
        <v>780</v>
      </c>
      <c r="D23" s="395"/>
      <c r="E23" s="170">
        <v>365</v>
      </c>
      <c r="G23" s="232"/>
      <c r="I23" s="170">
        <v>23</v>
      </c>
      <c r="J23" s="240">
        <v>23</v>
      </c>
      <c r="K23" s="213">
        <f t="shared" si="1"/>
        <v>0</v>
      </c>
      <c r="L23" s="213">
        <f t="shared" si="1"/>
        <v>0</v>
      </c>
      <c r="M23" s="213">
        <f t="shared" si="1"/>
        <v>100</v>
      </c>
      <c r="N23" s="234">
        <f t="shared" si="2"/>
        <v>100</v>
      </c>
      <c r="O23" s="212"/>
      <c r="P23" s="213"/>
      <c r="Q23" s="213">
        <v>57.8</v>
      </c>
      <c r="R23" s="214">
        <f t="shared" si="3"/>
        <v>57.8</v>
      </c>
      <c r="S23" s="170">
        <v>1</v>
      </c>
      <c r="T23" s="283"/>
      <c r="U23" s="281"/>
      <c r="V23" s="177" t="s">
        <v>451</v>
      </c>
      <c r="W23" s="170" t="s">
        <v>20</v>
      </c>
      <c r="X23" s="170" t="s">
        <v>12</v>
      </c>
      <c r="Y23" s="178">
        <v>57.8</v>
      </c>
      <c r="AD23" s="177"/>
      <c r="AG23" s="178"/>
      <c r="AL23" s="177"/>
      <c r="AO23" s="178"/>
      <c r="AP23" s="177"/>
      <c r="AS23" s="178"/>
      <c r="AW23" s="178"/>
      <c r="BA23" s="179"/>
    </row>
    <row r="24" spans="1:53" s="170" customFormat="1" x14ac:dyDescent="0.15">
      <c r="A24" s="215">
        <v>1968</v>
      </c>
      <c r="B24" s="281"/>
      <c r="C24" s="395" t="s">
        <v>780</v>
      </c>
      <c r="D24" s="395"/>
      <c r="E24" s="170">
        <v>0</v>
      </c>
      <c r="G24" s="232"/>
      <c r="I24" s="170">
        <v>23</v>
      </c>
      <c r="J24" s="240">
        <v>23</v>
      </c>
      <c r="K24" s="213">
        <f t="shared" si="1"/>
        <v>0</v>
      </c>
      <c r="L24" s="213">
        <f t="shared" si="1"/>
        <v>0</v>
      </c>
      <c r="M24" s="213">
        <f t="shared" si="1"/>
        <v>100</v>
      </c>
      <c r="N24" s="234">
        <f t="shared" si="2"/>
        <v>100</v>
      </c>
      <c r="O24" s="212"/>
      <c r="P24" s="213"/>
      <c r="Q24" s="213">
        <v>57.8</v>
      </c>
      <c r="R24" s="214">
        <f t="shared" si="3"/>
        <v>57.8</v>
      </c>
      <c r="S24" s="170">
        <v>1</v>
      </c>
      <c r="T24" s="283"/>
      <c r="U24" s="281"/>
      <c r="V24" s="177" t="s">
        <v>451</v>
      </c>
      <c r="W24" s="170" t="s">
        <v>20</v>
      </c>
      <c r="X24" s="170" t="s">
        <v>12</v>
      </c>
      <c r="Y24" s="178">
        <v>57.8</v>
      </c>
      <c r="AD24" s="177"/>
      <c r="AG24" s="178"/>
      <c r="AL24" s="177"/>
      <c r="AO24" s="178"/>
      <c r="AP24" s="177"/>
      <c r="AS24" s="178"/>
      <c r="AW24" s="178"/>
      <c r="BA24" s="179"/>
    </row>
    <row r="25" spans="1:53" s="170" customFormat="1" x14ac:dyDescent="0.15">
      <c r="A25" s="215">
        <v>1968</v>
      </c>
      <c r="B25" s="281"/>
      <c r="C25" s="395" t="s">
        <v>780</v>
      </c>
      <c r="D25" s="395"/>
      <c r="E25" s="170">
        <v>366</v>
      </c>
      <c r="G25" s="232"/>
      <c r="I25" s="170">
        <v>23</v>
      </c>
      <c r="J25" s="240">
        <v>23</v>
      </c>
      <c r="K25" s="213">
        <f t="shared" si="1"/>
        <v>0</v>
      </c>
      <c r="L25" s="213">
        <f t="shared" si="1"/>
        <v>0</v>
      </c>
      <c r="M25" s="213">
        <f t="shared" si="1"/>
        <v>100</v>
      </c>
      <c r="N25" s="234">
        <f t="shared" si="2"/>
        <v>100</v>
      </c>
      <c r="O25" s="212"/>
      <c r="P25" s="213"/>
      <c r="Q25" s="213">
        <v>57.8</v>
      </c>
      <c r="R25" s="214">
        <f t="shared" si="3"/>
        <v>57.8</v>
      </c>
      <c r="S25" s="170">
        <v>1</v>
      </c>
      <c r="T25" s="283"/>
      <c r="U25" s="281"/>
      <c r="V25" s="177" t="s">
        <v>451</v>
      </c>
      <c r="W25" s="170" t="s">
        <v>20</v>
      </c>
      <c r="X25" s="170" t="s">
        <v>12</v>
      </c>
      <c r="Y25" s="178">
        <v>57.8</v>
      </c>
      <c r="AD25" s="177"/>
      <c r="AG25" s="178"/>
      <c r="AL25" s="177"/>
      <c r="AO25" s="178"/>
      <c r="AP25" s="177"/>
      <c r="AS25" s="178"/>
      <c r="AW25" s="178"/>
      <c r="BA25" s="179"/>
    </row>
    <row r="26" spans="1:53" s="170" customFormat="1" x14ac:dyDescent="0.15">
      <c r="A26" s="215">
        <v>1969</v>
      </c>
      <c r="B26" s="281"/>
      <c r="C26" s="395" t="s">
        <v>780</v>
      </c>
      <c r="D26" s="395"/>
      <c r="E26" s="170">
        <v>0</v>
      </c>
      <c r="G26" s="232"/>
      <c r="I26" s="170">
        <v>23</v>
      </c>
      <c r="J26" s="240">
        <v>23</v>
      </c>
      <c r="K26" s="213">
        <f t="shared" si="1"/>
        <v>0</v>
      </c>
      <c r="L26" s="213">
        <f t="shared" si="1"/>
        <v>0</v>
      </c>
      <c r="M26" s="213">
        <f t="shared" si="1"/>
        <v>100</v>
      </c>
      <c r="N26" s="234">
        <f t="shared" si="2"/>
        <v>100</v>
      </c>
      <c r="O26" s="212"/>
      <c r="P26" s="213"/>
      <c r="Q26" s="213">
        <v>57.8</v>
      </c>
      <c r="R26" s="214">
        <f t="shared" si="3"/>
        <v>57.8</v>
      </c>
      <c r="S26" s="170">
        <v>1</v>
      </c>
      <c r="T26" s="283"/>
      <c r="U26" s="281"/>
      <c r="V26" s="177" t="s">
        <v>451</v>
      </c>
      <c r="W26" s="170" t="s">
        <v>20</v>
      </c>
      <c r="X26" s="170" t="s">
        <v>12</v>
      </c>
      <c r="Y26" s="178">
        <v>57.8</v>
      </c>
      <c r="AD26" s="177"/>
      <c r="AG26" s="178"/>
      <c r="AL26" s="177"/>
      <c r="AO26" s="178"/>
      <c r="AP26" s="177"/>
      <c r="AS26" s="178"/>
      <c r="AW26" s="178"/>
      <c r="BA26" s="179"/>
    </row>
    <row r="27" spans="1:53" s="170" customFormat="1" x14ac:dyDescent="0.15">
      <c r="A27" s="215">
        <v>1969</v>
      </c>
      <c r="B27" s="281"/>
      <c r="C27" s="395" t="s">
        <v>780</v>
      </c>
      <c r="D27" s="395"/>
      <c r="E27" s="170">
        <v>365</v>
      </c>
      <c r="G27" s="232"/>
      <c r="I27" s="170">
        <v>23</v>
      </c>
      <c r="J27" s="240">
        <v>23</v>
      </c>
      <c r="K27" s="213">
        <f t="shared" si="1"/>
        <v>0</v>
      </c>
      <c r="L27" s="213">
        <f t="shared" si="1"/>
        <v>0</v>
      </c>
      <c r="M27" s="213">
        <f t="shared" si="1"/>
        <v>100</v>
      </c>
      <c r="N27" s="234">
        <f t="shared" si="2"/>
        <v>100</v>
      </c>
      <c r="O27" s="212"/>
      <c r="P27" s="213"/>
      <c r="Q27" s="213">
        <v>57.8</v>
      </c>
      <c r="R27" s="214">
        <f t="shared" si="3"/>
        <v>57.8</v>
      </c>
      <c r="S27" s="170">
        <v>1</v>
      </c>
      <c r="T27" s="283"/>
      <c r="U27" s="281"/>
      <c r="V27" s="177" t="s">
        <v>451</v>
      </c>
      <c r="W27" s="170" t="s">
        <v>20</v>
      </c>
      <c r="X27" s="170" t="s">
        <v>12</v>
      </c>
      <c r="Y27" s="178">
        <v>57.8</v>
      </c>
      <c r="AD27" s="177"/>
      <c r="AG27" s="178"/>
      <c r="AL27" s="177"/>
      <c r="AO27" s="178"/>
      <c r="AP27" s="177"/>
      <c r="AS27" s="178"/>
      <c r="AW27" s="178"/>
      <c r="BA27" s="179"/>
    </row>
    <row r="28" spans="1:53" s="170" customFormat="1" x14ac:dyDescent="0.15">
      <c r="A28" s="215">
        <v>1970</v>
      </c>
      <c r="B28" s="281"/>
      <c r="C28" s="395" t="s">
        <v>780</v>
      </c>
      <c r="D28" s="395"/>
      <c r="E28" s="170">
        <v>170</v>
      </c>
      <c r="G28" s="232"/>
      <c r="I28" s="170">
        <v>23</v>
      </c>
      <c r="J28" s="240">
        <v>23</v>
      </c>
      <c r="K28" s="213">
        <f t="shared" si="1"/>
        <v>0</v>
      </c>
      <c r="L28" s="213">
        <f t="shared" si="1"/>
        <v>0</v>
      </c>
      <c r="M28" s="213">
        <f t="shared" si="1"/>
        <v>100</v>
      </c>
      <c r="N28" s="234">
        <f t="shared" si="2"/>
        <v>100</v>
      </c>
      <c r="O28" s="212"/>
      <c r="P28" s="213"/>
      <c r="Q28" s="213">
        <v>57.8</v>
      </c>
      <c r="R28" s="214">
        <f t="shared" si="3"/>
        <v>57.8</v>
      </c>
      <c r="S28" s="170">
        <v>1</v>
      </c>
      <c r="T28" s="283"/>
      <c r="U28" s="281"/>
      <c r="V28" s="177" t="s">
        <v>451</v>
      </c>
      <c r="W28" s="170" t="s">
        <v>20</v>
      </c>
      <c r="X28" s="170" t="s">
        <v>12</v>
      </c>
      <c r="Y28" s="178">
        <v>57.8</v>
      </c>
      <c r="AD28" s="177"/>
      <c r="AG28" s="178"/>
      <c r="AL28" s="177"/>
      <c r="AO28" s="178"/>
      <c r="AP28" s="177"/>
      <c r="AS28" s="178"/>
      <c r="AW28" s="178"/>
      <c r="BA28" s="179"/>
    </row>
    <row r="29" spans="1:53" s="28" customFormat="1" x14ac:dyDescent="0.15">
      <c r="A29" s="51">
        <v>1970</v>
      </c>
      <c r="B29" s="293">
        <v>25739</v>
      </c>
      <c r="C29" s="394" t="s">
        <v>790</v>
      </c>
      <c r="D29" s="394"/>
      <c r="E29" s="28">
        <f xml:space="preserve"> 365-E28</f>
        <v>195</v>
      </c>
      <c r="F29" s="28">
        <v>1</v>
      </c>
      <c r="G29" s="65">
        <v>18</v>
      </c>
      <c r="J29" s="72">
        <v>18</v>
      </c>
      <c r="K29" s="46">
        <f t="shared" si="1"/>
        <v>100</v>
      </c>
      <c r="L29" s="46">
        <f t="shared" si="1"/>
        <v>0</v>
      </c>
      <c r="M29" s="46">
        <f t="shared" si="1"/>
        <v>0</v>
      </c>
      <c r="N29" s="67">
        <f t="shared" si="2"/>
        <v>100</v>
      </c>
      <c r="O29" s="45">
        <v>52.4</v>
      </c>
      <c r="P29" s="46"/>
      <c r="Q29" s="46"/>
      <c r="R29" s="47">
        <f t="shared" si="3"/>
        <v>52.4</v>
      </c>
      <c r="S29" s="28">
        <v>1</v>
      </c>
      <c r="T29" s="284">
        <v>25737</v>
      </c>
      <c r="U29" s="293">
        <v>25739</v>
      </c>
      <c r="V29" s="37" t="s">
        <v>788</v>
      </c>
      <c r="W29" s="28" t="s">
        <v>74</v>
      </c>
      <c r="X29" s="28" t="s">
        <v>11</v>
      </c>
      <c r="Y29" s="38">
        <v>52.4</v>
      </c>
      <c r="AD29" s="37"/>
      <c r="AG29" s="38"/>
      <c r="AL29" s="37"/>
      <c r="AO29" s="38"/>
      <c r="AP29" s="37"/>
      <c r="AS29" s="38"/>
      <c r="AW29" s="38"/>
      <c r="BA29" s="39"/>
    </row>
    <row r="30" spans="1:53" s="28" customFormat="1" x14ac:dyDescent="0.15">
      <c r="A30" s="51">
        <v>1971</v>
      </c>
      <c r="B30" s="293"/>
      <c r="C30" s="394" t="s">
        <v>790</v>
      </c>
      <c r="D30" s="394"/>
      <c r="E30" s="28">
        <v>0</v>
      </c>
      <c r="G30" s="65">
        <v>18</v>
      </c>
      <c r="J30" s="72">
        <v>18</v>
      </c>
      <c r="K30" s="46">
        <f t="shared" si="1"/>
        <v>100</v>
      </c>
      <c r="L30" s="46">
        <f t="shared" si="1"/>
        <v>0</v>
      </c>
      <c r="M30" s="46">
        <f t="shared" si="1"/>
        <v>0</v>
      </c>
      <c r="N30" s="67">
        <f t="shared" si="2"/>
        <v>100</v>
      </c>
      <c r="O30" s="45">
        <v>52.4</v>
      </c>
      <c r="P30" s="46"/>
      <c r="Q30" s="46"/>
      <c r="R30" s="47">
        <f t="shared" si="3"/>
        <v>52.4</v>
      </c>
      <c r="S30" s="28">
        <v>1</v>
      </c>
      <c r="T30" s="284"/>
      <c r="U30" s="293"/>
      <c r="V30" s="37" t="s">
        <v>788</v>
      </c>
      <c r="W30" s="28" t="s">
        <v>74</v>
      </c>
      <c r="X30" s="28" t="s">
        <v>11</v>
      </c>
      <c r="Y30" s="38">
        <v>52.4</v>
      </c>
      <c r="AD30" s="37"/>
      <c r="AG30" s="38"/>
      <c r="AL30" s="37"/>
      <c r="AO30" s="38"/>
      <c r="AP30" s="37"/>
      <c r="AS30" s="38"/>
      <c r="AW30" s="38"/>
      <c r="BA30" s="39"/>
    </row>
    <row r="31" spans="1:53" s="28" customFormat="1" x14ac:dyDescent="0.15">
      <c r="A31" s="51">
        <v>1971</v>
      </c>
      <c r="B31" s="293"/>
      <c r="C31" s="394" t="s">
        <v>790</v>
      </c>
      <c r="D31" s="394"/>
      <c r="E31" s="28">
        <v>365</v>
      </c>
      <c r="G31" s="65">
        <v>18</v>
      </c>
      <c r="J31" s="72">
        <v>18</v>
      </c>
      <c r="K31" s="46">
        <f t="shared" si="1"/>
        <v>100</v>
      </c>
      <c r="L31" s="46">
        <f t="shared" si="1"/>
        <v>0</v>
      </c>
      <c r="M31" s="46">
        <f t="shared" si="1"/>
        <v>0</v>
      </c>
      <c r="N31" s="67">
        <f t="shared" si="2"/>
        <v>100</v>
      </c>
      <c r="O31" s="45">
        <v>52.4</v>
      </c>
      <c r="P31" s="46"/>
      <c r="Q31" s="46"/>
      <c r="R31" s="47">
        <f t="shared" si="3"/>
        <v>52.4</v>
      </c>
      <c r="S31" s="28">
        <v>1</v>
      </c>
      <c r="T31" s="284"/>
      <c r="U31" s="293"/>
      <c r="V31" s="37" t="s">
        <v>788</v>
      </c>
      <c r="W31" s="28" t="s">
        <v>74</v>
      </c>
      <c r="X31" s="28" t="s">
        <v>11</v>
      </c>
      <c r="Y31" s="38">
        <v>52.4</v>
      </c>
      <c r="AD31" s="37"/>
      <c r="AG31" s="38"/>
      <c r="AL31" s="37"/>
      <c r="AO31" s="38"/>
      <c r="AP31" s="37"/>
      <c r="AS31" s="38"/>
      <c r="AW31" s="38"/>
      <c r="BA31" s="39"/>
    </row>
    <row r="32" spans="1:53" s="28" customFormat="1" x14ac:dyDescent="0.15">
      <c r="A32" s="51">
        <v>1972</v>
      </c>
      <c r="B32" s="293"/>
      <c r="C32" s="394" t="s">
        <v>790</v>
      </c>
      <c r="D32" s="394"/>
      <c r="E32" s="28">
        <v>0</v>
      </c>
      <c r="G32" s="65">
        <v>18</v>
      </c>
      <c r="J32" s="72">
        <v>18</v>
      </c>
      <c r="K32" s="46">
        <f t="shared" si="1"/>
        <v>100</v>
      </c>
      <c r="L32" s="46">
        <f t="shared" si="1"/>
        <v>0</v>
      </c>
      <c r="M32" s="46">
        <f t="shared" si="1"/>
        <v>0</v>
      </c>
      <c r="N32" s="67">
        <f t="shared" si="2"/>
        <v>100</v>
      </c>
      <c r="O32" s="45">
        <v>52.4</v>
      </c>
      <c r="P32" s="46"/>
      <c r="Q32" s="46"/>
      <c r="R32" s="47">
        <f t="shared" si="3"/>
        <v>52.4</v>
      </c>
      <c r="S32" s="28">
        <v>1</v>
      </c>
      <c r="T32" s="284"/>
      <c r="U32" s="293"/>
      <c r="V32" s="37" t="s">
        <v>788</v>
      </c>
      <c r="W32" s="28" t="s">
        <v>74</v>
      </c>
      <c r="X32" s="28" t="s">
        <v>11</v>
      </c>
      <c r="Y32" s="38">
        <v>52.4</v>
      </c>
      <c r="AD32" s="37"/>
      <c r="AG32" s="38"/>
      <c r="AL32" s="37"/>
      <c r="AO32" s="38"/>
      <c r="AP32" s="37"/>
      <c r="AS32" s="38"/>
      <c r="AW32" s="38"/>
      <c r="BA32" s="39"/>
    </row>
    <row r="33" spans="1:53" s="28" customFormat="1" x14ac:dyDescent="0.15">
      <c r="A33" s="51">
        <v>1972</v>
      </c>
      <c r="B33" s="293"/>
      <c r="C33" s="394" t="s">
        <v>790</v>
      </c>
      <c r="D33" s="394"/>
      <c r="E33" s="28">
        <v>366</v>
      </c>
      <c r="G33" s="65">
        <v>18</v>
      </c>
      <c r="J33" s="72">
        <v>18</v>
      </c>
      <c r="K33" s="46">
        <f t="shared" si="1"/>
        <v>100</v>
      </c>
      <c r="L33" s="46">
        <f t="shared" si="1"/>
        <v>0</v>
      </c>
      <c r="M33" s="46">
        <f t="shared" si="1"/>
        <v>0</v>
      </c>
      <c r="N33" s="67">
        <f t="shared" si="2"/>
        <v>100</v>
      </c>
      <c r="O33" s="45">
        <v>52.4</v>
      </c>
      <c r="P33" s="46"/>
      <c r="Q33" s="46"/>
      <c r="R33" s="47">
        <f t="shared" si="3"/>
        <v>52.4</v>
      </c>
      <c r="S33" s="28">
        <v>1</v>
      </c>
      <c r="T33" s="284"/>
      <c r="U33" s="293"/>
      <c r="V33" s="37" t="s">
        <v>788</v>
      </c>
      <c r="W33" s="28" t="s">
        <v>74</v>
      </c>
      <c r="X33" s="28" t="s">
        <v>11</v>
      </c>
      <c r="Y33" s="38">
        <v>52.4</v>
      </c>
      <c r="AD33" s="37"/>
      <c r="AG33" s="38"/>
      <c r="AL33" s="37"/>
      <c r="AO33" s="38"/>
      <c r="AP33" s="37"/>
      <c r="AS33" s="38"/>
      <c r="AW33" s="38"/>
      <c r="BA33" s="39"/>
    </row>
    <row r="34" spans="1:53" s="28" customFormat="1" x14ac:dyDescent="0.15">
      <c r="A34" s="51">
        <v>1973</v>
      </c>
      <c r="B34" s="293"/>
      <c r="C34" s="394" t="s">
        <v>790</v>
      </c>
      <c r="D34" s="394"/>
      <c r="E34" s="28">
        <v>0</v>
      </c>
      <c r="G34" s="65">
        <v>18</v>
      </c>
      <c r="J34" s="72">
        <v>18</v>
      </c>
      <c r="K34" s="46">
        <f t="shared" si="1"/>
        <v>100</v>
      </c>
      <c r="L34" s="46">
        <f t="shared" si="1"/>
        <v>0</v>
      </c>
      <c r="M34" s="46">
        <f t="shared" si="1"/>
        <v>0</v>
      </c>
      <c r="N34" s="67">
        <f t="shared" si="2"/>
        <v>100</v>
      </c>
      <c r="O34" s="45">
        <v>52.4</v>
      </c>
      <c r="P34" s="46"/>
      <c r="Q34" s="46"/>
      <c r="R34" s="47">
        <f t="shared" si="3"/>
        <v>52.4</v>
      </c>
      <c r="S34" s="28">
        <v>1</v>
      </c>
      <c r="T34" s="284"/>
      <c r="U34" s="293"/>
      <c r="V34" s="37" t="s">
        <v>788</v>
      </c>
      <c r="W34" s="28" t="s">
        <v>74</v>
      </c>
      <c r="X34" s="28" t="s">
        <v>11</v>
      </c>
      <c r="Y34" s="38">
        <v>52.4</v>
      </c>
      <c r="AD34" s="37"/>
      <c r="AG34" s="38"/>
      <c r="AL34" s="37"/>
      <c r="AO34" s="38"/>
      <c r="AP34" s="37"/>
      <c r="AS34" s="38"/>
      <c r="AW34" s="38"/>
      <c r="BA34" s="39"/>
    </row>
    <row r="35" spans="1:53" s="28" customFormat="1" x14ac:dyDescent="0.15">
      <c r="A35" s="51">
        <v>1973</v>
      </c>
      <c r="B35" s="293"/>
      <c r="C35" s="394" t="s">
        <v>790</v>
      </c>
      <c r="D35" s="394"/>
      <c r="E35" s="28">
        <v>365</v>
      </c>
      <c r="G35" s="65">
        <v>18</v>
      </c>
      <c r="J35" s="72">
        <v>18</v>
      </c>
      <c r="K35" s="46">
        <f t="shared" si="1"/>
        <v>100</v>
      </c>
      <c r="L35" s="46">
        <f t="shared" si="1"/>
        <v>0</v>
      </c>
      <c r="M35" s="46">
        <f t="shared" si="1"/>
        <v>0</v>
      </c>
      <c r="N35" s="67">
        <f t="shared" si="2"/>
        <v>100</v>
      </c>
      <c r="O35" s="45">
        <v>52.4</v>
      </c>
      <c r="P35" s="46"/>
      <c r="Q35" s="46"/>
      <c r="R35" s="47">
        <f t="shared" si="3"/>
        <v>52.4</v>
      </c>
      <c r="S35" s="28">
        <v>1</v>
      </c>
      <c r="T35" s="284"/>
      <c r="U35" s="293"/>
      <c r="V35" s="37" t="s">
        <v>788</v>
      </c>
      <c r="W35" s="28" t="s">
        <v>74</v>
      </c>
      <c r="X35" s="28" t="s">
        <v>11</v>
      </c>
      <c r="Y35" s="38">
        <v>52.4</v>
      </c>
      <c r="AD35" s="37"/>
      <c r="AG35" s="38"/>
      <c r="AL35" s="37"/>
      <c r="AO35" s="38"/>
      <c r="AP35" s="37"/>
      <c r="AS35" s="38"/>
      <c r="AW35" s="38"/>
      <c r="BA35" s="39"/>
    </row>
    <row r="36" spans="1:53" s="28" customFormat="1" x14ac:dyDescent="0.15">
      <c r="A36" s="51">
        <v>1974</v>
      </c>
      <c r="B36" s="293"/>
      <c r="C36" s="394" t="s">
        <v>790</v>
      </c>
      <c r="D36" s="394"/>
      <c r="E36" s="28">
        <v>63</v>
      </c>
      <c r="G36" s="65">
        <v>18</v>
      </c>
      <c r="J36" s="72">
        <v>18</v>
      </c>
      <c r="K36" s="46">
        <f t="shared" si="1"/>
        <v>100</v>
      </c>
      <c r="L36" s="46">
        <f t="shared" si="1"/>
        <v>0</v>
      </c>
      <c r="M36" s="46">
        <f t="shared" si="1"/>
        <v>0</v>
      </c>
      <c r="N36" s="67">
        <f t="shared" si="2"/>
        <v>100</v>
      </c>
      <c r="O36" s="45">
        <v>52.4</v>
      </c>
      <c r="P36" s="46"/>
      <c r="Q36" s="46"/>
      <c r="R36" s="47">
        <f t="shared" si="3"/>
        <v>52.4</v>
      </c>
      <c r="S36" s="28">
        <v>1</v>
      </c>
      <c r="T36" s="284"/>
      <c r="U36" s="293"/>
      <c r="V36" s="37" t="s">
        <v>788</v>
      </c>
      <c r="W36" s="28" t="s">
        <v>74</v>
      </c>
      <c r="X36" s="28" t="s">
        <v>11</v>
      </c>
      <c r="Y36" s="38">
        <v>52.4</v>
      </c>
      <c r="AD36" s="37"/>
      <c r="AG36" s="38"/>
      <c r="AL36" s="37"/>
      <c r="AO36" s="38"/>
      <c r="AP36" s="37"/>
      <c r="AS36" s="38"/>
      <c r="AW36" s="38"/>
      <c r="BA36" s="39"/>
    </row>
    <row r="37" spans="1:53" s="170" customFormat="1" x14ac:dyDescent="0.15">
      <c r="A37" s="215">
        <v>1974</v>
      </c>
      <c r="B37" s="281">
        <v>27093</v>
      </c>
      <c r="C37" s="395" t="s">
        <v>781</v>
      </c>
      <c r="D37" s="395"/>
      <c r="E37" s="170">
        <v>227</v>
      </c>
      <c r="F37" s="170">
        <v>1</v>
      </c>
      <c r="G37" s="232"/>
      <c r="I37" s="170">
        <v>20</v>
      </c>
      <c r="J37" s="240">
        <v>20</v>
      </c>
      <c r="K37" s="213">
        <f t="shared" si="1"/>
        <v>0</v>
      </c>
      <c r="L37" s="213">
        <f t="shared" si="1"/>
        <v>0</v>
      </c>
      <c r="M37" s="213">
        <f t="shared" si="1"/>
        <v>100</v>
      </c>
      <c r="N37" s="234">
        <f t="shared" si="2"/>
        <v>100</v>
      </c>
      <c r="O37" s="212"/>
      <c r="P37" s="213"/>
      <c r="Q37" s="213">
        <v>45.7</v>
      </c>
      <c r="R37" s="214">
        <f t="shared" si="3"/>
        <v>45.7</v>
      </c>
      <c r="S37" s="170">
        <v>4</v>
      </c>
      <c r="T37" s="283"/>
      <c r="U37" s="281">
        <v>27093</v>
      </c>
      <c r="V37" s="177" t="s">
        <v>451</v>
      </c>
      <c r="W37" s="170" t="s">
        <v>20</v>
      </c>
      <c r="X37" s="170" t="s">
        <v>12</v>
      </c>
      <c r="Y37" s="178">
        <v>45.7</v>
      </c>
      <c r="AD37" s="177"/>
      <c r="AG37" s="178"/>
      <c r="AL37" s="177"/>
      <c r="AO37" s="178"/>
      <c r="AP37" s="177"/>
      <c r="AS37" s="178"/>
      <c r="AW37" s="178"/>
      <c r="BA37" s="179"/>
    </row>
    <row r="38" spans="1:53" s="28" customFormat="1" x14ac:dyDescent="0.15">
      <c r="A38" s="51">
        <v>1974</v>
      </c>
      <c r="B38" s="293">
        <v>27320</v>
      </c>
      <c r="C38" s="394" t="s">
        <v>782</v>
      </c>
      <c r="D38" s="394"/>
      <c r="E38" s="28">
        <f xml:space="preserve"> 365-E37-E36</f>
        <v>75</v>
      </c>
      <c r="F38" s="28">
        <v>1</v>
      </c>
      <c r="G38" s="65"/>
      <c r="I38" s="28">
        <v>23</v>
      </c>
      <c r="J38" s="72">
        <v>23</v>
      </c>
      <c r="K38" s="46">
        <f t="shared" si="1"/>
        <v>0</v>
      </c>
      <c r="L38" s="46">
        <f t="shared" si="1"/>
        <v>0</v>
      </c>
      <c r="M38" s="46">
        <f t="shared" si="1"/>
        <v>100</v>
      </c>
      <c r="N38" s="67">
        <f t="shared" si="2"/>
        <v>100</v>
      </c>
      <c r="O38" s="45"/>
      <c r="P38" s="46"/>
      <c r="Q38" s="46">
        <v>50.2</v>
      </c>
      <c r="R38" s="47">
        <f t="shared" si="3"/>
        <v>50.2</v>
      </c>
      <c r="S38" s="28">
        <v>1</v>
      </c>
      <c r="T38" s="284">
        <v>27312</v>
      </c>
      <c r="U38" s="293">
        <v>27320</v>
      </c>
      <c r="V38" s="37" t="s">
        <v>451</v>
      </c>
      <c r="W38" s="28" t="s">
        <v>20</v>
      </c>
      <c r="X38" s="28" t="s">
        <v>12</v>
      </c>
      <c r="Y38" s="38">
        <v>50.2</v>
      </c>
      <c r="AD38" s="37"/>
      <c r="AG38" s="38"/>
      <c r="AL38" s="37"/>
      <c r="AO38" s="38"/>
      <c r="AP38" s="37"/>
      <c r="AS38" s="38"/>
      <c r="AW38" s="38"/>
      <c r="BA38" s="39"/>
    </row>
    <row r="39" spans="1:53" s="28" customFormat="1" x14ac:dyDescent="0.15">
      <c r="A39" s="51">
        <v>1975</v>
      </c>
      <c r="B39" s="293"/>
      <c r="C39" s="394" t="s">
        <v>782</v>
      </c>
      <c r="D39" s="394"/>
      <c r="E39" s="28">
        <v>0</v>
      </c>
      <c r="G39" s="65"/>
      <c r="I39" s="28">
        <v>23</v>
      </c>
      <c r="J39" s="72">
        <v>23</v>
      </c>
      <c r="K39" s="46">
        <f t="shared" si="1"/>
        <v>0</v>
      </c>
      <c r="L39" s="46">
        <f t="shared" si="1"/>
        <v>0</v>
      </c>
      <c r="M39" s="46">
        <f t="shared" si="1"/>
        <v>100</v>
      </c>
      <c r="N39" s="67">
        <f t="shared" si="2"/>
        <v>100</v>
      </c>
      <c r="O39" s="45"/>
      <c r="P39" s="46"/>
      <c r="Q39" s="46">
        <v>50.2</v>
      </c>
      <c r="R39" s="47">
        <f t="shared" si="3"/>
        <v>50.2</v>
      </c>
      <c r="S39" s="28">
        <v>1</v>
      </c>
      <c r="T39" s="284"/>
      <c r="U39" s="293"/>
      <c r="V39" s="37" t="s">
        <v>451</v>
      </c>
      <c r="W39" s="28" t="s">
        <v>20</v>
      </c>
      <c r="X39" s="28" t="s">
        <v>12</v>
      </c>
      <c r="Y39" s="38">
        <v>50.2</v>
      </c>
      <c r="AD39" s="37"/>
      <c r="AG39" s="38"/>
      <c r="AL39" s="37"/>
      <c r="AO39" s="38"/>
      <c r="AP39" s="37"/>
      <c r="AS39" s="38"/>
      <c r="AW39" s="38"/>
      <c r="BA39" s="39"/>
    </row>
    <row r="40" spans="1:53" s="28" customFormat="1" x14ac:dyDescent="0.15">
      <c r="A40" s="51">
        <v>1975</v>
      </c>
      <c r="B40" s="293"/>
      <c r="C40" s="394" t="s">
        <v>782</v>
      </c>
      <c r="D40" s="394"/>
      <c r="E40" s="28">
        <v>365</v>
      </c>
      <c r="G40" s="65"/>
      <c r="I40" s="28">
        <v>23</v>
      </c>
      <c r="J40" s="72">
        <v>23</v>
      </c>
      <c r="K40" s="46">
        <f t="shared" si="1"/>
        <v>0</v>
      </c>
      <c r="L40" s="46">
        <f t="shared" si="1"/>
        <v>0</v>
      </c>
      <c r="M40" s="46">
        <f t="shared" si="1"/>
        <v>100</v>
      </c>
      <c r="N40" s="67">
        <f t="shared" si="2"/>
        <v>100</v>
      </c>
      <c r="O40" s="45"/>
      <c r="P40" s="46"/>
      <c r="Q40" s="46">
        <v>50.2</v>
      </c>
      <c r="R40" s="47">
        <f t="shared" si="3"/>
        <v>50.2</v>
      </c>
      <c r="S40" s="28">
        <v>1</v>
      </c>
      <c r="T40" s="284"/>
      <c r="U40" s="293"/>
      <c r="V40" s="37" t="s">
        <v>451</v>
      </c>
      <c r="W40" s="28" t="s">
        <v>20</v>
      </c>
      <c r="X40" s="28" t="s">
        <v>12</v>
      </c>
      <c r="Y40" s="38">
        <v>50.2</v>
      </c>
      <c r="AD40" s="37"/>
      <c r="AG40" s="38"/>
      <c r="AL40" s="37"/>
      <c r="AO40" s="38"/>
      <c r="AP40" s="37"/>
      <c r="AS40" s="38"/>
      <c r="AW40" s="38"/>
      <c r="BA40" s="39"/>
    </row>
    <row r="41" spans="1:53" s="28" customFormat="1" x14ac:dyDescent="0.15">
      <c r="A41" s="51">
        <v>1976</v>
      </c>
      <c r="B41" s="293"/>
      <c r="C41" s="394" t="s">
        <v>782</v>
      </c>
      <c r="D41" s="394"/>
      <c r="E41" s="28">
        <v>96</v>
      </c>
      <c r="G41" s="65"/>
      <c r="I41" s="28">
        <v>23</v>
      </c>
      <c r="J41" s="72">
        <v>23</v>
      </c>
      <c r="K41" s="46">
        <f t="shared" si="1"/>
        <v>0</v>
      </c>
      <c r="L41" s="46">
        <f t="shared" si="1"/>
        <v>0</v>
      </c>
      <c r="M41" s="46">
        <f t="shared" si="1"/>
        <v>100</v>
      </c>
      <c r="N41" s="67">
        <f t="shared" si="2"/>
        <v>100</v>
      </c>
      <c r="O41" s="45"/>
      <c r="P41" s="46"/>
      <c r="Q41" s="46">
        <v>50.2</v>
      </c>
      <c r="R41" s="47">
        <f t="shared" si="3"/>
        <v>50.2</v>
      </c>
      <c r="S41" s="28">
        <v>1</v>
      </c>
      <c r="T41" s="284"/>
      <c r="U41" s="293"/>
      <c r="V41" s="37" t="s">
        <v>451</v>
      </c>
      <c r="W41" s="28" t="s">
        <v>20</v>
      </c>
      <c r="X41" s="28" t="s">
        <v>12</v>
      </c>
      <c r="Y41" s="38">
        <v>50.2</v>
      </c>
      <c r="AD41" s="37"/>
      <c r="AG41" s="38"/>
      <c r="AL41" s="37"/>
      <c r="AO41" s="38"/>
      <c r="AP41" s="37"/>
      <c r="AS41" s="38"/>
      <c r="AW41" s="38"/>
      <c r="BA41" s="39"/>
    </row>
    <row r="42" spans="1:53" s="170" customFormat="1" x14ac:dyDescent="0.15">
      <c r="A42" s="215">
        <v>1976</v>
      </c>
      <c r="B42" s="281">
        <v>27856</v>
      </c>
      <c r="C42" s="395" t="s">
        <v>783</v>
      </c>
      <c r="D42" s="395"/>
      <c r="E42" s="170">
        <f>366-E41</f>
        <v>270</v>
      </c>
      <c r="F42" s="170">
        <v>2</v>
      </c>
      <c r="G42" s="232"/>
      <c r="I42" s="170">
        <v>16</v>
      </c>
      <c r="J42" s="240">
        <v>16</v>
      </c>
      <c r="K42" s="213">
        <f t="shared" si="1"/>
        <v>0</v>
      </c>
      <c r="L42" s="213">
        <f t="shared" si="1"/>
        <v>0</v>
      </c>
      <c r="M42" s="213">
        <f t="shared" si="1"/>
        <v>100</v>
      </c>
      <c r="N42" s="234">
        <f t="shared" si="2"/>
        <v>100</v>
      </c>
      <c r="O42" s="212"/>
      <c r="P42" s="213"/>
      <c r="Q42" s="213">
        <v>50.2</v>
      </c>
      <c r="R42" s="214">
        <f t="shared" si="3"/>
        <v>50.2</v>
      </c>
      <c r="S42" s="170">
        <v>1</v>
      </c>
      <c r="T42" s="283"/>
      <c r="U42" s="281">
        <v>27856</v>
      </c>
      <c r="V42" s="177" t="s">
        <v>451</v>
      </c>
      <c r="W42" s="170" t="s">
        <v>20</v>
      </c>
      <c r="X42" s="170" t="s">
        <v>12</v>
      </c>
      <c r="Y42" s="178">
        <v>50.2</v>
      </c>
      <c r="AD42" s="177"/>
      <c r="AG42" s="178"/>
      <c r="AL42" s="177"/>
      <c r="AO42" s="178"/>
      <c r="AP42" s="177"/>
      <c r="AS42" s="178"/>
      <c r="AW42" s="178"/>
      <c r="BA42" s="179"/>
    </row>
    <row r="43" spans="1:53" s="170" customFormat="1" x14ac:dyDescent="0.15">
      <c r="A43" s="215">
        <v>1977</v>
      </c>
      <c r="B43" s="281"/>
      <c r="C43" s="395" t="s">
        <v>783</v>
      </c>
      <c r="D43" s="395"/>
      <c r="E43" s="170">
        <v>0</v>
      </c>
      <c r="G43" s="232"/>
      <c r="I43" s="170">
        <v>16</v>
      </c>
      <c r="J43" s="240">
        <v>16</v>
      </c>
      <c r="K43" s="213">
        <f t="shared" si="1"/>
        <v>0</v>
      </c>
      <c r="L43" s="213">
        <f t="shared" si="1"/>
        <v>0</v>
      </c>
      <c r="M43" s="213">
        <f t="shared" si="1"/>
        <v>100</v>
      </c>
      <c r="N43" s="234">
        <f t="shared" si="2"/>
        <v>100</v>
      </c>
      <c r="O43" s="212"/>
      <c r="P43" s="213"/>
      <c r="Q43" s="213">
        <v>50.2</v>
      </c>
      <c r="R43" s="214">
        <f t="shared" si="3"/>
        <v>50.2</v>
      </c>
      <c r="S43" s="170">
        <v>1</v>
      </c>
      <c r="T43" s="283"/>
      <c r="U43" s="281"/>
      <c r="V43" s="177" t="s">
        <v>451</v>
      </c>
      <c r="W43" s="170" t="s">
        <v>20</v>
      </c>
      <c r="X43" s="170" t="s">
        <v>12</v>
      </c>
      <c r="Y43" s="178">
        <v>50.2</v>
      </c>
      <c r="AD43" s="177"/>
      <c r="AG43" s="178"/>
      <c r="AL43" s="177"/>
      <c r="AO43" s="178"/>
      <c r="AP43" s="177"/>
      <c r="AS43" s="178"/>
      <c r="AW43" s="178"/>
      <c r="BA43" s="179"/>
    </row>
    <row r="44" spans="1:53" s="170" customFormat="1" x14ac:dyDescent="0.15">
      <c r="A44" s="215">
        <v>1977</v>
      </c>
      <c r="B44" s="281"/>
      <c r="C44" s="395" t="s">
        <v>783</v>
      </c>
      <c r="D44" s="395"/>
      <c r="E44" s="170">
        <v>365</v>
      </c>
      <c r="G44" s="232"/>
      <c r="I44" s="170">
        <v>16</v>
      </c>
      <c r="J44" s="240">
        <v>16</v>
      </c>
      <c r="K44" s="213">
        <f t="shared" si="1"/>
        <v>0</v>
      </c>
      <c r="L44" s="213">
        <f t="shared" si="1"/>
        <v>0</v>
      </c>
      <c r="M44" s="213">
        <f t="shared" si="1"/>
        <v>100</v>
      </c>
      <c r="N44" s="234">
        <f t="shared" si="2"/>
        <v>100</v>
      </c>
      <c r="O44" s="212"/>
      <c r="P44" s="213"/>
      <c r="Q44" s="213">
        <v>50.2</v>
      </c>
      <c r="R44" s="214">
        <f t="shared" si="3"/>
        <v>50.2</v>
      </c>
      <c r="S44" s="170">
        <v>1</v>
      </c>
      <c r="T44" s="283"/>
      <c r="U44" s="281"/>
      <c r="V44" s="177" t="s">
        <v>451</v>
      </c>
      <c r="W44" s="170" t="s">
        <v>20</v>
      </c>
      <c r="X44" s="170" t="s">
        <v>12</v>
      </c>
      <c r="Y44" s="178">
        <v>50.2</v>
      </c>
      <c r="AD44" s="177"/>
      <c r="AG44" s="178"/>
      <c r="AL44" s="177"/>
      <c r="AO44" s="178"/>
      <c r="AP44" s="177"/>
      <c r="AS44" s="178"/>
      <c r="AW44" s="178"/>
      <c r="BA44" s="179"/>
    </row>
    <row r="45" spans="1:53" s="170" customFormat="1" x14ac:dyDescent="0.15">
      <c r="A45" s="215">
        <v>1978</v>
      </c>
      <c r="B45" s="281"/>
      <c r="C45" s="395" t="s">
        <v>783</v>
      </c>
      <c r="D45" s="395"/>
      <c r="E45" s="170">
        <v>0</v>
      </c>
      <c r="G45" s="232"/>
      <c r="I45" s="170">
        <v>16</v>
      </c>
      <c r="J45" s="240">
        <v>16</v>
      </c>
      <c r="K45" s="213">
        <f t="shared" si="1"/>
        <v>0</v>
      </c>
      <c r="L45" s="213">
        <f t="shared" si="1"/>
        <v>0</v>
      </c>
      <c r="M45" s="213">
        <f t="shared" si="1"/>
        <v>100</v>
      </c>
      <c r="N45" s="234">
        <f t="shared" si="2"/>
        <v>100</v>
      </c>
      <c r="O45" s="212"/>
      <c r="P45" s="213"/>
      <c r="Q45" s="213">
        <v>50.2</v>
      </c>
      <c r="R45" s="214">
        <f t="shared" si="3"/>
        <v>50.2</v>
      </c>
      <c r="S45" s="170">
        <v>1</v>
      </c>
      <c r="T45" s="283"/>
      <c r="U45" s="281"/>
      <c r="V45" s="177" t="s">
        <v>451</v>
      </c>
      <c r="W45" s="170" t="s">
        <v>20</v>
      </c>
      <c r="X45" s="170" t="s">
        <v>12</v>
      </c>
      <c r="Y45" s="178">
        <v>50.2</v>
      </c>
      <c r="AD45" s="177"/>
      <c r="AG45" s="178"/>
      <c r="AL45" s="177"/>
      <c r="AO45" s="178"/>
      <c r="AP45" s="177"/>
      <c r="AS45" s="178"/>
      <c r="AW45" s="178"/>
      <c r="BA45" s="179"/>
    </row>
    <row r="46" spans="1:53" s="170" customFormat="1" x14ac:dyDescent="0.15">
      <c r="A46" s="215">
        <v>1978</v>
      </c>
      <c r="B46" s="281"/>
      <c r="C46" s="395" t="s">
        <v>783</v>
      </c>
      <c r="D46" s="395"/>
      <c r="E46" s="170">
        <v>365</v>
      </c>
      <c r="G46" s="232"/>
      <c r="I46" s="170">
        <v>16</v>
      </c>
      <c r="J46" s="240">
        <v>16</v>
      </c>
      <c r="K46" s="213">
        <f t="shared" si="1"/>
        <v>0</v>
      </c>
      <c r="L46" s="213">
        <f t="shared" si="1"/>
        <v>0</v>
      </c>
      <c r="M46" s="213">
        <f t="shared" si="1"/>
        <v>100</v>
      </c>
      <c r="N46" s="234">
        <f t="shared" si="2"/>
        <v>100</v>
      </c>
      <c r="O46" s="212"/>
      <c r="P46" s="213"/>
      <c r="Q46" s="213">
        <v>50.2</v>
      </c>
      <c r="R46" s="214">
        <f t="shared" si="3"/>
        <v>50.2</v>
      </c>
      <c r="S46" s="170">
        <v>1</v>
      </c>
      <c r="T46" s="283"/>
      <c r="U46" s="281"/>
      <c r="V46" s="177" t="s">
        <v>451</v>
      </c>
      <c r="W46" s="170" t="s">
        <v>20</v>
      </c>
      <c r="X46" s="170" t="s">
        <v>12</v>
      </c>
      <c r="Y46" s="178">
        <v>50.2</v>
      </c>
      <c r="AD46" s="177"/>
      <c r="AG46" s="178"/>
      <c r="AL46" s="177"/>
      <c r="AO46" s="178"/>
      <c r="AP46" s="177"/>
      <c r="AS46" s="178"/>
      <c r="AW46" s="178"/>
      <c r="BA46" s="179"/>
    </row>
    <row r="47" spans="1:53" s="170" customFormat="1" x14ac:dyDescent="0.15">
      <c r="A47" s="215">
        <v>1979</v>
      </c>
      <c r="B47" s="281"/>
      <c r="C47" s="395" t="s">
        <v>783</v>
      </c>
      <c r="D47" s="395"/>
      <c r="E47" s="170">
        <v>124</v>
      </c>
      <c r="G47" s="232"/>
      <c r="I47" s="170">
        <v>16</v>
      </c>
      <c r="J47" s="240">
        <v>16</v>
      </c>
      <c r="K47" s="213">
        <f t="shared" si="1"/>
        <v>0</v>
      </c>
      <c r="L47" s="213">
        <f t="shared" si="1"/>
        <v>0</v>
      </c>
      <c r="M47" s="213">
        <f t="shared" si="1"/>
        <v>100</v>
      </c>
      <c r="N47" s="234">
        <f t="shared" si="2"/>
        <v>100</v>
      </c>
      <c r="O47" s="212"/>
      <c r="P47" s="213"/>
      <c r="Q47" s="213">
        <v>50.2</v>
      </c>
      <c r="R47" s="214">
        <f t="shared" si="3"/>
        <v>50.2</v>
      </c>
      <c r="S47" s="170">
        <v>1</v>
      </c>
      <c r="T47" s="283"/>
      <c r="U47" s="281"/>
      <c r="V47" s="177" t="s">
        <v>451</v>
      </c>
      <c r="W47" s="170" t="s">
        <v>20</v>
      </c>
      <c r="X47" s="170" t="s">
        <v>12</v>
      </c>
      <c r="Y47" s="178">
        <v>50.2</v>
      </c>
      <c r="AD47" s="177"/>
      <c r="AG47" s="178"/>
      <c r="AL47" s="177"/>
      <c r="AO47" s="178"/>
      <c r="AP47" s="177"/>
      <c r="AS47" s="178"/>
      <c r="AW47" s="178"/>
      <c r="BA47" s="179"/>
    </row>
    <row r="48" spans="1:53" s="28" customFormat="1" x14ac:dyDescent="0.15">
      <c r="A48" s="51">
        <v>1979</v>
      </c>
      <c r="B48" s="293">
        <v>28980</v>
      </c>
      <c r="C48" s="394" t="s">
        <v>791</v>
      </c>
      <c r="D48" s="394"/>
      <c r="E48" s="28">
        <f>365-E47</f>
        <v>241</v>
      </c>
      <c r="F48" s="28">
        <v>1</v>
      </c>
      <c r="G48" s="65">
        <v>22</v>
      </c>
      <c r="J48" s="72">
        <v>22</v>
      </c>
      <c r="K48" s="46">
        <f t="shared" si="1"/>
        <v>100</v>
      </c>
      <c r="L48" s="46">
        <f t="shared" si="1"/>
        <v>0</v>
      </c>
      <c r="M48" s="46">
        <f t="shared" si="1"/>
        <v>0</v>
      </c>
      <c r="N48" s="67">
        <f t="shared" si="2"/>
        <v>100</v>
      </c>
      <c r="O48" s="45">
        <v>53.4</v>
      </c>
      <c r="P48" s="46"/>
      <c r="Q48" s="46"/>
      <c r="R48" s="47">
        <f t="shared" si="3"/>
        <v>53.4</v>
      </c>
      <c r="S48" s="28">
        <v>1</v>
      </c>
      <c r="T48" s="284">
        <v>28978</v>
      </c>
      <c r="U48" s="293">
        <v>28980</v>
      </c>
      <c r="V48" s="37" t="s">
        <v>788</v>
      </c>
      <c r="W48" s="28" t="s">
        <v>74</v>
      </c>
      <c r="X48" s="28" t="s">
        <v>11</v>
      </c>
      <c r="Y48" s="38">
        <v>53.4</v>
      </c>
      <c r="AD48" s="37"/>
      <c r="AG48" s="38"/>
      <c r="AL48" s="37"/>
      <c r="AO48" s="38"/>
      <c r="AP48" s="37"/>
      <c r="AS48" s="38"/>
      <c r="AW48" s="38"/>
      <c r="BA48" s="39"/>
    </row>
    <row r="49" spans="1:53" s="28" customFormat="1" x14ac:dyDescent="0.15">
      <c r="A49" s="51">
        <v>1980</v>
      </c>
      <c r="B49" s="293"/>
      <c r="C49" s="394" t="s">
        <v>791</v>
      </c>
      <c r="D49" s="394"/>
      <c r="E49" s="28">
        <v>0</v>
      </c>
      <c r="G49" s="65">
        <v>22</v>
      </c>
      <c r="J49" s="72">
        <v>22</v>
      </c>
      <c r="K49" s="46">
        <f t="shared" si="1"/>
        <v>100</v>
      </c>
      <c r="L49" s="46">
        <f t="shared" si="1"/>
        <v>0</v>
      </c>
      <c r="M49" s="46">
        <f t="shared" si="1"/>
        <v>0</v>
      </c>
      <c r="N49" s="67">
        <f t="shared" si="2"/>
        <v>100</v>
      </c>
      <c r="O49" s="45">
        <v>53.4</v>
      </c>
      <c r="P49" s="46"/>
      <c r="Q49" s="46"/>
      <c r="R49" s="47">
        <f t="shared" si="3"/>
        <v>53.4</v>
      </c>
      <c r="S49" s="28">
        <v>1</v>
      </c>
      <c r="T49" s="284"/>
      <c r="U49" s="293"/>
      <c r="V49" s="37" t="s">
        <v>788</v>
      </c>
      <c r="W49" s="28" t="s">
        <v>74</v>
      </c>
      <c r="X49" s="28" t="s">
        <v>11</v>
      </c>
      <c r="Y49" s="38">
        <v>53.4</v>
      </c>
      <c r="AD49" s="37"/>
      <c r="AG49" s="38"/>
      <c r="AL49" s="37"/>
      <c r="AO49" s="38"/>
      <c r="AP49" s="37"/>
      <c r="AS49" s="38"/>
      <c r="AW49" s="38"/>
      <c r="BA49" s="39"/>
    </row>
    <row r="50" spans="1:53" s="28" customFormat="1" x14ac:dyDescent="0.15">
      <c r="A50" s="51">
        <v>1980</v>
      </c>
      <c r="B50" s="293"/>
      <c r="C50" s="394" t="s">
        <v>791</v>
      </c>
      <c r="D50" s="394"/>
      <c r="E50" s="28">
        <v>366</v>
      </c>
      <c r="G50" s="65">
        <v>22</v>
      </c>
      <c r="J50" s="72">
        <v>22</v>
      </c>
      <c r="K50" s="46">
        <f t="shared" si="1"/>
        <v>100</v>
      </c>
      <c r="L50" s="46">
        <f t="shared" si="1"/>
        <v>0</v>
      </c>
      <c r="M50" s="46">
        <f t="shared" si="1"/>
        <v>0</v>
      </c>
      <c r="N50" s="67">
        <f t="shared" si="2"/>
        <v>100</v>
      </c>
      <c r="O50" s="45">
        <v>53.4</v>
      </c>
      <c r="P50" s="46"/>
      <c r="Q50" s="46"/>
      <c r="R50" s="47">
        <f t="shared" si="3"/>
        <v>53.4</v>
      </c>
      <c r="S50" s="28">
        <v>1</v>
      </c>
      <c r="T50" s="284"/>
      <c r="U50" s="293"/>
      <c r="V50" s="37" t="s">
        <v>788</v>
      </c>
      <c r="W50" s="28" t="s">
        <v>74</v>
      </c>
      <c r="X50" s="28" t="s">
        <v>11</v>
      </c>
      <c r="Y50" s="38">
        <v>53.4</v>
      </c>
      <c r="AD50" s="37"/>
      <c r="AG50" s="38"/>
      <c r="AL50" s="37"/>
      <c r="AO50" s="38"/>
      <c r="AP50" s="37"/>
      <c r="AS50" s="38"/>
      <c r="AW50" s="38"/>
      <c r="BA50" s="39"/>
    </row>
    <row r="51" spans="1:53" s="28" customFormat="1" x14ac:dyDescent="0.15">
      <c r="A51" s="51">
        <v>1981</v>
      </c>
      <c r="B51" s="293"/>
      <c r="C51" s="394" t="s">
        <v>791</v>
      </c>
      <c r="D51" s="394"/>
      <c r="E51" s="28">
        <v>0</v>
      </c>
      <c r="G51" s="65">
        <v>22</v>
      </c>
      <c r="J51" s="72">
        <v>22</v>
      </c>
      <c r="K51" s="46">
        <f t="shared" si="1"/>
        <v>100</v>
      </c>
      <c r="L51" s="46">
        <f t="shared" si="1"/>
        <v>0</v>
      </c>
      <c r="M51" s="46">
        <f t="shared" si="1"/>
        <v>0</v>
      </c>
      <c r="N51" s="67">
        <f t="shared" si="2"/>
        <v>100</v>
      </c>
      <c r="O51" s="45">
        <v>53.4</v>
      </c>
      <c r="P51" s="46"/>
      <c r="Q51" s="46"/>
      <c r="R51" s="47">
        <f t="shared" si="3"/>
        <v>53.4</v>
      </c>
      <c r="S51" s="28">
        <v>1</v>
      </c>
      <c r="T51" s="284"/>
      <c r="U51" s="293"/>
      <c r="V51" s="37" t="s">
        <v>788</v>
      </c>
      <c r="W51" s="28" t="s">
        <v>74</v>
      </c>
      <c r="X51" s="28" t="s">
        <v>11</v>
      </c>
      <c r="Y51" s="38">
        <v>53.4</v>
      </c>
      <c r="AD51" s="37"/>
      <c r="AG51" s="38"/>
      <c r="AL51" s="37"/>
      <c r="AO51" s="38"/>
      <c r="AP51" s="37"/>
      <c r="AS51" s="38"/>
      <c r="AW51" s="38"/>
      <c r="BA51" s="39"/>
    </row>
    <row r="52" spans="1:53" s="28" customFormat="1" x14ac:dyDescent="0.15">
      <c r="A52" s="51">
        <v>1981</v>
      </c>
      <c r="B52" s="293"/>
      <c r="C52" s="394" t="s">
        <v>791</v>
      </c>
      <c r="D52" s="394"/>
      <c r="E52" s="28">
        <v>365</v>
      </c>
      <c r="G52" s="65">
        <v>22</v>
      </c>
      <c r="J52" s="72">
        <v>22</v>
      </c>
      <c r="K52" s="46">
        <f t="shared" si="1"/>
        <v>100</v>
      </c>
      <c r="L52" s="46">
        <f t="shared" si="1"/>
        <v>0</v>
      </c>
      <c r="M52" s="46">
        <f t="shared" si="1"/>
        <v>0</v>
      </c>
      <c r="N52" s="67">
        <f t="shared" si="2"/>
        <v>100</v>
      </c>
      <c r="O52" s="45">
        <v>53.4</v>
      </c>
      <c r="P52" s="46"/>
      <c r="Q52" s="46"/>
      <c r="R52" s="47">
        <f t="shared" si="3"/>
        <v>53.4</v>
      </c>
      <c r="S52" s="28">
        <v>1</v>
      </c>
      <c r="T52" s="284"/>
      <c r="U52" s="293"/>
      <c r="V52" s="37" t="s">
        <v>788</v>
      </c>
      <c r="W52" s="28" t="s">
        <v>74</v>
      </c>
      <c r="X52" s="28" t="s">
        <v>11</v>
      </c>
      <c r="Y52" s="38">
        <v>53.4</v>
      </c>
      <c r="AD52" s="37"/>
      <c r="AG52" s="38"/>
      <c r="AL52" s="37"/>
      <c r="AO52" s="38"/>
      <c r="AP52" s="37"/>
      <c r="AS52" s="38"/>
      <c r="AW52" s="38"/>
      <c r="BA52" s="39"/>
    </row>
    <row r="53" spans="1:53" s="28" customFormat="1" x14ac:dyDescent="0.15">
      <c r="A53" s="51">
        <v>1982</v>
      </c>
      <c r="B53" s="293"/>
      <c r="C53" s="394" t="s">
        <v>791</v>
      </c>
      <c r="D53" s="394"/>
      <c r="E53" s="28">
        <v>0</v>
      </c>
      <c r="G53" s="65">
        <v>22</v>
      </c>
      <c r="J53" s="72">
        <v>22</v>
      </c>
      <c r="K53" s="46">
        <f t="shared" si="1"/>
        <v>100</v>
      </c>
      <c r="L53" s="46">
        <f t="shared" si="1"/>
        <v>0</v>
      </c>
      <c r="M53" s="46">
        <f t="shared" si="1"/>
        <v>0</v>
      </c>
      <c r="N53" s="67">
        <f t="shared" si="2"/>
        <v>100</v>
      </c>
      <c r="O53" s="45">
        <v>53.4</v>
      </c>
      <c r="P53" s="46"/>
      <c r="Q53" s="46"/>
      <c r="R53" s="47">
        <f t="shared" si="3"/>
        <v>53.4</v>
      </c>
      <c r="S53" s="28">
        <v>1</v>
      </c>
      <c r="T53" s="284"/>
      <c r="U53" s="293"/>
      <c r="V53" s="37" t="s">
        <v>788</v>
      </c>
      <c r="W53" s="28" t="s">
        <v>74</v>
      </c>
      <c r="X53" s="28" t="s">
        <v>11</v>
      </c>
      <c r="Y53" s="38">
        <v>53.4</v>
      </c>
      <c r="AD53" s="37"/>
      <c r="AG53" s="38"/>
      <c r="AL53" s="37"/>
      <c r="AO53" s="38"/>
      <c r="AP53" s="37"/>
      <c r="AS53" s="38"/>
      <c r="AW53" s="38"/>
      <c r="BA53" s="39"/>
    </row>
    <row r="54" spans="1:53" s="28" customFormat="1" x14ac:dyDescent="0.15">
      <c r="A54" s="51">
        <v>1982</v>
      </c>
      <c r="B54" s="293"/>
      <c r="C54" s="394" t="s">
        <v>791</v>
      </c>
      <c r="D54" s="394"/>
      <c r="E54" s="28">
        <v>365</v>
      </c>
      <c r="G54" s="65">
        <v>22</v>
      </c>
      <c r="J54" s="72">
        <v>22</v>
      </c>
      <c r="K54" s="46">
        <f t="shared" si="1"/>
        <v>100</v>
      </c>
      <c r="L54" s="46">
        <f t="shared" si="1"/>
        <v>0</v>
      </c>
      <c r="M54" s="46">
        <f t="shared" si="1"/>
        <v>0</v>
      </c>
      <c r="N54" s="67">
        <f t="shared" si="2"/>
        <v>100</v>
      </c>
      <c r="O54" s="45">
        <v>53.4</v>
      </c>
      <c r="P54" s="46"/>
      <c r="Q54" s="46"/>
      <c r="R54" s="47">
        <f t="shared" si="3"/>
        <v>53.4</v>
      </c>
      <c r="S54" s="28">
        <v>1</v>
      </c>
      <c r="T54" s="284"/>
      <c r="U54" s="293"/>
      <c r="V54" s="37" t="s">
        <v>788</v>
      </c>
      <c r="W54" s="28" t="s">
        <v>74</v>
      </c>
      <c r="X54" s="28" t="s">
        <v>11</v>
      </c>
      <c r="Y54" s="38">
        <v>53.4</v>
      </c>
      <c r="AD54" s="37"/>
      <c r="AG54" s="38"/>
      <c r="AL54" s="37"/>
      <c r="AO54" s="38"/>
      <c r="AP54" s="37"/>
      <c r="AS54" s="38"/>
      <c r="AW54" s="38"/>
      <c r="BA54" s="39"/>
    </row>
    <row r="55" spans="1:53" s="28" customFormat="1" x14ac:dyDescent="0.15">
      <c r="A55" s="51">
        <v>1983</v>
      </c>
      <c r="B55" s="293"/>
      <c r="C55" s="394" t="s">
        <v>791</v>
      </c>
      <c r="D55" s="394"/>
      <c r="E55" s="28">
        <v>162</v>
      </c>
      <c r="G55" s="65">
        <v>22</v>
      </c>
      <c r="J55" s="72">
        <v>22</v>
      </c>
      <c r="K55" s="46">
        <f t="shared" si="1"/>
        <v>100</v>
      </c>
      <c r="L55" s="46">
        <f t="shared" si="1"/>
        <v>0</v>
      </c>
      <c r="M55" s="46">
        <f t="shared" si="1"/>
        <v>0</v>
      </c>
      <c r="N55" s="67">
        <f t="shared" si="2"/>
        <v>100</v>
      </c>
      <c r="O55" s="45">
        <v>53.4</v>
      </c>
      <c r="P55" s="46"/>
      <c r="Q55" s="46"/>
      <c r="R55" s="47">
        <f t="shared" si="3"/>
        <v>53.4</v>
      </c>
      <c r="S55" s="28">
        <v>1</v>
      </c>
      <c r="T55" s="284"/>
      <c r="U55" s="293"/>
      <c r="V55" s="37" t="s">
        <v>788</v>
      </c>
      <c r="W55" s="28" t="s">
        <v>74</v>
      </c>
      <c r="X55" s="28" t="s">
        <v>11</v>
      </c>
      <c r="Y55" s="38">
        <v>53.4</v>
      </c>
      <c r="AD55" s="37"/>
      <c r="AG55" s="38"/>
      <c r="AL55" s="37"/>
      <c r="AO55" s="38"/>
      <c r="AP55" s="37"/>
      <c r="AS55" s="38"/>
      <c r="AW55" s="38"/>
      <c r="BA55" s="39"/>
    </row>
    <row r="56" spans="1:53" s="170" customFormat="1" x14ac:dyDescent="0.15">
      <c r="A56" s="215">
        <v>1983</v>
      </c>
      <c r="B56" s="281">
        <v>30479</v>
      </c>
      <c r="C56" s="395" t="s">
        <v>792</v>
      </c>
      <c r="D56" s="395"/>
      <c r="E56" s="170">
        <f>365-E55</f>
        <v>203</v>
      </c>
      <c r="F56" s="170">
        <v>1</v>
      </c>
      <c r="G56" s="232">
        <v>21</v>
      </c>
      <c r="J56" s="240">
        <v>21</v>
      </c>
      <c r="K56" s="213">
        <f t="shared" si="1"/>
        <v>100</v>
      </c>
      <c r="L56" s="213">
        <f t="shared" si="1"/>
        <v>0</v>
      </c>
      <c r="M56" s="213">
        <f t="shared" si="1"/>
        <v>0</v>
      </c>
      <c r="N56" s="234">
        <f t="shared" si="2"/>
        <v>100</v>
      </c>
      <c r="O56" s="212">
        <v>61.1</v>
      </c>
      <c r="P56" s="213"/>
      <c r="Q56" s="213"/>
      <c r="R56" s="214">
        <f t="shared" si="3"/>
        <v>61.1</v>
      </c>
      <c r="S56" s="170">
        <v>1</v>
      </c>
      <c r="T56" s="283">
        <v>30476</v>
      </c>
      <c r="U56" s="281">
        <v>30479</v>
      </c>
      <c r="V56" s="177" t="s">
        <v>788</v>
      </c>
      <c r="W56" s="170" t="s">
        <v>74</v>
      </c>
      <c r="X56" s="170" t="s">
        <v>11</v>
      </c>
      <c r="Y56" s="178">
        <v>61.1</v>
      </c>
      <c r="AD56" s="177"/>
      <c r="AG56" s="178"/>
      <c r="AL56" s="177"/>
      <c r="AO56" s="178"/>
      <c r="AP56" s="177"/>
      <c r="AS56" s="178"/>
      <c r="AW56" s="178"/>
      <c r="BA56" s="179"/>
    </row>
    <row r="57" spans="1:53" s="170" customFormat="1" x14ac:dyDescent="0.15">
      <c r="A57" s="215">
        <v>1984</v>
      </c>
      <c r="B57" s="281"/>
      <c r="C57" s="395" t="s">
        <v>792</v>
      </c>
      <c r="D57" s="395"/>
      <c r="E57" s="170">
        <v>0</v>
      </c>
      <c r="G57" s="232">
        <v>21</v>
      </c>
      <c r="J57" s="240">
        <v>21</v>
      </c>
      <c r="K57" s="213">
        <f t="shared" si="1"/>
        <v>100</v>
      </c>
      <c r="L57" s="213">
        <f t="shared" si="1"/>
        <v>0</v>
      </c>
      <c r="M57" s="213">
        <f t="shared" si="1"/>
        <v>0</v>
      </c>
      <c r="N57" s="234">
        <f t="shared" si="2"/>
        <v>100</v>
      </c>
      <c r="O57" s="212">
        <v>61.1</v>
      </c>
      <c r="P57" s="213"/>
      <c r="Q57" s="213"/>
      <c r="R57" s="214">
        <f t="shared" si="3"/>
        <v>61.1</v>
      </c>
      <c r="S57" s="170">
        <v>1</v>
      </c>
      <c r="T57" s="283"/>
      <c r="U57" s="281"/>
      <c r="V57" s="177" t="s">
        <v>788</v>
      </c>
      <c r="W57" s="170" t="s">
        <v>74</v>
      </c>
      <c r="X57" s="170" t="s">
        <v>11</v>
      </c>
      <c r="Y57" s="178">
        <v>61.1</v>
      </c>
      <c r="AD57" s="177"/>
      <c r="AG57" s="178"/>
      <c r="AL57" s="177"/>
      <c r="AO57" s="178"/>
      <c r="AP57" s="177"/>
      <c r="AS57" s="178"/>
      <c r="AW57" s="178"/>
      <c r="BA57" s="179"/>
    </row>
    <row r="58" spans="1:53" s="170" customFormat="1" x14ac:dyDescent="0.15">
      <c r="A58" s="215">
        <v>1984</v>
      </c>
      <c r="B58" s="281"/>
      <c r="C58" s="395" t="s">
        <v>792</v>
      </c>
      <c r="D58" s="395"/>
      <c r="E58" s="170">
        <v>366</v>
      </c>
      <c r="G58" s="232">
        <v>21</v>
      </c>
      <c r="J58" s="240">
        <v>21</v>
      </c>
      <c r="K58" s="213">
        <f t="shared" si="1"/>
        <v>100</v>
      </c>
      <c r="L58" s="213">
        <f t="shared" si="1"/>
        <v>0</v>
      </c>
      <c r="M58" s="213">
        <f t="shared" si="1"/>
        <v>0</v>
      </c>
      <c r="N58" s="234">
        <f t="shared" si="2"/>
        <v>100</v>
      </c>
      <c r="O58" s="212">
        <v>61.1</v>
      </c>
      <c r="P58" s="213"/>
      <c r="Q58" s="213"/>
      <c r="R58" s="214">
        <f t="shared" si="3"/>
        <v>61.1</v>
      </c>
      <c r="S58" s="170">
        <v>1</v>
      </c>
      <c r="T58" s="283"/>
      <c r="U58" s="281"/>
      <c r="V58" s="177" t="s">
        <v>788</v>
      </c>
      <c r="W58" s="170" t="s">
        <v>74</v>
      </c>
      <c r="X58" s="170" t="s">
        <v>11</v>
      </c>
      <c r="Y58" s="178">
        <v>61.1</v>
      </c>
      <c r="AD58" s="177"/>
      <c r="AG58" s="178"/>
      <c r="AL58" s="177"/>
      <c r="AO58" s="178"/>
      <c r="AP58" s="177"/>
      <c r="AS58" s="178"/>
      <c r="AW58" s="178"/>
      <c r="BA58" s="179"/>
    </row>
    <row r="59" spans="1:53" s="170" customFormat="1" x14ac:dyDescent="0.15">
      <c r="A59" s="215">
        <v>1985</v>
      </c>
      <c r="B59" s="281"/>
      <c r="C59" s="395" t="s">
        <v>792</v>
      </c>
      <c r="D59" s="395"/>
      <c r="E59" s="170">
        <v>0</v>
      </c>
      <c r="G59" s="232">
        <v>21</v>
      </c>
      <c r="J59" s="240">
        <v>21</v>
      </c>
      <c r="K59" s="213">
        <f t="shared" si="1"/>
        <v>100</v>
      </c>
      <c r="L59" s="213">
        <f t="shared" si="1"/>
        <v>0</v>
      </c>
      <c r="M59" s="213">
        <f t="shared" si="1"/>
        <v>0</v>
      </c>
      <c r="N59" s="234">
        <f t="shared" si="2"/>
        <v>100</v>
      </c>
      <c r="O59" s="212">
        <v>61.1</v>
      </c>
      <c r="P59" s="213"/>
      <c r="Q59" s="213"/>
      <c r="R59" s="214">
        <f t="shared" si="3"/>
        <v>61.1</v>
      </c>
      <c r="S59" s="170">
        <v>1</v>
      </c>
      <c r="T59" s="283"/>
      <c r="U59" s="281"/>
      <c r="V59" s="177" t="s">
        <v>788</v>
      </c>
      <c r="W59" s="170" t="s">
        <v>74</v>
      </c>
      <c r="X59" s="170" t="s">
        <v>11</v>
      </c>
      <c r="Y59" s="178">
        <v>61.1</v>
      </c>
      <c r="AD59" s="177"/>
      <c r="AG59" s="178"/>
      <c r="AL59" s="177"/>
      <c r="AO59" s="178"/>
      <c r="AP59" s="177"/>
      <c r="AS59" s="178"/>
      <c r="AW59" s="178"/>
      <c r="BA59" s="179"/>
    </row>
    <row r="60" spans="1:53" s="170" customFormat="1" x14ac:dyDescent="0.15">
      <c r="A60" s="215">
        <v>1985</v>
      </c>
      <c r="B60" s="281"/>
      <c r="C60" s="395" t="s">
        <v>792</v>
      </c>
      <c r="D60" s="395"/>
      <c r="E60" s="170">
        <v>365</v>
      </c>
      <c r="G60" s="232">
        <v>21</v>
      </c>
      <c r="J60" s="240">
        <v>21</v>
      </c>
      <c r="K60" s="213">
        <f t="shared" si="1"/>
        <v>100</v>
      </c>
      <c r="L60" s="213">
        <f t="shared" si="1"/>
        <v>0</v>
      </c>
      <c r="M60" s="213">
        <f t="shared" si="1"/>
        <v>0</v>
      </c>
      <c r="N60" s="234">
        <f t="shared" si="2"/>
        <v>100</v>
      </c>
      <c r="O60" s="212">
        <v>61.1</v>
      </c>
      <c r="P60" s="213"/>
      <c r="Q60" s="213"/>
      <c r="R60" s="214">
        <f t="shared" si="3"/>
        <v>61.1</v>
      </c>
      <c r="S60" s="170">
        <v>1</v>
      </c>
      <c r="T60" s="283"/>
      <c r="U60" s="281"/>
      <c r="V60" s="177" t="s">
        <v>788</v>
      </c>
      <c r="W60" s="170" t="s">
        <v>74</v>
      </c>
      <c r="X60" s="170" t="s">
        <v>11</v>
      </c>
      <c r="Y60" s="178">
        <v>61.1</v>
      </c>
      <c r="AD60" s="177"/>
      <c r="AG60" s="178"/>
      <c r="AL60" s="177"/>
      <c r="AO60" s="178"/>
      <c r="AP60" s="177"/>
      <c r="AS60" s="178"/>
      <c r="AW60" s="178"/>
      <c r="BA60" s="179"/>
    </row>
    <row r="61" spans="1:53" s="170" customFormat="1" x14ac:dyDescent="0.15">
      <c r="A61" s="215">
        <v>1986</v>
      </c>
      <c r="B61" s="281"/>
      <c r="C61" s="395" t="s">
        <v>792</v>
      </c>
      <c r="D61" s="395"/>
      <c r="E61" s="170">
        <v>0</v>
      </c>
      <c r="G61" s="232">
        <v>21</v>
      </c>
      <c r="J61" s="240">
        <v>21</v>
      </c>
      <c r="K61" s="213">
        <f t="shared" si="1"/>
        <v>100</v>
      </c>
      <c r="L61" s="213">
        <f t="shared" si="1"/>
        <v>0</v>
      </c>
      <c r="M61" s="213">
        <f t="shared" si="1"/>
        <v>0</v>
      </c>
      <c r="N61" s="234">
        <f t="shared" si="2"/>
        <v>100</v>
      </c>
      <c r="O61" s="212">
        <v>61.1</v>
      </c>
      <c r="P61" s="213"/>
      <c r="Q61" s="213"/>
      <c r="R61" s="214">
        <f t="shared" si="3"/>
        <v>61.1</v>
      </c>
      <c r="S61" s="170">
        <v>1</v>
      </c>
      <c r="T61" s="283"/>
      <c r="U61" s="281"/>
      <c r="V61" s="177" t="s">
        <v>788</v>
      </c>
      <c r="W61" s="170" t="s">
        <v>74</v>
      </c>
      <c r="X61" s="170" t="s">
        <v>11</v>
      </c>
      <c r="Y61" s="178">
        <v>61.1</v>
      </c>
      <c r="AD61" s="177"/>
      <c r="AG61" s="178"/>
      <c r="AL61" s="177"/>
      <c r="AO61" s="178"/>
      <c r="AP61" s="177"/>
      <c r="AS61" s="178"/>
      <c r="AW61" s="178"/>
      <c r="BA61" s="179"/>
    </row>
    <row r="62" spans="1:53" s="170" customFormat="1" x14ac:dyDescent="0.15">
      <c r="A62" s="215">
        <v>1986</v>
      </c>
      <c r="B62" s="281"/>
      <c r="C62" s="395" t="s">
        <v>792</v>
      </c>
      <c r="D62" s="395"/>
      <c r="E62" s="170">
        <v>365</v>
      </c>
      <c r="G62" s="232">
        <v>21</v>
      </c>
      <c r="J62" s="240">
        <v>21</v>
      </c>
      <c r="K62" s="213">
        <f t="shared" si="1"/>
        <v>100</v>
      </c>
      <c r="L62" s="213">
        <f t="shared" si="1"/>
        <v>0</v>
      </c>
      <c r="M62" s="213">
        <f t="shared" si="1"/>
        <v>0</v>
      </c>
      <c r="N62" s="234">
        <f t="shared" si="2"/>
        <v>100</v>
      </c>
      <c r="O62" s="212">
        <v>61.1</v>
      </c>
      <c r="P62" s="213"/>
      <c r="Q62" s="213"/>
      <c r="R62" s="214">
        <f t="shared" si="3"/>
        <v>61.1</v>
      </c>
      <c r="S62" s="170">
        <v>1</v>
      </c>
      <c r="T62" s="283"/>
      <c r="U62" s="281"/>
      <c r="V62" s="177" t="s">
        <v>788</v>
      </c>
      <c r="W62" s="170" t="s">
        <v>74</v>
      </c>
      <c r="X62" s="170" t="s">
        <v>11</v>
      </c>
      <c r="Y62" s="178">
        <v>61.1</v>
      </c>
      <c r="AD62" s="177"/>
      <c r="AG62" s="178"/>
      <c r="AL62" s="177"/>
      <c r="AO62" s="178"/>
      <c r="AP62" s="177"/>
      <c r="AS62" s="178"/>
      <c r="AW62" s="178"/>
      <c r="BA62" s="179"/>
    </row>
    <row r="63" spans="1:53" s="170" customFormat="1" x14ac:dyDescent="0.15">
      <c r="A63" s="215">
        <v>1987</v>
      </c>
      <c r="B63" s="281"/>
      <c r="C63" s="395" t="s">
        <v>792</v>
      </c>
      <c r="D63" s="395"/>
      <c r="E63" s="170">
        <v>163</v>
      </c>
      <c r="G63" s="232">
        <v>21</v>
      </c>
      <c r="J63" s="240">
        <v>21</v>
      </c>
      <c r="K63" s="213">
        <f t="shared" si="1"/>
        <v>100</v>
      </c>
      <c r="L63" s="213">
        <f t="shared" si="1"/>
        <v>0</v>
      </c>
      <c r="M63" s="213">
        <f t="shared" si="1"/>
        <v>0</v>
      </c>
      <c r="N63" s="234">
        <f t="shared" si="2"/>
        <v>100</v>
      </c>
      <c r="O63" s="212">
        <v>61.1</v>
      </c>
      <c r="P63" s="213"/>
      <c r="Q63" s="213"/>
      <c r="R63" s="214">
        <f t="shared" si="3"/>
        <v>61.1</v>
      </c>
      <c r="S63" s="170">
        <v>1</v>
      </c>
      <c r="T63" s="283"/>
      <c r="U63" s="281"/>
      <c r="V63" s="177" t="s">
        <v>788</v>
      </c>
      <c r="W63" s="170" t="s">
        <v>74</v>
      </c>
      <c r="X63" s="170" t="s">
        <v>11</v>
      </c>
      <c r="Y63" s="178">
        <v>61.1</v>
      </c>
      <c r="AD63" s="177"/>
      <c r="AG63" s="178"/>
      <c r="AL63" s="177"/>
      <c r="AO63" s="178"/>
      <c r="AP63" s="177"/>
      <c r="AS63" s="178"/>
      <c r="AW63" s="178"/>
      <c r="BA63" s="179"/>
    </row>
    <row r="64" spans="1:53" s="28" customFormat="1" x14ac:dyDescent="0.15">
      <c r="A64" s="51">
        <v>1987</v>
      </c>
      <c r="B64" s="293">
        <v>31941</v>
      </c>
      <c r="C64" s="394" t="s">
        <v>793</v>
      </c>
      <c r="D64" s="394"/>
      <c r="E64" s="28">
        <f>365-E63</f>
        <v>202</v>
      </c>
      <c r="F64" s="28">
        <v>1</v>
      </c>
      <c r="G64" s="65">
        <v>21</v>
      </c>
      <c r="J64" s="72">
        <v>21</v>
      </c>
      <c r="K64" s="46">
        <f t="shared" si="1"/>
        <v>100</v>
      </c>
      <c r="L64" s="46">
        <f t="shared" si="1"/>
        <v>0</v>
      </c>
      <c r="M64" s="46">
        <f t="shared" si="1"/>
        <v>0</v>
      </c>
      <c r="N64" s="67">
        <f t="shared" si="2"/>
        <v>100</v>
      </c>
      <c r="O64" s="45">
        <v>57.8</v>
      </c>
      <c r="P64" s="46"/>
      <c r="Q64" s="46"/>
      <c r="R64" s="47">
        <f t="shared" si="3"/>
        <v>57.8</v>
      </c>
      <c r="S64" s="28">
        <v>1</v>
      </c>
      <c r="T64" s="284">
        <v>31939</v>
      </c>
      <c r="U64" s="293">
        <v>31941</v>
      </c>
      <c r="V64" s="37" t="s">
        <v>788</v>
      </c>
      <c r="W64" s="28" t="s">
        <v>74</v>
      </c>
      <c r="X64" s="28" t="s">
        <v>11</v>
      </c>
      <c r="Y64" s="38">
        <v>57.8</v>
      </c>
      <c r="AD64" s="37"/>
      <c r="AG64" s="38"/>
      <c r="AL64" s="37"/>
      <c r="AO64" s="38"/>
      <c r="AP64" s="37"/>
      <c r="AS64" s="38"/>
      <c r="AW64" s="38"/>
      <c r="BA64" s="39"/>
    </row>
    <row r="65" spans="1:53" s="28" customFormat="1" x14ac:dyDescent="0.15">
      <c r="A65" s="51">
        <v>1988</v>
      </c>
      <c r="B65" s="293"/>
      <c r="C65" s="394" t="s">
        <v>793</v>
      </c>
      <c r="D65" s="394"/>
      <c r="E65" s="28">
        <v>0</v>
      </c>
      <c r="G65" s="65">
        <v>21</v>
      </c>
      <c r="J65" s="72">
        <v>21</v>
      </c>
      <c r="K65" s="46">
        <f t="shared" si="1"/>
        <v>100</v>
      </c>
      <c r="L65" s="46">
        <f t="shared" si="1"/>
        <v>0</v>
      </c>
      <c r="M65" s="46">
        <f t="shared" si="1"/>
        <v>0</v>
      </c>
      <c r="N65" s="67">
        <f t="shared" si="2"/>
        <v>100</v>
      </c>
      <c r="O65" s="45">
        <v>57.8</v>
      </c>
      <c r="P65" s="46"/>
      <c r="Q65" s="46"/>
      <c r="R65" s="47">
        <f t="shared" si="3"/>
        <v>57.8</v>
      </c>
      <c r="S65" s="28">
        <v>1</v>
      </c>
      <c r="T65" s="284"/>
      <c r="U65" s="293"/>
      <c r="V65" s="37" t="s">
        <v>788</v>
      </c>
      <c r="W65" s="28" t="s">
        <v>74</v>
      </c>
      <c r="X65" s="28" t="s">
        <v>11</v>
      </c>
      <c r="Y65" s="38">
        <v>57.8</v>
      </c>
      <c r="AD65" s="37"/>
      <c r="AG65" s="38"/>
      <c r="AL65" s="37"/>
      <c r="AO65" s="38"/>
      <c r="AP65" s="37"/>
      <c r="AS65" s="38"/>
      <c r="AW65" s="38"/>
      <c r="BA65" s="39"/>
    </row>
    <row r="66" spans="1:53" s="28" customFormat="1" x14ac:dyDescent="0.15">
      <c r="A66" s="51">
        <v>1988</v>
      </c>
      <c r="B66" s="293"/>
      <c r="C66" s="394" t="s">
        <v>793</v>
      </c>
      <c r="D66" s="394"/>
      <c r="E66" s="28">
        <v>366</v>
      </c>
      <c r="G66" s="65">
        <v>21</v>
      </c>
      <c r="J66" s="72">
        <v>21</v>
      </c>
      <c r="K66" s="46">
        <f t="shared" si="1"/>
        <v>100</v>
      </c>
      <c r="L66" s="46">
        <f t="shared" si="1"/>
        <v>0</v>
      </c>
      <c r="M66" s="46">
        <f t="shared" si="1"/>
        <v>0</v>
      </c>
      <c r="N66" s="67">
        <f t="shared" si="2"/>
        <v>100</v>
      </c>
      <c r="O66" s="45">
        <v>57.8</v>
      </c>
      <c r="P66" s="46"/>
      <c r="Q66" s="46"/>
      <c r="R66" s="47">
        <f t="shared" si="3"/>
        <v>57.8</v>
      </c>
      <c r="S66" s="28">
        <v>1</v>
      </c>
      <c r="T66" s="284"/>
      <c r="U66" s="293"/>
      <c r="V66" s="37" t="s">
        <v>788</v>
      </c>
      <c r="W66" s="28" t="s">
        <v>74</v>
      </c>
      <c r="X66" s="28" t="s">
        <v>11</v>
      </c>
      <c r="Y66" s="38">
        <v>57.8</v>
      </c>
      <c r="AD66" s="37"/>
      <c r="AG66" s="38"/>
      <c r="AL66" s="37"/>
      <c r="AO66" s="38"/>
      <c r="AP66" s="37"/>
      <c r="AS66" s="38"/>
      <c r="AW66" s="38"/>
      <c r="BA66" s="39"/>
    </row>
    <row r="67" spans="1:53" s="28" customFormat="1" x14ac:dyDescent="0.15">
      <c r="A67" s="51">
        <v>1989</v>
      </c>
      <c r="B67" s="293"/>
      <c r="C67" s="394" t="s">
        <v>793</v>
      </c>
      <c r="D67" s="394"/>
      <c r="E67" s="28">
        <v>0</v>
      </c>
      <c r="G67" s="65">
        <v>21</v>
      </c>
      <c r="J67" s="72">
        <v>21</v>
      </c>
      <c r="K67" s="46">
        <f t="shared" si="1"/>
        <v>100</v>
      </c>
      <c r="L67" s="46">
        <f t="shared" si="1"/>
        <v>0</v>
      </c>
      <c r="M67" s="46">
        <f t="shared" si="1"/>
        <v>0</v>
      </c>
      <c r="N67" s="67">
        <f t="shared" si="2"/>
        <v>100</v>
      </c>
      <c r="O67" s="45">
        <v>57.8</v>
      </c>
      <c r="P67" s="46"/>
      <c r="Q67" s="46"/>
      <c r="R67" s="47">
        <f>O67+P67+Q67</f>
        <v>57.8</v>
      </c>
      <c r="S67" s="28">
        <v>1</v>
      </c>
      <c r="T67" s="284"/>
      <c r="U67" s="293"/>
      <c r="V67" s="37" t="s">
        <v>788</v>
      </c>
      <c r="W67" s="28" t="s">
        <v>74</v>
      </c>
      <c r="X67" s="28" t="s">
        <v>11</v>
      </c>
      <c r="Y67" s="38">
        <v>57.8</v>
      </c>
      <c r="AD67" s="37"/>
      <c r="AG67" s="38"/>
      <c r="AL67" s="37"/>
      <c r="AO67" s="38"/>
      <c r="AP67" s="37"/>
      <c r="AS67" s="38"/>
      <c r="AW67" s="38"/>
      <c r="BA67" s="39"/>
    </row>
    <row r="68" spans="1:53" s="73" customFormat="1" x14ac:dyDescent="0.15">
      <c r="A68" s="91">
        <v>1989</v>
      </c>
      <c r="B68" s="300"/>
      <c r="C68" s="426" t="s">
        <v>793</v>
      </c>
      <c r="D68" s="426"/>
      <c r="E68" s="73">
        <f>365-E67</f>
        <v>365</v>
      </c>
      <c r="G68" s="74">
        <v>21</v>
      </c>
      <c r="J68" s="75">
        <v>21</v>
      </c>
      <c r="K68" s="76">
        <f t="shared" si="1"/>
        <v>100</v>
      </c>
      <c r="L68" s="76">
        <f t="shared" si="1"/>
        <v>0</v>
      </c>
      <c r="M68" s="76">
        <f t="shared" si="1"/>
        <v>0</v>
      </c>
      <c r="N68" s="79">
        <f t="shared" si="2"/>
        <v>100</v>
      </c>
      <c r="O68" s="77">
        <v>57.8</v>
      </c>
      <c r="P68" s="76"/>
      <c r="Q68" s="76"/>
      <c r="R68" s="79">
        <f t="shared" si="3"/>
        <v>57.8</v>
      </c>
      <c r="S68" s="121">
        <v>1</v>
      </c>
      <c r="T68" s="302"/>
      <c r="U68" s="300"/>
      <c r="V68" s="80" t="s">
        <v>788</v>
      </c>
      <c r="W68" s="73" t="s">
        <v>74</v>
      </c>
      <c r="X68" s="73" t="s">
        <v>11</v>
      </c>
      <c r="Y68" s="81">
        <v>57.8</v>
      </c>
      <c r="AD68" s="80"/>
      <c r="AG68" s="81"/>
      <c r="AL68" s="80"/>
      <c r="AO68" s="81"/>
      <c r="AP68" s="80"/>
      <c r="AS68" s="81"/>
      <c r="AW68" s="81"/>
      <c r="BA68" s="82"/>
    </row>
    <row r="69" spans="1:53" s="28" customFormat="1" x14ac:dyDescent="0.15">
      <c r="A69" s="28">
        <v>1990</v>
      </c>
      <c r="B69" s="293"/>
      <c r="C69" s="394" t="s">
        <v>793</v>
      </c>
      <c r="D69" s="394"/>
      <c r="E69" s="28">
        <v>332</v>
      </c>
      <c r="G69" s="65">
        <v>21</v>
      </c>
      <c r="J69" s="72">
        <v>21</v>
      </c>
      <c r="K69" s="46">
        <f t="shared" si="1"/>
        <v>100</v>
      </c>
      <c r="L69" s="46">
        <f t="shared" si="1"/>
        <v>0</v>
      </c>
      <c r="M69" s="46">
        <f t="shared" si="1"/>
        <v>0</v>
      </c>
      <c r="N69" s="67">
        <f t="shared" si="2"/>
        <v>100</v>
      </c>
      <c r="O69" s="45">
        <v>57.8</v>
      </c>
      <c r="P69" s="46"/>
      <c r="Q69" s="46"/>
      <c r="R69" s="47">
        <f t="shared" si="3"/>
        <v>57.8</v>
      </c>
      <c r="S69" s="28">
        <v>1</v>
      </c>
      <c r="T69" s="284"/>
      <c r="U69" s="293"/>
      <c r="V69" s="37" t="s">
        <v>788</v>
      </c>
      <c r="W69" s="28" t="s">
        <v>74</v>
      </c>
      <c r="X69" s="28" t="s">
        <v>11</v>
      </c>
      <c r="Y69" s="38">
        <v>57.8</v>
      </c>
      <c r="AD69" s="37"/>
      <c r="AG69" s="38"/>
      <c r="AL69" s="37"/>
      <c r="AO69" s="38"/>
      <c r="AP69" s="37"/>
      <c r="AS69" s="38"/>
      <c r="AW69" s="38"/>
      <c r="BA69" s="39"/>
    </row>
    <row r="70" spans="1:53" s="170" customFormat="1" x14ac:dyDescent="0.15">
      <c r="A70" s="170">
        <v>1990</v>
      </c>
      <c r="B70" s="281">
        <v>33206</v>
      </c>
      <c r="C70" s="395" t="s">
        <v>794</v>
      </c>
      <c r="D70" s="395"/>
      <c r="E70" s="170">
        <f>365-E69</f>
        <v>33</v>
      </c>
      <c r="F70" s="170">
        <v>2</v>
      </c>
      <c r="G70" s="232">
        <v>22</v>
      </c>
      <c r="J70" s="240">
        <v>22</v>
      </c>
      <c r="K70" s="213">
        <f t="shared" si="1"/>
        <v>100</v>
      </c>
      <c r="L70" s="213">
        <f t="shared" si="1"/>
        <v>0</v>
      </c>
      <c r="M70" s="213">
        <f t="shared" si="1"/>
        <v>0</v>
      </c>
      <c r="N70" s="234">
        <f t="shared" si="2"/>
        <v>100</v>
      </c>
      <c r="O70" s="212">
        <v>57.8</v>
      </c>
      <c r="P70" s="213"/>
      <c r="Q70" s="213"/>
      <c r="R70" s="214">
        <f t="shared" si="3"/>
        <v>57.8</v>
      </c>
      <c r="S70" s="170">
        <v>1</v>
      </c>
      <c r="T70" s="283"/>
      <c r="U70" s="281">
        <v>33206</v>
      </c>
      <c r="V70" s="177" t="s">
        <v>788</v>
      </c>
      <c r="W70" s="170" t="s">
        <v>74</v>
      </c>
      <c r="X70" s="170" t="s">
        <v>11</v>
      </c>
      <c r="Y70" s="178">
        <v>57.8</v>
      </c>
      <c r="AD70" s="177"/>
      <c r="AG70" s="178"/>
      <c r="AL70" s="177"/>
      <c r="AO70" s="178"/>
      <c r="AP70" s="177"/>
      <c r="AS70" s="178"/>
      <c r="AW70" s="178"/>
      <c r="BA70" s="179"/>
    </row>
    <row r="71" spans="1:53" s="170" customFormat="1" x14ac:dyDescent="0.15">
      <c r="A71" s="170">
        <v>1991</v>
      </c>
      <c r="B71" s="281"/>
      <c r="C71" s="395" t="s">
        <v>794</v>
      </c>
      <c r="D71" s="395"/>
      <c r="E71" s="170">
        <v>0</v>
      </c>
      <c r="G71" s="232">
        <v>22</v>
      </c>
      <c r="J71" s="240">
        <v>22</v>
      </c>
      <c r="K71" s="213">
        <f t="shared" si="1"/>
        <v>100</v>
      </c>
      <c r="L71" s="213">
        <f t="shared" si="1"/>
        <v>0</v>
      </c>
      <c r="M71" s="213">
        <f t="shared" si="1"/>
        <v>0</v>
      </c>
      <c r="N71" s="234">
        <f t="shared" si="2"/>
        <v>100</v>
      </c>
      <c r="O71" s="212">
        <v>57.8</v>
      </c>
      <c r="P71" s="213"/>
      <c r="Q71" s="213"/>
      <c r="R71" s="214">
        <f t="shared" si="3"/>
        <v>57.8</v>
      </c>
      <c r="S71" s="170">
        <v>1</v>
      </c>
      <c r="T71" s="283"/>
      <c r="U71" s="281"/>
      <c r="V71" s="177" t="s">
        <v>788</v>
      </c>
      <c r="W71" s="170" t="s">
        <v>74</v>
      </c>
      <c r="X71" s="170" t="s">
        <v>11</v>
      </c>
      <c r="Y71" s="178">
        <v>57.8</v>
      </c>
      <c r="AD71" s="177"/>
      <c r="AG71" s="178"/>
      <c r="AL71" s="177"/>
      <c r="AO71" s="178"/>
      <c r="AP71" s="177"/>
      <c r="AS71" s="178"/>
      <c r="AW71" s="178"/>
      <c r="BA71" s="179"/>
    </row>
    <row r="72" spans="1:53" s="170" customFormat="1" x14ac:dyDescent="0.15">
      <c r="A72" s="170">
        <v>1991</v>
      </c>
      <c r="B72" s="281"/>
      <c r="C72" s="395" t="s">
        <v>794</v>
      </c>
      <c r="D72" s="395"/>
      <c r="E72" s="170">
        <f>365-E71</f>
        <v>365</v>
      </c>
      <c r="G72" s="232">
        <v>22</v>
      </c>
      <c r="J72" s="240">
        <v>22</v>
      </c>
      <c r="K72" s="213">
        <f t="shared" si="1"/>
        <v>100</v>
      </c>
      <c r="L72" s="213">
        <f t="shared" si="1"/>
        <v>0</v>
      </c>
      <c r="M72" s="213">
        <f t="shared" si="1"/>
        <v>0</v>
      </c>
      <c r="N72" s="234">
        <f t="shared" si="2"/>
        <v>100</v>
      </c>
      <c r="O72" s="212">
        <v>57.8</v>
      </c>
      <c r="P72" s="213"/>
      <c r="Q72" s="213"/>
      <c r="R72" s="214">
        <f t="shared" si="3"/>
        <v>57.8</v>
      </c>
      <c r="S72" s="170">
        <v>1</v>
      </c>
      <c r="T72" s="283"/>
      <c r="U72" s="281"/>
      <c r="V72" s="177" t="s">
        <v>788</v>
      </c>
      <c r="W72" s="170" t="s">
        <v>74</v>
      </c>
      <c r="X72" s="170" t="s">
        <v>11</v>
      </c>
      <c r="Y72" s="178">
        <v>57.8</v>
      </c>
      <c r="AD72" s="177"/>
      <c r="AG72" s="178"/>
      <c r="AL72" s="177"/>
      <c r="AO72" s="178"/>
      <c r="AP72" s="177"/>
      <c r="AS72" s="178"/>
      <c r="AW72" s="178"/>
      <c r="BA72" s="179"/>
    </row>
    <row r="73" spans="1:53" s="170" customFormat="1" x14ac:dyDescent="0.15">
      <c r="A73" s="170">
        <v>1992</v>
      </c>
      <c r="B73" s="281"/>
      <c r="C73" s="395" t="s">
        <v>794</v>
      </c>
      <c r="D73" s="395"/>
      <c r="E73" s="170">
        <v>101</v>
      </c>
      <c r="G73" s="232">
        <v>22</v>
      </c>
      <c r="J73" s="240">
        <v>22</v>
      </c>
      <c r="K73" s="213">
        <f t="shared" ref="K73:M101" si="4">G73/$J73*100</f>
        <v>100</v>
      </c>
      <c r="L73" s="213">
        <f t="shared" si="4"/>
        <v>0</v>
      </c>
      <c r="M73" s="213">
        <f t="shared" si="4"/>
        <v>0</v>
      </c>
      <c r="N73" s="234">
        <f t="shared" ref="N73:N101" si="5">K73+L73+M73</f>
        <v>100</v>
      </c>
      <c r="O73" s="212">
        <v>57.8</v>
      </c>
      <c r="P73" s="213"/>
      <c r="Q73" s="213"/>
      <c r="R73" s="214">
        <f t="shared" ref="R73:R83" si="6">O73+P73+Q73</f>
        <v>57.8</v>
      </c>
      <c r="S73" s="170">
        <v>1</v>
      </c>
      <c r="T73" s="283"/>
      <c r="U73" s="281"/>
      <c r="V73" s="177" t="s">
        <v>788</v>
      </c>
      <c r="W73" s="170" t="s">
        <v>74</v>
      </c>
      <c r="X73" s="170" t="s">
        <v>11</v>
      </c>
      <c r="Y73" s="178">
        <v>57.8</v>
      </c>
      <c r="AD73" s="177"/>
      <c r="AG73" s="178"/>
      <c r="AL73" s="177"/>
      <c r="AO73" s="178"/>
      <c r="AP73" s="177"/>
      <c r="AS73" s="178"/>
      <c r="AW73" s="178"/>
      <c r="BA73" s="179"/>
    </row>
    <row r="74" spans="1:53" s="28" customFormat="1" x14ac:dyDescent="0.15">
      <c r="A74" s="28">
        <v>1992</v>
      </c>
      <c r="B74" s="293">
        <v>33705</v>
      </c>
      <c r="C74" s="394" t="s">
        <v>795</v>
      </c>
      <c r="D74" s="394"/>
      <c r="E74" s="28">
        <f>366-E73</f>
        <v>265</v>
      </c>
      <c r="F74" s="28">
        <v>1</v>
      </c>
      <c r="G74" s="65">
        <v>22</v>
      </c>
      <c r="J74" s="72">
        <v>22</v>
      </c>
      <c r="K74" s="46">
        <f t="shared" si="4"/>
        <v>100</v>
      </c>
      <c r="L74" s="46">
        <f t="shared" si="4"/>
        <v>0</v>
      </c>
      <c r="M74" s="46">
        <f t="shared" si="4"/>
        <v>0</v>
      </c>
      <c r="N74" s="67">
        <f t="shared" si="5"/>
        <v>100</v>
      </c>
      <c r="O74" s="45">
        <v>51.6</v>
      </c>
      <c r="P74" s="46"/>
      <c r="Q74" s="46"/>
      <c r="R74" s="47">
        <f t="shared" si="6"/>
        <v>51.6</v>
      </c>
      <c r="S74" s="28">
        <v>1</v>
      </c>
      <c r="T74" s="284">
        <v>33703</v>
      </c>
      <c r="U74" s="293">
        <v>33705</v>
      </c>
      <c r="V74" s="37" t="s">
        <v>788</v>
      </c>
      <c r="W74" s="28" t="s">
        <v>74</v>
      </c>
      <c r="X74" s="28" t="s">
        <v>11</v>
      </c>
      <c r="Y74" s="38">
        <v>51.6</v>
      </c>
      <c r="AD74" s="37"/>
      <c r="AG74" s="38"/>
      <c r="AL74" s="37"/>
      <c r="AO74" s="38"/>
      <c r="AP74" s="37"/>
      <c r="AS74" s="38"/>
      <c r="AW74" s="38"/>
      <c r="BA74" s="39"/>
    </row>
    <row r="75" spans="1:53" s="28" customFormat="1" x14ac:dyDescent="0.15">
      <c r="A75" s="28">
        <v>1993</v>
      </c>
      <c r="B75" s="293"/>
      <c r="C75" s="394" t="s">
        <v>795</v>
      </c>
      <c r="D75" s="394"/>
      <c r="E75" s="28">
        <v>0</v>
      </c>
      <c r="G75" s="65">
        <v>22</v>
      </c>
      <c r="J75" s="72">
        <v>22</v>
      </c>
      <c r="K75" s="46">
        <f t="shared" si="4"/>
        <v>100</v>
      </c>
      <c r="L75" s="46">
        <f t="shared" si="4"/>
        <v>0</v>
      </c>
      <c r="M75" s="46">
        <f t="shared" si="4"/>
        <v>0</v>
      </c>
      <c r="N75" s="67">
        <f t="shared" si="5"/>
        <v>100</v>
      </c>
      <c r="O75" s="45">
        <v>51.6</v>
      </c>
      <c r="P75" s="46"/>
      <c r="Q75" s="46"/>
      <c r="R75" s="47">
        <f t="shared" si="6"/>
        <v>51.6</v>
      </c>
      <c r="S75" s="28">
        <v>1</v>
      </c>
      <c r="T75" s="284"/>
      <c r="U75" s="293"/>
      <c r="V75" s="37" t="s">
        <v>788</v>
      </c>
      <c r="W75" s="28" t="s">
        <v>74</v>
      </c>
      <c r="X75" s="28" t="s">
        <v>11</v>
      </c>
      <c r="Y75" s="38">
        <v>51.6</v>
      </c>
      <c r="AD75" s="37"/>
      <c r="AG75" s="38"/>
      <c r="AL75" s="37"/>
      <c r="AO75" s="38"/>
      <c r="AP75" s="37"/>
      <c r="AS75" s="38"/>
      <c r="AW75" s="38"/>
      <c r="BA75" s="39"/>
    </row>
    <row r="76" spans="1:53" s="28" customFormat="1" x14ac:dyDescent="0.15">
      <c r="A76" s="28">
        <v>1993</v>
      </c>
      <c r="B76" s="293"/>
      <c r="C76" s="394" t="s">
        <v>795</v>
      </c>
      <c r="D76" s="394"/>
      <c r="E76" s="28">
        <f>365-E75</f>
        <v>365</v>
      </c>
      <c r="G76" s="65">
        <v>22</v>
      </c>
      <c r="J76" s="72">
        <v>22</v>
      </c>
      <c r="K76" s="46">
        <f t="shared" si="4"/>
        <v>100</v>
      </c>
      <c r="L76" s="46">
        <f t="shared" si="4"/>
        <v>0</v>
      </c>
      <c r="M76" s="46">
        <f t="shared" si="4"/>
        <v>0</v>
      </c>
      <c r="N76" s="67">
        <f t="shared" si="5"/>
        <v>100</v>
      </c>
      <c r="O76" s="45">
        <v>51.6</v>
      </c>
      <c r="P76" s="46"/>
      <c r="Q76" s="46"/>
      <c r="R76" s="47">
        <f t="shared" si="6"/>
        <v>51.6</v>
      </c>
      <c r="S76" s="28">
        <v>1</v>
      </c>
      <c r="T76" s="284"/>
      <c r="U76" s="293"/>
      <c r="V76" s="37" t="s">
        <v>788</v>
      </c>
      <c r="W76" s="28" t="s">
        <v>74</v>
      </c>
      <c r="X76" s="28" t="s">
        <v>11</v>
      </c>
      <c r="Y76" s="38">
        <v>51.6</v>
      </c>
      <c r="AD76" s="37"/>
      <c r="AG76" s="38"/>
      <c r="AL76" s="37"/>
      <c r="AO76" s="38"/>
      <c r="AP76" s="37"/>
      <c r="AS76" s="38"/>
      <c r="AW76" s="38"/>
      <c r="BA76" s="39"/>
    </row>
    <row r="77" spans="1:53" s="28" customFormat="1" x14ac:dyDescent="0.15">
      <c r="A77" s="28">
        <v>1994</v>
      </c>
      <c r="B77" s="293"/>
      <c r="C77" s="394" t="s">
        <v>795</v>
      </c>
      <c r="D77" s="394"/>
      <c r="E77" s="28">
        <v>0</v>
      </c>
      <c r="G77" s="65">
        <v>22</v>
      </c>
      <c r="J77" s="72">
        <v>22</v>
      </c>
      <c r="K77" s="46">
        <f t="shared" si="4"/>
        <v>100</v>
      </c>
      <c r="L77" s="46">
        <f t="shared" si="4"/>
        <v>0</v>
      </c>
      <c r="M77" s="46">
        <f t="shared" si="4"/>
        <v>0</v>
      </c>
      <c r="N77" s="67">
        <f t="shared" si="5"/>
        <v>100</v>
      </c>
      <c r="O77" s="45">
        <v>51.6</v>
      </c>
      <c r="P77" s="46"/>
      <c r="Q77" s="46"/>
      <c r="R77" s="47">
        <f t="shared" si="6"/>
        <v>51.6</v>
      </c>
      <c r="S77" s="28">
        <v>1</v>
      </c>
      <c r="T77" s="284"/>
      <c r="U77" s="293"/>
      <c r="V77" s="37" t="s">
        <v>788</v>
      </c>
      <c r="W77" s="28" t="s">
        <v>74</v>
      </c>
      <c r="X77" s="28" t="s">
        <v>11</v>
      </c>
      <c r="Y77" s="38">
        <v>51.6</v>
      </c>
      <c r="AD77" s="37"/>
      <c r="AG77" s="38"/>
      <c r="AL77" s="37"/>
      <c r="AO77" s="38"/>
      <c r="AP77" s="37"/>
      <c r="AS77" s="38"/>
      <c r="AW77" s="38"/>
      <c r="BA77" s="39"/>
    </row>
    <row r="78" spans="1:53" s="28" customFormat="1" x14ac:dyDescent="0.15">
      <c r="A78" s="28">
        <v>1994</v>
      </c>
      <c r="B78" s="293"/>
      <c r="C78" s="394" t="s">
        <v>795</v>
      </c>
      <c r="D78" s="394"/>
      <c r="E78" s="28">
        <f>365-E77</f>
        <v>365</v>
      </c>
      <c r="G78" s="65">
        <v>22</v>
      </c>
      <c r="J78" s="72">
        <v>22</v>
      </c>
      <c r="K78" s="46">
        <f t="shared" si="4"/>
        <v>100</v>
      </c>
      <c r="L78" s="46">
        <f t="shared" si="4"/>
        <v>0</v>
      </c>
      <c r="M78" s="46">
        <f t="shared" si="4"/>
        <v>0</v>
      </c>
      <c r="N78" s="67">
        <f t="shared" si="5"/>
        <v>100</v>
      </c>
      <c r="O78" s="45">
        <v>51.6</v>
      </c>
      <c r="P78" s="46"/>
      <c r="Q78" s="46"/>
      <c r="R78" s="47">
        <f t="shared" si="6"/>
        <v>51.6</v>
      </c>
      <c r="S78" s="28">
        <v>1</v>
      </c>
      <c r="T78" s="284"/>
      <c r="U78" s="293"/>
      <c r="V78" s="37" t="s">
        <v>788</v>
      </c>
      <c r="W78" s="28" t="s">
        <v>74</v>
      </c>
      <c r="X78" s="28" t="s">
        <v>11</v>
      </c>
      <c r="Y78" s="38">
        <v>51.6</v>
      </c>
      <c r="AD78" s="37"/>
      <c r="AG78" s="38"/>
      <c r="AL78" s="37"/>
      <c r="AO78" s="38"/>
      <c r="AP78" s="37"/>
      <c r="AS78" s="38"/>
      <c r="AW78" s="38"/>
      <c r="BA78" s="39"/>
    </row>
    <row r="79" spans="1:53" s="28" customFormat="1" x14ac:dyDescent="0.15">
      <c r="A79" s="28">
        <v>1995</v>
      </c>
      <c r="B79" s="293"/>
      <c r="C79" s="394" t="s">
        <v>795</v>
      </c>
      <c r="D79" s="394"/>
      <c r="E79" s="28">
        <v>0</v>
      </c>
      <c r="G79" s="65">
        <v>22</v>
      </c>
      <c r="J79" s="72">
        <v>22</v>
      </c>
      <c r="K79" s="46">
        <f t="shared" si="4"/>
        <v>100</v>
      </c>
      <c r="L79" s="46">
        <f t="shared" si="4"/>
        <v>0</v>
      </c>
      <c r="M79" s="46">
        <f t="shared" si="4"/>
        <v>0</v>
      </c>
      <c r="N79" s="67">
        <f t="shared" si="5"/>
        <v>100</v>
      </c>
      <c r="O79" s="45">
        <v>51.6</v>
      </c>
      <c r="P79" s="46"/>
      <c r="Q79" s="46"/>
      <c r="R79" s="47">
        <f t="shared" si="6"/>
        <v>51.6</v>
      </c>
      <c r="S79" s="28">
        <v>1</v>
      </c>
      <c r="T79" s="284"/>
      <c r="U79" s="293"/>
      <c r="V79" s="37" t="s">
        <v>788</v>
      </c>
      <c r="W79" s="28" t="s">
        <v>74</v>
      </c>
      <c r="X79" s="28" t="s">
        <v>11</v>
      </c>
      <c r="Y79" s="38">
        <v>51.6</v>
      </c>
      <c r="AD79" s="37"/>
      <c r="AG79" s="38"/>
      <c r="AL79" s="37"/>
      <c r="AO79" s="38"/>
      <c r="AP79" s="37"/>
      <c r="AS79" s="38"/>
      <c r="AW79" s="38"/>
      <c r="BA79" s="39"/>
    </row>
    <row r="80" spans="1:53" s="28" customFormat="1" x14ac:dyDescent="0.15">
      <c r="A80" s="28">
        <v>1995</v>
      </c>
      <c r="B80" s="293"/>
      <c r="C80" s="394" t="s">
        <v>795</v>
      </c>
      <c r="D80" s="394"/>
      <c r="E80" s="28">
        <f>365-E79</f>
        <v>365</v>
      </c>
      <c r="G80" s="65">
        <v>22</v>
      </c>
      <c r="J80" s="72">
        <v>22</v>
      </c>
      <c r="K80" s="46">
        <f t="shared" si="4"/>
        <v>100</v>
      </c>
      <c r="L80" s="46">
        <f t="shared" si="4"/>
        <v>0</v>
      </c>
      <c r="M80" s="46">
        <f t="shared" si="4"/>
        <v>0</v>
      </c>
      <c r="N80" s="67">
        <f t="shared" si="5"/>
        <v>100</v>
      </c>
      <c r="O80" s="45">
        <v>51.6</v>
      </c>
      <c r="P80" s="46"/>
      <c r="Q80" s="46"/>
      <c r="R80" s="47">
        <f t="shared" si="6"/>
        <v>51.6</v>
      </c>
      <c r="S80" s="28">
        <v>1</v>
      </c>
      <c r="T80" s="284"/>
      <c r="U80" s="293"/>
      <c r="V80" s="37" t="s">
        <v>788</v>
      </c>
      <c r="W80" s="28" t="s">
        <v>74</v>
      </c>
      <c r="X80" s="28" t="s">
        <v>11</v>
      </c>
      <c r="Y80" s="38">
        <v>51.6</v>
      </c>
      <c r="AD80" s="37"/>
      <c r="AG80" s="38"/>
      <c r="AL80" s="37"/>
      <c r="AO80" s="38"/>
      <c r="AP80" s="37"/>
      <c r="AS80" s="38"/>
      <c r="AW80" s="38"/>
      <c r="BA80" s="39"/>
    </row>
    <row r="81" spans="1:53" s="28" customFormat="1" x14ac:dyDescent="0.15">
      <c r="A81" s="28">
        <v>1996</v>
      </c>
      <c r="B81" s="293"/>
      <c r="C81" s="394" t="s">
        <v>795</v>
      </c>
      <c r="D81" s="394"/>
      <c r="E81" s="28">
        <v>0</v>
      </c>
      <c r="G81" s="65">
        <v>23</v>
      </c>
      <c r="J81" s="72">
        <v>23</v>
      </c>
      <c r="K81" s="46">
        <f t="shared" si="4"/>
        <v>100</v>
      </c>
      <c r="L81" s="46">
        <f t="shared" si="4"/>
        <v>0</v>
      </c>
      <c r="M81" s="46">
        <f t="shared" si="4"/>
        <v>0</v>
      </c>
      <c r="N81" s="67">
        <f t="shared" si="5"/>
        <v>100</v>
      </c>
      <c r="O81" s="45">
        <v>51.6</v>
      </c>
      <c r="P81" s="46"/>
      <c r="Q81" s="46"/>
      <c r="R81" s="47">
        <f t="shared" si="6"/>
        <v>51.6</v>
      </c>
      <c r="S81" s="28">
        <v>1</v>
      </c>
      <c r="T81" s="284"/>
      <c r="U81" s="293"/>
      <c r="V81" s="37" t="s">
        <v>788</v>
      </c>
      <c r="W81" s="28" t="s">
        <v>74</v>
      </c>
      <c r="X81" s="28" t="s">
        <v>11</v>
      </c>
      <c r="Y81" s="38">
        <v>51.6</v>
      </c>
      <c r="AD81" s="37"/>
      <c r="AG81" s="38"/>
      <c r="AL81" s="37"/>
      <c r="AO81" s="38"/>
      <c r="AP81" s="37"/>
      <c r="AS81" s="38"/>
      <c r="AW81" s="38"/>
      <c r="BA81" s="39"/>
    </row>
    <row r="82" spans="1:53" s="28" customFormat="1" x14ac:dyDescent="0.15">
      <c r="A82" s="28">
        <v>1996</v>
      </c>
      <c r="B82" s="293"/>
      <c r="C82" s="394" t="s">
        <v>795</v>
      </c>
      <c r="D82" s="394"/>
      <c r="E82" s="28">
        <f>366-E81</f>
        <v>366</v>
      </c>
      <c r="G82" s="65">
        <v>23</v>
      </c>
      <c r="J82" s="72">
        <v>23</v>
      </c>
      <c r="K82" s="46">
        <f t="shared" si="4"/>
        <v>100</v>
      </c>
      <c r="L82" s="46">
        <f t="shared" si="4"/>
        <v>0</v>
      </c>
      <c r="M82" s="46">
        <f t="shared" si="4"/>
        <v>0</v>
      </c>
      <c r="N82" s="67">
        <f t="shared" si="5"/>
        <v>100</v>
      </c>
      <c r="O82" s="45">
        <v>51.6</v>
      </c>
      <c r="P82" s="46"/>
      <c r="Q82" s="46"/>
      <c r="R82" s="47">
        <f t="shared" si="6"/>
        <v>51.6</v>
      </c>
      <c r="S82" s="28">
        <v>1</v>
      </c>
      <c r="T82" s="284"/>
      <c r="U82" s="293"/>
      <c r="V82" s="37" t="s">
        <v>788</v>
      </c>
      <c r="W82" s="28" t="s">
        <v>74</v>
      </c>
      <c r="X82" s="28" t="s">
        <v>11</v>
      </c>
      <c r="Y82" s="38">
        <v>51.6</v>
      </c>
      <c r="AD82" s="37"/>
      <c r="AG82" s="38"/>
      <c r="AL82" s="37"/>
      <c r="AO82" s="38"/>
      <c r="AP82" s="37"/>
      <c r="AS82" s="38"/>
      <c r="AW82" s="38"/>
      <c r="BA82" s="39"/>
    </row>
    <row r="83" spans="1:53" s="28" customFormat="1" x14ac:dyDescent="0.15">
      <c r="A83" s="28">
        <v>1997</v>
      </c>
      <c r="B83" s="293"/>
      <c r="C83" s="394" t="s">
        <v>795</v>
      </c>
      <c r="D83" s="394"/>
      <c r="E83" s="28">
        <v>121</v>
      </c>
      <c r="G83" s="65">
        <v>23</v>
      </c>
      <c r="J83" s="72">
        <v>23</v>
      </c>
      <c r="K83" s="46">
        <f t="shared" si="4"/>
        <v>100</v>
      </c>
      <c r="L83" s="46">
        <f t="shared" si="4"/>
        <v>0</v>
      </c>
      <c r="M83" s="46">
        <f t="shared" si="4"/>
        <v>0</v>
      </c>
      <c r="N83" s="67">
        <f t="shared" si="5"/>
        <v>100</v>
      </c>
      <c r="O83" s="45">
        <v>51.6</v>
      </c>
      <c r="P83" s="46"/>
      <c r="Q83" s="46"/>
      <c r="R83" s="47">
        <f t="shared" si="6"/>
        <v>51.6</v>
      </c>
      <c r="S83" s="28">
        <v>1</v>
      </c>
      <c r="T83" s="284"/>
      <c r="U83" s="293"/>
      <c r="V83" s="37" t="s">
        <v>788</v>
      </c>
      <c r="W83" s="28" t="s">
        <v>74</v>
      </c>
      <c r="X83" s="28" t="s">
        <v>11</v>
      </c>
      <c r="Y83" s="38">
        <v>51.6</v>
      </c>
      <c r="AD83" s="37"/>
      <c r="AG83" s="38"/>
      <c r="AL83" s="37"/>
      <c r="AO83" s="38"/>
      <c r="AP83" s="37"/>
      <c r="AS83" s="38"/>
      <c r="AW83" s="38"/>
      <c r="BA83" s="39"/>
    </row>
    <row r="84" spans="1:53" s="170" customFormat="1" x14ac:dyDescent="0.15">
      <c r="A84" s="170">
        <v>1997</v>
      </c>
      <c r="B84" s="281">
        <v>35552</v>
      </c>
      <c r="C84" s="395" t="s">
        <v>784</v>
      </c>
      <c r="D84" s="395"/>
      <c r="E84" s="170">
        <f>365-E83</f>
        <v>244</v>
      </c>
      <c r="F84" s="170">
        <v>1</v>
      </c>
      <c r="G84" s="232"/>
      <c r="I84" s="170">
        <v>22</v>
      </c>
      <c r="J84" s="240">
        <v>22</v>
      </c>
      <c r="K84" s="213">
        <f t="shared" si="4"/>
        <v>0</v>
      </c>
      <c r="L84" s="213">
        <f t="shared" si="4"/>
        <v>0</v>
      </c>
      <c r="M84" s="213">
        <f t="shared" si="4"/>
        <v>100</v>
      </c>
      <c r="N84" s="234">
        <f t="shared" si="5"/>
        <v>100</v>
      </c>
      <c r="O84" s="212"/>
      <c r="P84" s="213"/>
      <c r="Q84" s="213">
        <v>63.6</v>
      </c>
      <c r="R84" s="214">
        <f>O84+P84+Q84</f>
        <v>63.6</v>
      </c>
      <c r="S84" s="170">
        <v>1</v>
      </c>
      <c r="T84" s="283">
        <v>35551</v>
      </c>
      <c r="U84" s="281">
        <v>35552</v>
      </c>
      <c r="V84" s="177" t="s">
        <v>451</v>
      </c>
      <c r="W84" s="170" t="s">
        <v>20</v>
      </c>
      <c r="X84" s="170" t="s">
        <v>12</v>
      </c>
      <c r="Y84" s="178">
        <v>63.6</v>
      </c>
      <c r="AD84" s="177"/>
      <c r="AG84" s="178"/>
      <c r="AL84" s="177"/>
      <c r="AO84" s="178"/>
      <c r="AP84" s="177"/>
      <c r="AS84" s="178"/>
      <c r="AW84" s="178"/>
      <c r="BA84" s="179"/>
    </row>
    <row r="85" spans="1:53" s="170" customFormat="1" x14ac:dyDescent="0.15">
      <c r="A85" s="170">
        <v>1998</v>
      </c>
      <c r="B85" s="281"/>
      <c r="C85" s="395" t="s">
        <v>784</v>
      </c>
      <c r="D85" s="395"/>
      <c r="E85" s="170">
        <v>0</v>
      </c>
      <c r="G85" s="232"/>
      <c r="I85" s="170">
        <v>22</v>
      </c>
      <c r="J85" s="240">
        <v>22</v>
      </c>
      <c r="K85" s="213">
        <f t="shared" si="4"/>
        <v>0</v>
      </c>
      <c r="L85" s="213">
        <f t="shared" si="4"/>
        <v>0</v>
      </c>
      <c r="M85" s="213">
        <f t="shared" si="4"/>
        <v>100</v>
      </c>
      <c r="N85" s="234">
        <f t="shared" si="5"/>
        <v>100</v>
      </c>
      <c r="O85" s="212"/>
      <c r="P85" s="213"/>
      <c r="Q85" s="213">
        <v>63.6</v>
      </c>
      <c r="R85" s="214">
        <f t="shared" ref="R85:R101" si="7">O85+P85+Q85</f>
        <v>63.6</v>
      </c>
      <c r="S85" s="170">
        <v>1</v>
      </c>
      <c r="T85" s="283"/>
      <c r="U85" s="281"/>
      <c r="V85" s="177" t="s">
        <v>451</v>
      </c>
      <c r="W85" s="170" t="s">
        <v>20</v>
      </c>
      <c r="X85" s="170" t="s">
        <v>12</v>
      </c>
      <c r="Y85" s="178">
        <v>63.6</v>
      </c>
      <c r="AD85" s="177"/>
      <c r="AG85" s="178"/>
      <c r="AL85" s="177"/>
      <c r="AO85" s="178"/>
      <c r="AP85" s="177"/>
      <c r="AS85" s="178"/>
      <c r="AW85" s="178"/>
      <c r="BA85" s="179"/>
    </row>
    <row r="86" spans="1:53" s="170" customFormat="1" x14ac:dyDescent="0.15">
      <c r="A86" s="170">
        <v>1998</v>
      </c>
      <c r="B86" s="281"/>
      <c r="C86" s="395" t="s">
        <v>784</v>
      </c>
      <c r="D86" s="395"/>
      <c r="E86" s="170">
        <f>365-E85</f>
        <v>365</v>
      </c>
      <c r="G86" s="232"/>
      <c r="I86" s="170">
        <v>22</v>
      </c>
      <c r="J86" s="240">
        <v>22</v>
      </c>
      <c r="K86" s="213">
        <f t="shared" si="4"/>
        <v>0</v>
      </c>
      <c r="L86" s="213">
        <f t="shared" si="4"/>
        <v>0</v>
      </c>
      <c r="M86" s="213">
        <f t="shared" si="4"/>
        <v>100</v>
      </c>
      <c r="N86" s="234">
        <f t="shared" si="5"/>
        <v>100</v>
      </c>
      <c r="O86" s="212"/>
      <c r="P86" s="213"/>
      <c r="Q86" s="213">
        <v>63.6</v>
      </c>
      <c r="R86" s="214">
        <f t="shared" si="7"/>
        <v>63.6</v>
      </c>
      <c r="S86" s="170">
        <v>1</v>
      </c>
      <c r="T86" s="283"/>
      <c r="U86" s="281"/>
      <c r="V86" s="177" t="s">
        <v>451</v>
      </c>
      <c r="W86" s="170" t="s">
        <v>20</v>
      </c>
      <c r="X86" s="170" t="s">
        <v>12</v>
      </c>
      <c r="Y86" s="178">
        <v>63.6</v>
      </c>
      <c r="AD86" s="177"/>
      <c r="AG86" s="178"/>
      <c r="AL86" s="177"/>
      <c r="AO86" s="178"/>
      <c r="AP86" s="177"/>
      <c r="AS86" s="178"/>
      <c r="AW86" s="178"/>
      <c r="BA86" s="179"/>
    </row>
    <row r="87" spans="1:53" s="170" customFormat="1" x14ac:dyDescent="0.15">
      <c r="A87" s="170">
        <v>1999</v>
      </c>
      <c r="B87" s="281"/>
      <c r="C87" s="395" t="s">
        <v>784</v>
      </c>
      <c r="D87" s="395"/>
      <c r="E87" s="170">
        <v>0</v>
      </c>
      <c r="G87" s="232"/>
      <c r="I87" s="170">
        <v>22</v>
      </c>
      <c r="J87" s="240">
        <v>22</v>
      </c>
      <c r="K87" s="213">
        <f t="shared" si="4"/>
        <v>0</v>
      </c>
      <c r="L87" s="213">
        <f t="shared" si="4"/>
        <v>0</v>
      </c>
      <c r="M87" s="213">
        <f t="shared" si="4"/>
        <v>100</v>
      </c>
      <c r="N87" s="234">
        <f t="shared" si="5"/>
        <v>100</v>
      </c>
      <c r="O87" s="212"/>
      <c r="P87" s="213"/>
      <c r="Q87" s="213">
        <v>63.6</v>
      </c>
      <c r="R87" s="214">
        <f t="shared" si="7"/>
        <v>63.6</v>
      </c>
      <c r="S87" s="170">
        <v>1</v>
      </c>
      <c r="T87" s="283"/>
      <c r="U87" s="281"/>
      <c r="V87" s="177" t="s">
        <v>451</v>
      </c>
      <c r="W87" s="170" t="s">
        <v>20</v>
      </c>
      <c r="X87" s="170" t="s">
        <v>12</v>
      </c>
      <c r="Y87" s="178">
        <v>63.6</v>
      </c>
      <c r="AD87" s="177"/>
      <c r="AG87" s="178"/>
      <c r="AL87" s="177"/>
      <c r="AO87" s="178"/>
      <c r="AP87" s="177"/>
      <c r="AS87" s="178"/>
      <c r="AW87" s="178"/>
      <c r="BA87" s="179"/>
    </row>
    <row r="88" spans="1:53" s="170" customFormat="1" x14ac:dyDescent="0.15">
      <c r="A88" s="170">
        <v>1999</v>
      </c>
      <c r="B88" s="281"/>
      <c r="C88" s="395" t="s">
        <v>784</v>
      </c>
      <c r="D88" s="395"/>
      <c r="E88" s="170">
        <f>365-E87</f>
        <v>365</v>
      </c>
      <c r="G88" s="232"/>
      <c r="I88" s="170">
        <v>22</v>
      </c>
      <c r="J88" s="240">
        <v>22</v>
      </c>
      <c r="K88" s="213">
        <f t="shared" si="4"/>
        <v>0</v>
      </c>
      <c r="L88" s="213">
        <f t="shared" si="4"/>
        <v>0</v>
      </c>
      <c r="M88" s="213">
        <f t="shared" si="4"/>
        <v>100</v>
      </c>
      <c r="N88" s="234">
        <f t="shared" si="5"/>
        <v>100</v>
      </c>
      <c r="O88" s="212"/>
      <c r="P88" s="213"/>
      <c r="Q88" s="213">
        <v>63.6</v>
      </c>
      <c r="R88" s="214">
        <f t="shared" si="7"/>
        <v>63.6</v>
      </c>
      <c r="S88" s="170">
        <v>1</v>
      </c>
      <c r="T88" s="283"/>
      <c r="U88" s="281"/>
      <c r="V88" s="177" t="s">
        <v>451</v>
      </c>
      <c r="W88" s="170" t="s">
        <v>20</v>
      </c>
      <c r="X88" s="170" t="s">
        <v>12</v>
      </c>
      <c r="Y88" s="178">
        <v>63.6</v>
      </c>
      <c r="AD88" s="177"/>
      <c r="AG88" s="178"/>
      <c r="AL88" s="177"/>
      <c r="AO88" s="178"/>
      <c r="AP88" s="177"/>
      <c r="AS88" s="178"/>
      <c r="AW88" s="178"/>
      <c r="BA88" s="179"/>
    </row>
    <row r="89" spans="1:53" s="170" customFormat="1" x14ac:dyDescent="0.15">
      <c r="A89" s="170">
        <v>2000</v>
      </c>
      <c r="B89" s="281"/>
      <c r="C89" s="395" t="s">
        <v>784</v>
      </c>
      <c r="D89" s="395"/>
      <c r="E89" s="170">
        <v>0</v>
      </c>
      <c r="G89" s="232"/>
      <c r="I89" s="170">
        <v>22</v>
      </c>
      <c r="J89" s="240">
        <v>22</v>
      </c>
      <c r="K89" s="213">
        <f t="shared" si="4"/>
        <v>0</v>
      </c>
      <c r="L89" s="213">
        <f t="shared" si="4"/>
        <v>0</v>
      </c>
      <c r="M89" s="213">
        <f t="shared" si="4"/>
        <v>100</v>
      </c>
      <c r="N89" s="234">
        <f t="shared" si="5"/>
        <v>100</v>
      </c>
      <c r="O89" s="212"/>
      <c r="P89" s="213"/>
      <c r="Q89" s="213">
        <v>63.6</v>
      </c>
      <c r="R89" s="214">
        <f t="shared" si="7"/>
        <v>63.6</v>
      </c>
      <c r="S89" s="170">
        <v>1</v>
      </c>
      <c r="T89" s="283"/>
      <c r="U89" s="281"/>
      <c r="V89" s="177" t="s">
        <v>451</v>
      </c>
      <c r="W89" s="170" t="s">
        <v>20</v>
      </c>
      <c r="X89" s="170" t="s">
        <v>12</v>
      </c>
      <c r="Y89" s="178">
        <v>63.6</v>
      </c>
      <c r="AD89" s="177"/>
      <c r="AG89" s="178"/>
      <c r="AL89" s="177"/>
      <c r="AO89" s="178"/>
      <c r="AP89" s="177"/>
      <c r="AS89" s="178"/>
      <c r="AW89" s="178"/>
      <c r="BA89" s="179"/>
    </row>
    <row r="90" spans="1:53" s="170" customFormat="1" x14ac:dyDescent="0.15">
      <c r="A90" s="170">
        <v>2000</v>
      </c>
      <c r="B90" s="281"/>
      <c r="C90" s="395" t="s">
        <v>784</v>
      </c>
      <c r="D90" s="395"/>
      <c r="E90" s="170">
        <f>366-E89</f>
        <v>366</v>
      </c>
      <c r="G90" s="232"/>
      <c r="I90" s="170">
        <v>22</v>
      </c>
      <c r="J90" s="240">
        <v>22</v>
      </c>
      <c r="K90" s="213">
        <f t="shared" si="4"/>
        <v>0</v>
      </c>
      <c r="L90" s="213">
        <f t="shared" si="4"/>
        <v>0</v>
      </c>
      <c r="M90" s="213">
        <f t="shared" si="4"/>
        <v>100</v>
      </c>
      <c r="N90" s="234">
        <f t="shared" si="5"/>
        <v>100</v>
      </c>
      <c r="O90" s="212"/>
      <c r="P90" s="213"/>
      <c r="Q90" s="213">
        <v>63.6</v>
      </c>
      <c r="R90" s="214">
        <f t="shared" si="7"/>
        <v>63.6</v>
      </c>
      <c r="S90" s="170">
        <v>1</v>
      </c>
      <c r="T90" s="283"/>
      <c r="U90" s="281"/>
      <c r="V90" s="177" t="s">
        <v>451</v>
      </c>
      <c r="W90" s="170" t="s">
        <v>20</v>
      </c>
      <c r="X90" s="170" t="s">
        <v>12</v>
      </c>
      <c r="Y90" s="178">
        <v>63.6</v>
      </c>
      <c r="AD90" s="177"/>
      <c r="AG90" s="178"/>
      <c r="AL90" s="177"/>
      <c r="AO90" s="178"/>
      <c r="AP90" s="177"/>
      <c r="AS90" s="178"/>
      <c r="AW90" s="178"/>
      <c r="BA90" s="179"/>
    </row>
    <row r="91" spans="1:53" s="170" customFormat="1" x14ac:dyDescent="0.15">
      <c r="A91" s="170">
        <v>2001</v>
      </c>
      <c r="B91" s="281"/>
      <c r="C91" s="395" t="s">
        <v>784</v>
      </c>
      <c r="D91" s="395"/>
      <c r="E91" s="170">
        <v>158</v>
      </c>
      <c r="G91" s="232"/>
      <c r="I91" s="170">
        <v>22</v>
      </c>
      <c r="J91" s="240">
        <v>22</v>
      </c>
      <c r="K91" s="213">
        <f t="shared" si="4"/>
        <v>0</v>
      </c>
      <c r="L91" s="213">
        <f t="shared" si="4"/>
        <v>0</v>
      </c>
      <c r="M91" s="213">
        <f t="shared" si="4"/>
        <v>100</v>
      </c>
      <c r="N91" s="234">
        <f t="shared" si="5"/>
        <v>100</v>
      </c>
      <c r="O91" s="212"/>
      <c r="P91" s="213"/>
      <c r="Q91" s="213">
        <v>63.6</v>
      </c>
      <c r="R91" s="214">
        <f t="shared" si="7"/>
        <v>63.6</v>
      </c>
      <c r="S91" s="170">
        <v>1</v>
      </c>
      <c r="T91" s="283"/>
      <c r="U91" s="281"/>
      <c r="V91" s="177" t="s">
        <v>451</v>
      </c>
      <c r="W91" s="170" t="s">
        <v>20</v>
      </c>
      <c r="X91" s="170" t="s">
        <v>12</v>
      </c>
      <c r="Y91" s="178">
        <v>63.6</v>
      </c>
      <c r="AD91" s="177"/>
      <c r="AG91" s="178"/>
      <c r="AL91" s="177"/>
      <c r="AO91" s="178"/>
      <c r="AP91" s="177"/>
      <c r="AS91" s="178"/>
      <c r="AW91" s="178"/>
      <c r="BA91" s="179"/>
    </row>
    <row r="92" spans="1:53" s="28" customFormat="1" x14ac:dyDescent="0.15">
      <c r="A92" s="28">
        <v>2001</v>
      </c>
      <c r="B92" s="293">
        <v>37050</v>
      </c>
      <c r="C92" s="394" t="s">
        <v>785</v>
      </c>
      <c r="D92" s="394"/>
      <c r="E92" s="28">
        <f>365-E91</f>
        <v>207</v>
      </c>
      <c r="F92" s="28">
        <v>1</v>
      </c>
      <c r="G92" s="65"/>
      <c r="I92" s="28">
        <v>23</v>
      </c>
      <c r="J92" s="72">
        <v>23</v>
      </c>
      <c r="K92" s="46">
        <f t="shared" si="4"/>
        <v>0</v>
      </c>
      <c r="L92" s="46">
        <f t="shared" si="4"/>
        <v>0</v>
      </c>
      <c r="M92" s="46">
        <f t="shared" si="4"/>
        <v>100</v>
      </c>
      <c r="N92" s="67">
        <f t="shared" si="5"/>
        <v>100</v>
      </c>
      <c r="O92" s="45"/>
      <c r="P92" s="46"/>
      <c r="Q92" s="46">
        <v>62.5</v>
      </c>
      <c r="R92" s="47">
        <f t="shared" si="7"/>
        <v>62.5</v>
      </c>
      <c r="S92" s="28">
        <v>1</v>
      </c>
      <c r="T92" s="284">
        <v>37049</v>
      </c>
      <c r="U92" s="293">
        <v>37050</v>
      </c>
      <c r="V92" s="37" t="s">
        <v>451</v>
      </c>
      <c r="W92" s="28" t="s">
        <v>20</v>
      </c>
      <c r="X92" s="28" t="s">
        <v>12</v>
      </c>
      <c r="Y92" s="38">
        <v>62.5</v>
      </c>
      <c r="AD92" s="37"/>
      <c r="AG92" s="38"/>
      <c r="AL92" s="37"/>
      <c r="AO92" s="38"/>
      <c r="AP92" s="37"/>
      <c r="AS92" s="38"/>
      <c r="AW92" s="38"/>
      <c r="BA92" s="39"/>
    </row>
    <row r="93" spans="1:53" s="28" customFormat="1" x14ac:dyDescent="0.15">
      <c r="A93" s="28">
        <v>2002</v>
      </c>
      <c r="B93" s="293"/>
      <c r="C93" s="394" t="s">
        <v>785</v>
      </c>
      <c r="D93" s="394"/>
      <c r="E93" s="28">
        <v>0</v>
      </c>
      <c r="G93" s="65"/>
      <c r="I93" s="28">
        <v>23</v>
      </c>
      <c r="J93" s="72">
        <v>23</v>
      </c>
      <c r="K93" s="46">
        <f t="shared" si="4"/>
        <v>0</v>
      </c>
      <c r="L93" s="46">
        <f t="shared" si="4"/>
        <v>0</v>
      </c>
      <c r="M93" s="46">
        <f t="shared" si="4"/>
        <v>100</v>
      </c>
      <c r="N93" s="67">
        <f t="shared" si="5"/>
        <v>100</v>
      </c>
      <c r="O93" s="45"/>
      <c r="P93" s="46"/>
      <c r="Q93" s="46">
        <v>62.5</v>
      </c>
      <c r="R93" s="47">
        <f t="shared" si="7"/>
        <v>62.5</v>
      </c>
      <c r="S93" s="28">
        <v>1</v>
      </c>
      <c r="T93" s="284"/>
      <c r="U93" s="293"/>
      <c r="V93" s="37" t="s">
        <v>451</v>
      </c>
      <c r="W93" s="28" t="s">
        <v>20</v>
      </c>
      <c r="X93" s="28" t="s">
        <v>12</v>
      </c>
      <c r="Y93" s="38">
        <v>62.5</v>
      </c>
      <c r="AD93" s="37"/>
      <c r="AG93" s="38"/>
      <c r="AL93" s="37"/>
      <c r="AO93" s="38"/>
      <c r="AP93" s="37"/>
      <c r="AS93" s="38"/>
      <c r="AW93" s="38"/>
      <c r="BA93" s="39"/>
    </row>
    <row r="94" spans="1:53" s="28" customFormat="1" x14ac:dyDescent="0.15">
      <c r="A94" s="28">
        <v>2002</v>
      </c>
      <c r="B94" s="293"/>
      <c r="C94" s="394" t="s">
        <v>785</v>
      </c>
      <c r="D94" s="394"/>
      <c r="E94" s="28">
        <f>365-E93</f>
        <v>365</v>
      </c>
      <c r="G94" s="65"/>
      <c r="I94" s="28">
        <v>23</v>
      </c>
      <c r="J94" s="72">
        <v>23</v>
      </c>
      <c r="K94" s="46">
        <f t="shared" si="4"/>
        <v>0</v>
      </c>
      <c r="L94" s="46">
        <f t="shared" si="4"/>
        <v>0</v>
      </c>
      <c r="M94" s="46">
        <f t="shared" si="4"/>
        <v>100</v>
      </c>
      <c r="N94" s="67">
        <f t="shared" si="5"/>
        <v>100</v>
      </c>
      <c r="O94" s="45"/>
      <c r="P94" s="46"/>
      <c r="Q94" s="46">
        <v>62.5</v>
      </c>
      <c r="R94" s="47">
        <f t="shared" si="7"/>
        <v>62.5</v>
      </c>
      <c r="S94" s="28">
        <v>1</v>
      </c>
      <c r="T94" s="284"/>
      <c r="U94" s="293"/>
      <c r="V94" s="37" t="s">
        <v>451</v>
      </c>
      <c r="W94" s="28" t="s">
        <v>20</v>
      </c>
      <c r="X94" s="28" t="s">
        <v>12</v>
      </c>
      <c r="Y94" s="38">
        <v>62.5</v>
      </c>
      <c r="AD94" s="37"/>
      <c r="AG94" s="38"/>
      <c r="AL94" s="37"/>
      <c r="AO94" s="38"/>
      <c r="AP94" s="37"/>
      <c r="AS94" s="38"/>
      <c r="AW94" s="38"/>
      <c r="BA94" s="39"/>
    </row>
    <row r="95" spans="1:53" s="28" customFormat="1" x14ac:dyDescent="0.15">
      <c r="A95" s="28">
        <v>2003</v>
      </c>
      <c r="B95" s="293"/>
      <c r="C95" s="394" t="s">
        <v>785</v>
      </c>
      <c r="D95" s="394"/>
      <c r="E95" s="28">
        <v>0</v>
      </c>
      <c r="G95" s="65"/>
      <c r="I95" s="28">
        <v>23</v>
      </c>
      <c r="J95" s="72">
        <v>23</v>
      </c>
      <c r="K95" s="46">
        <f t="shared" si="4"/>
        <v>0</v>
      </c>
      <c r="L95" s="46">
        <f t="shared" si="4"/>
        <v>0</v>
      </c>
      <c r="M95" s="46">
        <f t="shared" si="4"/>
        <v>100</v>
      </c>
      <c r="N95" s="67">
        <f t="shared" si="5"/>
        <v>100</v>
      </c>
      <c r="O95" s="45"/>
      <c r="P95" s="46"/>
      <c r="Q95" s="46">
        <v>62.5</v>
      </c>
      <c r="R95" s="47">
        <f t="shared" si="7"/>
        <v>62.5</v>
      </c>
      <c r="S95" s="28">
        <v>1</v>
      </c>
      <c r="T95" s="284"/>
      <c r="U95" s="293"/>
      <c r="V95" s="37" t="s">
        <v>451</v>
      </c>
      <c r="W95" s="28" t="s">
        <v>20</v>
      </c>
      <c r="X95" s="28" t="s">
        <v>12</v>
      </c>
      <c r="Y95" s="38">
        <v>62.5</v>
      </c>
      <c r="AD95" s="37"/>
      <c r="AG95" s="38"/>
      <c r="AL95" s="37"/>
      <c r="AO95" s="38"/>
      <c r="AP95" s="37"/>
      <c r="AS95" s="38"/>
      <c r="AW95" s="38"/>
      <c r="BA95" s="39"/>
    </row>
    <row r="96" spans="1:53" s="28" customFormat="1" x14ac:dyDescent="0.15">
      <c r="A96" s="28">
        <v>2003</v>
      </c>
      <c r="B96" s="293"/>
      <c r="C96" s="394" t="s">
        <v>785</v>
      </c>
      <c r="D96" s="394"/>
      <c r="E96" s="28">
        <f>365-E95</f>
        <v>365</v>
      </c>
      <c r="G96" s="65"/>
      <c r="I96" s="28">
        <v>23</v>
      </c>
      <c r="J96" s="72">
        <v>23</v>
      </c>
      <c r="K96" s="46">
        <f t="shared" si="4"/>
        <v>0</v>
      </c>
      <c r="L96" s="46">
        <f t="shared" si="4"/>
        <v>0</v>
      </c>
      <c r="M96" s="46">
        <f t="shared" si="4"/>
        <v>100</v>
      </c>
      <c r="N96" s="67">
        <f t="shared" si="5"/>
        <v>100</v>
      </c>
      <c r="O96" s="45"/>
      <c r="P96" s="46"/>
      <c r="Q96" s="46">
        <v>62.5</v>
      </c>
      <c r="R96" s="47">
        <f t="shared" si="7"/>
        <v>62.5</v>
      </c>
      <c r="S96" s="28">
        <v>1</v>
      </c>
      <c r="T96" s="284"/>
      <c r="U96" s="293"/>
      <c r="V96" s="37" t="s">
        <v>451</v>
      </c>
      <c r="W96" s="28" t="s">
        <v>20</v>
      </c>
      <c r="X96" s="28" t="s">
        <v>12</v>
      </c>
      <c r="Y96" s="38">
        <v>62.5</v>
      </c>
      <c r="AD96" s="37"/>
      <c r="AG96" s="38"/>
      <c r="AL96" s="37"/>
      <c r="AO96" s="38"/>
      <c r="AP96" s="37"/>
      <c r="AS96" s="38"/>
      <c r="AW96" s="38"/>
      <c r="BA96" s="39"/>
    </row>
    <row r="97" spans="1:53" s="28" customFormat="1" x14ac:dyDescent="0.15">
      <c r="A97" s="28">
        <v>2004</v>
      </c>
      <c r="B97" s="293"/>
      <c r="C97" s="394" t="s">
        <v>785</v>
      </c>
      <c r="D97" s="394"/>
      <c r="E97" s="28">
        <v>0</v>
      </c>
      <c r="G97" s="65"/>
      <c r="I97" s="28">
        <v>23</v>
      </c>
      <c r="J97" s="72">
        <v>23</v>
      </c>
      <c r="K97" s="46">
        <f t="shared" si="4"/>
        <v>0</v>
      </c>
      <c r="L97" s="46">
        <f t="shared" si="4"/>
        <v>0</v>
      </c>
      <c r="M97" s="46">
        <f t="shared" si="4"/>
        <v>100</v>
      </c>
      <c r="N97" s="67">
        <f t="shared" si="5"/>
        <v>100</v>
      </c>
      <c r="O97" s="45"/>
      <c r="P97" s="46"/>
      <c r="Q97" s="46">
        <v>62.5</v>
      </c>
      <c r="R97" s="47">
        <f t="shared" si="7"/>
        <v>62.5</v>
      </c>
      <c r="S97" s="28">
        <v>1</v>
      </c>
      <c r="T97" s="284"/>
      <c r="U97" s="293"/>
      <c r="V97" s="37" t="s">
        <v>451</v>
      </c>
      <c r="W97" s="28" t="s">
        <v>20</v>
      </c>
      <c r="X97" s="28" t="s">
        <v>12</v>
      </c>
      <c r="Y97" s="38">
        <v>62.5</v>
      </c>
      <c r="AD97" s="37"/>
      <c r="AG97" s="38"/>
      <c r="AL97" s="37"/>
      <c r="AO97" s="38"/>
      <c r="AP97" s="37"/>
      <c r="AS97" s="38"/>
      <c r="AW97" s="38"/>
      <c r="BA97" s="39"/>
    </row>
    <row r="98" spans="1:53" s="28" customFormat="1" x14ac:dyDescent="0.15">
      <c r="A98" s="28">
        <v>2004</v>
      </c>
      <c r="B98" s="293"/>
      <c r="C98" s="394" t="s">
        <v>785</v>
      </c>
      <c r="D98" s="394"/>
      <c r="E98" s="28">
        <f>366-E97</f>
        <v>366</v>
      </c>
      <c r="G98" s="65"/>
      <c r="I98" s="28">
        <v>23</v>
      </c>
      <c r="J98" s="72">
        <v>23</v>
      </c>
      <c r="K98" s="46">
        <f t="shared" si="4"/>
        <v>0</v>
      </c>
      <c r="L98" s="46">
        <f t="shared" si="4"/>
        <v>0</v>
      </c>
      <c r="M98" s="46">
        <f t="shared" si="4"/>
        <v>100</v>
      </c>
      <c r="N98" s="67">
        <f t="shared" si="5"/>
        <v>100</v>
      </c>
      <c r="O98" s="45"/>
      <c r="P98" s="46"/>
      <c r="Q98" s="46">
        <v>62.5</v>
      </c>
      <c r="R98" s="47">
        <f t="shared" si="7"/>
        <v>62.5</v>
      </c>
      <c r="S98" s="28">
        <v>1</v>
      </c>
      <c r="T98" s="284"/>
      <c r="U98" s="293"/>
      <c r="V98" s="37" t="s">
        <v>451</v>
      </c>
      <c r="W98" s="28" t="s">
        <v>20</v>
      </c>
      <c r="X98" s="28" t="s">
        <v>12</v>
      </c>
      <c r="Y98" s="38">
        <v>62.5</v>
      </c>
      <c r="AD98" s="37"/>
      <c r="AG98" s="38"/>
      <c r="AL98" s="37"/>
      <c r="AO98" s="38"/>
      <c r="AP98" s="37"/>
      <c r="AS98" s="38"/>
      <c r="AW98" s="38"/>
      <c r="BA98" s="39"/>
    </row>
    <row r="99" spans="1:53" s="28" customFormat="1" x14ac:dyDescent="0.15">
      <c r="A99" s="28">
        <v>2005</v>
      </c>
      <c r="B99" s="293"/>
      <c r="C99" s="394" t="s">
        <v>785</v>
      </c>
      <c r="D99" s="394"/>
      <c r="E99" s="28">
        <v>125</v>
      </c>
      <c r="G99" s="65"/>
      <c r="I99" s="28">
        <v>23</v>
      </c>
      <c r="J99" s="72">
        <v>23</v>
      </c>
      <c r="K99" s="46">
        <f t="shared" si="4"/>
        <v>0</v>
      </c>
      <c r="L99" s="46">
        <f t="shared" si="4"/>
        <v>0</v>
      </c>
      <c r="M99" s="46">
        <f t="shared" si="4"/>
        <v>100</v>
      </c>
      <c r="N99" s="67">
        <f t="shared" si="5"/>
        <v>100</v>
      </c>
      <c r="O99" s="45"/>
      <c r="P99" s="46"/>
      <c r="Q99" s="46">
        <v>62.5</v>
      </c>
      <c r="R99" s="47">
        <f t="shared" si="7"/>
        <v>62.5</v>
      </c>
      <c r="S99" s="28">
        <v>1</v>
      </c>
      <c r="T99" s="284"/>
      <c r="U99" s="293"/>
      <c r="V99" s="37" t="s">
        <v>451</v>
      </c>
      <c r="W99" s="28" t="s">
        <v>20</v>
      </c>
      <c r="X99" s="28" t="s">
        <v>12</v>
      </c>
      <c r="Y99" s="38">
        <v>62.5</v>
      </c>
      <c r="AD99" s="37"/>
      <c r="AG99" s="38"/>
      <c r="AL99" s="37"/>
      <c r="AO99" s="38"/>
      <c r="AP99" s="37"/>
      <c r="AS99" s="38"/>
      <c r="AW99" s="38"/>
      <c r="BA99" s="39"/>
    </row>
    <row r="100" spans="1:53" s="170" customFormat="1" x14ac:dyDescent="0.15">
      <c r="A100" s="170">
        <v>2005</v>
      </c>
      <c r="B100" s="281">
        <v>38478</v>
      </c>
      <c r="C100" s="395" t="s">
        <v>786</v>
      </c>
      <c r="D100" s="395"/>
      <c r="E100" s="170">
        <f>365-E99</f>
        <v>240</v>
      </c>
      <c r="F100" s="170">
        <v>1</v>
      </c>
      <c r="G100" s="232"/>
      <c r="I100" s="170">
        <v>23</v>
      </c>
      <c r="J100" s="240">
        <v>23</v>
      </c>
      <c r="K100" s="213">
        <f t="shared" si="4"/>
        <v>0</v>
      </c>
      <c r="L100" s="213">
        <f t="shared" si="4"/>
        <v>0</v>
      </c>
      <c r="M100" s="213">
        <f t="shared" si="4"/>
        <v>100</v>
      </c>
      <c r="N100" s="234">
        <f t="shared" si="5"/>
        <v>100</v>
      </c>
      <c r="O100" s="212"/>
      <c r="P100" s="213"/>
      <c r="Q100" s="213">
        <v>55</v>
      </c>
      <c r="R100" s="214">
        <f t="shared" si="7"/>
        <v>55</v>
      </c>
      <c r="S100" s="170">
        <v>1</v>
      </c>
      <c r="T100" s="283">
        <v>38477</v>
      </c>
      <c r="U100" s="281">
        <v>38478</v>
      </c>
      <c r="V100" s="177" t="s">
        <v>451</v>
      </c>
      <c r="W100" s="170" t="s">
        <v>20</v>
      </c>
      <c r="X100" s="170" t="s">
        <v>12</v>
      </c>
      <c r="Y100" s="178">
        <v>55</v>
      </c>
      <c r="AD100" s="177"/>
      <c r="AG100" s="178"/>
      <c r="AL100" s="177"/>
      <c r="AO100" s="178"/>
      <c r="AP100" s="177"/>
      <c r="AS100" s="178"/>
      <c r="AW100" s="178"/>
      <c r="BA100" s="179"/>
    </row>
    <row r="101" spans="1:53" s="170" customFormat="1" x14ac:dyDescent="0.15">
      <c r="A101" s="170">
        <v>2006</v>
      </c>
      <c r="B101" s="281"/>
      <c r="C101" s="395" t="s">
        <v>786</v>
      </c>
      <c r="D101" s="395"/>
      <c r="E101" s="170">
        <v>0</v>
      </c>
      <c r="G101" s="232"/>
      <c r="I101" s="170">
        <v>23</v>
      </c>
      <c r="J101" s="240">
        <v>23</v>
      </c>
      <c r="K101" s="213">
        <f t="shared" si="4"/>
        <v>0</v>
      </c>
      <c r="L101" s="213">
        <f t="shared" si="4"/>
        <v>0</v>
      </c>
      <c r="M101" s="213">
        <f t="shared" si="4"/>
        <v>100</v>
      </c>
      <c r="N101" s="234">
        <f t="shared" si="5"/>
        <v>100</v>
      </c>
      <c r="O101" s="212"/>
      <c r="P101" s="213"/>
      <c r="Q101" s="213">
        <v>55</v>
      </c>
      <c r="R101" s="214">
        <f t="shared" si="7"/>
        <v>55</v>
      </c>
      <c r="S101" s="170">
        <v>1</v>
      </c>
      <c r="T101" s="283"/>
      <c r="U101" s="281"/>
      <c r="V101" s="177" t="s">
        <v>451</v>
      </c>
      <c r="W101" s="170" t="s">
        <v>20</v>
      </c>
      <c r="X101" s="170" t="s">
        <v>12</v>
      </c>
      <c r="Y101" s="178">
        <v>55</v>
      </c>
      <c r="AD101" s="177"/>
      <c r="AG101" s="178"/>
      <c r="AL101" s="177"/>
      <c r="AO101" s="178"/>
      <c r="AP101" s="177"/>
      <c r="AS101" s="178"/>
      <c r="AW101" s="178"/>
      <c r="BA101" s="179"/>
    </row>
    <row r="102" spans="1:53" s="170" customFormat="1" x14ac:dyDescent="0.15">
      <c r="A102" s="170">
        <v>2006</v>
      </c>
      <c r="B102" s="281"/>
      <c r="C102" s="395" t="s">
        <v>786</v>
      </c>
      <c r="D102" s="395"/>
      <c r="E102" s="170">
        <v>365</v>
      </c>
      <c r="G102" s="232"/>
      <c r="I102" s="170">
        <v>23</v>
      </c>
      <c r="J102" s="240">
        <v>23</v>
      </c>
      <c r="K102" s="213">
        <f>G102/$J102*100</f>
        <v>0</v>
      </c>
      <c r="L102" s="213">
        <f>H102/$J102*100</f>
        <v>0</v>
      </c>
      <c r="M102" s="213">
        <f>I102/$J102*100</f>
        <v>100</v>
      </c>
      <c r="N102" s="234">
        <f>K102+L102+M102</f>
        <v>100</v>
      </c>
      <c r="O102" s="212"/>
      <c r="P102" s="213"/>
      <c r="Q102" s="213">
        <v>55</v>
      </c>
      <c r="R102" s="214">
        <f>O102+P102+Q102</f>
        <v>55</v>
      </c>
      <c r="S102" s="170">
        <v>1</v>
      </c>
      <c r="T102" s="283"/>
      <c r="U102" s="281"/>
      <c r="V102" s="177" t="s">
        <v>451</v>
      </c>
      <c r="W102" s="170" t="s">
        <v>20</v>
      </c>
      <c r="X102" s="170" t="s">
        <v>12</v>
      </c>
      <c r="Y102" s="178">
        <v>55</v>
      </c>
      <c r="AD102" s="177"/>
      <c r="AG102" s="178"/>
      <c r="AL102" s="177"/>
      <c r="AO102" s="178"/>
      <c r="AP102" s="177"/>
      <c r="AS102" s="178"/>
      <c r="AW102" s="178"/>
      <c r="BA102" s="179"/>
    </row>
    <row r="103" spans="1:53" s="170" customFormat="1" x14ac:dyDescent="0.15">
      <c r="A103" s="170">
        <v>2007</v>
      </c>
      <c r="B103" s="281"/>
      <c r="C103" s="395" t="s">
        <v>786</v>
      </c>
      <c r="D103" s="395"/>
      <c r="E103" s="170">
        <v>177</v>
      </c>
      <c r="G103" s="232"/>
      <c r="I103" s="170">
        <v>23</v>
      </c>
      <c r="J103" s="240">
        <v>23</v>
      </c>
      <c r="K103" s="213">
        <f t="shared" ref="K103:K114" si="8">G103/$J103*100</f>
        <v>0</v>
      </c>
      <c r="L103" s="213">
        <f t="shared" ref="L103:L114" si="9">H103/$J103*100</f>
        <v>0</v>
      </c>
      <c r="M103" s="213">
        <f t="shared" ref="M103:M114" si="10">I103/$J103*100</f>
        <v>100</v>
      </c>
      <c r="N103" s="234">
        <f t="shared" ref="N103:N114" si="11">K103+L103+M103</f>
        <v>100</v>
      </c>
      <c r="O103" s="212"/>
      <c r="P103" s="213"/>
      <c r="Q103" s="213">
        <v>55</v>
      </c>
      <c r="R103" s="214">
        <f t="shared" ref="R103:R124" si="12">O103+P103+Q103</f>
        <v>55</v>
      </c>
      <c r="S103" s="170">
        <v>1</v>
      </c>
      <c r="T103" s="283"/>
      <c r="U103" s="281"/>
      <c r="V103" s="177" t="s">
        <v>451</v>
      </c>
      <c r="W103" s="170" t="s">
        <v>20</v>
      </c>
      <c r="X103" s="170" t="s">
        <v>12</v>
      </c>
      <c r="Y103" s="178">
        <v>55</v>
      </c>
      <c r="AD103" s="177"/>
      <c r="AG103" s="178"/>
      <c r="AL103" s="177"/>
      <c r="AO103" s="178"/>
      <c r="AP103" s="177"/>
      <c r="AS103" s="178"/>
      <c r="AW103" s="178"/>
      <c r="BA103" s="179"/>
    </row>
    <row r="104" spans="1:53" s="28" customFormat="1" x14ac:dyDescent="0.15">
      <c r="A104" s="28">
        <v>2007</v>
      </c>
      <c r="B104" s="293">
        <v>39260</v>
      </c>
      <c r="C104" s="394" t="s">
        <v>787</v>
      </c>
      <c r="D104" s="394"/>
      <c r="E104" s="28">
        <f>365-E103</f>
        <v>188</v>
      </c>
      <c r="F104" s="28">
        <v>2</v>
      </c>
      <c r="G104" s="65"/>
      <c r="I104" s="28">
        <v>22</v>
      </c>
      <c r="J104" s="72">
        <v>22</v>
      </c>
      <c r="K104" s="46">
        <f t="shared" si="8"/>
        <v>0</v>
      </c>
      <c r="L104" s="46">
        <f t="shared" si="9"/>
        <v>0</v>
      </c>
      <c r="M104" s="46">
        <f t="shared" si="10"/>
        <v>100</v>
      </c>
      <c r="N104" s="67">
        <f t="shared" si="11"/>
        <v>100</v>
      </c>
      <c r="O104" s="45"/>
      <c r="P104" s="46"/>
      <c r="Q104" s="46">
        <v>55</v>
      </c>
      <c r="R104" s="47">
        <f t="shared" si="12"/>
        <v>55</v>
      </c>
      <c r="S104" s="28">
        <v>1</v>
      </c>
      <c r="T104" s="284"/>
      <c r="U104" s="293">
        <v>39260</v>
      </c>
      <c r="V104" s="37" t="s">
        <v>451</v>
      </c>
      <c r="W104" s="28" t="s">
        <v>20</v>
      </c>
      <c r="X104" s="28" t="s">
        <v>12</v>
      </c>
      <c r="Y104" s="38">
        <v>55</v>
      </c>
      <c r="AD104" s="37"/>
      <c r="AG104" s="38"/>
      <c r="AL104" s="37"/>
      <c r="AO104" s="38"/>
      <c r="AP104" s="37"/>
      <c r="AS104" s="38"/>
      <c r="AW104" s="38"/>
      <c r="BA104" s="39"/>
    </row>
    <row r="105" spans="1:53" s="28" customFormat="1" x14ac:dyDescent="0.15">
      <c r="A105" s="28">
        <v>2008</v>
      </c>
      <c r="B105" s="293"/>
      <c r="C105" s="394" t="s">
        <v>787</v>
      </c>
      <c r="D105" s="394"/>
      <c r="E105" s="28">
        <v>0</v>
      </c>
      <c r="G105" s="65"/>
      <c r="I105" s="28">
        <v>22</v>
      </c>
      <c r="J105" s="72">
        <v>22</v>
      </c>
      <c r="K105" s="46">
        <f t="shared" si="8"/>
        <v>0</v>
      </c>
      <c r="L105" s="46">
        <f t="shared" si="9"/>
        <v>0</v>
      </c>
      <c r="M105" s="46">
        <f t="shared" si="10"/>
        <v>100</v>
      </c>
      <c r="N105" s="67">
        <f t="shared" si="11"/>
        <v>100</v>
      </c>
      <c r="O105" s="45"/>
      <c r="P105" s="46"/>
      <c r="Q105" s="46">
        <v>55</v>
      </c>
      <c r="R105" s="47">
        <f t="shared" si="12"/>
        <v>55</v>
      </c>
      <c r="S105" s="28">
        <v>1</v>
      </c>
      <c r="T105" s="284"/>
      <c r="U105" s="293"/>
      <c r="V105" s="37" t="s">
        <v>451</v>
      </c>
      <c r="W105" s="28" t="s">
        <v>20</v>
      </c>
      <c r="X105" s="28" t="s">
        <v>12</v>
      </c>
      <c r="Y105" s="38">
        <v>55</v>
      </c>
      <c r="AD105" s="37"/>
      <c r="AG105" s="38"/>
      <c r="AL105" s="37"/>
      <c r="AO105" s="38"/>
      <c r="AP105" s="37"/>
      <c r="AS105" s="38"/>
      <c r="AW105" s="38"/>
      <c r="BA105" s="39"/>
    </row>
    <row r="106" spans="1:53" s="28" customFormat="1" x14ac:dyDescent="0.15">
      <c r="A106" s="28">
        <v>2008</v>
      </c>
      <c r="B106" s="293"/>
      <c r="C106" s="394" t="s">
        <v>787</v>
      </c>
      <c r="D106" s="394"/>
      <c r="E106" s="28">
        <v>366</v>
      </c>
      <c r="G106" s="65"/>
      <c r="I106" s="28">
        <v>22</v>
      </c>
      <c r="J106" s="72">
        <v>22</v>
      </c>
      <c r="K106" s="46">
        <f t="shared" si="8"/>
        <v>0</v>
      </c>
      <c r="L106" s="46">
        <f t="shared" si="9"/>
        <v>0</v>
      </c>
      <c r="M106" s="46">
        <f t="shared" si="10"/>
        <v>100</v>
      </c>
      <c r="N106" s="67">
        <f t="shared" si="11"/>
        <v>100</v>
      </c>
      <c r="O106" s="45"/>
      <c r="P106" s="46"/>
      <c r="Q106" s="46">
        <v>55</v>
      </c>
      <c r="R106" s="47">
        <f t="shared" si="12"/>
        <v>55</v>
      </c>
      <c r="S106" s="28">
        <v>1</v>
      </c>
      <c r="T106" s="284"/>
      <c r="U106" s="293"/>
      <c r="V106" s="37" t="s">
        <v>451</v>
      </c>
      <c r="W106" s="28" t="s">
        <v>20</v>
      </c>
      <c r="X106" s="28" t="s">
        <v>12</v>
      </c>
      <c r="Y106" s="38">
        <v>55</v>
      </c>
      <c r="AD106" s="37"/>
      <c r="AG106" s="38"/>
      <c r="AL106" s="37"/>
      <c r="AO106" s="38"/>
      <c r="AP106" s="37"/>
      <c r="AS106" s="38"/>
      <c r="AW106" s="38"/>
      <c r="BA106" s="39"/>
    </row>
    <row r="107" spans="1:53" s="28" customFormat="1" x14ac:dyDescent="0.15">
      <c r="A107" s="28">
        <v>2009</v>
      </c>
      <c r="B107" s="293"/>
      <c r="C107" s="394" t="s">
        <v>787</v>
      </c>
      <c r="D107" s="394"/>
      <c r="E107" s="28">
        <v>0</v>
      </c>
      <c r="G107" s="65"/>
      <c r="I107" s="28">
        <v>22</v>
      </c>
      <c r="J107" s="72">
        <v>22</v>
      </c>
      <c r="K107" s="46">
        <f t="shared" si="8"/>
        <v>0</v>
      </c>
      <c r="L107" s="46">
        <f t="shared" si="9"/>
        <v>0</v>
      </c>
      <c r="M107" s="46">
        <f t="shared" si="10"/>
        <v>100</v>
      </c>
      <c r="N107" s="67">
        <f t="shared" si="11"/>
        <v>100</v>
      </c>
      <c r="O107" s="45"/>
      <c r="P107" s="46"/>
      <c r="Q107" s="46">
        <v>55</v>
      </c>
      <c r="R107" s="47">
        <f t="shared" si="12"/>
        <v>55</v>
      </c>
      <c r="S107" s="28">
        <v>1</v>
      </c>
      <c r="T107" s="284"/>
      <c r="U107" s="293"/>
      <c r="V107" s="37" t="s">
        <v>451</v>
      </c>
      <c r="W107" s="28" t="s">
        <v>20</v>
      </c>
      <c r="X107" s="28" t="s">
        <v>12</v>
      </c>
      <c r="Y107" s="38">
        <v>55</v>
      </c>
      <c r="AD107" s="37"/>
      <c r="AG107" s="38"/>
      <c r="AL107" s="37"/>
      <c r="AO107" s="38"/>
      <c r="AP107" s="37"/>
      <c r="AS107" s="38"/>
      <c r="AW107" s="38"/>
      <c r="BA107" s="39"/>
    </row>
    <row r="108" spans="1:53" s="28" customFormat="1" x14ac:dyDescent="0.15">
      <c r="A108" s="28">
        <v>2009</v>
      </c>
      <c r="B108" s="293"/>
      <c r="C108" s="394" t="s">
        <v>787</v>
      </c>
      <c r="D108" s="394"/>
      <c r="E108" s="28">
        <v>365</v>
      </c>
      <c r="G108" s="65"/>
      <c r="I108" s="28">
        <v>22</v>
      </c>
      <c r="J108" s="72">
        <v>22</v>
      </c>
      <c r="K108" s="46">
        <f t="shared" si="8"/>
        <v>0</v>
      </c>
      <c r="L108" s="46">
        <f t="shared" si="9"/>
        <v>0</v>
      </c>
      <c r="M108" s="46">
        <f t="shared" si="10"/>
        <v>100</v>
      </c>
      <c r="N108" s="67">
        <f t="shared" si="11"/>
        <v>100</v>
      </c>
      <c r="O108" s="45"/>
      <c r="P108" s="46"/>
      <c r="Q108" s="46">
        <v>55</v>
      </c>
      <c r="R108" s="47">
        <f t="shared" si="12"/>
        <v>55</v>
      </c>
      <c r="S108" s="28">
        <v>1</v>
      </c>
      <c r="T108" s="284"/>
      <c r="U108" s="293"/>
      <c r="V108" s="37" t="s">
        <v>451</v>
      </c>
      <c r="W108" s="28" t="s">
        <v>20</v>
      </c>
      <c r="X108" s="28" t="s">
        <v>12</v>
      </c>
      <c r="Y108" s="38">
        <v>55</v>
      </c>
      <c r="AD108" s="37"/>
      <c r="AG108" s="38"/>
      <c r="AL108" s="37"/>
      <c r="AO108" s="38"/>
      <c r="AP108" s="37"/>
      <c r="AS108" s="38"/>
      <c r="AW108" s="38"/>
      <c r="BA108" s="39"/>
    </row>
    <row r="109" spans="1:53" s="28" customFormat="1" x14ac:dyDescent="0.15">
      <c r="A109" s="28">
        <v>2010</v>
      </c>
      <c r="B109" s="293"/>
      <c r="C109" s="394" t="s">
        <v>787</v>
      </c>
      <c r="D109" s="394"/>
      <c r="E109" s="28">
        <v>138</v>
      </c>
      <c r="G109" s="65"/>
      <c r="I109" s="28">
        <v>22</v>
      </c>
      <c r="J109" s="72">
        <v>22</v>
      </c>
      <c r="K109" s="46">
        <f t="shared" si="8"/>
        <v>0</v>
      </c>
      <c r="L109" s="46">
        <f t="shared" si="9"/>
        <v>0</v>
      </c>
      <c r="M109" s="46">
        <f t="shared" si="10"/>
        <v>100</v>
      </c>
      <c r="N109" s="67">
        <f t="shared" si="11"/>
        <v>100</v>
      </c>
      <c r="O109" s="45"/>
      <c r="P109" s="46"/>
      <c r="Q109" s="46">
        <v>55</v>
      </c>
      <c r="R109" s="47">
        <f t="shared" si="12"/>
        <v>55</v>
      </c>
      <c r="S109" s="28">
        <v>1</v>
      </c>
      <c r="T109" s="284"/>
      <c r="U109" s="293"/>
      <c r="V109" s="37" t="s">
        <v>451</v>
      </c>
      <c r="W109" s="28" t="s">
        <v>20</v>
      </c>
      <c r="X109" s="28" t="s">
        <v>12</v>
      </c>
      <c r="Y109" s="38">
        <v>55</v>
      </c>
      <c r="AD109" s="37"/>
      <c r="AG109" s="38"/>
      <c r="AL109" s="37"/>
      <c r="AO109" s="38"/>
      <c r="AP109" s="37"/>
      <c r="AS109" s="38"/>
      <c r="AW109" s="38"/>
      <c r="BA109" s="39"/>
    </row>
    <row r="110" spans="1:53" s="170" customFormat="1" x14ac:dyDescent="0.15">
      <c r="A110" s="170">
        <v>2010</v>
      </c>
      <c r="B110" s="281">
        <v>40317</v>
      </c>
      <c r="C110" s="395" t="s">
        <v>796</v>
      </c>
      <c r="D110" s="395"/>
      <c r="E110" s="170">
        <f>365-E109</f>
        <v>227</v>
      </c>
      <c r="F110" s="170">
        <v>1</v>
      </c>
      <c r="G110" s="232">
        <v>23</v>
      </c>
      <c r="J110" s="240">
        <v>23</v>
      </c>
      <c r="K110" s="213">
        <f t="shared" si="8"/>
        <v>100</v>
      </c>
      <c r="L110" s="213">
        <f t="shared" si="9"/>
        <v>0</v>
      </c>
      <c r="M110" s="213">
        <f t="shared" si="10"/>
        <v>0</v>
      </c>
      <c r="N110" s="234">
        <f t="shared" si="11"/>
        <v>100</v>
      </c>
      <c r="O110" s="212">
        <v>55.9</v>
      </c>
      <c r="P110" s="213"/>
      <c r="Q110" s="213"/>
      <c r="R110" s="214">
        <f t="shared" si="12"/>
        <v>55.9</v>
      </c>
      <c r="S110" s="170">
        <v>2</v>
      </c>
      <c r="T110" s="283">
        <v>40304</v>
      </c>
      <c r="U110" s="281">
        <v>40317</v>
      </c>
      <c r="V110" s="177" t="s">
        <v>788</v>
      </c>
      <c r="W110" s="170" t="s">
        <v>74</v>
      </c>
      <c r="X110" s="170" t="s">
        <v>11</v>
      </c>
      <c r="Y110" s="178">
        <v>47.1</v>
      </c>
      <c r="Z110" s="170" t="s">
        <v>72</v>
      </c>
      <c r="AA110" s="170" t="s">
        <v>87</v>
      </c>
      <c r="AB110" s="170" t="s">
        <v>11</v>
      </c>
      <c r="AC110" s="170">
        <v>8.8000000000000007</v>
      </c>
      <c r="AD110" s="177"/>
      <c r="AG110" s="178"/>
      <c r="AL110" s="177"/>
      <c r="AO110" s="178"/>
      <c r="AP110" s="177"/>
      <c r="AS110" s="178"/>
      <c r="AW110" s="178"/>
      <c r="BA110" s="179"/>
    </row>
    <row r="111" spans="1:53" s="170" customFormat="1" x14ac:dyDescent="0.15">
      <c r="A111" s="170">
        <v>2011</v>
      </c>
      <c r="B111" s="281"/>
      <c r="C111" s="395" t="s">
        <v>796</v>
      </c>
      <c r="D111" s="395"/>
      <c r="E111" s="170">
        <v>0</v>
      </c>
      <c r="G111" s="232">
        <v>23</v>
      </c>
      <c r="J111" s="240">
        <v>23</v>
      </c>
      <c r="K111" s="213">
        <f t="shared" si="8"/>
        <v>100</v>
      </c>
      <c r="L111" s="213">
        <f t="shared" si="9"/>
        <v>0</v>
      </c>
      <c r="M111" s="213">
        <f t="shared" si="10"/>
        <v>0</v>
      </c>
      <c r="N111" s="234">
        <f t="shared" si="11"/>
        <v>100</v>
      </c>
      <c r="O111" s="212">
        <v>55.9</v>
      </c>
      <c r="P111" s="213"/>
      <c r="Q111" s="213"/>
      <c r="R111" s="214">
        <f t="shared" si="12"/>
        <v>55.9</v>
      </c>
      <c r="S111" s="170">
        <v>2</v>
      </c>
      <c r="T111" s="283"/>
      <c r="U111" s="281"/>
      <c r="V111" s="177" t="s">
        <v>788</v>
      </c>
      <c r="W111" s="170" t="s">
        <v>74</v>
      </c>
      <c r="X111" s="170" t="s">
        <v>11</v>
      </c>
      <c r="Y111" s="178">
        <v>47.1</v>
      </c>
      <c r="Z111" s="170" t="s">
        <v>72</v>
      </c>
      <c r="AA111" s="170" t="s">
        <v>87</v>
      </c>
      <c r="AB111" s="170" t="s">
        <v>11</v>
      </c>
      <c r="AC111" s="170">
        <v>8.8000000000000007</v>
      </c>
      <c r="AD111" s="177"/>
      <c r="AG111" s="178"/>
      <c r="AL111" s="177"/>
      <c r="AO111" s="178"/>
      <c r="AP111" s="177"/>
      <c r="AS111" s="178"/>
      <c r="AW111" s="178"/>
      <c r="BA111" s="179"/>
    </row>
    <row r="112" spans="1:53" s="170" customFormat="1" x14ac:dyDescent="0.15">
      <c r="A112" s="170">
        <v>2011</v>
      </c>
      <c r="B112" s="281"/>
      <c r="C112" s="395" t="s">
        <v>796</v>
      </c>
      <c r="D112" s="395"/>
      <c r="E112" s="170">
        <v>365</v>
      </c>
      <c r="G112" s="232">
        <v>23</v>
      </c>
      <c r="J112" s="240">
        <v>23</v>
      </c>
      <c r="K112" s="213">
        <f t="shared" si="8"/>
        <v>100</v>
      </c>
      <c r="L112" s="213">
        <f t="shared" si="9"/>
        <v>0</v>
      </c>
      <c r="M112" s="213">
        <f t="shared" si="10"/>
        <v>0</v>
      </c>
      <c r="N112" s="234">
        <f t="shared" si="11"/>
        <v>100</v>
      </c>
      <c r="O112" s="212">
        <v>55.9</v>
      </c>
      <c r="P112" s="213"/>
      <c r="Q112" s="213"/>
      <c r="R112" s="214">
        <f t="shared" si="12"/>
        <v>55.9</v>
      </c>
      <c r="S112" s="170">
        <v>2</v>
      </c>
      <c r="T112" s="283"/>
      <c r="U112" s="281"/>
      <c r="V112" s="177" t="s">
        <v>788</v>
      </c>
      <c r="W112" s="170" t="s">
        <v>74</v>
      </c>
      <c r="X112" s="170" t="s">
        <v>11</v>
      </c>
      <c r="Y112" s="178">
        <v>47.1</v>
      </c>
      <c r="Z112" s="170" t="s">
        <v>72</v>
      </c>
      <c r="AA112" s="170" t="s">
        <v>87</v>
      </c>
      <c r="AB112" s="170" t="s">
        <v>11</v>
      </c>
      <c r="AC112" s="170">
        <v>8.8000000000000007</v>
      </c>
      <c r="AD112" s="177"/>
      <c r="AG112" s="178"/>
      <c r="AL112" s="177"/>
      <c r="AO112" s="178"/>
      <c r="AP112" s="177"/>
      <c r="AS112" s="178"/>
      <c r="AW112" s="178"/>
      <c r="BA112" s="179"/>
    </row>
    <row r="113" spans="1:53" s="170" customFormat="1" x14ac:dyDescent="0.15">
      <c r="A113" s="170">
        <v>2012</v>
      </c>
      <c r="B113" s="281"/>
      <c r="C113" s="395" t="s">
        <v>796</v>
      </c>
      <c r="D113" s="395"/>
      <c r="E113" s="170">
        <v>0</v>
      </c>
      <c r="G113" s="232">
        <v>23</v>
      </c>
      <c r="J113" s="240">
        <v>23</v>
      </c>
      <c r="K113" s="213">
        <f t="shared" si="8"/>
        <v>100</v>
      </c>
      <c r="L113" s="213">
        <f t="shared" si="9"/>
        <v>0</v>
      </c>
      <c r="M113" s="213">
        <f t="shared" si="10"/>
        <v>0</v>
      </c>
      <c r="N113" s="234">
        <f t="shared" si="11"/>
        <v>100</v>
      </c>
      <c r="O113" s="212">
        <v>55.9</v>
      </c>
      <c r="P113" s="213"/>
      <c r="Q113" s="213"/>
      <c r="R113" s="214">
        <f t="shared" si="12"/>
        <v>55.9</v>
      </c>
      <c r="S113" s="170">
        <v>2</v>
      </c>
      <c r="T113" s="283"/>
      <c r="U113" s="281"/>
      <c r="V113" s="177" t="s">
        <v>788</v>
      </c>
      <c r="W113" s="170" t="s">
        <v>74</v>
      </c>
      <c r="X113" s="170" t="s">
        <v>11</v>
      </c>
      <c r="Y113" s="178">
        <v>47.1</v>
      </c>
      <c r="Z113" s="170" t="s">
        <v>72</v>
      </c>
      <c r="AA113" s="170" t="s">
        <v>87</v>
      </c>
      <c r="AB113" s="170" t="s">
        <v>11</v>
      </c>
      <c r="AC113" s="170">
        <v>8.8000000000000007</v>
      </c>
      <c r="AD113" s="177"/>
      <c r="AG113" s="178"/>
      <c r="AL113" s="177"/>
      <c r="AO113" s="178"/>
      <c r="AP113" s="177"/>
      <c r="AS113" s="178"/>
      <c r="AW113" s="178"/>
      <c r="BA113" s="179"/>
    </row>
    <row r="114" spans="1:53" s="170" customFormat="1" x14ac:dyDescent="0.15">
      <c r="A114" s="170">
        <v>2012</v>
      </c>
      <c r="B114" s="281"/>
      <c r="C114" s="395" t="s">
        <v>796</v>
      </c>
      <c r="D114" s="395"/>
      <c r="E114" s="170">
        <v>366</v>
      </c>
      <c r="G114" s="232">
        <v>23</v>
      </c>
      <c r="J114" s="240">
        <v>23</v>
      </c>
      <c r="K114" s="213">
        <f t="shared" si="8"/>
        <v>100</v>
      </c>
      <c r="L114" s="213">
        <f t="shared" si="9"/>
        <v>0</v>
      </c>
      <c r="M114" s="213">
        <f t="shared" si="10"/>
        <v>0</v>
      </c>
      <c r="N114" s="234">
        <f t="shared" si="11"/>
        <v>100</v>
      </c>
      <c r="O114" s="212">
        <v>55.9</v>
      </c>
      <c r="P114" s="213"/>
      <c r="Q114" s="213"/>
      <c r="R114" s="214">
        <f t="shared" si="12"/>
        <v>55.9</v>
      </c>
      <c r="S114" s="170">
        <v>2</v>
      </c>
      <c r="T114" s="283"/>
      <c r="U114" s="281"/>
      <c r="V114" s="177" t="s">
        <v>788</v>
      </c>
      <c r="W114" s="170" t="s">
        <v>74</v>
      </c>
      <c r="X114" s="170" t="s">
        <v>11</v>
      </c>
      <c r="Y114" s="178">
        <v>47.1</v>
      </c>
      <c r="Z114" s="170" t="s">
        <v>72</v>
      </c>
      <c r="AA114" s="170" t="s">
        <v>87</v>
      </c>
      <c r="AB114" s="170" t="s">
        <v>11</v>
      </c>
      <c r="AC114" s="170">
        <v>8.8000000000000007</v>
      </c>
      <c r="AD114" s="177"/>
      <c r="AG114" s="178"/>
      <c r="AL114" s="177"/>
      <c r="AO114" s="178"/>
      <c r="AP114" s="177"/>
      <c r="AS114" s="178"/>
      <c r="AW114" s="178"/>
      <c r="BA114" s="179"/>
    </row>
    <row r="115" spans="1:53" s="170" customFormat="1" x14ac:dyDescent="0.15">
      <c r="A115" s="170">
        <v>2013</v>
      </c>
      <c r="B115" s="281"/>
      <c r="C115" s="395" t="s">
        <v>796</v>
      </c>
      <c r="D115" s="395"/>
      <c r="E115" s="170">
        <v>0</v>
      </c>
      <c r="G115" s="232">
        <v>23</v>
      </c>
      <c r="J115" s="240">
        <v>23</v>
      </c>
      <c r="K115" s="213">
        <f t="shared" ref="K115:K124" si="13">G115/$J115*100</f>
        <v>100</v>
      </c>
      <c r="L115" s="213">
        <f t="shared" ref="L115:L124" si="14">H115/$J115*100</f>
        <v>0</v>
      </c>
      <c r="M115" s="213">
        <f t="shared" ref="M115:M124" si="15">I115/$J115*100</f>
        <v>0</v>
      </c>
      <c r="N115" s="234">
        <f t="shared" ref="N115:N124" si="16">K115+L115+M115</f>
        <v>100</v>
      </c>
      <c r="O115" s="212">
        <v>55.9</v>
      </c>
      <c r="P115" s="213"/>
      <c r="Q115" s="213"/>
      <c r="R115" s="214">
        <f t="shared" si="12"/>
        <v>55.9</v>
      </c>
      <c r="S115" s="170">
        <v>2</v>
      </c>
      <c r="T115" s="283"/>
      <c r="U115" s="281"/>
      <c r="V115" s="177" t="s">
        <v>788</v>
      </c>
      <c r="W115" s="170" t="s">
        <v>74</v>
      </c>
      <c r="X115" s="170" t="s">
        <v>11</v>
      </c>
      <c r="Y115" s="178">
        <v>47.1</v>
      </c>
      <c r="Z115" s="170" t="s">
        <v>72</v>
      </c>
      <c r="AA115" s="170" t="s">
        <v>87</v>
      </c>
      <c r="AB115" s="170" t="s">
        <v>11</v>
      </c>
      <c r="AC115" s="170">
        <v>8.8000000000000007</v>
      </c>
      <c r="AD115" s="177"/>
      <c r="AG115" s="178"/>
      <c r="AL115" s="177"/>
      <c r="AO115" s="178"/>
      <c r="AP115" s="177"/>
      <c r="AS115" s="178"/>
      <c r="AW115" s="178"/>
      <c r="BA115" s="179"/>
    </row>
    <row r="116" spans="1:53" s="170" customFormat="1" x14ac:dyDescent="0.15">
      <c r="A116" s="170">
        <v>2013</v>
      </c>
      <c r="B116" s="281"/>
      <c r="C116" s="395" t="s">
        <v>796</v>
      </c>
      <c r="D116" s="395"/>
      <c r="E116" s="170">
        <v>365</v>
      </c>
      <c r="G116" s="232">
        <v>23</v>
      </c>
      <c r="J116" s="240">
        <v>23</v>
      </c>
      <c r="K116" s="213">
        <f t="shared" si="13"/>
        <v>100</v>
      </c>
      <c r="L116" s="213">
        <f t="shared" si="14"/>
        <v>0</v>
      </c>
      <c r="M116" s="213">
        <f t="shared" si="15"/>
        <v>0</v>
      </c>
      <c r="N116" s="234">
        <f t="shared" si="16"/>
        <v>100</v>
      </c>
      <c r="O116" s="212">
        <v>55.9</v>
      </c>
      <c r="P116" s="213"/>
      <c r="Q116" s="213"/>
      <c r="R116" s="214">
        <f t="shared" si="12"/>
        <v>55.9</v>
      </c>
      <c r="S116" s="170">
        <v>2</v>
      </c>
      <c r="T116" s="283"/>
      <c r="U116" s="281"/>
      <c r="V116" s="177" t="s">
        <v>788</v>
      </c>
      <c r="W116" s="170" t="s">
        <v>74</v>
      </c>
      <c r="X116" s="170" t="s">
        <v>11</v>
      </c>
      <c r="Y116" s="178">
        <v>47.1</v>
      </c>
      <c r="Z116" s="170" t="s">
        <v>72</v>
      </c>
      <c r="AA116" s="170" t="s">
        <v>87</v>
      </c>
      <c r="AB116" s="170" t="s">
        <v>11</v>
      </c>
      <c r="AC116" s="170">
        <v>8.8000000000000007</v>
      </c>
      <c r="AD116" s="177"/>
      <c r="AG116" s="178"/>
      <c r="AL116" s="177"/>
      <c r="AO116" s="178"/>
      <c r="AP116" s="177"/>
      <c r="AS116" s="178"/>
      <c r="AW116" s="178"/>
      <c r="BA116" s="179"/>
    </row>
    <row r="117" spans="1:53" s="170" customFormat="1" x14ac:dyDescent="0.15">
      <c r="A117" s="170">
        <v>2014</v>
      </c>
      <c r="B117" s="281"/>
      <c r="C117" s="395" t="s">
        <v>796</v>
      </c>
      <c r="D117" s="395"/>
      <c r="E117" s="170">
        <v>0</v>
      </c>
      <c r="G117" s="232">
        <v>23</v>
      </c>
      <c r="J117" s="240">
        <v>23</v>
      </c>
      <c r="K117" s="213">
        <f t="shared" si="13"/>
        <v>100</v>
      </c>
      <c r="L117" s="213">
        <f t="shared" si="14"/>
        <v>0</v>
      </c>
      <c r="M117" s="213">
        <f t="shared" si="15"/>
        <v>0</v>
      </c>
      <c r="N117" s="234">
        <f t="shared" si="16"/>
        <v>100</v>
      </c>
      <c r="O117" s="212">
        <v>55.9</v>
      </c>
      <c r="P117" s="213"/>
      <c r="Q117" s="213"/>
      <c r="R117" s="214">
        <f t="shared" si="12"/>
        <v>55.9</v>
      </c>
      <c r="S117" s="170">
        <v>2</v>
      </c>
      <c r="T117" s="283"/>
      <c r="U117" s="281"/>
      <c r="V117" s="177" t="s">
        <v>788</v>
      </c>
      <c r="W117" s="170" t="s">
        <v>74</v>
      </c>
      <c r="X117" s="170" t="s">
        <v>11</v>
      </c>
      <c r="Y117" s="178">
        <v>47.1</v>
      </c>
      <c r="Z117" s="170" t="s">
        <v>72</v>
      </c>
      <c r="AA117" s="170" t="s">
        <v>87</v>
      </c>
      <c r="AB117" s="170" t="s">
        <v>11</v>
      </c>
      <c r="AC117" s="170">
        <v>8.8000000000000007</v>
      </c>
      <c r="AD117" s="177"/>
      <c r="AG117" s="178"/>
      <c r="AL117" s="177"/>
      <c r="AO117" s="178"/>
      <c r="AP117" s="177"/>
      <c r="AS117" s="178"/>
      <c r="AW117" s="178"/>
      <c r="BA117" s="179"/>
    </row>
    <row r="118" spans="1:53" s="170" customFormat="1" ht="8.25" customHeight="1" x14ac:dyDescent="0.15">
      <c r="A118" s="170">
        <v>2014</v>
      </c>
      <c r="B118" s="281"/>
      <c r="C118" s="395" t="s">
        <v>796</v>
      </c>
      <c r="D118" s="395"/>
      <c r="E118" s="170">
        <v>365</v>
      </c>
      <c r="G118" s="232">
        <v>23</v>
      </c>
      <c r="J118" s="240">
        <v>23</v>
      </c>
      <c r="K118" s="213">
        <f t="shared" si="13"/>
        <v>100</v>
      </c>
      <c r="L118" s="213">
        <f t="shared" si="14"/>
        <v>0</v>
      </c>
      <c r="M118" s="213">
        <f t="shared" si="15"/>
        <v>0</v>
      </c>
      <c r="N118" s="234">
        <f t="shared" si="16"/>
        <v>100</v>
      </c>
      <c r="O118" s="212">
        <v>55.9</v>
      </c>
      <c r="P118" s="213"/>
      <c r="Q118" s="213"/>
      <c r="R118" s="214">
        <f t="shared" si="12"/>
        <v>55.9</v>
      </c>
      <c r="S118" s="170">
        <v>2</v>
      </c>
      <c r="T118" s="283"/>
      <c r="U118" s="281"/>
      <c r="V118" s="177" t="s">
        <v>788</v>
      </c>
      <c r="W118" s="170" t="s">
        <v>74</v>
      </c>
      <c r="X118" s="170" t="s">
        <v>11</v>
      </c>
      <c r="Y118" s="178">
        <v>47.1</v>
      </c>
      <c r="Z118" s="170" t="s">
        <v>72</v>
      </c>
      <c r="AA118" s="170" t="s">
        <v>87</v>
      </c>
      <c r="AB118" s="170" t="s">
        <v>11</v>
      </c>
      <c r="AC118" s="170">
        <v>8.8000000000000007</v>
      </c>
      <c r="AD118" s="177"/>
      <c r="AG118" s="178"/>
      <c r="AL118" s="177"/>
      <c r="AO118" s="178"/>
      <c r="AP118" s="177"/>
      <c r="AS118" s="178"/>
      <c r="AW118" s="178"/>
      <c r="BA118" s="179"/>
    </row>
    <row r="119" spans="1:53" s="170" customFormat="1" x14ac:dyDescent="0.15">
      <c r="A119" s="170">
        <v>2015</v>
      </c>
      <c r="B119" s="281"/>
      <c r="C119" s="395" t="s">
        <v>796</v>
      </c>
      <c r="D119" s="395"/>
      <c r="E119" s="170">
        <v>127</v>
      </c>
      <c r="G119" s="232">
        <v>23</v>
      </c>
      <c r="J119" s="240">
        <v>23</v>
      </c>
      <c r="K119" s="213">
        <f t="shared" si="13"/>
        <v>100</v>
      </c>
      <c r="L119" s="213">
        <f t="shared" si="14"/>
        <v>0</v>
      </c>
      <c r="M119" s="213">
        <f t="shared" si="15"/>
        <v>0</v>
      </c>
      <c r="N119" s="234">
        <f t="shared" si="16"/>
        <v>100</v>
      </c>
      <c r="O119" s="212">
        <v>55.9</v>
      </c>
      <c r="P119" s="213"/>
      <c r="Q119" s="213"/>
      <c r="R119" s="214">
        <f t="shared" si="12"/>
        <v>55.9</v>
      </c>
      <c r="S119" s="170">
        <v>2</v>
      </c>
      <c r="T119" s="283"/>
      <c r="U119" s="281"/>
      <c r="V119" s="177" t="s">
        <v>788</v>
      </c>
      <c r="W119" s="170" t="s">
        <v>74</v>
      </c>
      <c r="X119" s="170" t="s">
        <v>11</v>
      </c>
      <c r="Y119" s="178">
        <v>47.1</v>
      </c>
      <c r="Z119" s="170" t="s">
        <v>72</v>
      </c>
      <c r="AA119" s="170" t="s">
        <v>87</v>
      </c>
      <c r="AB119" s="170" t="s">
        <v>11</v>
      </c>
      <c r="AC119" s="170">
        <v>8.8000000000000007</v>
      </c>
      <c r="AD119" s="177"/>
      <c r="AG119" s="178"/>
      <c r="AL119" s="177"/>
      <c r="AO119" s="178"/>
      <c r="AP119" s="177"/>
      <c r="AS119" s="178"/>
      <c r="AW119" s="178"/>
      <c r="BA119" s="179"/>
    </row>
    <row r="120" spans="1:53" s="28" customFormat="1" x14ac:dyDescent="0.15">
      <c r="A120" s="28">
        <v>2015</v>
      </c>
      <c r="B120" s="293">
        <v>42132</v>
      </c>
      <c r="C120" s="394" t="s">
        <v>1330</v>
      </c>
      <c r="D120" s="394"/>
      <c r="E120" s="28">
        <v>238</v>
      </c>
      <c r="F120" s="28">
        <v>1</v>
      </c>
      <c r="G120" s="65">
        <v>22</v>
      </c>
      <c r="J120" s="72">
        <v>22</v>
      </c>
      <c r="K120" s="46">
        <f t="shared" si="13"/>
        <v>100</v>
      </c>
      <c r="L120" s="46">
        <f t="shared" si="14"/>
        <v>0</v>
      </c>
      <c r="M120" s="46">
        <f t="shared" si="15"/>
        <v>0</v>
      </c>
      <c r="N120" s="67">
        <f t="shared" si="16"/>
        <v>100</v>
      </c>
      <c r="O120" s="45">
        <v>50.9</v>
      </c>
      <c r="P120" s="46"/>
      <c r="Q120" s="46"/>
      <c r="R120" s="47">
        <f t="shared" si="12"/>
        <v>50.9</v>
      </c>
      <c r="S120" s="28">
        <v>1</v>
      </c>
      <c r="T120" s="284">
        <v>42131</v>
      </c>
      <c r="U120" s="293">
        <v>42132</v>
      </c>
      <c r="V120" s="37" t="s">
        <v>788</v>
      </c>
      <c r="W120" s="28" t="s">
        <v>74</v>
      </c>
      <c r="X120" s="28" t="s">
        <v>11</v>
      </c>
      <c r="Y120" s="38">
        <v>50.9</v>
      </c>
      <c r="AD120" s="37"/>
      <c r="AG120" s="38"/>
      <c r="AL120" s="37"/>
      <c r="AO120" s="38"/>
      <c r="AP120" s="37"/>
      <c r="AS120" s="38"/>
      <c r="AW120" s="38"/>
      <c r="BA120" s="39"/>
    </row>
    <row r="121" spans="1:53" s="28" customFormat="1" x14ac:dyDescent="0.15">
      <c r="A121" s="28">
        <v>2016</v>
      </c>
      <c r="B121" s="293"/>
      <c r="C121" s="394" t="s">
        <v>1330</v>
      </c>
      <c r="D121" s="394"/>
      <c r="E121" s="28">
        <v>195</v>
      </c>
      <c r="G121" s="65">
        <v>22</v>
      </c>
      <c r="J121" s="72">
        <v>22</v>
      </c>
      <c r="K121" s="46">
        <f t="shared" si="13"/>
        <v>100</v>
      </c>
      <c r="L121" s="46">
        <f t="shared" si="14"/>
        <v>0</v>
      </c>
      <c r="M121" s="46">
        <f t="shared" si="15"/>
        <v>0</v>
      </c>
      <c r="N121" s="67">
        <f t="shared" si="16"/>
        <v>100</v>
      </c>
      <c r="O121" s="45">
        <v>50.9</v>
      </c>
      <c r="P121" s="46"/>
      <c r="Q121" s="46"/>
      <c r="R121" s="47">
        <f t="shared" si="12"/>
        <v>50.9</v>
      </c>
      <c r="S121" s="28">
        <v>1</v>
      </c>
      <c r="T121" s="284"/>
      <c r="U121" s="293"/>
      <c r="V121" s="37" t="s">
        <v>788</v>
      </c>
      <c r="W121" s="28" t="s">
        <v>74</v>
      </c>
      <c r="X121" s="28" t="s">
        <v>11</v>
      </c>
      <c r="Y121" s="38">
        <v>50.9</v>
      </c>
      <c r="AD121" s="37"/>
      <c r="AG121" s="38"/>
      <c r="AL121" s="37"/>
      <c r="AO121" s="38"/>
      <c r="AP121" s="37"/>
      <c r="AS121" s="38"/>
      <c r="AW121" s="38"/>
      <c r="BA121" s="39"/>
    </row>
    <row r="122" spans="1:53" s="170" customFormat="1" x14ac:dyDescent="0.15">
      <c r="A122" s="170">
        <v>2016</v>
      </c>
      <c r="B122" s="281">
        <v>42565</v>
      </c>
      <c r="C122" s="395" t="s">
        <v>1351</v>
      </c>
      <c r="D122" s="395"/>
      <c r="E122" s="170">
        <v>171</v>
      </c>
      <c r="F122" s="170">
        <v>2</v>
      </c>
      <c r="G122" s="232">
        <v>23</v>
      </c>
      <c r="J122" s="240">
        <v>23</v>
      </c>
      <c r="K122" s="213">
        <f t="shared" si="13"/>
        <v>100</v>
      </c>
      <c r="L122" s="213">
        <f t="shared" si="14"/>
        <v>0</v>
      </c>
      <c r="M122" s="213">
        <f t="shared" si="15"/>
        <v>0</v>
      </c>
      <c r="N122" s="234">
        <f t="shared" si="16"/>
        <v>100</v>
      </c>
      <c r="O122" s="212">
        <v>50.7</v>
      </c>
      <c r="P122" s="213"/>
      <c r="Q122" s="213"/>
      <c r="R122" s="214">
        <f t="shared" si="12"/>
        <v>50.7</v>
      </c>
      <c r="S122" s="170">
        <v>1</v>
      </c>
      <c r="T122" s="286"/>
      <c r="U122" s="286">
        <v>42565</v>
      </c>
      <c r="V122" s="177" t="s">
        <v>788</v>
      </c>
      <c r="W122" s="170" t="s">
        <v>74</v>
      </c>
      <c r="X122" s="170" t="s">
        <v>11</v>
      </c>
      <c r="Y122" s="178">
        <v>50.7</v>
      </c>
      <c r="AD122" s="177"/>
      <c r="AG122" s="178"/>
      <c r="AL122" s="177"/>
      <c r="AO122" s="178"/>
      <c r="AP122" s="177"/>
      <c r="AS122" s="178"/>
      <c r="AW122" s="178"/>
      <c r="BA122" s="179"/>
    </row>
    <row r="123" spans="1:53" s="170" customFormat="1" x14ac:dyDescent="0.15">
      <c r="A123" s="170">
        <v>2017</v>
      </c>
      <c r="B123" s="281"/>
      <c r="C123" s="395" t="s">
        <v>1351</v>
      </c>
      <c r="D123" s="395"/>
      <c r="E123" s="170">
        <v>161</v>
      </c>
      <c r="G123" s="232">
        <v>23</v>
      </c>
      <c r="J123" s="240">
        <v>23</v>
      </c>
      <c r="K123" s="213">
        <f t="shared" si="13"/>
        <v>100</v>
      </c>
      <c r="L123" s="213">
        <f t="shared" si="14"/>
        <v>0</v>
      </c>
      <c r="M123" s="213">
        <f t="shared" si="15"/>
        <v>0</v>
      </c>
      <c r="N123" s="234">
        <f t="shared" si="16"/>
        <v>100</v>
      </c>
      <c r="O123" s="212">
        <v>50.7</v>
      </c>
      <c r="P123" s="213"/>
      <c r="Q123" s="213"/>
      <c r="R123" s="214">
        <f t="shared" si="12"/>
        <v>50.7</v>
      </c>
      <c r="S123" s="170">
        <v>1</v>
      </c>
      <c r="T123" s="286"/>
      <c r="U123" s="286"/>
      <c r="V123" s="177" t="s">
        <v>788</v>
      </c>
      <c r="W123" s="170" t="s">
        <v>74</v>
      </c>
      <c r="X123" s="170" t="s">
        <v>11</v>
      </c>
      <c r="Y123" s="178">
        <v>50.7</v>
      </c>
      <c r="AD123" s="177"/>
      <c r="AG123" s="178"/>
      <c r="AL123" s="177"/>
      <c r="AO123" s="178"/>
      <c r="AP123" s="177"/>
      <c r="AS123" s="178"/>
      <c r="AW123" s="178"/>
      <c r="BA123" s="179"/>
    </row>
    <row r="124" spans="1:53" s="28" customFormat="1" x14ac:dyDescent="0.15">
      <c r="A124" s="28">
        <v>2017</v>
      </c>
      <c r="B124" s="293">
        <v>42897</v>
      </c>
      <c r="C124" s="394" t="s">
        <v>1383</v>
      </c>
      <c r="D124" s="394"/>
      <c r="E124" s="28">
        <v>204</v>
      </c>
      <c r="F124" s="28">
        <v>1</v>
      </c>
      <c r="G124" s="65">
        <v>23</v>
      </c>
      <c r="J124" s="72">
        <v>23</v>
      </c>
      <c r="K124" s="46">
        <f t="shared" si="13"/>
        <v>100</v>
      </c>
      <c r="L124" s="46">
        <f t="shared" si="14"/>
        <v>0</v>
      </c>
      <c r="M124" s="46">
        <f t="shared" si="15"/>
        <v>0</v>
      </c>
      <c r="N124" s="67">
        <f t="shared" si="16"/>
        <v>100</v>
      </c>
      <c r="O124" s="45">
        <v>48.8</v>
      </c>
      <c r="P124" s="46"/>
      <c r="Q124" s="46"/>
      <c r="R124" s="47">
        <f t="shared" si="12"/>
        <v>48.8</v>
      </c>
      <c r="S124" s="28">
        <v>4</v>
      </c>
      <c r="T124" s="284">
        <v>42894</v>
      </c>
      <c r="U124" s="293">
        <v>42897</v>
      </c>
      <c r="V124" s="37" t="s">
        <v>788</v>
      </c>
      <c r="W124" s="28" t="s">
        <v>74</v>
      </c>
      <c r="X124" s="28" t="s">
        <v>11</v>
      </c>
      <c r="Y124" s="38">
        <v>48.8</v>
      </c>
      <c r="AD124" s="37"/>
      <c r="AG124" s="38"/>
      <c r="AL124" s="37"/>
      <c r="AO124" s="38"/>
      <c r="AP124" s="37"/>
      <c r="AS124" s="38"/>
      <c r="AW124" s="38"/>
      <c r="BA124" s="39"/>
    </row>
    <row r="125" spans="1:53" s="28" customFormat="1" x14ac:dyDescent="0.15">
      <c r="A125" s="28">
        <v>2018</v>
      </c>
      <c r="B125" s="293"/>
      <c r="C125" s="394" t="s">
        <v>1383</v>
      </c>
      <c r="D125" s="394"/>
      <c r="E125" s="28">
        <v>0</v>
      </c>
      <c r="G125" s="65">
        <v>23</v>
      </c>
      <c r="J125" s="72">
        <v>23</v>
      </c>
      <c r="K125" s="46">
        <f t="shared" ref="K125:K126" si="17">G125/$J125*100</f>
        <v>100</v>
      </c>
      <c r="L125" s="46">
        <f t="shared" ref="L125:L126" si="18">H125/$J125*100</f>
        <v>0</v>
      </c>
      <c r="M125" s="46">
        <f t="shared" ref="M125:M126" si="19">I125/$J125*100</f>
        <v>0</v>
      </c>
      <c r="N125" s="67">
        <f t="shared" ref="N125:N126" si="20">K125+L125+M125</f>
        <v>100</v>
      </c>
      <c r="O125" s="45">
        <v>48.8</v>
      </c>
      <c r="P125" s="46"/>
      <c r="Q125" s="46"/>
      <c r="R125" s="47">
        <f t="shared" ref="R125:R126" si="21">O125+P125+Q125</f>
        <v>48.8</v>
      </c>
      <c r="S125" s="28">
        <v>4</v>
      </c>
      <c r="T125" s="284"/>
      <c r="U125" s="293"/>
      <c r="V125" s="37" t="s">
        <v>788</v>
      </c>
      <c r="W125" s="28" t="s">
        <v>74</v>
      </c>
      <c r="X125" s="28" t="s">
        <v>11</v>
      </c>
      <c r="Y125" s="38">
        <v>48.8</v>
      </c>
      <c r="AD125" s="37"/>
      <c r="AG125" s="38"/>
      <c r="AL125" s="37"/>
      <c r="AO125" s="38"/>
      <c r="AP125" s="37"/>
      <c r="AS125" s="38"/>
      <c r="AW125" s="38"/>
      <c r="BA125" s="39"/>
    </row>
    <row r="126" spans="1:53" s="28" customFormat="1" x14ac:dyDescent="0.15">
      <c r="A126" s="28">
        <v>2018</v>
      </c>
      <c r="B126" s="293"/>
      <c r="C126" s="394" t="s">
        <v>1383</v>
      </c>
      <c r="D126" s="394"/>
      <c r="E126" s="28">
        <v>365</v>
      </c>
      <c r="G126" s="65">
        <v>23</v>
      </c>
      <c r="J126" s="72">
        <v>23</v>
      </c>
      <c r="K126" s="46">
        <f t="shared" si="17"/>
        <v>100</v>
      </c>
      <c r="L126" s="46">
        <f t="shared" si="18"/>
        <v>0</v>
      </c>
      <c r="M126" s="46">
        <f t="shared" si="19"/>
        <v>0</v>
      </c>
      <c r="N126" s="67">
        <f t="shared" si="20"/>
        <v>100</v>
      </c>
      <c r="O126" s="45">
        <v>48.8</v>
      </c>
      <c r="P126" s="46"/>
      <c r="Q126" s="46"/>
      <c r="R126" s="47">
        <f t="shared" si="21"/>
        <v>48.8</v>
      </c>
      <c r="S126" s="28">
        <v>4</v>
      </c>
      <c r="T126" s="284"/>
      <c r="U126" s="293"/>
      <c r="V126" s="37" t="s">
        <v>788</v>
      </c>
      <c r="W126" s="28" t="s">
        <v>74</v>
      </c>
      <c r="X126" s="28" t="s">
        <v>11</v>
      </c>
      <c r="Y126" s="38">
        <v>48.8</v>
      </c>
      <c r="AD126" s="37"/>
      <c r="AG126" s="38"/>
      <c r="AL126" s="37"/>
      <c r="AO126" s="38"/>
      <c r="AP126" s="37"/>
      <c r="AS126" s="38"/>
      <c r="AW126" s="38"/>
      <c r="BA126" s="39"/>
    </row>
    <row r="127" spans="1:53" s="28" customFormat="1" x14ac:dyDescent="0.15">
      <c r="A127" s="28">
        <v>2019</v>
      </c>
      <c r="B127" s="293"/>
      <c r="C127" s="394" t="s">
        <v>1383</v>
      </c>
      <c r="D127" s="394"/>
      <c r="E127" s="28">
        <v>204</v>
      </c>
      <c r="G127" s="65">
        <v>23</v>
      </c>
      <c r="J127" s="72">
        <v>23</v>
      </c>
      <c r="K127" s="46">
        <f t="shared" ref="K127:K128" si="22">G127/$J127*100</f>
        <v>100</v>
      </c>
      <c r="L127" s="46">
        <f t="shared" ref="L127:L128" si="23">H127/$J127*100</f>
        <v>0</v>
      </c>
      <c r="M127" s="46">
        <f t="shared" ref="M127:M128" si="24">I127/$J127*100</f>
        <v>0</v>
      </c>
      <c r="N127" s="67">
        <f t="shared" ref="N127:N128" si="25">K127+L127+M127</f>
        <v>100</v>
      </c>
      <c r="O127" s="45">
        <v>48.8</v>
      </c>
      <c r="P127" s="46"/>
      <c r="Q127" s="46"/>
      <c r="R127" s="47">
        <f t="shared" ref="R127:R128" si="26">O127+P127+Q127</f>
        <v>48.8</v>
      </c>
      <c r="S127" s="28">
        <v>4</v>
      </c>
      <c r="T127" s="284"/>
      <c r="U127" s="293"/>
      <c r="V127" s="37" t="s">
        <v>788</v>
      </c>
      <c r="W127" s="28" t="s">
        <v>74</v>
      </c>
      <c r="X127" s="28" t="s">
        <v>11</v>
      </c>
      <c r="Y127" s="38">
        <v>48.8</v>
      </c>
      <c r="AD127" s="37"/>
      <c r="AG127" s="38"/>
      <c r="AL127" s="37"/>
      <c r="AO127" s="38"/>
      <c r="AP127" s="37"/>
      <c r="AS127" s="38"/>
      <c r="AW127" s="38"/>
      <c r="BA127" s="39"/>
    </row>
    <row r="128" spans="1:53" s="170" customFormat="1" x14ac:dyDescent="0.15">
      <c r="A128" s="170">
        <v>2019</v>
      </c>
      <c r="B128" s="281">
        <v>43670</v>
      </c>
      <c r="C128" s="395" t="s">
        <v>1430</v>
      </c>
      <c r="D128" s="395"/>
      <c r="E128" s="170">
        <v>142</v>
      </c>
      <c r="F128" s="170">
        <v>2</v>
      </c>
      <c r="G128" s="232">
        <v>24</v>
      </c>
      <c r="J128" s="240">
        <v>24</v>
      </c>
      <c r="K128" s="213">
        <f t="shared" si="22"/>
        <v>100</v>
      </c>
      <c r="L128" s="213">
        <f t="shared" si="23"/>
        <v>0</v>
      </c>
      <c r="M128" s="213">
        <f t="shared" si="24"/>
        <v>0</v>
      </c>
      <c r="N128" s="234">
        <f t="shared" si="25"/>
        <v>100</v>
      </c>
      <c r="O128" s="212">
        <v>45.8</v>
      </c>
      <c r="P128" s="213"/>
      <c r="Q128" s="213"/>
      <c r="R128" s="214">
        <f t="shared" si="26"/>
        <v>45.8</v>
      </c>
      <c r="S128" s="170">
        <v>4</v>
      </c>
      <c r="T128" s="286"/>
      <c r="U128" s="286">
        <v>43670</v>
      </c>
      <c r="V128" s="177" t="s">
        <v>788</v>
      </c>
      <c r="W128" s="170" t="s">
        <v>74</v>
      </c>
      <c r="X128" s="170" t="s">
        <v>11</v>
      </c>
      <c r="Y128" s="178">
        <v>45.8</v>
      </c>
      <c r="AD128" s="177"/>
      <c r="AG128" s="178"/>
      <c r="AL128" s="177"/>
      <c r="AO128" s="178"/>
      <c r="AP128" s="177"/>
      <c r="AS128" s="178"/>
      <c r="AW128" s="178"/>
      <c r="BA128" s="179"/>
    </row>
    <row r="129" spans="1:53" s="28" customFormat="1" x14ac:dyDescent="0.15">
      <c r="A129" s="28">
        <v>2019</v>
      </c>
      <c r="B129" s="293">
        <v>43812</v>
      </c>
      <c r="C129" s="394" t="s">
        <v>1431</v>
      </c>
      <c r="D129" s="394"/>
      <c r="E129" s="28">
        <v>19</v>
      </c>
      <c r="F129" s="39">
        <v>1</v>
      </c>
      <c r="G129" s="28">
        <v>24</v>
      </c>
      <c r="J129" s="72">
        <v>24</v>
      </c>
      <c r="K129" s="46">
        <f t="shared" ref="K129:K142" si="27">G129/$J129*100</f>
        <v>100</v>
      </c>
      <c r="L129" s="46">
        <f t="shared" ref="L129:L142" si="28">H129/$J129*100</f>
        <v>0</v>
      </c>
      <c r="M129" s="46">
        <f t="shared" ref="M129:M142" si="29">I129/$J129*100</f>
        <v>0</v>
      </c>
      <c r="N129" s="47">
        <f t="shared" ref="N129:N142" si="30">K129+L129+M129</f>
        <v>100</v>
      </c>
      <c r="O129" s="46">
        <v>56.2</v>
      </c>
      <c r="P129" s="46"/>
      <c r="Q129" s="46"/>
      <c r="R129" s="47">
        <f t="shared" ref="R129:R138" si="31">O129+P129+Q129</f>
        <v>56.2</v>
      </c>
      <c r="S129" s="28">
        <v>1</v>
      </c>
      <c r="T129" s="284">
        <v>43811</v>
      </c>
      <c r="U129" s="349">
        <v>43812</v>
      </c>
      <c r="V129" s="28" t="s">
        <v>788</v>
      </c>
      <c r="W129" s="28" t="s">
        <v>74</v>
      </c>
      <c r="X129" s="28" t="s">
        <v>11</v>
      </c>
      <c r="Y129" s="38">
        <v>56.2</v>
      </c>
      <c r="AC129" s="38"/>
      <c r="AG129" s="38"/>
      <c r="AK129" s="38"/>
      <c r="AO129" s="38"/>
      <c r="AS129" s="38"/>
      <c r="AW129" s="38"/>
      <c r="BA129" s="39"/>
    </row>
    <row r="130" spans="1:53" s="28" customFormat="1" x14ac:dyDescent="0.15">
      <c r="A130" s="28">
        <v>2020</v>
      </c>
      <c r="B130" s="293"/>
      <c r="C130" s="394" t="s">
        <v>1431</v>
      </c>
      <c r="D130" s="394"/>
      <c r="E130" s="28">
        <v>30</v>
      </c>
      <c r="F130" s="39"/>
      <c r="G130" s="28">
        <v>24</v>
      </c>
      <c r="J130" s="72">
        <v>24</v>
      </c>
      <c r="K130" s="46">
        <f t="shared" si="27"/>
        <v>100</v>
      </c>
      <c r="L130" s="46">
        <f t="shared" si="28"/>
        <v>0</v>
      </c>
      <c r="M130" s="46">
        <f t="shared" si="29"/>
        <v>0</v>
      </c>
      <c r="N130" s="47">
        <f t="shared" si="30"/>
        <v>100</v>
      </c>
      <c r="O130" s="46">
        <v>56.2</v>
      </c>
      <c r="P130" s="46"/>
      <c r="Q130" s="46"/>
      <c r="R130" s="47">
        <f t="shared" si="31"/>
        <v>56.2</v>
      </c>
      <c r="S130" s="39">
        <v>1</v>
      </c>
      <c r="T130" s="319"/>
      <c r="U130" s="349"/>
      <c r="V130" s="28" t="s">
        <v>788</v>
      </c>
      <c r="W130" s="28" t="s">
        <v>74</v>
      </c>
      <c r="X130" s="28" t="s">
        <v>11</v>
      </c>
      <c r="Y130" s="38">
        <v>56.2</v>
      </c>
      <c r="AC130" s="38"/>
      <c r="AG130" s="38"/>
      <c r="AK130" s="38"/>
      <c r="AO130" s="38"/>
      <c r="AS130" s="38"/>
      <c r="AW130" s="38"/>
      <c r="BA130" s="39"/>
    </row>
    <row r="131" spans="1:53" s="28" customFormat="1" x14ac:dyDescent="0.15">
      <c r="A131" s="28">
        <v>2020</v>
      </c>
      <c r="B131" s="301">
        <v>43861</v>
      </c>
      <c r="C131" s="394" t="s">
        <v>1431</v>
      </c>
      <c r="D131" s="394"/>
      <c r="E131" s="28">
        <v>12</v>
      </c>
      <c r="F131" s="340">
        <v>0</v>
      </c>
      <c r="G131" s="28">
        <v>23</v>
      </c>
      <c r="J131" s="72">
        <v>23</v>
      </c>
      <c r="K131" s="46">
        <f t="shared" si="27"/>
        <v>100</v>
      </c>
      <c r="L131" s="46">
        <f t="shared" si="28"/>
        <v>0</v>
      </c>
      <c r="M131" s="46">
        <f t="shared" si="29"/>
        <v>0</v>
      </c>
      <c r="N131" s="47">
        <f t="shared" si="30"/>
        <v>100</v>
      </c>
      <c r="O131" s="46">
        <v>56.2</v>
      </c>
      <c r="P131" s="46"/>
      <c r="Q131" s="46"/>
      <c r="R131" s="47">
        <f t="shared" si="31"/>
        <v>56.2</v>
      </c>
      <c r="S131" s="39">
        <v>1</v>
      </c>
      <c r="T131" s="319"/>
      <c r="U131" s="349"/>
      <c r="V131" s="28" t="s">
        <v>788</v>
      </c>
      <c r="W131" s="28" t="s">
        <v>74</v>
      </c>
      <c r="X131" s="28" t="s">
        <v>11</v>
      </c>
      <c r="Y131" s="38">
        <v>56.2</v>
      </c>
      <c r="AC131" s="38"/>
      <c r="AG131" s="38"/>
      <c r="AK131" s="38"/>
      <c r="AO131" s="38"/>
      <c r="AS131" s="38"/>
      <c r="AW131" s="38"/>
      <c r="BA131" s="39"/>
    </row>
    <row r="132" spans="1:53" s="28" customFormat="1" x14ac:dyDescent="0.15">
      <c r="A132" s="28">
        <v>2020</v>
      </c>
      <c r="B132" s="301">
        <v>43873</v>
      </c>
      <c r="C132" s="394" t="s">
        <v>1431</v>
      </c>
      <c r="D132" s="394"/>
      <c r="E132" s="28">
        <v>203</v>
      </c>
      <c r="F132" s="340">
        <v>0</v>
      </c>
      <c r="G132" s="28">
        <v>22</v>
      </c>
      <c r="J132" s="39">
        <v>22</v>
      </c>
      <c r="K132" s="28">
        <f t="shared" si="27"/>
        <v>100</v>
      </c>
      <c r="L132" s="28">
        <f t="shared" si="28"/>
        <v>0</v>
      </c>
      <c r="M132" s="28">
        <f t="shared" si="29"/>
        <v>0</v>
      </c>
      <c r="N132" s="39">
        <f t="shared" si="30"/>
        <v>100</v>
      </c>
      <c r="O132" s="28">
        <v>56.2</v>
      </c>
      <c r="R132" s="39">
        <f t="shared" si="31"/>
        <v>56.2</v>
      </c>
      <c r="S132" s="39">
        <v>1</v>
      </c>
      <c r="T132" s="39"/>
      <c r="U132" s="38"/>
      <c r="V132" s="28" t="s">
        <v>788</v>
      </c>
      <c r="W132" s="28" t="s">
        <v>74</v>
      </c>
      <c r="X132" s="28" t="s">
        <v>11</v>
      </c>
      <c r="Y132" s="38">
        <v>56.2</v>
      </c>
      <c r="AC132" s="38"/>
      <c r="AG132" s="38"/>
      <c r="AK132" s="38"/>
      <c r="AO132" s="38"/>
      <c r="AS132" s="38"/>
      <c r="AW132" s="38"/>
      <c r="BA132" s="39"/>
    </row>
    <row r="133" spans="1:53" s="28" customFormat="1" x14ac:dyDescent="0.15">
      <c r="A133" s="28">
        <v>2020</v>
      </c>
      <c r="B133" s="301">
        <v>44076</v>
      </c>
      <c r="C133" s="394" t="s">
        <v>1431</v>
      </c>
      <c r="D133" s="394"/>
      <c r="E133" s="28">
        <v>121</v>
      </c>
      <c r="F133" s="340">
        <v>0</v>
      </c>
      <c r="G133" s="28">
        <v>21</v>
      </c>
      <c r="J133" s="39">
        <v>21</v>
      </c>
      <c r="K133" s="28">
        <f t="shared" si="27"/>
        <v>100</v>
      </c>
      <c r="L133" s="28">
        <f t="shared" si="28"/>
        <v>0</v>
      </c>
      <c r="M133" s="28">
        <f t="shared" si="29"/>
        <v>0</v>
      </c>
      <c r="N133" s="39">
        <f t="shared" si="30"/>
        <v>100</v>
      </c>
      <c r="O133" s="28">
        <v>56.2</v>
      </c>
      <c r="R133" s="39">
        <f t="shared" si="31"/>
        <v>56.2</v>
      </c>
      <c r="S133" s="39">
        <v>1</v>
      </c>
      <c r="T133" s="39"/>
      <c r="U133" s="38"/>
      <c r="V133" s="28" t="s">
        <v>788</v>
      </c>
      <c r="W133" s="28" t="s">
        <v>74</v>
      </c>
      <c r="X133" s="28" t="s">
        <v>11</v>
      </c>
      <c r="Y133" s="38">
        <v>56.2</v>
      </c>
      <c r="AC133" s="38"/>
      <c r="AG133" s="38"/>
      <c r="AK133" s="38"/>
      <c r="AO133" s="38"/>
      <c r="AS133" s="38"/>
      <c r="AW133" s="38"/>
      <c r="BA133" s="39"/>
    </row>
    <row r="134" spans="1:53" s="28" customFormat="1" x14ac:dyDescent="0.15">
      <c r="A134" s="28">
        <v>2021</v>
      </c>
      <c r="C134" s="394" t="s">
        <v>1431</v>
      </c>
      <c r="D134" s="394"/>
      <c r="E134" s="28">
        <v>8</v>
      </c>
      <c r="F134" s="340"/>
      <c r="G134" s="28">
        <v>21</v>
      </c>
      <c r="J134" s="39">
        <v>21</v>
      </c>
      <c r="K134" s="28">
        <f t="shared" si="27"/>
        <v>100</v>
      </c>
      <c r="L134" s="28">
        <f t="shared" si="28"/>
        <v>0</v>
      </c>
      <c r="M134" s="28">
        <f t="shared" si="29"/>
        <v>0</v>
      </c>
      <c r="N134" s="39">
        <f t="shared" si="30"/>
        <v>100</v>
      </c>
      <c r="O134" s="28">
        <v>56.2</v>
      </c>
      <c r="R134" s="39">
        <f t="shared" si="31"/>
        <v>56.2</v>
      </c>
      <c r="S134" s="39">
        <v>1</v>
      </c>
      <c r="T134" s="39"/>
      <c r="U134" s="38"/>
      <c r="V134" s="28" t="s">
        <v>788</v>
      </c>
      <c r="W134" s="28" t="s">
        <v>74</v>
      </c>
      <c r="X134" s="28" t="s">
        <v>11</v>
      </c>
      <c r="Y134" s="38">
        <v>56.2</v>
      </c>
      <c r="AC134" s="38"/>
      <c r="AG134" s="38"/>
      <c r="AK134" s="38"/>
      <c r="AO134" s="38"/>
      <c r="AS134" s="38"/>
      <c r="AW134" s="38"/>
      <c r="BA134" s="39"/>
    </row>
    <row r="135" spans="1:53" s="28" customFormat="1" x14ac:dyDescent="0.15">
      <c r="A135" s="28">
        <v>2021</v>
      </c>
      <c r="B135" s="301">
        <v>44204</v>
      </c>
      <c r="C135" s="394" t="s">
        <v>1431</v>
      </c>
      <c r="D135" s="394"/>
      <c r="E135" s="28">
        <v>103</v>
      </c>
      <c r="F135" s="340">
        <v>0</v>
      </c>
      <c r="G135" s="28">
        <v>22</v>
      </c>
      <c r="J135" s="39">
        <v>22</v>
      </c>
      <c r="K135" s="28">
        <f t="shared" si="27"/>
        <v>100</v>
      </c>
      <c r="L135" s="28">
        <f t="shared" si="28"/>
        <v>0</v>
      </c>
      <c r="M135" s="28">
        <f t="shared" si="29"/>
        <v>0</v>
      </c>
      <c r="N135" s="39">
        <f t="shared" si="30"/>
        <v>100</v>
      </c>
      <c r="O135" s="28">
        <v>56.2</v>
      </c>
      <c r="R135" s="39">
        <f t="shared" si="31"/>
        <v>56.2</v>
      </c>
      <c r="S135" s="39">
        <v>1</v>
      </c>
      <c r="T135" s="39"/>
      <c r="U135" s="38"/>
      <c r="V135" s="28" t="s">
        <v>788</v>
      </c>
      <c r="W135" s="28" t="s">
        <v>74</v>
      </c>
      <c r="X135" s="28" t="s">
        <v>11</v>
      </c>
      <c r="Y135" s="38">
        <v>56.2</v>
      </c>
      <c r="AC135" s="38"/>
      <c r="AG135" s="38"/>
      <c r="AK135" s="38"/>
      <c r="AO135" s="38"/>
      <c r="AS135" s="38"/>
      <c r="AW135" s="38"/>
      <c r="BA135" s="39"/>
    </row>
    <row r="136" spans="1:53" s="28" customFormat="1" x14ac:dyDescent="0.15">
      <c r="A136" s="28">
        <v>2021</v>
      </c>
      <c r="B136" s="301">
        <v>44307</v>
      </c>
      <c r="C136" s="394" t="s">
        <v>1431</v>
      </c>
      <c r="D136" s="394"/>
      <c r="E136" s="28">
        <v>147</v>
      </c>
      <c r="F136" s="340">
        <v>0</v>
      </c>
      <c r="G136" s="28">
        <v>23</v>
      </c>
      <c r="J136" s="39">
        <v>23</v>
      </c>
      <c r="K136" s="28">
        <f t="shared" si="27"/>
        <v>100</v>
      </c>
      <c r="L136" s="28">
        <f t="shared" si="28"/>
        <v>0</v>
      </c>
      <c r="M136" s="28">
        <f t="shared" si="29"/>
        <v>0</v>
      </c>
      <c r="N136" s="39">
        <f t="shared" si="30"/>
        <v>100</v>
      </c>
      <c r="O136" s="28">
        <v>56.2</v>
      </c>
      <c r="R136" s="39">
        <f t="shared" si="31"/>
        <v>56.2</v>
      </c>
      <c r="S136" s="39">
        <v>1</v>
      </c>
      <c r="T136" s="39"/>
      <c r="U136" s="38"/>
      <c r="V136" s="28" t="s">
        <v>788</v>
      </c>
      <c r="W136" s="28" t="s">
        <v>74</v>
      </c>
      <c r="X136" s="28" t="s">
        <v>11</v>
      </c>
      <c r="Y136" s="38">
        <v>56.2</v>
      </c>
      <c r="AC136" s="38"/>
      <c r="AG136" s="38"/>
      <c r="AK136" s="38"/>
      <c r="AO136" s="38"/>
      <c r="AS136" s="38"/>
      <c r="AW136" s="38"/>
      <c r="BA136" s="39"/>
    </row>
    <row r="137" spans="1:53" s="28" customFormat="1" x14ac:dyDescent="0.15">
      <c r="A137" s="28">
        <v>2021</v>
      </c>
      <c r="B137" s="301">
        <v>44454</v>
      </c>
      <c r="C137" s="394" t="s">
        <v>1431</v>
      </c>
      <c r="D137" s="394"/>
      <c r="E137" s="28">
        <v>107</v>
      </c>
      <c r="F137" s="340">
        <v>0</v>
      </c>
      <c r="G137" s="28">
        <v>21</v>
      </c>
      <c r="J137" s="39">
        <v>21</v>
      </c>
      <c r="K137" s="28">
        <f t="shared" si="27"/>
        <v>100</v>
      </c>
      <c r="L137" s="28">
        <f t="shared" si="28"/>
        <v>0</v>
      </c>
      <c r="M137" s="28">
        <f t="shared" si="29"/>
        <v>0</v>
      </c>
      <c r="N137" s="39">
        <f t="shared" si="30"/>
        <v>100</v>
      </c>
      <c r="O137" s="28">
        <v>56.2</v>
      </c>
      <c r="R137" s="39">
        <f t="shared" si="31"/>
        <v>56.2</v>
      </c>
      <c r="S137" s="39">
        <v>1</v>
      </c>
      <c r="T137" s="39"/>
      <c r="U137" s="38"/>
      <c r="V137" s="28" t="s">
        <v>788</v>
      </c>
      <c r="W137" s="28" t="s">
        <v>74</v>
      </c>
      <c r="X137" s="28" t="s">
        <v>11</v>
      </c>
      <c r="Y137" s="38">
        <v>56.2</v>
      </c>
      <c r="AC137" s="38"/>
      <c r="AG137" s="38"/>
      <c r="AK137" s="38"/>
      <c r="AO137" s="38"/>
      <c r="AS137" s="38"/>
      <c r="AW137" s="38"/>
      <c r="BA137" s="39"/>
    </row>
    <row r="138" spans="1:53" s="28" customFormat="1" x14ac:dyDescent="0.15">
      <c r="A138" s="28">
        <v>2022</v>
      </c>
      <c r="B138" s="301"/>
      <c r="C138" s="394" t="s">
        <v>1431</v>
      </c>
      <c r="D138" s="394"/>
      <c r="E138" s="28">
        <v>38</v>
      </c>
      <c r="F138" s="340"/>
      <c r="G138" s="28">
        <v>22</v>
      </c>
      <c r="J138" s="39">
        <v>22</v>
      </c>
      <c r="K138" s="28">
        <f t="shared" si="27"/>
        <v>100</v>
      </c>
      <c r="L138" s="28">
        <f t="shared" si="28"/>
        <v>0</v>
      </c>
      <c r="M138" s="28">
        <f t="shared" si="29"/>
        <v>0</v>
      </c>
      <c r="N138" s="39">
        <f t="shared" si="30"/>
        <v>100</v>
      </c>
      <c r="O138" s="28">
        <v>56.2</v>
      </c>
      <c r="R138" s="39">
        <f t="shared" si="31"/>
        <v>56.2</v>
      </c>
      <c r="S138" s="39">
        <v>1</v>
      </c>
      <c r="T138" s="39"/>
      <c r="U138" s="38"/>
      <c r="V138" s="28" t="s">
        <v>788</v>
      </c>
      <c r="W138" s="28" t="s">
        <v>74</v>
      </c>
      <c r="X138" s="28" t="s">
        <v>11</v>
      </c>
      <c r="Y138" s="38">
        <v>56.2</v>
      </c>
      <c r="AC138" s="38"/>
      <c r="AG138" s="38"/>
      <c r="AK138" s="38"/>
      <c r="AO138" s="38"/>
      <c r="AS138" s="38"/>
      <c r="AW138" s="38"/>
      <c r="BA138" s="39"/>
    </row>
    <row r="139" spans="1:53" s="28" customFormat="1" x14ac:dyDescent="0.15">
      <c r="A139" s="28">
        <v>2022</v>
      </c>
      <c r="B139" s="301">
        <v>44600</v>
      </c>
      <c r="C139" s="394" t="s">
        <v>1431</v>
      </c>
      <c r="D139" s="394"/>
      <c r="E139" s="28">
        <v>136</v>
      </c>
      <c r="F139" s="340">
        <v>0</v>
      </c>
      <c r="G139" s="28">
        <v>23</v>
      </c>
      <c r="J139" s="39">
        <v>23</v>
      </c>
      <c r="K139" s="28">
        <f t="shared" si="27"/>
        <v>100</v>
      </c>
      <c r="L139" s="28">
        <f t="shared" si="28"/>
        <v>0</v>
      </c>
      <c r="M139" s="28">
        <f t="shared" si="29"/>
        <v>0</v>
      </c>
      <c r="N139" s="39">
        <f t="shared" si="30"/>
        <v>100</v>
      </c>
      <c r="O139" s="28">
        <v>56.2</v>
      </c>
      <c r="R139" s="39">
        <f t="shared" ref="R139:R142" si="32">O139+P139+Q139</f>
        <v>56.2</v>
      </c>
      <c r="S139" s="39">
        <v>1</v>
      </c>
      <c r="T139" s="39"/>
      <c r="U139" s="38"/>
      <c r="V139" s="28" t="s">
        <v>788</v>
      </c>
      <c r="W139" s="28" t="s">
        <v>74</v>
      </c>
      <c r="X139" s="28" t="s">
        <v>11</v>
      </c>
      <c r="Y139" s="38">
        <v>56.2</v>
      </c>
      <c r="AC139" s="38"/>
      <c r="AG139" s="38"/>
      <c r="AK139" s="38"/>
      <c r="AO139" s="38"/>
      <c r="AS139" s="38"/>
      <c r="AW139" s="38"/>
      <c r="BA139" s="39"/>
    </row>
    <row r="140" spans="1:53" s="28" customFormat="1" x14ac:dyDescent="0.15">
      <c r="A140" s="28">
        <v>2022</v>
      </c>
      <c r="B140" s="301">
        <v>44736</v>
      </c>
      <c r="C140" s="394" t="s">
        <v>1431</v>
      </c>
      <c r="D140" s="394"/>
      <c r="E140" s="28">
        <v>13</v>
      </c>
      <c r="F140" s="340">
        <v>0</v>
      </c>
      <c r="G140" s="28">
        <v>22</v>
      </c>
      <c r="J140" s="39">
        <v>22</v>
      </c>
      <c r="K140" s="28">
        <f t="shared" si="27"/>
        <v>100</v>
      </c>
      <c r="L140" s="28">
        <f t="shared" si="28"/>
        <v>0</v>
      </c>
      <c r="M140" s="28">
        <f t="shared" si="29"/>
        <v>0</v>
      </c>
      <c r="N140" s="39">
        <f t="shared" si="30"/>
        <v>100</v>
      </c>
      <c r="O140" s="28">
        <v>56.2</v>
      </c>
      <c r="R140" s="39">
        <f t="shared" si="32"/>
        <v>56.2</v>
      </c>
      <c r="S140" s="39">
        <v>1</v>
      </c>
      <c r="T140" s="39"/>
      <c r="U140" s="38"/>
      <c r="V140" s="28" t="s">
        <v>788</v>
      </c>
      <c r="W140" s="28" t="s">
        <v>74</v>
      </c>
      <c r="X140" s="28" t="s">
        <v>11</v>
      </c>
      <c r="Y140" s="38">
        <v>56.2</v>
      </c>
      <c r="AC140" s="38"/>
      <c r="AG140" s="38"/>
      <c r="AK140" s="38"/>
      <c r="AO140" s="38"/>
      <c r="AS140" s="38"/>
      <c r="AW140" s="38"/>
      <c r="BA140" s="39"/>
    </row>
    <row r="141" spans="1:53" s="28" customFormat="1" x14ac:dyDescent="0.15">
      <c r="A141" s="28">
        <v>2022</v>
      </c>
      <c r="B141" s="301">
        <v>44749</v>
      </c>
      <c r="C141" s="394" t="s">
        <v>1431</v>
      </c>
      <c r="D141" s="394"/>
      <c r="E141" s="28">
        <v>61</v>
      </c>
      <c r="F141" s="340">
        <v>0</v>
      </c>
      <c r="G141" s="28">
        <v>23</v>
      </c>
      <c r="J141" s="39">
        <v>23</v>
      </c>
      <c r="K141" s="28">
        <f t="shared" si="27"/>
        <v>100</v>
      </c>
      <c r="L141" s="28">
        <f t="shared" si="28"/>
        <v>0</v>
      </c>
      <c r="M141" s="28">
        <f t="shared" si="29"/>
        <v>0</v>
      </c>
      <c r="N141" s="39">
        <f t="shared" si="30"/>
        <v>100</v>
      </c>
      <c r="O141" s="28">
        <v>56.2</v>
      </c>
      <c r="R141" s="39">
        <f t="shared" si="32"/>
        <v>56.2</v>
      </c>
      <c r="S141" s="39">
        <v>1</v>
      </c>
      <c r="T141" s="39"/>
      <c r="U141" s="38"/>
      <c r="V141" s="28" t="s">
        <v>788</v>
      </c>
      <c r="W141" s="28" t="s">
        <v>74</v>
      </c>
      <c r="X141" s="28" t="s">
        <v>11</v>
      </c>
      <c r="Y141" s="38">
        <v>56.2</v>
      </c>
      <c r="AC141" s="38"/>
      <c r="AG141" s="38"/>
      <c r="AK141" s="38"/>
      <c r="AO141" s="38"/>
      <c r="AS141" s="38"/>
      <c r="AW141" s="38"/>
      <c r="BA141" s="39"/>
    </row>
    <row r="142" spans="1:53" s="170" customFormat="1" x14ac:dyDescent="0.15">
      <c r="A142" s="170">
        <v>2022</v>
      </c>
      <c r="B142" s="281">
        <v>44810</v>
      </c>
      <c r="C142" s="395" t="s">
        <v>1534</v>
      </c>
      <c r="D142" s="395"/>
      <c r="E142" s="170">
        <v>49</v>
      </c>
      <c r="F142" s="170">
        <v>2</v>
      </c>
      <c r="G142" s="232">
        <v>23</v>
      </c>
      <c r="J142" s="240">
        <v>23</v>
      </c>
      <c r="K142" s="213">
        <f t="shared" si="27"/>
        <v>100</v>
      </c>
      <c r="L142" s="213">
        <f t="shared" si="28"/>
        <v>0</v>
      </c>
      <c r="M142" s="213">
        <f t="shared" si="29"/>
        <v>0</v>
      </c>
      <c r="N142" s="234">
        <f t="shared" si="30"/>
        <v>100</v>
      </c>
      <c r="O142" s="212">
        <v>54.9</v>
      </c>
      <c r="P142" s="213"/>
      <c r="Q142" s="213"/>
      <c r="R142" s="214">
        <f t="shared" si="32"/>
        <v>54.9</v>
      </c>
      <c r="S142" s="170">
        <v>1</v>
      </c>
      <c r="T142" s="286"/>
      <c r="U142" s="281">
        <v>44810</v>
      </c>
      <c r="V142" s="177" t="s">
        <v>788</v>
      </c>
      <c r="W142" s="170" t="s">
        <v>74</v>
      </c>
      <c r="X142" s="170" t="s">
        <v>11</v>
      </c>
      <c r="Y142" s="178">
        <v>54.9</v>
      </c>
      <c r="AD142" s="177"/>
      <c r="AG142" s="178"/>
      <c r="AL142" s="177"/>
      <c r="AO142" s="178"/>
      <c r="AP142" s="177"/>
      <c r="AS142" s="178"/>
      <c r="AW142" s="178"/>
      <c r="BA142" s="179"/>
    </row>
    <row r="143" spans="1:53" s="28" customFormat="1" x14ac:dyDescent="0.15">
      <c r="A143" s="28">
        <v>2022</v>
      </c>
      <c r="B143" s="293">
        <v>44859</v>
      </c>
      <c r="C143" s="394" t="s">
        <v>1535</v>
      </c>
      <c r="D143" s="394"/>
      <c r="E143" s="28">
        <v>12</v>
      </c>
      <c r="F143" s="39">
        <v>2</v>
      </c>
      <c r="G143" s="28">
        <v>23</v>
      </c>
      <c r="J143" s="39">
        <v>23</v>
      </c>
      <c r="K143" s="28">
        <f t="shared" ref="K143:M144" si="33">G143/$J143*100</f>
        <v>100</v>
      </c>
      <c r="L143" s="28">
        <f t="shared" si="33"/>
        <v>0</v>
      </c>
      <c r="M143" s="28">
        <f t="shared" si="33"/>
        <v>0</v>
      </c>
      <c r="N143" s="39">
        <f>K143+L143+M143</f>
        <v>100</v>
      </c>
      <c r="O143" s="28">
        <v>54.9</v>
      </c>
      <c r="R143" s="39">
        <f>O143+P143+Q143</f>
        <v>54.9</v>
      </c>
      <c r="S143" s="39">
        <v>1</v>
      </c>
      <c r="T143" s="39"/>
      <c r="U143" s="293">
        <v>44859</v>
      </c>
      <c r="V143" s="28" t="s">
        <v>788</v>
      </c>
      <c r="W143" s="28" t="s">
        <v>74</v>
      </c>
      <c r="X143" s="28" t="s">
        <v>11</v>
      </c>
      <c r="Y143" s="38">
        <v>54.9</v>
      </c>
      <c r="AC143" s="38"/>
      <c r="AG143" s="38"/>
      <c r="AK143" s="38"/>
      <c r="AO143" s="38"/>
      <c r="AS143" s="38"/>
      <c r="AW143" s="38"/>
      <c r="BA143" s="39"/>
    </row>
    <row r="144" spans="1:53" s="28" customFormat="1" x14ac:dyDescent="0.15">
      <c r="A144" s="28">
        <v>2022</v>
      </c>
      <c r="B144" s="301">
        <v>44871</v>
      </c>
      <c r="C144" s="394" t="s">
        <v>1535</v>
      </c>
      <c r="D144" s="394"/>
      <c r="E144" s="28">
        <v>56</v>
      </c>
      <c r="F144" s="340">
        <v>0</v>
      </c>
      <c r="G144" s="28">
        <v>22</v>
      </c>
      <c r="J144" s="39">
        <v>22</v>
      </c>
      <c r="K144" s="28">
        <f t="shared" si="33"/>
        <v>100</v>
      </c>
      <c r="L144" s="28">
        <f t="shared" si="33"/>
        <v>0</v>
      </c>
      <c r="M144" s="28">
        <f t="shared" si="33"/>
        <v>0</v>
      </c>
      <c r="N144" s="330">
        <f>K144+L144+M144</f>
        <v>100</v>
      </c>
      <c r="O144" s="28">
        <v>54.9</v>
      </c>
      <c r="R144" s="39">
        <f>O144+P144+Q144</f>
        <v>54.9</v>
      </c>
      <c r="S144" s="39">
        <v>1</v>
      </c>
      <c r="T144" s="39"/>
      <c r="U144" s="293"/>
      <c r="V144" s="28" t="s">
        <v>788</v>
      </c>
      <c r="W144" s="28" t="s">
        <v>74</v>
      </c>
      <c r="X144" s="28" t="s">
        <v>11</v>
      </c>
      <c r="Y144" s="38">
        <v>54.9</v>
      </c>
      <c r="AC144" s="38"/>
      <c r="AG144" s="38"/>
      <c r="AK144" s="38"/>
      <c r="AO144" s="38"/>
      <c r="AS144" s="38"/>
      <c r="AW144" s="38"/>
      <c r="BA144" s="39"/>
    </row>
    <row r="146" spans="1:30" ht="18" customHeight="1" x14ac:dyDescent="0.15">
      <c r="B146" s="15" t="s">
        <v>1262</v>
      </c>
      <c r="H146" s="4"/>
    </row>
    <row r="147" spans="1:30" ht="9" customHeight="1" x14ac:dyDescent="0.15">
      <c r="H147" s="4"/>
    </row>
    <row r="148" spans="1:30" s="194" customFormat="1" ht="9" customHeight="1" x14ac:dyDescent="0.15">
      <c r="A148" s="192"/>
      <c r="B148" s="193" t="s">
        <v>1213</v>
      </c>
      <c r="C148" s="193"/>
      <c r="D148" s="193"/>
      <c r="E148" s="193"/>
      <c r="F148" s="193"/>
      <c r="G148" s="193" t="s">
        <v>1214</v>
      </c>
      <c r="H148" s="193"/>
      <c r="I148" s="193"/>
      <c r="J148" s="193"/>
      <c r="K148" s="193"/>
      <c r="L148" s="193"/>
      <c r="M148" s="193"/>
      <c r="N148" s="193"/>
      <c r="R148" s="386" t="s">
        <v>1215</v>
      </c>
      <c r="S148" s="386"/>
      <c r="T148" s="386"/>
      <c r="U148" s="386"/>
      <c r="V148" s="386"/>
      <c r="W148" s="386"/>
      <c r="X148" s="195"/>
      <c r="Y148" s="195"/>
      <c r="AA148" s="195"/>
      <c r="AB148" s="195"/>
      <c r="AC148" s="195"/>
      <c r="AD148" s="195"/>
    </row>
    <row r="149" spans="1:30" s="199" customFormat="1" ht="9" customHeight="1" x14ac:dyDescent="0.15">
      <c r="A149" s="196"/>
      <c r="B149" s="197" t="s">
        <v>1217</v>
      </c>
      <c r="C149" s="198"/>
      <c r="D149" s="198"/>
      <c r="E149" s="198"/>
      <c r="F149" s="198"/>
      <c r="G149" s="197" t="s">
        <v>1216</v>
      </c>
      <c r="H149" s="198"/>
      <c r="I149" s="198"/>
      <c r="J149" s="198"/>
      <c r="K149" s="198"/>
      <c r="L149" s="198"/>
      <c r="M149" s="198"/>
      <c r="N149" s="198"/>
      <c r="R149" s="200" t="s">
        <v>1218</v>
      </c>
      <c r="S149" s="201"/>
      <c r="T149" s="202"/>
      <c r="U149" s="202"/>
      <c r="V149" s="202"/>
      <c r="W149" s="200" t="s">
        <v>1219</v>
      </c>
      <c r="X149" s="202"/>
      <c r="Y149" s="202"/>
      <c r="AA149" s="202"/>
      <c r="AB149" s="202"/>
      <c r="AC149" s="202"/>
      <c r="AD149" s="202"/>
    </row>
    <row r="150" spans="1:30" s="185" customFormat="1" ht="12" customHeight="1" x14ac:dyDescent="0.15">
      <c r="A150" s="203" t="s">
        <v>3</v>
      </c>
      <c r="B150" s="204" t="s">
        <v>8</v>
      </c>
      <c r="C150" s="204" t="s">
        <v>9</v>
      </c>
      <c r="D150" s="204" t="s">
        <v>10</v>
      </c>
      <c r="E150" s="205" t="s">
        <v>1193</v>
      </c>
      <c r="F150" s="204"/>
      <c r="G150" s="185" t="s">
        <v>3</v>
      </c>
      <c r="H150" s="387" t="s">
        <v>0</v>
      </c>
      <c r="I150" s="387"/>
      <c r="J150" s="387" t="s">
        <v>1</v>
      </c>
      <c r="K150" s="387"/>
      <c r="L150" s="387" t="s">
        <v>2</v>
      </c>
      <c r="M150" s="387"/>
      <c r="N150" s="388" t="s">
        <v>1193</v>
      </c>
      <c r="O150" s="388"/>
      <c r="P150" s="206"/>
      <c r="Q150" s="206"/>
      <c r="R150" s="207" t="s">
        <v>3</v>
      </c>
      <c r="S150" s="208" t="s">
        <v>135</v>
      </c>
      <c r="T150" s="206" t="s">
        <v>133</v>
      </c>
      <c r="U150" s="204" t="s">
        <v>134</v>
      </c>
      <c r="V150" s="206"/>
      <c r="W150" s="209" t="s">
        <v>26</v>
      </c>
    </row>
    <row r="151" spans="1:30" s="139" customFormat="1" x14ac:dyDescent="0.15">
      <c r="A151" s="139">
        <v>1959</v>
      </c>
      <c r="B151" s="142">
        <f>(K6*($E6/365)) + (K7*($E7/365))</f>
        <v>100</v>
      </c>
      <c r="C151" s="142">
        <f>(L6*($E6/365)) + (L7*($E7/365))</f>
        <v>0</v>
      </c>
      <c r="D151" s="142">
        <f>(M6*($E6/365)) + (M7*($E7/365))</f>
        <v>0</v>
      </c>
      <c r="E151" s="143">
        <f>B151+C151+D151</f>
        <v>100</v>
      </c>
      <c r="G151" s="139">
        <v>1959</v>
      </c>
      <c r="H151" s="396">
        <f>(O6/$R6*100*($E6/365))+(O7/$R7*100*($E7/365))</f>
        <v>100</v>
      </c>
      <c r="I151" s="396"/>
      <c r="J151" s="396">
        <f>(P6/$R6*100*($E6/365))+(P7/$R7*100*($E7/365))</f>
        <v>0</v>
      </c>
      <c r="K151" s="396"/>
      <c r="L151" s="396">
        <f>(Q6/$R6*100*($E6/365))+(Q7/$R7*100*($E7/365))</f>
        <v>0</v>
      </c>
      <c r="M151" s="396"/>
      <c r="N151" s="400">
        <f>H151+J151+L151</f>
        <v>100</v>
      </c>
      <c r="O151" s="400"/>
      <c r="R151" s="139">
        <v>1959</v>
      </c>
      <c r="S151" s="142">
        <f>(O6*($E6/365)) + (O7*($E7/365))</f>
        <v>52.789041095890411</v>
      </c>
      <c r="T151" s="142">
        <f>(P6*($E6/365)) + (P7*($E7/365))</f>
        <v>0</v>
      </c>
      <c r="U151" s="142">
        <f>(Q6*($E6/365)) + (Q7*($E7/365))</f>
        <v>0</v>
      </c>
      <c r="V151" s="142"/>
      <c r="W151" s="142">
        <f>S151+T151+U151</f>
        <v>52.789041095890411</v>
      </c>
    </row>
    <row r="152" spans="1:30" x14ac:dyDescent="0.15">
      <c r="A152" s="1">
        <v>1960</v>
      </c>
      <c r="B152" s="5">
        <f>(K8*($E8/366))+(K9*($E9/366))</f>
        <v>100</v>
      </c>
      <c r="C152" s="5">
        <f>(L8*($E8/366))+(L9*($E9/366))</f>
        <v>0</v>
      </c>
      <c r="D152" s="5">
        <f>(M8*($E8/366))+(M9*($E9/366))</f>
        <v>0</v>
      </c>
      <c r="E152" s="17">
        <f>B152+C152+D152</f>
        <v>100</v>
      </c>
      <c r="G152" s="1">
        <v>1960</v>
      </c>
      <c r="H152" s="392">
        <f>(O8/$R8*100*($E8/366))+(O9/$R9*100*($E9/366))</f>
        <v>100</v>
      </c>
      <c r="I152" s="392"/>
      <c r="J152" s="392">
        <f>(P8/$R8*100*($E8/366))+(P9/$R9*100*($E9/366))</f>
        <v>0</v>
      </c>
      <c r="K152" s="392"/>
      <c r="L152" s="392">
        <f>(Q8/$R8*100*($E8/366))+(Q9/$R9*100*($E9/366))</f>
        <v>0</v>
      </c>
      <c r="M152" s="392"/>
      <c r="N152" s="363">
        <f t="shared" ref="N152:N183" si="34">H152+J152+L152</f>
        <v>100</v>
      </c>
      <c r="O152" s="363"/>
      <c r="R152" s="1">
        <v>1960</v>
      </c>
      <c r="S152" s="5">
        <f>(O8*($E8/366))+(O9*($E9/366))</f>
        <v>57.9</v>
      </c>
      <c r="T152" s="5">
        <f>(P8*($E8/366))+(P9*($E9/366))</f>
        <v>0</v>
      </c>
      <c r="U152" s="5">
        <f>(Q8*($E8/366))+(Q9*($E9/366))</f>
        <v>0</v>
      </c>
      <c r="V152" s="5"/>
      <c r="W152" s="5">
        <f>S152+T152+U152</f>
        <v>57.9</v>
      </c>
    </row>
    <row r="153" spans="1:30" x14ac:dyDescent="0.15">
      <c r="A153" s="1">
        <v>1961</v>
      </c>
      <c r="B153" s="5">
        <f>(K10*($E10/365))+(K11*($E11/365))</f>
        <v>100</v>
      </c>
      <c r="C153" s="5">
        <f>(L10*($E10/365))+(L11*($E11/365))</f>
        <v>0</v>
      </c>
      <c r="D153" s="5">
        <f>(M10*($E10/365))+(M11*($E11/365))</f>
        <v>0</v>
      </c>
      <c r="E153" s="17">
        <f t="shared" ref="E153:E205" si="35">B153+C153+D153</f>
        <v>100</v>
      </c>
      <c r="G153" s="1">
        <v>1961</v>
      </c>
      <c r="H153" s="392">
        <f>(O10/$R10*100*($E10/365))+(O11/$R11*100*($E11/365))</f>
        <v>100</v>
      </c>
      <c r="I153" s="392"/>
      <c r="J153" s="392">
        <f>(P10/$R10*100*($E10/365))+(P11/$R11*100*($E11/365))</f>
        <v>0</v>
      </c>
      <c r="K153" s="392"/>
      <c r="L153" s="392">
        <f>(Q10/$R10*100*($E10/365))+(Q11/$R11*100*($E11/365))</f>
        <v>0</v>
      </c>
      <c r="M153" s="392"/>
      <c r="N153" s="363">
        <f t="shared" si="34"/>
        <v>100</v>
      </c>
      <c r="O153" s="363"/>
      <c r="R153" s="1">
        <v>1961</v>
      </c>
      <c r="S153" s="5">
        <f>(O10*($E10/365))+(O11*($E11/365))</f>
        <v>57.9</v>
      </c>
      <c r="T153" s="5">
        <f>(P10*($E10/365))+(P11*($E11/365))</f>
        <v>0</v>
      </c>
      <c r="U153" s="5">
        <f>(Q10*($E10/365))+(Q11*($E11/365))</f>
        <v>0</v>
      </c>
      <c r="V153" s="5"/>
      <c r="W153" s="5">
        <f t="shared" ref="W153:W205" si="36">S153+T153+U153</f>
        <v>57.9</v>
      </c>
    </row>
    <row r="154" spans="1:30" x14ac:dyDescent="0.15">
      <c r="A154" s="1">
        <v>1962</v>
      </c>
      <c r="B154" s="5">
        <f>(K12*($E12/365))+(K13*($E13/365))</f>
        <v>100</v>
      </c>
      <c r="C154" s="5">
        <f>(L12*($E12/365))+(L13*($E13/365))</f>
        <v>0</v>
      </c>
      <c r="D154" s="5">
        <f>(M12*($E12/365))+(M13*($E13/365))</f>
        <v>0</v>
      </c>
      <c r="E154" s="17">
        <f t="shared" si="35"/>
        <v>100</v>
      </c>
      <c r="G154" s="1">
        <v>1962</v>
      </c>
      <c r="H154" s="392">
        <f>(O12/$R12*100*($E12/365))+(O13/$R13*100*($E13/365))</f>
        <v>100</v>
      </c>
      <c r="I154" s="392"/>
      <c r="J154" s="392">
        <f>(P12/$R12*100*($E12/365))+(P13/$R13*100*($E13/365))</f>
        <v>0</v>
      </c>
      <c r="K154" s="392"/>
      <c r="L154" s="392">
        <f>(Q12/$R12*100*($E12/365))+(Q13/$R13*100*($E13/365))</f>
        <v>0</v>
      </c>
      <c r="M154" s="392"/>
      <c r="N154" s="363">
        <f t="shared" si="34"/>
        <v>100</v>
      </c>
      <c r="O154" s="363"/>
      <c r="R154" s="1">
        <v>1962</v>
      </c>
      <c r="S154" s="5">
        <f>(O12*($E12/365))+(O13*($E13/365))</f>
        <v>57.9</v>
      </c>
      <c r="T154" s="5">
        <f>(P12*($E12/365))+(P13*($E13/365))</f>
        <v>0</v>
      </c>
      <c r="U154" s="5">
        <f>(Q12*($E12/365))+(Q13*($E13/365))</f>
        <v>0</v>
      </c>
      <c r="V154" s="5"/>
      <c r="W154" s="5">
        <f t="shared" si="36"/>
        <v>57.9</v>
      </c>
    </row>
    <row r="155" spans="1:30" x14ac:dyDescent="0.15">
      <c r="A155" s="1">
        <v>1963</v>
      </c>
      <c r="B155" s="5">
        <f>(K14*($E14/365))+(K15*($E15/365))</f>
        <v>100</v>
      </c>
      <c r="C155" s="5">
        <f>(L14*($E14/365))+(L15*($E15/365))</f>
        <v>0</v>
      </c>
      <c r="D155" s="5">
        <f>(M14*($E14/365))+(M15*($E15/365))</f>
        <v>0</v>
      </c>
      <c r="E155" s="17">
        <f t="shared" si="35"/>
        <v>100</v>
      </c>
      <c r="G155" s="1">
        <v>1963</v>
      </c>
      <c r="H155" s="392">
        <f>(O14/$R14*100*($E14/365))+(O15/$R15*100*($E15/365))</f>
        <v>100</v>
      </c>
      <c r="I155" s="392"/>
      <c r="J155" s="392">
        <f>(P14/$R14*100*($E14/365))+(P15/$R15*100*($E15/365))</f>
        <v>0</v>
      </c>
      <c r="K155" s="392"/>
      <c r="L155" s="392">
        <f>(Q14/$R14*100*($E14/365))+(Q15/$R15*100*($E15/365))</f>
        <v>0</v>
      </c>
      <c r="M155" s="392"/>
      <c r="N155" s="363">
        <f t="shared" si="34"/>
        <v>100</v>
      </c>
      <c r="O155" s="363"/>
      <c r="R155" s="1">
        <v>1963</v>
      </c>
      <c r="S155" s="5">
        <f>(O14*($E14/365))+(O15*($E15/365))</f>
        <v>57.9</v>
      </c>
      <c r="T155" s="5">
        <f>(P14*($E14/365))+(P15*($E15/365))</f>
        <v>0</v>
      </c>
      <c r="U155" s="5">
        <f>(Q14*($E14/365))+(Q15*($E15/365))</f>
        <v>0</v>
      </c>
      <c r="V155" s="5"/>
      <c r="W155" s="5">
        <f t="shared" si="36"/>
        <v>57.9</v>
      </c>
    </row>
    <row r="156" spans="1:30" x14ac:dyDescent="0.15">
      <c r="A156" s="1">
        <v>1964</v>
      </c>
      <c r="B156" s="5">
        <f>(K16*($E16/366))+(K17*($E17/366))</f>
        <v>79.234972677595621</v>
      </c>
      <c r="C156" s="5">
        <f>(L16*($E16/366))+(L17*($E17/366))</f>
        <v>0</v>
      </c>
      <c r="D156" s="5">
        <f>(M16*($E16/366))+(M17*($E17/366))</f>
        <v>20.765027322404372</v>
      </c>
      <c r="E156" s="17">
        <f t="shared" si="35"/>
        <v>100</v>
      </c>
      <c r="G156" s="1">
        <v>1964</v>
      </c>
      <c r="H156" s="392">
        <f>(O16/$R16*100*($E16/366))+(O17/$R17*100*($E17/366))</f>
        <v>79.234972677595621</v>
      </c>
      <c r="I156" s="392"/>
      <c r="J156" s="392">
        <f>(P16/$R16*100*($E16/366))+(P17/$R17*100*($E17/366))</f>
        <v>0</v>
      </c>
      <c r="K156" s="392"/>
      <c r="L156" s="392">
        <f>(Q16/$R16*100*($E16/366))+(Q17/$R17*100*($E17/366))</f>
        <v>20.765027322404372</v>
      </c>
      <c r="M156" s="392"/>
      <c r="N156" s="363">
        <f t="shared" si="34"/>
        <v>100</v>
      </c>
      <c r="O156" s="363"/>
      <c r="R156" s="1">
        <v>1964</v>
      </c>
      <c r="S156" s="5">
        <f>(O16*($E16/366))+(O17*($E17/366))</f>
        <v>45.877049180327866</v>
      </c>
      <c r="T156" s="5">
        <f>(P16*($E16/366))+(P17*($E17/366))</f>
        <v>0</v>
      </c>
      <c r="U156" s="5">
        <f>(Q16*($E16/366))+(Q17*($E17/366))</f>
        <v>10.444808743169398</v>
      </c>
      <c r="V156" s="5"/>
      <c r="W156" s="5">
        <f t="shared" si="36"/>
        <v>56.321857923497262</v>
      </c>
    </row>
    <row r="157" spans="1:30" x14ac:dyDescent="0.15">
      <c r="A157" s="1">
        <v>1965</v>
      </c>
      <c r="B157" s="5">
        <f>(K18*($E18/365))+(K19*($E19/365))</f>
        <v>0</v>
      </c>
      <c r="C157" s="5">
        <f>(L18*($E18/365))+(L19*($E19/365))</f>
        <v>0</v>
      </c>
      <c r="D157" s="5">
        <f>(M18*($E18/365))+(M19*($E19/365))</f>
        <v>100</v>
      </c>
      <c r="E157" s="17">
        <f t="shared" si="35"/>
        <v>100</v>
      </c>
      <c r="G157" s="1">
        <v>1965</v>
      </c>
      <c r="H157" s="392">
        <f>(O18/$R18*100*($E18/365))+(O19/$R19*100*($E19/365))</f>
        <v>0</v>
      </c>
      <c r="I157" s="392"/>
      <c r="J157" s="392">
        <f>(P18/$R18*100*($E18/365))+(P19/$R19*100*($E19/365))</f>
        <v>0</v>
      </c>
      <c r="K157" s="392"/>
      <c r="L157" s="392">
        <f>(Q18/$R18*100*($E18/365))+(Q19/$R19*100*($E19/365))</f>
        <v>100</v>
      </c>
      <c r="M157" s="392"/>
      <c r="N157" s="363">
        <f t="shared" si="34"/>
        <v>100</v>
      </c>
      <c r="O157" s="363"/>
      <c r="R157" s="1">
        <v>1965</v>
      </c>
      <c r="S157" s="5">
        <f>(O18*($E18/365))+(O19*($E19/365))</f>
        <v>0</v>
      </c>
      <c r="T157" s="5">
        <f>(P18*($E18/365))+(P19*($E19/365))</f>
        <v>0</v>
      </c>
      <c r="U157" s="5">
        <f>(Q18*($E18/365))+(Q19*($E19/365))</f>
        <v>50.3</v>
      </c>
      <c r="V157" s="5"/>
      <c r="W157" s="5">
        <f t="shared" si="36"/>
        <v>50.3</v>
      </c>
    </row>
    <row r="158" spans="1:30" x14ac:dyDescent="0.15">
      <c r="A158" s="1">
        <v>1966</v>
      </c>
      <c r="B158" s="5">
        <f>(K20*($E20/365))+(K21*($E21/365))</f>
        <v>0</v>
      </c>
      <c r="C158" s="5">
        <f>(L20*($E20/365))+(L21*($E21/365))</f>
        <v>0</v>
      </c>
      <c r="D158" s="5">
        <f>(M20*($E20/365))+(M21*($E21/365))</f>
        <v>100</v>
      </c>
      <c r="E158" s="17">
        <f t="shared" si="35"/>
        <v>100</v>
      </c>
      <c r="G158" s="1">
        <v>1966</v>
      </c>
      <c r="H158" s="392">
        <f>(O20/$R20*100*($E20/365))+(O21/$R21*100*($E21/365))</f>
        <v>0</v>
      </c>
      <c r="I158" s="392"/>
      <c r="J158" s="392">
        <f>(P20/$R20*100*($E20/365))+(P21/$R21*100*($E21/365))</f>
        <v>0</v>
      </c>
      <c r="K158" s="392"/>
      <c r="L158" s="392">
        <f>(Q20/$R20*100*($E20/365))+(Q21/$R21*100*($E21/365))</f>
        <v>100</v>
      </c>
      <c r="M158" s="392"/>
      <c r="N158" s="363">
        <f t="shared" si="34"/>
        <v>100</v>
      </c>
      <c r="O158" s="363"/>
      <c r="R158" s="1">
        <v>1966</v>
      </c>
      <c r="S158" s="5">
        <f>(O20*($E20/365))+(O21*($E21/365))</f>
        <v>0</v>
      </c>
      <c r="T158" s="5">
        <f>(P20*($E20/365))+(P21*($E21/365))</f>
        <v>0</v>
      </c>
      <c r="U158" s="5">
        <f>(Q20*($E20/365))+(Q21*($E21/365))</f>
        <v>55.847945205479448</v>
      </c>
      <c r="V158" s="5"/>
      <c r="W158" s="5">
        <f t="shared" si="36"/>
        <v>55.847945205479448</v>
      </c>
    </row>
    <row r="159" spans="1:30" x14ac:dyDescent="0.15">
      <c r="A159" s="1">
        <v>1967</v>
      </c>
      <c r="B159" s="5">
        <f>(K22*($E22/365))+(K23*($E23/365))</f>
        <v>0</v>
      </c>
      <c r="C159" s="5">
        <f>(L22*($E22/365))+(L23*($E23/365))</f>
        <v>0</v>
      </c>
      <c r="D159" s="5">
        <f>(M22*($E22/365))+(M23*($E23/365))</f>
        <v>100</v>
      </c>
      <c r="E159" s="17">
        <f t="shared" si="35"/>
        <v>100</v>
      </c>
      <c r="G159" s="1">
        <v>1967</v>
      </c>
      <c r="H159" s="392">
        <f>(O22/$R22*100*($E22/365))+(O23/$R23*100*($E23/365))</f>
        <v>0</v>
      </c>
      <c r="I159" s="392"/>
      <c r="J159" s="392">
        <f>(P22/$R22*100*($E22/365))+(P23/$R23*100*($E23/365))</f>
        <v>0</v>
      </c>
      <c r="K159" s="392"/>
      <c r="L159" s="392">
        <f>(Q22/$R22*100*($E22/365))+(Q23/$R23*100*($E23/365))</f>
        <v>100</v>
      </c>
      <c r="M159" s="392"/>
      <c r="N159" s="363">
        <f t="shared" si="34"/>
        <v>100</v>
      </c>
      <c r="O159" s="363"/>
      <c r="R159" s="1">
        <v>1967</v>
      </c>
      <c r="S159" s="5">
        <f>(O22*($E22/365))+(O23*($E23/365))</f>
        <v>0</v>
      </c>
      <c r="T159" s="5">
        <f>(P22*($E22/365))+(P23*($E23/365))</f>
        <v>0</v>
      </c>
      <c r="U159" s="5">
        <f>(Q22*($E22/365))+(Q23*($E23/365))</f>
        <v>57.8</v>
      </c>
      <c r="V159" s="5"/>
      <c r="W159" s="5">
        <f t="shared" si="36"/>
        <v>57.8</v>
      </c>
    </row>
    <row r="160" spans="1:30" x14ac:dyDescent="0.15">
      <c r="A160" s="1">
        <v>1968</v>
      </c>
      <c r="B160" s="5">
        <f>(K24*($E24/366))+(K25*($E25/366))</f>
        <v>0</v>
      </c>
      <c r="C160" s="5">
        <f>(L24*($E24/366))+(L25*($E25/366))</f>
        <v>0</v>
      </c>
      <c r="D160" s="5">
        <f>(M24*($E24/366))+(M25*($E25/366))</f>
        <v>100</v>
      </c>
      <c r="E160" s="17">
        <f t="shared" si="35"/>
        <v>100</v>
      </c>
      <c r="G160" s="1">
        <v>1968</v>
      </c>
      <c r="H160" s="392">
        <f>(O24/$R24*100*($E24/366))+(O25/$R25*100*($E25/366))</f>
        <v>0</v>
      </c>
      <c r="I160" s="392"/>
      <c r="J160" s="392">
        <f>(P24/$R24*100*($E24/366))+(P25/$R25*100*($E25/366))</f>
        <v>0</v>
      </c>
      <c r="K160" s="392"/>
      <c r="L160" s="392">
        <f>(Q24/$R24*100*($E24/366))+(Q25/$R25*100*($E25/366))</f>
        <v>100</v>
      </c>
      <c r="M160" s="392"/>
      <c r="N160" s="363">
        <f t="shared" si="34"/>
        <v>100</v>
      </c>
      <c r="O160" s="363"/>
      <c r="R160" s="1">
        <v>1968</v>
      </c>
      <c r="S160" s="5">
        <f>(O24*($E24/366))+(O25*($E25/366))</f>
        <v>0</v>
      </c>
      <c r="T160" s="5">
        <f>(P24*($E24/366))+(P25*($E25/366))</f>
        <v>0</v>
      </c>
      <c r="U160" s="5">
        <f>(Q24*($E24/366))+(Q25*($E25/366))</f>
        <v>57.8</v>
      </c>
      <c r="V160" s="5"/>
      <c r="W160" s="5">
        <f t="shared" si="36"/>
        <v>57.8</v>
      </c>
    </row>
    <row r="161" spans="1:23" x14ac:dyDescent="0.15">
      <c r="A161" s="1">
        <v>1969</v>
      </c>
      <c r="B161" s="5">
        <f>(K26*($E26/365))+(K27*($E27/365))</f>
        <v>0</v>
      </c>
      <c r="C161" s="5">
        <f>(L26*($E26/365))+(L27*($E27/365))</f>
        <v>0</v>
      </c>
      <c r="D161" s="5">
        <f>(M26*($E26/365))+(M27*($E27/365))</f>
        <v>100</v>
      </c>
      <c r="E161" s="17">
        <f t="shared" si="35"/>
        <v>100</v>
      </c>
      <c r="G161" s="1">
        <v>1969</v>
      </c>
      <c r="H161" s="392">
        <f>(O26/$R26*100*($E26/365))+(O27/$R27*100*($E27/365))</f>
        <v>0</v>
      </c>
      <c r="I161" s="392"/>
      <c r="J161" s="392">
        <f>(P26/$R26*100*($E26/365))+(P27/$R27*100*($E27/365))</f>
        <v>0</v>
      </c>
      <c r="K161" s="392"/>
      <c r="L161" s="392">
        <f>(Q26/$R26*100*($E26/365))+(Q27/$R27*100*($E27/365))</f>
        <v>100</v>
      </c>
      <c r="M161" s="392"/>
      <c r="N161" s="363">
        <f t="shared" si="34"/>
        <v>100</v>
      </c>
      <c r="O161" s="363"/>
      <c r="R161" s="1">
        <v>1969</v>
      </c>
      <c r="S161" s="5">
        <f>(O26*($E26/365))+(O27*($E27/365))</f>
        <v>0</v>
      </c>
      <c r="T161" s="5">
        <f>(P26*($E26/365))+(P27*($E27/365))</f>
        <v>0</v>
      </c>
      <c r="U161" s="5">
        <f>(Q26*($E26/365))+(Q27*($E27/365))</f>
        <v>57.8</v>
      </c>
      <c r="V161" s="5"/>
      <c r="W161" s="5">
        <f t="shared" si="36"/>
        <v>57.8</v>
      </c>
    </row>
    <row r="162" spans="1:23" x14ac:dyDescent="0.15">
      <c r="A162" s="1">
        <v>1970</v>
      </c>
      <c r="B162" s="5">
        <f>(K28*($E28/365))+(K29*($E29/365))</f>
        <v>53.424657534246577</v>
      </c>
      <c r="C162" s="5">
        <f>(L28*($E28/365))+(L29*($E29/365))</f>
        <v>0</v>
      </c>
      <c r="D162" s="5">
        <f>(M28*($E28/365))+(M29*($E29/365))</f>
        <v>46.575342465753423</v>
      </c>
      <c r="E162" s="17">
        <f t="shared" si="35"/>
        <v>100</v>
      </c>
      <c r="G162" s="1">
        <v>1970</v>
      </c>
      <c r="H162" s="392">
        <f>(O28/$R28*100*($E28/365))+(O29/$R29*100*($E29/365))</f>
        <v>53.424657534246577</v>
      </c>
      <c r="I162" s="392"/>
      <c r="J162" s="392">
        <f>(P28/$R28*100*($E28/365))+(P29/$R29*100*($E29/365))</f>
        <v>0</v>
      </c>
      <c r="K162" s="392"/>
      <c r="L162" s="392">
        <f>(Q28/$R28*100*($E28/365))+(Q29/$R29*100*($E29/365))</f>
        <v>46.575342465753423</v>
      </c>
      <c r="M162" s="392"/>
      <c r="N162" s="363">
        <f t="shared" si="34"/>
        <v>100</v>
      </c>
      <c r="O162" s="363"/>
      <c r="R162" s="1">
        <v>1970</v>
      </c>
      <c r="S162" s="5">
        <f>(O28*($E28/365))+(O29*($E29/365))</f>
        <v>27.994520547945207</v>
      </c>
      <c r="T162" s="5">
        <f>(P28*($E28/365))+(P29*($E29/365))</f>
        <v>0</v>
      </c>
      <c r="U162" s="5">
        <f>(Q28*($E28/365))+(Q29*($E29/365))</f>
        <v>26.920547945205477</v>
      </c>
      <c r="V162" s="5"/>
      <c r="W162" s="5">
        <f t="shared" si="36"/>
        <v>54.915068493150685</v>
      </c>
    </row>
    <row r="163" spans="1:23" x14ac:dyDescent="0.15">
      <c r="A163" s="1">
        <v>1971</v>
      </c>
      <c r="B163" s="5">
        <f>(K30*($E30/365))+(K31*($E31/365))</f>
        <v>100</v>
      </c>
      <c r="C163" s="5">
        <f>(L30*($E30/365))+(L31*($E31/365))</f>
        <v>0</v>
      </c>
      <c r="D163" s="5">
        <f>(M30*($E30/365))+(M31*($E31/365))</f>
        <v>0</v>
      </c>
      <c r="E163" s="17">
        <f t="shared" si="35"/>
        <v>100</v>
      </c>
      <c r="G163" s="1">
        <v>1971</v>
      </c>
      <c r="H163" s="392">
        <f>(O30/$R30*100*($E30/365))+(O31/$R31*100*($E31/365))</f>
        <v>100</v>
      </c>
      <c r="I163" s="392"/>
      <c r="J163" s="392">
        <f>(P30/$R30*100*($E30/365))+(P31/$R31*100*($E31/365))</f>
        <v>0</v>
      </c>
      <c r="K163" s="392"/>
      <c r="L163" s="392">
        <f>(Q30/$R30*100*($E30/365))+(Q31/$R31*100*($E31/365))</f>
        <v>0</v>
      </c>
      <c r="M163" s="392"/>
      <c r="N163" s="363">
        <f t="shared" si="34"/>
        <v>100</v>
      </c>
      <c r="O163" s="363"/>
      <c r="R163" s="1">
        <v>1971</v>
      </c>
      <c r="S163" s="5">
        <f>(O30*($E30/365))+(O31*($E31/365))</f>
        <v>52.4</v>
      </c>
      <c r="T163" s="5">
        <f>(P30*($E30/365))+(P31*($E31/365))</f>
        <v>0</v>
      </c>
      <c r="U163" s="5">
        <f>(Q30*($E30/365))+(Q31*($E31/365))</f>
        <v>0</v>
      </c>
      <c r="V163" s="5"/>
      <c r="W163" s="5">
        <f t="shared" si="36"/>
        <v>52.4</v>
      </c>
    </row>
    <row r="164" spans="1:23" x14ac:dyDescent="0.15">
      <c r="A164" s="1">
        <v>1972</v>
      </c>
      <c r="B164" s="5">
        <f>(K32*($E32/366))+(K33*($E33/366))</f>
        <v>100</v>
      </c>
      <c r="C164" s="5">
        <f>(L32*($E32/366))+(L33*($E33/366))</f>
        <v>0</v>
      </c>
      <c r="D164" s="5">
        <f>(M32*($E32/366))+(M33*($E33/366))</f>
        <v>0</v>
      </c>
      <c r="E164" s="17">
        <f t="shared" si="35"/>
        <v>100</v>
      </c>
      <c r="G164" s="1">
        <v>1972</v>
      </c>
      <c r="H164" s="392">
        <f>(O32/$R32*100*($E32/366))+(O33/$R33*100*($E33/366))</f>
        <v>100</v>
      </c>
      <c r="I164" s="392"/>
      <c r="J164" s="392">
        <f>(P32/$R32*100*($E32/366))+(P33/$R33*100*($E33/366))</f>
        <v>0</v>
      </c>
      <c r="K164" s="392"/>
      <c r="L164" s="392">
        <f>(Q32/$R32*100*($E32/366))+(Q33/$R33*100*($E33/366))</f>
        <v>0</v>
      </c>
      <c r="M164" s="392"/>
      <c r="N164" s="363">
        <f t="shared" si="34"/>
        <v>100</v>
      </c>
      <c r="O164" s="363"/>
      <c r="R164" s="1">
        <v>1972</v>
      </c>
      <c r="S164" s="5">
        <f>(O32*($E32/366))+(O33*($E33/366))</f>
        <v>52.4</v>
      </c>
      <c r="T164" s="5">
        <f>(P32*($E32/366))+(P33*($E33/366))</f>
        <v>0</v>
      </c>
      <c r="U164" s="5">
        <f>(Q32*($E32/366))+(Q33*($E33/366))</f>
        <v>0</v>
      </c>
      <c r="V164" s="5"/>
      <c r="W164" s="5">
        <f t="shared" si="36"/>
        <v>52.4</v>
      </c>
    </row>
    <row r="165" spans="1:23" x14ac:dyDescent="0.15">
      <c r="A165" s="1">
        <v>1973</v>
      </c>
      <c r="B165" s="5">
        <f>(K34*($E34/365))+(K35*($E35/365))</f>
        <v>100</v>
      </c>
      <c r="C165" s="5">
        <f>(L34*($E34/365))+(L35*($E35/365))</f>
        <v>0</v>
      </c>
      <c r="D165" s="5">
        <f>(M34*($E34/365))+(M35*($E35/365))</f>
        <v>0</v>
      </c>
      <c r="E165" s="17">
        <f t="shared" si="35"/>
        <v>100</v>
      </c>
      <c r="G165" s="1">
        <v>1973</v>
      </c>
      <c r="H165" s="392">
        <f>(O34/$R34*100*($E34/365))+(O35/$R35*100*($E35/365))</f>
        <v>100</v>
      </c>
      <c r="I165" s="392"/>
      <c r="J165" s="392">
        <f>(P34/$R34*100*($E34/365))+(P35/$R35*100*($E35/365))</f>
        <v>0</v>
      </c>
      <c r="K165" s="392"/>
      <c r="L165" s="392">
        <f>(Q34/$R34*100*($E34/365))+(Q35/$R35*100*($E35/365))</f>
        <v>0</v>
      </c>
      <c r="M165" s="392"/>
      <c r="N165" s="363">
        <f t="shared" si="34"/>
        <v>100</v>
      </c>
      <c r="O165" s="363"/>
      <c r="R165" s="1">
        <v>1973</v>
      </c>
      <c r="S165" s="5">
        <f>(O34*($E34/365))+(O35*($E35/365))</f>
        <v>52.4</v>
      </c>
      <c r="T165" s="5">
        <f>(P34*($E34/365))+(P35*($E35/365))</f>
        <v>0</v>
      </c>
      <c r="U165" s="5">
        <f>(Q34*($E34/365))+(Q35*($E35/365))</f>
        <v>0</v>
      </c>
      <c r="V165" s="5"/>
      <c r="W165" s="5">
        <f t="shared" si="36"/>
        <v>52.4</v>
      </c>
    </row>
    <row r="166" spans="1:23" x14ac:dyDescent="0.15">
      <c r="A166" s="1">
        <v>1974</v>
      </c>
      <c r="B166" s="5">
        <f>(K36*($E36/365))+(K37*($E37/365))+(K38*($E38/365))</f>
        <v>17.260273972602739</v>
      </c>
      <c r="C166" s="5">
        <f>(L36*($E36/365))+(L37*($E37/365))+(L38*($E38/365))</f>
        <v>0</v>
      </c>
      <c r="D166" s="5">
        <f>(M36*($E36/365))+(M37*($E37/365))+(M38*($E38/365))</f>
        <v>82.739726027397268</v>
      </c>
      <c r="E166" s="17">
        <f t="shared" si="35"/>
        <v>100</v>
      </c>
      <c r="G166" s="1">
        <v>1974</v>
      </c>
      <c r="H166" s="392">
        <f>(O36/$R36*100*($E36/365))+(O37/$R37*100*($E37/365))+(O38/$R38*100*($E38/365))</f>
        <v>17.260273972602739</v>
      </c>
      <c r="I166" s="392"/>
      <c r="J166" s="392">
        <f>(P36/$R36*100*($E36/365))+(P37/$R37*100*($E37/365))+(P38/$R38*100*($E38/365))</f>
        <v>0</v>
      </c>
      <c r="K166" s="392"/>
      <c r="L166" s="392">
        <f>(Q36/$R36*100*($E36/365))+(Q37/$R37*100*($E37/365))+(Q38/$R38*100*($E38/365))</f>
        <v>82.739726027397268</v>
      </c>
      <c r="M166" s="392"/>
      <c r="N166" s="363">
        <f t="shared" si="34"/>
        <v>100</v>
      </c>
      <c r="O166" s="363"/>
      <c r="R166" s="1">
        <v>1974</v>
      </c>
      <c r="S166" s="5">
        <f>(O36*($E36/365))+(O37*($E37/365))+(O38*($E38/365))</f>
        <v>9.0443835616438353</v>
      </c>
      <c r="T166" s="5">
        <f>(P36*($E36/365))+(P37*($E37/365))+(P38*($E38/365))</f>
        <v>0</v>
      </c>
      <c r="U166" s="5">
        <f>(Q36*($E36/365))+(Q37*($E37/365))+(Q38*($E38/365))</f>
        <v>38.736712328767126</v>
      </c>
      <c r="V166" s="5"/>
      <c r="W166" s="5">
        <f t="shared" si="36"/>
        <v>47.78109589041096</v>
      </c>
    </row>
    <row r="167" spans="1:23" x14ac:dyDescent="0.15">
      <c r="A167" s="1">
        <v>1975</v>
      </c>
      <c r="B167" s="5">
        <f>(K39*($E39/365))+(K40*($E40/365))</f>
        <v>0</v>
      </c>
      <c r="C167" s="5">
        <f>(L39*($E39/365))+(L40*($E40/365))</f>
        <v>0</v>
      </c>
      <c r="D167" s="5">
        <f>(M39*($E39/365))+(M40*($E40/365))</f>
        <v>100</v>
      </c>
      <c r="E167" s="17">
        <f t="shared" si="35"/>
        <v>100</v>
      </c>
      <c r="G167" s="1">
        <v>1975</v>
      </c>
      <c r="H167" s="392">
        <f>(O39/$R39*100*($E39/365))+(O40/$R40*100*($E40/365))</f>
        <v>0</v>
      </c>
      <c r="I167" s="392"/>
      <c r="J167" s="392">
        <f>(P39/$R39*100*($E39/365))+(P40/$R40*100*($E40/365))</f>
        <v>0</v>
      </c>
      <c r="K167" s="392"/>
      <c r="L167" s="392">
        <f>(Q39/$R39*100*($E39/365))+(Q40/$R40*100*($E40/365))</f>
        <v>100</v>
      </c>
      <c r="M167" s="392"/>
      <c r="N167" s="363">
        <f t="shared" si="34"/>
        <v>100</v>
      </c>
      <c r="O167" s="363"/>
      <c r="R167" s="1">
        <v>1975</v>
      </c>
      <c r="S167" s="5">
        <f>(O39*($E39/365))+(O40*($E40/365))</f>
        <v>0</v>
      </c>
      <c r="T167" s="5">
        <f>(P39*($E39/365))+(P40*($E40/365))</f>
        <v>0</v>
      </c>
      <c r="U167" s="5">
        <f>(Q39*($E39/365))+(Q40*($E40/365))</f>
        <v>50.2</v>
      </c>
      <c r="V167" s="5"/>
      <c r="W167" s="5">
        <f t="shared" si="36"/>
        <v>50.2</v>
      </c>
    </row>
    <row r="168" spans="1:23" x14ac:dyDescent="0.15">
      <c r="A168" s="1">
        <v>1976</v>
      </c>
      <c r="B168" s="5">
        <f>(K41*($E41/366))+(K42*($E42/366))</f>
        <v>0</v>
      </c>
      <c r="C168" s="5">
        <f>(L41*($E41/366))+(L42*($E42/366))</f>
        <v>0</v>
      </c>
      <c r="D168" s="5">
        <f>(M41*($E41/366))+(M42*($E42/366))</f>
        <v>100</v>
      </c>
      <c r="E168" s="17">
        <f t="shared" si="35"/>
        <v>100</v>
      </c>
      <c r="G168" s="1">
        <v>1976</v>
      </c>
      <c r="H168" s="392">
        <f>(O41/$R41*100*($E41/366))+(O42/$R42*100*($E42/366))</f>
        <v>0</v>
      </c>
      <c r="I168" s="392"/>
      <c r="J168" s="392">
        <f>(P41/$R41*100*($E41/366))+(P42/$R42*100*($E42/366))</f>
        <v>0</v>
      </c>
      <c r="K168" s="392"/>
      <c r="L168" s="392">
        <f>(Q41/$R41*100*($E41/366))+(Q42/$R42*100*($E42/366))</f>
        <v>100</v>
      </c>
      <c r="M168" s="392"/>
      <c r="N168" s="363">
        <f t="shared" si="34"/>
        <v>100</v>
      </c>
      <c r="O168" s="363"/>
      <c r="R168" s="1">
        <v>1976</v>
      </c>
      <c r="S168" s="5">
        <f>(O41*($E41/366))+(O42*($E42/366))</f>
        <v>0</v>
      </c>
      <c r="T168" s="5">
        <f>(P41*($E41/366))+(P42*($E42/366))</f>
        <v>0</v>
      </c>
      <c r="U168" s="5">
        <f>(Q41*($E41/366))+(Q42*($E42/366))</f>
        <v>50.2</v>
      </c>
      <c r="V168" s="5"/>
      <c r="W168" s="5">
        <f t="shared" si="36"/>
        <v>50.2</v>
      </c>
    </row>
    <row r="169" spans="1:23" x14ac:dyDescent="0.15">
      <c r="A169" s="1">
        <v>1977</v>
      </c>
      <c r="B169" s="5">
        <f>(K43*($E43/365))+(K44*($E44/365))</f>
        <v>0</v>
      </c>
      <c r="C169" s="5">
        <f>(L43*($E43/365))+(L44*($E44/365))</f>
        <v>0</v>
      </c>
      <c r="D169" s="5">
        <f>(M43*($E43/365))+(M44*($E44/365))</f>
        <v>100</v>
      </c>
      <c r="E169" s="17">
        <f t="shared" si="35"/>
        <v>100</v>
      </c>
      <c r="G169" s="1">
        <v>1977</v>
      </c>
      <c r="H169" s="392">
        <f>(O43/$R43*100*($E43/365))+(O44/$R44*100*($E44/365))</f>
        <v>0</v>
      </c>
      <c r="I169" s="392"/>
      <c r="J169" s="392">
        <f>(P43/$R43*100*($E43/365))+(P44/$R44*100*($E44/365))</f>
        <v>0</v>
      </c>
      <c r="K169" s="392"/>
      <c r="L169" s="392">
        <f>(Q43/$R43*100*($E43/365))+(Q44/$R44*100*($E44/365))</f>
        <v>100</v>
      </c>
      <c r="M169" s="392"/>
      <c r="N169" s="363">
        <f t="shared" si="34"/>
        <v>100</v>
      </c>
      <c r="O169" s="363"/>
      <c r="R169" s="1">
        <v>1977</v>
      </c>
      <c r="S169" s="5">
        <f>(O43*($E43/365))+(O44*($E44/365))</f>
        <v>0</v>
      </c>
      <c r="T169" s="5">
        <f>(P43*($E43/365))+(P44*($E44/365))</f>
        <v>0</v>
      </c>
      <c r="U169" s="5">
        <f>(Q43*($E43/365))+(Q44*($E44/365))</f>
        <v>50.2</v>
      </c>
      <c r="V169" s="5"/>
      <c r="W169" s="5">
        <f t="shared" si="36"/>
        <v>50.2</v>
      </c>
    </row>
    <row r="170" spans="1:23" x14ac:dyDescent="0.15">
      <c r="A170" s="1">
        <v>1978</v>
      </c>
      <c r="B170" s="5">
        <f>(K45*($E45/365))+(K46*($E46/365))</f>
        <v>0</v>
      </c>
      <c r="C170" s="5">
        <f>(L45*($E45/365))+(L46*($E46/365))</f>
        <v>0</v>
      </c>
      <c r="D170" s="5">
        <f>(M45*($E45/365))+(M46*($E46/365))</f>
        <v>100</v>
      </c>
      <c r="E170" s="17">
        <f t="shared" si="35"/>
        <v>100</v>
      </c>
      <c r="G170" s="1">
        <v>1978</v>
      </c>
      <c r="H170" s="392">
        <f>(O45/$R45*100*($E45/365))+(O46/$R46*100*($E46/365))</f>
        <v>0</v>
      </c>
      <c r="I170" s="392"/>
      <c r="J170" s="392">
        <f>(P45/$R45*100*($E45/365))+(P46/$R46*100*($E46/365))</f>
        <v>0</v>
      </c>
      <c r="K170" s="392"/>
      <c r="L170" s="392">
        <f>(Q45/$R45*100*($E45/365))+(Q46/$R46*100*($E46/365))</f>
        <v>100</v>
      </c>
      <c r="M170" s="392"/>
      <c r="N170" s="363">
        <f t="shared" si="34"/>
        <v>100</v>
      </c>
      <c r="O170" s="363"/>
      <c r="R170" s="1">
        <v>1978</v>
      </c>
      <c r="S170" s="5">
        <f>(O45*($E45/365))+(O46*($E46/365))</f>
        <v>0</v>
      </c>
      <c r="T170" s="5">
        <f>(P45*($E45/365))+(P46*($E46/365))</f>
        <v>0</v>
      </c>
      <c r="U170" s="5">
        <f>(Q45*($E45/365))+(Q46*($E46/365))</f>
        <v>50.2</v>
      </c>
      <c r="V170" s="5"/>
      <c r="W170" s="5">
        <f t="shared" si="36"/>
        <v>50.2</v>
      </c>
    </row>
    <row r="171" spans="1:23" x14ac:dyDescent="0.15">
      <c r="A171" s="1">
        <v>1979</v>
      </c>
      <c r="B171" s="5">
        <f>(K47*($E47/365))+(K48*($E48/365))</f>
        <v>66.027397260273972</v>
      </c>
      <c r="C171" s="5">
        <f>(L47*($E47/365))+(L48*($E48/365))</f>
        <v>0</v>
      </c>
      <c r="D171" s="5">
        <f>(M47*($E47/365))+(M48*($E48/365))</f>
        <v>33.972602739726028</v>
      </c>
      <c r="E171" s="17">
        <f t="shared" si="35"/>
        <v>100</v>
      </c>
      <c r="G171" s="1">
        <v>1979</v>
      </c>
      <c r="H171" s="392">
        <f>(O47/$R47*100*($E47/365))+(O48/$R48*100*($E48/365))</f>
        <v>66.027397260273972</v>
      </c>
      <c r="I171" s="392"/>
      <c r="J171" s="392">
        <f>(P47/$R47*100*($E47/365))+(P48/$R48*100*($E48/365))</f>
        <v>0</v>
      </c>
      <c r="K171" s="392"/>
      <c r="L171" s="392">
        <f>(Q47/$R47*100*($E47/365))+(Q48/$R48*100*($E48/365))</f>
        <v>33.972602739726028</v>
      </c>
      <c r="M171" s="392"/>
      <c r="N171" s="363">
        <f t="shared" si="34"/>
        <v>100</v>
      </c>
      <c r="O171" s="363"/>
      <c r="R171" s="1">
        <v>1979</v>
      </c>
      <c r="S171" s="5">
        <f>(O47*($E47/365))+(O48*($E48/365))</f>
        <v>35.258630136986298</v>
      </c>
      <c r="T171" s="5">
        <f>(P47*($E47/365))+(P48*($E48/365))</f>
        <v>0</v>
      </c>
      <c r="U171" s="5">
        <f>(Q47*($E47/365))+(Q48*($E48/365))</f>
        <v>17.054246575342468</v>
      </c>
      <c r="V171" s="5"/>
      <c r="W171" s="5">
        <f t="shared" si="36"/>
        <v>52.312876712328766</v>
      </c>
    </row>
    <row r="172" spans="1:23" x14ac:dyDescent="0.15">
      <c r="A172" s="1">
        <v>1980</v>
      </c>
      <c r="B172" s="5">
        <f>(K49*($E49/366))+(K50*($E50/366))</f>
        <v>100</v>
      </c>
      <c r="C172" s="5">
        <f>(L49*($E49/366))+(L50*($E50/366))</f>
        <v>0</v>
      </c>
      <c r="D172" s="5">
        <f>(M49*($E49/366))+(M50*($E50/366))</f>
        <v>0</v>
      </c>
      <c r="E172" s="17">
        <f t="shared" si="35"/>
        <v>100</v>
      </c>
      <c r="G172" s="1">
        <v>1980</v>
      </c>
      <c r="H172" s="392">
        <f>(O49/$R49*100*($E49/366))+(O50/$R50*100*($E50/366))</f>
        <v>100</v>
      </c>
      <c r="I172" s="392"/>
      <c r="J172" s="392">
        <f>(P49/$R49*100*($E49/366))+(P50/$R50*100*($E50/366))</f>
        <v>0</v>
      </c>
      <c r="K172" s="392"/>
      <c r="L172" s="392">
        <f>(Q49/$R49*100*($E49/366))+(Q50/$R50*100*($E50/366))</f>
        <v>0</v>
      </c>
      <c r="M172" s="392"/>
      <c r="N172" s="363">
        <f t="shared" si="34"/>
        <v>100</v>
      </c>
      <c r="O172" s="363"/>
      <c r="R172" s="1">
        <v>1980</v>
      </c>
      <c r="S172" s="5">
        <f>(O49*($E49/366))+(O50*($E50/366))</f>
        <v>53.4</v>
      </c>
      <c r="T172" s="5">
        <f>(P49*($E49/366))+(P50*($E50/366))</f>
        <v>0</v>
      </c>
      <c r="U172" s="5">
        <f>(Q49*($E49/366))+(Q50*($E50/366))</f>
        <v>0</v>
      </c>
      <c r="V172" s="5"/>
      <c r="W172" s="5">
        <f t="shared" si="36"/>
        <v>53.4</v>
      </c>
    </row>
    <row r="173" spans="1:23" x14ac:dyDescent="0.15">
      <c r="A173" s="1">
        <v>1981</v>
      </c>
      <c r="B173" s="5">
        <f>(K51*($E51/365))+(K52*($E52/365))</f>
        <v>100</v>
      </c>
      <c r="C173" s="5">
        <f>(L51*($E51/365))+(L52*($E52/365))</f>
        <v>0</v>
      </c>
      <c r="D173" s="5">
        <f>(M51*($E51/365))+(M52*($E52/365))</f>
        <v>0</v>
      </c>
      <c r="E173" s="17">
        <f t="shared" si="35"/>
        <v>100</v>
      </c>
      <c r="G173" s="1">
        <v>1981</v>
      </c>
      <c r="H173" s="392">
        <f>(O51/$R51*100*($E51/365))+(O52/$R52*100*($E52/365))</f>
        <v>100</v>
      </c>
      <c r="I173" s="392"/>
      <c r="J173" s="392">
        <f>(P51/$R51*100*($E51/365))+(P52/$R52*100*($E52/365))</f>
        <v>0</v>
      </c>
      <c r="K173" s="392"/>
      <c r="L173" s="392">
        <f>(Q51/$R51*100*($E51/365))+(Q52/$R52*100*($E52/365))</f>
        <v>0</v>
      </c>
      <c r="M173" s="392"/>
      <c r="N173" s="363">
        <f t="shared" si="34"/>
        <v>100</v>
      </c>
      <c r="O173" s="363"/>
      <c r="R173" s="1">
        <v>1981</v>
      </c>
      <c r="S173" s="5">
        <f>(O51*($E51/365))+(O52*($E52/365))</f>
        <v>53.4</v>
      </c>
      <c r="T173" s="5">
        <f>(P51*($E51/365))+(P52*($E52/365))</f>
        <v>0</v>
      </c>
      <c r="U173" s="5">
        <f>(Q51*($E51/365))+(Q52*($E52/365))</f>
        <v>0</v>
      </c>
      <c r="V173" s="5"/>
      <c r="W173" s="5">
        <f t="shared" si="36"/>
        <v>53.4</v>
      </c>
    </row>
    <row r="174" spans="1:23" x14ac:dyDescent="0.15">
      <c r="A174" s="1">
        <v>1982</v>
      </c>
      <c r="B174" s="5">
        <f>(K53*($E53/365))+(K54*($E54/365))</f>
        <v>100</v>
      </c>
      <c r="C174" s="5">
        <f>(L53*($E53/365))+(L54*($E54/365))</f>
        <v>0</v>
      </c>
      <c r="D174" s="5">
        <f>(M53*($E53/365))+(M54*($E54/365))</f>
        <v>0</v>
      </c>
      <c r="E174" s="17">
        <f t="shared" si="35"/>
        <v>100</v>
      </c>
      <c r="G174" s="1">
        <v>1982</v>
      </c>
      <c r="H174" s="392">
        <f>(O53/$R53*100*($E53/365))+(O54/$R54*100*($E54/365))</f>
        <v>100</v>
      </c>
      <c r="I174" s="392"/>
      <c r="J174" s="392">
        <f>(P53/$R53*100*($E53/365))+(P54/$R54*100*($E54/365))</f>
        <v>0</v>
      </c>
      <c r="K174" s="392"/>
      <c r="L174" s="392">
        <f>(Q53/$R53*100*($E53/365))+(Q54/$R54*100*($E54/365))</f>
        <v>0</v>
      </c>
      <c r="M174" s="392"/>
      <c r="N174" s="363">
        <f t="shared" si="34"/>
        <v>100</v>
      </c>
      <c r="O174" s="363"/>
      <c r="R174" s="1">
        <v>1982</v>
      </c>
      <c r="S174" s="5">
        <f>(O53*($E53/365))+(O54*($E54/365))</f>
        <v>53.4</v>
      </c>
      <c r="T174" s="5">
        <f>(P53*($E53/365))+(P54*($E54/365))</f>
        <v>0</v>
      </c>
      <c r="U174" s="5">
        <f>(Q53*($E53/365))+(Q54*($E54/365))</f>
        <v>0</v>
      </c>
      <c r="V174" s="5"/>
      <c r="W174" s="5">
        <f t="shared" si="36"/>
        <v>53.4</v>
      </c>
    </row>
    <row r="175" spans="1:23" x14ac:dyDescent="0.15">
      <c r="A175" s="1">
        <v>1983</v>
      </c>
      <c r="B175" s="5">
        <f>(K55*($E55/365))+(K56*($E56/365))</f>
        <v>100</v>
      </c>
      <c r="C175" s="5">
        <f>(L55*($E55/365))+(L56*($E56/365))</f>
        <v>0</v>
      </c>
      <c r="D175" s="5">
        <f>(M55*($E55/365))+(M56*($E56/365))</f>
        <v>0</v>
      </c>
      <c r="E175" s="17">
        <f t="shared" si="35"/>
        <v>100</v>
      </c>
      <c r="G175" s="1">
        <v>1983</v>
      </c>
      <c r="H175" s="392">
        <f>(O55/$R55*100*($E55/365))+(O56/$R56*100*($E56/365))</f>
        <v>100</v>
      </c>
      <c r="I175" s="392"/>
      <c r="J175" s="392">
        <f>(P55/$R55*100*($E55/365))+(P56/$R56*100*($E56/365))</f>
        <v>0</v>
      </c>
      <c r="K175" s="392"/>
      <c r="L175" s="392">
        <f>(Q55/$R55*100*($E55/365))+(Q56/$R56*100*($E56/365))</f>
        <v>0</v>
      </c>
      <c r="M175" s="392"/>
      <c r="N175" s="363">
        <f t="shared" si="34"/>
        <v>100</v>
      </c>
      <c r="O175" s="363"/>
      <c r="R175" s="1">
        <v>1983</v>
      </c>
      <c r="S175" s="5">
        <f>(O55*($E55/365))+(O56*($E56/365))</f>
        <v>57.682465753424665</v>
      </c>
      <c r="T175" s="5">
        <f>(P55*($E55/365))+(P56*($E56/365))</f>
        <v>0</v>
      </c>
      <c r="U175" s="5">
        <f>(Q55*($E55/365))+(Q56*($E56/365))</f>
        <v>0</v>
      </c>
      <c r="V175" s="5"/>
      <c r="W175" s="5">
        <f t="shared" si="36"/>
        <v>57.682465753424665</v>
      </c>
    </row>
    <row r="176" spans="1:23" x14ac:dyDescent="0.15">
      <c r="A176" s="1">
        <v>1984</v>
      </c>
      <c r="B176" s="5">
        <f>(K57*($E57/366))+(K58*($E58/366))</f>
        <v>100</v>
      </c>
      <c r="C176" s="5">
        <f>(L57*($E57/366))+(L58*($E58/366))</f>
        <v>0</v>
      </c>
      <c r="D176" s="5">
        <f>(M57*($E57/366))+(M58*($E58/366))</f>
        <v>0</v>
      </c>
      <c r="E176" s="17">
        <f t="shared" si="35"/>
        <v>100</v>
      </c>
      <c r="G176" s="1">
        <v>1984</v>
      </c>
      <c r="H176" s="392">
        <f>(O57/$R57*100*($E57/366))+(O58/$R58*100*($E58/366))</f>
        <v>100</v>
      </c>
      <c r="I176" s="392"/>
      <c r="J176" s="392">
        <f>(P57/$R57*100*($E57/366))+(P58/$R58*100*($E58/366))</f>
        <v>0</v>
      </c>
      <c r="K176" s="392"/>
      <c r="L176" s="392">
        <f>(Q57/$R57*100*($E57/366))+(Q58/$R58*100*($E58/366))</f>
        <v>0</v>
      </c>
      <c r="M176" s="392"/>
      <c r="N176" s="363">
        <f t="shared" si="34"/>
        <v>100</v>
      </c>
      <c r="O176" s="363"/>
      <c r="R176" s="1">
        <v>1984</v>
      </c>
      <c r="S176" s="5">
        <f>(O57*($E57/366))+(O58*($E58/366))</f>
        <v>61.1</v>
      </c>
      <c r="T176" s="5">
        <f>(P57*($E57/366))+(P58*($E58/366))</f>
        <v>0</v>
      </c>
      <c r="U176" s="5">
        <f>(Q57*($E57/366))+(Q58*($E58/366))</f>
        <v>0</v>
      </c>
      <c r="V176" s="5"/>
      <c r="W176" s="5">
        <f t="shared" si="36"/>
        <v>61.1</v>
      </c>
    </row>
    <row r="177" spans="1:23" x14ac:dyDescent="0.15">
      <c r="A177" s="1">
        <v>1985</v>
      </c>
      <c r="B177" s="5">
        <f>(K59*($E59/365))+(K60*($E60/365))</f>
        <v>100</v>
      </c>
      <c r="C177" s="5">
        <f>(L59*($E59/365))+(L60*($E60/365))</f>
        <v>0</v>
      </c>
      <c r="D177" s="5">
        <f>(M59*($E59/365))+(M60*($E60/365))</f>
        <v>0</v>
      </c>
      <c r="E177" s="17">
        <f t="shared" si="35"/>
        <v>100</v>
      </c>
      <c r="G177" s="1">
        <v>1985</v>
      </c>
      <c r="H177" s="392">
        <f>(O59/$R59*100*($E59/365))+(O60/$R60*100*($E60/365))</f>
        <v>100</v>
      </c>
      <c r="I177" s="392"/>
      <c r="J177" s="392">
        <f>(P59/$R59*100*($E59/365))+(P60/$R60*100*($E60/365))</f>
        <v>0</v>
      </c>
      <c r="K177" s="392"/>
      <c r="L177" s="392">
        <f>(Q59/$R59*100*($E59/365))+(Q60/$R60*100*($E60/365))</f>
        <v>0</v>
      </c>
      <c r="M177" s="392"/>
      <c r="N177" s="363">
        <f t="shared" si="34"/>
        <v>100</v>
      </c>
      <c r="O177" s="363"/>
      <c r="R177" s="1">
        <v>1985</v>
      </c>
      <c r="S177" s="5">
        <f>(O59*($E59/365))+(O60*($E60/365))</f>
        <v>61.1</v>
      </c>
      <c r="T177" s="5">
        <f>(P59*($E59/365))+(P60*($E60/365))</f>
        <v>0</v>
      </c>
      <c r="U177" s="5">
        <f>(Q59*($E59/365))+(Q60*($E60/365))</f>
        <v>0</v>
      </c>
      <c r="V177" s="5"/>
      <c r="W177" s="5">
        <f t="shared" si="36"/>
        <v>61.1</v>
      </c>
    </row>
    <row r="178" spans="1:23" x14ac:dyDescent="0.15">
      <c r="A178" s="1">
        <v>1986</v>
      </c>
      <c r="B178" s="5">
        <f>(K61*($E61/365))+(K62*($E62/365))</f>
        <v>100</v>
      </c>
      <c r="C178" s="5">
        <f>(L61*($E61/365))+(L62*($E62/365))</f>
        <v>0</v>
      </c>
      <c r="D178" s="5">
        <f>(M61*($E61/365))+(M62*($E62/365))</f>
        <v>0</v>
      </c>
      <c r="E178" s="17">
        <f t="shared" si="35"/>
        <v>100</v>
      </c>
      <c r="G178" s="1">
        <v>1986</v>
      </c>
      <c r="H178" s="392">
        <f>(O61/$R61*100*($E61/365))+(O62/$R62*100*($E62/365))</f>
        <v>100</v>
      </c>
      <c r="I178" s="392"/>
      <c r="J178" s="392">
        <f>(P61/$R61*100*($E61/365))+(P62/$R62*100*($E62/365))</f>
        <v>0</v>
      </c>
      <c r="K178" s="392"/>
      <c r="L178" s="392">
        <f>(Q61/$R61*100*($E61/365))+(Q62/$R62*100*($E62/365))</f>
        <v>0</v>
      </c>
      <c r="M178" s="392"/>
      <c r="N178" s="363">
        <f t="shared" si="34"/>
        <v>100</v>
      </c>
      <c r="O178" s="363"/>
      <c r="R178" s="1">
        <v>1986</v>
      </c>
      <c r="S178" s="5">
        <f>(O61*($E61/365))+(O62*($E62/365))</f>
        <v>61.1</v>
      </c>
      <c r="T178" s="5">
        <f>(P61*($E61/365))+(P62*($E62/365))</f>
        <v>0</v>
      </c>
      <c r="U178" s="5">
        <f>(Q61*($E61/365))+(Q62*($E62/365))</f>
        <v>0</v>
      </c>
      <c r="V178" s="5"/>
      <c r="W178" s="5">
        <f t="shared" si="36"/>
        <v>61.1</v>
      </c>
    </row>
    <row r="179" spans="1:23" x14ac:dyDescent="0.15">
      <c r="A179" s="1">
        <v>1987</v>
      </c>
      <c r="B179" s="5">
        <f>(K63*($E63/365))+(K64*($E64/365))</f>
        <v>100</v>
      </c>
      <c r="C179" s="5">
        <f>(L63*($E63/365))+(L64*($E64/365))</f>
        <v>0</v>
      </c>
      <c r="D179" s="5">
        <f>(M63*($E63/365))+(M64*($E64/365))</f>
        <v>0</v>
      </c>
      <c r="E179" s="17">
        <f t="shared" si="35"/>
        <v>100</v>
      </c>
      <c r="G179" s="1">
        <v>1987</v>
      </c>
      <c r="H179" s="392">
        <f>(O63/$R63*100*($E63/365))+(O64/$R64*100*($E64/365))</f>
        <v>100</v>
      </c>
      <c r="I179" s="392"/>
      <c r="J179" s="392">
        <f>(P63/$R63*100*($E63/365))+(P64/$R64*100*($E64/365))</f>
        <v>0</v>
      </c>
      <c r="K179" s="392"/>
      <c r="L179" s="392">
        <f>(Q63/$R63*100*($E63/365))+(Q64/$R64*100*($E64/365))</f>
        <v>0</v>
      </c>
      <c r="M179" s="392"/>
      <c r="N179" s="363">
        <f t="shared" si="34"/>
        <v>100</v>
      </c>
      <c r="O179" s="363"/>
      <c r="R179" s="1">
        <v>1987</v>
      </c>
      <c r="S179" s="5">
        <f>(O63*($E63/365))+(O64*($E64/365))</f>
        <v>59.273698630136984</v>
      </c>
      <c r="T179" s="5">
        <f>(P63*($E63/365))+(P64*($E64/365))</f>
        <v>0</v>
      </c>
      <c r="U179" s="5">
        <f>(Q63*($E63/365))+(Q64*($E64/365))</f>
        <v>0</v>
      </c>
      <c r="V179" s="5"/>
      <c r="W179" s="5">
        <f t="shared" si="36"/>
        <v>59.273698630136984</v>
      </c>
    </row>
    <row r="180" spans="1:23" x14ac:dyDescent="0.15">
      <c r="A180" s="1">
        <v>1988</v>
      </c>
      <c r="B180" s="5">
        <f>(K65*($E65/366))+(K66*($E66/366))</f>
        <v>100</v>
      </c>
      <c r="C180" s="5">
        <f>(L65*($E65/366))+(L66*($E66/366))</f>
        <v>0</v>
      </c>
      <c r="D180" s="5">
        <f>(M65*($E65/366))+(M66*($E66/366))</f>
        <v>0</v>
      </c>
      <c r="E180" s="17">
        <f t="shared" si="35"/>
        <v>100</v>
      </c>
      <c r="G180" s="1">
        <v>1988</v>
      </c>
      <c r="H180" s="392">
        <f>(O65/$R65*100*($E65/366))+(O66/$R66*100*($E66/366))</f>
        <v>100</v>
      </c>
      <c r="I180" s="392"/>
      <c r="J180" s="392">
        <f>(P65/$R65*100*($E65/366))+(P66/$R66*100*($E66/366))</f>
        <v>0</v>
      </c>
      <c r="K180" s="392"/>
      <c r="L180" s="392">
        <f>(Q65/$R65*100*($E65/366))+(Q66/$R66*100*($E66/366))</f>
        <v>0</v>
      </c>
      <c r="M180" s="392"/>
      <c r="N180" s="363">
        <f t="shared" si="34"/>
        <v>100</v>
      </c>
      <c r="O180" s="363"/>
      <c r="R180" s="1">
        <v>1988</v>
      </c>
      <c r="S180" s="5">
        <f>(O65*($E65/366))+(O66*($E66/366))</f>
        <v>57.8</v>
      </c>
      <c r="T180" s="5">
        <f>(P65*($E65/366))+(P66*($E66/366))</f>
        <v>0</v>
      </c>
      <c r="U180" s="5">
        <f>(Q65*($E65/366))+(Q66*($E66/366))</f>
        <v>0</v>
      </c>
      <c r="V180" s="5"/>
      <c r="W180" s="5">
        <f t="shared" si="36"/>
        <v>57.8</v>
      </c>
    </row>
    <row r="181" spans="1:23" x14ac:dyDescent="0.15">
      <c r="A181" s="1">
        <v>1989</v>
      </c>
      <c r="B181" s="5">
        <f>(K67*($E67/365))+(K68*($E68/365))</f>
        <v>100</v>
      </c>
      <c r="C181" s="5">
        <f>(L67*($E67/365))+(L68*($E68/365))</f>
        <v>0</v>
      </c>
      <c r="D181" s="5">
        <f>(M67*($E67/365))+(M68*($E68/365))</f>
        <v>0</v>
      </c>
      <c r="E181" s="17">
        <f t="shared" si="35"/>
        <v>100</v>
      </c>
      <c r="G181" s="1">
        <v>1989</v>
      </c>
      <c r="H181" s="392">
        <f>(O67/$R67*100*($E67/365))+(O68/$R68*100*($E68/365))</f>
        <v>100</v>
      </c>
      <c r="I181" s="392"/>
      <c r="J181" s="392">
        <f>(P67/$R67*100*($E67/365))+(P68/$R68*100*($E68/365))</f>
        <v>0</v>
      </c>
      <c r="K181" s="392"/>
      <c r="L181" s="392">
        <f>(Q67/$R67*100*($E67/365))+(Q68/$R68*100*($E68/365))</f>
        <v>0</v>
      </c>
      <c r="M181" s="392"/>
      <c r="N181" s="363">
        <f t="shared" si="34"/>
        <v>100</v>
      </c>
      <c r="O181" s="363"/>
      <c r="R181" s="1">
        <v>1989</v>
      </c>
      <c r="S181" s="5">
        <f>(O67*($E67/365))+(O68*($E68/365))</f>
        <v>57.8</v>
      </c>
      <c r="T181" s="5">
        <f>(P67*($E67/365))+(P68*($E68/365))</f>
        <v>0</v>
      </c>
      <c r="U181" s="5">
        <f>(Q67*($E67/365))+(Q68*($E68/365))</f>
        <v>0</v>
      </c>
      <c r="V181" s="5"/>
      <c r="W181" s="5">
        <f t="shared" si="36"/>
        <v>57.8</v>
      </c>
    </row>
    <row r="182" spans="1:23" x14ac:dyDescent="0.15">
      <c r="A182" s="1">
        <v>1990</v>
      </c>
      <c r="B182" s="5">
        <f>(K69*($E69/365))+(K70*($E70/365))</f>
        <v>100</v>
      </c>
      <c r="C182" s="5">
        <f>(L69*($E69/365))+(L70*($E70/365))</f>
        <v>0</v>
      </c>
      <c r="D182" s="5">
        <f>(M69*($E69/365))+(M70*($E70/365))</f>
        <v>0</v>
      </c>
      <c r="E182" s="17">
        <f t="shared" si="35"/>
        <v>100</v>
      </c>
      <c r="G182" s="1">
        <v>1990</v>
      </c>
      <c r="H182" s="392">
        <f>(O69/$R69*100*($E69/365))+(O70/$R70*100*($E70/365))</f>
        <v>100</v>
      </c>
      <c r="I182" s="392"/>
      <c r="J182" s="392">
        <f>(P69/$R69*100*($E69/365))+(P70/$R70*100*($E70/365))</f>
        <v>0</v>
      </c>
      <c r="K182" s="392"/>
      <c r="L182" s="392">
        <f>(Q69/$R69*100*($E69/365))+(Q70/$R70*100*($E70/365))</f>
        <v>0</v>
      </c>
      <c r="M182" s="392"/>
      <c r="N182" s="363">
        <f t="shared" si="34"/>
        <v>100</v>
      </c>
      <c r="O182" s="363"/>
      <c r="R182" s="1">
        <v>1990</v>
      </c>
      <c r="S182" s="5">
        <f>(O69*($E69/365))+(O70*($E70/365))</f>
        <v>57.8</v>
      </c>
      <c r="T182" s="5">
        <f>(P69*($E69/365))+(P70*($E70/365))</f>
        <v>0</v>
      </c>
      <c r="U182" s="5">
        <f>(Q69*($E69/365))+(Q70*($E70/365))</f>
        <v>0</v>
      </c>
      <c r="V182" s="5"/>
      <c r="W182" s="5">
        <f t="shared" si="36"/>
        <v>57.8</v>
      </c>
    </row>
    <row r="183" spans="1:23" x14ac:dyDescent="0.15">
      <c r="A183" s="1">
        <v>1991</v>
      </c>
      <c r="B183" s="5">
        <f>(K71*($E71/365))+(K72*($E72/365))</f>
        <v>100</v>
      </c>
      <c r="C183" s="5">
        <f>(L71*($E71/365))+(L72*($E72/365))</f>
        <v>0</v>
      </c>
      <c r="D183" s="5">
        <f>(M71*($E71/365))+(M72*($E72/365))</f>
        <v>0</v>
      </c>
      <c r="E183" s="17">
        <f t="shared" si="35"/>
        <v>100</v>
      </c>
      <c r="G183" s="1">
        <v>1991</v>
      </c>
      <c r="H183" s="392">
        <f>(O71/$R71*100*($E71/365))+(O72/$R72*100*($E72/365))</f>
        <v>100</v>
      </c>
      <c r="I183" s="392"/>
      <c r="J183" s="392">
        <f>(P71/$R71*100*($E71/365))+(P72/$R72*100*($E72/365))</f>
        <v>0</v>
      </c>
      <c r="K183" s="392"/>
      <c r="L183" s="392">
        <f>(Q71/$R71*100*($E71/365))+(Q72/$R72*100*($E72/365))</f>
        <v>0</v>
      </c>
      <c r="M183" s="392"/>
      <c r="N183" s="363">
        <f t="shared" si="34"/>
        <v>100</v>
      </c>
      <c r="O183" s="363"/>
      <c r="R183" s="1">
        <v>1991</v>
      </c>
      <c r="S183" s="5">
        <f>(O71*($E71/365))+(O72*($E72/365))</f>
        <v>57.8</v>
      </c>
      <c r="T183" s="5">
        <f>(P71*($E71/365))+(P72*($E72/365))</f>
        <v>0</v>
      </c>
      <c r="U183" s="5">
        <f>(Q71*($E71/365))+(Q72*($E72/365))</f>
        <v>0</v>
      </c>
      <c r="V183" s="5"/>
      <c r="W183" s="5">
        <f t="shared" si="36"/>
        <v>57.8</v>
      </c>
    </row>
    <row r="184" spans="1:23" x14ac:dyDescent="0.15">
      <c r="A184" s="1">
        <v>1992</v>
      </c>
      <c r="B184" s="5">
        <f>(K73*($E73/366))+(K74*($E74/366))</f>
        <v>100</v>
      </c>
      <c r="C184" s="5">
        <f>(L73*($E73/366))+(L74*($E74/366))</f>
        <v>0</v>
      </c>
      <c r="D184" s="5">
        <f>(M73*($E73/366))+(M74*($E74/366))</f>
        <v>0</v>
      </c>
      <c r="E184" s="17">
        <f t="shared" si="35"/>
        <v>100</v>
      </c>
      <c r="G184" s="1">
        <v>1992</v>
      </c>
      <c r="H184" s="392">
        <f>(O73/$R73*100*($E73/366))+(O74/$R74*100*($E74/366))</f>
        <v>100</v>
      </c>
      <c r="I184" s="392"/>
      <c r="J184" s="392">
        <f>(P73/$R73*100*($E73/366))+(P74/$R74*100*($E74/366))</f>
        <v>0</v>
      </c>
      <c r="K184" s="392"/>
      <c r="L184" s="392">
        <f>(Q73/$R73*100*($E73/366))+(Q74/$R74*100*($E74/366))</f>
        <v>0</v>
      </c>
      <c r="M184" s="392"/>
      <c r="N184" s="363">
        <f t="shared" ref="N184:N204" si="37">H184+J184+L184</f>
        <v>100</v>
      </c>
      <c r="O184" s="363"/>
      <c r="R184" s="1">
        <v>1992</v>
      </c>
      <c r="S184" s="5">
        <f>(O73*($E73/366))+(O74*($E74/366))</f>
        <v>53.31092896174863</v>
      </c>
      <c r="T184" s="5">
        <f>(P73*($E73/366))+(P74*($E74/366))</f>
        <v>0</v>
      </c>
      <c r="U184" s="5">
        <f>(Q73*($E73/366))+(Q74*($E74/366))</f>
        <v>0</v>
      </c>
      <c r="V184" s="5"/>
      <c r="W184" s="5">
        <f t="shared" si="36"/>
        <v>53.31092896174863</v>
      </c>
    </row>
    <row r="185" spans="1:23" x14ac:dyDescent="0.15">
      <c r="A185" s="1">
        <v>1993</v>
      </c>
      <c r="B185" s="5">
        <f>(K75*($E75/365))+(K76*($E76/365))</f>
        <v>100</v>
      </c>
      <c r="C185" s="5">
        <f>(L75*($E75/365))+(L76*($E76/365))</f>
        <v>0</v>
      </c>
      <c r="D185" s="5">
        <f>(M75*($E75/365))+(M76*($E76/365))</f>
        <v>0</v>
      </c>
      <c r="E185" s="17">
        <f t="shared" si="35"/>
        <v>100</v>
      </c>
      <c r="G185" s="1">
        <v>1993</v>
      </c>
      <c r="H185" s="392">
        <f>(O75/$R75*100*($E75/365))+(O76/$R76*100*($E76/365))</f>
        <v>100</v>
      </c>
      <c r="I185" s="392"/>
      <c r="J185" s="392">
        <f>(P75/$R75*100*($E75/365))+(P76/$R76*100*($E76/365))</f>
        <v>0</v>
      </c>
      <c r="K185" s="392"/>
      <c r="L185" s="392">
        <f>(Q75/$R75*100*($E75/365))+(Q76/$R76*100*($E76/365))</f>
        <v>0</v>
      </c>
      <c r="M185" s="392"/>
      <c r="N185" s="363">
        <f t="shared" si="37"/>
        <v>100</v>
      </c>
      <c r="O185" s="363"/>
      <c r="R185" s="1">
        <v>1993</v>
      </c>
      <c r="S185" s="5">
        <f>(O75*($E75/365))+(O76*($E76/365))</f>
        <v>51.6</v>
      </c>
      <c r="T185" s="5">
        <f>(P75*($E75/365))+(P76*($E76/365))</f>
        <v>0</v>
      </c>
      <c r="U185" s="5">
        <f>(Q75*($E75/365))+(Q76*($E76/365))</f>
        <v>0</v>
      </c>
      <c r="V185" s="5"/>
      <c r="W185" s="5">
        <f t="shared" si="36"/>
        <v>51.6</v>
      </c>
    </row>
    <row r="186" spans="1:23" x14ac:dyDescent="0.15">
      <c r="A186" s="1">
        <v>1994</v>
      </c>
      <c r="B186" s="5">
        <f>(K77*($E77/365))+(K78*($E78/365))</f>
        <v>100</v>
      </c>
      <c r="C186" s="5">
        <f>(L77*($E77/365))+(L78*($E78/365))</f>
        <v>0</v>
      </c>
      <c r="D186" s="5">
        <f>(M77*($E77/365))+(M78*($E78/365))</f>
        <v>0</v>
      </c>
      <c r="E186" s="17">
        <f t="shared" si="35"/>
        <v>100</v>
      </c>
      <c r="G186" s="1">
        <v>1994</v>
      </c>
      <c r="H186" s="392">
        <f>(O77/$R77*100*($E77/365))+(O78/$R78*100*($E78/365))</f>
        <v>100</v>
      </c>
      <c r="I186" s="392"/>
      <c r="J186" s="392">
        <f>(P77/$R77*100*($E77/365))+(P78/$R78*100*($E78/365))</f>
        <v>0</v>
      </c>
      <c r="K186" s="392"/>
      <c r="L186" s="392">
        <f>(Q77/$R77*100*($E77/365))+(Q78/$R78*100*($E78/365))</f>
        <v>0</v>
      </c>
      <c r="M186" s="392"/>
      <c r="N186" s="363">
        <f t="shared" si="37"/>
        <v>100</v>
      </c>
      <c r="O186" s="363"/>
      <c r="R186" s="1">
        <v>1994</v>
      </c>
      <c r="S186" s="5">
        <f>(O77*($E77/365))+(O78*($E78/365))</f>
        <v>51.6</v>
      </c>
      <c r="T186" s="5">
        <f>(P77*($E77/365))+(P78*($E78/365))</f>
        <v>0</v>
      </c>
      <c r="U186" s="5">
        <f>(Q77*($E77/365))+(Q78*($E78/365))</f>
        <v>0</v>
      </c>
      <c r="V186" s="5"/>
      <c r="W186" s="5">
        <f t="shared" si="36"/>
        <v>51.6</v>
      </c>
    </row>
    <row r="187" spans="1:23" x14ac:dyDescent="0.15">
      <c r="A187" s="1">
        <v>1995</v>
      </c>
      <c r="B187" s="5">
        <f>(K79*($E79/365))+(K80*($E80/365))</f>
        <v>100</v>
      </c>
      <c r="C187" s="5">
        <f>(L79*($E79/365))+(L80*($E80/365))</f>
        <v>0</v>
      </c>
      <c r="D187" s="5">
        <f>(M79*($E79/365))+(M80*($E80/365))</f>
        <v>0</v>
      </c>
      <c r="E187" s="17">
        <f t="shared" si="35"/>
        <v>100</v>
      </c>
      <c r="G187" s="1">
        <v>1995</v>
      </c>
      <c r="H187" s="392">
        <f>(O79/$R79*100*($E79/365))+(O80/$R80*100*($E80/365))</f>
        <v>100</v>
      </c>
      <c r="I187" s="392"/>
      <c r="J187" s="392">
        <f>(P79/$R79*100*($E79/365))+(P80/$R80*100*($E80/365))</f>
        <v>0</v>
      </c>
      <c r="K187" s="392"/>
      <c r="L187" s="392">
        <f>(Q79/$R79*100*($E79/365))+(Q80/$R80*100*($E80/365))</f>
        <v>0</v>
      </c>
      <c r="M187" s="392"/>
      <c r="N187" s="363">
        <f t="shared" si="37"/>
        <v>100</v>
      </c>
      <c r="O187" s="363"/>
      <c r="R187" s="1">
        <v>1995</v>
      </c>
      <c r="S187" s="5">
        <f>(O79*($E79/365))+(O80*($E80/365))</f>
        <v>51.6</v>
      </c>
      <c r="T187" s="5">
        <f>(P79*($E79/365))+(P80*($E80/365))</f>
        <v>0</v>
      </c>
      <c r="U187" s="5">
        <f>(Q79*($E79/365))+(Q80*($E80/365))</f>
        <v>0</v>
      </c>
      <c r="V187" s="5"/>
      <c r="W187" s="5">
        <f t="shared" si="36"/>
        <v>51.6</v>
      </c>
    </row>
    <row r="188" spans="1:23" x14ac:dyDescent="0.15">
      <c r="A188" s="1">
        <v>1996</v>
      </c>
      <c r="B188" s="5">
        <f>(K81*($E81/366))+(K82*($E82/366))</f>
        <v>100</v>
      </c>
      <c r="C188" s="5">
        <f>(L81*($E81/366))+(L82*($E82/366))</f>
        <v>0</v>
      </c>
      <c r="D188" s="5">
        <f>(M81*($E81/366))+(M82*($E82/366))</f>
        <v>0</v>
      </c>
      <c r="E188" s="17">
        <f t="shared" si="35"/>
        <v>100</v>
      </c>
      <c r="G188" s="1">
        <v>1996</v>
      </c>
      <c r="H188" s="392">
        <f>(O81/$R81*100*($E81/366))+(O82/$R82*100*($E82/366))</f>
        <v>100</v>
      </c>
      <c r="I188" s="392"/>
      <c r="J188" s="392">
        <f>(P81/$R81*100*($E81/366))+(P82/$R82*100*($E82/366))</f>
        <v>0</v>
      </c>
      <c r="K188" s="392"/>
      <c r="L188" s="392">
        <f>(Q81/$R81*100*($E81/366))+(Q82/$R82*100*($E82/366))</f>
        <v>0</v>
      </c>
      <c r="M188" s="392"/>
      <c r="N188" s="363">
        <f t="shared" si="37"/>
        <v>100</v>
      </c>
      <c r="O188" s="363"/>
      <c r="R188" s="1">
        <v>1996</v>
      </c>
      <c r="S188" s="5">
        <f>(O81*($E81/366))+(O82*($E82/366))</f>
        <v>51.6</v>
      </c>
      <c r="T188" s="5">
        <f>(P81*($E81/366))+(P82*($E82/366))</f>
        <v>0</v>
      </c>
      <c r="U188" s="5">
        <f>(Q81*($E81/366))+(Q82*($E82/366))</f>
        <v>0</v>
      </c>
      <c r="V188" s="5"/>
      <c r="W188" s="5">
        <f t="shared" si="36"/>
        <v>51.6</v>
      </c>
    </row>
    <row r="189" spans="1:23" x14ac:dyDescent="0.15">
      <c r="A189" s="1">
        <v>1997</v>
      </c>
      <c r="B189" s="5">
        <f>(K83*($E83/365))+(K84*($E84/365))</f>
        <v>33.150684931506852</v>
      </c>
      <c r="C189" s="5">
        <f>(L83*($E83/365))+(L84*($E84/365))</f>
        <v>0</v>
      </c>
      <c r="D189" s="5">
        <f>(M83*($E83/365))+(M84*($E84/365))</f>
        <v>66.849315068493155</v>
      </c>
      <c r="E189" s="17">
        <f t="shared" si="35"/>
        <v>100</v>
      </c>
      <c r="G189" s="1">
        <v>1997</v>
      </c>
      <c r="H189" s="392">
        <f>(O83/$R83*100*($E83/365))+(O84/$R84*100*($E84/365))</f>
        <v>33.150684931506852</v>
      </c>
      <c r="I189" s="392"/>
      <c r="J189" s="392">
        <f>(P83/$R83*100*($E83/365))+(P84/$R84*100*($E84/365))</f>
        <v>0</v>
      </c>
      <c r="K189" s="392"/>
      <c r="L189" s="392">
        <f>(Q83/$R83*100*($E83/365))+(Q84/$R84*100*($E84/365))</f>
        <v>66.849315068493155</v>
      </c>
      <c r="M189" s="392"/>
      <c r="N189" s="363">
        <f t="shared" si="37"/>
        <v>100</v>
      </c>
      <c r="O189" s="363"/>
      <c r="R189" s="1">
        <v>1997</v>
      </c>
      <c r="S189" s="5">
        <f>(O83*($E83/365))+(O84*($E84/365))</f>
        <v>17.105753424657536</v>
      </c>
      <c r="T189" s="5">
        <f>(P83*($E83/365))+(P84*($E84/365))</f>
        <v>0</v>
      </c>
      <c r="U189" s="5">
        <f>(Q83*($E83/365))+(Q84*($E84/365))</f>
        <v>42.516164383561645</v>
      </c>
      <c r="V189" s="5"/>
      <c r="W189" s="5">
        <f t="shared" si="36"/>
        <v>59.62191780821918</v>
      </c>
    </row>
    <row r="190" spans="1:23" x14ac:dyDescent="0.15">
      <c r="A190" s="1">
        <v>1998</v>
      </c>
      <c r="B190" s="5">
        <f>(K85*($E85/365))+(K86*($E86/365))</f>
        <v>0</v>
      </c>
      <c r="C190" s="5">
        <f>(L85*($E85/365))+(L86*($E86/365))</f>
        <v>0</v>
      </c>
      <c r="D190" s="5">
        <f>(M85*($E85/365))+(M86*($E86/365))</f>
        <v>100</v>
      </c>
      <c r="E190" s="17">
        <f t="shared" si="35"/>
        <v>100</v>
      </c>
      <c r="G190" s="1">
        <v>1998</v>
      </c>
      <c r="H190" s="392">
        <f>(O85/$R85*100*($E85/365))+(O86/$R86*100*($E86/365))</f>
        <v>0</v>
      </c>
      <c r="I190" s="392"/>
      <c r="J190" s="392">
        <f>(P85/$R85*100*($E85/365))+(P86/$R86*100*($E86/365))</f>
        <v>0</v>
      </c>
      <c r="K190" s="392"/>
      <c r="L190" s="392">
        <f>(Q85/$R85*100*($E85/365))+(Q86/$R86*100*($E86/365))</f>
        <v>100</v>
      </c>
      <c r="M190" s="392"/>
      <c r="N190" s="363">
        <f t="shared" si="37"/>
        <v>100</v>
      </c>
      <c r="O190" s="363"/>
      <c r="R190" s="1">
        <v>1998</v>
      </c>
      <c r="S190" s="5">
        <f>(O85*($E85/365))+(O86*($E86/365))</f>
        <v>0</v>
      </c>
      <c r="T190" s="5">
        <f>(P85*($E85/365))+(P86*($E86/365))</f>
        <v>0</v>
      </c>
      <c r="U190" s="5">
        <f>(Q85*($E85/365))+(Q86*($E86/365))</f>
        <v>63.6</v>
      </c>
      <c r="V190" s="5"/>
      <c r="W190" s="5">
        <f t="shared" si="36"/>
        <v>63.6</v>
      </c>
    </row>
    <row r="191" spans="1:23" x14ac:dyDescent="0.15">
      <c r="A191" s="1">
        <v>1999</v>
      </c>
      <c r="B191" s="5">
        <f>(K87*($E87/365))+(K88*($E88/365))</f>
        <v>0</v>
      </c>
      <c r="C191" s="5">
        <f>(L87*($E87/365))+(L88*($E88/365))</f>
        <v>0</v>
      </c>
      <c r="D191" s="5">
        <f>(M87*($E87/365))+(M88*($E88/365))</f>
        <v>100</v>
      </c>
      <c r="E191" s="17">
        <f t="shared" si="35"/>
        <v>100</v>
      </c>
      <c r="G191" s="1">
        <v>1999</v>
      </c>
      <c r="H191" s="392">
        <f>(O87/$R87*100*($E87/365))+(O88/$R88*100*($E88/365))</f>
        <v>0</v>
      </c>
      <c r="I191" s="392"/>
      <c r="J191" s="392">
        <f>(P87/$R87*100*($E87/365))+(P88/$R88*100*($E88/365))</f>
        <v>0</v>
      </c>
      <c r="K191" s="392"/>
      <c r="L191" s="392">
        <f>(Q87/$R87*100*($E87/365))+(Q88/$R88*100*($E88/365))</f>
        <v>100</v>
      </c>
      <c r="M191" s="392"/>
      <c r="N191" s="363">
        <f t="shared" si="37"/>
        <v>100</v>
      </c>
      <c r="O191" s="363"/>
      <c r="R191" s="1">
        <v>1999</v>
      </c>
      <c r="S191" s="5">
        <f>(O87*($E87/365))+(O88*($E88/365))</f>
        <v>0</v>
      </c>
      <c r="T191" s="5">
        <f>(P87*($E87/365))+(P88*($E88/365))</f>
        <v>0</v>
      </c>
      <c r="U191" s="5">
        <f>(Q87*($E87/365))+(Q88*($E88/365))</f>
        <v>63.6</v>
      </c>
      <c r="V191" s="5"/>
      <c r="W191" s="5">
        <f t="shared" si="36"/>
        <v>63.6</v>
      </c>
    </row>
    <row r="192" spans="1:23" x14ac:dyDescent="0.15">
      <c r="A192" s="1">
        <v>2000</v>
      </c>
      <c r="B192" s="5">
        <f>(K89*($E89/366))+(K90*($E90/366))</f>
        <v>0</v>
      </c>
      <c r="C192" s="5">
        <f>(L89*($E89/366))+(L90*($E90/366))</f>
        <v>0</v>
      </c>
      <c r="D192" s="5">
        <f>(M89*($E89/366))+(M90*($E90/366))</f>
        <v>100</v>
      </c>
      <c r="E192" s="17">
        <f t="shared" si="35"/>
        <v>100</v>
      </c>
      <c r="G192" s="1">
        <v>2000</v>
      </c>
      <c r="H192" s="392">
        <f>(O89/$R89*100*($E89/366))+(O90/$R90*100*($E90/366))</f>
        <v>0</v>
      </c>
      <c r="I192" s="392"/>
      <c r="J192" s="392">
        <f>(P89/$R89*100*($E89/366))+(P90/$R90*100*($E90/366))</f>
        <v>0</v>
      </c>
      <c r="K192" s="392"/>
      <c r="L192" s="392">
        <f>(Q89/$R89*100*($E89/366))+(Q90/$R90*100*($E90/366))</f>
        <v>100</v>
      </c>
      <c r="M192" s="392"/>
      <c r="N192" s="363">
        <f t="shared" si="37"/>
        <v>100</v>
      </c>
      <c r="O192" s="363"/>
      <c r="R192" s="1">
        <v>2000</v>
      </c>
      <c r="S192" s="5">
        <f>(O89*($E89/366))+(O90*($E90/366))</f>
        <v>0</v>
      </c>
      <c r="T192" s="5">
        <f>(P89*($E89/366))+(P90*($E90/366))</f>
        <v>0</v>
      </c>
      <c r="U192" s="5">
        <f>(Q89*($E89/366))+(Q90*($E90/366))</f>
        <v>63.6</v>
      </c>
      <c r="V192" s="5"/>
      <c r="W192" s="5">
        <f t="shared" si="36"/>
        <v>63.6</v>
      </c>
    </row>
    <row r="193" spans="1:23" x14ac:dyDescent="0.15">
      <c r="A193" s="1">
        <v>2001</v>
      </c>
      <c r="B193" s="5">
        <f>(K91*($E91/365))+(K92*($E92/365))</f>
        <v>0</v>
      </c>
      <c r="C193" s="5">
        <f>(L91*($E91/365))+(L92*($E92/365))</f>
        <v>0</v>
      </c>
      <c r="D193" s="5">
        <f>(M91*($E91/365))+(M92*($E92/365))</f>
        <v>100</v>
      </c>
      <c r="E193" s="17">
        <f t="shared" si="35"/>
        <v>100</v>
      </c>
      <c r="G193" s="1">
        <v>2001</v>
      </c>
      <c r="H193" s="392">
        <f>(O91/$R91*100*($E91/365))+(O92/$R92*100*($E92/365))</f>
        <v>0</v>
      </c>
      <c r="I193" s="392"/>
      <c r="J193" s="392">
        <f>(P91/$R91*100*($E91/365))+(P92/$R92*100*($E92/365))</f>
        <v>0</v>
      </c>
      <c r="K193" s="392"/>
      <c r="L193" s="392">
        <f>(Q91/$R91*100*($E91/365))+(Q92/$R92*100*($E92/365))</f>
        <v>100</v>
      </c>
      <c r="M193" s="392"/>
      <c r="N193" s="363">
        <f t="shared" si="37"/>
        <v>100</v>
      </c>
      <c r="O193" s="363"/>
      <c r="R193" s="1">
        <v>2001</v>
      </c>
      <c r="S193" s="5">
        <f>(O91*($E91/365))+(O92*($E92/365))</f>
        <v>0</v>
      </c>
      <c r="T193" s="5">
        <f>(P91*($E91/365))+(P92*($E92/365))</f>
        <v>0</v>
      </c>
      <c r="U193" s="5">
        <f>(Q91*($E91/365))+(Q92*($E92/365))</f>
        <v>62.976164383561645</v>
      </c>
      <c r="V193" s="5"/>
      <c r="W193" s="5">
        <f t="shared" si="36"/>
        <v>62.976164383561645</v>
      </c>
    </row>
    <row r="194" spans="1:23" x14ac:dyDescent="0.15">
      <c r="A194" s="1">
        <v>2002</v>
      </c>
      <c r="B194" s="5">
        <f>(K93*($E93/365))+(K94*($E94/365))</f>
        <v>0</v>
      </c>
      <c r="C194" s="5">
        <f>(L93*($E93/365))+(L94*($E94/365))</f>
        <v>0</v>
      </c>
      <c r="D194" s="5">
        <f>(M93*($E93/365))+(M94*($E94/365))</f>
        <v>100</v>
      </c>
      <c r="E194" s="17">
        <f t="shared" si="35"/>
        <v>100</v>
      </c>
      <c r="G194" s="1">
        <v>2002</v>
      </c>
      <c r="H194" s="392">
        <f>(O93/$R93*100*($E93/365))+(O94/$R94*100*($E94/365))</f>
        <v>0</v>
      </c>
      <c r="I194" s="392"/>
      <c r="J194" s="392">
        <f>(P93/$R93*100*($E93/365))+(P94/$R94*100*($E94/365))</f>
        <v>0</v>
      </c>
      <c r="K194" s="392"/>
      <c r="L194" s="392">
        <f>(Q93/$R93*100*($E93/365))+(Q94/$R94*100*($E94/365))</f>
        <v>100</v>
      </c>
      <c r="M194" s="392"/>
      <c r="N194" s="363">
        <f t="shared" si="37"/>
        <v>100</v>
      </c>
      <c r="O194" s="363"/>
      <c r="R194" s="1">
        <v>2002</v>
      </c>
      <c r="S194" s="5">
        <f>(O93*($E93/365))+(O94*($E94/365))</f>
        <v>0</v>
      </c>
      <c r="T194" s="5">
        <f>(P93*($E93/365))+(P94*($E94/365))</f>
        <v>0</v>
      </c>
      <c r="U194" s="5">
        <f>(Q93*($E93/365))+(Q94*($E94/365))</f>
        <v>62.5</v>
      </c>
      <c r="V194" s="5"/>
      <c r="W194" s="5">
        <f t="shared" si="36"/>
        <v>62.5</v>
      </c>
    </row>
    <row r="195" spans="1:23" x14ac:dyDescent="0.15">
      <c r="A195" s="1">
        <v>2003</v>
      </c>
      <c r="B195" s="5">
        <f>(K95*($E95/365))+(K96*($E96/365))</f>
        <v>0</v>
      </c>
      <c r="C195" s="5">
        <f>(L95*($E95/365))+(L96*($E96/365))</f>
        <v>0</v>
      </c>
      <c r="D195" s="5">
        <f>(M95*($E95/365))+(M96*($E96/365))</f>
        <v>100</v>
      </c>
      <c r="E195" s="17">
        <f t="shared" si="35"/>
        <v>100</v>
      </c>
      <c r="G195" s="1">
        <v>2003</v>
      </c>
      <c r="H195" s="392">
        <f>(O95/$R95*100*($E95/365))+(O96/$R96*100*($E96/365))</f>
        <v>0</v>
      </c>
      <c r="I195" s="392"/>
      <c r="J195" s="392">
        <f>(P95/$R95*100*($E95/365))+(P96/$R96*100*($E96/365))</f>
        <v>0</v>
      </c>
      <c r="K195" s="392"/>
      <c r="L195" s="392">
        <f>(Q95/$R95*100*($E95/365))+(Q96/$R96*100*($E96/365))</f>
        <v>100</v>
      </c>
      <c r="M195" s="392"/>
      <c r="N195" s="363">
        <f t="shared" si="37"/>
        <v>100</v>
      </c>
      <c r="O195" s="363"/>
      <c r="R195" s="1">
        <v>2003</v>
      </c>
      <c r="S195" s="5">
        <f>(O95*($E95/365))+(O96*($E96/365))</f>
        <v>0</v>
      </c>
      <c r="T195" s="5">
        <f>(P95*($E95/365))+(P96*($E96/365))</f>
        <v>0</v>
      </c>
      <c r="U195" s="5">
        <f>(Q95*($E95/365))+(Q96*($E96/365))</f>
        <v>62.5</v>
      </c>
      <c r="V195" s="5"/>
      <c r="W195" s="5">
        <f t="shared" si="36"/>
        <v>62.5</v>
      </c>
    </row>
    <row r="196" spans="1:23" x14ac:dyDescent="0.15">
      <c r="A196" s="1">
        <v>2004</v>
      </c>
      <c r="B196" s="5">
        <f>(K97*($E97/366))+(K98*($E98/366))</f>
        <v>0</v>
      </c>
      <c r="C196" s="5">
        <f>(L97*($E97/366))+(L98*($E98/366))</f>
        <v>0</v>
      </c>
      <c r="D196" s="5">
        <f>(M97*($E97/366))+(M98*($E98/366))</f>
        <v>100</v>
      </c>
      <c r="E196" s="17">
        <f t="shared" si="35"/>
        <v>100</v>
      </c>
      <c r="G196" s="1">
        <v>2004</v>
      </c>
      <c r="H196" s="392">
        <f>(O97/$R97*100*($E97/366))+(O98/$R98*100*($E98/366))</f>
        <v>0</v>
      </c>
      <c r="I196" s="392"/>
      <c r="J196" s="392">
        <f>(P97/$R97*100*($E97/366))+(P98/$R98*100*($E98/366))</f>
        <v>0</v>
      </c>
      <c r="K196" s="392"/>
      <c r="L196" s="392">
        <f>(Q97/$R97*100*($E97/366))+(Q98/$R98*100*($E98/366))</f>
        <v>100</v>
      </c>
      <c r="M196" s="392"/>
      <c r="N196" s="363">
        <f t="shared" si="37"/>
        <v>100</v>
      </c>
      <c r="O196" s="363"/>
      <c r="R196" s="1">
        <v>2004</v>
      </c>
      <c r="S196" s="5">
        <f>(O97*($E97/366))+(O98*($E98/366))</f>
        <v>0</v>
      </c>
      <c r="T196" s="5">
        <f>(P97*($E97/366))+(P98*($E98/366))</f>
        <v>0</v>
      </c>
      <c r="U196" s="5">
        <f>(Q97*($E97/366))+(Q98*($E98/366))</f>
        <v>62.5</v>
      </c>
      <c r="V196" s="5"/>
      <c r="W196" s="5">
        <f t="shared" si="36"/>
        <v>62.5</v>
      </c>
    </row>
    <row r="197" spans="1:23" x14ac:dyDescent="0.15">
      <c r="A197" s="1">
        <v>2005</v>
      </c>
      <c r="B197" s="5">
        <f>(K99*($E99/365))+(K100*($E100/365))</f>
        <v>0</v>
      </c>
      <c r="C197" s="5">
        <f>(L99*($E99/365))+(L100*($E100/365))</f>
        <v>0</v>
      </c>
      <c r="D197" s="5">
        <f>(M99*($E99/365))+(M100*($E100/365))</f>
        <v>100</v>
      </c>
      <c r="E197" s="17">
        <f t="shared" si="35"/>
        <v>100</v>
      </c>
      <c r="G197" s="1">
        <v>2005</v>
      </c>
      <c r="H197" s="392">
        <f>(O99/$R99*100*($E99/365))+(O100/$R100*100*($E100/365))</f>
        <v>0</v>
      </c>
      <c r="I197" s="392"/>
      <c r="J197" s="392">
        <f>(P99/$R99*100*($E99/365))+(P100/$R100*100*($E100/365))</f>
        <v>0</v>
      </c>
      <c r="K197" s="392"/>
      <c r="L197" s="392">
        <f>(Q99/$R99*100*($E99/365))+(Q100/$R100*100*($E100/365))</f>
        <v>100</v>
      </c>
      <c r="M197" s="392"/>
      <c r="N197" s="363">
        <f t="shared" si="37"/>
        <v>100</v>
      </c>
      <c r="O197" s="363"/>
      <c r="R197" s="1">
        <v>2005</v>
      </c>
      <c r="S197" s="5">
        <f>(O99*($E99/365))+(O100*($E100/365))</f>
        <v>0</v>
      </c>
      <c r="T197" s="5">
        <f>(P99*($E99/365))+(P100*($E100/365))</f>
        <v>0</v>
      </c>
      <c r="U197" s="5">
        <f>(Q99*($E99/365))+(Q100*($E100/365))</f>
        <v>57.56849315068493</v>
      </c>
      <c r="V197" s="5"/>
      <c r="W197" s="5">
        <f t="shared" si="36"/>
        <v>57.56849315068493</v>
      </c>
    </row>
    <row r="198" spans="1:23" x14ac:dyDescent="0.15">
      <c r="A198" s="1">
        <v>2006</v>
      </c>
      <c r="B198" s="5">
        <f>(K101*($E101/365))+(K102*($E102/365))</f>
        <v>0</v>
      </c>
      <c r="C198" s="5">
        <f>(L101*($E101/365))+(L102*($E102/365))</f>
        <v>0</v>
      </c>
      <c r="D198" s="5">
        <f>(M101*($E101/365))+(M102*($E102/365))</f>
        <v>100</v>
      </c>
      <c r="E198" s="17">
        <f t="shared" si="35"/>
        <v>100</v>
      </c>
      <c r="G198" s="1">
        <v>2006</v>
      </c>
      <c r="H198" s="392">
        <f>(O101/$R101*100*($E101/365))+(O102/$R102*100*($E102/365))</f>
        <v>0</v>
      </c>
      <c r="I198" s="392"/>
      <c r="J198" s="392">
        <f>(P101/$R101*100*($E101/365))+(P102/$R102*100*($E102/365))</f>
        <v>0</v>
      </c>
      <c r="K198" s="392"/>
      <c r="L198" s="392">
        <f>(Q101/$R101*100*($E101/365))+(Q102/$R102*100*($E102/365))</f>
        <v>100</v>
      </c>
      <c r="M198" s="392"/>
      <c r="N198" s="363">
        <f t="shared" si="37"/>
        <v>100</v>
      </c>
      <c r="O198" s="363"/>
      <c r="R198" s="1">
        <v>2006</v>
      </c>
      <c r="S198" s="5">
        <f>(O101*($E101/365))+(O102*($E102/365))</f>
        <v>0</v>
      </c>
      <c r="T198" s="5">
        <f>(P101*($E101/365))+(P102*($E102/365))</f>
        <v>0</v>
      </c>
      <c r="U198" s="5">
        <f>(Q101*($E101/365))+(Q102*($E102/365))</f>
        <v>55</v>
      </c>
      <c r="V198" s="5"/>
      <c r="W198" s="5">
        <f t="shared" si="36"/>
        <v>55</v>
      </c>
    </row>
    <row r="199" spans="1:23" x14ac:dyDescent="0.15">
      <c r="A199" s="1">
        <v>2007</v>
      </c>
      <c r="B199" s="5">
        <f>(K103*($E103/365))+(K104*($E104/365))</f>
        <v>0</v>
      </c>
      <c r="C199" s="5">
        <f>(L103*($E103/365))+(L104*($E104/365))</f>
        <v>0</v>
      </c>
      <c r="D199" s="5">
        <f>(M103*($E103/365))+(M104*($E104/365))</f>
        <v>100</v>
      </c>
      <c r="E199" s="17">
        <f t="shared" si="35"/>
        <v>100</v>
      </c>
      <c r="G199" s="1">
        <v>2007</v>
      </c>
      <c r="H199" s="392">
        <f>(O103/$R103*100*($E103/365))+(O104/$R104*100*($E104/365))</f>
        <v>0</v>
      </c>
      <c r="I199" s="392"/>
      <c r="J199" s="392">
        <f>(P103/$R103*100*($E103/365))+(P104/$R104*100*($E104/365))</f>
        <v>0</v>
      </c>
      <c r="K199" s="392"/>
      <c r="L199" s="392">
        <f>(Q103/$R103*100*($E103/365))+(Q104/$R104*100*($E104/365))</f>
        <v>100</v>
      </c>
      <c r="M199" s="392"/>
      <c r="N199" s="363">
        <f t="shared" si="37"/>
        <v>100</v>
      </c>
      <c r="O199" s="363"/>
      <c r="R199" s="1">
        <v>2007</v>
      </c>
      <c r="S199" s="5">
        <f>(O103*($E103/365))+(O104*($E104/365))</f>
        <v>0</v>
      </c>
      <c r="T199" s="5">
        <f>(P103*($E103/365))+(P104*($E104/365))</f>
        <v>0</v>
      </c>
      <c r="U199" s="5">
        <f>(Q103*($E103/365))+(Q104*($E104/365))</f>
        <v>55</v>
      </c>
      <c r="V199" s="5"/>
      <c r="W199" s="5">
        <f t="shared" si="36"/>
        <v>55</v>
      </c>
    </row>
    <row r="200" spans="1:23" x14ac:dyDescent="0.15">
      <c r="A200" s="1">
        <v>2008</v>
      </c>
      <c r="B200" s="5">
        <f>(K105*($E105/366))+(K106*($E106/366))</f>
        <v>0</v>
      </c>
      <c r="C200" s="5">
        <f>(L105*($E105/366))+(L106*($E106/366))</f>
        <v>0</v>
      </c>
      <c r="D200" s="5">
        <f>(M105*($E105/366))+(M106*($E106/366))</f>
        <v>100</v>
      </c>
      <c r="E200" s="17">
        <f t="shared" si="35"/>
        <v>100</v>
      </c>
      <c r="G200" s="1">
        <v>2008</v>
      </c>
      <c r="H200" s="392">
        <f>(O105/$R105*100*($E105/366))+(O106/$R106*100*($E106/366))</f>
        <v>0</v>
      </c>
      <c r="I200" s="392"/>
      <c r="J200" s="392">
        <f>(P105/$R105*100*($E105/366))+(P106/$R106*100*($E106/366))</f>
        <v>0</v>
      </c>
      <c r="K200" s="392"/>
      <c r="L200" s="392">
        <f>(Q105/$R105*100*($E105/366))+(Q106/$R106*100*($E106/366))</f>
        <v>100</v>
      </c>
      <c r="M200" s="392"/>
      <c r="N200" s="363">
        <f t="shared" si="37"/>
        <v>100</v>
      </c>
      <c r="O200" s="363"/>
      <c r="R200" s="1">
        <v>2008</v>
      </c>
      <c r="S200" s="5">
        <f>(O105*($E105/366))+(O106*($E106/366))</f>
        <v>0</v>
      </c>
      <c r="T200" s="5">
        <f>(P105*($E105/366))+(P106*($E106/366))</f>
        <v>0</v>
      </c>
      <c r="U200" s="5">
        <f>(Q105*($E105/366))+(Q106*($E106/366))</f>
        <v>55</v>
      </c>
      <c r="V200" s="5"/>
      <c r="W200" s="5">
        <f t="shared" si="36"/>
        <v>55</v>
      </c>
    </row>
    <row r="201" spans="1:23" x14ac:dyDescent="0.15">
      <c r="A201" s="1">
        <v>2009</v>
      </c>
      <c r="B201" s="5">
        <f>(K107*($E107/365))+(K108*($E108/365))</f>
        <v>0</v>
      </c>
      <c r="C201" s="5">
        <f>(L107*($E107/365))+(L108*($E108/365))</f>
        <v>0</v>
      </c>
      <c r="D201" s="5">
        <f>(M107*($E107/365))+(M108*($E108/365))</f>
        <v>100</v>
      </c>
      <c r="E201" s="17">
        <f t="shared" si="35"/>
        <v>100</v>
      </c>
      <c r="G201" s="1">
        <v>2009</v>
      </c>
      <c r="H201" s="392">
        <f>(O107/$R107*100*($E107/365))+(O108/$R108*100*($E108/365))</f>
        <v>0</v>
      </c>
      <c r="I201" s="392"/>
      <c r="J201" s="392">
        <f>(P107/$R107*100*($E107/365))+(P108/$R108*100*($E108/365))</f>
        <v>0</v>
      </c>
      <c r="K201" s="392"/>
      <c r="L201" s="392">
        <f>(Q107/$R107*100*($E107/365))+(Q108/$R108*100*($E108/365))</f>
        <v>100</v>
      </c>
      <c r="M201" s="392"/>
      <c r="N201" s="363">
        <f t="shared" si="37"/>
        <v>100</v>
      </c>
      <c r="O201" s="363"/>
      <c r="R201" s="1">
        <v>2009</v>
      </c>
      <c r="S201" s="5">
        <f>(O107*($E107/365))+(O108*($E108/365))</f>
        <v>0</v>
      </c>
      <c r="T201" s="5">
        <f>(P107*($E107/365))+(P108*($E108/365))</f>
        <v>0</v>
      </c>
      <c r="U201" s="5">
        <f>(Q107*($E107/365))+(Q108*($E108/365))</f>
        <v>55</v>
      </c>
      <c r="V201" s="5"/>
      <c r="W201" s="5">
        <f t="shared" si="36"/>
        <v>55</v>
      </c>
    </row>
    <row r="202" spans="1:23" x14ac:dyDescent="0.15">
      <c r="A202" s="1">
        <v>2010</v>
      </c>
      <c r="B202" s="5">
        <f>(K109*($E109/365))+(K110*($E110/365))</f>
        <v>62.19178082191781</v>
      </c>
      <c r="C202" s="5">
        <f>(L109*($E109/365))+(L110*($E110/365))</f>
        <v>0</v>
      </c>
      <c r="D202" s="5">
        <f>(M109*($E109/365))+(M110*($E110/365))</f>
        <v>37.80821917808219</v>
      </c>
      <c r="E202" s="17">
        <f t="shared" si="35"/>
        <v>100</v>
      </c>
      <c r="G202" s="1">
        <v>2010</v>
      </c>
      <c r="H202" s="392">
        <f>(O109/$R109*100*($E109/365))+(O110/$R110*100*($E110/365))</f>
        <v>62.19178082191781</v>
      </c>
      <c r="I202" s="392"/>
      <c r="J202" s="392">
        <f>(P109/$R109*100*($E109/365))+(P110/$R110*100*($E110/365))</f>
        <v>0</v>
      </c>
      <c r="K202" s="392"/>
      <c r="L202" s="392">
        <f>(Q109/$R109*100*($E109/365))+(Q110/$R110*100*($E110/365))</f>
        <v>37.80821917808219</v>
      </c>
      <c r="M202" s="392"/>
      <c r="N202" s="363">
        <f t="shared" si="37"/>
        <v>100</v>
      </c>
      <c r="O202" s="363"/>
      <c r="R202" s="1">
        <v>2010</v>
      </c>
      <c r="S202" s="5">
        <f>(O109*($E109/365))+(O110*($E110/365))</f>
        <v>34.765205479452057</v>
      </c>
      <c r="T202" s="5">
        <f>(P109*($E109/365))+(P110*($E110/365))</f>
        <v>0</v>
      </c>
      <c r="U202" s="5">
        <f>(Q109*($E109/365))+(Q110*($E110/365))</f>
        <v>20.794520547945204</v>
      </c>
      <c r="V202" s="5"/>
      <c r="W202" s="5">
        <f t="shared" si="36"/>
        <v>55.559726027397261</v>
      </c>
    </row>
    <row r="203" spans="1:23" x14ac:dyDescent="0.15">
      <c r="A203" s="1">
        <v>2011</v>
      </c>
      <c r="B203" s="5">
        <f>(K111*($E111/365))+(K112*($E112/365))</f>
        <v>100</v>
      </c>
      <c r="C203" s="5">
        <f>(L111*($E111/365))+(L112*($E112/365))</f>
        <v>0</v>
      </c>
      <c r="D203" s="5">
        <f>(M111*($E111/365))+(M112*($E112/365))</f>
        <v>0</v>
      </c>
      <c r="E203" s="17">
        <f t="shared" si="35"/>
        <v>100</v>
      </c>
      <c r="G203" s="1">
        <v>2011</v>
      </c>
      <c r="H203" s="392">
        <f>(O111/$R111*100*($E111/365))+(O112/$R112*100*($E112/365))</f>
        <v>100</v>
      </c>
      <c r="I203" s="392"/>
      <c r="J203" s="392">
        <f>(P111/$R111*100*($E111/365))+(P112/$R112*100*($E112/365))</f>
        <v>0</v>
      </c>
      <c r="K203" s="392"/>
      <c r="L203" s="392">
        <f>(Q111/$R111*100*($E111/365))+(Q112/$R112*100*($E112/365))</f>
        <v>0</v>
      </c>
      <c r="M203" s="392"/>
      <c r="N203" s="363">
        <f t="shared" si="37"/>
        <v>100</v>
      </c>
      <c r="O203" s="363"/>
      <c r="R203" s="1">
        <v>2011</v>
      </c>
      <c r="S203" s="5">
        <f>(O111*($E111/365))+(O112*($E112/365))</f>
        <v>55.9</v>
      </c>
      <c r="T203" s="5">
        <f>(P111*($E111/365))+(P112*($E112/365))</f>
        <v>0</v>
      </c>
      <c r="U203" s="5">
        <f>(Q111*($E111/365))+(Q112*($E112/365))</f>
        <v>0</v>
      </c>
      <c r="V203" s="5"/>
      <c r="W203" s="5">
        <f t="shared" si="36"/>
        <v>55.9</v>
      </c>
    </row>
    <row r="204" spans="1:23" x14ac:dyDescent="0.15">
      <c r="A204" s="1">
        <v>2012</v>
      </c>
      <c r="B204" s="5">
        <f>(K113*($E113/366))+(K114*($E114/366))</f>
        <v>100</v>
      </c>
      <c r="C204" s="5">
        <f>(L113*($E113/366))+(L114*($E114/366))</f>
        <v>0</v>
      </c>
      <c r="D204" s="5">
        <f>(M113*($E113/366))+(M114*($E114/366))</f>
        <v>0</v>
      </c>
      <c r="E204" s="17">
        <f t="shared" si="35"/>
        <v>100</v>
      </c>
      <c r="G204" s="1">
        <v>2012</v>
      </c>
      <c r="H204" s="392">
        <f>(O113/$R113*100*($E113/366))+(O114/$R114*100*($E114/366))</f>
        <v>100</v>
      </c>
      <c r="I204" s="392"/>
      <c r="J204" s="392">
        <f>(P113/$R113*100*($E113/366))+(P114/$R114*100*($E114/366))</f>
        <v>0</v>
      </c>
      <c r="K204" s="392"/>
      <c r="L204" s="392">
        <f>(Q113/$R113*100*($E113/366))+(Q114/$R114*100*($E114/366))</f>
        <v>0</v>
      </c>
      <c r="M204" s="392"/>
      <c r="N204" s="363">
        <f t="shared" si="37"/>
        <v>100</v>
      </c>
      <c r="O204" s="363"/>
      <c r="R204" s="1">
        <v>2012</v>
      </c>
      <c r="S204" s="5">
        <f>(O113*($E113/366))+(O114*($E114/366))</f>
        <v>55.9</v>
      </c>
      <c r="T204" s="5">
        <f>(P113*($E113/366))+(P114*($E114/366))</f>
        <v>0</v>
      </c>
      <c r="U204" s="5">
        <f>(Q113*($E113/366))+(Q114*($E114/366))</f>
        <v>0</v>
      </c>
      <c r="V204" s="5"/>
      <c r="W204" s="5">
        <f t="shared" si="36"/>
        <v>55.9</v>
      </c>
    </row>
    <row r="205" spans="1:23" x14ac:dyDescent="0.15">
      <c r="A205" s="1">
        <v>2013</v>
      </c>
      <c r="B205" s="5">
        <f>(K115*($E115/365))+(K116*($E116/365))</f>
        <v>100</v>
      </c>
      <c r="C205" s="5">
        <f>(L115*($E115/365))+(L116*($E116/365))</f>
        <v>0</v>
      </c>
      <c r="D205" s="5">
        <f>(M115*($E115/365))+(M116*($E116/365))</f>
        <v>0</v>
      </c>
      <c r="E205" s="17">
        <f t="shared" si="35"/>
        <v>100</v>
      </c>
      <c r="G205" s="1">
        <v>2013</v>
      </c>
      <c r="H205" s="392">
        <f>(O115/$R115*100*($E115/365))+(O116/$R116*100*($E116/365))</f>
        <v>100</v>
      </c>
      <c r="I205" s="392"/>
      <c r="J205" s="392">
        <f>(P115/$R115*100*($E115/365))+(P116/$R116*100*($E116/365))</f>
        <v>0</v>
      </c>
      <c r="K205" s="392"/>
      <c r="L205" s="392">
        <f>(Q115/$R115*100*($E115/365))+(Q116/$R116*100*($E116/365))</f>
        <v>0</v>
      </c>
      <c r="M205" s="392"/>
      <c r="N205" s="363">
        <f>H205+J205+L205</f>
        <v>100</v>
      </c>
      <c r="O205" s="363"/>
      <c r="R205" s="1">
        <v>2013</v>
      </c>
      <c r="S205" s="5">
        <f>(O115*($E115/365))+(O116*($E116/365))</f>
        <v>55.9</v>
      </c>
      <c r="T205" s="5">
        <f>(P115*($E115/365))+(P116*($E116/365))</f>
        <v>0</v>
      </c>
      <c r="U205" s="5">
        <f>(Q115*($E115/365))+(Q116*($E116/365))</f>
        <v>0</v>
      </c>
      <c r="W205" s="5">
        <f t="shared" si="36"/>
        <v>55.9</v>
      </c>
    </row>
    <row r="206" spans="1:23" x14ac:dyDescent="0.15">
      <c r="A206" s="1">
        <v>2014</v>
      </c>
      <c r="B206" s="5">
        <f>(K117*($E117/365))+(K118*($E118/365))</f>
        <v>100</v>
      </c>
      <c r="C206" s="5">
        <f>(L117*($E117/365))+(L118*($E118/365))</f>
        <v>0</v>
      </c>
      <c r="D206" s="5">
        <f>(M117*($E117/365))+(M118*($E118/365))</f>
        <v>0</v>
      </c>
      <c r="E206" s="17">
        <f>B206+C206+D206</f>
        <v>100</v>
      </c>
      <c r="G206" s="1">
        <v>2014</v>
      </c>
      <c r="H206" s="392">
        <f>(O117/$R117*100*($E117/365))+(O118/$R118*100*($E118/365))</f>
        <v>100</v>
      </c>
      <c r="I206" s="392"/>
      <c r="J206" s="392">
        <f>(P117/$R117*100*($E117/365))+(P118/$R118*100*($E118/365))</f>
        <v>0</v>
      </c>
      <c r="K206" s="392"/>
      <c r="L206" s="392">
        <f>(Q117/$R117*100*($E117/365))+(Q118/$R118*100*($E118/365))</f>
        <v>0</v>
      </c>
      <c r="M206" s="392"/>
      <c r="N206" s="363">
        <f>H206+J206+L206</f>
        <v>100</v>
      </c>
      <c r="O206" s="363"/>
      <c r="R206" s="1">
        <v>2014</v>
      </c>
      <c r="S206" s="5">
        <f>(O117*($E117/365))+(O118*($E118/365))</f>
        <v>55.9</v>
      </c>
      <c r="T206" s="5">
        <f>(P117*($E117/365))+(P118*($E118/365))</f>
        <v>0</v>
      </c>
      <c r="U206" s="5">
        <f>(Q117*($E117/365))+(Q118*($E118/365))</f>
        <v>0</v>
      </c>
      <c r="W206" s="5">
        <f>S206+T206+U206</f>
        <v>55.9</v>
      </c>
    </row>
    <row r="207" spans="1:23" x14ac:dyDescent="0.15">
      <c r="A207" s="1">
        <v>2015</v>
      </c>
      <c r="B207" s="5">
        <f>(K119*($E119/365))+(K120*($E120/365))</f>
        <v>100</v>
      </c>
      <c r="C207" s="5">
        <f>(L119*($E119/365))+(L120*($E120/365))</f>
        <v>0</v>
      </c>
      <c r="D207" s="5">
        <f>(M119*($E119/365))+(M120*($E120/365))</f>
        <v>0</v>
      </c>
      <c r="E207" s="17">
        <f>B207+C207+D207</f>
        <v>100</v>
      </c>
      <c r="G207" s="1">
        <v>2015</v>
      </c>
      <c r="H207" s="392">
        <f>(O119/$R119*100*($E119/365))+(O120/$R120*100*($E120/365))</f>
        <v>100</v>
      </c>
      <c r="I207" s="392"/>
      <c r="J207" s="392">
        <f>(P119/$R119*100*($E119/365))+(P120/$R120*100*($E120/365))</f>
        <v>0</v>
      </c>
      <c r="K207" s="392"/>
      <c r="L207" s="392">
        <f>(Q119/$R119*100*($E119/365))+(Q120/$R120*100*($E120/365))</f>
        <v>0</v>
      </c>
      <c r="M207" s="392"/>
      <c r="N207" s="363">
        <f>H207+J207+L207</f>
        <v>100</v>
      </c>
      <c r="O207" s="363"/>
      <c r="R207" s="1">
        <v>2015</v>
      </c>
      <c r="S207" s="5">
        <f>(O119*($E119/365))+(O120*($E120/365))</f>
        <v>52.639726027397259</v>
      </c>
      <c r="T207" s="5">
        <f>(P119*($E119/365))+(P120*($E120/365))</f>
        <v>0</v>
      </c>
      <c r="U207" s="5">
        <f>(Q119*($E119/365))+(Q120*($E120/365))</f>
        <v>0</v>
      </c>
      <c r="W207" s="5">
        <f>S207+T207+U207</f>
        <v>52.639726027397259</v>
      </c>
    </row>
    <row r="208" spans="1:23" x14ac:dyDescent="0.15">
      <c r="A208" s="1">
        <v>2016</v>
      </c>
      <c r="B208" s="5">
        <f>(K121*($E121/366))+(K122*($E122/366))</f>
        <v>100</v>
      </c>
      <c r="C208" s="5">
        <f>(L121*($E121/366))+(L122*($E122/366))</f>
        <v>0</v>
      </c>
      <c r="D208" s="5">
        <f>(M121*($E121/366))+(M122*($E122/366))</f>
        <v>0</v>
      </c>
      <c r="E208" s="17">
        <f t="shared" ref="E208" si="38">B208+C208+D208</f>
        <v>100</v>
      </c>
      <c r="G208" s="1">
        <v>2016</v>
      </c>
      <c r="H208" s="392">
        <f>(O121/$R121*100*($E121/366))+(O122/$R122*100*($E122/366))</f>
        <v>100</v>
      </c>
      <c r="I208" s="392"/>
      <c r="J208" s="392">
        <f>(P121/$R121*100*($E121/366))+(P122/$R122*100*($E122/366))</f>
        <v>0</v>
      </c>
      <c r="K208" s="392"/>
      <c r="L208" s="392">
        <f>(Q121/$R121*100*($E121/366))+(Q122/$R122*100*($E122/366))</f>
        <v>0</v>
      </c>
      <c r="M208" s="392"/>
      <c r="N208" s="363">
        <f t="shared" ref="N208" si="39">H208+J208+L208</f>
        <v>100</v>
      </c>
      <c r="O208" s="363"/>
      <c r="R208" s="1">
        <v>2016</v>
      </c>
      <c r="S208" s="5">
        <f>(O121*($E121/366))+(O122*($E122/366))</f>
        <v>50.806557377049188</v>
      </c>
      <c r="T208" s="5">
        <f>(P121*($E121/366))+(P122*($E122/366))</f>
        <v>0</v>
      </c>
      <c r="U208" s="5">
        <f>(Q121*($E121/366))+(Q122*($E122/366))</f>
        <v>0</v>
      </c>
      <c r="W208" s="5">
        <f t="shared" ref="W208" si="40">S208+T208+U208</f>
        <v>50.806557377049188</v>
      </c>
    </row>
    <row r="209" spans="1:23" x14ac:dyDescent="0.15">
      <c r="A209" s="1">
        <v>2017</v>
      </c>
      <c r="B209" s="5">
        <f>(K123*($E123/365))+(K124*($E124/365))</f>
        <v>100</v>
      </c>
      <c r="C209" s="5">
        <f t="shared" ref="C209:D209" si="41">(L123*($E123/365))+(L124*($E124/365))</f>
        <v>0</v>
      </c>
      <c r="D209" s="5">
        <f t="shared" si="41"/>
        <v>0</v>
      </c>
      <c r="E209" s="17">
        <f t="shared" ref="E209" si="42">B209+C209+D209</f>
        <v>100</v>
      </c>
      <c r="G209" s="1">
        <v>2017</v>
      </c>
      <c r="H209" s="392">
        <f>(O123/$R123*100*($E123/365))+(O124/$R124*100*($E124/365))</f>
        <v>100</v>
      </c>
      <c r="I209" s="392"/>
      <c r="J209" s="392">
        <f>(P123/$R123*100*($E123/365))+(P124/$R124*100*($E124/365))</f>
        <v>0</v>
      </c>
      <c r="K209" s="392"/>
      <c r="L209" s="392">
        <f>(Q123/$R123*100*($E123/365))+(Q124/$R124*100*($E124/365))</f>
        <v>0</v>
      </c>
      <c r="M209" s="392"/>
      <c r="N209" s="363">
        <f t="shared" ref="N209" si="43">H209+J209+L209</f>
        <v>100</v>
      </c>
      <c r="O209" s="363"/>
      <c r="R209" s="1">
        <v>2017</v>
      </c>
      <c r="S209" s="5">
        <f>(O123*($E123/365))+(O124*($E124/365))</f>
        <v>49.638082191780825</v>
      </c>
      <c r="T209" s="5">
        <f>(P123*($E123/365))+(P124*($E124/365))</f>
        <v>0</v>
      </c>
      <c r="U209" s="5">
        <f>(Q123*($E123/365))+(Q124*($E124/365))</f>
        <v>0</v>
      </c>
      <c r="W209" s="5">
        <f t="shared" ref="W209" si="44">S209+T209+U209</f>
        <v>49.638082191780825</v>
      </c>
    </row>
    <row r="210" spans="1:23" x14ac:dyDescent="0.15">
      <c r="A210" s="1">
        <v>2018</v>
      </c>
      <c r="B210" s="5">
        <f>(K125*($E125/365))+(K126*($E126/365))</f>
        <v>100</v>
      </c>
      <c r="C210" s="5">
        <f>(L125*($E125/365))+(L126*($E126/365))</f>
        <v>0</v>
      </c>
      <c r="D210" s="5">
        <f>(M125*($E125/365))+(M126*($E126/365))</f>
        <v>0</v>
      </c>
      <c r="E210" s="17">
        <f t="shared" ref="E210" si="45">B210+C210+D210</f>
        <v>100</v>
      </c>
      <c r="G210" s="1">
        <v>2018</v>
      </c>
      <c r="H210" s="392">
        <f>(O125/$R125*100*($E125/365))+(O126/$R126*100*($E126/365))</f>
        <v>100</v>
      </c>
      <c r="I210" s="392"/>
      <c r="J210" s="392">
        <f>(P125/$R125*100*($E125/365))+(P126/$R126*100*($E126/365))</f>
        <v>0</v>
      </c>
      <c r="K210" s="392"/>
      <c r="L210" s="392">
        <f>(Q125/$R125*100*($E125/365))+(Q126/$R126*100*($E126/365))</f>
        <v>0</v>
      </c>
      <c r="M210" s="392"/>
      <c r="N210" s="363">
        <f t="shared" ref="N210" si="46">H210+J210+L210</f>
        <v>100</v>
      </c>
      <c r="O210" s="363"/>
      <c r="R210" s="1">
        <v>2018</v>
      </c>
      <c r="S210" s="5">
        <f>(O125*($E125/365))+(O126*($E126/365))</f>
        <v>48.8</v>
      </c>
      <c r="T210" s="5">
        <f>(P125*($E125/365))+(P126*($E126/365))</f>
        <v>0</v>
      </c>
      <c r="U210" s="5">
        <f>(Q125*($E125/365))+(Q126*($E126/365))</f>
        <v>0</v>
      </c>
      <c r="W210" s="5">
        <f t="shared" ref="W210" si="47">S210+T210+U210</f>
        <v>48.8</v>
      </c>
    </row>
    <row r="211" spans="1:23" x14ac:dyDescent="0.15">
      <c r="A211" s="1">
        <v>2019</v>
      </c>
      <c r="B211" s="5">
        <f>(K127*($E127/365))+(K128*($E128/365))+(K129*(E129/365))</f>
        <v>100</v>
      </c>
      <c r="C211" s="5">
        <f>(L127*($E127/365))+(L128*($E128/365))+(L129*(E129/365))</f>
        <v>0</v>
      </c>
      <c r="D211" s="5">
        <f>(M127*($E127/365))+(M128*($E128/365))+(M129*(E129/365))</f>
        <v>0</v>
      </c>
      <c r="E211" s="17">
        <f t="shared" ref="E211:E212" si="48">B211+C211+D211</f>
        <v>100</v>
      </c>
      <c r="G211" s="1">
        <v>2019</v>
      </c>
      <c r="H211" s="392">
        <f>(O127/$R127*100*($E127/365))+(O128/$R128*100*($E128/365))+(O129/R129*100*(E129/365))</f>
        <v>100</v>
      </c>
      <c r="I211" s="392"/>
      <c r="J211" s="392">
        <f>(P127/$R127*100*($E127/365))+(P128/$R128*100*($E128/365))+(P129/R129*100*(E129/365))</f>
        <v>0</v>
      </c>
      <c r="K211" s="392"/>
      <c r="L211" s="392">
        <f>(Q127/$R127*100*($E127/365))+(Q128/$R128*100*($E128/365))+(Q129/R129*100*(E129/365))</f>
        <v>0</v>
      </c>
      <c r="M211" s="392"/>
      <c r="N211" s="363">
        <f t="shared" ref="N211" si="49">H211+J211+L211</f>
        <v>100</v>
      </c>
      <c r="O211" s="363"/>
      <c r="R211" s="1">
        <v>2019</v>
      </c>
      <c r="S211" s="5">
        <f>(O127*($E127/365))+(O128*($E128/365))+(O129*(E129/365))</f>
        <v>48.01808219178082</v>
      </c>
      <c r="T211" s="5">
        <f>(P127*($E127/365))+(P128*($E128/365))+(P129*(E129/365))</f>
        <v>0</v>
      </c>
      <c r="U211" s="5">
        <f>(Q127*($E127/365))+(Q128*($E128/365))+(Q129*(E129/365))</f>
        <v>0</v>
      </c>
      <c r="W211" s="5">
        <f t="shared" ref="W211:W212" si="50">S211+T211+U211</f>
        <v>48.01808219178082</v>
      </c>
    </row>
    <row r="212" spans="1:23" x14ac:dyDescent="0.15">
      <c r="A212" s="1">
        <v>2020</v>
      </c>
      <c r="B212" s="5">
        <f>(K130*($E130/366))+(K131*($E131/366))+(K132*(E132/366))+(K133*(E133/366))</f>
        <v>100</v>
      </c>
      <c r="C212" s="5">
        <f>(L130*($E130/366))+(L131*($E131/366))+(L132*(F132/366))+(L133*(F133/366))</f>
        <v>0</v>
      </c>
      <c r="D212" s="5">
        <f>(M130*($E130/366))+(M131*($E131/366))+(M132*(G132/366))+(M133*(G133/366))</f>
        <v>0</v>
      </c>
      <c r="E212" s="17">
        <f t="shared" si="48"/>
        <v>100</v>
      </c>
      <c r="G212" s="1">
        <v>2020</v>
      </c>
      <c r="H212" s="392">
        <f>(O130/$R130*100*($E130/366))+(O131/$R131*100*($E131/366))+(O132/R132*100*(E132/366))+(O133/R133*100*(E133/366))</f>
        <v>100</v>
      </c>
      <c r="I212" s="392"/>
      <c r="J212" s="392">
        <f>(P130/$R130*100*($E130/366))+(P131/$R131*100*($E131/366))+(P132/R132*100*(E132/366))+(P133/R133*100*(E133/366))</f>
        <v>0</v>
      </c>
      <c r="K212" s="392"/>
      <c r="L212" s="392">
        <f>(Q130/$R130*100*($E130/366))+(Q131/$R131*100*($E131/366))+(Q132/R132*100*(E132/366))+(Q133/R133*100*(E133/366))</f>
        <v>0</v>
      </c>
      <c r="M212" s="392"/>
      <c r="N212" s="363">
        <f t="shared" ref="N212" si="51">H212+J212+L212</f>
        <v>100</v>
      </c>
      <c r="O212" s="363"/>
      <c r="R212" s="1">
        <v>2020</v>
      </c>
      <c r="S212" s="5">
        <f>(O130*($E130/366))+(O131*($E131/366))+(O132*(E132/366))+(O133*($E133/366))</f>
        <v>56.2</v>
      </c>
      <c r="T212" s="5">
        <f>(P130*($E130/366))+(P131*($E131/366))+(P132*(F132/366))+(P133*($E133/366))</f>
        <v>0</v>
      </c>
      <c r="U212" s="5">
        <f>(Q130*($E130/366))+(Q131*($E131/366))+(Q132*(G132/366))+(Q133*($E133/366))</f>
        <v>0</v>
      </c>
      <c r="W212" s="5">
        <f t="shared" si="50"/>
        <v>56.2</v>
      </c>
    </row>
    <row r="213" spans="1:23" x14ac:dyDescent="0.15">
      <c r="A213" s="1">
        <v>2021</v>
      </c>
      <c r="B213" s="5">
        <f>(K134*($E134/365))+(K135*($E135/365))+(K136*(E136/365))+(K137*(E137/365))</f>
        <v>100.00000000000001</v>
      </c>
      <c r="C213" s="5">
        <f>(L134*($E134/365))+(L135*($E135/365))+(L136*(F136/365))+(L137*(F137/365))</f>
        <v>0</v>
      </c>
      <c r="D213" s="5">
        <f>(M134*($E134/365))+(M135*($E135/365))+(M136*(G136/365))+(M137*(G137/365))</f>
        <v>0</v>
      </c>
      <c r="E213" s="17">
        <f t="shared" ref="E213" si="52">B213+C213+D213</f>
        <v>100.00000000000001</v>
      </c>
      <c r="G213" s="1">
        <v>2021</v>
      </c>
      <c r="H213" s="392">
        <f>(O134/$R134*100*($E134/365))+(O135/$R135*100*($E135/365))+(O136/R136*100*(E136/365))+(O137/R137*100*(E137/365))</f>
        <v>100.00000000000001</v>
      </c>
      <c r="I213" s="392"/>
      <c r="J213" s="392">
        <f>(P134/$R134*100*($E134/365))+(P135/$R135*100*($E135/365))+(P136/R136*100*(E136/365))+(P137/R137*100*(E137/365))</f>
        <v>0</v>
      </c>
      <c r="K213" s="392"/>
      <c r="L213" s="392">
        <f>(Q134/$R134*100*($E134/365))+(Q135/$R135*100*($E135/365))+(Q136/R136*100*(E136/365))+(Q137/R137*100*(E137/365))</f>
        <v>0</v>
      </c>
      <c r="M213" s="392"/>
      <c r="N213" s="363">
        <f t="shared" ref="N213" si="53">H213+J213+L213</f>
        <v>100.00000000000001</v>
      </c>
      <c r="O213" s="363"/>
      <c r="R213" s="1">
        <v>2021</v>
      </c>
      <c r="S213" s="5">
        <f>(O134*($E134/365))+(O135*($E135/365))+(O136*(E136/365))+(O137*($E137/365))</f>
        <v>56.2</v>
      </c>
      <c r="T213" s="5">
        <f>(P134*($E134/365))+(P135*($E135/365))+(P136*(F136/365))+(P137*($E137/365))</f>
        <v>0</v>
      </c>
      <c r="U213" s="5">
        <f>(Q134*($E134/365))+(Q135*($E135/365))+(Q136*(G136/365))+(Q137*($E137/365))</f>
        <v>0</v>
      </c>
      <c r="W213" s="5">
        <f t="shared" ref="W213" si="54">S213+T213+U213</f>
        <v>56.2</v>
      </c>
    </row>
    <row r="214" spans="1:23" x14ac:dyDescent="0.15">
      <c r="A214" s="1">
        <v>2022</v>
      </c>
      <c r="B214" s="5">
        <f>(K138*($E138/365))+(K139*($E139/365))+(K140*(E140/365))+(K141*(E141/365))+(K142*(E142/365))+(K143*(E143/365))+(K144*(E144/365))</f>
        <v>100.00000000000001</v>
      </c>
      <c r="C214" s="5">
        <f>(L138*($E138/365))+(L139*($E139/365))+(L140*(F140/365))+(L141*(F141/365))+(L142*(F142/365))+(L143*(F143/365))+(L144*(F144/365))</f>
        <v>0</v>
      </c>
      <c r="D214" s="5">
        <f>(M138*($E138/365))+(M139*($E139/365))+(M140*(G140/365))+(M141*(G141/365))+(M142*(G142/365))+(M143*(G143/365))+(M144*(G144/365))</f>
        <v>0</v>
      </c>
      <c r="E214" s="17">
        <f t="shared" ref="E214" si="55">B214+C214+D214</f>
        <v>100.00000000000001</v>
      </c>
      <c r="G214" s="1">
        <v>2022</v>
      </c>
      <c r="H214" s="392">
        <f>(O138/$R138*100*($E138/365))+(O139/$R139*100*($E139/365))+(O140/R140*100*(E140/365))+(O141/R141*100*(E141/365))+(O142/R142*100*(E142/365))+(O143/R143*100*(E143/365))+(O144/R144*100*(E144/365))</f>
        <v>100.00000000000001</v>
      </c>
      <c r="I214" s="392"/>
      <c r="J214" s="392">
        <f>(P135/$R135*100*($E135/365))+(P136/$R136*100*($E136/365))+(P137/R137*100*(E137/365))+(P138/R138*100*(E138/365))</f>
        <v>0</v>
      </c>
      <c r="K214" s="392"/>
      <c r="L214" s="392">
        <f>(Q135/$R135*100*($E135/365))+(Q136/$R136*100*($E136/365))+(Q137/R137*100*(E137/365))+(Q138/R138*100*(E138/365))</f>
        <v>0</v>
      </c>
      <c r="M214" s="392"/>
      <c r="N214" s="363">
        <f t="shared" ref="N214" si="56">H214+J214+L214</f>
        <v>100.00000000000001</v>
      </c>
      <c r="O214" s="363"/>
      <c r="R214" s="1">
        <v>2022</v>
      </c>
      <c r="S214" s="5">
        <f>(O138*($E138/365))+(O139*($E139/365))+(O140*(E140/365))+(O141*($E141/365))+(O142*($E142/365))+(O143*($E143/365))+(O144*($E144/365))</f>
        <v>55.783287671232877</v>
      </c>
      <c r="T214" s="5">
        <f>(P138*($E138/365))+(P139*($E139/365))+(P140*(F140/365))+(P141*($E141/365))+(P142*($E142/365))+(P143*($E143/365))+(P144*($E144/365))</f>
        <v>0</v>
      </c>
      <c r="U214" s="5">
        <f>(Q138*($E138/365))+(Q139*($E139/365))+(Q140*(G140/365))+(Q141*($E141/365))+(Q142*($E142/365))+(Q143*($E143/365))+(Q144*($E144/365))</f>
        <v>0</v>
      </c>
      <c r="W214" s="5">
        <f t="shared" ref="W214" si="57">S214+T214+U214</f>
        <v>55.783287671232877</v>
      </c>
    </row>
  </sheetData>
  <mergeCells count="421">
    <mergeCell ref="N182:O182"/>
    <mergeCell ref="H207:I207"/>
    <mergeCell ref="J207:K207"/>
    <mergeCell ref="H208:I208"/>
    <mergeCell ref="J208:K208"/>
    <mergeCell ref="L208:M208"/>
    <mergeCell ref="N208:O208"/>
    <mergeCell ref="N197:O197"/>
    <mergeCell ref="N198:O198"/>
    <mergeCell ref="N199:O199"/>
    <mergeCell ref="N200:O200"/>
    <mergeCell ref="L200:M200"/>
    <mergeCell ref="L201:M201"/>
    <mergeCell ref="L202:M202"/>
    <mergeCell ref="L207:M207"/>
    <mergeCell ref="N207:O207"/>
    <mergeCell ref="H206:I206"/>
    <mergeCell ref="J206:K206"/>
    <mergeCell ref="L206:M206"/>
    <mergeCell ref="N206:O206"/>
    <mergeCell ref="L203:M203"/>
    <mergeCell ref="L204:M204"/>
    <mergeCell ref="J203:K203"/>
    <mergeCell ref="J204:K204"/>
    <mergeCell ref="H203:I203"/>
    <mergeCell ref="H204:I204"/>
    <mergeCell ref="H200:I200"/>
    <mergeCell ref="H201:I201"/>
    <mergeCell ref="H202:I202"/>
    <mergeCell ref="H187:I187"/>
    <mergeCell ref="H179:I179"/>
    <mergeCell ref="J179:K179"/>
    <mergeCell ref="H177:I177"/>
    <mergeCell ref="J177:K177"/>
    <mergeCell ref="J201:K201"/>
    <mergeCell ref="J202:K202"/>
    <mergeCell ref="H183:I183"/>
    <mergeCell ref="H184:I184"/>
    <mergeCell ref="H185:I185"/>
    <mergeCell ref="H186:I186"/>
    <mergeCell ref="H194:I194"/>
    <mergeCell ref="H195:I195"/>
    <mergeCell ref="H196:I196"/>
    <mergeCell ref="H197:I197"/>
    <mergeCell ref="H198:I198"/>
    <mergeCell ref="H199:I199"/>
    <mergeCell ref="H188:I188"/>
    <mergeCell ref="H189:I189"/>
    <mergeCell ref="H190:I190"/>
    <mergeCell ref="H191:I191"/>
    <mergeCell ref="H192:I192"/>
    <mergeCell ref="H193:I193"/>
    <mergeCell ref="H182:I182"/>
    <mergeCell ref="J188:K188"/>
    <mergeCell ref="J189:K189"/>
    <mergeCell ref="J190:K190"/>
    <mergeCell ref="J197:K197"/>
    <mergeCell ref="J198:K198"/>
    <mergeCell ref="J199:K199"/>
    <mergeCell ref="J200:K200"/>
    <mergeCell ref="J191:K191"/>
    <mergeCell ref="J192:K192"/>
    <mergeCell ref="J193:K193"/>
    <mergeCell ref="J194:K194"/>
    <mergeCell ref="J195:K195"/>
    <mergeCell ref="J196:K196"/>
    <mergeCell ref="L194:M194"/>
    <mergeCell ref="L195:M195"/>
    <mergeCell ref="L196:M196"/>
    <mergeCell ref="L197:M197"/>
    <mergeCell ref="L198:M198"/>
    <mergeCell ref="L199:M199"/>
    <mergeCell ref="L188:M188"/>
    <mergeCell ref="L189:M189"/>
    <mergeCell ref="L190:M190"/>
    <mergeCell ref="L191:M191"/>
    <mergeCell ref="L192:M192"/>
    <mergeCell ref="L193:M193"/>
    <mergeCell ref="AT4:AW4"/>
    <mergeCell ref="AX4:BA4"/>
    <mergeCell ref="N205:O205"/>
    <mergeCell ref="C115:D115"/>
    <mergeCell ref="C116:D116"/>
    <mergeCell ref="H205:I205"/>
    <mergeCell ref="J205:K205"/>
    <mergeCell ref="L205:M205"/>
    <mergeCell ref="N203:O203"/>
    <mergeCell ref="N204:O204"/>
    <mergeCell ref="N201:O201"/>
    <mergeCell ref="N202:O202"/>
    <mergeCell ref="N191:O191"/>
    <mergeCell ref="N192:O192"/>
    <mergeCell ref="N193:O193"/>
    <mergeCell ref="N194:O194"/>
    <mergeCell ref="N195:O195"/>
    <mergeCell ref="N196:O196"/>
    <mergeCell ref="N185:O185"/>
    <mergeCell ref="N186:O186"/>
    <mergeCell ref="N187:O187"/>
    <mergeCell ref="N188:O188"/>
    <mergeCell ref="N189:O189"/>
    <mergeCell ref="N190:O190"/>
    <mergeCell ref="L179:M179"/>
    <mergeCell ref="N179:O179"/>
    <mergeCell ref="H180:I180"/>
    <mergeCell ref="H181:I181"/>
    <mergeCell ref="L185:M185"/>
    <mergeCell ref="L186:M186"/>
    <mergeCell ref="L187:M187"/>
    <mergeCell ref="J185:K185"/>
    <mergeCell ref="J186:K186"/>
    <mergeCell ref="J187:K187"/>
    <mergeCell ref="N183:O183"/>
    <mergeCell ref="N184:O184"/>
    <mergeCell ref="L180:M180"/>
    <mergeCell ref="L181:M181"/>
    <mergeCell ref="L182:M182"/>
    <mergeCell ref="L183:M183"/>
    <mergeCell ref="L184:M184"/>
    <mergeCell ref="J180:K180"/>
    <mergeCell ref="J181:K181"/>
    <mergeCell ref="J182:K182"/>
    <mergeCell ref="J183:K183"/>
    <mergeCell ref="J184:K184"/>
    <mergeCell ref="N180:O180"/>
    <mergeCell ref="N181:O181"/>
    <mergeCell ref="L177:M177"/>
    <mergeCell ref="N177:O177"/>
    <mergeCell ref="H178:I178"/>
    <mergeCell ref="J178:K178"/>
    <mergeCell ref="L178:M178"/>
    <mergeCell ref="N178:O178"/>
    <mergeCell ref="H175:I175"/>
    <mergeCell ref="J175:K175"/>
    <mergeCell ref="L175:M175"/>
    <mergeCell ref="N175:O175"/>
    <mergeCell ref="H176:I176"/>
    <mergeCell ref="J176:K176"/>
    <mergeCell ref="L176:M176"/>
    <mergeCell ref="N176:O176"/>
    <mergeCell ref="L173:M173"/>
    <mergeCell ref="N173:O173"/>
    <mergeCell ref="H174:I174"/>
    <mergeCell ref="J174:K174"/>
    <mergeCell ref="L174:M174"/>
    <mergeCell ref="N174:O174"/>
    <mergeCell ref="H171:I171"/>
    <mergeCell ref="J171:K171"/>
    <mergeCell ref="L171:M171"/>
    <mergeCell ref="N171:O171"/>
    <mergeCell ref="H172:I172"/>
    <mergeCell ref="J172:K172"/>
    <mergeCell ref="L172:M172"/>
    <mergeCell ref="N172:O172"/>
    <mergeCell ref="H173:I173"/>
    <mergeCell ref="J173:K173"/>
    <mergeCell ref="H169:I169"/>
    <mergeCell ref="J169:K169"/>
    <mergeCell ref="L169:M169"/>
    <mergeCell ref="N169:O169"/>
    <mergeCell ref="H170:I170"/>
    <mergeCell ref="J170:K170"/>
    <mergeCell ref="L170:M170"/>
    <mergeCell ref="N170:O170"/>
    <mergeCell ref="H167:I167"/>
    <mergeCell ref="J167:K167"/>
    <mergeCell ref="L167:M167"/>
    <mergeCell ref="N167:O167"/>
    <mergeCell ref="H168:I168"/>
    <mergeCell ref="J168:K168"/>
    <mergeCell ref="L168:M168"/>
    <mergeCell ref="N168:O168"/>
    <mergeCell ref="H165:I165"/>
    <mergeCell ref="J165:K165"/>
    <mergeCell ref="L165:M165"/>
    <mergeCell ref="N165:O165"/>
    <mergeCell ref="H166:I166"/>
    <mergeCell ref="J166:K166"/>
    <mergeCell ref="L166:M166"/>
    <mergeCell ref="N166:O166"/>
    <mergeCell ref="H163:I163"/>
    <mergeCell ref="J163:K163"/>
    <mergeCell ref="L163:M163"/>
    <mergeCell ref="N163:O163"/>
    <mergeCell ref="H164:I164"/>
    <mergeCell ref="J164:K164"/>
    <mergeCell ref="L164:M164"/>
    <mergeCell ref="N164:O164"/>
    <mergeCell ref="H161:I161"/>
    <mergeCell ref="J161:K161"/>
    <mergeCell ref="L161:M161"/>
    <mergeCell ref="N161:O161"/>
    <mergeCell ref="H162:I162"/>
    <mergeCell ref="J162:K162"/>
    <mergeCell ref="L162:M162"/>
    <mergeCell ref="N162:O162"/>
    <mergeCell ref="H159:I159"/>
    <mergeCell ref="J159:K159"/>
    <mergeCell ref="L159:M159"/>
    <mergeCell ref="N159:O159"/>
    <mergeCell ref="H160:I160"/>
    <mergeCell ref="J160:K160"/>
    <mergeCell ref="L160:M160"/>
    <mergeCell ref="N160:O160"/>
    <mergeCell ref="R148:W148"/>
    <mergeCell ref="H150:I150"/>
    <mergeCell ref="J150:K150"/>
    <mergeCell ref="L150:M150"/>
    <mergeCell ref="N150:O150"/>
    <mergeCell ref="H152:I152"/>
    <mergeCell ref="J152:K152"/>
    <mergeCell ref="L152:M152"/>
    <mergeCell ref="N152:O152"/>
    <mergeCell ref="H151:I151"/>
    <mergeCell ref="J151:K151"/>
    <mergeCell ref="L151:M151"/>
    <mergeCell ref="N151:O151"/>
    <mergeCell ref="G3:M3"/>
    <mergeCell ref="O3:Q3"/>
    <mergeCell ref="C9:D9"/>
    <mergeCell ref="C10:D10"/>
    <mergeCell ref="A4:A5"/>
    <mergeCell ref="B4:B5"/>
    <mergeCell ref="C4:D5"/>
    <mergeCell ref="E4:E5"/>
    <mergeCell ref="F4:F5"/>
    <mergeCell ref="G4:J4"/>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9:D39"/>
    <mergeCell ref="C40:D40"/>
    <mergeCell ref="C41:D41"/>
    <mergeCell ref="C42:D42"/>
    <mergeCell ref="C43:D43"/>
    <mergeCell ref="C38:D38"/>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100:D100"/>
    <mergeCell ref="C101:D101"/>
    <mergeCell ref="C102:D102"/>
    <mergeCell ref="C76:D76"/>
    <mergeCell ref="C77:D77"/>
    <mergeCell ref="C78:D78"/>
    <mergeCell ref="C79:D79"/>
    <mergeCell ref="C80:D80"/>
    <mergeCell ref="C81:D81"/>
    <mergeCell ref="C82:D82"/>
    <mergeCell ref="C83:D83"/>
    <mergeCell ref="C84:D84"/>
    <mergeCell ref="C142:D142"/>
    <mergeCell ref="C143:D143"/>
    <mergeCell ref="C144:D144"/>
    <mergeCell ref="C121:D121"/>
    <mergeCell ref="C122:D122"/>
    <mergeCell ref="C85:D85"/>
    <mergeCell ref="C86:D86"/>
    <mergeCell ref="C87:D87"/>
    <mergeCell ref="C88:D88"/>
    <mergeCell ref="C89:D89"/>
    <mergeCell ref="C90:D90"/>
    <mergeCell ref="C91:D91"/>
    <mergeCell ref="C92:D92"/>
    <mergeCell ref="C93:D93"/>
    <mergeCell ref="C94:D94"/>
    <mergeCell ref="C95:D95"/>
    <mergeCell ref="C96:D96"/>
    <mergeCell ref="C97:D97"/>
    <mergeCell ref="C107:D107"/>
    <mergeCell ref="C108:D108"/>
    <mergeCell ref="C109:D109"/>
    <mergeCell ref="C110:D110"/>
    <mergeCell ref="C98:D98"/>
    <mergeCell ref="C99:D99"/>
    <mergeCell ref="C136:D136"/>
    <mergeCell ref="C137:D137"/>
    <mergeCell ref="C138:D138"/>
    <mergeCell ref="C139:D139"/>
    <mergeCell ref="C140:D140"/>
    <mergeCell ref="C141:D141"/>
    <mergeCell ref="C103:D103"/>
    <mergeCell ref="C111:D111"/>
    <mergeCell ref="C104:D104"/>
    <mergeCell ref="C105:D105"/>
    <mergeCell ref="C112:D112"/>
    <mergeCell ref="C113:D113"/>
    <mergeCell ref="C114:D114"/>
    <mergeCell ref="C106:D106"/>
    <mergeCell ref="H158:I158"/>
    <mergeCell ref="J158:K158"/>
    <mergeCell ref="L158:M158"/>
    <mergeCell ref="N158:O158"/>
    <mergeCell ref="H155:I155"/>
    <mergeCell ref="J155:K155"/>
    <mergeCell ref="J153:K153"/>
    <mergeCell ref="C117:D117"/>
    <mergeCell ref="C118:D118"/>
    <mergeCell ref="C119:D119"/>
    <mergeCell ref="C120:D120"/>
    <mergeCell ref="C125:D125"/>
    <mergeCell ref="C126:D126"/>
    <mergeCell ref="C127:D127"/>
    <mergeCell ref="C128:D128"/>
    <mergeCell ref="C129:D129"/>
    <mergeCell ref="C130:D130"/>
    <mergeCell ref="C131:D131"/>
    <mergeCell ref="C132:D132"/>
    <mergeCell ref="C133:D133"/>
    <mergeCell ref="C123:D123"/>
    <mergeCell ref="C124:D124"/>
    <mergeCell ref="C134:D134"/>
    <mergeCell ref="C135:D135"/>
    <mergeCell ref="H209:I209"/>
    <mergeCell ref="J209:K209"/>
    <mergeCell ref="L209:M209"/>
    <mergeCell ref="N209:O209"/>
    <mergeCell ref="H210:I210"/>
    <mergeCell ref="J210:K210"/>
    <mergeCell ref="L210:M210"/>
    <mergeCell ref="N210:O210"/>
    <mergeCell ref="L214:M214"/>
    <mergeCell ref="N214:O214"/>
    <mergeCell ref="H214:I214"/>
    <mergeCell ref="J214:K214"/>
    <mergeCell ref="H213:I213"/>
    <mergeCell ref="J213:K213"/>
    <mergeCell ref="L213:M213"/>
    <mergeCell ref="N213:O213"/>
    <mergeCell ref="H212:I212"/>
    <mergeCell ref="J212:K212"/>
    <mergeCell ref="L212:M212"/>
    <mergeCell ref="N212:O212"/>
    <mergeCell ref="J211:K211"/>
    <mergeCell ref="L211:M211"/>
    <mergeCell ref="H211:I211"/>
    <mergeCell ref="N211:O211"/>
    <mergeCell ref="L153:M153"/>
    <mergeCell ref="N153:O153"/>
    <mergeCell ref="H154:I154"/>
    <mergeCell ref="J154:K154"/>
    <mergeCell ref="L154:M154"/>
    <mergeCell ref="N154:O154"/>
    <mergeCell ref="H157:I157"/>
    <mergeCell ref="J157:K157"/>
    <mergeCell ref="L157:M157"/>
    <mergeCell ref="N157:O157"/>
    <mergeCell ref="L155:M155"/>
    <mergeCell ref="N155:O155"/>
    <mergeCell ref="H156:I156"/>
    <mergeCell ref="J156:K156"/>
    <mergeCell ref="L156:M156"/>
    <mergeCell ref="N156:O156"/>
    <mergeCell ref="H153:I153"/>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BA217"/>
  <sheetViews>
    <sheetView tabSelected="1" zoomScale="105" zoomScaleNormal="120" workbookViewId="0">
      <pane xSplit="1" ySplit="5" topLeftCell="B6" activePane="bottomRight" state="frozen"/>
      <selection pane="topRight" activeCell="B1" sqref="B1"/>
      <selection pane="bottomLeft" activeCell="A6" sqref="A6"/>
      <selection pane="bottomRight" sqref="A1:XFD1048576"/>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row r="2" spans="1:53" ht="15" customHeight="1" x14ac:dyDescent="0.15">
      <c r="B2" s="15" t="s">
        <v>71</v>
      </c>
    </row>
    <row r="3" spans="1:53" x14ac:dyDescent="0.15">
      <c r="G3" s="397"/>
      <c r="H3" s="397"/>
      <c r="I3" s="397"/>
      <c r="J3" s="397"/>
      <c r="K3" s="397"/>
      <c r="L3" s="397"/>
      <c r="M3" s="397"/>
      <c r="O3" s="397"/>
      <c r="P3" s="397"/>
      <c r="Q3" s="397"/>
    </row>
    <row r="4" spans="1:53" s="180" customFormat="1" ht="12.75" customHeight="1" x14ac:dyDescent="0.15">
      <c r="A4" s="372" t="s">
        <v>3</v>
      </c>
      <c r="B4" s="378" t="s">
        <v>4</v>
      </c>
      <c r="C4" s="372" t="s">
        <v>1260</v>
      </c>
      <c r="D4" s="372"/>
      <c r="E4" s="378" t="s">
        <v>5</v>
      </c>
      <c r="F4" s="415" t="s">
        <v>7</v>
      </c>
      <c r="G4" s="374" t="s">
        <v>1196</v>
      </c>
      <c r="H4" s="372"/>
      <c r="I4" s="372"/>
      <c r="J4" s="375"/>
      <c r="K4" s="374" t="s">
        <v>1197</v>
      </c>
      <c r="L4" s="372"/>
      <c r="M4" s="372"/>
      <c r="N4" s="375"/>
      <c r="O4" s="374" t="s">
        <v>1194</v>
      </c>
      <c r="P4" s="372"/>
      <c r="Q4" s="372"/>
      <c r="R4" s="375"/>
      <c r="S4" s="376" t="s">
        <v>13</v>
      </c>
      <c r="T4" s="436" t="s">
        <v>777</v>
      </c>
      <c r="U4" s="380" t="s">
        <v>4</v>
      </c>
      <c r="V4" s="371" t="s">
        <v>1185</v>
      </c>
      <c r="W4" s="372"/>
      <c r="X4" s="372"/>
      <c r="Y4" s="373"/>
      <c r="Z4" s="371" t="s">
        <v>1186</v>
      </c>
      <c r="AA4" s="372"/>
      <c r="AB4" s="372"/>
      <c r="AC4" s="373"/>
      <c r="AD4" s="371" t="s">
        <v>1187</v>
      </c>
      <c r="AE4" s="372"/>
      <c r="AF4" s="372"/>
      <c r="AG4" s="373"/>
      <c r="AH4" s="371" t="s">
        <v>1188</v>
      </c>
      <c r="AI4" s="372"/>
      <c r="AJ4" s="372"/>
      <c r="AK4" s="373"/>
      <c r="AL4" s="371" t="s">
        <v>1189</v>
      </c>
      <c r="AM4" s="372"/>
      <c r="AN4" s="372"/>
      <c r="AO4" s="373"/>
      <c r="AP4" s="371" t="s">
        <v>1190</v>
      </c>
      <c r="AQ4" s="372"/>
      <c r="AR4" s="372"/>
      <c r="AS4" s="373"/>
      <c r="AT4" s="371" t="s">
        <v>1258</v>
      </c>
      <c r="AU4" s="372"/>
      <c r="AV4" s="372"/>
      <c r="AW4" s="373"/>
      <c r="AX4" s="371" t="s">
        <v>1259</v>
      </c>
      <c r="AY4" s="372"/>
      <c r="AZ4" s="372"/>
      <c r="BA4" s="375"/>
    </row>
    <row r="5" spans="1:53" s="185" customFormat="1" x14ac:dyDescent="0.15">
      <c r="A5" s="384"/>
      <c r="B5" s="379"/>
      <c r="C5" s="385"/>
      <c r="D5" s="385"/>
      <c r="E5" s="379"/>
      <c r="F5" s="416"/>
      <c r="G5" s="181" t="s">
        <v>1191</v>
      </c>
      <c r="H5" s="182" t="s">
        <v>1550</v>
      </c>
      <c r="I5" s="182" t="s">
        <v>1192</v>
      </c>
      <c r="J5" s="183" t="s">
        <v>1193</v>
      </c>
      <c r="K5" s="181" t="s">
        <v>1191</v>
      </c>
      <c r="L5" s="182" t="s">
        <v>1550</v>
      </c>
      <c r="M5" s="182" t="s">
        <v>1192</v>
      </c>
      <c r="N5" s="183" t="s">
        <v>1193</v>
      </c>
      <c r="O5" s="181" t="s">
        <v>1191</v>
      </c>
      <c r="P5" s="182" t="s">
        <v>1550</v>
      </c>
      <c r="Q5" s="182" t="s">
        <v>1192</v>
      </c>
      <c r="R5" s="184" t="s">
        <v>1193</v>
      </c>
      <c r="S5" s="377"/>
      <c r="T5" s="437"/>
      <c r="U5" s="381"/>
      <c r="V5" s="185" t="s">
        <v>23</v>
      </c>
      <c r="W5" s="185" t="s">
        <v>24</v>
      </c>
      <c r="X5" s="185" t="s">
        <v>25</v>
      </c>
      <c r="Y5" s="185" t="s">
        <v>1195</v>
      </c>
      <c r="Z5" s="186" t="s">
        <v>23</v>
      </c>
      <c r="AA5" s="185" t="s">
        <v>24</v>
      </c>
      <c r="AB5" s="185" t="s">
        <v>25</v>
      </c>
      <c r="AC5" s="187" t="s">
        <v>1195</v>
      </c>
      <c r="AD5" s="186" t="s">
        <v>23</v>
      </c>
      <c r="AE5" s="185" t="s">
        <v>24</v>
      </c>
      <c r="AF5" s="185" t="s">
        <v>25</v>
      </c>
      <c r="AG5" s="187" t="s">
        <v>1195</v>
      </c>
      <c r="AH5" s="185" t="s">
        <v>23</v>
      </c>
      <c r="AI5" s="185" t="s">
        <v>24</v>
      </c>
      <c r="AJ5" s="185" t="s">
        <v>25</v>
      </c>
      <c r="AK5" s="185" t="s">
        <v>1195</v>
      </c>
      <c r="AL5" s="186" t="s">
        <v>23</v>
      </c>
      <c r="AM5" s="185" t="s">
        <v>24</v>
      </c>
      <c r="AN5" s="185" t="s">
        <v>25</v>
      </c>
      <c r="AO5" s="187" t="s">
        <v>1195</v>
      </c>
      <c r="AP5" s="186" t="s">
        <v>23</v>
      </c>
      <c r="AQ5" s="185" t="s">
        <v>24</v>
      </c>
      <c r="AR5" s="185" t="s">
        <v>25</v>
      </c>
      <c r="AS5" s="187" t="s">
        <v>1195</v>
      </c>
      <c r="AT5" s="185" t="s">
        <v>23</v>
      </c>
      <c r="AU5" s="185" t="s">
        <v>24</v>
      </c>
      <c r="AV5" s="185" t="s">
        <v>25</v>
      </c>
      <c r="AW5" s="187" t="s">
        <v>1195</v>
      </c>
      <c r="AX5" s="185" t="s">
        <v>23</v>
      </c>
      <c r="AY5" s="185" t="s">
        <v>24</v>
      </c>
      <c r="AZ5" s="185" t="s">
        <v>25</v>
      </c>
      <c r="BA5" s="188" t="s">
        <v>1195</v>
      </c>
    </row>
    <row r="6" spans="1:53" s="139" customFormat="1" x14ac:dyDescent="0.15">
      <c r="A6" s="145">
        <v>1959</v>
      </c>
      <c r="B6" s="294"/>
      <c r="C6" s="398" t="s">
        <v>572</v>
      </c>
      <c r="D6" s="398"/>
      <c r="E6" s="139">
        <v>0</v>
      </c>
      <c r="G6" s="147">
        <v>12</v>
      </c>
      <c r="H6" s="139">
        <v>1</v>
      </c>
      <c r="J6" s="153">
        <v>13</v>
      </c>
      <c r="K6" s="133">
        <f t="shared" ref="K6:M8" si="0">G6/$J6*100</f>
        <v>92.307692307692307</v>
      </c>
      <c r="L6" s="133">
        <f t="shared" si="0"/>
        <v>7.6923076923076925</v>
      </c>
      <c r="M6" s="133">
        <f t="shared" si="0"/>
        <v>0</v>
      </c>
      <c r="N6" s="149">
        <f>K6+L6+M6</f>
        <v>100</v>
      </c>
      <c r="O6" s="132">
        <v>35</v>
      </c>
      <c r="P6" s="133"/>
      <c r="Q6" s="133"/>
      <c r="R6" s="134">
        <f>O6+P6+Q6</f>
        <v>35</v>
      </c>
      <c r="S6" s="139">
        <v>1</v>
      </c>
      <c r="T6" s="306"/>
      <c r="U6" s="294"/>
      <c r="V6" s="138" t="s">
        <v>330</v>
      </c>
      <c r="W6" s="139" t="s">
        <v>74</v>
      </c>
      <c r="X6" s="139" t="s">
        <v>11</v>
      </c>
      <c r="Y6" s="140">
        <v>35</v>
      </c>
      <c r="AD6" s="138"/>
      <c r="AG6" s="140"/>
      <c r="AL6" s="138"/>
      <c r="AO6" s="140"/>
      <c r="AP6" s="138"/>
      <c r="AS6" s="140"/>
      <c r="AW6" s="140"/>
      <c r="BA6" s="141"/>
    </row>
    <row r="7" spans="1:53" s="139" customFormat="1" x14ac:dyDescent="0.15">
      <c r="A7" s="145">
        <v>1959</v>
      </c>
      <c r="B7" s="294"/>
      <c r="C7" s="398" t="s">
        <v>572</v>
      </c>
      <c r="D7" s="398"/>
      <c r="E7" s="139">
        <v>365</v>
      </c>
      <c r="G7" s="147">
        <v>12</v>
      </c>
      <c r="H7" s="139">
        <v>1</v>
      </c>
      <c r="J7" s="153">
        <v>13</v>
      </c>
      <c r="K7" s="133">
        <f t="shared" si="0"/>
        <v>92.307692307692307</v>
      </c>
      <c r="L7" s="133">
        <f t="shared" si="0"/>
        <v>7.6923076923076925</v>
      </c>
      <c r="M7" s="133">
        <f t="shared" si="0"/>
        <v>0</v>
      </c>
      <c r="N7" s="149">
        <f>K7+L7+M7</f>
        <v>100</v>
      </c>
      <c r="O7" s="132">
        <v>35</v>
      </c>
      <c r="P7" s="133"/>
      <c r="Q7" s="133"/>
      <c r="R7" s="134">
        <f>O7+P7+Q7</f>
        <v>35</v>
      </c>
      <c r="S7" s="139">
        <v>1</v>
      </c>
      <c r="T7" s="306"/>
      <c r="U7" s="294"/>
      <c r="V7" s="138" t="s">
        <v>330</v>
      </c>
      <c r="W7" s="139" t="s">
        <v>74</v>
      </c>
      <c r="X7" s="139" t="s">
        <v>11</v>
      </c>
      <c r="Y7" s="140">
        <v>35</v>
      </c>
      <c r="AD7" s="138"/>
      <c r="AG7" s="140"/>
      <c r="AL7" s="138"/>
      <c r="AO7" s="140"/>
      <c r="AP7" s="138"/>
      <c r="AS7" s="140"/>
      <c r="AW7" s="140"/>
      <c r="BA7" s="141"/>
    </row>
    <row r="8" spans="1:53" s="28" customFormat="1" x14ac:dyDescent="0.15">
      <c r="A8" s="51">
        <v>1960</v>
      </c>
      <c r="B8" s="293"/>
      <c r="C8" s="394" t="s">
        <v>572</v>
      </c>
      <c r="D8" s="394"/>
      <c r="E8" s="28">
        <v>312</v>
      </c>
      <c r="G8" s="65">
        <v>12</v>
      </c>
      <c r="H8" s="28">
        <v>1</v>
      </c>
      <c r="J8" s="72">
        <v>13</v>
      </c>
      <c r="K8" s="46">
        <f t="shared" si="0"/>
        <v>92.307692307692307</v>
      </c>
      <c r="L8" s="46">
        <f t="shared" si="0"/>
        <v>7.6923076923076925</v>
      </c>
      <c r="M8" s="46">
        <f t="shared" si="0"/>
        <v>0</v>
      </c>
      <c r="N8" s="67">
        <f>K8+L8+M8</f>
        <v>100</v>
      </c>
      <c r="O8" s="45">
        <v>35</v>
      </c>
      <c r="P8" s="46"/>
      <c r="Q8" s="46"/>
      <c r="R8" s="47">
        <f>O8+P8+Q8</f>
        <v>35</v>
      </c>
      <c r="S8" s="28">
        <v>1</v>
      </c>
      <c r="T8" s="284"/>
      <c r="U8" s="293"/>
      <c r="V8" s="37" t="s">
        <v>330</v>
      </c>
      <c r="W8" s="28" t="s">
        <v>74</v>
      </c>
      <c r="X8" s="28" t="s">
        <v>11</v>
      </c>
      <c r="Y8" s="38">
        <v>35</v>
      </c>
      <c r="Z8" s="83"/>
      <c r="AA8" s="83"/>
      <c r="AB8" s="83"/>
      <c r="AC8" s="83"/>
      <c r="AD8" s="37"/>
      <c r="AG8" s="38"/>
      <c r="AL8" s="37"/>
      <c r="AO8" s="38"/>
      <c r="AP8" s="37"/>
      <c r="AS8" s="38"/>
      <c r="AW8" s="38"/>
      <c r="BA8" s="39"/>
    </row>
    <row r="9" spans="1:53" s="28" customFormat="1" x14ac:dyDescent="0.15">
      <c r="A9" s="51">
        <v>1960</v>
      </c>
      <c r="B9" s="301">
        <v>22228</v>
      </c>
      <c r="C9" s="394" t="s">
        <v>572</v>
      </c>
      <c r="D9" s="394"/>
      <c r="E9" s="28">
        <v>54</v>
      </c>
      <c r="F9" s="83" t="s">
        <v>327</v>
      </c>
      <c r="G9" s="65">
        <v>12</v>
      </c>
      <c r="H9" s="28">
        <v>1</v>
      </c>
      <c r="J9" s="72">
        <v>13</v>
      </c>
      <c r="K9" s="46">
        <f t="shared" ref="K9:M69" si="1">G9/$J9*100</f>
        <v>92.307692307692307</v>
      </c>
      <c r="L9" s="46">
        <f t="shared" si="1"/>
        <v>7.6923076923076925</v>
      </c>
      <c r="M9" s="46">
        <f t="shared" si="1"/>
        <v>0</v>
      </c>
      <c r="N9" s="67">
        <f t="shared" ref="N9:N75" si="2">K9+L9+M9</f>
        <v>100</v>
      </c>
      <c r="O9" s="45">
        <v>40</v>
      </c>
      <c r="P9" s="46"/>
      <c r="Q9" s="46"/>
      <c r="R9" s="47">
        <f>O9+P9+Q9</f>
        <v>40</v>
      </c>
      <c r="S9" s="28">
        <v>1</v>
      </c>
      <c r="T9" s="284">
        <v>22228</v>
      </c>
      <c r="U9" s="293"/>
      <c r="V9" s="37" t="s">
        <v>330</v>
      </c>
      <c r="W9" s="28" t="s">
        <v>74</v>
      </c>
      <c r="X9" s="28" t="s">
        <v>11</v>
      </c>
      <c r="Y9" s="38">
        <v>40</v>
      </c>
      <c r="Z9" s="83"/>
      <c r="AA9" s="83"/>
      <c r="AB9" s="83"/>
      <c r="AC9" s="83"/>
      <c r="AD9" s="37"/>
      <c r="AG9" s="38"/>
      <c r="AL9" s="37"/>
      <c r="AO9" s="38"/>
      <c r="AP9" s="37"/>
      <c r="AS9" s="38"/>
      <c r="AW9" s="38"/>
      <c r="BA9" s="39"/>
    </row>
    <row r="10" spans="1:53" s="28" customFormat="1" x14ac:dyDescent="0.15">
      <c r="A10" s="51">
        <v>1961</v>
      </c>
      <c r="B10" s="293"/>
      <c r="C10" s="394" t="s">
        <v>572</v>
      </c>
      <c r="D10" s="394"/>
      <c r="E10" s="28">
        <v>19</v>
      </c>
      <c r="G10" s="65">
        <v>12</v>
      </c>
      <c r="H10" s="28">
        <v>1</v>
      </c>
      <c r="J10" s="72">
        <v>13</v>
      </c>
      <c r="K10" s="46">
        <f t="shared" si="1"/>
        <v>92.307692307692307</v>
      </c>
      <c r="L10" s="46">
        <f t="shared" si="1"/>
        <v>7.6923076923076925</v>
      </c>
      <c r="M10" s="46">
        <f t="shared" si="1"/>
        <v>0</v>
      </c>
      <c r="N10" s="67">
        <f t="shared" si="2"/>
        <v>100</v>
      </c>
      <c r="O10" s="45">
        <v>40</v>
      </c>
      <c r="P10" s="46"/>
      <c r="Q10" s="46"/>
      <c r="R10" s="47">
        <f t="shared" ref="R10:R75" si="3">O10+P10+Q10</f>
        <v>40</v>
      </c>
      <c r="S10" s="28">
        <v>1</v>
      </c>
      <c r="T10" s="284"/>
      <c r="U10" s="293"/>
      <c r="V10" s="37" t="s">
        <v>330</v>
      </c>
      <c r="W10" s="28" t="s">
        <v>74</v>
      </c>
      <c r="X10" s="28" t="s">
        <v>11</v>
      </c>
      <c r="Y10" s="38">
        <v>40</v>
      </c>
      <c r="Z10" s="83"/>
      <c r="AA10" s="83"/>
      <c r="AB10" s="83"/>
      <c r="AC10" s="83"/>
      <c r="AD10" s="37"/>
      <c r="AG10" s="38"/>
      <c r="AL10" s="37"/>
      <c r="AO10" s="38"/>
      <c r="AP10" s="37"/>
      <c r="AS10" s="38"/>
      <c r="AW10" s="38"/>
      <c r="BA10" s="39"/>
    </row>
    <row r="11" spans="1:53" s="170" customFormat="1" x14ac:dyDescent="0.15">
      <c r="A11" s="215">
        <v>1961</v>
      </c>
      <c r="B11" s="281">
        <v>22301</v>
      </c>
      <c r="C11" s="395" t="s">
        <v>573</v>
      </c>
      <c r="D11" s="395"/>
      <c r="E11" s="170">
        <f>365-E10</f>
        <v>346</v>
      </c>
      <c r="F11" s="170">
        <v>1</v>
      </c>
      <c r="G11" s="232">
        <v>1</v>
      </c>
      <c r="H11" s="170">
        <v>14</v>
      </c>
      <c r="J11" s="240">
        <v>15</v>
      </c>
      <c r="K11" s="213">
        <f t="shared" si="1"/>
        <v>6.666666666666667</v>
      </c>
      <c r="L11" s="213">
        <f t="shared" si="1"/>
        <v>93.333333333333329</v>
      </c>
      <c r="M11" s="213">
        <f t="shared" si="1"/>
        <v>0</v>
      </c>
      <c r="N11" s="234">
        <f t="shared" si="2"/>
        <v>100</v>
      </c>
      <c r="O11" s="212"/>
      <c r="P11" s="213">
        <v>60</v>
      </c>
      <c r="Q11" s="213"/>
      <c r="R11" s="214">
        <f t="shared" si="3"/>
        <v>60</v>
      </c>
      <c r="S11" s="170">
        <v>1</v>
      </c>
      <c r="T11" s="283"/>
      <c r="U11" s="281">
        <v>22301</v>
      </c>
      <c r="V11" s="177" t="s">
        <v>130</v>
      </c>
      <c r="W11" s="170" t="s">
        <v>22</v>
      </c>
      <c r="X11" s="170" t="s">
        <v>18</v>
      </c>
      <c r="Y11" s="178">
        <v>60</v>
      </c>
      <c r="Z11" s="243"/>
      <c r="AA11" s="243"/>
      <c r="AB11" s="243"/>
      <c r="AC11" s="243"/>
      <c r="AD11" s="177"/>
      <c r="AG11" s="178"/>
      <c r="AL11" s="177"/>
      <c r="AO11" s="178"/>
      <c r="AP11" s="177"/>
      <c r="AS11" s="178"/>
      <c r="AW11" s="178"/>
      <c r="BA11" s="179"/>
    </row>
    <row r="12" spans="1:53" s="170" customFormat="1" x14ac:dyDescent="0.15">
      <c r="A12" s="215">
        <v>1962</v>
      </c>
      <c r="B12" s="281"/>
      <c r="C12" s="395" t="s">
        <v>573</v>
      </c>
      <c r="D12" s="395"/>
      <c r="E12" s="170">
        <v>309</v>
      </c>
      <c r="G12" s="232">
        <v>1</v>
      </c>
      <c r="H12" s="170">
        <v>14</v>
      </c>
      <c r="J12" s="240">
        <v>15</v>
      </c>
      <c r="K12" s="213">
        <f t="shared" si="1"/>
        <v>6.666666666666667</v>
      </c>
      <c r="L12" s="213">
        <f t="shared" si="1"/>
        <v>93.333333333333329</v>
      </c>
      <c r="M12" s="213">
        <f t="shared" si="1"/>
        <v>0</v>
      </c>
      <c r="N12" s="234">
        <f t="shared" si="2"/>
        <v>100</v>
      </c>
      <c r="O12" s="212"/>
      <c r="P12" s="213">
        <v>60</v>
      </c>
      <c r="Q12" s="213"/>
      <c r="R12" s="214">
        <f t="shared" si="3"/>
        <v>60</v>
      </c>
      <c r="S12" s="170">
        <v>1</v>
      </c>
      <c r="T12" s="283"/>
      <c r="U12" s="281"/>
      <c r="V12" s="177" t="s">
        <v>130</v>
      </c>
      <c r="W12" s="170" t="s">
        <v>22</v>
      </c>
      <c r="X12" s="170" t="s">
        <v>18</v>
      </c>
      <c r="Y12" s="178">
        <v>60</v>
      </c>
      <c r="Z12" s="243"/>
      <c r="AA12" s="243"/>
      <c r="AB12" s="243"/>
      <c r="AC12" s="243"/>
      <c r="AD12" s="177"/>
      <c r="AG12" s="178"/>
      <c r="AL12" s="177"/>
      <c r="AO12" s="178"/>
      <c r="AP12" s="177"/>
      <c r="AS12" s="178"/>
      <c r="AW12" s="178"/>
      <c r="BA12" s="179"/>
    </row>
    <row r="13" spans="1:53" s="170" customFormat="1" x14ac:dyDescent="0.15">
      <c r="A13" s="215">
        <v>1962</v>
      </c>
      <c r="B13" s="303">
        <v>22956</v>
      </c>
      <c r="C13" s="395" t="s">
        <v>573</v>
      </c>
      <c r="D13" s="395"/>
      <c r="E13" s="170">
        <v>56</v>
      </c>
      <c r="F13" s="243" t="s">
        <v>327</v>
      </c>
      <c r="G13" s="232">
        <v>1</v>
      </c>
      <c r="H13" s="170">
        <v>14</v>
      </c>
      <c r="J13" s="240">
        <v>15</v>
      </c>
      <c r="K13" s="213">
        <f t="shared" si="1"/>
        <v>6.666666666666667</v>
      </c>
      <c r="L13" s="213">
        <f t="shared" si="1"/>
        <v>93.333333333333329</v>
      </c>
      <c r="M13" s="213">
        <f t="shared" si="1"/>
        <v>0</v>
      </c>
      <c r="N13" s="234">
        <f t="shared" si="2"/>
        <v>100</v>
      </c>
      <c r="O13" s="212"/>
      <c r="P13" s="213">
        <v>59.5</v>
      </c>
      <c r="Q13" s="213"/>
      <c r="R13" s="214">
        <f t="shared" si="3"/>
        <v>59.5</v>
      </c>
      <c r="S13" s="170">
        <v>1</v>
      </c>
      <c r="T13" s="283">
        <v>22956</v>
      </c>
      <c r="U13" s="281"/>
      <c r="V13" s="177" t="s">
        <v>130</v>
      </c>
      <c r="W13" s="170" t="s">
        <v>22</v>
      </c>
      <c r="X13" s="170" t="s">
        <v>18</v>
      </c>
      <c r="Y13" s="178">
        <v>59.5</v>
      </c>
      <c r="Z13" s="243"/>
      <c r="AA13" s="243"/>
      <c r="AB13" s="243"/>
      <c r="AC13" s="243"/>
      <c r="AD13" s="177"/>
      <c r="AG13" s="178"/>
      <c r="AL13" s="177"/>
      <c r="AO13" s="178"/>
      <c r="AP13" s="177"/>
      <c r="AS13" s="178"/>
      <c r="AW13" s="178"/>
      <c r="BA13" s="179"/>
    </row>
    <row r="14" spans="1:53" s="170" customFormat="1" x14ac:dyDescent="0.15">
      <c r="A14" s="215">
        <v>1963</v>
      </c>
      <c r="B14" s="281"/>
      <c r="C14" s="395" t="s">
        <v>573</v>
      </c>
      <c r="D14" s="395"/>
      <c r="E14" s="170">
        <v>305</v>
      </c>
      <c r="G14" s="232">
        <v>1</v>
      </c>
      <c r="H14" s="170">
        <v>14</v>
      </c>
      <c r="J14" s="240">
        <v>15</v>
      </c>
      <c r="K14" s="213">
        <f t="shared" si="1"/>
        <v>6.666666666666667</v>
      </c>
      <c r="L14" s="213">
        <f t="shared" si="1"/>
        <v>93.333333333333329</v>
      </c>
      <c r="M14" s="213">
        <f t="shared" si="1"/>
        <v>0</v>
      </c>
      <c r="N14" s="234">
        <f t="shared" si="2"/>
        <v>100</v>
      </c>
      <c r="O14" s="212"/>
      <c r="P14" s="213">
        <v>59.5</v>
      </c>
      <c r="Q14" s="213"/>
      <c r="R14" s="214">
        <f t="shared" si="3"/>
        <v>59.5</v>
      </c>
      <c r="S14" s="170">
        <v>1</v>
      </c>
      <c r="T14" s="283"/>
      <c r="U14" s="281"/>
      <c r="V14" s="177" t="s">
        <v>130</v>
      </c>
      <c r="W14" s="170" t="s">
        <v>22</v>
      </c>
      <c r="X14" s="170" t="s">
        <v>18</v>
      </c>
      <c r="Y14" s="178">
        <v>59.5</v>
      </c>
      <c r="Z14" s="243"/>
      <c r="AA14" s="243"/>
      <c r="AB14" s="243"/>
      <c r="AC14" s="243"/>
      <c r="AD14" s="177"/>
      <c r="AG14" s="178"/>
      <c r="AL14" s="177"/>
      <c r="AO14" s="178"/>
      <c r="AP14" s="177"/>
      <c r="AS14" s="178"/>
      <c r="AW14" s="178"/>
      <c r="BA14" s="179"/>
    </row>
    <row r="15" spans="1:53" s="170" customFormat="1" x14ac:dyDescent="0.15">
      <c r="A15" s="215">
        <v>1963</v>
      </c>
      <c r="B15" s="303">
        <v>23317</v>
      </c>
      <c r="C15" s="395" t="s">
        <v>573</v>
      </c>
      <c r="D15" s="395"/>
      <c r="E15" s="170">
        <v>20</v>
      </c>
      <c r="F15" s="243">
        <v>0</v>
      </c>
      <c r="G15" s="232">
        <v>1</v>
      </c>
      <c r="H15" s="170">
        <v>13</v>
      </c>
      <c r="J15" s="240">
        <v>14</v>
      </c>
      <c r="K15" s="213">
        <f t="shared" si="1"/>
        <v>7.1428571428571423</v>
      </c>
      <c r="L15" s="213">
        <f t="shared" si="1"/>
        <v>92.857142857142861</v>
      </c>
      <c r="M15" s="213">
        <f t="shared" si="1"/>
        <v>0</v>
      </c>
      <c r="N15" s="234">
        <f t="shared" si="2"/>
        <v>100</v>
      </c>
      <c r="O15" s="212"/>
      <c r="P15" s="213">
        <v>59.5</v>
      </c>
      <c r="Q15" s="213"/>
      <c r="R15" s="214">
        <f t="shared" si="3"/>
        <v>59.5</v>
      </c>
      <c r="S15" s="170">
        <v>1</v>
      </c>
      <c r="T15" s="283"/>
      <c r="U15" s="281"/>
      <c r="V15" s="177" t="s">
        <v>130</v>
      </c>
      <c r="W15" s="170" t="s">
        <v>22</v>
      </c>
      <c r="X15" s="170" t="s">
        <v>18</v>
      </c>
      <c r="Y15" s="178">
        <v>59.5</v>
      </c>
      <c r="Z15" s="243"/>
      <c r="AA15" s="243"/>
      <c r="AB15" s="243"/>
      <c r="AC15" s="243"/>
      <c r="AD15" s="177"/>
      <c r="AG15" s="178"/>
      <c r="AL15" s="177"/>
      <c r="AO15" s="178"/>
      <c r="AP15" s="177"/>
      <c r="AS15" s="178"/>
      <c r="AW15" s="178"/>
      <c r="BA15" s="179"/>
    </row>
    <row r="16" spans="1:53" s="28" customFormat="1" x14ac:dyDescent="0.15">
      <c r="A16" s="51">
        <v>1963</v>
      </c>
      <c r="B16" s="293">
        <v>23337</v>
      </c>
      <c r="C16" s="394" t="s">
        <v>574</v>
      </c>
      <c r="D16" s="394"/>
      <c r="E16" s="28">
        <f>365-E15-E14</f>
        <v>40</v>
      </c>
      <c r="F16" s="28" t="s">
        <v>335</v>
      </c>
      <c r="G16" s="65">
        <v>1</v>
      </c>
      <c r="H16" s="28">
        <v>13</v>
      </c>
      <c r="J16" s="72">
        <v>14</v>
      </c>
      <c r="K16" s="46">
        <f t="shared" si="1"/>
        <v>7.1428571428571423</v>
      </c>
      <c r="L16" s="46">
        <f t="shared" si="1"/>
        <v>92.857142857142861</v>
      </c>
      <c r="M16" s="46">
        <f t="shared" si="1"/>
        <v>0</v>
      </c>
      <c r="N16" s="67">
        <f t="shared" si="2"/>
        <v>100</v>
      </c>
      <c r="O16" s="45"/>
      <c r="P16" s="46">
        <v>59.5</v>
      </c>
      <c r="Q16" s="46"/>
      <c r="R16" s="47">
        <f t="shared" si="3"/>
        <v>59.5</v>
      </c>
      <c r="S16" s="28">
        <v>1</v>
      </c>
      <c r="T16" s="284"/>
      <c r="U16" s="293">
        <v>23337</v>
      </c>
      <c r="V16" s="37" t="s">
        <v>130</v>
      </c>
      <c r="W16" s="28" t="s">
        <v>22</v>
      </c>
      <c r="X16" s="28" t="s">
        <v>18</v>
      </c>
      <c r="Y16" s="38">
        <v>59.5</v>
      </c>
      <c r="Z16" s="83"/>
      <c r="AA16" s="83"/>
      <c r="AB16" s="83"/>
      <c r="AC16" s="83"/>
      <c r="AD16" s="37"/>
      <c r="AG16" s="38"/>
      <c r="AL16" s="37"/>
      <c r="AO16" s="38"/>
      <c r="AP16" s="37"/>
      <c r="AS16" s="38"/>
      <c r="AW16" s="38"/>
      <c r="BA16" s="39"/>
    </row>
    <row r="17" spans="1:53" s="28" customFormat="1" x14ac:dyDescent="0.15">
      <c r="A17" s="51">
        <v>1964</v>
      </c>
      <c r="B17" s="293"/>
      <c r="C17" s="394" t="s">
        <v>574</v>
      </c>
      <c r="D17" s="394"/>
      <c r="E17" s="28">
        <v>307</v>
      </c>
      <c r="F17" s="83"/>
      <c r="G17" s="65">
        <v>1</v>
      </c>
      <c r="H17" s="28">
        <v>13</v>
      </c>
      <c r="J17" s="72">
        <v>14</v>
      </c>
      <c r="K17" s="46">
        <f t="shared" si="1"/>
        <v>7.1428571428571423</v>
      </c>
      <c r="L17" s="46">
        <f t="shared" si="1"/>
        <v>92.857142857142861</v>
      </c>
      <c r="M17" s="46">
        <f t="shared" si="1"/>
        <v>0</v>
      </c>
      <c r="N17" s="67">
        <f t="shared" si="2"/>
        <v>100</v>
      </c>
      <c r="O17" s="45"/>
      <c r="P17" s="46">
        <v>59.5</v>
      </c>
      <c r="Q17" s="46"/>
      <c r="R17" s="47">
        <f t="shared" si="3"/>
        <v>59.5</v>
      </c>
      <c r="S17" s="28">
        <v>1</v>
      </c>
      <c r="T17" s="284"/>
      <c r="U17" s="293"/>
      <c r="V17" s="37" t="s">
        <v>130</v>
      </c>
      <c r="W17" s="28" t="s">
        <v>22</v>
      </c>
      <c r="X17" s="28" t="s">
        <v>18</v>
      </c>
      <c r="Y17" s="38">
        <v>59.5</v>
      </c>
      <c r="Z17" s="83"/>
      <c r="AA17" s="83"/>
      <c r="AB17" s="83"/>
      <c r="AC17" s="83"/>
      <c r="AD17" s="37"/>
      <c r="AG17" s="38"/>
      <c r="AL17" s="37"/>
      <c r="AO17" s="38"/>
      <c r="AP17" s="37"/>
      <c r="AS17" s="38"/>
      <c r="AW17" s="38"/>
      <c r="BA17" s="39"/>
    </row>
    <row r="18" spans="1:53" s="28" customFormat="1" x14ac:dyDescent="0.15">
      <c r="A18" s="51">
        <v>1964</v>
      </c>
      <c r="B18" s="301">
        <v>23684</v>
      </c>
      <c r="C18" s="394" t="s">
        <v>574</v>
      </c>
      <c r="D18" s="394"/>
      <c r="E18" s="28">
        <v>59</v>
      </c>
      <c r="F18" s="83" t="s">
        <v>327</v>
      </c>
      <c r="G18" s="65">
        <v>1</v>
      </c>
      <c r="H18" s="28">
        <v>13</v>
      </c>
      <c r="J18" s="72">
        <v>14</v>
      </c>
      <c r="K18" s="46">
        <f t="shared" si="1"/>
        <v>7.1428571428571423</v>
      </c>
      <c r="L18" s="46">
        <f t="shared" si="1"/>
        <v>92.857142857142861</v>
      </c>
      <c r="M18" s="46">
        <f t="shared" si="1"/>
        <v>0</v>
      </c>
      <c r="N18" s="67">
        <f t="shared" si="2"/>
        <v>100</v>
      </c>
      <c r="O18" s="45"/>
      <c r="P18" s="46">
        <v>67.8</v>
      </c>
      <c r="Q18" s="46"/>
      <c r="R18" s="47">
        <f t="shared" si="3"/>
        <v>67.8</v>
      </c>
      <c r="S18" s="28">
        <v>1</v>
      </c>
      <c r="T18" s="284">
        <v>23684</v>
      </c>
      <c r="U18" s="293"/>
      <c r="V18" s="37" t="s">
        <v>130</v>
      </c>
      <c r="W18" s="28" t="s">
        <v>22</v>
      </c>
      <c r="X18" s="28" t="s">
        <v>18</v>
      </c>
      <c r="Y18" s="38">
        <v>67.8</v>
      </c>
      <c r="Z18" s="83"/>
      <c r="AA18" s="83"/>
      <c r="AB18" s="83"/>
      <c r="AC18" s="83"/>
      <c r="AD18" s="37"/>
      <c r="AG18" s="38"/>
      <c r="AL18" s="37"/>
      <c r="AO18" s="38"/>
      <c r="AP18" s="37"/>
      <c r="AS18" s="38"/>
      <c r="AW18" s="38"/>
      <c r="BA18" s="39"/>
    </row>
    <row r="19" spans="1:53" s="28" customFormat="1" x14ac:dyDescent="0.15">
      <c r="A19" s="51">
        <v>1965</v>
      </c>
      <c r="B19" s="293"/>
      <c r="C19" s="394" t="s">
        <v>574</v>
      </c>
      <c r="D19" s="394"/>
      <c r="E19" s="28">
        <v>19</v>
      </c>
      <c r="G19" s="65">
        <v>1</v>
      </c>
      <c r="H19" s="28">
        <v>13</v>
      </c>
      <c r="J19" s="72">
        <v>14</v>
      </c>
      <c r="K19" s="46">
        <f t="shared" si="1"/>
        <v>7.1428571428571423</v>
      </c>
      <c r="L19" s="46">
        <f t="shared" si="1"/>
        <v>92.857142857142861</v>
      </c>
      <c r="M19" s="46">
        <f t="shared" si="1"/>
        <v>0</v>
      </c>
      <c r="N19" s="67">
        <f t="shared" si="2"/>
        <v>100</v>
      </c>
      <c r="O19" s="45"/>
      <c r="P19" s="46">
        <v>67.8</v>
      </c>
      <c r="Q19" s="46"/>
      <c r="R19" s="47">
        <f t="shared" si="3"/>
        <v>67.8</v>
      </c>
      <c r="S19" s="28">
        <v>1</v>
      </c>
      <c r="T19" s="284"/>
      <c r="U19" s="293"/>
      <c r="V19" s="37" t="s">
        <v>130</v>
      </c>
      <c r="W19" s="28" t="s">
        <v>22</v>
      </c>
      <c r="X19" s="28" t="s">
        <v>18</v>
      </c>
      <c r="Y19" s="38">
        <v>67.8</v>
      </c>
      <c r="Z19" s="83"/>
      <c r="AA19" s="83"/>
      <c r="AB19" s="83"/>
      <c r="AC19" s="83"/>
      <c r="AD19" s="37"/>
      <c r="AG19" s="38"/>
      <c r="AL19" s="37"/>
      <c r="AO19" s="38"/>
      <c r="AP19" s="37"/>
      <c r="AS19" s="38"/>
      <c r="AW19" s="38"/>
      <c r="BA19" s="39"/>
    </row>
    <row r="20" spans="1:53" s="170" customFormat="1" x14ac:dyDescent="0.15">
      <c r="A20" s="215">
        <v>1965</v>
      </c>
      <c r="B20" s="281">
        <v>23762</v>
      </c>
      <c r="C20" s="395" t="s">
        <v>575</v>
      </c>
      <c r="D20" s="395"/>
      <c r="E20" s="170">
        <v>71</v>
      </c>
      <c r="F20" s="170">
        <v>1</v>
      </c>
      <c r="G20" s="232">
        <v>1</v>
      </c>
      <c r="H20" s="170">
        <v>14</v>
      </c>
      <c r="J20" s="240">
        <v>15</v>
      </c>
      <c r="K20" s="213">
        <f t="shared" si="1"/>
        <v>6.666666666666667</v>
      </c>
      <c r="L20" s="213">
        <f t="shared" si="1"/>
        <v>93.333333333333329</v>
      </c>
      <c r="M20" s="213">
        <f t="shared" si="1"/>
        <v>0</v>
      </c>
      <c r="N20" s="234">
        <f t="shared" si="2"/>
        <v>100</v>
      </c>
      <c r="O20" s="212"/>
      <c r="P20" s="213">
        <v>67.8</v>
      </c>
      <c r="Q20" s="213"/>
      <c r="R20" s="214">
        <f t="shared" si="3"/>
        <v>67.8</v>
      </c>
      <c r="S20" s="170">
        <v>1</v>
      </c>
      <c r="T20" s="283"/>
      <c r="U20" s="281">
        <v>23762</v>
      </c>
      <c r="V20" s="177" t="s">
        <v>130</v>
      </c>
      <c r="W20" s="170" t="s">
        <v>22</v>
      </c>
      <c r="X20" s="170" t="s">
        <v>18</v>
      </c>
      <c r="Y20" s="178">
        <v>67.8</v>
      </c>
      <c r="Z20" s="243"/>
      <c r="AA20" s="243"/>
      <c r="AB20" s="243"/>
      <c r="AC20" s="243"/>
      <c r="AD20" s="177"/>
      <c r="AG20" s="178"/>
      <c r="AL20" s="177"/>
      <c r="AO20" s="178"/>
      <c r="AP20" s="177"/>
      <c r="AS20" s="178"/>
      <c r="AW20" s="178"/>
      <c r="BA20" s="179"/>
    </row>
    <row r="21" spans="1:53" s="170" customFormat="1" x14ac:dyDescent="0.15">
      <c r="A21" s="215">
        <v>1965</v>
      </c>
      <c r="B21" s="303">
        <v>23833</v>
      </c>
      <c r="C21" s="395" t="s">
        <v>575</v>
      </c>
      <c r="D21" s="395"/>
      <c r="E21" s="170">
        <v>139</v>
      </c>
      <c r="F21" s="243">
        <v>0</v>
      </c>
      <c r="G21" s="232">
        <v>2</v>
      </c>
      <c r="H21" s="170">
        <v>13</v>
      </c>
      <c r="J21" s="240">
        <v>15</v>
      </c>
      <c r="K21" s="213">
        <f t="shared" si="1"/>
        <v>13.333333333333334</v>
      </c>
      <c r="L21" s="213">
        <f t="shared" si="1"/>
        <v>86.666666666666671</v>
      </c>
      <c r="M21" s="213">
        <f t="shared" si="1"/>
        <v>0</v>
      </c>
      <c r="N21" s="234">
        <f t="shared" si="2"/>
        <v>100</v>
      </c>
      <c r="O21" s="212"/>
      <c r="P21" s="213">
        <v>67.8</v>
      </c>
      <c r="Q21" s="213"/>
      <c r="R21" s="214">
        <f t="shared" si="3"/>
        <v>67.8</v>
      </c>
      <c r="S21" s="170">
        <v>1</v>
      </c>
      <c r="T21" s="283"/>
      <c r="U21" s="281"/>
      <c r="V21" s="177" t="s">
        <v>130</v>
      </c>
      <c r="W21" s="170" t="s">
        <v>22</v>
      </c>
      <c r="X21" s="170" t="s">
        <v>18</v>
      </c>
      <c r="Y21" s="178">
        <v>67.8</v>
      </c>
      <c r="Z21" s="243"/>
      <c r="AA21" s="243"/>
      <c r="AB21" s="243"/>
      <c r="AC21" s="243"/>
      <c r="AD21" s="177"/>
      <c r="AG21" s="178"/>
      <c r="AL21" s="177"/>
      <c r="AO21" s="178"/>
      <c r="AP21" s="177"/>
      <c r="AS21" s="178"/>
      <c r="AW21" s="178"/>
      <c r="BA21" s="179"/>
    </row>
    <row r="22" spans="1:53" s="170" customFormat="1" x14ac:dyDescent="0.15">
      <c r="A22" s="215">
        <v>1965</v>
      </c>
      <c r="B22" s="303">
        <v>23972</v>
      </c>
      <c r="C22" s="395" t="s">
        <v>575</v>
      </c>
      <c r="D22" s="395"/>
      <c r="E22" s="170">
        <f xml:space="preserve"> 365-E21-E20-E19</f>
        <v>136</v>
      </c>
      <c r="F22" s="243">
        <v>0</v>
      </c>
      <c r="G22" s="232">
        <v>3</v>
      </c>
      <c r="H22" s="170">
        <v>12</v>
      </c>
      <c r="J22" s="240">
        <v>15</v>
      </c>
      <c r="K22" s="213">
        <f t="shared" si="1"/>
        <v>20</v>
      </c>
      <c r="L22" s="213">
        <f t="shared" si="1"/>
        <v>80</v>
      </c>
      <c r="M22" s="213">
        <f t="shared" si="1"/>
        <v>0</v>
      </c>
      <c r="N22" s="234">
        <f t="shared" si="2"/>
        <v>100</v>
      </c>
      <c r="O22" s="212"/>
      <c r="P22" s="213">
        <v>67.8</v>
      </c>
      <c r="Q22" s="213"/>
      <c r="R22" s="214">
        <f t="shared" si="3"/>
        <v>67.8</v>
      </c>
      <c r="S22" s="170">
        <v>1</v>
      </c>
      <c r="T22" s="283"/>
      <c r="U22" s="281"/>
      <c r="V22" s="177" t="s">
        <v>130</v>
      </c>
      <c r="W22" s="170" t="s">
        <v>22</v>
      </c>
      <c r="X22" s="170" t="s">
        <v>18</v>
      </c>
      <c r="Y22" s="178">
        <v>67.8</v>
      </c>
      <c r="Z22" s="243"/>
      <c r="AA22" s="243"/>
      <c r="AB22" s="243"/>
      <c r="AC22" s="243"/>
      <c r="AD22" s="177"/>
      <c r="AG22" s="178"/>
      <c r="AL22" s="177"/>
      <c r="AO22" s="178"/>
      <c r="AP22" s="177"/>
      <c r="AS22" s="178"/>
      <c r="AW22" s="178"/>
      <c r="BA22" s="179"/>
    </row>
    <row r="23" spans="1:53" s="170" customFormat="1" x14ac:dyDescent="0.15">
      <c r="A23" s="215">
        <v>1966</v>
      </c>
      <c r="B23" s="303"/>
      <c r="C23" s="395" t="s">
        <v>575</v>
      </c>
      <c r="D23" s="395"/>
      <c r="E23" s="170">
        <v>17</v>
      </c>
      <c r="F23" s="243"/>
      <c r="G23" s="232">
        <v>3</v>
      </c>
      <c r="H23" s="170">
        <v>12</v>
      </c>
      <c r="J23" s="240">
        <v>15</v>
      </c>
      <c r="K23" s="213">
        <f t="shared" si="1"/>
        <v>20</v>
      </c>
      <c r="L23" s="213">
        <f t="shared" si="1"/>
        <v>80</v>
      </c>
      <c r="M23" s="213">
        <f t="shared" si="1"/>
        <v>0</v>
      </c>
      <c r="N23" s="234">
        <f t="shared" si="2"/>
        <v>100</v>
      </c>
      <c r="O23" s="212"/>
      <c r="P23" s="213">
        <v>67.8</v>
      </c>
      <c r="Q23" s="213"/>
      <c r="R23" s="214">
        <f t="shared" si="3"/>
        <v>67.8</v>
      </c>
      <c r="S23" s="170">
        <v>1</v>
      </c>
      <c r="T23" s="283"/>
      <c r="U23" s="281"/>
      <c r="V23" s="177" t="s">
        <v>130</v>
      </c>
      <c r="W23" s="170" t="s">
        <v>22</v>
      </c>
      <c r="X23" s="170" t="s">
        <v>18</v>
      </c>
      <c r="Y23" s="178">
        <v>67.8</v>
      </c>
      <c r="Z23" s="243"/>
      <c r="AA23" s="243"/>
      <c r="AB23" s="243"/>
      <c r="AC23" s="243"/>
      <c r="AD23" s="177"/>
      <c r="AG23" s="178"/>
      <c r="AL23" s="177"/>
      <c r="AO23" s="178"/>
      <c r="AP23" s="177"/>
      <c r="AS23" s="178"/>
      <c r="AW23" s="178"/>
      <c r="BA23" s="179"/>
    </row>
    <row r="24" spans="1:53" s="170" customFormat="1" x14ac:dyDescent="0.15">
      <c r="A24" s="215">
        <v>1966</v>
      </c>
      <c r="B24" s="303">
        <v>24125</v>
      </c>
      <c r="C24" s="395" t="s">
        <v>575</v>
      </c>
      <c r="D24" s="395"/>
      <c r="E24" s="170">
        <v>294</v>
      </c>
      <c r="F24" s="243">
        <v>0</v>
      </c>
      <c r="G24" s="232">
        <v>3</v>
      </c>
      <c r="H24" s="170">
        <v>13</v>
      </c>
      <c r="J24" s="240">
        <v>16</v>
      </c>
      <c r="K24" s="213">
        <f>G24/$J24*100</f>
        <v>18.75</v>
      </c>
      <c r="L24" s="213">
        <f>H24/$J24*100</f>
        <v>81.25</v>
      </c>
      <c r="M24" s="213">
        <f>I24/$J24*100</f>
        <v>0</v>
      </c>
      <c r="N24" s="234">
        <f>K24+L24+M24</f>
        <v>100</v>
      </c>
      <c r="O24" s="212"/>
      <c r="P24" s="213">
        <v>67.8</v>
      </c>
      <c r="Q24" s="213"/>
      <c r="R24" s="214">
        <f>O24+P24+Q24</f>
        <v>67.8</v>
      </c>
      <c r="S24" s="170">
        <v>1</v>
      </c>
      <c r="T24" s="283"/>
      <c r="U24" s="281"/>
      <c r="V24" s="177" t="s">
        <v>130</v>
      </c>
      <c r="W24" s="170" t="s">
        <v>22</v>
      </c>
      <c r="X24" s="170" t="s">
        <v>18</v>
      </c>
      <c r="Y24" s="178">
        <v>67.8</v>
      </c>
      <c r="Z24" s="243"/>
      <c r="AA24" s="243"/>
      <c r="AB24" s="243"/>
      <c r="AC24" s="243"/>
      <c r="AD24" s="177"/>
      <c r="AG24" s="178"/>
      <c r="AL24" s="177"/>
      <c r="AO24" s="178"/>
      <c r="AP24" s="177"/>
      <c r="AS24" s="178"/>
      <c r="AW24" s="178"/>
      <c r="BA24" s="179"/>
    </row>
    <row r="25" spans="1:53" s="170" customFormat="1" x14ac:dyDescent="0.15">
      <c r="A25" s="215">
        <v>1966</v>
      </c>
      <c r="B25" s="303">
        <v>24419</v>
      </c>
      <c r="C25" s="395" t="s">
        <v>575</v>
      </c>
      <c r="D25" s="395"/>
      <c r="E25" s="170">
        <v>54</v>
      </c>
      <c r="F25" s="243" t="s">
        <v>327</v>
      </c>
      <c r="G25" s="232">
        <v>3</v>
      </c>
      <c r="H25" s="170">
        <v>13</v>
      </c>
      <c r="J25" s="240">
        <v>16</v>
      </c>
      <c r="K25" s="213">
        <f t="shared" si="1"/>
        <v>18.75</v>
      </c>
      <c r="L25" s="213">
        <f t="shared" si="1"/>
        <v>81.25</v>
      </c>
      <c r="M25" s="213">
        <f t="shared" si="1"/>
        <v>0</v>
      </c>
      <c r="N25" s="234">
        <f t="shared" si="2"/>
        <v>100</v>
      </c>
      <c r="O25" s="212"/>
      <c r="P25" s="213">
        <v>57.2</v>
      </c>
      <c r="Q25" s="213"/>
      <c r="R25" s="214">
        <f t="shared" si="3"/>
        <v>57.2</v>
      </c>
      <c r="S25" s="170">
        <v>1</v>
      </c>
      <c r="T25" s="283">
        <v>24419</v>
      </c>
      <c r="U25" s="281"/>
      <c r="V25" s="177" t="s">
        <v>130</v>
      </c>
      <c r="W25" s="170" t="s">
        <v>22</v>
      </c>
      <c r="X25" s="170" t="s">
        <v>18</v>
      </c>
      <c r="Y25" s="178">
        <v>57.2</v>
      </c>
      <c r="Z25" s="243"/>
      <c r="AA25" s="243"/>
      <c r="AB25" s="243"/>
      <c r="AC25" s="243"/>
      <c r="AD25" s="177"/>
      <c r="AG25" s="178"/>
      <c r="AL25" s="177"/>
      <c r="AO25" s="178"/>
      <c r="AP25" s="177"/>
      <c r="AS25" s="178"/>
      <c r="AW25" s="178"/>
      <c r="BA25" s="179"/>
    </row>
    <row r="26" spans="1:53" s="170" customFormat="1" x14ac:dyDescent="0.15">
      <c r="A26" s="215">
        <v>1967</v>
      </c>
      <c r="B26" s="303"/>
      <c r="C26" s="395" t="s">
        <v>575</v>
      </c>
      <c r="D26" s="395"/>
      <c r="E26" s="170">
        <v>0</v>
      </c>
      <c r="F26" s="243"/>
      <c r="G26" s="232">
        <v>3</v>
      </c>
      <c r="H26" s="170">
        <v>13</v>
      </c>
      <c r="J26" s="240">
        <v>16</v>
      </c>
      <c r="K26" s="213">
        <f t="shared" si="1"/>
        <v>18.75</v>
      </c>
      <c r="L26" s="213">
        <f t="shared" si="1"/>
        <v>81.25</v>
      </c>
      <c r="M26" s="213">
        <f t="shared" si="1"/>
        <v>0</v>
      </c>
      <c r="N26" s="234">
        <f t="shared" si="2"/>
        <v>100</v>
      </c>
      <c r="O26" s="212"/>
      <c r="P26" s="213">
        <v>57.2</v>
      </c>
      <c r="Q26" s="213"/>
      <c r="R26" s="214">
        <f t="shared" si="3"/>
        <v>57.2</v>
      </c>
      <c r="S26" s="170">
        <v>1</v>
      </c>
      <c r="T26" s="283"/>
      <c r="U26" s="281"/>
      <c r="V26" s="177" t="s">
        <v>130</v>
      </c>
      <c r="W26" s="170" t="s">
        <v>22</v>
      </c>
      <c r="X26" s="170" t="s">
        <v>18</v>
      </c>
      <c r="Y26" s="178">
        <v>57.2</v>
      </c>
      <c r="Z26" s="243"/>
      <c r="AA26" s="243"/>
      <c r="AB26" s="243"/>
      <c r="AC26" s="243"/>
      <c r="AD26" s="177"/>
      <c r="AG26" s="178"/>
      <c r="AL26" s="177"/>
      <c r="AO26" s="178"/>
      <c r="AP26" s="177"/>
      <c r="AS26" s="178"/>
      <c r="AW26" s="178"/>
      <c r="BA26" s="179"/>
    </row>
    <row r="27" spans="1:53" s="170" customFormat="1" x14ac:dyDescent="0.15">
      <c r="A27" s="215">
        <v>1967</v>
      </c>
      <c r="B27" s="303"/>
      <c r="C27" s="395" t="s">
        <v>575</v>
      </c>
      <c r="D27" s="395"/>
      <c r="E27" s="170">
        <v>365</v>
      </c>
      <c r="F27" s="243"/>
      <c r="G27" s="232">
        <v>3</v>
      </c>
      <c r="H27" s="170">
        <v>13</v>
      </c>
      <c r="J27" s="240">
        <v>16</v>
      </c>
      <c r="K27" s="213">
        <f t="shared" si="1"/>
        <v>18.75</v>
      </c>
      <c r="L27" s="213">
        <f t="shared" si="1"/>
        <v>81.25</v>
      </c>
      <c r="M27" s="213">
        <f t="shared" si="1"/>
        <v>0</v>
      </c>
      <c r="N27" s="234">
        <f t="shared" si="2"/>
        <v>100</v>
      </c>
      <c r="O27" s="212"/>
      <c r="P27" s="213">
        <v>57.2</v>
      </c>
      <c r="Q27" s="213"/>
      <c r="R27" s="214">
        <f t="shared" si="3"/>
        <v>57.2</v>
      </c>
      <c r="S27" s="170">
        <v>1</v>
      </c>
      <c r="T27" s="283"/>
      <c r="U27" s="281"/>
      <c r="V27" s="177" t="s">
        <v>130</v>
      </c>
      <c r="W27" s="170" t="s">
        <v>22</v>
      </c>
      <c r="X27" s="170" t="s">
        <v>18</v>
      </c>
      <c r="Y27" s="178">
        <v>57.2</v>
      </c>
      <c r="Z27" s="243"/>
      <c r="AA27" s="243"/>
      <c r="AB27" s="243"/>
      <c r="AC27" s="243"/>
      <c r="AD27" s="177"/>
      <c r="AG27" s="178"/>
      <c r="AL27" s="177"/>
      <c r="AO27" s="178"/>
      <c r="AP27" s="177"/>
      <c r="AS27" s="178"/>
      <c r="AW27" s="178"/>
      <c r="BA27" s="179"/>
    </row>
    <row r="28" spans="1:53" s="170" customFormat="1" x14ac:dyDescent="0.15">
      <c r="A28" s="215">
        <v>1968</v>
      </c>
      <c r="B28" s="303"/>
      <c r="C28" s="395" t="s">
        <v>575</v>
      </c>
      <c r="D28" s="395"/>
      <c r="E28" s="170">
        <v>60</v>
      </c>
      <c r="F28" s="243"/>
      <c r="G28" s="232">
        <v>3</v>
      </c>
      <c r="H28" s="170">
        <v>13</v>
      </c>
      <c r="J28" s="240">
        <v>16</v>
      </c>
      <c r="K28" s="213">
        <f t="shared" si="1"/>
        <v>18.75</v>
      </c>
      <c r="L28" s="213">
        <f t="shared" si="1"/>
        <v>81.25</v>
      </c>
      <c r="M28" s="213">
        <f t="shared" si="1"/>
        <v>0</v>
      </c>
      <c r="N28" s="234">
        <f t="shared" si="2"/>
        <v>100</v>
      </c>
      <c r="O28" s="212"/>
      <c r="P28" s="213">
        <v>57.2</v>
      </c>
      <c r="Q28" s="213"/>
      <c r="R28" s="214">
        <f t="shared" si="3"/>
        <v>57.2</v>
      </c>
      <c r="S28" s="170">
        <v>1</v>
      </c>
      <c r="T28" s="283"/>
      <c r="U28" s="281"/>
      <c r="V28" s="177" t="s">
        <v>130</v>
      </c>
      <c r="W28" s="170" t="s">
        <v>22</v>
      </c>
      <c r="X28" s="170" t="s">
        <v>18</v>
      </c>
      <c r="Y28" s="178">
        <v>57.2</v>
      </c>
      <c r="Z28" s="243"/>
      <c r="AA28" s="243"/>
      <c r="AB28" s="243"/>
      <c r="AC28" s="243"/>
      <c r="AD28" s="177"/>
      <c r="AG28" s="178"/>
      <c r="AL28" s="177"/>
      <c r="AO28" s="178"/>
      <c r="AP28" s="177"/>
      <c r="AS28" s="178"/>
      <c r="AW28" s="178"/>
      <c r="BA28" s="179"/>
    </row>
    <row r="29" spans="1:53" s="170" customFormat="1" x14ac:dyDescent="0.15">
      <c r="A29" s="215">
        <v>1968</v>
      </c>
      <c r="B29" s="303">
        <v>24898</v>
      </c>
      <c r="C29" s="395" t="s">
        <v>575</v>
      </c>
      <c r="D29" s="395"/>
      <c r="E29" s="170">
        <v>249</v>
      </c>
      <c r="F29" s="243">
        <v>0</v>
      </c>
      <c r="G29" s="232">
        <v>1</v>
      </c>
      <c r="H29" s="170">
        <v>15</v>
      </c>
      <c r="J29" s="240">
        <v>16</v>
      </c>
      <c r="K29" s="213">
        <f t="shared" si="1"/>
        <v>6.25</v>
      </c>
      <c r="L29" s="213">
        <f t="shared" si="1"/>
        <v>93.75</v>
      </c>
      <c r="M29" s="213">
        <f t="shared" si="1"/>
        <v>0</v>
      </c>
      <c r="N29" s="234">
        <f t="shared" si="2"/>
        <v>100</v>
      </c>
      <c r="O29" s="212"/>
      <c r="P29" s="213">
        <v>57.2</v>
      </c>
      <c r="Q29" s="213"/>
      <c r="R29" s="214">
        <f t="shared" si="3"/>
        <v>57.2</v>
      </c>
      <c r="S29" s="170">
        <v>1</v>
      </c>
      <c r="T29" s="283"/>
      <c r="U29" s="281"/>
      <c r="V29" s="177" t="s">
        <v>130</v>
      </c>
      <c r="W29" s="170" t="s">
        <v>22</v>
      </c>
      <c r="X29" s="170" t="s">
        <v>18</v>
      </c>
      <c r="Y29" s="178">
        <v>57.2</v>
      </c>
      <c r="Z29" s="243"/>
      <c r="AA29" s="243"/>
      <c r="AB29" s="243"/>
      <c r="AC29" s="243"/>
      <c r="AD29" s="177"/>
      <c r="AG29" s="178"/>
      <c r="AL29" s="177"/>
      <c r="AO29" s="178"/>
      <c r="AP29" s="177"/>
      <c r="AS29" s="178"/>
      <c r="AW29" s="178"/>
      <c r="BA29" s="179"/>
    </row>
    <row r="30" spans="1:53" s="170" customFormat="1" x14ac:dyDescent="0.15">
      <c r="A30" s="215">
        <v>1968</v>
      </c>
      <c r="B30" s="303">
        <v>25147</v>
      </c>
      <c r="C30" s="395" t="s">
        <v>575</v>
      </c>
      <c r="D30" s="395"/>
      <c r="E30" s="170">
        <v>46</v>
      </c>
      <c r="F30" s="243" t="s">
        <v>327</v>
      </c>
      <c r="G30" s="232">
        <v>1</v>
      </c>
      <c r="H30" s="170">
        <v>15</v>
      </c>
      <c r="J30" s="240">
        <v>16</v>
      </c>
      <c r="K30" s="213">
        <f>G30/$J30*100</f>
        <v>6.25</v>
      </c>
      <c r="L30" s="213">
        <f>H30/$J30*100</f>
        <v>93.75</v>
      </c>
      <c r="M30" s="213">
        <f>I30/$J30*100</f>
        <v>0</v>
      </c>
      <c r="N30" s="234">
        <f>K30+L30+M30</f>
        <v>100</v>
      </c>
      <c r="O30" s="212"/>
      <c r="P30" s="213">
        <v>55.9</v>
      </c>
      <c r="Q30" s="213"/>
      <c r="R30" s="214">
        <f>O30+P30+Q30</f>
        <v>55.9</v>
      </c>
      <c r="S30" s="170">
        <v>1</v>
      </c>
      <c r="T30" s="283">
        <v>25147</v>
      </c>
      <c r="U30" s="281"/>
      <c r="V30" s="177" t="s">
        <v>130</v>
      </c>
      <c r="W30" s="170" t="s">
        <v>22</v>
      </c>
      <c r="X30" s="170" t="s">
        <v>18</v>
      </c>
      <c r="Y30" s="178">
        <v>55.9</v>
      </c>
      <c r="Z30" s="243"/>
      <c r="AA30" s="243"/>
      <c r="AB30" s="243"/>
      <c r="AC30" s="243"/>
      <c r="AD30" s="177"/>
      <c r="AG30" s="178"/>
      <c r="AL30" s="177"/>
      <c r="AO30" s="178"/>
      <c r="AP30" s="177"/>
      <c r="AS30" s="178"/>
      <c r="AW30" s="178"/>
      <c r="BA30" s="179"/>
    </row>
    <row r="31" spans="1:53" s="170" customFormat="1" x14ac:dyDescent="0.15">
      <c r="A31" s="215">
        <v>1968</v>
      </c>
      <c r="B31" s="303">
        <v>25193</v>
      </c>
      <c r="C31" s="395" t="s">
        <v>575</v>
      </c>
      <c r="D31" s="395"/>
      <c r="E31" s="170">
        <v>11</v>
      </c>
      <c r="F31" s="243">
        <v>0</v>
      </c>
      <c r="G31" s="232"/>
      <c r="H31" s="170">
        <v>16</v>
      </c>
      <c r="J31" s="240">
        <v>16</v>
      </c>
      <c r="K31" s="213">
        <f t="shared" si="1"/>
        <v>0</v>
      </c>
      <c r="L31" s="213">
        <f t="shared" si="1"/>
        <v>100</v>
      </c>
      <c r="M31" s="213">
        <f t="shared" si="1"/>
        <v>0</v>
      </c>
      <c r="N31" s="234">
        <f t="shared" si="2"/>
        <v>100</v>
      </c>
      <c r="O31" s="212"/>
      <c r="P31" s="213">
        <v>55.9</v>
      </c>
      <c r="Q31" s="213"/>
      <c r="R31" s="214">
        <f t="shared" si="3"/>
        <v>55.9</v>
      </c>
      <c r="S31" s="170">
        <v>1</v>
      </c>
      <c r="T31" s="283"/>
      <c r="U31" s="281"/>
      <c r="V31" s="177" t="s">
        <v>130</v>
      </c>
      <c r="W31" s="170" t="s">
        <v>22</v>
      </c>
      <c r="X31" s="170" t="s">
        <v>18</v>
      </c>
      <c r="Y31" s="178">
        <v>55.9</v>
      </c>
      <c r="Z31" s="243"/>
      <c r="AA31" s="243"/>
      <c r="AB31" s="243"/>
      <c r="AC31" s="243"/>
      <c r="AD31" s="177"/>
      <c r="AG31" s="178"/>
      <c r="AL31" s="177"/>
      <c r="AO31" s="178"/>
      <c r="AP31" s="177"/>
      <c r="AS31" s="178"/>
      <c r="AW31" s="178"/>
      <c r="BA31" s="179"/>
    </row>
    <row r="32" spans="1:53" s="170" customFormat="1" x14ac:dyDescent="0.15">
      <c r="A32" s="215">
        <v>1969</v>
      </c>
      <c r="B32" s="281"/>
      <c r="C32" s="395" t="s">
        <v>575</v>
      </c>
      <c r="D32" s="395"/>
      <c r="E32" s="170">
        <v>19</v>
      </c>
      <c r="G32" s="232"/>
      <c r="H32" s="170">
        <v>16</v>
      </c>
      <c r="J32" s="240">
        <v>16</v>
      </c>
      <c r="K32" s="213">
        <f t="shared" si="1"/>
        <v>0</v>
      </c>
      <c r="L32" s="213">
        <f t="shared" si="1"/>
        <v>100</v>
      </c>
      <c r="M32" s="213">
        <f t="shared" si="1"/>
        <v>0</v>
      </c>
      <c r="N32" s="234">
        <f t="shared" si="2"/>
        <v>100</v>
      </c>
      <c r="O32" s="212"/>
      <c r="P32" s="213">
        <v>55.9</v>
      </c>
      <c r="Q32" s="213"/>
      <c r="R32" s="214">
        <f t="shared" si="3"/>
        <v>55.9</v>
      </c>
      <c r="S32" s="170">
        <v>1</v>
      </c>
      <c r="T32" s="283"/>
      <c r="U32" s="281"/>
      <c r="V32" s="177" t="s">
        <v>130</v>
      </c>
      <c r="W32" s="170" t="s">
        <v>22</v>
      </c>
      <c r="X32" s="170" t="s">
        <v>18</v>
      </c>
      <c r="Y32" s="178">
        <v>55.9</v>
      </c>
      <c r="Z32" s="243"/>
      <c r="AA32" s="243"/>
      <c r="AB32" s="243"/>
      <c r="AC32" s="243"/>
      <c r="AD32" s="177"/>
      <c r="AG32" s="178"/>
      <c r="AL32" s="177"/>
      <c r="AO32" s="178"/>
      <c r="AP32" s="177"/>
      <c r="AS32" s="178"/>
      <c r="AW32" s="178"/>
      <c r="BA32" s="179"/>
    </row>
    <row r="33" spans="1:53" s="28" customFormat="1" x14ac:dyDescent="0.15">
      <c r="A33" s="51">
        <v>1969</v>
      </c>
      <c r="B33" s="293">
        <v>25223</v>
      </c>
      <c r="C33" s="394" t="s">
        <v>576</v>
      </c>
      <c r="D33" s="394"/>
      <c r="E33" s="28">
        <f xml:space="preserve"> 365-E32</f>
        <v>346</v>
      </c>
      <c r="F33" s="28">
        <v>1</v>
      </c>
      <c r="G33" s="65">
        <v>14</v>
      </c>
      <c r="J33" s="72">
        <v>14</v>
      </c>
      <c r="K33" s="46">
        <f t="shared" si="1"/>
        <v>100</v>
      </c>
      <c r="L33" s="46">
        <f t="shared" si="1"/>
        <v>0</v>
      </c>
      <c r="M33" s="46">
        <f t="shared" si="1"/>
        <v>0</v>
      </c>
      <c r="N33" s="67">
        <f t="shared" si="2"/>
        <v>100</v>
      </c>
      <c r="O33" s="45">
        <v>44.1</v>
      </c>
      <c r="P33" s="46"/>
      <c r="Q33" s="46"/>
      <c r="R33" s="47">
        <f t="shared" si="3"/>
        <v>44.1</v>
      </c>
      <c r="S33" s="28">
        <v>1</v>
      </c>
      <c r="T33" s="284"/>
      <c r="U33" s="293">
        <v>25223</v>
      </c>
      <c r="V33" s="37" t="s">
        <v>330</v>
      </c>
      <c r="W33" s="28" t="s">
        <v>74</v>
      </c>
      <c r="X33" s="28" t="s">
        <v>11</v>
      </c>
      <c r="Y33" s="38">
        <v>44.1</v>
      </c>
      <c r="AD33" s="37"/>
      <c r="AG33" s="38"/>
      <c r="AL33" s="37"/>
      <c r="AO33" s="38"/>
      <c r="AP33" s="37"/>
      <c r="AS33" s="38"/>
      <c r="AW33" s="38"/>
      <c r="BA33" s="39"/>
    </row>
    <row r="34" spans="1:53" s="28" customFormat="1" x14ac:dyDescent="0.15">
      <c r="A34" s="51">
        <v>1970</v>
      </c>
      <c r="B34" s="293"/>
      <c r="C34" s="394" t="s">
        <v>576</v>
      </c>
      <c r="D34" s="394"/>
      <c r="E34" s="28">
        <v>306</v>
      </c>
      <c r="G34" s="65">
        <v>14</v>
      </c>
      <c r="J34" s="72">
        <v>14</v>
      </c>
      <c r="K34" s="46">
        <f t="shared" si="1"/>
        <v>100</v>
      </c>
      <c r="L34" s="46">
        <f t="shared" si="1"/>
        <v>0</v>
      </c>
      <c r="M34" s="46">
        <f t="shared" si="1"/>
        <v>0</v>
      </c>
      <c r="N34" s="67">
        <f t="shared" si="2"/>
        <v>100</v>
      </c>
      <c r="O34" s="45">
        <v>44.1</v>
      </c>
      <c r="P34" s="46"/>
      <c r="Q34" s="46"/>
      <c r="R34" s="47">
        <f t="shared" si="3"/>
        <v>44.1</v>
      </c>
      <c r="S34" s="28">
        <v>1</v>
      </c>
      <c r="T34" s="284"/>
      <c r="U34" s="293"/>
      <c r="V34" s="37" t="s">
        <v>330</v>
      </c>
      <c r="W34" s="28" t="s">
        <v>74</v>
      </c>
      <c r="X34" s="28" t="s">
        <v>11</v>
      </c>
      <c r="Y34" s="38">
        <v>44.1</v>
      </c>
      <c r="AD34" s="37"/>
      <c r="AG34" s="38"/>
      <c r="AL34" s="37"/>
      <c r="AO34" s="38"/>
      <c r="AP34" s="37"/>
      <c r="AS34" s="38"/>
      <c r="AW34" s="38"/>
      <c r="BA34" s="39"/>
    </row>
    <row r="35" spans="1:53" s="28" customFormat="1" x14ac:dyDescent="0.15">
      <c r="A35" s="51">
        <v>1970</v>
      </c>
      <c r="B35" s="301">
        <v>25875</v>
      </c>
      <c r="C35" s="394" t="s">
        <v>576</v>
      </c>
      <c r="D35" s="394"/>
      <c r="E35" s="28">
        <v>59</v>
      </c>
      <c r="F35" s="83" t="s">
        <v>327</v>
      </c>
      <c r="G35" s="65">
        <v>14</v>
      </c>
      <c r="J35" s="72">
        <v>14</v>
      </c>
      <c r="K35" s="46">
        <f t="shared" si="1"/>
        <v>100</v>
      </c>
      <c r="L35" s="46">
        <f t="shared" si="1"/>
        <v>0</v>
      </c>
      <c r="M35" s="46">
        <f t="shared" si="1"/>
        <v>0</v>
      </c>
      <c r="N35" s="67">
        <f t="shared" si="2"/>
        <v>100</v>
      </c>
      <c r="O35" s="45">
        <v>41.4</v>
      </c>
      <c r="P35" s="46"/>
      <c r="Q35" s="46"/>
      <c r="R35" s="47">
        <f t="shared" si="3"/>
        <v>41.4</v>
      </c>
      <c r="S35" s="28">
        <v>1</v>
      </c>
      <c r="T35" s="284">
        <v>25875</v>
      </c>
      <c r="U35" s="293"/>
      <c r="V35" s="37" t="s">
        <v>330</v>
      </c>
      <c r="W35" s="28" t="s">
        <v>74</v>
      </c>
      <c r="X35" s="28" t="s">
        <v>11</v>
      </c>
      <c r="Y35" s="38">
        <v>41.4</v>
      </c>
      <c r="AD35" s="37"/>
      <c r="AG35" s="38"/>
      <c r="AL35" s="37"/>
      <c r="AO35" s="38"/>
      <c r="AP35" s="37"/>
      <c r="AS35" s="38"/>
      <c r="AW35" s="38"/>
      <c r="BA35" s="39"/>
    </row>
    <row r="36" spans="1:53" s="28" customFormat="1" x14ac:dyDescent="0.15">
      <c r="A36" s="51">
        <v>1971</v>
      </c>
      <c r="B36" s="293"/>
      <c r="C36" s="394" t="s">
        <v>576</v>
      </c>
      <c r="D36" s="394"/>
      <c r="E36" s="28">
        <v>0</v>
      </c>
      <c r="G36" s="65">
        <v>14</v>
      </c>
      <c r="J36" s="72">
        <v>14</v>
      </c>
      <c r="K36" s="46">
        <f t="shared" si="1"/>
        <v>100</v>
      </c>
      <c r="L36" s="46">
        <f t="shared" si="1"/>
        <v>0</v>
      </c>
      <c r="M36" s="46">
        <f t="shared" si="1"/>
        <v>0</v>
      </c>
      <c r="N36" s="67">
        <f t="shared" si="2"/>
        <v>100</v>
      </c>
      <c r="O36" s="45">
        <v>41.4</v>
      </c>
      <c r="P36" s="46"/>
      <c r="Q36" s="46"/>
      <c r="R36" s="47">
        <f t="shared" si="3"/>
        <v>41.4</v>
      </c>
      <c r="S36" s="28">
        <v>1</v>
      </c>
      <c r="T36" s="284"/>
      <c r="U36" s="293"/>
      <c r="V36" s="37" t="s">
        <v>330</v>
      </c>
      <c r="W36" s="28" t="s">
        <v>74</v>
      </c>
      <c r="X36" s="28" t="s">
        <v>11</v>
      </c>
      <c r="Y36" s="38">
        <v>41.4</v>
      </c>
      <c r="AD36" s="37"/>
      <c r="AG36" s="38"/>
      <c r="AL36" s="37"/>
      <c r="AO36" s="38"/>
      <c r="AP36" s="37"/>
      <c r="AS36" s="38"/>
      <c r="AW36" s="38"/>
      <c r="BA36" s="39"/>
    </row>
    <row r="37" spans="1:53" s="28" customFormat="1" x14ac:dyDescent="0.15">
      <c r="A37" s="51">
        <v>1971</v>
      </c>
      <c r="B37" s="293"/>
      <c r="C37" s="394" t="s">
        <v>576</v>
      </c>
      <c r="D37" s="394"/>
      <c r="E37" s="28">
        <v>365</v>
      </c>
      <c r="G37" s="65">
        <v>14</v>
      </c>
      <c r="J37" s="72">
        <v>14</v>
      </c>
      <c r="K37" s="46">
        <f t="shared" si="1"/>
        <v>100</v>
      </c>
      <c r="L37" s="46">
        <f t="shared" si="1"/>
        <v>0</v>
      </c>
      <c r="M37" s="46">
        <f t="shared" si="1"/>
        <v>0</v>
      </c>
      <c r="N37" s="67">
        <f t="shared" si="2"/>
        <v>100</v>
      </c>
      <c r="O37" s="45">
        <v>41.4</v>
      </c>
      <c r="P37" s="46"/>
      <c r="Q37" s="46"/>
      <c r="R37" s="47">
        <f t="shared" si="3"/>
        <v>41.4</v>
      </c>
      <c r="S37" s="28">
        <v>1</v>
      </c>
      <c r="T37" s="284"/>
      <c r="U37" s="293"/>
      <c r="V37" s="37" t="s">
        <v>330</v>
      </c>
      <c r="W37" s="28" t="s">
        <v>74</v>
      </c>
      <c r="X37" s="28" t="s">
        <v>11</v>
      </c>
      <c r="Y37" s="38">
        <v>41.4</v>
      </c>
      <c r="AD37" s="37"/>
      <c r="AG37" s="38"/>
      <c r="AL37" s="37"/>
      <c r="AO37" s="38"/>
      <c r="AP37" s="37"/>
      <c r="AS37" s="38"/>
      <c r="AW37" s="38"/>
      <c r="BA37" s="39"/>
    </row>
    <row r="38" spans="1:53" s="28" customFormat="1" x14ac:dyDescent="0.15">
      <c r="A38" s="51">
        <v>1972</v>
      </c>
      <c r="B38" s="293"/>
      <c r="C38" s="394" t="s">
        <v>576</v>
      </c>
      <c r="D38" s="394"/>
      <c r="E38" s="28">
        <v>311</v>
      </c>
      <c r="G38" s="65">
        <v>14</v>
      </c>
      <c r="J38" s="72">
        <v>14</v>
      </c>
      <c r="K38" s="46">
        <f t="shared" si="1"/>
        <v>100</v>
      </c>
      <c r="L38" s="46">
        <f t="shared" si="1"/>
        <v>0</v>
      </c>
      <c r="M38" s="46">
        <f t="shared" si="1"/>
        <v>0</v>
      </c>
      <c r="N38" s="67">
        <f t="shared" si="2"/>
        <v>100</v>
      </c>
      <c r="O38" s="45">
        <v>41.4</v>
      </c>
      <c r="P38" s="46"/>
      <c r="Q38" s="46"/>
      <c r="R38" s="47">
        <f t="shared" si="3"/>
        <v>41.4</v>
      </c>
      <c r="S38" s="28">
        <v>1</v>
      </c>
      <c r="T38" s="284"/>
      <c r="U38" s="293"/>
      <c r="V38" s="37" t="s">
        <v>330</v>
      </c>
      <c r="W38" s="28" t="s">
        <v>74</v>
      </c>
      <c r="X38" s="28" t="s">
        <v>11</v>
      </c>
      <c r="Y38" s="38">
        <v>41.4</v>
      </c>
      <c r="AD38" s="37"/>
      <c r="AG38" s="38"/>
      <c r="AL38" s="37"/>
      <c r="AO38" s="38"/>
      <c r="AP38" s="37"/>
      <c r="AS38" s="38"/>
      <c r="AW38" s="38"/>
      <c r="BA38" s="39"/>
    </row>
    <row r="39" spans="1:53" s="28" customFormat="1" x14ac:dyDescent="0.15">
      <c r="A39" s="51">
        <v>1972</v>
      </c>
      <c r="B39" s="301">
        <v>26610</v>
      </c>
      <c r="C39" s="394" t="s">
        <v>576</v>
      </c>
      <c r="D39" s="394"/>
      <c r="E39" s="28">
        <v>55</v>
      </c>
      <c r="F39" s="83" t="s">
        <v>327</v>
      </c>
      <c r="G39" s="65">
        <v>14</v>
      </c>
      <c r="J39" s="72">
        <v>14</v>
      </c>
      <c r="K39" s="46">
        <f t="shared" si="1"/>
        <v>100</v>
      </c>
      <c r="L39" s="46">
        <f t="shared" si="1"/>
        <v>0</v>
      </c>
      <c r="M39" s="46">
        <f t="shared" si="1"/>
        <v>0</v>
      </c>
      <c r="N39" s="67">
        <f t="shared" si="2"/>
        <v>100</v>
      </c>
      <c r="O39" s="45">
        <v>44.1</v>
      </c>
      <c r="P39" s="46"/>
      <c r="Q39" s="46"/>
      <c r="R39" s="47">
        <f t="shared" si="3"/>
        <v>44.1</v>
      </c>
      <c r="S39" s="28">
        <v>1</v>
      </c>
      <c r="T39" s="284">
        <v>26610</v>
      </c>
      <c r="U39" s="293"/>
      <c r="V39" s="37" t="s">
        <v>330</v>
      </c>
      <c r="W39" s="28" t="s">
        <v>74</v>
      </c>
      <c r="X39" s="28" t="s">
        <v>11</v>
      </c>
      <c r="Y39" s="38">
        <v>44.1</v>
      </c>
      <c r="AD39" s="37"/>
      <c r="AG39" s="38"/>
      <c r="AL39" s="37"/>
      <c r="AO39" s="38"/>
      <c r="AP39" s="37"/>
      <c r="AS39" s="38"/>
      <c r="AW39" s="38"/>
      <c r="BA39" s="39"/>
    </row>
    <row r="40" spans="1:53" s="28" customFormat="1" x14ac:dyDescent="0.15">
      <c r="A40" s="51">
        <v>1973</v>
      </c>
      <c r="B40" s="293"/>
      <c r="C40" s="394" t="s">
        <v>576</v>
      </c>
      <c r="D40" s="394"/>
      <c r="E40" s="28">
        <v>19</v>
      </c>
      <c r="G40" s="65">
        <v>14</v>
      </c>
      <c r="J40" s="72">
        <v>14</v>
      </c>
      <c r="K40" s="46">
        <f t="shared" si="1"/>
        <v>100</v>
      </c>
      <c r="L40" s="46">
        <f t="shared" si="1"/>
        <v>0</v>
      </c>
      <c r="M40" s="46">
        <f t="shared" si="1"/>
        <v>0</v>
      </c>
      <c r="N40" s="67">
        <f t="shared" si="2"/>
        <v>100</v>
      </c>
      <c r="O40" s="45">
        <v>44.1</v>
      </c>
      <c r="P40" s="46"/>
      <c r="Q40" s="46"/>
      <c r="R40" s="47">
        <f t="shared" si="3"/>
        <v>44.1</v>
      </c>
      <c r="S40" s="28">
        <v>1</v>
      </c>
      <c r="T40" s="284"/>
      <c r="U40" s="293"/>
      <c r="V40" s="37" t="s">
        <v>330</v>
      </c>
      <c r="W40" s="28" t="s">
        <v>74</v>
      </c>
      <c r="X40" s="28" t="s">
        <v>11</v>
      </c>
      <c r="Y40" s="38">
        <v>44.1</v>
      </c>
      <c r="AD40" s="37"/>
      <c r="AG40" s="38"/>
      <c r="AL40" s="37"/>
      <c r="AO40" s="38"/>
      <c r="AP40" s="37"/>
      <c r="AS40" s="38"/>
      <c r="AW40" s="38"/>
      <c r="BA40" s="39"/>
    </row>
    <row r="41" spans="1:53" s="170" customFormat="1" x14ac:dyDescent="0.15">
      <c r="A41" s="215">
        <v>1973</v>
      </c>
      <c r="B41" s="281">
        <v>26684</v>
      </c>
      <c r="C41" s="395" t="s">
        <v>577</v>
      </c>
      <c r="D41" s="395"/>
      <c r="E41" s="170">
        <v>13</v>
      </c>
      <c r="F41" s="170">
        <v>1</v>
      </c>
      <c r="G41" s="232">
        <v>14</v>
      </c>
      <c r="J41" s="240">
        <v>14</v>
      </c>
      <c r="K41" s="213">
        <f t="shared" si="1"/>
        <v>100</v>
      </c>
      <c r="L41" s="213">
        <f t="shared" si="1"/>
        <v>0</v>
      </c>
      <c r="M41" s="213">
        <f t="shared" si="1"/>
        <v>0</v>
      </c>
      <c r="N41" s="234">
        <f t="shared" si="2"/>
        <v>100</v>
      </c>
      <c r="O41" s="212">
        <v>44.1</v>
      </c>
      <c r="P41" s="213"/>
      <c r="Q41" s="213"/>
      <c r="R41" s="214">
        <f t="shared" si="3"/>
        <v>44.1</v>
      </c>
      <c r="S41" s="170">
        <v>1</v>
      </c>
      <c r="T41" s="283"/>
      <c r="U41" s="281">
        <v>26684</v>
      </c>
      <c r="V41" s="177" t="s">
        <v>330</v>
      </c>
      <c r="W41" s="170" t="s">
        <v>74</v>
      </c>
      <c r="X41" s="170" t="s">
        <v>11</v>
      </c>
      <c r="Y41" s="178">
        <v>44.1</v>
      </c>
      <c r="AD41" s="177"/>
      <c r="AG41" s="178"/>
      <c r="AL41" s="177"/>
      <c r="AO41" s="178"/>
      <c r="AP41" s="177"/>
      <c r="AS41" s="178"/>
      <c r="AW41" s="178"/>
      <c r="BA41" s="179"/>
    </row>
    <row r="42" spans="1:53" s="170" customFormat="1" x14ac:dyDescent="0.15">
      <c r="A42" s="215">
        <v>1973</v>
      </c>
      <c r="B42" s="303">
        <v>26697</v>
      </c>
      <c r="C42" s="395" t="s">
        <v>577</v>
      </c>
      <c r="D42" s="395"/>
      <c r="E42" s="170">
        <f xml:space="preserve"> 365-E41-E40</f>
        <v>333</v>
      </c>
      <c r="F42" s="243">
        <v>0</v>
      </c>
      <c r="G42" s="232">
        <v>13</v>
      </c>
      <c r="H42" s="170">
        <v>1</v>
      </c>
      <c r="J42" s="240">
        <v>14</v>
      </c>
      <c r="K42" s="213">
        <f t="shared" si="1"/>
        <v>92.857142857142861</v>
      </c>
      <c r="L42" s="213">
        <f t="shared" si="1"/>
        <v>7.1428571428571423</v>
      </c>
      <c r="M42" s="213">
        <f t="shared" si="1"/>
        <v>0</v>
      </c>
      <c r="N42" s="234">
        <f t="shared" si="2"/>
        <v>100</v>
      </c>
      <c r="O42" s="212">
        <v>44.1</v>
      </c>
      <c r="P42" s="213"/>
      <c r="Q42" s="213"/>
      <c r="R42" s="214">
        <f t="shared" si="3"/>
        <v>44.1</v>
      </c>
      <c r="S42" s="170">
        <v>1</v>
      </c>
      <c r="T42" s="283"/>
      <c r="U42" s="281"/>
      <c r="V42" s="177" t="s">
        <v>330</v>
      </c>
      <c r="W42" s="170" t="s">
        <v>74</v>
      </c>
      <c r="X42" s="170" t="s">
        <v>11</v>
      </c>
      <c r="Y42" s="178">
        <v>44.1</v>
      </c>
      <c r="Z42" s="243"/>
      <c r="AA42" s="243"/>
      <c r="AB42" s="243"/>
      <c r="AC42" s="243"/>
      <c r="AD42" s="177"/>
      <c r="AG42" s="178"/>
      <c r="AL42" s="177"/>
      <c r="AO42" s="178"/>
      <c r="AP42" s="177"/>
      <c r="AS42" s="178"/>
      <c r="AW42" s="178"/>
      <c r="BA42" s="179"/>
    </row>
    <row r="43" spans="1:53" s="170" customFormat="1" x14ac:dyDescent="0.15">
      <c r="A43" s="215">
        <v>1974</v>
      </c>
      <c r="B43" s="281"/>
      <c r="C43" s="395" t="s">
        <v>577</v>
      </c>
      <c r="D43" s="395"/>
      <c r="E43" s="170">
        <v>220</v>
      </c>
      <c r="G43" s="232">
        <v>13</v>
      </c>
      <c r="H43" s="170">
        <v>1</v>
      </c>
      <c r="J43" s="240">
        <v>14</v>
      </c>
      <c r="K43" s="213">
        <f t="shared" si="1"/>
        <v>92.857142857142861</v>
      </c>
      <c r="L43" s="213">
        <f t="shared" si="1"/>
        <v>7.1428571428571423</v>
      </c>
      <c r="M43" s="213">
        <f t="shared" si="1"/>
        <v>0</v>
      </c>
      <c r="N43" s="234">
        <f t="shared" si="2"/>
        <v>100</v>
      </c>
      <c r="O43" s="212">
        <v>44.1</v>
      </c>
      <c r="P43" s="213"/>
      <c r="Q43" s="213"/>
      <c r="R43" s="214">
        <f t="shared" si="3"/>
        <v>44.1</v>
      </c>
      <c r="S43" s="170">
        <v>1</v>
      </c>
      <c r="T43" s="283"/>
      <c r="U43" s="281"/>
      <c r="V43" s="177" t="s">
        <v>330</v>
      </c>
      <c r="W43" s="170" t="s">
        <v>74</v>
      </c>
      <c r="X43" s="170" t="s">
        <v>11</v>
      </c>
      <c r="Y43" s="178">
        <v>44.1</v>
      </c>
      <c r="Z43" s="243"/>
      <c r="AA43" s="243"/>
      <c r="AB43" s="243"/>
      <c r="AC43" s="243"/>
      <c r="AD43" s="177"/>
      <c r="AG43" s="178"/>
      <c r="AL43" s="177"/>
      <c r="AO43" s="178"/>
      <c r="AP43" s="177"/>
      <c r="AS43" s="178"/>
      <c r="AW43" s="178"/>
      <c r="BA43" s="179"/>
    </row>
    <row r="44" spans="1:53" s="28" customFormat="1" x14ac:dyDescent="0.15">
      <c r="A44" s="51">
        <v>1974</v>
      </c>
      <c r="B44" s="293">
        <v>27250</v>
      </c>
      <c r="C44" s="394" t="s">
        <v>578</v>
      </c>
      <c r="D44" s="394"/>
      <c r="E44" s="28">
        <v>88</v>
      </c>
      <c r="F44" s="28">
        <v>2</v>
      </c>
      <c r="G44" s="65">
        <v>12</v>
      </c>
      <c r="H44" s="28">
        <v>1</v>
      </c>
      <c r="J44" s="72">
        <v>13</v>
      </c>
      <c r="K44" s="46">
        <f>G44/$J44*100</f>
        <v>92.307692307692307</v>
      </c>
      <c r="L44" s="46">
        <f>H44/$J44*100</f>
        <v>7.6923076923076925</v>
      </c>
      <c r="M44" s="46">
        <f>I44/$J44*100</f>
        <v>0</v>
      </c>
      <c r="N44" s="67">
        <f>K44+L44+M44</f>
        <v>100</v>
      </c>
      <c r="O44" s="45">
        <v>44.1</v>
      </c>
      <c r="P44" s="46"/>
      <c r="Q44" s="46"/>
      <c r="R44" s="47">
        <f t="shared" si="3"/>
        <v>44.1</v>
      </c>
      <c r="S44" s="28">
        <v>1</v>
      </c>
      <c r="T44" s="284"/>
      <c r="U44" s="293">
        <v>27250</v>
      </c>
      <c r="V44" s="37" t="s">
        <v>330</v>
      </c>
      <c r="W44" s="28" t="s">
        <v>74</v>
      </c>
      <c r="X44" s="28" t="s">
        <v>11</v>
      </c>
      <c r="Y44" s="38">
        <v>44.1</v>
      </c>
      <c r="Z44" s="83"/>
      <c r="AA44" s="83"/>
      <c r="AB44" s="83"/>
      <c r="AC44" s="83"/>
      <c r="AD44" s="37"/>
      <c r="AG44" s="38"/>
      <c r="AL44" s="37"/>
      <c r="AO44" s="38"/>
      <c r="AP44" s="37"/>
      <c r="AS44" s="38"/>
      <c r="AW44" s="38"/>
      <c r="BA44" s="39"/>
    </row>
    <row r="45" spans="1:53" s="28" customFormat="1" x14ac:dyDescent="0.15">
      <c r="A45" s="51">
        <v>1974</v>
      </c>
      <c r="B45" s="316">
        <v>27338</v>
      </c>
      <c r="C45" s="394" t="s">
        <v>578</v>
      </c>
      <c r="D45" s="394"/>
      <c r="E45" s="28">
        <v>57</v>
      </c>
      <c r="F45" s="83" t="s">
        <v>327</v>
      </c>
      <c r="G45" s="65">
        <v>12</v>
      </c>
      <c r="H45" s="28">
        <v>1</v>
      </c>
      <c r="J45" s="72">
        <v>13</v>
      </c>
      <c r="K45" s="46">
        <f t="shared" si="1"/>
        <v>92.307692307692307</v>
      </c>
      <c r="L45" s="46">
        <f t="shared" si="1"/>
        <v>7.6923076923076925</v>
      </c>
      <c r="M45" s="46">
        <f t="shared" si="1"/>
        <v>0</v>
      </c>
      <c r="N45" s="67">
        <f t="shared" si="2"/>
        <v>100</v>
      </c>
      <c r="O45" s="45">
        <v>33.1</v>
      </c>
      <c r="P45" s="46"/>
      <c r="Q45" s="46"/>
      <c r="R45" s="47">
        <f t="shared" si="3"/>
        <v>33.1</v>
      </c>
      <c r="S45" s="28">
        <v>1</v>
      </c>
      <c r="T45" s="284">
        <v>27338</v>
      </c>
      <c r="U45" s="293"/>
      <c r="V45" s="37" t="s">
        <v>330</v>
      </c>
      <c r="W45" s="28" t="s">
        <v>74</v>
      </c>
      <c r="X45" s="28" t="s">
        <v>11</v>
      </c>
      <c r="Y45" s="38">
        <v>33.1</v>
      </c>
      <c r="Z45" s="83"/>
      <c r="AA45" s="83"/>
      <c r="AB45" s="83"/>
      <c r="AC45" s="83"/>
      <c r="AD45" s="37"/>
      <c r="AG45" s="38"/>
      <c r="AL45" s="37"/>
      <c r="AO45" s="38"/>
      <c r="AP45" s="37"/>
      <c r="AS45" s="38"/>
      <c r="AW45" s="38"/>
      <c r="BA45" s="39"/>
    </row>
    <row r="46" spans="1:53" s="28" customFormat="1" x14ac:dyDescent="0.15">
      <c r="A46" s="51">
        <v>1975</v>
      </c>
      <c r="B46" s="293"/>
      <c r="C46" s="394" t="s">
        <v>578</v>
      </c>
      <c r="D46" s="394"/>
      <c r="E46" s="28">
        <v>37</v>
      </c>
      <c r="G46" s="65">
        <v>12</v>
      </c>
      <c r="H46" s="28">
        <v>1</v>
      </c>
      <c r="J46" s="72">
        <v>13</v>
      </c>
      <c r="K46" s="46">
        <f t="shared" si="1"/>
        <v>92.307692307692307</v>
      </c>
      <c r="L46" s="46">
        <f t="shared" si="1"/>
        <v>7.6923076923076925</v>
      </c>
      <c r="M46" s="46">
        <f t="shared" si="1"/>
        <v>0</v>
      </c>
      <c r="N46" s="67">
        <f t="shared" si="2"/>
        <v>100</v>
      </c>
      <c r="O46" s="45">
        <v>33.1</v>
      </c>
      <c r="P46" s="46"/>
      <c r="Q46" s="46"/>
      <c r="R46" s="47">
        <f t="shared" si="3"/>
        <v>33.1</v>
      </c>
      <c r="S46" s="28">
        <v>1</v>
      </c>
      <c r="T46" s="284"/>
      <c r="U46" s="293"/>
      <c r="V46" s="37" t="s">
        <v>330</v>
      </c>
      <c r="W46" s="28" t="s">
        <v>74</v>
      </c>
      <c r="X46" s="28" t="s">
        <v>11</v>
      </c>
      <c r="Y46" s="38">
        <v>33.1</v>
      </c>
      <c r="Z46" s="83"/>
      <c r="AA46" s="83"/>
      <c r="AB46" s="83"/>
      <c r="AC46" s="83"/>
      <c r="AD46" s="37"/>
      <c r="AG46" s="38"/>
      <c r="AL46" s="37"/>
      <c r="AO46" s="38"/>
      <c r="AP46" s="37"/>
      <c r="AS46" s="38"/>
      <c r="AW46" s="38"/>
      <c r="BA46" s="39"/>
    </row>
    <row r="47" spans="1:53" s="28" customFormat="1" x14ac:dyDescent="0.15">
      <c r="A47" s="51">
        <v>1975</v>
      </c>
      <c r="B47" s="301">
        <v>27432</v>
      </c>
      <c r="C47" s="394" t="s">
        <v>578</v>
      </c>
      <c r="D47" s="394"/>
      <c r="E47" s="28">
        <v>182</v>
      </c>
      <c r="F47" s="83">
        <v>0</v>
      </c>
      <c r="G47" s="65">
        <v>11</v>
      </c>
      <c r="H47" s="28">
        <v>2</v>
      </c>
      <c r="J47" s="72">
        <v>13</v>
      </c>
      <c r="K47" s="46">
        <f t="shared" si="1"/>
        <v>84.615384615384613</v>
      </c>
      <c r="L47" s="46">
        <f t="shared" si="1"/>
        <v>15.384615384615385</v>
      </c>
      <c r="M47" s="46">
        <f t="shared" si="1"/>
        <v>0</v>
      </c>
      <c r="N47" s="67">
        <f t="shared" si="2"/>
        <v>100</v>
      </c>
      <c r="O47" s="45">
        <v>33.1</v>
      </c>
      <c r="P47" s="46"/>
      <c r="Q47" s="46"/>
      <c r="R47" s="47">
        <f t="shared" si="3"/>
        <v>33.1</v>
      </c>
      <c r="S47" s="28">
        <v>1</v>
      </c>
      <c r="T47" s="284"/>
      <c r="U47" s="293"/>
      <c r="V47" s="37" t="s">
        <v>330</v>
      </c>
      <c r="W47" s="28" t="s">
        <v>74</v>
      </c>
      <c r="X47" s="28" t="s">
        <v>11</v>
      </c>
      <c r="Y47" s="38">
        <v>33.1</v>
      </c>
      <c r="Z47" s="83"/>
      <c r="AA47" s="83"/>
      <c r="AB47" s="83"/>
      <c r="AC47" s="83"/>
      <c r="AD47" s="37"/>
      <c r="AG47" s="38"/>
      <c r="AL47" s="37"/>
      <c r="AO47" s="38"/>
      <c r="AP47" s="37"/>
      <c r="AS47" s="38"/>
      <c r="AW47" s="38"/>
      <c r="BA47" s="39"/>
    </row>
    <row r="48" spans="1:53" s="28" customFormat="1" x14ac:dyDescent="0.15">
      <c r="A48" s="51">
        <v>1975</v>
      </c>
      <c r="B48" s="301">
        <v>27614</v>
      </c>
      <c r="C48" s="394" t="s">
        <v>578</v>
      </c>
      <c r="D48" s="394"/>
      <c r="E48" s="28">
        <f xml:space="preserve"> 365-E47-E46</f>
        <v>146</v>
      </c>
      <c r="F48" s="83">
        <v>0</v>
      </c>
      <c r="G48" s="65">
        <v>10</v>
      </c>
      <c r="H48" s="28">
        <v>3</v>
      </c>
      <c r="J48" s="72">
        <v>13</v>
      </c>
      <c r="K48" s="46">
        <f t="shared" si="1"/>
        <v>76.923076923076934</v>
      </c>
      <c r="L48" s="46">
        <f t="shared" si="1"/>
        <v>23.076923076923077</v>
      </c>
      <c r="M48" s="46">
        <f t="shared" si="1"/>
        <v>0</v>
      </c>
      <c r="N48" s="67">
        <f t="shared" si="2"/>
        <v>100.00000000000001</v>
      </c>
      <c r="O48" s="45">
        <v>33.1</v>
      </c>
      <c r="P48" s="46"/>
      <c r="Q48" s="46"/>
      <c r="R48" s="47">
        <f t="shared" si="3"/>
        <v>33.1</v>
      </c>
      <c r="S48" s="28">
        <v>1</v>
      </c>
      <c r="T48" s="284"/>
      <c r="U48" s="293"/>
      <c r="V48" s="37" t="s">
        <v>330</v>
      </c>
      <c r="W48" s="28" t="s">
        <v>74</v>
      </c>
      <c r="X48" s="28" t="s">
        <v>11</v>
      </c>
      <c r="Y48" s="38">
        <v>33.1</v>
      </c>
      <c r="Z48" s="83"/>
      <c r="AA48" s="83"/>
      <c r="AB48" s="83"/>
      <c r="AC48" s="83"/>
      <c r="AD48" s="37"/>
      <c r="AG48" s="38"/>
      <c r="AL48" s="37"/>
      <c r="AO48" s="38"/>
      <c r="AP48" s="37"/>
      <c r="AS48" s="38"/>
      <c r="AW48" s="38"/>
      <c r="BA48" s="39"/>
    </row>
    <row r="49" spans="1:53" s="28" customFormat="1" x14ac:dyDescent="0.15">
      <c r="A49" s="51">
        <v>1976</v>
      </c>
      <c r="B49" s="293"/>
      <c r="C49" s="394" t="s">
        <v>578</v>
      </c>
      <c r="D49" s="394"/>
      <c r="E49" s="28">
        <v>306</v>
      </c>
      <c r="G49" s="65">
        <v>10</v>
      </c>
      <c r="H49" s="28">
        <v>3</v>
      </c>
      <c r="J49" s="72">
        <v>13</v>
      </c>
      <c r="K49" s="46">
        <f t="shared" si="1"/>
        <v>76.923076923076934</v>
      </c>
      <c r="L49" s="46">
        <f t="shared" si="1"/>
        <v>23.076923076923077</v>
      </c>
      <c r="M49" s="46">
        <f t="shared" si="1"/>
        <v>0</v>
      </c>
      <c r="N49" s="67">
        <f t="shared" si="2"/>
        <v>100.00000000000001</v>
      </c>
      <c r="O49" s="45">
        <v>33.1</v>
      </c>
      <c r="P49" s="46"/>
      <c r="Q49" s="46"/>
      <c r="R49" s="47">
        <f t="shared" si="3"/>
        <v>33.1</v>
      </c>
      <c r="S49" s="28">
        <v>1</v>
      </c>
      <c r="T49" s="284"/>
      <c r="U49" s="293"/>
      <c r="V49" s="37" t="s">
        <v>330</v>
      </c>
      <c r="W49" s="28" t="s">
        <v>74</v>
      </c>
      <c r="X49" s="28" t="s">
        <v>11</v>
      </c>
      <c r="Y49" s="38">
        <v>33.1</v>
      </c>
      <c r="Z49" s="83"/>
      <c r="AA49" s="83"/>
      <c r="AB49" s="83"/>
      <c r="AC49" s="83"/>
      <c r="AD49" s="37"/>
      <c r="AG49" s="38"/>
      <c r="AL49" s="37"/>
      <c r="AO49" s="38"/>
      <c r="AP49" s="37"/>
      <c r="AS49" s="38"/>
      <c r="AW49" s="38"/>
      <c r="BA49" s="39"/>
    </row>
    <row r="50" spans="1:53" s="28" customFormat="1" x14ac:dyDescent="0.15">
      <c r="A50" s="51">
        <v>1976</v>
      </c>
      <c r="B50" s="301">
        <v>28066</v>
      </c>
      <c r="C50" s="394" t="s">
        <v>578</v>
      </c>
      <c r="D50" s="394"/>
      <c r="E50" s="28">
        <v>60</v>
      </c>
      <c r="F50" s="83" t="s">
        <v>327</v>
      </c>
      <c r="G50" s="65">
        <v>10</v>
      </c>
      <c r="H50" s="28">
        <v>3</v>
      </c>
      <c r="J50" s="72">
        <v>13</v>
      </c>
      <c r="K50" s="46">
        <f t="shared" si="1"/>
        <v>76.923076923076934</v>
      </c>
      <c r="L50" s="46">
        <f t="shared" si="1"/>
        <v>23.076923076923077</v>
      </c>
      <c r="M50" s="46">
        <f t="shared" si="1"/>
        <v>0</v>
      </c>
      <c r="N50" s="67">
        <f t="shared" si="2"/>
        <v>100.00000000000001</v>
      </c>
      <c r="O50" s="45">
        <v>32.9</v>
      </c>
      <c r="P50" s="46"/>
      <c r="Q50" s="46"/>
      <c r="R50" s="47">
        <f t="shared" si="3"/>
        <v>32.9</v>
      </c>
      <c r="S50" s="28">
        <v>1</v>
      </c>
      <c r="T50" s="284">
        <v>28066</v>
      </c>
      <c r="U50" s="293"/>
      <c r="V50" s="37" t="s">
        <v>330</v>
      </c>
      <c r="W50" s="28" t="s">
        <v>74</v>
      </c>
      <c r="X50" s="28" t="s">
        <v>11</v>
      </c>
      <c r="Y50" s="38">
        <v>32.9</v>
      </c>
      <c r="Z50" s="83"/>
      <c r="AA50" s="83"/>
      <c r="AB50" s="83"/>
      <c r="AC50" s="83"/>
      <c r="AD50" s="37"/>
      <c r="AG50" s="38"/>
      <c r="AL50" s="37"/>
      <c r="AO50" s="38"/>
      <c r="AP50" s="37"/>
      <c r="AS50" s="38"/>
      <c r="AW50" s="38"/>
      <c r="BA50" s="39"/>
    </row>
    <row r="51" spans="1:53" s="28" customFormat="1" x14ac:dyDescent="0.15">
      <c r="A51" s="51">
        <v>1977</v>
      </c>
      <c r="B51" s="293"/>
      <c r="C51" s="394" t="s">
        <v>578</v>
      </c>
      <c r="D51" s="394"/>
      <c r="E51" s="28">
        <v>19</v>
      </c>
      <c r="G51" s="65">
        <v>10</v>
      </c>
      <c r="H51" s="28">
        <v>3</v>
      </c>
      <c r="J51" s="72">
        <v>13</v>
      </c>
      <c r="K51" s="46">
        <f t="shared" si="1"/>
        <v>76.923076923076934</v>
      </c>
      <c r="L51" s="46">
        <f t="shared" si="1"/>
        <v>23.076923076923077</v>
      </c>
      <c r="M51" s="46">
        <f t="shared" si="1"/>
        <v>0</v>
      </c>
      <c r="N51" s="67">
        <f t="shared" si="2"/>
        <v>100.00000000000001</v>
      </c>
      <c r="O51" s="45">
        <v>32.9</v>
      </c>
      <c r="P51" s="46"/>
      <c r="Q51" s="46"/>
      <c r="R51" s="47">
        <f t="shared" si="3"/>
        <v>32.9</v>
      </c>
      <c r="S51" s="28">
        <v>1</v>
      </c>
      <c r="T51" s="284"/>
      <c r="U51" s="293"/>
      <c r="V51" s="37" t="s">
        <v>330</v>
      </c>
      <c r="W51" s="28" t="s">
        <v>74</v>
      </c>
      <c r="X51" s="28" t="s">
        <v>11</v>
      </c>
      <c r="Y51" s="38">
        <v>32.9</v>
      </c>
      <c r="Z51" s="83"/>
      <c r="AA51" s="83"/>
      <c r="AB51" s="83"/>
      <c r="AC51" s="83"/>
      <c r="AD51" s="37"/>
      <c r="AG51" s="38"/>
      <c r="AL51" s="37"/>
      <c r="AO51" s="38"/>
      <c r="AP51" s="37"/>
      <c r="AS51" s="38"/>
      <c r="AW51" s="38"/>
      <c r="BA51" s="39"/>
    </row>
    <row r="52" spans="1:53" s="170" customFormat="1" x14ac:dyDescent="0.15">
      <c r="A52" s="215">
        <v>1977</v>
      </c>
      <c r="B52" s="281">
        <v>28145</v>
      </c>
      <c r="C52" s="395" t="s">
        <v>579</v>
      </c>
      <c r="D52" s="395"/>
      <c r="E52" s="170">
        <f xml:space="preserve"> 365-E51</f>
        <v>346</v>
      </c>
      <c r="F52" s="170">
        <v>1</v>
      </c>
      <c r="G52" s="232">
        <v>1</v>
      </c>
      <c r="H52" s="170">
        <v>13</v>
      </c>
      <c r="J52" s="240">
        <v>14</v>
      </c>
      <c r="K52" s="213">
        <f t="shared" si="1"/>
        <v>7.1428571428571423</v>
      </c>
      <c r="L52" s="213">
        <f t="shared" si="1"/>
        <v>92.857142857142861</v>
      </c>
      <c r="M52" s="213">
        <f t="shared" si="1"/>
        <v>0</v>
      </c>
      <c r="N52" s="234">
        <f t="shared" si="2"/>
        <v>100</v>
      </c>
      <c r="O52" s="212"/>
      <c r="P52" s="213">
        <v>67.099999999999994</v>
      </c>
      <c r="Q52" s="213"/>
      <c r="R52" s="214">
        <f t="shared" si="3"/>
        <v>67.099999999999994</v>
      </c>
      <c r="S52" s="170">
        <v>1</v>
      </c>
      <c r="T52" s="283"/>
      <c r="U52" s="281">
        <v>28145</v>
      </c>
      <c r="V52" s="177" t="s">
        <v>130</v>
      </c>
      <c r="W52" s="170" t="s">
        <v>22</v>
      </c>
      <c r="X52" s="170" t="s">
        <v>18</v>
      </c>
      <c r="Y52" s="178">
        <v>67.099999999999994</v>
      </c>
      <c r="Z52" s="243"/>
      <c r="AA52" s="243"/>
      <c r="AB52" s="243"/>
      <c r="AC52" s="243"/>
      <c r="AD52" s="177"/>
      <c r="AG52" s="178"/>
      <c r="AL52" s="177"/>
      <c r="AO52" s="178"/>
      <c r="AP52" s="177"/>
      <c r="AS52" s="178"/>
      <c r="AW52" s="178"/>
      <c r="BA52" s="179"/>
    </row>
    <row r="53" spans="1:53" s="170" customFormat="1" x14ac:dyDescent="0.15">
      <c r="A53" s="215">
        <v>1978</v>
      </c>
      <c r="B53" s="281"/>
      <c r="C53" s="395" t="s">
        <v>579</v>
      </c>
      <c r="D53" s="395"/>
      <c r="E53" s="170">
        <v>311</v>
      </c>
      <c r="G53" s="232">
        <v>1</v>
      </c>
      <c r="H53" s="170">
        <v>13</v>
      </c>
      <c r="J53" s="240">
        <v>14</v>
      </c>
      <c r="K53" s="213">
        <f t="shared" si="1"/>
        <v>7.1428571428571423</v>
      </c>
      <c r="L53" s="213">
        <f t="shared" si="1"/>
        <v>92.857142857142861</v>
      </c>
      <c r="M53" s="213">
        <f t="shared" si="1"/>
        <v>0</v>
      </c>
      <c r="N53" s="234">
        <f t="shared" si="2"/>
        <v>100</v>
      </c>
      <c r="O53" s="212"/>
      <c r="P53" s="213">
        <v>67.099999999999994</v>
      </c>
      <c r="Q53" s="213"/>
      <c r="R53" s="214">
        <f t="shared" si="3"/>
        <v>67.099999999999994</v>
      </c>
      <c r="S53" s="170">
        <v>1</v>
      </c>
      <c r="T53" s="283"/>
      <c r="U53" s="281"/>
      <c r="V53" s="177" t="s">
        <v>130</v>
      </c>
      <c r="W53" s="170" t="s">
        <v>22</v>
      </c>
      <c r="X53" s="170" t="s">
        <v>18</v>
      </c>
      <c r="Y53" s="178">
        <v>67.099999999999994</v>
      </c>
      <c r="Z53" s="243"/>
      <c r="AA53" s="243"/>
      <c r="AB53" s="243"/>
      <c r="AC53" s="243"/>
      <c r="AD53" s="177"/>
      <c r="AG53" s="178"/>
      <c r="AL53" s="177"/>
      <c r="AO53" s="178"/>
      <c r="AP53" s="177"/>
      <c r="AS53" s="178"/>
      <c r="AW53" s="178"/>
      <c r="BA53" s="179"/>
    </row>
    <row r="54" spans="1:53" s="170" customFormat="1" x14ac:dyDescent="0.15">
      <c r="A54" s="215">
        <v>1978</v>
      </c>
      <c r="B54" s="303">
        <v>28802</v>
      </c>
      <c r="C54" s="395" t="s">
        <v>579</v>
      </c>
      <c r="D54" s="395"/>
      <c r="E54" s="170">
        <v>54</v>
      </c>
      <c r="F54" s="243" t="s">
        <v>327</v>
      </c>
      <c r="G54" s="232">
        <v>1</v>
      </c>
      <c r="H54" s="170">
        <v>13</v>
      </c>
      <c r="J54" s="240">
        <v>14</v>
      </c>
      <c r="K54" s="213">
        <f t="shared" si="1"/>
        <v>7.1428571428571423</v>
      </c>
      <c r="L54" s="213">
        <f t="shared" si="1"/>
        <v>92.857142857142861</v>
      </c>
      <c r="M54" s="213">
        <f t="shared" si="1"/>
        <v>0</v>
      </c>
      <c r="N54" s="234">
        <f t="shared" si="2"/>
        <v>100</v>
      </c>
      <c r="O54" s="212"/>
      <c r="P54" s="213">
        <v>63.7</v>
      </c>
      <c r="Q54" s="213"/>
      <c r="R54" s="214">
        <f t="shared" si="3"/>
        <v>63.7</v>
      </c>
      <c r="S54" s="170">
        <v>1</v>
      </c>
      <c r="T54" s="283">
        <v>28802</v>
      </c>
      <c r="U54" s="281"/>
      <c r="V54" s="177" t="s">
        <v>130</v>
      </c>
      <c r="W54" s="170" t="s">
        <v>22</v>
      </c>
      <c r="X54" s="170" t="s">
        <v>18</v>
      </c>
      <c r="Y54" s="178">
        <v>63.7</v>
      </c>
      <c r="Z54" s="243"/>
      <c r="AA54" s="243"/>
      <c r="AB54" s="243"/>
      <c r="AC54" s="243"/>
      <c r="AD54" s="177"/>
      <c r="AG54" s="178"/>
      <c r="AL54" s="177"/>
      <c r="AO54" s="178"/>
      <c r="AP54" s="177"/>
      <c r="AS54" s="178"/>
      <c r="AW54" s="178"/>
      <c r="BA54" s="179"/>
    </row>
    <row r="55" spans="1:53" s="170" customFormat="1" x14ac:dyDescent="0.15">
      <c r="A55" s="215">
        <v>1979</v>
      </c>
      <c r="B55" s="281"/>
      <c r="C55" s="395" t="s">
        <v>579</v>
      </c>
      <c r="D55" s="395"/>
      <c r="E55" s="170">
        <v>235</v>
      </c>
      <c r="G55" s="232">
        <v>1</v>
      </c>
      <c r="H55" s="170">
        <v>13</v>
      </c>
      <c r="J55" s="240">
        <v>14</v>
      </c>
      <c r="K55" s="213">
        <f t="shared" si="1"/>
        <v>7.1428571428571423</v>
      </c>
      <c r="L55" s="213">
        <f t="shared" si="1"/>
        <v>92.857142857142861</v>
      </c>
      <c r="M55" s="213">
        <f t="shared" si="1"/>
        <v>0</v>
      </c>
      <c r="N55" s="234">
        <f t="shared" si="2"/>
        <v>100</v>
      </c>
      <c r="O55" s="212"/>
      <c r="P55" s="213">
        <v>63.7</v>
      </c>
      <c r="Q55" s="213"/>
      <c r="R55" s="214">
        <f t="shared" si="3"/>
        <v>63.7</v>
      </c>
      <c r="S55" s="170">
        <v>1</v>
      </c>
      <c r="T55" s="283"/>
      <c r="U55" s="281"/>
      <c r="V55" s="177" t="s">
        <v>130</v>
      </c>
      <c r="W55" s="170" t="s">
        <v>22</v>
      </c>
      <c r="X55" s="170" t="s">
        <v>18</v>
      </c>
      <c r="Y55" s="178">
        <v>63.7</v>
      </c>
      <c r="Z55" s="243"/>
      <c r="AA55" s="243"/>
      <c r="AB55" s="243"/>
      <c r="AC55" s="243"/>
      <c r="AD55" s="177"/>
      <c r="AG55" s="178"/>
      <c r="AL55" s="177"/>
      <c r="AO55" s="178"/>
      <c r="AP55" s="177"/>
      <c r="AS55" s="178"/>
      <c r="AW55" s="178"/>
      <c r="BA55" s="179"/>
    </row>
    <row r="56" spans="1:53" s="170" customFormat="1" x14ac:dyDescent="0.15">
      <c r="A56" s="215">
        <v>1979</v>
      </c>
      <c r="B56" s="303">
        <v>29091</v>
      </c>
      <c r="C56" s="395" t="s">
        <v>579</v>
      </c>
      <c r="D56" s="395"/>
      <c r="E56" s="170">
        <v>67</v>
      </c>
      <c r="F56" s="243">
        <v>0</v>
      </c>
      <c r="G56" s="232"/>
      <c r="H56" s="170">
        <v>14</v>
      </c>
      <c r="J56" s="240">
        <v>14</v>
      </c>
      <c r="K56" s="213">
        <f t="shared" si="1"/>
        <v>0</v>
      </c>
      <c r="L56" s="213">
        <f t="shared" si="1"/>
        <v>100</v>
      </c>
      <c r="M56" s="213">
        <f t="shared" si="1"/>
        <v>0</v>
      </c>
      <c r="N56" s="234">
        <f t="shared" si="2"/>
        <v>100</v>
      </c>
      <c r="O56" s="212"/>
      <c r="P56" s="213">
        <v>63.7</v>
      </c>
      <c r="Q56" s="213"/>
      <c r="R56" s="214">
        <f t="shared" si="3"/>
        <v>63.7</v>
      </c>
      <c r="S56" s="170">
        <v>1</v>
      </c>
      <c r="T56" s="283"/>
      <c r="U56" s="281"/>
      <c r="V56" s="177" t="s">
        <v>130</v>
      </c>
      <c r="W56" s="170" t="s">
        <v>22</v>
      </c>
      <c r="X56" s="170" t="s">
        <v>18</v>
      </c>
      <c r="Y56" s="178">
        <v>63.7</v>
      </c>
      <c r="AD56" s="177"/>
      <c r="AG56" s="178"/>
      <c r="AL56" s="177"/>
      <c r="AO56" s="178"/>
      <c r="AP56" s="177"/>
      <c r="AS56" s="178"/>
      <c r="AW56" s="178"/>
      <c r="BA56" s="179"/>
    </row>
    <row r="57" spans="1:53" s="170" customFormat="1" x14ac:dyDescent="0.15">
      <c r="A57" s="215">
        <v>1979</v>
      </c>
      <c r="B57" s="303">
        <v>29158</v>
      </c>
      <c r="C57" s="395" t="s">
        <v>579</v>
      </c>
      <c r="D57" s="395"/>
      <c r="E57" s="170">
        <f>365-E56-E55</f>
        <v>63</v>
      </c>
      <c r="F57" s="243">
        <v>0</v>
      </c>
      <c r="G57" s="232"/>
      <c r="H57" s="170">
        <v>16</v>
      </c>
      <c r="J57" s="240">
        <v>16</v>
      </c>
      <c r="K57" s="213">
        <f t="shared" si="1"/>
        <v>0</v>
      </c>
      <c r="L57" s="213">
        <f t="shared" si="1"/>
        <v>100</v>
      </c>
      <c r="M57" s="213">
        <f t="shared" si="1"/>
        <v>0</v>
      </c>
      <c r="N57" s="234">
        <f t="shared" si="2"/>
        <v>100</v>
      </c>
      <c r="O57" s="212"/>
      <c r="P57" s="213">
        <v>63.7</v>
      </c>
      <c r="Q57" s="213"/>
      <c r="R57" s="214">
        <f t="shared" si="3"/>
        <v>63.7</v>
      </c>
      <c r="S57" s="170">
        <v>1</v>
      </c>
      <c r="T57" s="283"/>
      <c r="U57" s="281"/>
      <c r="V57" s="177" t="s">
        <v>130</v>
      </c>
      <c r="W57" s="170" t="s">
        <v>22</v>
      </c>
      <c r="X57" s="170" t="s">
        <v>18</v>
      </c>
      <c r="Y57" s="178">
        <v>63.7</v>
      </c>
      <c r="AD57" s="177"/>
      <c r="AG57" s="178"/>
      <c r="AL57" s="177"/>
      <c r="AO57" s="178"/>
      <c r="AP57" s="177"/>
      <c r="AS57" s="178"/>
      <c r="AW57" s="178"/>
      <c r="BA57" s="179"/>
    </row>
    <row r="58" spans="1:53" s="170" customFormat="1" x14ac:dyDescent="0.15">
      <c r="A58" s="215">
        <v>1980</v>
      </c>
      <c r="B58" s="281"/>
      <c r="C58" s="395" t="s">
        <v>579</v>
      </c>
      <c r="D58" s="395"/>
      <c r="E58" s="170">
        <v>308</v>
      </c>
      <c r="G58" s="232"/>
      <c r="H58" s="170">
        <v>16</v>
      </c>
      <c r="J58" s="240">
        <v>16</v>
      </c>
      <c r="K58" s="213">
        <f t="shared" si="1"/>
        <v>0</v>
      </c>
      <c r="L58" s="213">
        <f t="shared" si="1"/>
        <v>100</v>
      </c>
      <c r="M58" s="213">
        <f t="shared" si="1"/>
        <v>0</v>
      </c>
      <c r="N58" s="234">
        <f t="shared" si="2"/>
        <v>100</v>
      </c>
      <c r="O58" s="212"/>
      <c r="P58" s="213">
        <v>63.7</v>
      </c>
      <c r="Q58" s="213"/>
      <c r="R58" s="214">
        <f t="shared" si="3"/>
        <v>63.7</v>
      </c>
      <c r="S58" s="170">
        <v>1</v>
      </c>
      <c r="T58" s="283"/>
      <c r="U58" s="281"/>
      <c r="V58" s="177" t="s">
        <v>130</v>
      </c>
      <c r="W58" s="170" t="s">
        <v>22</v>
      </c>
      <c r="X58" s="170" t="s">
        <v>18</v>
      </c>
      <c r="Y58" s="178">
        <v>63.7</v>
      </c>
      <c r="AD58" s="177"/>
      <c r="AG58" s="178"/>
      <c r="AL58" s="177"/>
      <c r="AO58" s="178"/>
      <c r="AP58" s="177"/>
      <c r="AS58" s="178"/>
      <c r="AW58" s="178"/>
      <c r="BA58" s="179"/>
    </row>
    <row r="59" spans="1:53" s="170" customFormat="1" x14ac:dyDescent="0.15">
      <c r="A59" s="215">
        <v>1980</v>
      </c>
      <c r="B59" s="303">
        <v>29529</v>
      </c>
      <c r="C59" s="395" t="s">
        <v>579</v>
      </c>
      <c r="D59" s="395"/>
      <c r="E59" s="170">
        <v>58</v>
      </c>
      <c r="F59" s="243" t="s">
        <v>327</v>
      </c>
      <c r="G59" s="232"/>
      <c r="H59" s="170">
        <v>16</v>
      </c>
      <c r="J59" s="240">
        <v>16</v>
      </c>
      <c r="K59" s="213">
        <f t="shared" si="1"/>
        <v>0</v>
      </c>
      <c r="L59" s="213">
        <f t="shared" si="1"/>
        <v>100</v>
      </c>
      <c r="M59" s="213">
        <f t="shared" si="1"/>
        <v>0</v>
      </c>
      <c r="N59" s="234">
        <f t="shared" si="2"/>
        <v>100</v>
      </c>
      <c r="O59" s="212"/>
      <c r="P59" s="213">
        <v>55.9</v>
      </c>
      <c r="Q59" s="213"/>
      <c r="R59" s="214">
        <f t="shared" si="3"/>
        <v>55.9</v>
      </c>
      <c r="S59" s="170">
        <v>1</v>
      </c>
      <c r="T59" s="283">
        <v>29529</v>
      </c>
      <c r="U59" s="281"/>
      <c r="V59" s="177" t="s">
        <v>130</v>
      </c>
      <c r="W59" s="170" t="s">
        <v>22</v>
      </c>
      <c r="X59" s="170" t="s">
        <v>18</v>
      </c>
      <c r="Y59" s="178">
        <v>55.9</v>
      </c>
      <c r="AD59" s="177"/>
      <c r="AG59" s="178"/>
      <c r="AL59" s="177"/>
      <c r="AO59" s="178"/>
      <c r="AP59" s="177"/>
      <c r="AS59" s="178"/>
      <c r="AW59" s="178"/>
      <c r="BA59" s="179"/>
    </row>
    <row r="60" spans="1:53" s="170" customFormat="1" x14ac:dyDescent="0.15">
      <c r="A60" s="215">
        <v>1981</v>
      </c>
      <c r="B60" s="281"/>
      <c r="C60" s="395" t="s">
        <v>579</v>
      </c>
      <c r="D60" s="395"/>
      <c r="E60" s="170">
        <v>19</v>
      </c>
      <c r="G60" s="232"/>
      <c r="H60" s="170">
        <v>16</v>
      </c>
      <c r="J60" s="240">
        <v>16</v>
      </c>
      <c r="K60" s="213">
        <f t="shared" si="1"/>
        <v>0</v>
      </c>
      <c r="L60" s="213">
        <f t="shared" si="1"/>
        <v>100</v>
      </c>
      <c r="M60" s="213">
        <f t="shared" si="1"/>
        <v>0</v>
      </c>
      <c r="N60" s="234">
        <f t="shared" si="2"/>
        <v>100</v>
      </c>
      <c r="O60" s="212"/>
      <c r="P60" s="213">
        <v>55.9</v>
      </c>
      <c r="Q60" s="213"/>
      <c r="R60" s="214">
        <f t="shared" si="3"/>
        <v>55.9</v>
      </c>
      <c r="S60" s="170">
        <v>1</v>
      </c>
      <c r="T60" s="283"/>
      <c r="U60" s="281"/>
      <c r="V60" s="177" t="s">
        <v>130</v>
      </c>
      <c r="W60" s="170" t="s">
        <v>22</v>
      </c>
      <c r="X60" s="170" t="s">
        <v>18</v>
      </c>
      <c r="Y60" s="178">
        <v>55.9</v>
      </c>
      <c r="AD60" s="177"/>
      <c r="AG60" s="178"/>
      <c r="AL60" s="177"/>
      <c r="AO60" s="178"/>
      <c r="AP60" s="177"/>
      <c r="AS60" s="178"/>
      <c r="AW60" s="178"/>
      <c r="BA60" s="179"/>
    </row>
    <row r="61" spans="1:53" s="28" customFormat="1" x14ac:dyDescent="0.15">
      <c r="A61" s="51">
        <v>1981</v>
      </c>
      <c r="B61" s="293">
        <v>29606</v>
      </c>
      <c r="C61" s="394" t="s">
        <v>580</v>
      </c>
      <c r="D61" s="394"/>
      <c r="E61" s="28">
        <f xml:space="preserve"> 365-E60</f>
        <v>346</v>
      </c>
      <c r="F61" s="28">
        <v>1</v>
      </c>
      <c r="G61" s="65">
        <v>19</v>
      </c>
      <c r="J61" s="72">
        <v>19</v>
      </c>
      <c r="K61" s="46">
        <f t="shared" si="1"/>
        <v>100</v>
      </c>
      <c r="L61" s="46">
        <f t="shared" si="1"/>
        <v>0</v>
      </c>
      <c r="M61" s="46">
        <f t="shared" si="1"/>
        <v>0</v>
      </c>
      <c r="N61" s="67">
        <f t="shared" si="2"/>
        <v>100</v>
      </c>
      <c r="O61" s="45">
        <v>44.1</v>
      </c>
      <c r="P61" s="46"/>
      <c r="Q61" s="46"/>
      <c r="R61" s="47">
        <f t="shared" si="3"/>
        <v>44.1</v>
      </c>
      <c r="S61" s="28">
        <v>1</v>
      </c>
      <c r="T61" s="284"/>
      <c r="U61" s="293">
        <v>29606</v>
      </c>
      <c r="V61" s="37" t="s">
        <v>330</v>
      </c>
      <c r="W61" s="28" t="s">
        <v>74</v>
      </c>
      <c r="X61" s="28" t="s">
        <v>11</v>
      </c>
      <c r="Y61" s="38">
        <v>44.1</v>
      </c>
      <c r="AD61" s="37"/>
      <c r="AG61" s="38"/>
      <c r="AL61" s="37"/>
      <c r="AO61" s="38"/>
      <c r="AP61" s="37"/>
      <c r="AS61" s="38"/>
      <c r="AW61" s="38"/>
      <c r="BA61" s="39"/>
    </row>
    <row r="62" spans="1:53" s="28" customFormat="1" x14ac:dyDescent="0.15">
      <c r="A62" s="51">
        <v>1982</v>
      </c>
      <c r="B62" s="293"/>
      <c r="C62" s="394" t="s">
        <v>580</v>
      </c>
      <c r="D62" s="394"/>
      <c r="E62" s="28">
        <v>305</v>
      </c>
      <c r="G62" s="65">
        <v>19</v>
      </c>
      <c r="J62" s="72">
        <v>19</v>
      </c>
      <c r="K62" s="46">
        <f t="shared" si="1"/>
        <v>100</v>
      </c>
      <c r="L62" s="46">
        <f t="shared" si="1"/>
        <v>0</v>
      </c>
      <c r="M62" s="46">
        <f t="shared" si="1"/>
        <v>0</v>
      </c>
      <c r="N62" s="67">
        <f t="shared" si="2"/>
        <v>100</v>
      </c>
      <c r="O62" s="45">
        <v>44.1</v>
      </c>
      <c r="P62" s="46"/>
      <c r="Q62" s="46"/>
      <c r="R62" s="47">
        <f t="shared" si="3"/>
        <v>44.1</v>
      </c>
      <c r="S62" s="28">
        <v>1</v>
      </c>
      <c r="T62" s="284"/>
      <c r="U62" s="293"/>
      <c r="V62" s="37" t="s">
        <v>330</v>
      </c>
      <c r="W62" s="28" t="s">
        <v>74</v>
      </c>
      <c r="X62" s="28" t="s">
        <v>11</v>
      </c>
      <c r="Y62" s="38">
        <v>44.1</v>
      </c>
      <c r="AD62" s="37"/>
      <c r="AG62" s="38"/>
      <c r="AL62" s="37"/>
      <c r="AO62" s="38"/>
      <c r="AP62" s="37"/>
      <c r="AS62" s="38"/>
      <c r="AW62" s="38"/>
      <c r="BA62" s="39"/>
    </row>
    <row r="63" spans="1:53" s="28" customFormat="1" x14ac:dyDescent="0.15">
      <c r="A63" s="51">
        <v>1982</v>
      </c>
      <c r="B63" s="301">
        <v>30257</v>
      </c>
      <c r="C63" s="394" t="s">
        <v>580</v>
      </c>
      <c r="D63" s="394"/>
      <c r="E63" s="28">
        <v>60</v>
      </c>
      <c r="F63" s="83" t="s">
        <v>327</v>
      </c>
      <c r="G63" s="65">
        <v>19</v>
      </c>
      <c r="J63" s="72">
        <v>19</v>
      </c>
      <c r="K63" s="46">
        <f t="shared" si="1"/>
        <v>100</v>
      </c>
      <c r="L63" s="46">
        <f t="shared" si="1"/>
        <v>0</v>
      </c>
      <c r="M63" s="46">
        <f t="shared" si="1"/>
        <v>0</v>
      </c>
      <c r="N63" s="67">
        <f t="shared" si="2"/>
        <v>100</v>
      </c>
      <c r="O63" s="45">
        <v>38.200000000000003</v>
      </c>
      <c r="P63" s="46"/>
      <c r="Q63" s="46"/>
      <c r="R63" s="47">
        <f t="shared" si="3"/>
        <v>38.200000000000003</v>
      </c>
      <c r="S63" s="28">
        <v>1</v>
      </c>
      <c r="T63" s="284">
        <v>30257</v>
      </c>
      <c r="U63" s="293"/>
      <c r="V63" s="37" t="s">
        <v>330</v>
      </c>
      <c r="W63" s="28" t="s">
        <v>74</v>
      </c>
      <c r="X63" s="28" t="s">
        <v>11</v>
      </c>
      <c r="Y63" s="38">
        <v>38.200000000000003</v>
      </c>
      <c r="AD63" s="37"/>
      <c r="AG63" s="38"/>
      <c r="AL63" s="37"/>
      <c r="AO63" s="38"/>
      <c r="AP63" s="37"/>
      <c r="AS63" s="38"/>
      <c r="AW63" s="38"/>
      <c r="BA63" s="39"/>
    </row>
    <row r="64" spans="1:53" s="28" customFormat="1" x14ac:dyDescent="0.15">
      <c r="A64" s="51">
        <v>1983</v>
      </c>
      <c r="B64" s="293"/>
      <c r="C64" s="394" t="s">
        <v>580</v>
      </c>
      <c r="D64" s="394"/>
      <c r="E64" s="28">
        <v>0</v>
      </c>
      <c r="G64" s="65">
        <v>19</v>
      </c>
      <c r="J64" s="72">
        <v>19</v>
      </c>
      <c r="K64" s="46">
        <f t="shared" si="1"/>
        <v>100</v>
      </c>
      <c r="L64" s="46">
        <f t="shared" si="1"/>
        <v>0</v>
      </c>
      <c r="M64" s="46">
        <f t="shared" si="1"/>
        <v>0</v>
      </c>
      <c r="N64" s="67">
        <f t="shared" si="2"/>
        <v>100</v>
      </c>
      <c r="O64" s="45">
        <v>38.200000000000003</v>
      </c>
      <c r="P64" s="46"/>
      <c r="Q64" s="46"/>
      <c r="R64" s="47">
        <f t="shared" si="3"/>
        <v>38.200000000000003</v>
      </c>
      <c r="S64" s="28">
        <v>1</v>
      </c>
      <c r="T64" s="284"/>
      <c r="U64" s="293"/>
      <c r="V64" s="37" t="s">
        <v>330</v>
      </c>
      <c r="W64" s="28" t="s">
        <v>74</v>
      </c>
      <c r="X64" s="28" t="s">
        <v>11</v>
      </c>
      <c r="Y64" s="38">
        <v>38.200000000000003</v>
      </c>
      <c r="AD64" s="37"/>
      <c r="AG64" s="38"/>
      <c r="AL64" s="37"/>
      <c r="AO64" s="38"/>
      <c r="AP64" s="37"/>
      <c r="AS64" s="38"/>
      <c r="AW64" s="38"/>
      <c r="BA64" s="39"/>
    </row>
    <row r="65" spans="1:53" s="28" customFormat="1" x14ac:dyDescent="0.15">
      <c r="A65" s="51">
        <v>1983</v>
      </c>
      <c r="B65" s="293"/>
      <c r="C65" s="394" t="s">
        <v>580</v>
      </c>
      <c r="D65" s="394"/>
      <c r="E65" s="28">
        <v>365</v>
      </c>
      <c r="G65" s="65">
        <v>19</v>
      </c>
      <c r="J65" s="72">
        <v>19</v>
      </c>
      <c r="K65" s="46">
        <f t="shared" si="1"/>
        <v>100</v>
      </c>
      <c r="L65" s="46">
        <f t="shared" si="1"/>
        <v>0</v>
      </c>
      <c r="M65" s="46">
        <f t="shared" si="1"/>
        <v>0</v>
      </c>
      <c r="N65" s="67">
        <f t="shared" si="2"/>
        <v>100</v>
      </c>
      <c r="O65" s="45">
        <v>38.200000000000003</v>
      </c>
      <c r="P65" s="46"/>
      <c r="Q65" s="46"/>
      <c r="R65" s="47">
        <f t="shared" si="3"/>
        <v>38.200000000000003</v>
      </c>
      <c r="S65" s="28">
        <v>1</v>
      </c>
      <c r="T65" s="284"/>
      <c r="U65" s="293"/>
      <c r="V65" s="37" t="s">
        <v>330</v>
      </c>
      <c r="W65" s="28" t="s">
        <v>74</v>
      </c>
      <c r="X65" s="28" t="s">
        <v>11</v>
      </c>
      <c r="Y65" s="38">
        <v>38.200000000000003</v>
      </c>
      <c r="AD65" s="37"/>
      <c r="AG65" s="38"/>
      <c r="AL65" s="37"/>
      <c r="AO65" s="38"/>
      <c r="AP65" s="37"/>
      <c r="AS65" s="38"/>
      <c r="AW65" s="38"/>
      <c r="BA65" s="39"/>
    </row>
    <row r="66" spans="1:53" s="28" customFormat="1" x14ac:dyDescent="0.15">
      <c r="A66" s="51">
        <v>1984</v>
      </c>
      <c r="B66" s="293"/>
      <c r="C66" s="394" t="s">
        <v>580</v>
      </c>
      <c r="D66" s="394"/>
      <c r="E66" s="28">
        <v>310</v>
      </c>
      <c r="G66" s="65">
        <v>19</v>
      </c>
      <c r="J66" s="72">
        <v>19</v>
      </c>
      <c r="K66" s="46">
        <f t="shared" si="1"/>
        <v>100</v>
      </c>
      <c r="L66" s="46">
        <f t="shared" si="1"/>
        <v>0</v>
      </c>
      <c r="M66" s="46">
        <f t="shared" si="1"/>
        <v>0</v>
      </c>
      <c r="N66" s="67">
        <f t="shared" si="2"/>
        <v>100</v>
      </c>
      <c r="O66" s="45">
        <v>38.200000000000003</v>
      </c>
      <c r="P66" s="46"/>
      <c r="Q66" s="46"/>
      <c r="R66" s="47">
        <f t="shared" si="3"/>
        <v>38.200000000000003</v>
      </c>
      <c r="S66" s="28">
        <v>1</v>
      </c>
      <c r="T66" s="284"/>
      <c r="U66" s="293"/>
      <c r="V66" s="37" t="s">
        <v>330</v>
      </c>
      <c r="W66" s="28" t="s">
        <v>74</v>
      </c>
      <c r="X66" s="28" t="s">
        <v>11</v>
      </c>
      <c r="Y66" s="38">
        <v>38.200000000000003</v>
      </c>
      <c r="AD66" s="37"/>
      <c r="AG66" s="38"/>
      <c r="AL66" s="37"/>
      <c r="AO66" s="38"/>
      <c r="AP66" s="37"/>
      <c r="AS66" s="38"/>
      <c r="AW66" s="38"/>
      <c r="BA66" s="39"/>
    </row>
    <row r="67" spans="1:53" s="28" customFormat="1" x14ac:dyDescent="0.15">
      <c r="A67" s="51">
        <v>1984</v>
      </c>
      <c r="B67" s="301">
        <v>30992</v>
      </c>
      <c r="C67" s="394" t="s">
        <v>580</v>
      </c>
      <c r="D67" s="394"/>
      <c r="E67" s="28">
        <v>56</v>
      </c>
      <c r="F67" s="83" t="s">
        <v>327</v>
      </c>
      <c r="G67" s="65">
        <v>19</v>
      </c>
      <c r="J67" s="72">
        <v>19</v>
      </c>
      <c r="K67" s="46">
        <f t="shared" si="1"/>
        <v>100</v>
      </c>
      <c r="L67" s="46">
        <f t="shared" si="1"/>
        <v>0</v>
      </c>
      <c r="M67" s="46">
        <f t="shared" si="1"/>
        <v>0</v>
      </c>
      <c r="N67" s="67">
        <f t="shared" si="2"/>
        <v>100</v>
      </c>
      <c r="O67" s="45">
        <v>41.8</v>
      </c>
      <c r="P67" s="46"/>
      <c r="Q67" s="46"/>
      <c r="R67" s="47">
        <f t="shared" si="3"/>
        <v>41.8</v>
      </c>
      <c r="S67" s="28">
        <v>1</v>
      </c>
      <c r="T67" s="284">
        <v>30992</v>
      </c>
      <c r="U67" s="293"/>
      <c r="V67" s="37" t="s">
        <v>330</v>
      </c>
      <c r="W67" s="28" t="s">
        <v>74</v>
      </c>
      <c r="X67" s="28" t="s">
        <v>11</v>
      </c>
      <c r="Y67" s="38">
        <v>41.8</v>
      </c>
      <c r="AD67" s="37"/>
      <c r="AG67" s="38"/>
      <c r="AL67" s="37"/>
      <c r="AO67" s="38"/>
      <c r="AP67" s="37"/>
      <c r="AS67" s="38"/>
      <c r="AW67" s="38"/>
      <c r="BA67" s="39"/>
    </row>
    <row r="68" spans="1:53" s="28" customFormat="1" x14ac:dyDescent="0.15">
      <c r="A68" s="51">
        <v>1985</v>
      </c>
      <c r="B68" s="293"/>
      <c r="C68" s="394" t="s">
        <v>580</v>
      </c>
      <c r="D68" s="394"/>
      <c r="E68" s="28">
        <v>20</v>
      </c>
      <c r="G68" s="65">
        <v>19</v>
      </c>
      <c r="J68" s="72">
        <v>19</v>
      </c>
      <c r="K68" s="46">
        <f t="shared" si="1"/>
        <v>100</v>
      </c>
      <c r="L68" s="46">
        <f t="shared" si="1"/>
        <v>0</v>
      </c>
      <c r="M68" s="46">
        <f t="shared" si="1"/>
        <v>0</v>
      </c>
      <c r="N68" s="67">
        <f t="shared" si="2"/>
        <v>100</v>
      </c>
      <c r="O68" s="45">
        <v>41.8</v>
      </c>
      <c r="P68" s="46"/>
      <c r="Q68" s="46"/>
      <c r="R68" s="47">
        <f t="shared" si="3"/>
        <v>41.8</v>
      </c>
      <c r="S68" s="28">
        <v>1</v>
      </c>
      <c r="T68" s="284"/>
      <c r="U68" s="293"/>
      <c r="V68" s="37" t="s">
        <v>330</v>
      </c>
      <c r="W68" s="28" t="s">
        <v>74</v>
      </c>
      <c r="X68" s="28" t="s">
        <v>11</v>
      </c>
      <c r="Y68" s="38">
        <v>41.8</v>
      </c>
      <c r="AD68" s="37"/>
      <c r="AG68" s="38"/>
      <c r="AL68" s="37"/>
      <c r="AO68" s="38"/>
      <c r="AP68" s="37"/>
      <c r="AS68" s="38"/>
      <c r="AW68" s="38"/>
      <c r="BA68" s="39"/>
    </row>
    <row r="69" spans="1:53" s="170" customFormat="1" x14ac:dyDescent="0.15">
      <c r="A69" s="215">
        <v>1985</v>
      </c>
      <c r="B69" s="281">
        <v>31068</v>
      </c>
      <c r="C69" s="395" t="s">
        <v>581</v>
      </c>
      <c r="D69" s="395"/>
      <c r="E69" s="170">
        <f xml:space="preserve"> 365-E68</f>
        <v>345</v>
      </c>
      <c r="F69" s="170">
        <v>1</v>
      </c>
      <c r="G69" s="232">
        <v>19</v>
      </c>
      <c r="J69" s="240">
        <v>19</v>
      </c>
      <c r="K69" s="213">
        <f t="shared" si="1"/>
        <v>100</v>
      </c>
      <c r="L69" s="213">
        <f t="shared" si="1"/>
        <v>0</v>
      </c>
      <c r="M69" s="213">
        <f t="shared" si="1"/>
        <v>0</v>
      </c>
      <c r="N69" s="234">
        <f t="shared" si="2"/>
        <v>100</v>
      </c>
      <c r="O69" s="212">
        <v>41.8</v>
      </c>
      <c r="P69" s="213"/>
      <c r="Q69" s="213"/>
      <c r="R69" s="214">
        <f t="shared" si="3"/>
        <v>41.8</v>
      </c>
      <c r="S69" s="170">
        <v>1</v>
      </c>
      <c r="T69" s="283"/>
      <c r="U69" s="281">
        <v>31068</v>
      </c>
      <c r="V69" s="177" t="s">
        <v>330</v>
      </c>
      <c r="W69" s="170" t="s">
        <v>74</v>
      </c>
      <c r="X69" s="170" t="s">
        <v>11</v>
      </c>
      <c r="Y69" s="178">
        <v>41.8</v>
      </c>
      <c r="AD69" s="177"/>
      <c r="AG69" s="178"/>
      <c r="AL69" s="177"/>
      <c r="AO69" s="178"/>
      <c r="AP69" s="177"/>
      <c r="AS69" s="178"/>
      <c r="AW69" s="178"/>
      <c r="BA69" s="179"/>
    </row>
    <row r="70" spans="1:53" s="170" customFormat="1" x14ac:dyDescent="0.15">
      <c r="A70" s="215">
        <v>1986</v>
      </c>
      <c r="B70" s="281"/>
      <c r="C70" s="395" t="s">
        <v>581</v>
      </c>
      <c r="D70" s="395"/>
      <c r="E70" s="170">
        <v>304</v>
      </c>
      <c r="G70" s="232">
        <v>19</v>
      </c>
      <c r="J70" s="240">
        <v>19</v>
      </c>
      <c r="K70" s="213">
        <f t="shared" ref="K70:M119" si="4">G70/$J70*100</f>
        <v>100</v>
      </c>
      <c r="L70" s="213">
        <f t="shared" si="4"/>
        <v>0</v>
      </c>
      <c r="M70" s="213">
        <f t="shared" si="4"/>
        <v>0</v>
      </c>
      <c r="N70" s="234">
        <f t="shared" si="2"/>
        <v>100</v>
      </c>
      <c r="O70" s="212">
        <v>41.8</v>
      </c>
      <c r="P70" s="213"/>
      <c r="Q70" s="213"/>
      <c r="R70" s="214">
        <f t="shared" si="3"/>
        <v>41.8</v>
      </c>
      <c r="S70" s="170">
        <v>1</v>
      </c>
      <c r="T70" s="283"/>
      <c r="U70" s="281"/>
      <c r="V70" s="177" t="s">
        <v>330</v>
      </c>
      <c r="W70" s="170" t="s">
        <v>74</v>
      </c>
      <c r="X70" s="170" t="s">
        <v>11</v>
      </c>
      <c r="Y70" s="178">
        <v>41.8</v>
      </c>
      <c r="AD70" s="177"/>
      <c r="AG70" s="178"/>
      <c r="AL70" s="177"/>
      <c r="AO70" s="178"/>
      <c r="AP70" s="177"/>
      <c r="AS70" s="178"/>
      <c r="AW70" s="178"/>
      <c r="BA70" s="179"/>
    </row>
    <row r="71" spans="1:53" s="170" customFormat="1" x14ac:dyDescent="0.15">
      <c r="A71" s="215">
        <v>1986</v>
      </c>
      <c r="B71" s="303">
        <v>31717</v>
      </c>
      <c r="C71" s="395" t="s">
        <v>581</v>
      </c>
      <c r="D71" s="395"/>
      <c r="E71" s="170">
        <v>61</v>
      </c>
      <c r="F71" s="243" t="s">
        <v>327</v>
      </c>
      <c r="G71" s="232">
        <v>19</v>
      </c>
      <c r="J71" s="240">
        <v>19</v>
      </c>
      <c r="K71" s="213">
        <f t="shared" si="4"/>
        <v>100</v>
      </c>
      <c r="L71" s="213">
        <f t="shared" si="4"/>
        <v>0</v>
      </c>
      <c r="M71" s="213">
        <f t="shared" si="4"/>
        <v>0</v>
      </c>
      <c r="N71" s="234">
        <f t="shared" si="2"/>
        <v>100</v>
      </c>
      <c r="O71" s="212">
        <v>40.700000000000003</v>
      </c>
      <c r="P71" s="213"/>
      <c r="Q71" s="213"/>
      <c r="R71" s="214">
        <f t="shared" si="3"/>
        <v>40.700000000000003</v>
      </c>
      <c r="S71" s="170">
        <v>1</v>
      </c>
      <c r="T71" s="283">
        <v>31717</v>
      </c>
      <c r="U71" s="281"/>
      <c r="V71" s="177" t="s">
        <v>330</v>
      </c>
      <c r="W71" s="170" t="s">
        <v>74</v>
      </c>
      <c r="X71" s="170" t="s">
        <v>11</v>
      </c>
      <c r="Y71" s="178">
        <v>40.700000000000003</v>
      </c>
      <c r="AD71" s="177"/>
      <c r="AG71" s="178"/>
      <c r="AL71" s="177"/>
      <c r="AO71" s="178"/>
      <c r="AP71" s="177"/>
      <c r="AS71" s="178"/>
      <c r="AW71" s="178"/>
      <c r="BA71" s="179"/>
    </row>
    <row r="72" spans="1:53" s="170" customFormat="1" x14ac:dyDescent="0.15">
      <c r="A72" s="215">
        <v>1987</v>
      </c>
      <c r="B72" s="281"/>
      <c r="C72" s="395" t="s">
        <v>581</v>
      </c>
      <c r="D72" s="395"/>
      <c r="E72" s="170">
        <v>301</v>
      </c>
      <c r="G72" s="232">
        <v>19</v>
      </c>
      <c r="J72" s="240">
        <v>19</v>
      </c>
      <c r="K72" s="213">
        <f t="shared" si="4"/>
        <v>100</v>
      </c>
      <c r="L72" s="213">
        <f t="shared" si="4"/>
        <v>0</v>
      </c>
      <c r="M72" s="213">
        <f t="shared" si="4"/>
        <v>0</v>
      </c>
      <c r="N72" s="234">
        <f t="shared" si="2"/>
        <v>100</v>
      </c>
      <c r="O72" s="212">
        <v>40.700000000000003</v>
      </c>
      <c r="P72" s="213"/>
      <c r="Q72" s="213"/>
      <c r="R72" s="214">
        <f t="shared" si="3"/>
        <v>40.700000000000003</v>
      </c>
      <c r="S72" s="170">
        <v>1</v>
      </c>
      <c r="T72" s="283"/>
      <c r="U72" s="281"/>
      <c r="V72" s="177" t="s">
        <v>330</v>
      </c>
      <c r="W72" s="170" t="s">
        <v>74</v>
      </c>
      <c r="X72" s="170" t="s">
        <v>11</v>
      </c>
      <c r="Y72" s="178">
        <v>40.700000000000003</v>
      </c>
      <c r="AD72" s="177"/>
      <c r="AG72" s="178"/>
      <c r="AL72" s="177"/>
      <c r="AO72" s="178"/>
      <c r="AP72" s="177"/>
      <c r="AS72" s="178"/>
      <c r="AW72" s="178"/>
      <c r="BA72" s="179"/>
    </row>
    <row r="73" spans="1:53" s="170" customFormat="1" x14ac:dyDescent="0.15">
      <c r="A73" s="215">
        <v>1987</v>
      </c>
      <c r="B73" s="303">
        <v>32079</v>
      </c>
      <c r="C73" s="395" t="s">
        <v>581</v>
      </c>
      <c r="D73" s="395"/>
      <c r="E73" s="170">
        <f>365-E72</f>
        <v>64</v>
      </c>
      <c r="F73" s="243">
        <v>0</v>
      </c>
      <c r="G73" s="232">
        <v>20</v>
      </c>
      <c r="J73" s="240">
        <v>20</v>
      </c>
      <c r="K73" s="213">
        <f t="shared" si="4"/>
        <v>100</v>
      </c>
      <c r="L73" s="213">
        <f t="shared" si="4"/>
        <v>0</v>
      </c>
      <c r="M73" s="213">
        <f t="shared" si="4"/>
        <v>0</v>
      </c>
      <c r="N73" s="234">
        <f t="shared" si="2"/>
        <v>100</v>
      </c>
      <c r="O73" s="212">
        <v>40.700000000000003</v>
      </c>
      <c r="P73" s="213"/>
      <c r="Q73" s="213"/>
      <c r="R73" s="214">
        <f t="shared" si="3"/>
        <v>40.700000000000003</v>
      </c>
      <c r="S73" s="170">
        <v>1</v>
      </c>
      <c r="T73" s="283"/>
      <c r="U73" s="281"/>
      <c r="V73" s="177" t="s">
        <v>330</v>
      </c>
      <c r="W73" s="170" t="s">
        <v>74</v>
      </c>
      <c r="X73" s="170" t="s">
        <v>11</v>
      </c>
      <c r="Y73" s="178">
        <v>40.700000000000003</v>
      </c>
      <c r="AD73" s="177"/>
      <c r="AG73" s="178"/>
      <c r="AL73" s="177"/>
      <c r="AO73" s="178"/>
      <c r="AP73" s="177"/>
      <c r="AS73" s="178"/>
      <c r="AW73" s="178"/>
      <c r="BA73" s="179"/>
    </row>
    <row r="74" spans="1:53" s="170" customFormat="1" x14ac:dyDescent="0.15">
      <c r="A74" s="215">
        <v>1988</v>
      </c>
      <c r="B74" s="281"/>
      <c r="C74" s="395" t="s">
        <v>581</v>
      </c>
      <c r="D74" s="395"/>
      <c r="E74" s="170">
        <v>312</v>
      </c>
      <c r="G74" s="232">
        <v>20</v>
      </c>
      <c r="J74" s="240">
        <v>20</v>
      </c>
      <c r="K74" s="213">
        <f t="shared" si="4"/>
        <v>100</v>
      </c>
      <c r="L74" s="213">
        <f t="shared" si="4"/>
        <v>0</v>
      </c>
      <c r="M74" s="213">
        <f t="shared" si="4"/>
        <v>0</v>
      </c>
      <c r="N74" s="234">
        <f t="shared" si="2"/>
        <v>100</v>
      </c>
      <c r="O74" s="212">
        <v>40.700000000000003</v>
      </c>
      <c r="P74" s="213"/>
      <c r="Q74" s="213"/>
      <c r="R74" s="214">
        <f t="shared" si="3"/>
        <v>40.700000000000003</v>
      </c>
      <c r="S74" s="170">
        <v>1</v>
      </c>
      <c r="T74" s="283"/>
      <c r="U74" s="281"/>
      <c r="V74" s="177" t="s">
        <v>330</v>
      </c>
      <c r="W74" s="170" t="s">
        <v>74</v>
      </c>
      <c r="X74" s="170" t="s">
        <v>11</v>
      </c>
      <c r="Y74" s="178">
        <v>40.700000000000003</v>
      </c>
      <c r="AD74" s="177"/>
      <c r="AG74" s="178"/>
      <c r="AL74" s="177"/>
      <c r="AO74" s="178"/>
      <c r="AP74" s="177"/>
      <c r="AS74" s="178"/>
      <c r="AW74" s="178"/>
      <c r="BA74" s="179"/>
    </row>
    <row r="75" spans="1:53" s="170" customFormat="1" x14ac:dyDescent="0.15">
      <c r="A75" s="215">
        <v>1988</v>
      </c>
      <c r="B75" s="303">
        <v>32455</v>
      </c>
      <c r="C75" s="395" t="s">
        <v>581</v>
      </c>
      <c r="D75" s="395"/>
      <c r="E75" s="170">
        <v>54</v>
      </c>
      <c r="F75" s="243" t="s">
        <v>327</v>
      </c>
      <c r="G75" s="232">
        <v>20</v>
      </c>
      <c r="J75" s="240">
        <v>20</v>
      </c>
      <c r="K75" s="213">
        <f t="shared" si="4"/>
        <v>100</v>
      </c>
      <c r="L75" s="213">
        <f t="shared" si="4"/>
        <v>0</v>
      </c>
      <c r="M75" s="213">
        <f t="shared" si="4"/>
        <v>0</v>
      </c>
      <c r="N75" s="234">
        <f t="shared" si="2"/>
        <v>100</v>
      </c>
      <c r="O75" s="212">
        <v>40.200000000000003</v>
      </c>
      <c r="P75" s="213"/>
      <c r="Q75" s="213"/>
      <c r="R75" s="214">
        <f t="shared" si="3"/>
        <v>40.200000000000003</v>
      </c>
      <c r="S75" s="170">
        <v>1</v>
      </c>
      <c r="T75" s="283">
        <v>32455</v>
      </c>
      <c r="U75" s="281"/>
      <c r="V75" s="177" t="s">
        <v>330</v>
      </c>
      <c r="W75" s="170" t="s">
        <v>74</v>
      </c>
      <c r="X75" s="170" t="s">
        <v>11</v>
      </c>
      <c r="Y75" s="178">
        <v>40.200000000000003</v>
      </c>
      <c r="AD75" s="177"/>
      <c r="AG75" s="178"/>
      <c r="AL75" s="177"/>
      <c r="AO75" s="178"/>
      <c r="AP75" s="177"/>
      <c r="AS75" s="178"/>
      <c r="AW75" s="178"/>
      <c r="BA75" s="179"/>
    </row>
    <row r="76" spans="1:53" s="170" customFormat="1" x14ac:dyDescent="0.15">
      <c r="A76" s="215">
        <v>1989</v>
      </c>
      <c r="B76" s="281"/>
      <c r="C76" s="395" t="s">
        <v>581</v>
      </c>
      <c r="D76" s="395"/>
      <c r="E76" s="170">
        <v>19</v>
      </c>
      <c r="G76" s="232">
        <v>20</v>
      </c>
      <c r="J76" s="240">
        <v>20</v>
      </c>
      <c r="K76" s="213">
        <f t="shared" si="4"/>
        <v>100</v>
      </c>
      <c r="L76" s="213">
        <f t="shared" si="4"/>
        <v>0</v>
      </c>
      <c r="M76" s="213">
        <f t="shared" si="4"/>
        <v>0</v>
      </c>
      <c r="N76" s="234">
        <f t="shared" ref="N76:N119" si="5">K76+L76+M76</f>
        <v>100</v>
      </c>
      <c r="O76" s="212">
        <v>40.200000000000003</v>
      </c>
      <c r="P76" s="213"/>
      <c r="Q76" s="213"/>
      <c r="R76" s="214">
        <f t="shared" ref="R76:R137" si="6">O76+P76+Q76</f>
        <v>40.200000000000003</v>
      </c>
      <c r="S76" s="170">
        <v>1</v>
      </c>
      <c r="T76" s="283"/>
      <c r="U76" s="281"/>
      <c r="V76" s="177" t="s">
        <v>330</v>
      </c>
      <c r="W76" s="170" t="s">
        <v>74</v>
      </c>
      <c r="X76" s="170" t="s">
        <v>11</v>
      </c>
      <c r="Y76" s="178">
        <v>40.200000000000003</v>
      </c>
      <c r="AD76" s="177"/>
      <c r="AG76" s="178"/>
      <c r="AL76" s="177"/>
      <c r="AO76" s="178"/>
      <c r="AP76" s="177"/>
      <c r="AS76" s="178"/>
      <c r="AW76" s="178"/>
      <c r="BA76" s="179"/>
    </row>
    <row r="77" spans="1:53" s="73" customFormat="1" ht="9" customHeight="1" x14ac:dyDescent="0.15">
      <c r="A77" s="91">
        <v>1989</v>
      </c>
      <c r="B77" s="300">
        <v>32528</v>
      </c>
      <c r="C77" s="426" t="s">
        <v>1265</v>
      </c>
      <c r="D77" s="426"/>
      <c r="E77" s="73">
        <f xml:space="preserve"> 365-E76</f>
        <v>346</v>
      </c>
      <c r="F77" s="73">
        <v>1</v>
      </c>
      <c r="G77" s="74">
        <v>16</v>
      </c>
      <c r="J77" s="75">
        <v>16</v>
      </c>
      <c r="K77" s="76">
        <f t="shared" si="4"/>
        <v>100</v>
      </c>
      <c r="L77" s="76">
        <f t="shared" si="4"/>
        <v>0</v>
      </c>
      <c r="M77" s="76">
        <f t="shared" si="4"/>
        <v>0</v>
      </c>
      <c r="N77" s="77">
        <f t="shared" si="5"/>
        <v>100</v>
      </c>
      <c r="O77" s="78">
        <v>40.200000000000003</v>
      </c>
      <c r="P77" s="76"/>
      <c r="Q77" s="76"/>
      <c r="R77" s="79">
        <f t="shared" si="6"/>
        <v>40.200000000000003</v>
      </c>
      <c r="S77" s="73">
        <v>1</v>
      </c>
      <c r="T77" s="302"/>
      <c r="U77" s="300">
        <v>32528</v>
      </c>
      <c r="V77" s="80" t="s">
        <v>330</v>
      </c>
      <c r="W77" s="73" t="s">
        <v>74</v>
      </c>
      <c r="X77" s="73" t="s">
        <v>11</v>
      </c>
      <c r="Y77" s="81">
        <v>40.200000000000003</v>
      </c>
      <c r="AD77" s="80"/>
      <c r="AG77" s="81"/>
      <c r="AL77" s="80"/>
      <c r="AO77" s="81"/>
      <c r="AP77" s="80"/>
      <c r="AS77" s="81"/>
      <c r="AW77" s="81"/>
      <c r="BA77" s="82"/>
    </row>
    <row r="78" spans="1:53" s="28" customFormat="1" x14ac:dyDescent="0.15">
      <c r="A78" s="28">
        <v>1990</v>
      </c>
      <c r="B78" s="293"/>
      <c r="C78" s="394" t="s">
        <v>1265</v>
      </c>
      <c r="D78" s="394"/>
      <c r="E78" s="28">
        <v>305</v>
      </c>
      <c r="G78" s="65">
        <v>16</v>
      </c>
      <c r="J78" s="72">
        <v>16</v>
      </c>
      <c r="K78" s="46">
        <f t="shared" si="4"/>
        <v>100</v>
      </c>
      <c r="L78" s="46">
        <f t="shared" si="4"/>
        <v>0</v>
      </c>
      <c r="M78" s="46">
        <f t="shared" si="4"/>
        <v>0</v>
      </c>
      <c r="N78" s="67">
        <f t="shared" si="5"/>
        <v>100</v>
      </c>
      <c r="O78" s="45">
        <v>40.200000000000003</v>
      </c>
      <c r="P78" s="46"/>
      <c r="Q78" s="46"/>
      <c r="R78" s="47">
        <f t="shared" si="6"/>
        <v>40.200000000000003</v>
      </c>
      <c r="S78" s="28">
        <v>1</v>
      </c>
      <c r="T78" s="284"/>
      <c r="U78" s="293"/>
      <c r="V78" s="37" t="s">
        <v>330</v>
      </c>
      <c r="W78" s="28" t="s">
        <v>74</v>
      </c>
      <c r="X78" s="28" t="s">
        <v>11</v>
      </c>
      <c r="Y78" s="38">
        <v>40.200000000000003</v>
      </c>
      <c r="AD78" s="37"/>
      <c r="AG78" s="38"/>
      <c r="AL78" s="37"/>
      <c r="AO78" s="38"/>
      <c r="AP78" s="37"/>
      <c r="AS78" s="38"/>
      <c r="AW78" s="38"/>
      <c r="BA78" s="39"/>
    </row>
    <row r="79" spans="1:53" s="28" customFormat="1" x14ac:dyDescent="0.15">
      <c r="A79" s="28">
        <v>1990</v>
      </c>
      <c r="B79" s="301">
        <v>33183</v>
      </c>
      <c r="C79" s="394" t="s">
        <v>1265</v>
      </c>
      <c r="D79" s="394"/>
      <c r="E79" s="28">
        <f>365-E78</f>
        <v>60</v>
      </c>
      <c r="F79" s="83" t="s">
        <v>327</v>
      </c>
      <c r="G79" s="65">
        <v>16</v>
      </c>
      <c r="J79" s="72">
        <v>16</v>
      </c>
      <c r="K79" s="46">
        <f t="shared" si="4"/>
        <v>100</v>
      </c>
      <c r="L79" s="46">
        <f t="shared" si="4"/>
        <v>0</v>
      </c>
      <c r="M79" s="46">
        <f t="shared" si="4"/>
        <v>0</v>
      </c>
      <c r="N79" s="67">
        <f t="shared" si="5"/>
        <v>100</v>
      </c>
      <c r="O79" s="45">
        <v>38.4</v>
      </c>
      <c r="P79" s="46"/>
      <c r="Q79" s="46"/>
      <c r="R79" s="47">
        <f t="shared" si="6"/>
        <v>38.4</v>
      </c>
      <c r="S79" s="28">
        <v>1</v>
      </c>
      <c r="T79" s="284">
        <v>33183</v>
      </c>
      <c r="U79" s="293"/>
      <c r="V79" s="37" t="s">
        <v>330</v>
      </c>
      <c r="W79" s="28" t="s">
        <v>74</v>
      </c>
      <c r="X79" s="28" t="s">
        <v>11</v>
      </c>
      <c r="Y79" s="38">
        <v>38.4</v>
      </c>
      <c r="AD79" s="37"/>
      <c r="AG79" s="38"/>
      <c r="AL79" s="37"/>
      <c r="AO79" s="38"/>
      <c r="AP79" s="37"/>
      <c r="AS79" s="38"/>
      <c r="AW79" s="38"/>
      <c r="BA79" s="39"/>
    </row>
    <row r="80" spans="1:53" s="28" customFormat="1" x14ac:dyDescent="0.15">
      <c r="A80" s="28">
        <v>1991</v>
      </c>
      <c r="B80" s="293"/>
      <c r="C80" s="394" t="s">
        <v>1265</v>
      </c>
      <c r="D80" s="394"/>
      <c r="E80" s="28">
        <v>0</v>
      </c>
      <c r="G80" s="65">
        <v>16</v>
      </c>
      <c r="J80" s="72">
        <v>16</v>
      </c>
      <c r="K80" s="46">
        <f t="shared" si="4"/>
        <v>100</v>
      </c>
      <c r="L80" s="46">
        <f t="shared" si="4"/>
        <v>0</v>
      </c>
      <c r="M80" s="46">
        <f t="shared" si="4"/>
        <v>0</v>
      </c>
      <c r="N80" s="67">
        <f t="shared" si="5"/>
        <v>100</v>
      </c>
      <c r="O80" s="45">
        <v>38.4</v>
      </c>
      <c r="P80" s="46"/>
      <c r="Q80" s="46"/>
      <c r="R80" s="47">
        <f t="shared" si="6"/>
        <v>38.4</v>
      </c>
      <c r="S80" s="28">
        <v>1</v>
      </c>
      <c r="T80" s="284"/>
      <c r="U80" s="293"/>
      <c r="V80" s="37" t="s">
        <v>330</v>
      </c>
      <c r="W80" s="28" t="s">
        <v>74</v>
      </c>
      <c r="X80" s="28" t="s">
        <v>11</v>
      </c>
      <c r="Y80" s="38">
        <v>38.4</v>
      </c>
      <c r="AD80" s="37"/>
      <c r="AG80" s="38"/>
      <c r="AL80" s="37"/>
      <c r="AO80" s="38"/>
      <c r="AP80" s="37"/>
      <c r="AS80" s="38"/>
      <c r="AW80" s="38"/>
      <c r="BA80" s="39"/>
    </row>
    <row r="81" spans="1:53" s="28" customFormat="1" x14ac:dyDescent="0.15">
      <c r="A81" s="28">
        <v>1991</v>
      </c>
      <c r="B81" s="293"/>
      <c r="C81" s="394" t="s">
        <v>1265</v>
      </c>
      <c r="D81" s="394"/>
      <c r="E81" s="28">
        <f>365-E80</f>
        <v>365</v>
      </c>
      <c r="G81" s="65">
        <v>16</v>
      </c>
      <c r="J81" s="72">
        <v>16</v>
      </c>
      <c r="K81" s="46">
        <f t="shared" si="4"/>
        <v>100</v>
      </c>
      <c r="L81" s="46">
        <f t="shared" si="4"/>
        <v>0</v>
      </c>
      <c r="M81" s="46">
        <f t="shared" si="4"/>
        <v>0</v>
      </c>
      <c r="N81" s="67">
        <f t="shared" si="5"/>
        <v>100</v>
      </c>
      <c r="O81" s="45">
        <v>38.4</v>
      </c>
      <c r="P81" s="46"/>
      <c r="Q81" s="46"/>
      <c r="R81" s="47">
        <f t="shared" si="6"/>
        <v>38.4</v>
      </c>
      <c r="S81" s="28">
        <v>1</v>
      </c>
      <c r="T81" s="284"/>
      <c r="U81" s="293"/>
      <c r="V81" s="37" t="s">
        <v>330</v>
      </c>
      <c r="W81" s="28" t="s">
        <v>74</v>
      </c>
      <c r="X81" s="28" t="s">
        <v>11</v>
      </c>
      <c r="Y81" s="38">
        <v>38.4</v>
      </c>
      <c r="AD81" s="37"/>
      <c r="AG81" s="38"/>
      <c r="AL81" s="37"/>
      <c r="AO81" s="38"/>
      <c r="AP81" s="37"/>
      <c r="AS81" s="38"/>
      <c r="AW81" s="38"/>
      <c r="BA81" s="39"/>
    </row>
    <row r="82" spans="1:53" s="28" customFormat="1" x14ac:dyDescent="0.15">
      <c r="A82" s="28">
        <v>1992</v>
      </c>
      <c r="B82" s="293"/>
      <c r="C82" s="394" t="s">
        <v>1265</v>
      </c>
      <c r="D82" s="394"/>
      <c r="E82" s="28">
        <v>307</v>
      </c>
      <c r="G82" s="65">
        <v>16</v>
      </c>
      <c r="J82" s="72">
        <v>16</v>
      </c>
      <c r="K82" s="46">
        <f t="shared" si="4"/>
        <v>100</v>
      </c>
      <c r="L82" s="46">
        <f t="shared" si="4"/>
        <v>0</v>
      </c>
      <c r="M82" s="46">
        <f t="shared" si="4"/>
        <v>0</v>
      </c>
      <c r="N82" s="67">
        <f t="shared" si="5"/>
        <v>100</v>
      </c>
      <c r="O82" s="45">
        <v>38.4</v>
      </c>
      <c r="P82" s="46"/>
      <c r="Q82" s="46"/>
      <c r="R82" s="47">
        <f t="shared" si="6"/>
        <v>38.4</v>
      </c>
      <c r="S82" s="28">
        <v>1</v>
      </c>
      <c r="T82" s="284"/>
      <c r="U82" s="293"/>
      <c r="V82" s="37" t="s">
        <v>330</v>
      </c>
      <c r="W82" s="28" t="s">
        <v>74</v>
      </c>
      <c r="X82" s="28" t="s">
        <v>11</v>
      </c>
      <c r="Y82" s="38">
        <v>38.4</v>
      </c>
      <c r="AD82" s="37"/>
      <c r="AG82" s="38"/>
      <c r="AL82" s="37"/>
      <c r="AO82" s="38"/>
      <c r="AP82" s="37"/>
      <c r="AS82" s="38"/>
      <c r="AW82" s="38"/>
      <c r="BA82" s="39"/>
    </row>
    <row r="83" spans="1:53" s="28" customFormat="1" x14ac:dyDescent="0.15">
      <c r="A83" s="28">
        <v>1992</v>
      </c>
      <c r="B83" s="301">
        <v>33911</v>
      </c>
      <c r="C83" s="394" t="s">
        <v>1265</v>
      </c>
      <c r="D83" s="394"/>
      <c r="E83" s="28">
        <v>59</v>
      </c>
      <c r="F83" s="83" t="s">
        <v>327</v>
      </c>
      <c r="G83" s="65">
        <v>16</v>
      </c>
      <c r="J83" s="72">
        <v>16</v>
      </c>
      <c r="K83" s="46">
        <f t="shared" si="4"/>
        <v>100</v>
      </c>
      <c r="L83" s="46">
        <f t="shared" si="4"/>
        <v>0</v>
      </c>
      <c r="M83" s="46">
        <f t="shared" si="4"/>
        <v>0</v>
      </c>
      <c r="N83" s="67">
        <f t="shared" si="5"/>
        <v>100</v>
      </c>
      <c r="O83" s="45">
        <v>40.5</v>
      </c>
      <c r="P83" s="46"/>
      <c r="Q83" s="46"/>
      <c r="R83" s="47">
        <f t="shared" si="6"/>
        <v>40.5</v>
      </c>
      <c r="S83" s="28">
        <v>1</v>
      </c>
      <c r="T83" s="284">
        <v>33911</v>
      </c>
      <c r="U83" s="293"/>
      <c r="V83" s="37" t="s">
        <v>330</v>
      </c>
      <c r="W83" s="28" t="s">
        <v>74</v>
      </c>
      <c r="X83" s="28" t="s">
        <v>11</v>
      </c>
      <c r="Y83" s="38">
        <v>40.5</v>
      </c>
      <c r="AD83" s="37"/>
      <c r="AG83" s="38"/>
      <c r="AL83" s="37"/>
      <c r="AO83" s="38"/>
      <c r="AP83" s="37"/>
      <c r="AS83" s="38"/>
      <c r="AW83" s="38"/>
      <c r="BA83" s="39"/>
    </row>
    <row r="84" spans="1:53" s="28" customFormat="1" x14ac:dyDescent="0.15">
      <c r="A84" s="28">
        <v>1993</v>
      </c>
      <c r="B84" s="293"/>
      <c r="C84" s="394" t="s">
        <v>1265</v>
      </c>
      <c r="D84" s="394"/>
      <c r="E84" s="28">
        <v>19</v>
      </c>
      <c r="G84" s="65">
        <v>16</v>
      </c>
      <c r="J84" s="72">
        <v>16</v>
      </c>
      <c r="K84" s="46">
        <f t="shared" si="4"/>
        <v>100</v>
      </c>
      <c r="L84" s="46">
        <f t="shared" si="4"/>
        <v>0</v>
      </c>
      <c r="M84" s="46">
        <f t="shared" si="4"/>
        <v>0</v>
      </c>
      <c r="N84" s="67">
        <f t="shared" si="5"/>
        <v>100</v>
      </c>
      <c r="O84" s="45">
        <v>40.5</v>
      </c>
      <c r="P84" s="46"/>
      <c r="Q84" s="46"/>
      <c r="R84" s="47">
        <f t="shared" si="6"/>
        <v>40.5</v>
      </c>
      <c r="S84" s="28">
        <v>1</v>
      </c>
      <c r="T84" s="284"/>
      <c r="U84" s="293"/>
      <c r="V84" s="37" t="s">
        <v>330</v>
      </c>
      <c r="W84" s="28" t="s">
        <v>74</v>
      </c>
      <c r="X84" s="28" t="s">
        <v>11</v>
      </c>
      <c r="Y84" s="38">
        <v>40.5</v>
      </c>
      <c r="AD84" s="37"/>
      <c r="AG84" s="38"/>
      <c r="AL84" s="37"/>
      <c r="AO84" s="38"/>
      <c r="AP84" s="37"/>
      <c r="AS84" s="38"/>
      <c r="AW84" s="38"/>
      <c r="BA84" s="39"/>
    </row>
    <row r="85" spans="1:53" s="170" customFormat="1" x14ac:dyDescent="0.15">
      <c r="A85" s="170">
        <v>1993</v>
      </c>
      <c r="B85" s="281">
        <v>33989</v>
      </c>
      <c r="C85" s="395" t="s">
        <v>582</v>
      </c>
      <c r="D85" s="395"/>
      <c r="E85" s="170">
        <f>365-E84</f>
        <v>346</v>
      </c>
      <c r="F85" s="170">
        <v>1</v>
      </c>
      <c r="G85" s="232"/>
      <c r="H85" s="170">
        <v>18</v>
      </c>
      <c r="J85" s="240">
        <v>18</v>
      </c>
      <c r="K85" s="213">
        <f t="shared" si="4"/>
        <v>0</v>
      </c>
      <c r="L85" s="213">
        <f t="shared" si="4"/>
        <v>100</v>
      </c>
      <c r="M85" s="213">
        <f t="shared" si="4"/>
        <v>0</v>
      </c>
      <c r="N85" s="234">
        <f t="shared" si="5"/>
        <v>100</v>
      </c>
      <c r="O85" s="212"/>
      <c r="P85" s="213">
        <v>59.3</v>
      </c>
      <c r="Q85" s="213"/>
      <c r="R85" s="214">
        <f t="shared" si="6"/>
        <v>59.3</v>
      </c>
      <c r="S85" s="170">
        <v>1</v>
      </c>
      <c r="T85" s="283"/>
      <c r="U85" s="281">
        <v>33989</v>
      </c>
      <c r="V85" s="177" t="s">
        <v>130</v>
      </c>
      <c r="W85" s="170" t="s">
        <v>22</v>
      </c>
      <c r="X85" s="170" t="s">
        <v>18</v>
      </c>
      <c r="Y85" s="178">
        <v>59.3</v>
      </c>
      <c r="AD85" s="177"/>
      <c r="AG85" s="178"/>
      <c r="AL85" s="177"/>
      <c r="AO85" s="178"/>
      <c r="AP85" s="177"/>
      <c r="AS85" s="178"/>
      <c r="AW85" s="178"/>
      <c r="BA85" s="179"/>
    </row>
    <row r="86" spans="1:53" s="170" customFormat="1" x14ac:dyDescent="0.15">
      <c r="A86" s="170">
        <v>1994</v>
      </c>
      <c r="B86" s="281"/>
      <c r="C86" s="395" t="s">
        <v>582</v>
      </c>
      <c r="D86" s="395"/>
      <c r="E86" s="170">
        <v>311</v>
      </c>
      <c r="G86" s="232"/>
      <c r="H86" s="170">
        <v>18</v>
      </c>
      <c r="J86" s="240">
        <v>18</v>
      </c>
      <c r="K86" s="213">
        <f t="shared" si="4"/>
        <v>0</v>
      </c>
      <c r="L86" s="213">
        <f t="shared" si="4"/>
        <v>100</v>
      </c>
      <c r="M86" s="213">
        <f t="shared" si="4"/>
        <v>0</v>
      </c>
      <c r="N86" s="234">
        <f t="shared" si="5"/>
        <v>100</v>
      </c>
      <c r="O86" s="212"/>
      <c r="P86" s="213">
        <v>59.3</v>
      </c>
      <c r="Q86" s="213"/>
      <c r="R86" s="214">
        <f t="shared" si="6"/>
        <v>59.3</v>
      </c>
      <c r="S86" s="170">
        <v>1</v>
      </c>
      <c r="T86" s="283"/>
      <c r="U86" s="281"/>
      <c r="V86" s="177" t="s">
        <v>130</v>
      </c>
      <c r="W86" s="170" t="s">
        <v>22</v>
      </c>
      <c r="X86" s="170" t="s">
        <v>18</v>
      </c>
      <c r="Y86" s="178">
        <v>59.3</v>
      </c>
      <c r="AD86" s="177"/>
      <c r="AG86" s="178"/>
      <c r="AL86" s="177"/>
      <c r="AO86" s="178"/>
      <c r="AP86" s="177"/>
      <c r="AS86" s="178"/>
      <c r="AW86" s="178"/>
      <c r="BA86" s="179"/>
    </row>
    <row r="87" spans="1:53" s="170" customFormat="1" x14ac:dyDescent="0.15">
      <c r="A87" s="170">
        <v>1994</v>
      </c>
      <c r="B87" s="303">
        <v>34646</v>
      </c>
      <c r="C87" s="395" t="s">
        <v>582</v>
      </c>
      <c r="D87" s="395"/>
      <c r="E87" s="170">
        <f>365-E86</f>
        <v>54</v>
      </c>
      <c r="F87" s="243" t="s">
        <v>327</v>
      </c>
      <c r="G87" s="232"/>
      <c r="H87" s="170">
        <v>18</v>
      </c>
      <c r="J87" s="240">
        <v>18</v>
      </c>
      <c r="K87" s="213">
        <f t="shared" si="4"/>
        <v>0</v>
      </c>
      <c r="L87" s="213">
        <f t="shared" si="4"/>
        <v>100</v>
      </c>
      <c r="M87" s="213">
        <f t="shared" si="4"/>
        <v>0</v>
      </c>
      <c r="N87" s="234">
        <f t="shared" si="5"/>
        <v>100</v>
      </c>
      <c r="O87" s="212"/>
      <c r="P87" s="213">
        <v>46.9</v>
      </c>
      <c r="Q87" s="213"/>
      <c r="R87" s="214">
        <f t="shared" si="6"/>
        <v>46.9</v>
      </c>
      <c r="S87" s="170">
        <v>1</v>
      </c>
      <c r="T87" s="283">
        <v>34646</v>
      </c>
      <c r="U87" s="281"/>
      <c r="V87" s="177" t="s">
        <v>130</v>
      </c>
      <c r="W87" s="170" t="s">
        <v>22</v>
      </c>
      <c r="X87" s="170" t="s">
        <v>18</v>
      </c>
      <c r="Y87" s="178">
        <v>46.9</v>
      </c>
      <c r="AD87" s="177"/>
      <c r="AG87" s="178"/>
      <c r="AL87" s="177"/>
      <c r="AO87" s="178"/>
      <c r="AP87" s="177"/>
      <c r="AS87" s="178"/>
      <c r="AW87" s="178"/>
      <c r="BA87" s="179"/>
    </row>
    <row r="88" spans="1:53" s="170" customFormat="1" x14ac:dyDescent="0.15">
      <c r="A88" s="170">
        <v>1995</v>
      </c>
      <c r="B88" s="281"/>
      <c r="C88" s="395" t="s">
        <v>582</v>
      </c>
      <c r="D88" s="395"/>
      <c r="E88" s="170">
        <v>0</v>
      </c>
      <c r="G88" s="232"/>
      <c r="H88" s="170">
        <v>18</v>
      </c>
      <c r="J88" s="240">
        <v>18</v>
      </c>
      <c r="K88" s="213">
        <f t="shared" si="4"/>
        <v>0</v>
      </c>
      <c r="L88" s="213">
        <f t="shared" si="4"/>
        <v>100</v>
      </c>
      <c r="M88" s="213">
        <f t="shared" si="4"/>
        <v>0</v>
      </c>
      <c r="N88" s="234">
        <f t="shared" si="5"/>
        <v>100</v>
      </c>
      <c r="O88" s="212"/>
      <c r="P88" s="213">
        <v>46.9</v>
      </c>
      <c r="Q88" s="213"/>
      <c r="R88" s="214">
        <f t="shared" si="6"/>
        <v>46.9</v>
      </c>
      <c r="S88" s="170">
        <v>1</v>
      </c>
      <c r="T88" s="283"/>
      <c r="U88" s="281"/>
      <c r="V88" s="177" t="s">
        <v>130</v>
      </c>
      <c r="W88" s="170" t="s">
        <v>22</v>
      </c>
      <c r="X88" s="170" t="s">
        <v>18</v>
      </c>
      <c r="Y88" s="178">
        <v>46.9</v>
      </c>
      <c r="AD88" s="177"/>
      <c r="AG88" s="178"/>
      <c r="AL88" s="177"/>
      <c r="AO88" s="178"/>
      <c r="AP88" s="177"/>
      <c r="AS88" s="178"/>
      <c r="AW88" s="178"/>
      <c r="BA88" s="179"/>
    </row>
    <row r="89" spans="1:53" s="170" customFormat="1" x14ac:dyDescent="0.15">
      <c r="A89" s="170">
        <v>1995</v>
      </c>
      <c r="B89" s="281"/>
      <c r="C89" s="395" t="s">
        <v>582</v>
      </c>
      <c r="D89" s="395"/>
      <c r="E89" s="170">
        <f>365-E88</f>
        <v>365</v>
      </c>
      <c r="G89" s="232"/>
      <c r="H89" s="170">
        <v>18</v>
      </c>
      <c r="J89" s="240">
        <v>18</v>
      </c>
      <c r="K89" s="213">
        <f t="shared" si="4"/>
        <v>0</v>
      </c>
      <c r="L89" s="213">
        <f t="shared" si="4"/>
        <v>100</v>
      </c>
      <c r="M89" s="213">
        <f t="shared" si="4"/>
        <v>0</v>
      </c>
      <c r="N89" s="234">
        <f t="shared" si="5"/>
        <v>100</v>
      </c>
      <c r="O89" s="212"/>
      <c r="P89" s="213">
        <v>46.9</v>
      </c>
      <c r="Q89" s="213"/>
      <c r="R89" s="214">
        <f t="shared" si="6"/>
        <v>46.9</v>
      </c>
      <c r="S89" s="170">
        <v>1</v>
      </c>
      <c r="T89" s="283"/>
      <c r="U89" s="281"/>
      <c r="V89" s="177" t="s">
        <v>130</v>
      </c>
      <c r="W89" s="170" t="s">
        <v>22</v>
      </c>
      <c r="X89" s="170" t="s">
        <v>18</v>
      </c>
      <c r="Y89" s="178">
        <v>46.9</v>
      </c>
      <c r="AD89" s="177"/>
      <c r="AG89" s="178"/>
      <c r="AL89" s="177"/>
      <c r="AO89" s="178"/>
      <c r="AP89" s="177"/>
      <c r="AS89" s="178"/>
      <c r="AW89" s="178"/>
      <c r="BA89" s="179"/>
    </row>
    <row r="90" spans="1:53" s="170" customFormat="1" x14ac:dyDescent="0.15">
      <c r="A90" s="170">
        <v>1996</v>
      </c>
      <c r="B90" s="281"/>
      <c r="C90" s="395" t="s">
        <v>582</v>
      </c>
      <c r="D90" s="395"/>
      <c r="E90" s="170">
        <v>309</v>
      </c>
      <c r="G90" s="232"/>
      <c r="H90" s="170">
        <v>18</v>
      </c>
      <c r="J90" s="240">
        <v>18</v>
      </c>
      <c r="K90" s="213">
        <f t="shared" si="4"/>
        <v>0</v>
      </c>
      <c r="L90" s="213">
        <f t="shared" si="4"/>
        <v>100</v>
      </c>
      <c r="M90" s="213">
        <f t="shared" si="4"/>
        <v>0</v>
      </c>
      <c r="N90" s="234">
        <f t="shared" si="5"/>
        <v>100</v>
      </c>
      <c r="O90" s="212"/>
      <c r="P90" s="213">
        <v>46.9</v>
      </c>
      <c r="Q90" s="213"/>
      <c r="R90" s="214">
        <f t="shared" si="6"/>
        <v>46.9</v>
      </c>
      <c r="S90" s="170">
        <v>1</v>
      </c>
      <c r="T90" s="283"/>
      <c r="U90" s="281"/>
      <c r="V90" s="177" t="s">
        <v>130</v>
      </c>
      <c r="W90" s="170" t="s">
        <v>22</v>
      </c>
      <c r="X90" s="170" t="s">
        <v>18</v>
      </c>
      <c r="Y90" s="178">
        <v>46.9</v>
      </c>
      <c r="AD90" s="177"/>
      <c r="AG90" s="178"/>
      <c r="AL90" s="177"/>
      <c r="AO90" s="178"/>
      <c r="AP90" s="177"/>
      <c r="AS90" s="178"/>
      <c r="AW90" s="178"/>
      <c r="BA90" s="179"/>
    </row>
    <row r="91" spans="1:53" s="170" customFormat="1" x14ac:dyDescent="0.15">
      <c r="A91" s="170">
        <v>1996</v>
      </c>
      <c r="B91" s="303">
        <v>35374</v>
      </c>
      <c r="C91" s="395" t="s">
        <v>582</v>
      </c>
      <c r="D91" s="395"/>
      <c r="E91" s="170">
        <v>57</v>
      </c>
      <c r="F91" s="243" t="s">
        <v>327</v>
      </c>
      <c r="G91" s="232"/>
      <c r="H91" s="170">
        <v>18</v>
      </c>
      <c r="J91" s="240">
        <v>18</v>
      </c>
      <c r="K91" s="213">
        <f t="shared" si="4"/>
        <v>0</v>
      </c>
      <c r="L91" s="213">
        <f t="shared" si="4"/>
        <v>100</v>
      </c>
      <c r="M91" s="213">
        <f t="shared" si="4"/>
        <v>0</v>
      </c>
      <c r="N91" s="234">
        <f t="shared" si="5"/>
        <v>100</v>
      </c>
      <c r="O91" s="212"/>
      <c r="P91" s="213">
        <v>47.6</v>
      </c>
      <c r="Q91" s="213"/>
      <c r="R91" s="214">
        <f t="shared" si="6"/>
        <v>47.6</v>
      </c>
      <c r="S91" s="170">
        <v>1</v>
      </c>
      <c r="T91" s="283">
        <v>35374</v>
      </c>
      <c r="U91" s="281"/>
      <c r="V91" s="177" t="s">
        <v>130</v>
      </c>
      <c r="W91" s="170" t="s">
        <v>22</v>
      </c>
      <c r="X91" s="170" t="s">
        <v>18</v>
      </c>
      <c r="Y91" s="178">
        <v>47.6</v>
      </c>
      <c r="AD91" s="177"/>
      <c r="AG91" s="178"/>
      <c r="AL91" s="177"/>
      <c r="AO91" s="178"/>
      <c r="AP91" s="177"/>
      <c r="AS91" s="178"/>
      <c r="AW91" s="178"/>
      <c r="BA91" s="179"/>
    </row>
    <row r="92" spans="1:53" s="170" customFormat="1" x14ac:dyDescent="0.15">
      <c r="A92" s="170">
        <v>1997</v>
      </c>
      <c r="B92" s="281"/>
      <c r="C92" s="395" t="s">
        <v>582</v>
      </c>
      <c r="D92" s="395"/>
      <c r="E92" s="170">
        <v>19</v>
      </c>
      <c r="G92" s="232"/>
      <c r="H92" s="170">
        <v>18</v>
      </c>
      <c r="J92" s="240">
        <v>18</v>
      </c>
      <c r="K92" s="213">
        <f t="shared" si="4"/>
        <v>0</v>
      </c>
      <c r="L92" s="213">
        <f t="shared" si="4"/>
        <v>100</v>
      </c>
      <c r="M92" s="213">
        <f t="shared" si="4"/>
        <v>0</v>
      </c>
      <c r="N92" s="234">
        <f t="shared" si="5"/>
        <v>100</v>
      </c>
      <c r="O92" s="212"/>
      <c r="P92" s="213">
        <v>47.6</v>
      </c>
      <c r="Q92" s="213"/>
      <c r="R92" s="214">
        <f t="shared" si="6"/>
        <v>47.6</v>
      </c>
      <c r="S92" s="170">
        <v>1</v>
      </c>
      <c r="T92" s="283"/>
      <c r="U92" s="281"/>
      <c r="V92" s="177" t="s">
        <v>130</v>
      </c>
      <c r="W92" s="170" t="s">
        <v>22</v>
      </c>
      <c r="X92" s="170" t="s">
        <v>18</v>
      </c>
      <c r="Y92" s="178">
        <v>47.6</v>
      </c>
      <c r="AD92" s="177"/>
      <c r="AG92" s="178"/>
      <c r="AL92" s="177"/>
      <c r="AO92" s="178"/>
      <c r="AP92" s="177"/>
      <c r="AS92" s="178"/>
      <c r="AW92" s="178"/>
      <c r="BA92" s="179"/>
    </row>
    <row r="93" spans="1:53" s="28" customFormat="1" x14ac:dyDescent="0.15">
      <c r="A93" s="28">
        <v>1997</v>
      </c>
      <c r="B93" s="293">
        <v>35450</v>
      </c>
      <c r="C93" s="394" t="s">
        <v>583</v>
      </c>
      <c r="D93" s="394"/>
      <c r="E93" s="28">
        <v>346</v>
      </c>
      <c r="F93" s="28">
        <v>1</v>
      </c>
      <c r="G93" s="65">
        <v>1</v>
      </c>
      <c r="H93" s="28">
        <v>17</v>
      </c>
      <c r="J93" s="72">
        <v>18</v>
      </c>
      <c r="K93" s="46">
        <f t="shared" si="4"/>
        <v>5.5555555555555554</v>
      </c>
      <c r="L93" s="46">
        <f t="shared" si="4"/>
        <v>94.444444444444443</v>
      </c>
      <c r="M93" s="46">
        <f t="shared" si="4"/>
        <v>0</v>
      </c>
      <c r="N93" s="67">
        <f t="shared" si="5"/>
        <v>100</v>
      </c>
      <c r="O93" s="45"/>
      <c r="P93" s="46">
        <v>47.6</v>
      </c>
      <c r="Q93" s="46"/>
      <c r="R93" s="47">
        <f t="shared" si="6"/>
        <v>47.6</v>
      </c>
      <c r="S93" s="28">
        <v>1</v>
      </c>
      <c r="T93" s="284"/>
      <c r="U93" s="293">
        <v>35450</v>
      </c>
      <c r="V93" s="37" t="s">
        <v>130</v>
      </c>
      <c r="W93" s="28" t="s">
        <v>22</v>
      </c>
      <c r="X93" s="28" t="s">
        <v>18</v>
      </c>
      <c r="Y93" s="38">
        <v>47.6</v>
      </c>
      <c r="AD93" s="37"/>
      <c r="AG93" s="38"/>
      <c r="AL93" s="37"/>
      <c r="AO93" s="38"/>
      <c r="AP93" s="37"/>
      <c r="AS93" s="38"/>
      <c r="AW93" s="38"/>
      <c r="BA93" s="39"/>
    </row>
    <row r="94" spans="1:53" s="28" customFormat="1" x14ac:dyDescent="0.15">
      <c r="A94" s="28">
        <v>1998</v>
      </c>
      <c r="B94" s="293"/>
      <c r="C94" s="394" t="s">
        <v>583</v>
      </c>
      <c r="D94" s="394"/>
      <c r="E94" s="28">
        <v>306</v>
      </c>
      <c r="G94" s="65">
        <v>1</v>
      </c>
      <c r="H94" s="28">
        <v>17</v>
      </c>
      <c r="J94" s="72">
        <v>18</v>
      </c>
      <c r="K94" s="46">
        <f t="shared" si="4"/>
        <v>5.5555555555555554</v>
      </c>
      <c r="L94" s="46">
        <f t="shared" si="4"/>
        <v>94.444444444444443</v>
      </c>
      <c r="M94" s="46">
        <f t="shared" si="4"/>
        <v>0</v>
      </c>
      <c r="N94" s="67">
        <f t="shared" si="5"/>
        <v>100</v>
      </c>
      <c r="O94" s="45"/>
      <c r="P94" s="46">
        <v>47.6</v>
      </c>
      <c r="Q94" s="46"/>
      <c r="R94" s="47">
        <f t="shared" si="6"/>
        <v>47.6</v>
      </c>
      <c r="S94" s="28">
        <v>1</v>
      </c>
      <c r="T94" s="284"/>
      <c r="U94" s="293"/>
      <c r="V94" s="37" t="s">
        <v>130</v>
      </c>
      <c r="W94" s="28" t="s">
        <v>22</v>
      </c>
      <c r="X94" s="28" t="s">
        <v>18</v>
      </c>
      <c r="Y94" s="38">
        <v>47.6</v>
      </c>
      <c r="Z94" s="83"/>
      <c r="AA94" s="83"/>
      <c r="AB94" s="83"/>
      <c r="AC94" s="83"/>
      <c r="AD94" s="37"/>
      <c r="AG94" s="38"/>
      <c r="AL94" s="37"/>
      <c r="AO94" s="38"/>
      <c r="AP94" s="37"/>
      <c r="AS94" s="38"/>
      <c r="AW94" s="38"/>
      <c r="BA94" s="39"/>
    </row>
    <row r="95" spans="1:53" s="28" customFormat="1" x14ac:dyDescent="0.15">
      <c r="A95" s="28">
        <v>1998</v>
      </c>
      <c r="B95" s="301">
        <v>36102</v>
      </c>
      <c r="C95" s="394" t="s">
        <v>583</v>
      </c>
      <c r="D95" s="394"/>
      <c r="E95" s="28">
        <v>59</v>
      </c>
      <c r="F95" s="83" t="s">
        <v>327</v>
      </c>
      <c r="G95" s="65">
        <v>1</v>
      </c>
      <c r="H95" s="28">
        <v>17</v>
      </c>
      <c r="J95" s="72">
        <v>18</v>
      </c>
      <c r="K95" s="46">
        <f t="shared" si="4"/>
        <v>5.5555555555555554</v>
      </c>
      <c r="L95" s="46">
        <f t="shared" si="4"/>
        <v>94.444444444444443</v>
      </c>
      <c r="M95" s="46">
        <f t="shared" si="4"/>
        <v>0</v>
      </c>
      <c r="N95" s="67">
        <f t="shared" si="5"/>
        <v>100</v>
      </c>
      <c r="O95" s="45"/>
      <c r="P95" s="46">
        <v>48.5</v>
      </c>
      <c r="Q95" s="46"/>
      <c r="R95" s="47">
        <f t="shared" si="6"/>
        <v>48.5</v>
      </c>
      <c r="S95" s="28">
        <v>1</v>
      </c>
      <c r="T95" s="284">
        <v>36102</v>
      </c>
      <c r="U95" s="293"/>
      <c r="V95" s="37" t="s">
        <v>130</v>
      </c>
      <c r="W95" s="28" t="s">
        <v>22</v>
      </c>
      <c r="X95" s="28" t="s">
        <v>18</v>
      </c>
      <c r="Y95" s="38">
        <v>48.5</v>
      </c>
      <c r="Z95" s="83"/>
      <c r="AA95" s="83"/>
      <c r="AB95" s="83"/>
      <c r="AC95" s="83"/>
      <c r="AD95" s="37"/>
      <c r="AG95" s="38"/>
      <c r="AL95" s="37"/>
      <c r="AO95" s="38"/>
      <c r="AP95" s="37"/>
      <c r="AS95" s="38"/>
      <c r="AW95" s="38"/>
      <c r="BA95" s="39"/>
    </row>
    <row r="96" spans="1:53" s="28" customFormat="1" x14ac:dyDescent="0.15">
      <c r="A96" s="28">
        <v>1999</v>
      </c>
      <c r="B96" s="301"/>
      <c r="C96" s="394" t="s">
        <v>583</v>
      </c>
      <c r="D96" s="394"/>
      <c r="E96" s="28">
        <v>0</v>
      </c>
      <c r="G96" s="65">
        <v>1</v>
      </c>
      <c r="H96" s="28">
        <v>17</v>
      </c>
      <c r="J96" s="72">
        <v>18</v>
      </c>
      <c r="K96" s="46">
        <f t="shared" si="4"/>
        <v>5.5555555555555554</v>
      </c>
      <c r="L96" s="46">
        <f t="shared" si="4"/>
        <v>94.444444444444443</v>
      </c>
      <c r="M96" s="46">
        <f t="shared" si="4"/>
        <v>0</v>
      </c>
      <c r="N96" s="67">
        <f t="shared" si="5"/>
        <v>100</v>
      </c>
      <c r="O96" s="45"/>
      <c r="P96" s="46">
        <v>48.5</v>
      </c>
      <c r="Q96" s="46"/>
      <c r="R96" s="47">
        <f t="shared" si="6"/>
        <v>48.5</v>
      </c>
      <c r="S96" s="28">
        <v>1</v>
      </c>
      <c r="T96" s="284"/>
      <c r="U96" s="293"/>
      <c r="V96" s="37" t="s">
        <v>130</v>
      </c>
      <c r="W96" s="28" t="s">
        <v>22</v>
      </c>
      <c r="X96" s="28" t="s">
        <v>18</v>
      </c>
      <c r="Y96" s="38">
        <v>48.5</v>
      </c>
      <c r="Z96" s="83"/>
      <c r="AA96" s="83"/>
      <c r="AB96" s="83"/>
      <c r="AC96" s="83"/>
      <c r="AD96" s="37"/>
      <c r="AG96" s="38"/>
      <c r="AL96" s="37"/>
      <c r="AO96" s="38"/>
      <c r="AP96" s="37"/>
      <c r="AS96" s="38"/>
      <c r="AW96" s="38"/>
      <c r="BA96" s="39"/>
    </row>
    <row r="97" spans="1:53" s="28" customFormat="1" x14ac:dyDescent="0.15">
      <c r="A97" s="28">
        <v>1999</v>
      </c>
      <c r="B97" s="293"/>
      <c r="C97" s="394" t="s">
        <v>583</v>
      </c>
      <c r="D97" s="394"/>
      <c r="E97" s="28">
        <f>365-E96</f>
        <v>365</v>
      </c>
      <c r="G97" s="65">
        <v>1</v>
      </c>
      <c r="H97" s="28">
        <v>17</v>
      </c>
      <c r="J97" s="72">
        <v>18</v>
      </c>
      <c r="K97" s="46">
        <f t="shared" si="4"/>
        <v>5.5555555555555554</v>
      </c>
      <c r="L97" s="46">
        <f t="shared" si="4"/>
        <v>94.444444444444443</v>
      </c>
      <c r="M97" s="46">
        <f t="shared" si="4"/>
        <v>0</v>
      </c>
      <c r="N97" s="67">
        <f t="shared" si="5"/>
        <v>100</v>
      </c>
      <c r="O97" s="45"/>
      <c r="P97" s="46">
        <v>48.5</v>
      </c>
      <c r="Q97" s="46"/>
      <c r="R97" s="47">
        <f t="shared" si="6"/>
        <v>48.5</v>
      </c>
      <c r="S97" s="28">
        <v>1</v>
      </c>
      <c r="T97" s="284"/>
      <c r="U97" s="293"/>
      <c r="V97" s="37" t="s">
        <v>130</v>
      </c>
      <c r="W97" s="28" t="s">
        <v>22</v>
      </c>
      <c r="X97" s="28" t="s">
        <v>18</v>
      </c>
      <c r="Y97" s="38">
        <v>48.5</v>
      </c>
      <c r="Z97" s="83"/>
      <c r="AA97" s="83"/>
      <c r="AB97" s="83"/>
      <c r="AC97" s="83"/>
      <c r="AD97" s="37"/>
      <c r="AG97" s="38"/>
      <c r="AL97" s="37"/>
      <c r="AO97" s="38"/>
      <c r="AP97" s="37"/>
      <c r="AS97" s="38"/>
      <c r="AW97" s="38"/>
      <c r="BA97" s="39"/>
    </row>
    <row r="98" spans="1:53" s="28" customFormat="1" x14ac:dyDescent="0.15">
      <c r="A98" s="28">
        <v>2000</v>
      </c>
      <c r="B98" s="293"/>
      <c r="C98" s="394" t="s">
        <v>583</v>
      </c>
      <c r="D98" s="394"/>
      <c r="E98" s="28">
        <v>311</v>
      </c>
      <c r="G98" s="65">
        <v>1</v>
      </c>
      <c r="H98" s="28">
        <v>17</v>
      </c>
      <c r="J98" s="72">
        <v>18</v>
      </c>
      <c r="K98" s="46">
        <f t="shared" si="4"/>
        <v>5.5555555555555554</v>
      </c>
      <c r="L98" s="46">
        <f t="shared" si="4"/>
        <v>94.444444444444443</v>
      </c>
      <c r="M98" s="46">
        <f t="shared" si="4"/>
        <v>0</v>
      </c>
      <c r="N98" s="67">
        <f t="shared" si="5"/>
        <v>100</v>
      </c>
      <c r="O98" s="45"/>
      <c r="P98" s="46">
        <v>48.5</v>
      </c>
      <c r="Q98" s="46"/>
      <c r="R98" s="47">
        <f t="shared" si="6"/>
        <v>48.5</v>
      </c>
      <c r="S98" s="28">
        <v>1</v>
      </c>
      <c r="T98" s="284"/>
      <c r="U98" s="293"/>
      <c r="V98" s="37" t="s">
        <v>130</v>
      </c>
      <c r="W98" s="28" t="s">
        <v>22</v>
      </c>
      <c r="X98" s="28" t="s">
        <v>18</v>
      </c>
      <c r="Y98" s="38">
        <v>48.5</v>
      </c>
      <c r="Z98" s="83"/>
      <c r="AA98" s="83"/>
      <c r="AB98" s="83"/>
      <c r="AC98" s="83"/>
      <c r="AD98" s="37"/>
      <c r="AG98" s="38"/>
      <c r="AL98" s="37"/>
      <c r="AO98" s="38"/>
      <c r="AP98" s="37"/>
      <c r="AS98" s="38"/>
      <c r="AW98" s="38"/>
      <c r="BA98" s="39"/>
    </row>
    <row r="99" spans="1:53" s="28" customFormat="1" x14ac:dyDescent="0.15">
      <c r="A99" s="28">
        <v>2000</v>
      </c>
      <c r="B99" s="301">
        <v>36837</v>
      </c>
      <c r="C99" s="394" t="s">
        <v>583</v>
      </c>
      <c r="D99" s="394"/>
      <c r="E99" s="28">
        <v>55</v>
      </c>
      <c r="F99" s="83" t="s">
        <v>327</v>
      </c>
      <c r="G99" s="65">
        <v>1</v>
      </c>
      <c r="H99" s="28">
        <v>17</v>
      </c>
      <c r="J99" s="72">
        <v>18</v>
      </c>
      <c r="K99" s="46">
        <f t="shared" si="4"/>
        <v>5.5555555555555554</v>
      </c>
      <c r="L99" s="46">
        <f t="shared" si="4"/>
        <v>94.444444444444443</v>
      </c>
      <c r="M99" s="46">
        <f t="shared" si="4"/>
        <v>0</v>
      </c>
      <c r="N99" s="67">
        <f t="shared" si="5"/>
        <v>100</v>
      </c>
      <c r="O99" s="45"/>
      <c r="P99" s="46">
        <v>48.7</v>
      </c>
      <c r="Q99" s="46"/>
      <c r="R99" s="47">
        <f t="shared" si="6"/>
        <v>48.7</v>
      </c>
      <c r="S99" s="28">
        <v>1</v>
      </c>
      <c r="T99" s="284">
        <v>36837</v>
      </c>
      <c r="U99" s="293"/>
      <c r="V99" s="37" t="s">
        <v>130</v>
      </c>
      <c r="W99" s="28" t="s">
        <v>22</v>
      </c>
      <c r="X99" s="28" t="s">
        <v>18</v>
      </c>
      <c r="Y99" s="38">
        <v>48.7</v>
      </c>
      <c r="Z99" s="83"/>
      <c r="AA99" s="83"/>
      <c r="AB99" s="83"/>
      <c r="AC99" s="83"/>
      <c r="AD99" s="37"/>
      <c r="AG99" s="38"/>
      <c r="AL99" s="37"/>
      <c r="AO99" s="38"/>
      <c r="AP99" s="37"/>
      <c r="AS99" s="38"/>
      <c r="AW99" s="38"/>
      <c r="BA99" s="39"/>
    </row>
    <row r="100" spans="1:53" s="28" customFormat="1" x14ac:dyDescent="0.15">
      <c r="A100" s="28">
        <v>2001</v>
      </c>
      <c r="B100" s="293"/>
      <c r="C100" s="394" t="s">
        <v>583</v>
      </c>
      <c r="D100" s="394"/>
      <c r="E100" s="28">
        <v>19</v>
      </c>
      <c r="G100" s="65">
        <v>1</v>
      </c>
      <c r="H100" s="28">
        <v>17</v>
      </c>
      <c r="J100" s="72">
        <v>18</v>
      </c>
      <c r="K100" s="46">
        <f t="shared" si="4"/>
        <v>5.5555555555555554</v>
      </c>
      <c r="L100" s="46">
        <f t="shared" si="4"/>
        <v>94.444444444444443</v>
      </c>
      <c r="M100" s="46">
        <f t="shared" si="4"/>
        <v>0</v>
      </c>
      <c r="N100" s="67">
        <f t="shared" si="5"/>
        <v>100</v>
      </c>
      <c r="O100" s="45"/>
      <c r="P100" s="46">
        <v>48.7</v>
      </c>
      <c r="Q100" s="46"/>
      <c r="R100" s="47">
        <f t="shared" si="6"/>
        <v>48.7</v>
      </c>
      <c r="S100" s="28">
        <v>1</v>
      </c>
      <c r="T100" s="284"/>
      <c r="U100" s="293"/>
      <c r="V100" s="37" t="s">
        <v>130</v>
      </c>
      <c r="W100" s="28" t="s">
        <v>22</v>
      </c>
      <c r="X100" s="28" t="s">
        <v>18</v>
      </c>
      <c r="Y100" s="38">
        <v>48.7</v>
      </c>
      <c r="Z100" s="83"/>
      <c r="AA100" s="83"/>
      <c r="AB100" s="83"/>
      <c r="AC100" s="83"/>
      <c r="AD100" s="37"/>
      <c r="AG100" s="38"/>
      <c r="AL100" s="37"/>
      <c r="AO100" s="38"/>
      <c r="AP100" s="37"/>
      <c r="AS100" s="38"/>
      <c r="AW100" s="38"/>
      <c r="BA100" s="39"/>
    </row>
    <row r="101" spans="1:53" s="170" customFormat="1" x14ac:dyDescent="0.15">
      <c r="A101" s="170">
        <v>2001</v>
      </c>
      <c r="B101" s="281">
        <v>36911</v>
      </c>
      <c r="C101" s="395" t="s">
        <v>1263</v>
      </c>
      <c r="D101" s="395"/>
      <c r="E101" s="170">
        <f>365-E100</f>
        <v>346</v>
      </c>
      <c r="F101" s="170">
        <v>1</v>
      </c>
      <c r="G101" s="232">
        <v>17</v>
      </c>
      <c r="H101" s="170">
        <v>1</v>
      </c>
      <c r="J101" s="240">
        <v>18</v>
      </c>
      <c r="K101" s="213">
        <f t="shared" si="4"/>
        <v>94.444444444444443</v>
      </c>
      <c r="L101" s="213">
        <f t="shared" si="4"/>
        <v>5.5555555555555554</v>
      </c>
      <c r="M101" s="213">
        <f t="shared" si="4"/>
        <v>0</v>
      </c>
      <c r="N101" s="234">
        <f t="shared" si="5"/>
        <v>100</v>
      </c>
      <c r="O101" s="212">
        <v>50.8</v>
      </c>
      <c r="P101" s="213"/>
      <c r="Q101" s="213"/>
      <c r="R101" s="214">
        <f t="shared" si="6"/>
        <v>50.8</v>
      </c>
      <c r="S101" s="170">
        <v>1</v>
      </c>
      <c r="T101" s="283"/>
      <c r="U101" s="281">
        <v>36911</v>
      </c>
      <c r="V101" s="177" t="s">
        <v>330</v>
      </c>
      <c r="W101" s="170" t="s">
        <v>74</v>
      </c>
      <c r="X101" s="170" t="s">
        <v>11</v>
      </c>
      <c r="Y101" s="178">
        <v>50.8</v>
      </c>
      <c r="Z101" s="243"/>
      <c r="AA101" s="243"/>
      <c r="AB101" s="243"/>
      <c r="AC101" s="243"/>
      <c r="AD101" s="177"/>
      <c r="AG101" s="178"/>
      <c r="AL101" s="177"/>
      <c r="AO101" s="178"/>
      <c r="AP101" s="177"/>
      <c r="AS101" s="178"/>
      <c r="AW101" s="178"/>
      <c r="BA101" s="179"/>
    </row>
    <row r="102" spans="1:53" s="170" customFormat="1" x14ac:dyDescent="0.15">
      <c r="A102" s="170">
        <v>2002</v>
      </c>
      <c r="B102" s="281"/>
      <c r="C102" s="395" t="s">
        <v>1263</v>
      </c>
      <c r="D102" s="395"/>
      <c r="E102" s="170">
        <v>308</v>
      </c>
      <c r="G102" s="232">
        <v>17</v>
      </c>
      <c r="H102" s="170">
        <v>1</v>
      </c>
      <c r="J102" s="240">
        <v>18</v>
      </c>
      <c r="K102" s="213">
        <f t="shared" si="4"/>
        <v>94.444444444444443</v>
      </c>
      <c r="L102" s="213">
        <f t="shared" si="4"/>
        <v>5.5555555555555554</v>
      </c>
      <c r="M102" s="213">
        <f t="shared" si="4"/>
        <v>0</v>
      </c>
      <c r="N102" s="234">
        <f t="shared" si="5"/>
        <v>100</v>
      </c>
      <c r="O102" s="212">
        <v>50.8</v>
      </c>
      <c r="P102" s="213"/>
      <c r="Q102" s="213"/>
      <c r="R102" s="214">
        <f t="shared" si="6"/>
        <v>50.8</v>
      </c>
      <c r="S102" s="170">
        <v>1</v>
      </c>
      <c r="T102" s="283"/>
      <c r="U102" s="281"/>
      <c r="V102" s="177" t="s">
        <v>330</v>
      </c>
      <c r="W102" s="170" t="s">
        <v>74</v>
      </c>
      <c r="X102" s="170" t="s">
        <v>11</v>
      </c>
      <c r="Y102" s="178">
        <v>50.8</v>
      </c>
      <c r="Z102" s="243"/>
      <c r="AA102" s="243"/>
      <c r="AB102" s="243"/>
      <c r="AC102" s="243"/>
      <c r="AD102" s="177"/>
      <c r="AG102" s="178"/>
      <c r="AL102" s="177"/>
      <c r="AO102" s="178"/>
      <c r="AP102" s="177"/>
      <c r="AS102" s="178"/>
      <c r="AW102" s="178"/>
      <c r="BA102" s="179"/>
    </row>
    <row r="103" spans="1:53" s="170" customFormat="1" x14ac:dyDescent="0.15">
      <c r="A103" s="170">
        <v>2002</v>
      </c>
      <c r="B103" s="303">
        <v>37565</v>
      </c>
      <c r="C103" s="395" t="s">
        <v>1263</v>
      </c>
      <c r="D103" s="395"/>
      <c r="E103" s="170">
        <f>365-E102</f>
        <v>57</v>
      </c>
      <c r="F103" s="243" t="s">
        <v>327</v>
      </c>
      <c r="G103" s="232">
        <v>17</v>
      </c>
      <c r="H103" s="170">
        <v>1</v>
      </c>
      <c r="J103" s="240">
        <v>18</v>
      </c>
      <c r="K103" s="213">
        <f t="shared" si="4"/>
        <v>94.444444444444443</v>
      </c>
      <c r="L103" s="213">
        <f t="shared" si="4"/>
        <v>5.5555555555555554</v>
      </c>
      <c r="M103" s="213">
        <f t="shared" si="4"/>
        <v>0</v>
      </c>
      <c r="N103" s="234">
        <f t="shared" si="5"/>
        <v>100</v>
      </c>
      <c r="O103" s="212">
        <v>52.6</v>
      </c>
      <c r="P103" s="213"/>
      <c r="Q103" s="213"/>
      <c r="R103" s="214">
        <f t="shared" si="6"/>
        <v>52.6</v>
      </c>
      <c r="S103" s="170">
        <v>1</v>
      </c>
      <c r="T103" s="283">
        <v>37565</v>
      </c>
      <c r="U103" s="281"/>
      <c r="V103" s="177" t="s">
        <v>330</v>
      </c>
      <c r="W103" s="170" t="s">
        <v>74</v>
      </c>
      <c r="X103" s="170" t="s">
        <v>11</v>
      </c>
      <c r="Y103" s="178">
        <v>52.6</v>
      </c>
      <c r="Z103" s="243"/>
      <c r="AA103" s="243"/>
      <c r="AB103" s="243"/>
      <c r="AC103" s="243"/>
      <c r="AD103" s="177"/>
      <c r="AG103" s="178"/>
      <c r="AL103" s="177"/>
      <c r="AO103" s="178"/>
      <c r="AP103" s="177"/>
      <c r="AS103" s="178"/>
      <c r="AW103" s="178"/>
      <c r="BA103" s="179"/>
    </row>
    <row r="104" spans="1:53" s="170" customFormat="1" x14ac:dyDescent="0.15">
      <c r="A104" s="170">
        <v>2003</v>
      </c>
      <c r="B104" s="281"/>
      <c r="C104" s="395" t="s">
        <v>1263</v>
      </c>
      <c r="D104" s="395"/>
      <c r="E104" s="170">
        <v>21</v>
      </c>
      <c r="G104" s="232">
        <v>17</v>
      </c>
      <c r="H104" s="170">
        <v>1</v>
      </c>
      <c r="J104" s="240">
        <v>18</v>
      </c>
      <c r="K104" s="213">
        <f t="shared" si="4"/>
        <v>94.444444444444443</v>
      </c>
      <c r="L104" s="213">
        <f t="shared" si="4"/>
        <v>5.5555555555555554</v>
      </c>
      <c r="M104" s="213">
        <f t="shared" si="4"/>
        <v>0</v>
      </c>
      <c r="N104" s="234">
        <f t="shared" si="5"/>
        <v>100</v>
      </c>
      <c r="O104" s="212">
        <v>52.6</v>
      </c>
      <c r="P104" s="213"/>
      <c r="Q104" s="213"/>
      <c r="R104" s="214">
        <f t="shared" si="6"/>
        <v>52.6</v>
      </c>
      <c r="S104" s="170">
        <v>1</v>
      </c>
      <c r="T104" s="283"/>
      <c r="U104" s="281"/>
      <c r="V104" s="177" t="s">
        <v>330</v>
      </c>
      <c r="W104" s="170" t="s">
        <v>74</v>
      </c>
      <c r="X104" s="170" t="s">
        <v>11</v>
      </c>
      <c r="Y104" s="178">
        <v>52.6</v>
      </c>
      <c r="Z104" s="243"/>
      <c r="AA104" s="243"/>
      <c r="AB104" s="243"/>
      <c r="AC104" s="243"/>
      <c r="AD104" s="177"/>
      <c r="AG104" s="178"/>
      <c r="AL104" s="177"/>
      <c r="AO104" s="178"/>
      <c r="AP104" s="177"/>
      <c r="AS104" s="178"/>
      <c r="AW104" s="178"/>
      <c r="BA104" s="179"/>
    </row>
    <row r="105" spans="1:53" s="170" customFormat="1" x14ac:dyDescent="0.15">
      <c r="A105" s="170">
        <v>2003</v>
      </c>
      <c r="B105" s="303">
        <v>37643</v>
      </c>
      <c r="C105" s="395" t="s">
        <v>1263</v>
      </c>
      <c r="D105" s="395"/>
      <c r="E105" s="170">
        <f>365-E104</f>
        <v>344</v>
      </c>
      <c r="F105" s="243">
        <v>0</v>
      </c>
      <c r="G105" s="232">
        <v>18</v>
      </c>
      <c r="H105" s="170">
        <v>1</v>
      </c>
      <c r="J105" s="240">
        <v>19</v>
      </c>
      <c r="K105" s="213">
        <f t="shared" si="4"/>
        <v>94.73684210526315</v>
      </c>
      <c r="L105" s="213">
        <f t="shared" si="4"/>
        <v>5.2631578947368416</v>
      </c>
      <c r="M105" s="213">
        <f t="shared" si="4"/>
        <v>0</v>
      </c>
      <c r="N105" s="234">
        <f t="shared" si="5"/>
        <v>99.999999999999986</v>
      </c>
      <c r="O105" s="212">
        <v>52.6</v>
      </c>
      <c r="P105" s="213"/>
      <c r="Q105" s="213"/>
      <c r="R105" s="214">
        <f t="shared" si="6"/>
        <v>52.6</v>
      </c>
      <c r="S105" s="170">
        <v>1</v>
      </c>
      <c r="T105" s="283"/>
      <c r="U105" s="281"/>
      <c r="V105" s="177" t="s">
        <v>330</v>
      </c>
      <c r="W105" s="170" t="s">
        <v>74</v>
      </c>
      <c r="X105" s="170" t="s">
        <v>11</v>
      </c>
      <c r="Y105" s="178">
        <v>52.6</v>
      </c>
      <c r="Z105" s="243"/>
      <c r="AA105" s="243"/>
      <c r="AB105" s="243"/>
      <c r="AC105" s="243"/>
      <c r="AD105" s="177"/>
      <c r="AG105" s="178"/>
      <c r="AL105" s="177"/>
      <c r="AO105" s="178"/>
      <c r="AP105" s="177"/>
      <c r="AS105" s="178"/>
      <c r="AW105" s="178"/>
      <c r="BA105" s="179"/>
    </row>
    <row r="106" spans="1:53" s="170" customFormat="1" x14ac:dyDescent="0.15">
      <c r="A106" s="170">
        <v>2004</v>
      </c>
      <c r="B106" s="281"/>
      <c r="C106" s="395" t="s">
        <v>1263</v>
      </c>
      <c r="D106" s="395"/>
      <c r="E106" s="170">
        <v>306</v>
      </c>
      <c r="G106" s="232">
        <v>18</v>
      </c>
      <c r="H106" s="170">
        <v>1</v>
      </c>
      <c r="J106" s="240">
        <v>19</v>
      </c>
      <c r="K106" s="213">
        <f t="shared" si="4"/>
        <v>94.73684210526315</v>
      </c>
      <c r="L106" s="213">
        <f t="shared" si="4"/>
        <v>5.2631578947368416</v>
      </c>
      <c r="M106" s="213">
        <f t="shared" si="4"/>
        <v>0</v>
      </c>
      <c r="N106" s="234">
        <f t="shared" si="5"/>
        <v>99.999999999999986</v>
      </c>
      <c r="O106" s="212">
        <v>52.6</v>
      </c>
      <c r="P106" s="213"/>
      <c r="Q106" s="213"/>
      <c r="R106" s="214">
        <f t="shared" si="6"/>
        <v>52.6</v>
      </c>
      <c r="S106" s="170">
        <v>1</v>
      </c>
      <c r="T106" s="283"/>
      <c r="U106" s="281"/>
      <c r="V106" s="177" t="s">
        <v>330</v>
      </c>
      <c r="W106" s="170" t="s">
        <v>74</v>
      </c>
      <c r="X106" s="170" t="s">
        <v>11</v>
      </c>
      <c r="Y106" s="178">
        <v>52.6</v>
      </c>
      <c r="Z106" s="243"/>
      <c r="AA106" s="243"/>
      <c r="AB106" s="243"/>
      <c r="AC106" s="243"/>
      <c r="AD106" s="177"/>
      <c r="AG106" s="178"/>
      <c r="AL106" s="177"/>
      <c r="AO106" s="178"/>
      <c r="AP106" s="177"/>
      <c r="AS106" s="178"/>
      <c r="AW106" s="178"/>
      <c r="BA106" s="179"/>
    </row>
    <row r="107" spans="1:53" s="170" customFormat="1" x14ac:dyDescent="0.15">
      <c r="A107" s="170">
        <v>2004</v>
      </c>
      <c r="B107" s="303">
        <v>38293</v>
      </c>
      <c r="C107" s="395" t="s">
        <v>1263</v>
      </c>
      <c r="D107" s="395"/>
      <c r="E107" s="170">
        <v>60</v>
      </c>
      <c r="F107" s="243" t="s">
        <v>327</v>
      </c>
      <c r="G107" s="232">
        <v>18</v>
      </c>
      <c r="H107" s="170">
        <v>1</v>
      </c>
      <c r="J107" s="240">
        <v>19</v>
      </c>
      <c r="K107" s="213">
        <f t="shared" si="4"/>
        <v>94.73684210526315</v>
      </c>
      <c r="L107" s="213">
        <f t="shared" si="4"/>
        <v>5.2631578947368416</v>
      </c>
      <c r="M107" s="213">
        <f t="shared" si="4"/>
        <v>0</v>
      </c>
      <c r="N107" s="234">
        <f t="shared" si="5"/>
        <v>99.999999999999986</v>
      </c>
      <c r="O107" s="212">
        <v>53.1</v>
      </c>
      <c r="P107" s="213"/>
      <c r="Q107" s="213"/>
      <c r="R107" s="214">
        <f t="shared" si="6"/>
        <v>53.1</v>
      </c>
      <c r="S107" s="170">
        <v>1</v>
      </c>
      <c r="T107" s="283">
        <v>38293</v>
      </c>
      <c r="U107" s="281"/>
      <c r="V107" s="177" t="s">
        <v>330</v>
      </c>
      <c r="W107" s="170" t="s">
        <v>74</v>
      </c>
      <c r="X107" s="170" t="s">
        <v>11</v>
      </c>
      <c r="Y107" s="178">
        <v>53.1</v>
      </c>
      <c r="Z107" s="243"/>
      <c r="AA107" s="243"/>
      <c r="AB107" s="243"/>
      <c r="AC107" s="243"/>
      <c r="AD107" s="177"/>
      <c r="AG107" s="178"/>
      <c r="AL107" s="177"/>
      <c r="AO107" s="178"/>
      <c r="AP107" s="177"/>
      <c r="AS107" s="178"/>
      <c r="AW107" s="178"/>
      <c r="BA107" s="179"/>
    </row>
    <row r="108" spans="1:53" s="170" customFormat="1" x14ac:dyDescent="0.15">
      <c r="A108" s="170">
        <v>2005</v>
      </c>
      <c r="B108" s="281"/>
      <c r="C108" s="395" t="s">
        <v>1263</v>
      </c>
      <c r="D108" s="395"/>
      <c r="E108" s="170">
        <v>19</v>
      </c>
      <c r="G108" s="232">
        <v>18</v>
      </c>
      <c r="H108" s="170">
        <v>1</v>
      </c>
      <c r="J108" s="240">
        <v>19</v>
      </c>
      <c r="K108" s="213">
        <f t="shared" si="4"/>
        <v>94.73684210526315</v>
      </c>
      <c r="L108" s="213">
        <f t="shared" si="4"/>
        <v>5.2631578947368416</v>
      </c>
      <c r="M108" s="213">
        <f t="shared" si="4"/>
        <v>0</v>
      </c>
      <c r="N108" s="234">
        <f t="shared" si="5"/>
        <v>99.999999999999986</v>
      </c>
      <c r="O108" s="212">
        <v>53.1</v>
      </c>
      <c r="P108" s="213"/>
      <c r="Q108" s="213"/>
      <c r="R108" s="214">
        <f t="shared" si="6"/>
        <v>53.1</v>
      </c>
      <c r="S108" s="170">
        <v>1</v>
      </c>
      <c r="T108" s="283"/>
      <c r="U108" s="281"/>
      <c r="V108" s="177" t="s">
        <v>330</v>
      </c>
      <c r="W108" s="170" t="s">
        <v>74</v>
      </c>
      <c r="X108" s="170" t="s">
        <v>11</v>
      </c>
      <c r="Y108" s="178">
        <v>53.1</v>
      </c>
      <c r="Z108" s="243"/>
      <c r="AA108" s="243"/>
      <c r="AB108" s="243"/>
      <c r="AC108" s="243"/>
      <c r="AD108" s="177"/>
      <c r="AG108" s="178"/>
      <c r="AL108" s="177"/>
      <c r="AO108" s="178"/>
      <c r="AP108" s="177"/>
      <c r="AS108" s="178"/>
      <c r="AW108" s="178"/>
      <c r="BA108" s="179"/>
    </row>
    <row r="109" spans="1:53" s="28" customFormat="1" x14ac:dyDescent="0.15">
      <c r="A109" s="28">
        <v>2005</v>
      </c>
      <c r="B109" s="293">
        <v>38372</v>
      </c>
      <c r="C109" s="394" t="s">
        <v>1264</v>
      </c>
      <c r="D109" s="394"/>
      <c r="E109" s="28">
        <f>365-E108</f>
        <v>346</v>
      </c>
      <c r="F109" s="28">
        <v>1</v>
      </c>
      <c r="G109" s="65">
        <v>21</v>
      </c>
      <c r="H109" s="28">
        <v>1</v>
      </c>
      <c r="J109" s="72">
        <v>22</v>
      </c>
      <c r="K109" s="46">
        <f t="shared" si="4"/>
        <v>95.454545454545453</v>
      </c>
      <c r="L109" s="46">
        <f t="shared" si="4"/>
        <v>4.5454545454545459</v>
      </c>
      <c r="M109" s="46">
        <f t="shared" si="4"/>
        <v>0</v>
      </c>
      <c r="N109" s="67">
        <f t="shared" si="5"/>
        <v>100</v>
      </c>
      <c r="O109" s="45">
        <v>53.1</v>
      </c>
      <c r="P109" s="46"/>
      <c r="Q109" s="46"/>
      <c r="R109" s="47">
        <f t="shared" si="6"/>
        <v>53.1</v>
      </c>
      <c r="S109" s="28">
        <v>1</v>
      </c>
      <c r="T109" s="284"/>
      <c r="U109" s="293">
        <v>38372</v>
      </c>
      <c r="V109" s="37" t="s">
        <v>330</v>
      </c>
      <c r="W109" s="28" t="s">
        <v>74</v>
      </c>
      <c r="X109" s="28" t="s">
        <v>11</v>
      </c>
      <c r="Y109" s="38">
        <v>53.1</v>
      </c>
      <c r="Z109" s="83"/>
      <c r="AA109" s="83"/>
      <c r="AB109" s="83"/>
      <c r="AC109" s="83"/>
      <c r="AD109" s="37"/>
      <c r="AG109" s="38"/>
      <c r="AL109" s="37"/>
      <c r="AO109" s="38"/>
      <c r="AP109" s="37"/>
      <c r="AS109" s="38"/>
      <c r="AW109" s="38"/>
      <c r="BA109" s="39"/>
    </row>
    <row r="110" spans="1:53" s="28" customFormat="1" x14ac:dyDescent="0.15">
      <c r="A110" s="28">
        <v>2006</v>
      </c>
      <c r="B110" s="293"/>
      <c r="C110" s="394" t="s">
        <v>1264</v>
      </c>
      <c r="D110" s="394"/>
      <c r="E110" s="28">
        <v>272</v>
      </c>
      <c r="G110" s="65">
        <v>21</v>
      </c>
      <c r="H110" s="28">
        <v>1</v>
      </c>
      <c r="J110" s="72">
        <v>22</v>
      </c>
      <c r="K110" s="46">
        <f t="shared" si="4"/>
        <v>95.454545454545453</v>
      </c>
      <c r="L110" s="46">
        <f t="shared" si="4"/>
        <v>4.5454545454545459</v>
      </c>
      <c r="M110" s="46">
        <f t="shared" si="4"/>
        <v>0</v>
      </c>
      <c r="N110" s="67">
        <f t="shared" si="5"/>
        <v>100</v>
      </c>
      <c r="O110" s="45">
        <v>53.1</v>
      </c>
      <c r="P110" s="46"/>
      <c r="Q110" s="46"/>
      <c r="R110" s="47">
        <f t="shared" si="6"/>
        <v>53.1</v>
      </c>
      <c r="S110" s="28">
        <v>1</v>
      </c>
      <c r="T110" s="284"/>
      <c r="U110" s="293"/>
      <c r="V110" s="37" t="s">
        <v>330</v>
      </c>
      <c r="W110" s="28" t="s">
        <v>74</v>
      </c>
      <c r="X110" s="28" t="s">
        <v>11</v>
      </c>
      <c r="Y110" s="38">
        <v>53.1</v>
      </c>
      <c r="Z110" s="83"/>
      <c r="AA110" s="83"/>
      <c r="AB110" s="83"/>
      <c r="AC110" s="83"/>
      <c r="AD110" s="37"/>
      <c r="AG110" s="38"/>
      <c r="AL110" s="37"/>
      <c r="AO110" s="38"/>
      <c r="AP110" s="37"/>
      <c r="AS110" s="38"/>
      <c r="AW110" s="38"/>
      <c r="BA110" s="39"/>
    </row>
    <row r="111" spans="1:53" s="28" customFormat="1" x14ac:dyDescent="0.15">
      <c r="A111" s="28">
        <v>2006</v>
      </c>
      <c r="B111" s="301">
        <v>38990</v>
      </c>
      <c r="C111" s="394" t="s">
        <v>1264</v>
      </c>
      <c r="D111" s="394"/>
      <c r="E111" s="28">
        <v>38</v>
      </c>
      <c r="F111" s="83">
        <v>0</v>
      </c>
      <c r="G111" s="65">
        <v>22</v>
      </c>
      <c r="J111" s="72">
        <v>22</v>
      </c>
      <c r="K111" s="46">
        <f>G111/$J111*100</f>
        <v>100</v>
      </c>
      <c r="L111" s="46">
        <f>H111/$J111*100</f>
        <v>0</v>
      </c>
      <c r="M111" s="46">
        <f>I111/$J111*100</f>
        <v>0</v>
      </c>
      <c r="N111" s="67">
        <f>K111+L111+M111</f>
        <v>100</v>
      </c>
      <c r="O111" s="45">
        <v>53.1</v>
      </c>
      <c r="P111" s="46"/>
      <c r="Q111" s="46"/>
      <c r="R111" s="47">
        <f>O111+P111+Q111</f>
        <v>53.1</v>
      </c>
      <c r="S111" s="28">
        <v>1</v>
      </c>
      <c r="T111" s="284">
        <v>39028</v>
      </c>
      <c r="U111" s="293"/>
      <c r="V111" s="37" t="s">
        <v>330</v>
      </c>
      <c r="W111" s="28" t="s">
        <v>74</v>
      </c>
      <c r="X111" s="28" t="s">
        <v>11</v>
      </c>
      <c r="Y111" s="38">
        <v>53.1</v>
      </c>
      <c r="Z111" s="83"/>
      <c r="AA111" s="83"/>
      <c r="AB111" s="83"/>
      <c r="AC111" s="83"/>
      <c r="AD111" s="37"/>
      <c r="AG111" s="38"/>
      <c r="AL111" s="37"/>
      <c r="AO111" s="38"/>
      <c r="AP111" s="37"/>
      <c r="AS111" s="38"/>
      <c r="AW111" s="38"/>
      <c r="BA111" s="39"/>
    </row>
    <row r="112" spans="1:53" s="28" customFormat="1" x14ac:dyDescent="0.15">
      <c r="A112" s="28">
        <v>2006</v>
      </c>
      <c r="B112" s="301">
        <v>39028</v>
      </c>
      <c r="C112" s="394" t="s">
        <v>1264</v>
      </c>
      <c r="D112" s="394"/>
      <c r="E112" s="28">
        <v>55</v>
      </c>
      <c r="F112" s="83" t="s">
        <v>327</v>
      </c>
      <c r="G112" s="65">
        <v>22</v>
      </c>
      <c r="J112" s="72">
        <v>22</v>
      </c>
      <c r="K112" s="46">
        <f t="shared" si="4"/>
        <v>100</v>
      </c>
      <c r="L112" s="46">
        <f t="shared" si="4"/>
        <v>0</v>
      </c>
      <c r="M112" s="46">
        <f t="shared" si="4"/>
        <v>0</v>
      </c>
      <c r="N112" s="67">
        <f t="shared" si="5"/>
        <v>100</v>
      </c>
      <c r="O112" s="45">
        <v>46.4</v>
      </c>
      <c r="P112" s="46"/>
      <c r="Q112" s="46"/>
      <c r="R112" s="47">
        <f t="shared" si="6"/>
        <v>46.4</v>
      </c>
      <c r="S112" s="28">
        <v>1</v>
      </c>
      <c r="T112" s="284">
        <v>39028</v>
      </c>
      <c r="U112" s="293"/>
      <c r="V112" s="37" t="s">
        <v>330</v>
      </c>
      <c r="W112" s="28" t="s">
        <v>74</v>
      </c>
      <c r="X112" s="28" t="s">
        <v>11</v>
      </c>
      <c r="Y112" s="38">
        <v>46.4</v>
      </c>
      <c r="Z112" s="83"/>
      <c r="AA112" s="83"/>
      <c r="AB112" s="83"/>
      <c r="AC112" s="83"/>
      <c r="AD112" s="37"/>
      <c r="AG112" s="38"/>
      <c r="AL112" s="37"/>
      <c r="AO112" s="38"/>
      <c r="AP112" s="37"/>
      <c r="AS112" s="38"/>
      <c r="AW112" s="38"/>
      <c r="BA112" s="39"/>
    </row>
    <row r="113" spans="1:53" s="28" customFormat="1" x14ac:dyDescent="0.15">
      <c r="A113" s="28">
        <v>2007</v>
      </c>
      <c r="B113" s="293"/>
      <c r="C113" s="394" t="s">
        <v>1264</v>
      </c>
      <c r="D113" s="394"/>
      <c r="E113" s="28">
        <v>0</v>
      </c>
      <c r="G113" s="65">
        <v>22</v>
      </c>
      <c r="J113" s="72">
        <v>22</v>
      </c>
      <c r="K113" s="46">
        <f t="shared" si="4"/>
        <v>100</v>
      </c>
      <c r="L113" s="46">
        <f t="shared" si="4"/>
        <v>0</v>
      </c>
      <c r="M113" s="46">
        <f t="shared" si="4"/>
        <v>0</v>
      </c>
      <c r="N113" s="67">
        <f t="shared" si="5"/>
        <v>100</v>
      </c>
      <c r="O113" s="45">
        <v>46.4</v>
      </c>
      <c r="P113" s="46"/>
      <c r="Q113" s="46"/>
      <c r="R113" s="47">
        <f t="shared" si="6"/>
        <v>46.4</v>
      </c>
      <c r="S113" s="28">
        <v>1</v>
      </c>
      <c r="T113" s="284"/>
      <c r="U113" s="293"/>
      <c r="V113" s="37" t="s">
        <v>330</v>
      </c>
      <c r="W113" s="28" t="s">
        <v>74</v>
      </c>
      <c r="X113" s="28" t="s">
        <v>11</v>
      </c>
      <c r="Y113" s="38">
        <v>46.4</v>
      </c>
      <c r="Z113" s="83"/>
      <c r="AA113" s="83"/>
      <c r="AB113" s="83"/>
      <c r="AC113" s="83"/>
      <c r="AD113" s="37"/>
      <c r="AG113" s="38"/>
      <c r="AL113" s="37"/>
      <c r="AO113" s="38"/>
      <c r="AP113" s="37"/>
      <c r="AS113" s="38"/>
      <c r="AW113" s="38"/>
      <c r="BA113" s="39"/>
    </row>
    <row r="114" spans="1:53" s="28" customFormat="1" x14ac:dyDescent="0.15">
      <c r="A114" s="28">
        <v>2007</v>
      </c>
      <c r="B114" s="293"/>
      <c r="C114" s="394" t="s">
        <v>1264</v>
      </c>
      <c r="D114" s="394"/>
      <c r="E114" s="28">
        <v>365</v>
      </c>
      <c r="G114" s="65">
        <v>22</v>
      </c>
      <c r="J114" s="72">
        <v>22</v>
      </c>
      <c r="K114" s="46">
        <f t="shared" si="4"/>
        <v>100</v>
      </c>
      <c r="L114" s="46">
        <f t="shared" si="4"/>
        <v>0</v>
      </c>
      <c r="M114" s="46">
        <f t="shared" si="4"/>
        <v>0</v>
      </c>
      <c r="N114" s="67">
        <f t="shared" si="5"/>
        <v>100</v>
      </c>
      <c r="O114" s="45">
        <v>46.4</v>
      </c>
      <c r="P114" s="46"/>
      <c r="Q114" s="46"/>
      <c r="R114" s="47">
        <f t="shared" si="6"/>
        <v>46.4</v>
      </c>
      <c r="S114" s="28">
        <v>1</v>
      </c>
      <c r="T114" s="284"/>
      <c r="U114" s="293"/>
      <c r="V114" s="37" t="s">
        <v>330</v>
      </c>
      <c r="W114" s="28" t="s">
        <v>74</v>
      </c>
      <c r="X114" s="28" t="s">
        <v>11</v>
      </c>
      <c r="Y114" s="38">
        <v>46.4</v>
      </c>
      <c r="Z114" s="83"/>
      <c r="AA114" s="83"/>
      <c r="AB114" s="83"/>
      <c r="AC114" s="83"/>
      <c r="AD114" s="37"/>
      <c r="AG114" s="38"/>
      <c r="AL114" s="37"/>
      <c r="AO114" s="38"/>
      <c r="AP114" s="37"/>
      <c r="AS114" s="38"/>
      <c r="AW114" s="38"/>
      <c r="BA114" s="39"/>
    </row>
    <row r="115" spans="1:53" s="28" customFormat="1" x14ac:dyDescent="0.15">
      <c r="A115" s="28">
        <v>2008</v>
      </c>
      <c r="B115" s="293"/>
      <c r="C115" s="394" t="s">
        <v>1264</v>
      </c>
      <c r="D115" s="394"/>
      <c r="E115" s="28">
        <v>308</v>
      </c>
      <c r="G115" s="65">
        <v>22</v>
      </c>
      <c r="J115" s="72">
        <v>22</v>
      </c>
      <c r="K115" s="46">
        <f t="shared" si="4"/>
        <v>100</v>
      </c>
      <c r="L115" s="46">
        <f t="shared" si="4"/>
        <v>0</v>
      </c>
      <c r="M115" s="46">
        <f t="shared" si="4"/>
        <v>0</v>
      </c>
      <c r="N115" s="67">
        <f t="shared" si="5"/>
        <v>100</v>
      </c>
      <c r="O115" s="45">
        <v>46.4</v>
      </c>
      <c r="P115" s="46"/>
      <c r="Q115" s="46"/>
      <c r="R115" s="47">
        <f t="shared" si="6"/>
        <v>46.4</v>
      </c>
      <c r="S115" s="28">
        <v>1</v>
      </c>
      <c r="T115" s="284"/>
      <c r="U115" s="293"/>
      <c r="V115" s="37" t="s">
        <v>330</v>
      </c>
      <c r="W115" s="28" t="s">
        <v>74</v>
      </c>
      <c r="X115" s="28" t="s">
        <v>11</v>
      </c>
      <c r="Y115" s="38">
        <v>46.4</v>
      </c>
      <c r="Z115" s="83"/>
      <c r="AA115" s="83"/>
      <c r="AB115" s="83"/>
      <c r="AC115" s="83"/>
      <c r="AD115" s="37"/>
      <c r="AG115" s="38"/>
      <c r="AL115" s="37"/>
      <c r="AO115" s="38"/>
      <c r="AP115" s="37"/>
      <c r="AS115" s="38"/>
      <c r="AW115" s="38"/>
      <c r="BA115" s="39"/>
    </row>
    <row r="116" spans="1:53" s="28" customFormat="1" x14ac:dyDescent="0.15">
      <c r="A116" s="28">
        <v>2008</v>
      </c>
      <c r="B116" s="301">
        <v>39756</v>
      </c>
      <c r="C116" s="394" t="s">
        <v>1264</v>
      </c>
      <c r="D116" s="394"/>
      <c r="E116" s="28">
        <v>58</v>
      </c>
      <c r="F116" s="83" t="s">
        <v>327</v>
      </c>
      <c r="G116" s="65">
        <v>22</v>
      </c>
      <c r="J116" s="72">
        <v>22</v>
      </c>
      <c r="K116" s="46">
        <f t="shared" si="4"/>
        <v>100</v>
      </c>
      <c r="L116" s="46">
        <f t="shared" si="4"/>
        <v>0</v>
      </c>
      <c r="M116" s="46">
        <f t="shared" si="4"/>
        <v>0</v>
      </c>
      <c r="N116" s="67">
        <f t="shared" si="5"/>
        <v>100</v>
      </c>
      <c r="O116" s="45">
        <v>40.9</v>
      </c>
      <c r="P116" s="46"/>
      <c r="Q116" s="46"/>
      <c r="R116" s="47">
        <f t="shared" si="6"/>
        <v>40.9</v>
      </c>
      <c r="S116" s="28">
        <v>1</v>
      </c>
      <c r="T116" s="284">
        <v>39756</v>
      </c>
      <c r="U116" s="293"/>
      <c r="V116" s="37" t="s">
        <v>330</v>
      </c>
      <c r="W116" s="28" t="s">
        <v>74</v>
      </c>
      <c r="X116" s="28" t="s">
        <v>11</v>
      </c>
      <c r="Y116" s="38">
        <v>40.9</v>
      </c>
      <c r="Z116" s="83"/>
      <c r="AA116" s="83"/>
      <c r="AB116" s="83"/>
      <c r="AC116" s="83"/>
      <c r="AD116" s="37"/>
      <c r="AG116" s="38"/>
      <c r="AL116" s="37"/>
      <c r="AO116" s="38"/>
      <c r="AP116" s="37"/>
      <c r="AS116" s="38"/>
      <c r="AW116" s="38"/>
      <c r="BA116" s="39"/>
    </row>
    <row r="117" spans="1:53" s="28" customFormat="1" x14ac:dyDescent="0.15">
      <c r="A117" s="28">
        <v>2009</v>
      </c>
      <c r="B117" s="293"/>
      <c r="C117" s="394" t="s">
        <v>1264</v>
      </c>
      <c r="D117" s="394"/>
      <c r="E117" s="28">
        <v>19</v>
      </c>
      <c r="G117" s="65">
        <v>22</v>
      </c>
      <c r="J117" s="72">
        <v>22</v>
      </c>
      <c r="K117" s="46">
        <f t="shared" si="4"/>
        <v>100</v>
      </c>
      <c r="L117" s="46">
        <f t="shared" si="4"/>
        <v>0</v>
      </c>
      <c r="M117" s="46">
        <f t="shared" si="4"/>
        <v>0</v>
      </c>
      <c r="N117" s="67">
        <f t="shared" si="5"/>
        <v>100</v>
      </c>
      <c r="O117" s="45">
        <v>40.9</v>
      </c>
      <c r="P117" s="46"/>
      <c r="Q117" s="46"/>
      <c r="R117" s="47">
        <f t="shared" si="6"/>
        <v>40.9</v>
      </c>
      <c r="S117" s="28">
        <v>1</v>
      </c>
      <c r="T117" s="284"/>
      <c r="U117" s="293"/>
      <c r="V117" s="37" t="s">
        <v>330</v>
      </c>
      <c r="W117" s="28" t="s">
        <v>74</v>
      </c>
      <c r="X117" s="28" t="s">
        <v>11</v>
      </c>
      <c r="Y117" s="38">
        <v>40.9</v>
      </c>
      <c r="Z117" s="83"/>
      <c r="AA117" s="83"/>
      <c r="AB117" s="83"/>
      <c r="AC117" s="83"/>
      <c r="AD117" s="37"/>
      <c r="AG117" s="38"/>
      <c r="AL117" s="37"/>
      <c r="AO117" s="38"/>
      <c r="AP117" s="37"/>
      <c r="AS117" s="38"/>
      <c r="AW117" s="38"/>
      <c r="BA117" s="39"/>
    </row>
    <row r="118" spans="1:53" s="170" customFormat="1" x14ac:dyDescent="0.15">
      <c r="A118" s="170">
        <v>2009</v>
      </c>
      <c r="B118" s="281">
        <v>39833</v>
      </c>
      <c r="C118" s="395" t="s">
        <v>584</v>
      </c>
      <c r="D118" s="395"/>
      <c r="E118" s="170">
        <f>365-E117</f>
        <v>346</v>
      </c>
      <c r="F118" s="170">
        <v>1</v>
      </c>
      <c r="G118" s="232">
        <v>2</v>
      </c>
      <c r="H118" s="170">
        <v>15</v>
      </c>
      <c r="J118" s="240">
        <v>17</v>
      </c>
      <c r="K118" s="213">
        <f t="shared" si="4"/>
        <v>11.76470588235294</v>
      </c>
      <c r="L118" s="213">
        <f t="shared" si="4"/>
        <v>88.235294117647058</v>
      </c>
      <c r="M118" s="213">
        <f t="shared" si="4"/>
        <v>0</v>
      </c>
      <c r="N118" s="234">
        <f t="shared" si="5"/>
        <v>100</v>
      </c>
      <c r="O118" s="212"/>
      <c r="P118" s="213">
        <v>59.1</v>
      </c>
      <c r="Q118" s="213"/>
      <c r="R118" s="214">
        <f t="shared" si="6"/>
        <v>59.1</v>
      </c>
      <c r="S118" s="170">
        <v>1</v>
      </c>
      <c r="T118" s="283"/>
      <c r="U118" s="281">
        <v>39833</v>
      </c>
      <c r="V118" s="177" t="s">
        <v>130</v>
      </c>
      <c r="W118" s="170" t="s">
        <v>22</v>
      </c>
      <c r="X118" s="170" t="s">
        <v>18</v>
      </c>
      <c r="Y118" s="178">
        <v>59.1</v>
      </c>
      <c r="Z118" s="243"/>
      <c r="AA118" s="243"/>
      <c r="AB118" s="243"/>
      <c r="AC118" s="243"/>
      <c r="AD118" s="177"/>
      <c r="AG118" s="178"/>
      <c r="AL118" s="177"/>
      <c r="AO118" s="178"/>
      <c r="AP118" s="177"/>
      <c r="AS118" s="178"/>
      <c r="AW118" s="178"/>
      <c r="BA118" s="179"/>
    </row>
    <row r="119" spans="1:53" s="170" customFormat="1" x14ac:dyDescent="0.15">
      <c r="A119" s="170">
        <v>2010</v>
      </c>
      <c r="B119" s="281"/>
      <c r="C119" s="395" t="s">
        <v>584</v>
      </c>
      <c r="D119" s="395"/>
      <c r="E119" s="170">
        <v>305</v>
      </c>
      <c r="G119" s="232">
        <v>2</v>
      </c>
      <c r="H119" s="170">
        <v>15</v>
      </c>
      <c r="J119" s="240">
        <v>17</v>
      </c>
      <c r="K119" s="213">
        <f t="shared" si="4"/>
        <v>11.76470588235294</v>
      </c>
      <c r="L119" s="213">
        <f t="shared" si="4"/>
        <v>88.235294117647058</v>
      </c>
      <c r="M119" s="213">
        <f t="shared" si="4"/>
        <v>0</v>
      </c>
      <c r="N119" s="234">
        <f t="shared" si="5"/>
        <v>100</v>
      </c>
      <c r="O119" s="212"/>
      <c r="P119" s="213">
        <v>59.1</v>
      </c>
      <c r="Q119" s="213"/>
      <c r="R119" s="214">
        <f t="shared" si="6"/>
        <v>59.1</v>
      </c>
      <c r="S119" s="170">
        <v>1</v>
      </c>
      <c r="T119" s="283"/>
      <c r="U119" s="281"/>
      <c r="V119" s="177" t="s">
        <v>130</v>
      </c>
      <c r="W119" s="170" t="s">
        <v>22</v>
      </c>
      <c r="X119" s="170" t="s">
        <v>18</v>
      </c>
      <c r="Y119" s="178">
        <v>59.1</v>
      </c>
      <c r="Z119" s="243"/>
      <c r="AA119" s="243"/>
      <c r="AB119" s="243"/>
      <c r="AC119" s="243"/>
      <c r="AD119" s="177"/>
      <c r="AG119" s="178"/>
      <c r="AL119" s="177"/>
      <c r="AO119" s="178"/>
      <c r="AP119" s="177"/>
      <c r="AS119" s="178"/>
      <c r="AW119" s="178"/>
      <c r="BA119" s="179"/>
    </row>
    <row r="120" spans="1:53" s="170" customFormat="1" x14ac:dyDescent="0.15">
      <c r="A120" s="170">
        <v>2010</v>
      </c>
      <c r="B120" s="303">
        <v>40484</v>
      </c>
      <c r="C120" s="395" t="s">
        <v>584</v>
      </c>
      <c r="D120" s="395"/>
      <c r="E120" s="170">
        <v>60</v>
      </c>
      <c r="F120" s="243" t="s">
        <v>327</v>
      </c>
      <c r="G120" s="232">
        <v>2</v>
      </c>
      <c r="H120" s="170">
        <v>15</v>
      </c>
      <c r="J120" s="240">
        <v>17</v>
      </c>
      <c r="K120" s="213">
        <f t="shared" ref="K120:M124" si="7">G120/$J120*100</f>
        <v>11.76470588235294</v>
      </c>
      <c r="L120" s="213">
        <f t="shared" si="7"/>
        <v>88.235294117647058</v>
      </c>
      <c r="M120" s="213">
        <f t="shared" si="7"/>
        <v>0</v>
      </c>
      <c r="N120" s="234">
        <f t="shared" ref="N120:N125" si="8">K120+L120+M120</f>
        <v>100</v>
      </c>
      <c r="O120" s="212"/>
      <c r="P120" s="213">
        <v>44.4</v>
      </c>
      <c r="Q120" s="213"/>
      <c r="R120" s="214">
        <f t="shared" si="6"/>
        <v>44.4</v>
      </c>
      <c r="S120" s="170">
        <v>1</v>
      </c>
      <c r="T120" s="283">
        <v>40484</v>
      </c>
      <c r="U120" s="281"/>
      <c r="V120" s="177" t="s">
        <v>130</v>
      </c>
      <c r="W120" s="170" t="s">
        <v>22</v>
      </c>
      <c r="X120" s="170" t="s">
        <v>18</v>
      </c>
      <c r="Y120" s="178">
        <v>44.4</v>
      </c>
      <c r="Z120" s="243"/>
      <c r="AA120" s="243"/>
      <c r="AB120" s="243"/>
      <c r="AC120" s="243"/>
      <c r="AD120" s="177"/>
      <c r="AG120" s="178"/>
      <c r="AL120" s="177"/>
      <c r="AO120" s="178"/>
      <c r="AP120" s="177"/>
      <c r="AS120" s="178"/>
      <c r="AW120" s="178"/>
      <c r="BA120" s="179"/>
    </row>
    <row r="121" spans="1:53" s="170" customFormat="1" x14ac:dyDescent="0.15">
      <c r="A121" s="170">
        <v>2011</v>
      </c>
      <c r="B121" s="281"/>
      <c r="C121" s="395" t="s">
        <v>584</v>
      </c>
      <c r="D121" s="395"/>
      <c r="E121" s="170">
        <v>181</v>
      </c>
      <c r="G121" s="232">
        <v>2</v>
      </c>
      <c r="H121" s="170">
        <v>15</v>
      </c>
      <c r="J121" s="240">
        <v>17</v>
      </c>
      <c r="K121" s="213">
        <f t="shared" si="7"/>
        <v>11.76470588235294</v>
      </c>
      <c r="L121" s="213">
        <f t="shared" si="7"/>
        <v>88.235294117647058</v>
      </c>
      <c r="M121" s="213">
        <f t="shared" si="7"/>
        <v>0</v>
      </c>
      <c r="N121" s="234">
        <f t="shared" si="8"/>
        <v>100</v>
      </c>
      <c r="O121" s="212"/>
      <c r="P121" s="213">
        <v>44.4</v>
      </c>
      <c r="Q121" s="213"/>
      <c r="R121" s="214">
        <f t="shared" si="6"/>
        <v>44.4</v>
      </c>
      <c r="S121" s="170">
        <v>1</v>
      </c>
      <c r="T121" s="283"/>
      <c r="U121" s="281"/>
      <c r="V121" s="177" t="s">
        <v>130</v>
      </c>
      <c r="W121" s="170" t="s">
        <v>22</v>
      </c>
      <c r="X121" s="170" t="s">
        <v>18</v>
      </c>
      <c r="Y121" s="178">
        <v>44.4</v>
      </c>
      <c r="Z121" s="243"/>
      <c r="AA121" s="243"/>
      <c r="AB121" s="243"/>
      <c r="AC121" s="243"/>
      <c r="AD121" s="177"/>
      <c r="AG121" s="178"/>
      <c r="AL121" s="177"/>
      <c r="AO121" s="178"/>
      <c r="AP121" s="177"/>
      <c r="AS121" s="178"/>
      <c r="AW121" s="178"/>
      <c r="BA121" s="179"/>
    </row>
    <row r="122" spans="1:53" s="170" customFormat="1" x14ac:dyDescent="0.15">
      <c r="A122" s="170">
        <v>2011</v>
      </c>
      <c r="B122" s="303">
        <v>40725</v>
      </c>
      <c r="C122" s="395" t="s">
        <v>584</v>
      </c>
      <c r="D122" s="395"/>
      <c r="E122" s="170">
        <v>184</v>
      </c>
      <c r="F122" s="243">
        <v>0</v>
      </c>
      <c r="G122" s="232">
        <v>1</v>
      </c>
      <c r="H122" s="170">
        <v>16</v>
      </c>
      <c r="J122" s="240">
        <v>17</v>
      </c>
      <c r="K122" s="213">
        <f t="shared" si="7"/>
        <v>5.8823529411764701</v>
      </c>
      <c r="L122" s="213">
        <f t="shared" si="7"/>
        <v>94.117647058823522</v>
      </c>
      <c r="M122" s="213">
        <f t="shared" si="7"/>
        <v>0</v>
      </c>
      <c r="N122" s="234">
        <f t="shared" si="8"/>
        <v>99.999999999999986</v>
      </c>
      <c r="O122" s="212"/>
      <c r="P122" s="213">
        <v>44.4</v>
      </c>
      <c r="Q122" s="213"/>
      <c r="R122" s="214">
        <f t="shared" si="6"/>
        <v>44.4</v>
      </c>
      <c r="S122" s="170">
        <v>1</v>
      </c>
      <c r="T122" s="283"/>
      <c r="U122" s="281"/>
      <c r="V122" s="177" t="s">
        <v>130</v>
      </c>
      <c r="W122" s="170" t="s">
        <v>22</v>
      </c>
      <c r="X122" s="170" t="s">
        <v>18</v>
      </c>
      <c r="Y122" s="178">
        <v>44.4</v>
      </c>
      <c r="Z122" s="243"/>
      <c r="AA122" s="243"/>
      <c r="AB122" s="243"/>
      <c r="AC122" s="243"/>
      <c r="AD122" s="177"/>
      <c r="AG122" s="178"/>
      <c r="AL122" s="177"/>
      <c r="AO122" s="178"/>
      <c r="AP122" s="177"/>
      <c r="AS122" s="178"/>
      <c r="AW122" s="178"/>
      <c r="BA122" s="179"/>
    </row>
    <row r="123" spans="1:53" s="170" customFormat="1" x14ac:dyDescent="0.15">
      <c r="A123" s="170">
        <v>2012</v>
      </c>
      <c r="B123" s="281"/>
      <c r="C123" s="395" t="s">
        <v>584</v>
      </c>
      <c r="D123" s="395"/>
      <c r="E123" s="170">
        <v>310</v>
      </c>
      <c r="G123" s="232">
        <v>1</v>
      </c>
      <c r="H123" s="170">
        <v>16</v>
      </c>
      <c r="J123" s="240">
        <v>17</v>
      </c>
      <c r="K123" s="213">
        <f t="shared" si="7"/>
        <v>5.8823529411764701</v>
      </c>
      <c r="L123" s="213">
        <f t="shared" si="7"/>
        <v>94.117647058823522</v>
      </c>
      <c r="M123" s="213">
        <f t="shared" si="7"/>
        <v>0</v>
      </c>
      <c r="N123" s="234">
        <f t="shared" si="8"/>
        <v>99.999999999999986</v>
      </c>
      <c r="O123" s="212"/>
      <c r="P123" s="213">
        <v>44.4</v>
      </c>
      <c r="Q123" s="213"/>
      <c r="R123" s="214">
        <f t="shared" si="6"/>
        <v>44.4</v>
      </c>
      <c r="S123" s="170">
        <v>1</v>
      </c>
      <c r="T123" s="283"/>
      <c r="U123" s="281"/>
      <c r="V123" s="177" t="s">
        <v>130</v>
      </c>
      <c r="W123" s="170" t="s">
        <v>22</v>
      </c>
      <c r="X123" s="170" t="s">
        <v>18</v>
      </c>
      <c r="Y123" s="178">
        <v>44.4</v>
      </c>
      <c r="Z123" s="243"/>
      <c r="AA123" s="243"/>
      <c r="AB123" s="243"/>
      <c r="AC123" s="243"/>
      <c r="AD123" s="177"/>
      <c r="AG123" s="178"/>
      <c r="AL123" s="177"/>
      <c r="AO123" s="178"/>
      <c r="AP123" s="177"/>
      <c r="AS123" s="178"/>
      <c r="AW123" s="178"/>
      <c r="BA123" s="179"/>
    </row>
    <row r="124" spans="1:53" s="170" customFormat="1" x14ac:dyDescent="0.15">
      <c r="A124" s="170">
        <v>2012</v>
      </c>
      <c r="B124" s="303">
        <v>41219</v>
      </c>
      <c r="C124" s="395" t="s">
        <v>584</v>
      </c>
      <c r="D124" s="395"/>
      <c r="E124" s="170">
        <v>56</v>
      </c>
      <c r="F124" s="243" t="s">
        <v>327</v>
      </c>
      <c r="G124" s="232">
        <v>1</v>
      </c>
      <c r="H124" s="170">
        <v>16</v>
      </c>
      <c r="J124" s="240">
        <v>17</v>
      </c>
      <c r="K124" s="213">
        <f t="shared" si="7"/>
        <v>5.8823529411764701</v>
      </c>
      <c r="L124" s="213">
        <f t="shared" si="7"/>
        <v>94.117647058823522</v>
      </c>
      <c r="M124" s="213">
        <f t="shared" si="7"/>
        <v>0</v>
      </c>
      <c r="N124" s="234">
        <f t="shared" si="8"/>
        <v>99.999999999999986</v>
      </c>
      <c r="O124" s="212"/>
      <c r="P124" s="213">
        <v>46.2</v>
      </c>
      <c r="Q124" s="213"/>
      <c r="R124" s="214">
        <f t="shared" si="6"/>
        <v>46.2</v>
      </c>
      <c r="S124" s="170">
        <v>1</v>
      </c>
      <c r="T124" s="283">
        <v>41219</v>
      </c>
      <c r="U124" s="281"/>
      <c r="V124" s="177" t="s">
        <v>130</v>
      </c>
      <c r="W124" s="170" t="s">
        <v>22</v>
      </c>
      <c r="X124" s="170" t="s">
        <v>18</v>
      </c>
      <c r="Y124" s="178">
        <v>46.2</v>
      </c>
      <c r="Z124" s="243"/>
      <c r="AA124" s="243"/>
      <c r="AB124" s="243"/>
      <c r="AC124" s="243"/>
      <c r="AD124" s="177"/>
      <c r="AG124" s="178"/>
      <c r="AL124" s="177"/>
      <c r="AO124" s="178"/>
      <c r="AP124" s="177"/>
      <c r="AS124" s="178"/>
      <c r="AW124" s="178"/>
      <c r="BA124" s="179"/>
    </row>
    <row r="125" spans="1:53" s="170" customFormat="1" x14ac:dyDescent="0.15">
      <c r="A125" s="170">
        <v>2013</v>
      </c>
      <c r="B125" s="303"/>
      <c r="C125" s="395" t="s">
        <v>584</v>
      </c>
      <c r="D125" s="395"/>
      <c r="E125" s="170">
        <v>19</v>
      </c>
      <c r="F125" s="243"/>
      <c r="G125" s="232">
        <v>1</v>
      </c>
      <c r="H125" s="170">
        <v>16</v>
      </c>
      <c r="J125" s="240">
        <v>17</v>
      </c>
      <c r="K125" s="213">
        <f t="shared" ref="K125:M125" si="9">G125/$J125*100</f>
        <v>5.8823529411764701</v>
      </c>
      <c r="L125" s="213">
        <f t="shared" si="9"/>
        <v>94.117647058823522</v>
      </c>
      <c r="M125" s="213">
        <f t="shared" si="9"/>
        <v>0</v>
      </c>
      <c r="N125" s="234">
        <f t="shared" si="8"/>
        <v>99.999999999999986</v>
      </c>
      <c r="O125" s="212"/>
      <c r="P125" s="213">
        <v>46.2</v>
      </c>
      <c r="Q125" s="213"/>
      <c r="R125" s="214">
        <f t="shared" si="6"/>
        <v>46.2</v>
      </c>
      <c r="S125" s="170">
        <v>1</v>
      </c>
      <c r="T125" s="283"/>
      <c r="U125" s="281"/>
      <c r="V125" s="177" t="s">
        <v>130</v>
      </c>
      <c r="W125" s="170" t="s">
        <v>22</v>
      </c>
      <c r="X125" s="170" t="s">
        <v>18</v>
      </c>
      <c r="Y125" s="178">
        <v>46.2</v>
      </c>
      <c r="Z125" s="243"/>
      <c r="AA125" s="243"/>
      <c r="AB125" s="243"/>
      <c r="AC125" s="243"/>
      <c r="AD125" s="177"/>
      <c r="AG125" s="178"/>
      <c r="AL125" s="177"/>
      <c r="AO125" s="178"/>
      <c r="AP125" s="177"/>
      <c r="AS125" s="178"/>
      <c r="AW125" s="178"/>
      <c r="BA125" s="179"/>
    </row>
    <row r="126" spans="1:53" s="28" customFormat="1" x14ac:dyDescent="0.15">
      <c r="A126" s="28">
        <v>2013</v>
      </c>
      <c r="B126" s="293">
        <v>41294</v>
      </c>
      <c r="C126" s="394" t="s">
        <v>1247</v>
      </c>
      <c r="D126" s="394"/>
      <c r="E126" s="28">
        <f>365-E125</f>
        <v>346</v>
      </c>
      <c r="F126" s="28">
        <v>1</v>
      </c>
      <c r="G126" s="65">
        <v>1</v>
      </c>
      <c r="H126" s="28">
        <v>16</v>
      </c>
      <c r="J126" s="72">
        <v>17</v>
      </c>
      <c r="K126" s="46">
        <f t="shared" ref="K126:K139" si="10">G126/$J126*100</f>
        <v>5.8823529411764701</v>
      </c>
      <c r="L126" s="46">
        <f t="shared" ref="L126:L139" si="11">H126/$J126*100</f>
        <v>94.117647058823522</v>
      </c>
      <c r="M126" s="46">
        <f t="shared" ref="M126:M139" si="12">I126/$J126*100</f>
        <v>0</v>
      </c>
      <c r="N126" s="67">
        <f t="shared" ref="N126:N139" si="13">K126+L126+M126</f>
        <v>99.999999999999986</v>
      </c>
      <c r="O126" s="45"/>
      <c r="P126" s="46">
        <v>46.2</v>
      </c>
      <c r="Q126" s="46"/>
      <c r="R126" s="47">
        <f t="shared" si="6"/>
        <v>46.2</v>
      </c>
      <c r="S126" s="28">
        <v>1</v>
      </c>
      <c r="T126" s="284"/>
      <c r="U126" s="293">
        <v>41294</v>
      </c>
      <c r="V126" s="37" t="s">
        <v>130</v>
      </c>
      <c r="W126" s="28" t="s">
        <v>22</v>
      </c>
      <c r="X126" s="28" t="s">
        <v>18</v>
      </c>
      <c r="Y126" s="38">
        <v>46.2</v>
      </c>
      <c r="Z126" s="83"/>
      <c r="AA126" s="83"/>
      <c r="AB126" s="83"/>
      <c r="AC126" s="83"/>
      <c r="AD126" s="37"/>
      <c r="AG126" s="38"/>
      <c r="AL126" s="37"/>
      <c r="AO126" s="38"/>
      <c r="AP126" s="37"/>
      <c r="AS126" s="38"/>
      <c r="AW126" s="38"/>
      <c r="BA126" s="39"/>
    </row>
    <row r="127" spans="1:53" s="28" customFormat="1" x14ac:dyDescent="0.15">
      <c r="A127" s="28">
        <v>2014</v>
      </c>
      <c r="B127" s="293"/>
      <c r="C127" s="394" t="s">
        <v>1247</v>
      </c>
      <c r="D127" s="394"/>
      <c r="E127" s="28">
        <v>209</v>
      </c>
      <c r="G127" s="65">
        <v>1</v>
      </c>
      <c r="H127" s="28">
        <v>16</v>
      </c>
      <c r="J127" s="72">
        <v>17</v>
      </c>
      <c r="K127" s="46">
        <f t="shared" si="10"/>
        <v>5.8823529411764701</v>
      </c>
      <c r="L127" s="46">
        <f t="shared" si="11"/>
        <v>94.117647058823522</v>
      </c>
      <c r="M127" s="46">
        <f t="shared" si="12"/>
        <v>0</v>
      </c>
      <c r="N127" s="67">
        <f t="shared" si="13"/>
        <v>99.999999999999986</v>
      </c>
      <c r="O127" s="45"/>
      <c r="P127" s="46">
        <v>46.2</v>
      </c>
      <c r="Q127" s="46"/>
      <c r="R127" s="47">
        <f t="shared" si="6"/>
        <v>46.2</v>
      </c>
      <c r="S127" s="28">
        <v>1</v>
      </c>
      <c r="T127" s="284"/>
      <c r="U127" s="293"/>
      <c r="V127" s="37" t="s">
        <v>130</v>
      </c>
      <c r="W127" s="28" t="s">
        <v>22</v>
      </c>
      <c r="X127" s="28" t="s">
        <v>18</v>
      </c>
      <c r="Y127" s="38">
        <v>46.2</v>
      </c>
      <c r="Z127" s="83"/>
      <c r="AA127" s="83"/>
      <c r="AB127" s="83"/>
      <c r="AC127" s="83"/>
      <c r="AD127" s="37"/>
      <c r="AG127" s="38"/>
      <c r="AL127" s="37"/>
      <c r="AO127" s="38"/>
      <c r="AP127" s="37"/>
      <c r="AS127" s="38"/>
      <c r="AW127" s="38"/>
      <c r="BA127" s="39"/>
    </row>
    <row r="128" spans="1:53" s="28" customFormat="1" x14ac:dyDescent="0.15">
      <c r="A128" s="28">
        <v>2014</v>
      </c>
      <c r="B128" s="301">
        <v>41849</v>
      </c>
      <c r="C128" s="394" t="s">
        <v>1247</v>
      </c>
      <c r="D128" s="394"/>
      <c r="E128" s="28">
        <v>98</v>
      </c>
      <c r="F128" s="83">
        <v>0</v>
      </c>
      <c r="G128" s="65">
        <v>2</v>
      </c>
      <c r="H128" s="28">
        <v>15</v>
      </c>
      <c r="J128" s="72">
        <v>17</v>
      </c>
      <c r="K128" s="46">
        <f t="shared" si="10"/>
        <v>11.76470588235294</v>
      </c>
      <c r="L128" s="46">
        <f t="shared" si="11"/>
        <v>88.235294117647058</v>
      </c>
      <c r="M128" s="46">
        <f t="shared" si="12"/>
        <v>0</v>
      </c>
      <c r="N128" s="67">
        <f t="shared" si="13"/>
        <v>100</v>
      </c>
      <c r="O128" s="45"/>
      <c r="P128" s="46">
        <v>46.2</v>
      </c>
      <c r="Q128" s="46"/>
      <c r="R128" s="47">
        <f t="shared" si="6"/>
        <v>46.2</v>
      </c>
      <c r="S128" s="28">
        <v>1</v>
      </c>
      <c r="T128" s="284"/>
      <c r="U128" s="293"/>
      <c r="V128" s="37" t="s">
        <v>130</v>
      </c>
      <c r="W128" s="28" t="s">
        <v>22</v>
      </c>
      <c r="X128" s="28" t="s">
        <v>18</v>
      </c>
      <c r="Y128" s="38">
        <v>46.2</v>
      </c>
      <c r="Z128" s="83"/>
      <c r="AA128" s="83"/>
      <c r="AB128" s="83"/>
      <c r="AC128" s="83"/>
      <c r="AD128" s="37"/>
      <c r="AG128" s="38"/>
      <c r="AL128" s="37"/>
      <c r="AO128" s="38"/>
      <c r="AP128" s="37"/>
      <c r="AS128" s="38"/>
      <c r="AW128" s="38"/>
      <c r="BA128" s="39"/>
    </row>
    <row r="129" spans="1:53" s="28" customFormat="1" x14ac:dyDescent="0.15">
      <c r="A129" s="28">
        <v>2014</v>
      </c>
      <c r="B129" s="301">
        <v>41947</v>
      </c>
      <c r="C129" s="394" t="s">
        <v>1247</v>
      </c>
      <c r="D129" s="394"/>
      <c r="E129" s="28">
        <v>58</v>
      </c>
      <c r="F129" s="83" t="s">
        <v>327</v>
      </c>
      <c r="G129" s="65">
        <v>2</v>
      </c>
      <c r="H129" s="28">
        <v>15</v>
      </c>
      <c r="J129" s="72">
        <v>17</v>
      </c>
      <c r="K129" s="46">
        <f t="shared" si="10"/>
        <v>11.76470588235294</v>
      </c>
      <c r="L129" s="46">
        <f t="shared" si="11"/>
        <v>88.235294117647058</v>
      </c>
      <c r="M129" s="46">
        <f t="shared" si="12"/>
        <v>0</v>
      </c>
      <c r="N129" s="67">
        <f t="shared" si="13"/>
        <v>100</v>
      </c>
      <c r="O129" s="45"/>
      <c r="P129" s="46">
        <v>43.2</v>
      </c>
      <c r="Q129" s="46"/>
      <c r="R129" s="47">
        <f t="shared" si="6"/>
        <v>43.2</v>
      </c>
      <c r="S129" s="28">
        <v>1</v>
      </c>
      <c r="T129" s="284">
        <v>41947</v>
      </c>
      <c r="U129" s="293"/>
      <c r="V129" s="37" t="s">
        <v>130</v>
      </c>
      <c r="W129" s="28" t="s">
        <v>22</v>
      </c>
      <c r="X129" s="28" t="s">
        <v>18</v>
      </c>
      <c r="Y129" s="38">
        <v>43.2</v>
      </c>
      <c r="Z129" s="83"/>
      <c r="AA129" s="83"/>
      <c r="AB129" s="83"/>
      <c r="AC129" s="83"/>
      <c r="AD129" s="37"/>
      <c r="AG129" s="38"/>
      <c r="AL129" s="37"/>
      <c r="AO129" s="38"/>
      <c r="AP129" s="37"/>
      <c r="AS129" s="38"/>
      <c r="AW129" s="38"/>
      <c r="BA129" s="39"/>
    </row>
    <row r="130" spans="1:53" s="28" customFormat="1" x14ac:dyDescent="0.15">
      <c r="A130" s="28">
        <v>2015</v>
      </c>
      <c r="B130" s="301"/>
      <c r="C130" s="394" t="s">
        <v>1247</v>
      </c>
      <c r="D130" s="394"/>
      <c r="E130" s="28">
        <v>42</v>
      </c>
      <c r="F130" s="83"/>
      <c r="G130" s="65">
        <v>2</v>
      </c>
      <c r="H130" s="28">
        <v>15</v>
      </c>
      <c r="J130" s="72">
        <v>17</v>
      </c>
      <c r="K130" s="46">
        <f t="shared" si="10"/>
        <v>11.76470588235294</v>
      </c>
      <c r="L130" s="46">
        <f t="shared" si="11"/>
        <v>88.235294117647058</v>
      </c>
      <c r="M130" s="46">
        <f t="shared" si="12"/>
        <v>0</v>
      </c>
      <c r="N130" s="67">
        <f t="shared" si="13"/>
        <v>100</v>
      </c>
      <c r="O130" s="45"/>
      <c r="P130" s="46">
        <v>43.2</v>
      </c>
      <c r="Q130" s="46"/>
      <c r="R130" s="47">
        <f t="shared" si="6"/>
        <v>43.2</v>
      </c>
      <c r="S130" s="28">
        <v>1</v>
      </c>
      <c r="T130" s="284"/>
      <c r="U130" s="293"/>
      <c r="V130" s="37" t="s">
        <v>130</v>
      </c>
      <c r="W130" s="28" t="s">
        <v>22</v>
      </c>
      <c r="X130" s="28" t="s">
        <v>18</v>
      </c>
      <c r="Y130" s="38">
        <v>43.2</v>
      </c>
      <c r="Z130" s="83"/>
      <c r="AA130" s="83"/>
      <c r="AB130" s="83"/>
      <c r="AC130" s="83"/>
      <c r="AD130" s="37"/>
      <c r="AG130" s="38"/>
      <c r="AL130" s="37"/>
      <c r="AO130" s="38"/>
      <c r="AP130" s="37"/>
      <c r="AS130" s="38"/>
      <c r="AW130" s="38"/>
      <c r="BA130" s="39"/>
    </row>
    <row r="131" spans="1:53" s="28" customFormat="1" x14ac:dyDescent="0.15">
      <c r="A131" s="28">
        <v>2015</v>
      </c>
      <c r="B131" s="301">
        <v>42047</v>
      </c>
      <c r="C131" s="394" t="s">
        <v>1247</v>
      </c>
      <c r="D131" s="394"/>
      <c r="E131" s="28">
        <v>323</v>
      </c>
      <c r="F131" s="83">
        <v>0</v>
      </c>
      <c r="G131" s="65">
        <v>1</v>
      </c>
      <c r="H131" s="28">
        <v>16</v>
      </c>
      <c r="J131" s="72">
        <v>17</v>
      </c>
      <c r="K131" s="46">
        <f t="shared" si="10"/>
        <v>5.8823529411764701</v>
      </c>
      <c r="L131" s="46">
        <f t="shared" si="11"/>
        <v>94.117647058823522</v>
      </c>
      <c r="M131" s="46">
        <f t="shared" si="12"/>
        <v>0</v>
      </c>
      <c r="N131" s="67">
        <f t="shared" si="13"/>
        <v>99.999999999999986</v>
      </c>
      <c r="O131" s="45"/>
      <c r="P131" s="46">
        <v>43.2</v>
      </c>
      <c r="Q131" s="46"/>
      <c r="R131" s="47">
        <f t="shared" si="6"/>
        <v>43.2</v>
      </c>
      <c r="S131" s="28">
        <v>1</v>
      </c>
      <c r="T131" s="284"/>
      <c r="U131" s="293"/>
      <c r="V131" s="37" t="s">
        <v>130</v>
      </c>
      <c r="W131" s="28" t="s">
        <v>22</v>
      </c>
      <c r="X131" s="28" t="s">
        <v>18</v>
      </c>
      <c r="Y131" s="38">
        <v>43.2</v>
      </c>
      <c r="Z131" s="83"/>
      <c r="AA131" s="83"/>
      <c r="AB131" s="83"/>
      <c r="AC131" s="83"/>
      <c r="AD131" s="37"/>
      <c r="AG131" s="38"/>
      <c r="AL131" s="37"/>
      <c r="AO131" s="38"/>
      <c r="AP131" s="37"/>
      <c r="AS131" s="38"/>
      <c r="AW131" s="38"/>
      <c r="BA131" s="39"/>
    </row>
    <row r="132" spans="1:53" s="28" customFormat="1" x14ac:dyDescent="0.15">
      <c r="A132" s="28">
        <v>2016</v>
      </c>
      <c r="B132" s="301"/>
      <c r="C132" s="394" t="s">
        <v>1247</v>
      </c>
      <c r="D132" s="394"/>
      <c r="E132" s="28">
        <v>0</v>
      </c>
      <c r="F132" s="83"/>
      <c r="G132" s="65">
        <v>1</v>
      </c>
      <c r="H132" s="28">
        <v>16</v>
      </c>
      <c r="J132" s="72">
        <v>17</v>
      </c>
      <c r="K132" s="46">
        <f t="shared" si="10"/>
        <v>5.8823529411764701</v>
      </c>
      <c r="L132" s="46">
        <f t="shared" si="11"/>
        <v>94.117647058823522</v>
      </c>
      <c r="M132" s="46">
        <f t="shared" si="12"/>
        <v>0</v>
      </c>
      <c r="N132" s="67">
        <f t="shared" si="13"/>
        <v>99.999999999999986</v>
      </c>
      <c r="O132" s="45"/>
      <c r="P132" s="46">
        <v>43.2</v>
      </c>
      <c r="Q132" s="46"/>
      <c r="R132" s="47">
        <f t="shared" si="6"/>
        <v>43.2</v>
      </c>
      <c r="S132" s="28">
        <v>1</v>
      </c>
      <c r="T132" s="284"/>
      <c r="U132" s="293"/>
      <c r="V132" s="37" t="s">
        <v>130</v>
      </c>
      <c r="W132" s="28" t="s">
        <v>22</v>
      </c>
      <c r="X132" s="28" t="s">
        <v>18</v>
      </c>
      <c r="Y132" s="38">
        <v>43.2</v>
      </c>
      <c r="Z132" s="83"/>
      <c r="AA132" s="83"/>
      <c r="AB132" s="83"/>
      <c r="AC132" s="83"/>
      <c r="AD132" s="37"/>
      <c r="AG132" s="38"/>
      <c r="AL132" s="37"/>
      <c r="AO132" s="38"/>
      <c r="AP132" s="37"/>
      <c r="AS132" s="38"/>
      <c r="AW132" s="38"/>
      <c r="BA132" s="39"/>
    </row>
    <row r="133" spans="1:53" s="28" customFormat="1" x14ac:dyDescent="0.15">
      <c r="A133" s="28">
        <v>2016</v>
      </c>
      <c r="B133" s="301"/>
      <c r="C133" s="394" t="s">
        <v>1247</v>
      </c>
      <c r="D133" s="394"/>
      <c r="E133" s="28">
        <v>366</v>
      </c>
      <c r="F133" s="83"/>
      <c r="G133" s="65">
        <v>1</v>
      </c>
      <c r="H133" s="28">
        <v>16</v>
      </c>
      <c r="J133" s="72">
        <v>17</v>
      </c>
      <c r="K133" s="46">
        <f t="shared" si="10"/>
        <v>5.8823529411764701</v>
      </c>
      <c r="L133" s="46">
        <f t="shared" si="11"/>
        <v>94.117647058823522</v>
      </c>
      <c r="M133" s="46">
        <f t="shared" si="12"/>
        <v>0</v>
      </c>
      <c r="N133" s="67">
        <f t="shared" si="13"/>
        <v>99.999999999999986</v>
      </c>
      <c r="O133" s="45"/>
      <c r="P133" s="46">
        <v>44.6</v>
      </c>
      <c r="Q133" s="46"/>
      <c r="R133" s="47">
        <f t="shared" si="6"/>
        <v>44.6</v>
      </c>
      <c r="S133" s="28">
        <v>1</v>
      </c>
      <c r="T133" s="284">
        <v>42682</v>
      </c>
      <c r="U133" s="293"/>
      <c r="V133" s="37" t="s">
        <v>130</v>
      </c>
      <c r="W133" s="28" t="s">
        <v>22</v>
      </c>
      <c r="X133" s="28" t="s">
        <v>18</v>
      </c>
      <c r="Y133" s="38">
        <v>44.6</v>
      </c>
      <c r="Z133" s="83"/>
      <c r="AA133" s="83"/>
      <c r="AB133" s="83"/>
      <c r="AC133" s="83"/>
      <c r="AD133" s="37"/>
      <c r="AG133" s="38"/>
      <c r="AL133" s="37"/>
      <c r="AO133" s="38"/>
      <c r="AP133" s="37"/>
      <c r="AS133" s="38"/>
      <c r="AW133" s="38"/>
      <c r="BA133" s="39"/>
    </row>
    <row r="134" spans="1:53" s="28" customFormat="1" x14ac:dyDescent="0.15">
      <c r="A134" s="28">
        <v>2017</v>
      </c>
      <c r="B134" s="301"/>
      <c r="C134" s="394" t="s">
        <v>1247</v>
      </c>
      <c r="D134" s="394"/>
      <c r="E134" s="28">
        <v>19</v>
      </c>
      <c r="F134" s="83"/>
      <c r="G134" s="65">
        <v>1</v>
      </c>
      <c r="H134" s="28">
        <v>16</v>
      </c>
      <c r="J134" s="72">
        <v>17</v>
      </c>
      <c r="K134" s="46">
        <f t="shared" si="10"/>
        <v>5.8823529411764701</v>
      </c>
      <c r="L134" s="46">
        <f t="shared" si="11"/>
        <v>94.117647058823522</v>
      </c>
      <c r="M134" s="46">
        <f t="shared" si="12"/>
        <v>0</v>
      </c>
      <c r="N134" s="67">
        <f t="shared" si="13"/>
        <v>99.999999999999986</v>
      </c>
      <c r="O134" s="45"/>
      <c r="P134" s="46">
        <v>44.6</v>
      </c>
      <c r="Q134" s="46"/>
      <c r="R134" s="47">
        <f t="shared" si="6"/>
        <v>44.6</v>
      </c>
      <c r="S134" s="28">
        <v>1</v>
      </c>
      <c r="T134" s="284"/>
      <c r="U134" s="293"/>
      <c r="V134" s="37" t="s">
        <v>130</v>
      </c>
      <c r="W134" s="28" t="s">
        <v>22</v>
      </c>
      <c r="X134" s="28" t="s">
        <v>18</v>
      </c>
      <c r="Y134" s="38">
        <v>44.6</v>
      </c>
      <c r="Z134" s="83"/>
      <c r="AA134" s="83"/>
      <c r="AB134" s="83"/>
      <c r="AC134" s="83"/>
      <c r="AD134" s="37"/>
      <c r="AG134" s="38"/>
      <c r="AL134" s="37"/>
      <c r="AO134" s="38"/>
      <c r="AP134" s="37"/>
      <c r="AS134" s="38"/>
      <c r="AW134" s="38"/>
      <c r="BA134" s="39"/>
    </row>
    <row r="135" spans="1:53" s="170" customFormat="1" x14ac:dyDescent="0.15">
      <c r="A135" s="170">
        <v>2017</v>
      </c>
      <c r="B135" s="281">
        <v>42755</v>
      </c>
      <c r="C135" s="395" t="s">
        <v>1384</v>
      </c>
      <c r="D135" s="395"/>
      <c r="E135" s="170">
        <v>192</v>
      </c>
      <c r="F135" s="170">
        <v>1</v>
      </c>
      <c r="G135" s="232">
        <v>15</v>
      </c>
      <c r="J135" s="240">
        <v>17</v>
      </c>
      <c r="K135" s="213">
        <f t="shared" si="10"/>
        <v>88.235294117647058</v>
      </c>
      <c r="L135" s="213">
        <f t="shared" si="11"/>
        <v>0</v>
      </c>
      <c r="M135" s="213">
        <f t="shared" si="12"/>
        <v>0</v>
      </c>
      <c r="N135" s="234">
        <f t="shared" si="13"/>
        <v>88.235294117647058</v>
      </c>
      <c r="O135" s="212">
        <v>55.4</v>
      </c>
      <c r="P135" s="213"/>
      <c r="Q135" s="213"/>
      <c r="R135" s="214">
        <f t="shared" si="6"/>
        <v>55.4</v>
      </c>
      <c r="S135" s="170">
        <v>1</v>
      </c>
      <c r="T135" s="283"/>
      <c r="U135" s="281">
        <v>42755</v>
      </c>
      <c r="V135" s="177" t="s">
        <v>330</v>
      </c>
      <c r="W135" s="170" t="s">
        <v>74</v>
      </c>
      <c r="X135" s="170" t="s">
        <v>11</v>
      </c>
      <c r="Y135" s="178">
        <v>55.4</v>
      </c>
      <c r="Z135" s="243"/>
      <c r="AA135" s="243"/>
      <c r="AB135" s="243"/>
      <c r="AC135" s="243"/>
      <c r="AD135" s="177"/>
      <c r="AG135" s="178"/>
      <c r="AL135" s="177"/>
      <c r="AO135" s="178"/>
      <c r="AP135" s="177"/>
      <c r="AS135" s="178"/>
      <c r="AW135" s="178"/>
      <c r="BA135" s="179"/>
    </row>
    <row r="136" spans="1:53" s="170" customFormat="1" x14ac:dyDescent="0.15">
      <c r="A136" s="170">
        <v>2017</v>
      </c>
      <c r="B136" s="303">
        <v>42947</v>
      </c>
      <c r="C136" s="395" t="s">
        <v>1384</v>
      </c>
      <c r="D136" s="395"/>
      <c r="E136" s="170">
        <v>128</v>
      </c>
      <c r="F136" s="243">
        <v>0</v>
      </c>
      <c r="G136" s="232">
        <v>14</v>
      </c>
      <c r="J136" s="240">
        <v>17</v>
      </c>
      <c r="K136" s="213">
        <f t="shared" si="10"/>
        <v>82.35294117647058</v>
      </c>
      <c r="L136" s="213">
        <f t="shared" si="11"/>
        <v>0</v>
      </c>
      <c r="M136" s="213">
        <f t="shared" si="12"/>
        <v>0</v>
      </c>
      <c r="N136" s="234">
        <f t="shared" si="13"/>
        <v>82.35294117647058</v>
      </c>
      <c r="O136" s="212">
        <v>55.4</v>
      </c>
      <c r="P136" s="213"/>
      <c r="Q136" s="213"/>
      <c r="R136" s="214">
        <f t="shared" si="6"/>
        <v>55.4</v>
      </c>
      <c r="S136" s="170">
        <v>1</v>
      </c>
      <c r="T136" s="283"/>
      <c r="U136" s="281"/>
      <c r="V136" s="177" t="s">
        <v>330</v>
      </c>
      <c r="W136" s="170" t="s">
        <v>74</v>
      </c>
      <c r="X136" s="170" t="s">
        <v>11</v>
      </c>
      <c r="Y136" s="178">
        <v>55.4</v>
      </c>
      <c r="Z136" s="243"/>
      <c r="AA136" s="243"/>
      <c r="AB136" s="243"/>
      <c r="AC136" s="243"/>
      <c r="AD136" s="177"/>
      <c r="AG136" s="178"/>
      <c r="AL136" s="177"/>
      <c r="AO136" s="178"/>
      <c r="AP136" s="177"/>
      <c r="AS136" s="178"/>
      <c r="AW136" s="178"/>
      <c r="BA136" s="179"/>
    </row>
    <row r="137" spans="1:53" s="170" customFormat="1" x14ac:dyDescent="0.15">
      <c r="A137" s="170">
        <v>2017</v>
      </c>
      <c r="B137" s="303">
        <v>43075</v>
      </c>
      <c r="C137" s="395" t="s">
        <v>1384</v>
      </c>
      <c r="D137" s="395"/>
      <c r="E137" s="170">
        <v>26</v>
      </c>
      <c r="F137" s="243">
        <v>0</v>
      </c>
      <c r="G137" s="232">
        <v>15</v>
      </c>
      <c r="J137" s="240">
        <v>17</v>
      </c>
      <c r="K137" s="213">
        <f t="shared" si="10"/>
        <v>88.235294117647058</v>
      </c>
      <c r="L137" s="213">
        <f t="shared" si="11"/>
        <v>0</v>
      </c>
      <c r="M137" s="213">
        <f t="shared" si="12"/>
        <v>0</v>
      </c>
      <c r="N137" s="234">
        <f t="shared" si="13"/>
        <v>88.235294117647058</v>
      </c>
      <c r="O137" s="212">
        <v>55.4</v>
      </c>
      <c r="P137" s="213"/>
      <c r="Q137" s="213"/>
      <c r="R137" s="214">
        <f t="shared" si="6"/>
        <v>55.4</v>
      </c>
      <c r="S137" s="170">
        <v>1</v>
      </c>
      <c r="T137" s="283"/>
      <c r="U137" s="281"/>
      <c r="V137" s="177" t="s">
        <v>330</v>
      </c>
      <c r="W137" s="170" t="s">
        <v>74</v>
      </c>
      <c r="X137" s="170" t="s">
        <v>11</v>
      </c>
      <c r="Y137" s="178">
        <v>55.4</v>
      </c>
      <c r="Z137" s="243"/>
      <c r="AA137" s="243"/>
      <c r="AB137" s="243"/>
      <c r="AC137" s="243"/>
      <c r="AD137" s="177"/>
      <c r="AG137" s="178"/>
      <c r="AL137" s="177"/>
      <c r="AO137" s="178"/>
      <c r="AP137" s="177"/>
      <c r="AS137" s="178"/>
      <c r="AW137" s="178"/>
      <c r="BA137" s="179"/>
    </row>
    <row r="138" spans="1:53" s="170" customFormat="1" x14ac:dyDescent="0.15">
      <c r="A138" s="170">
        <v>2018</v>
      </c>
      <c r="B138" s="303"/>
      <c r="C138" s="395" t="s">
        <v>1403</v>
      </c>
      <c r="D138" s="395"/>
      <c r="E138" s="170">
        <v>86</v>
      </c>
      <c r="F138" s="243"/>
      <c r="G138" s="232">
        <v>15</v>
      </c>
      <c r="J138" s="240">
        <v>17</v>
      </c>
      <c r="K138" s="213">
        <f t="shared" si="10"/>
        <v>88.235294117647058</v>
      </c>
      <c r="L138" s="213">
        <f t="shared" si="11"/>
        <v>0</v>
      </c>
      <c r="M138" s="213">
        <f t="shared" si="12"/>
        <v>0</v>
      </c>
      <c r="N138" s="234">
        <f t="shared" si="13"/>
        <v>88.235294117647058</v>
      </c>
      <c r="O138" s="212">
        <v>55.4</v>
      </c>
      <c r="P138" s="213"/>
      <c r="Q138" s="213"/>
      <c r="R138" s="214">
        <f t="shared" ref="R138" si="14">O138+P138+Q138</f>
        <v>55.4</v>
      </c>
      <c r="S138" s="170">
        <v>1</v>
      </c>
      <c r="T138" s="283"/>
      <c r="U138" s="281"/>
      <c r="V138" s="177" t="s">
        <v>330</v>
      </c>
      <c r="W138" s="170" t="s">
        <v>74</v>
      </c>
      <c r="X138" s="170" t="s">
        <v>11</v>
      </c>
      <c r="Y138" s="178">
        <v>55.4</v>
      </c>
      <c r="Z138" s="243"/>
      <c r="AA138" s="243"/>
      <c r="AB138" s="243"/>
      <c r="AC138" s="243"/>
      <c r="AD138" s="177"/>
      <c r="AG138" s="178"/>
      <c r="AL138" s="177"/>
      <c r="AO138" s="178"/>
      <c r="AP138" s="177"/>
      <c r="AS138" s="178"/>
      <c r="AW138" s="178"/>
      <c r="BA138" s="179"/>
    </row>
    <row r="139" spans="1:53" s="170" customFormat="1" x14ac:dyDescent="0.15">
      <c r="A139" s="170">
        <v>2018</v>
      </c>
      <c r="B139" s="303">
        <v>43187</v>
      </c>
      <c r="C139" s="435" t="s">
        <v>1384</v>
      </c>
      <c r="D139" s="435"/>
      <c r="E139" s="170">
        <v>279</v>
      </c>
      <c r="F139" s="243">
        <v>0</v>
      </c>
      <c r="G139" s="232">
        <v>16</v>
      </c>
      <c r="J139" s="240">
        <v>17</v>
      </c>
      <c r="K139" s="213">
        <f t="shared" si="10"/>
        <v>94.117647058823522</v>
      </c>
      <c r="L139" s="213">
        <f t="shared" si="11"/>
        <v>0</v>
      </c>
      <c r="M139" s="213">
        <f t="shared" si="12"/>
        <v>0</v>
      </c>
      <c r="N139" s="234">
        <f t="shared" si="13"/>
        <v>94.117647058823522</v>
      </c>
      <c r="O139" s="212">
        <v>45.7</v>
      </c>
      <c r="P139" s="213"/>
      <c r="Q139" s="213"/>
      <c r="R139" s="214">
        <f>SUM(O139:Q139)</f>
        <v>45.7</v>
      </c>
      <c r="S139" s="170">
        <v>1</v>
      </c>
      <c r="T139" s="283">
        <v>43410</v>
      </c>
      <c r="U139" s="281"/>
      <c r="V139" s="177" t="s">
        <v>330</v>
      </c>
      <c r="W139" s="170" t="s">
        <v>74</v>
      </c>
      <c r="X139" s="170" t="s">
        <v>11</v>
      </c>
      <c r="Y139" s="178">
        <v>45.7</v>
      </c>
      <c r="Z139" s="243"/>
      <c r="AA139" s="243"/>
      <c r="AB139" s="243"/>
      <c r="AC139" s="243"/>
      <c r="AD139" s="177"/>
      <c r="AG139" s="178"/>
      <c r="AL139" s="177"/>
      <c r="AO139" s="178"/>
      <c r="AP139" s="177"/>
      <c r="AS139" s="178"/>
      <c r="AW139" s="178"/>
      <c r="BA139" s="179"/>
    </row>
    <row r="140" spans="1:53" s="170" customFormat="1" x14ac:dyDescent="0.15">
      <c r="A140" s="170">
        <v>2019</v>
      </c>
      <c r="B140" s="303"/>
      <c r="C140" s="435" t="s">
        <v>1384</v>
      </c>
      <c r="D140" s="435"/>
      <c r="E140" s="170">
        <v>0</v>
      </c>
      <c r="F140" s="243"/>
      <c r="G140" s="232">
        <v>16</v>
      </c>
      <c r="J140" s="240">
        <v>17</v>
      </c>
      <c r="K140" s="213">
        <f t="shared" ref="K140:K147" si="15">G140/$J140*100</f>
        <v>94.117647058823522</v>
      </c>
      <c r="L140" s="213">
        <f t="shared" ref="L140:L147" si="16">H140/$J140*100</f>
        <v>0</v>
      </c>
      <c r="M140" s="213">
        <f t="shared" ref="M140:M147" si="17">I140/$J140*100</f>
        <v>0</v>
      </c>
      <c r="N140" s="234">
        <f t="shared" ref="N140:N147" si="18">K140+L140+M140</f>
        <v>94.117647058823522</v>
      </c>
      <c r="O140" s="212">
        <v>45.7</v>
      </c>
      <c r="P140" s="213"/>
      <c r="Q140" s="213"/>
      <c r="R140" s="214">
        <f t="shared" ref="R140:R141" si="19">SUM(O140:Q140)</f>
        <v>45.7</v>
      </c>
      <c r="S140" s="189">
        <v>1</v>
      </c>
      <c r="T140" s="283"/>
      <c r="U140" s="281"/>
      <c r="V140" s="177" t="s">
        <v>330</v>
      </c>
      <c r="W140" s="170" t="s">
        <v>74</v>
      </c>
      <c r="X140" s="170" t="s">
        <v>11</v>
      </c>
      <c r="Y140" s="178">
        <v>45.7</v>
      </c>
      <c r="Z140" s="243"/>
      <c r="AA140" s="243"/>
      <c r="AB140" s="243"/>
      <c r="AC140" s="243"/>
      <c r="AD140" s="177"/>
      <c r="AG140" s="178"/>
      <c r="AL140" s="177"/>
      <c r="AO140" s="178"/>
      <c r="AP140" s="177"/>
      <c r="AS140" s="178"/>
      <c r="AW140" s="178"/>
      <c r="BA140" s="179"/>
    </row>
    <row r="141" spans="1:53" s="170" customFormat="1" x14ac:dyDescent="0.15">
      <c r="A141" s="170">
        <v>2019</v>
      </c>
      <c r="B141" s="303"/>
      <c r="C141" s="435" t="s">
        <v>1384</v>
      </c>
      <c r="D141" s="435"/>
      <c r="E141" s="170">
        <v>365</v>
      </c>
      <c r="F141" s="246"/>
      <c r="G141" s="170">
        <v>16</v>
      </c>
      <c r="J141" s="240">
        <v>17</v>
      </c>
      <c r="K141" s="213">
        <f t="shared" si="15"/>
        <v>94.117647058823522</v>
      </c>
      <c r="L141" s="213">
        <f t="shared" si="16"/>
        <v>0</v>
      </c>
      <c r="M141" s="213">
        <f t="shared" si="17"/>
        <v>0</v>
      </c>
      <c r="N141" s="214">
        <f t="shared" si="18"/>
        <v>94.117647058823522</v>
      </c>
      <c r="O141" s="213">
        <v>45.7</v>
      </c>
      <c r="P141" s="213"/>
      <c r="Q141" s="213"/>
      <c r="R141" s="214">
        <f t="shared" si="19"/>
        <v>45.7</v>
      </c>
      <c r="S141" s="189">
        <v>1</v>
      </c>
      <c r="T141" s="283"/>
      <c r="U141" s="281"/>
      <c r="V141" s="177" t="s">
        <v>330</v>
      </c>
      <c r="W141" s="170" t="s">
        <v>74</v>
      </c>
      <c r="X141" s="170" t="s">
        <v>11</v>
      </c>
      <c r="Y141" s="178">
        <v>45.7</v>
      </c>
      <c r="Z141" s="243"/>
      <c r="AA141" s="243"/>
      <c r="AB141" s="243"/>
      <c r="AC141" s="243"/>
      <c r="AD141" s="177"/>
      <c r="AG141" s="178"/>
      <c r="AK141" s="178"/>
      <c r="AO141" s="178"/>
      <c r="AS141" s="178"/>
      <c r="AW141" s="178"/>
      <c r="BA141" s="179"/>
    </row>
    <row r="142" spans="1:53" s="170" customFormat="1" x14ac:dyDescent="0.15">
      <c r="A142" s="170">
        <v>2020</v>
      </c>
      <c r="B142" s="303"/>
      <c r="C142" s="435" t="s">
        <v>1384</v>
      </c>
      <c r="D142" s="435"/>
      <c r="E142" s="170">
        <v>0</v>
      </c>
      <c r="F142" s="246"/>
      <c r="G142" s="170">
        <v>16</v>
      </c>
      <c r="J142" s="240">
        <v>17</v>
      </c>
      <c r="K142" s="213">
        <f t="shared" si="15"/>
        <v>94.117647058823522</v>
      </c>
      <c r="L142" s="213">
        <f t="shared" si="16"/>
        <v>0</v>
      </c>
      <c r="M142" s="213">
        <f t="shared" si="17"/>
        <v>0</v>
      </c>
      <c r="N142" s="214">
        <f t="shared" si="18"/>
        <v>94.117647058823522</v>
      </c>
      <c r="O142" s="213">
        <v>45.7</v>
      </c>
      <c r="P142" s="213"/>
      <c r="Q142" s="213"/>
      <c r="R142" s="214">
        <v>45.7</v>
      </c>
      <c r="S142" s="189">
        <v>1</v>
      </c>
      <c r="T142" s="283"/>
      <c r="U142" s="296"/>
      <c r="V142" s="170" t="s">
        <v>330</v>
      </c>
      <c r="W142" s="170" t="s">
        <v>74</v>
      </c>
      <c r="X142" s="170" t="s">
        <v>11</v>
      </c>
      <c r="Y142" s="178">
        <v>45.7</v>
      </c>
      <c r="Z142" s="243"/>
      <c r="AA142" s="243"/>
      <c r="AB142" s="243"/>
      <c r="AC142" s="254"/>
      <c r="AG142" s="178"/>
      <c r="AK142" s="178"/>
      <c r="AO142" s="178"/>
      <c r="AS142" s="178"/>
      <c r="AW142" s="178"/>
      <c r="BA142" s="179"/>
    </row>
    <row r="143" spans="1:53" s="170" customFormat="1" x14ac:dyDescent="0.15">
      <c r="A143" s="170">
        <v>2020</v>
      </c>
      <c r="B143" s="303"/>
      <c r="C143" s="435" t="s">
        <v>1384</v>
      </c>
      <c r="D143" s="435"/>
      <c r="E143" s="170">
        <v>366</v>
      </c>
      <c r="F143" s="246"/>
      <c r="G143" s="170">
        <v>16</v>
      </c>
      <c r="J143" s="240">
        <v>17</v>
      </c>
      <c r="K143" s="213">
        <f t="shared" si="15"/>
        <v>94.117647058823522</v>
      </c>
      <c r="L143" s="213">
        <f t="shared" si="16"/>
        <v>0</v>
      </c>
      <c r="M143" s="213">
        <f t="shared" si="17"/>
        <v>0</v>
      </c>
      <c r="N143" s="214">
        <f t="shared" si="18"/>
        <v>94.117647058823522</v>
      </c>
      <c r="O143" s="213">
        <v>49</v>
      </c>
      <c r="P143" s="213"/>
      <c r="Q143" s="213"/>
      <c r="R143" s="214">
        <v>49</v>
      </c>
      <c r="S143" s="189">
        <v>1</v>
      </c>
      <c r="T143" s="283">
        <v>44138</v>
      </c>
      <c r="U143" s="296"/>
      <c r="V143" s="170" t="s">
        <v>330</v>
      </c>
      <c r="W143" s="170" t="s">
        <v>74</v>
      </c>
      <c r="X143" s="170" t="s">
        <v>11</v>
      </c>
      <c r="Y143" s="178">
        <v>49</v>
      </c>
      <c r="Z143" s="243"/>
      <c r="AA143" s="243"/>
      <c r="AB143" s="243"/>
      <c r="AC143" s="254"/>
      <c r="AG143" s="178"/>
      <c r="AK143" s="178"/>
      <c r="AO143" s="178"/>
      <c r="AS143" s="178"/>
      <c r="AW143" s="178"/>
      <c r="BA143" s="179"/>
    </row>
    <row r="144" spans="1:53" s="170" customFormat="1" x14ac:dyDescent="0.15">
      <c r="A144" s="170">
        <v>2021</v>
      </c>
      <c r="B144" s="303"/>
      <c r="C144" s="435" t="s">
        <v>1384</v>
      </c>
      <c r="D144" s="435"/>
      <c r="E144" s="170">
        <v>20</v>
      </c>
      <c r="F144" s="246"/>
      <c r="G144" s="170">
        <v>16</v>
      </c>
      <c r="J144" s="240">
        <v>17</v>
      </c>
      <c r="K144" s="213">
        <f t="shared" si="15"/>
        <v>94.117647058823522</v>
      </c>
      <c r="L144" s="213">
        <f t="shared" si="16"/>
        <v>0</v>
      </c>
      <c r="M144" s="213">
        <f t="shared" si="17"/>
        <v>0</v>
      </c>
      <c r="N144" s="214">
        <f t="shared" si="18"/>
        <v>94.117647058823522</v>
      </c>
      <c r="O144" s="213">
        <v>49</v>
      </c>
      <c r="P144" s="213"/>
      <c r="Q144" s="213"/>
      <c r="R144" s="214">
        <v>49</v>
      </c>
      <c r="S144" s="189">
        <v>1</v>
      </c>
      <c r="T144" s="283"/>
      <c r="U144" s="296"/>
      <c r="V144" s="170" t="s">
        <v>330</v>
      </c>
      <c r="W144" s="170" t="s">
        <v>74</v>
      </c>
      <c r="X144" s="170" t="s">
        <v>11</v>
      </c>
      <c r="Y144" s="178">
        <v>49</v>
      </c>
      <c r="Z144" s="243"/>
      <c r="AA144" s="243"/>
      <c r="AB144" s="243"/>
      <c r="AC144" s="254"/>
      <c r="AG144" s="178"/>
      <c r="AK144" s="178"/>
      <c r="AO144" s="178"/>
      <c r="AS144" s="178"/>
      <c r="AW144" s="178"/>
      <c r="BA144" s="179"/>
    </row>
    <row r="145" spans="1:53" s="28" customFormat="1" x14ac:dyDescent="0.15">
      <c r="A145" s="28">
        <v>2021</v>
      </c>
      <c r="B145" s="293">
        <v>44216</v>
      </c>
      <c r="C145" s="394" t="s">
        <v>1501</v>
      </c>
      <c r="D145" s="394"/>
      <c r="E145" s="28">
        <v>345</v>
      </c>
      <c r="F145" s="28">
        <v>1</v>
      </c>
      <c r="G145" s="65"/>
      <c r="H145" s="28">
        <v>15</v>
      </c>
      <c r="J145" s="72">
        <v>16</v>
      </c>
      <c r="K145" s="46">
        <f t="shared" si="15"/>
        <v>0</v>
      </c>
      <c r="L145" s="46">
        <f t="shared" si="16"/>
        <v>93.75</v>
      </c>
      <c r="M145" s="46">
        <f t="shared" si="17"/>
        <v>0</v>
      </c>
      <c r="N145" s="67">
        <f t="shared" si="18"/>
        <v>93.75</v>
      </c>
      <c r="O145" s="45"/>
      <c r="P145" s="46">
        <v>51</v>
      </c>
      <c r="Q145" s="46"/>
      <c r="R145" s="47">
        <v>51</v>
      </c>
      <c r="S145" s="28">
        <v>1</v>
      </c>
      <c r="T145" s="284"/>
      <c r="U145" s="293">
        <v>44216</v>
      </c>
      <c r="V145" s="37" t="s">
        <v>130</v>
      </c>
      <c r="W145" s="28" t="s">
        <v>22</v>
      </c>
      <c r="X145" s="28" t="s">
        <v>18</v>
      </c>
      <c r="Y145" s="38">
        <v>51</v>
      </c>
      <c r="Z145" s="83"/>
      <c r="AA145" s="83"/>
      <c r="AB145" s="83"/>
      <c r="AC145" s="83"/>
      <c r="AD145" s="37"/>
      <c r="AG145" s="38"/>
      <c r="AL145" s="37"/>
      <c r="AO145" s="38"/>
      <c r="AP145" s="37"/>
      <c r="AS145" s="38"/>
      <c r="AW145" s="38"/>
      <c r="BA145" s="39"/>
    </row>
    <row r="146" spans="1:53" s="28" customFormat="1" x14ac:dyDescent="0.15">
      <c r="A146" s="28">
        <v>2022</v>
      </c>
      <c r="B146" s="293"/>
      <c r="C146" s="394" t="s">
        <v>1501</v>
      </c>
      <c r="D146" s="394"/>
      <c r="E146" s="28">
        <v>0</v>
      </c>
      <c r="G146" s="65"/>
      <c r="H146" s="28">
        <v>15</v>
      </c>
      <c r="J146" s="72">
        <v>16</v>
      </c>
      <c r="K146" s="46">
        <f t="shared" si="15"/>
        <v>0</v>
      </c>
      <c r="L146" s="46">
        <f t="shared" si="16"/>
        <v>93.75</v>
      </c>
      <c r="M146" s="46">
        <f t="shared" si="17"/>
        <v>0</v>
      </c>
      <c r="N146" s="67">
        <f t="shared" si="18"/>
        <v>93.75</v>
      </c>
      <c r="O146" s="45"/>
      <c r="P146" s="46">
        <v>51</v>
      </c>
      <c r="Q146" s="46"/>
      <c r="R146" s="47">
        <v>51</v>
      </c>
      <c r="S146" s="28">
        <v>1</v>
      </c>
      <c r="T146" s="284"/>
      <c r="U146" s="293"/>
      <c r="V146" s="37" t="s">
        <v>130</v>
      </c>
      <c r="W146" s="28" t="s">
        <v>22</v>
      </c>
      <c r="X146" s="28" t="s">
        <v>18</v>
      </c>
      <c r="Y146" s="38">
        <v>51</v>
      </c>
      <c r="Z146" s="83"/>
      <c r="AA146" s="83"/>
      <c r="AB146" s="83"/>
      <c r="AC146" s="83"/>
      <c r="AD146" s="37"/>
      <c r="AG146" s="38"/>
      <c r="AL146" s="37"/>
      <c r="AO146" s="38"/>
      <c r="AP146" s="37"/>
      <c r="AS146" s="38"/>
      <c r="AW146" s="38"/>
      <c r="BA146" s="39"/>
    </row>
    <row r="147" spans="1:53" s="28" customFormat="1" x14ac:dyDescent="0.15">
      <c r="A147" s="28">
        <v>2022</v>
      </c>
      <c r="B147" s="293"/>
      <c r="C147" s="394" t="s">
        <v>1501</v>
      </c>
      <c r="D147" s="394"/>
      <c r="E147" s="28">
        <v>365</v>
      </c>
      <c r="G147" s="65"/>
      <c r="H147" s="28">
        <v>15</v>
      </c>
      <c r="J147" s="72">
        <v>16</v>
      </c>
      <c r="K147" s="46">
        <f t="shared" si="15"/>
        <v>0</v>
      </c>
      <c r="L147" s="46">
        <f t="shared" si="16"/>
        <v>93.75</v>
      </c>
      <c r="M147" s="46">
        <f t="shared" si="17"/>
        <v>0</v>
      </c>
      <c r="N147" s="67">
        <f t="shared" si="18"/>
        <v>93.75</v>
      </c>
      <c r="O147" s="45"/>
      <c r="P147" s="46">
        <v>47.3</v>
      </c>
      <c r="Q147" s="46"/>
      <c r="R147" s="47">
        <v>47.3</v>
      </c>
      <c r="S147" s="28">
        <v>1</v>
      </c>
      <c r="T147" s="284">
        <v>44873</v>
      </c>
      <c r="U147" s="293"/>
      <c r="V147" s="37" t="s">
        <v>130</v>
      </c>
      <c r="W147" s="28" t="s">
        <v>22</v>
      </c>
      <c r="X147" s="28" t="s">
        <v>18</v>
      </c>
      <c r="Y147" s="38">
        <v>51</v>
      </c>
      <c r="Z147" s="83"/>
      <c r="AA147" s="83"/>
      <c r="AB147" s="83"/>
      <c r="AC147" s="83"/>
      <c r="AD147" s="37"/>
      <c r="AG147" s="38"/>
      <c r="AL147" s="37"/>
      <c r="AO147" s="38"/>
      <c r="AP147" s="37"/>
      <c r="AS147" s="38"/>
      <c r="AW147" s="38"/>
      <c r="BA147" s="39"/>
    </row>
    <row r="149" spans="1:53" ht="18" customHeight="1" x14ac:dyDescent="0.15">
      <c r="B149" s="15" t="s">
        <v>1262</v>
      </c>
      <c r="H149" s="4"/>
    </row>
    <row r="150" spans="1:53" ht="9" customHeight="1" x14ac:dyDescent="0.15">
      <c r="H150" s="4"/>
    </row>
    <row r="151" spans="1:53" s="194" customFormat="1" ht="9" customHeight="1" x14ac:dyDescent="0.15">
      <c r="A151" s="192"/>
      <c r="B151" s="193" t="s">
        <v>1213</v>
      </c>
      <c r="C151" s="193"/>
      <c r="D151" s="193"/>
      <c r="E151" s="193"/>
      <c r="F151" s="193"/>
      <c r="G151" s="193" t="s">
        <v>1214</v>
      </c>
      <c r="H151" s="193"/>
      <c r="I151" s="193"/>
      <c r="J151" s="193"/>
      <c r="K151" s="193"/>
      <c r="L151" s="193"/>
      <c r="M151" s="193"/>
      <c r="N151" s="193"/>
      <c r="R151" s="386" t="s">
        <v>1215</v>
      </c>
      <c r="S151" s="386"/>
      <c r="T151" s="386"/>
      <c r="U151" s="386"/>
      <c r="V151" s="386"/>
      <c r="W151" s="386"/>
      <c r="X151" s="195"/>
      <c r="Y151" s="195"/>
      <c r="AA151" s="195"/>
      <c r="AB151" s="195"/>
      <c r="AC151" s="195"/>
      <c r="AD151" s="195"/>
    </row>
    <row r="152" spans="1:53" s="199" customFormat="1" ht="9" customHeight="1" x14ac:dyDescent="0.15">
      <c r="A152" s="196"/>
      <c r="B152" s="197" t="s">
        <v>1217</v>
      </c>
      <c r="C152" s="198"/>
      <c r="D152" s="198"/>
      <c r="E152" s="198"/>
      <c r="F152" s="198"/>
      <c r="G152" s="197" t="s">
        <v>1216</v>
      </c>
      <c r="H152" s="198"/>
      <c r="I152" s="198"/>
      <c r="J152" s="198"/>
      <c r="K152" s="198"/>
      <c r="L152" s="198"/>
      <c r="M152" s="198"/>
      <c r="N152" s="198"/>
      <c r="R152" s="200" t="s">
        <v>1218</v>
      </c>
      <c r="S152" s="201"/>
      <c r="T152" s="202"/>
      <c r="U152" s="202"/>
      <c r="V152" s="202"/>
      <c r="W152" s="200" t="s">
        <v>1219</v>
      </c>
      <c r="X152" s="202"/>
      <c r="Y152" s="202"/>
      <c r="AA152" s="202"/>
      <c r="AB152" s="202"/>
      <c r="AC152" s="202"/>
      <c r="AD152" s="202"/>
    </row>
    <row r="153" spans="1:53" s="185" customFormat="1" ht="12" customHeight="1" x14ac:dyDescent="0.15">
      <c r="A153" s="203" t="s">
        <v>3</v>
      </c>
      <c r="B153" s="204" t="s">
        <v>8</v>
      </c>
      <c r="C153" s="204" t="s">
        <v>9</v>
      </c>
      <c r="D153" s="204" t="s">
        <v>10</v>
      </c>
      <c r="E153" s="205" t="s">
        <v>1193</v>
      </c>
      <c r="F153" s="204"/>
      <c r="G153" s="185" t="s">
        <v>3</v>
      </c>
      <c r="H153" s="387" t="s">
        <v>0</v>
      </c>
      <c r="I153" s="387"/>
      <c r="J153" s="387" t="s">
        <v>1</v>
      </c>
      <c r="K153" s="387"/>
      <c r="L153" s="387" t="s">
        <v>2</v>
      </c>
      <c r="M153" s="387"/>
      <c r="N153" s="388" t="s">
        <v>1193</v>
      </c>
      <c r="O153" s="388"/>
      <c r="P153" s="206"/>
      <c r="Q153" s="206"/>
      <c r="R153" s="207" t="s">
        <v>3</v>
      </c>
      <c r="S153" s="208" t="s">
        <v>135</v>
      </c>
      <c r="T153" s="206" t="s">
        <v>133</v>
      </c>
      <c r="U153" s="204" t="s">
        <v>134</v>
      </c>
      <c r="V153" s="206"/>
      <c r="W153" s="209" t="s">
        <v>26</v>
      </c>
    </row>
    <row r="154" spans="1:53" s="139" customFormat="1" x14ac:dyDescent="0.15">
      <c r="A154" s="139">
        <v>1959</v>
      </c>
      <c r="B154" s="142">
        <f>(K6*($E6/365)) + (K7*($E7/365))</f>
        <v>92.307692307692307</v>
      </c>
      <c r="C154" s="142">
        <f>(L6*($E6/365)) + (L7*($E7/365))</f>
        <v>7.6923076923076925</v>
      </c>
      <c r="D154" s="142">
        <f>(M6*($E6/365)) + (M7*($E7/365))</f>
        <v>0</v>
      </c>
      <c r="E154" s="143">
        <f>B154+C154+D154</f>
        <v>100</v>
      </c>
      <c r="G154" s="139">
        <v>1959</v>
      </c>
      <c r="H154" s="396">
        <f>(O6/$R6*100*($E6/365))+(O7/$R7*100*($E7/365))</f>
        <v>100</v>
      </c>
      <c r="I154" s="396"/>
      <c r="J154" s="396">
        <f>(P6/$R6*100*($E6/365))+(P7/$R7*100*($E7/365))</f>
        <v>0</v>
      </c>
      <c r="K154" s="396"/>
      <c r="L154" s="396">
        <f>(Q6/$R6*100*($E6/365))+(Q7/$R7*100*($E7/365))</f>
        <v>0</v>
      </c>
      <c r="M154" s="396"/>
      <c r="N154" s="400">
        <f>H154+J154+L154</f>
        <v>100</v>
      </c>
      <c r="O154" s="400"/>
      <c r="R154" s="139">
        <v>1959</v>
      </c>
      <c r="S154" s="142">
        <f>(O6*($E6/365)) + (O7*($E7/365))</f>
        <v>35</v>
      </c>
      <c r="T154" s="142">
        <f>(P6*($E6/365)) + (P7*($E7/365))</f>
        <v>0</v>
      </c>
      <c r="U154" s="142">
        <f>(Q6*($E6/365)) + (Q7*($E7/365))</f>
        <v>0</v>
      </c>
      <c r="V154" s="142"/>
      <c r="W154" s="142">
        <f>S154+T154+U154</f>
        <v>35</v>
      </c>
    </row>
    <row r="155" spans="1:53" x14ac:dyDescent="0.15">
      <c r="A155" s="1">
        <v>1960</v>
      </c>
      <c r="B155" s="5">
        <f>(K8*($E8/366))+(K9*($E9/366))</f>
        <v>92.307692307692292</v>
      </c>
      <c r="C155" s="5">
        <f>(L8*($E8/366))+(L9*($E9/366))</f>
        <v>7.6923076923076925</v>
      </c>
      <c r="D155" s="5">
        <f>(M8*($E8/366))+(M9*($E9/366))</f>
        <v>0</v>
      </c>
      <c r="E155" s="17">
        <f>B155+C155+D155</f>
        <v>99.999999999999986</v>
      </c>
      <c r="G155" s="1">
        <v>1960</v>
      </c>
      <c r="H155" s="392">
        <f>(O8/$R8*100*($E8/366))+(O9/$R9*100*($E9/366))</f>
        <v>99.999999999999986</v>
      </c>
      <c r="I155" s="392"/>
      <c r="J155" s="392">
        <f>(P8/$R8*100*($E8/366))+(P9/$R9*100*($E9/366))</f>
        <v>0</v>
      </c>
      <c r="K155" s="392"/>
      <c r="L155" s="392">
        <f>(Q8/$R8*100*($E8/366))+(Q9/$R9*100*($E9/366))</f>
        <v>0</v>
      </c>
      <c r="M155" s="392"/>
      <c r="N155" s="363">
        <f t="shared" ref="N155:N186" si="20">H155+J155+L155</f>
        <v>99.999999999999986</v>
      </c>
      <c r="O155" s="363"/>
      <c r="R155" s="1">
        <v>1960</v>
      </c>
      <c r="S155" s="5">
        <f>(O8*($E8/366))+(O9*($E9/366))</f>
        <v>35.737704918032783</v>
      </c>
      <c r="T155" s="5">
        <f>(P8*($E8/366))+(P9*($E9/366))</f>
        <v>0</v>
      </c>
      <c r="U155" s="5">
        <f>(Q8*($E8/366))+(Q9*($E9/366))</f>
        <v>0</v>
      </c>
      <c r="V155" s="5"/>
      <c r="W155" s="5">
        <f>S155+T155+U155</f>
        <v>35.737704918032783</v>
      </c>
    </row>
    <row r="156" spans="1:53" x14ac:dyDescent="0.15">
      <c r="A156" s="1">
        <v>1961</v>
      </c>
      <c r="B156" s="5">
        <f>(K10*($E10/365))+(K11*($E11/365))</f>
        <v>11.124692658939235</v>
      </c>
      <c r="C156" s="5">
        <f>(L10*($E10/365))+(L11*($E11/365))</f>
        <v>88.875307341060761</v>
      </c>
      <c r="D156" s="5">
        <f>(M10*($E10/365))+(M11*($E11/365))</f>
        <v>0</v>
      </c>
      <c r="E156" s="17">
        <f t="shared" ref="E156:E208" si="21">B156+C156+D156</f>
        <v>100</v>
      </c>
      <c r="G156" s="1">
        <v>1961</v>
      </c>
      <c r="H156" s="392">
        <f>(O10/$R10*100*($E10/365))+(O11/$R11*100*($E11/365))</f>
        <v>5.2054794520547949</v>
      </c>
      <c r="I156" s="392"/>
      <c r="J156" s="392">
        <f>(P10/$R10*100*($E10/365))+(P11/$R11*100*($E11/365))</f>
        <v>94.794520547945211</v>
      </c>
      <c r="K156" s="392"/>
      <c r="L156" s="392">
        <f>(Q10/$R10*100*($E10/365))+(Q11/$R11*100*($E11/365))</f>
        <v>0</v>
      </c>
      <c r="M156" s="392"/>
      <c r="N156" s="363">
        <f t="shared" si="20"/>
        <v>100</v>
      </c>
      <c r="O156" s="363"/>
      <c r="R156" s="1">
        <v>1961</v>
      </c>
      <c r="S156" s="5">
        <f>(O10*($E10/365))+(O11*($E11/365))</f>
        <v>2.0821917808219177</v>
      </c>
      <c r="T156" s="5">
        <f>(P10*($E10/365))+(P11*($E11/365))</f>
        <v>56.87671232876712</v>
      </c>
      <c r="U156" s="5">
        <f>(Q10*($E10/365))+(Q11*($E11/365))</f>
        <v>0</v>
      </c>
      <c r="V156" s="5"/>
      <c r="W156" s="5">
        <f t="shared" ref="W156:W208" si="22">S156+T156+U156</f>
        <v>58.958904109589035</v>
      </c>
    </row>
    <row r="157" spans="1:53" x14ac:dyDescent="0.15">
      <c r="A157" s="1">
        <v>1962</v>
      </c>
      <c r="B157" s="5">
        <f>(K12*($E12/365))+(K13*($E13/365))</f>
        <v>6.666666666666667</v>
      </c>
      <c r="C157" s="5">
        <f>(L12*($E12/365))+(L13*($E13/365))</f>
        <v>93.333333333333329</v>
      </c>
      <c r="D157" s="5">
        <f>(M12*($E12/365))+(M13*($E13/365))</f>
        <v>0</v>
      </c>
      <c r="E157" s="17">
        <f t="shared" si="21"/>
        <v>100</v>
      </c>
      <c r="G157" s="1">
        <v>1962</v>
      </c>
      <c r="H157" s="392">
        <f>(O12/$R12*100*($E12/365))+(O13/$R13*100*($E13/365))</f>
        <v>0</v>
      </c>
      <c r="I157" s="392"/>
      <c r="J157" s="392">
        <f>(P12/$R12*100*($E12/365))+(P13/$R13*100*($E13/365))</f>
        <v>100</v>
      </c>
      <c r="K157" s="392"/>
      <c r="L157" s="392">
        <f>(Q12/$R12*100*($E12/365))+(Q13/$R13*100*($E13/365))</f>
        <v>0</v>
      </c>
      <c r="M157" s="392"/>
      <c r="N157" s="363">
        <f t="shared" si="20"/>
        <v>100</v>
      </c>
      <c r="O157" s="363"/>
      <c r="R157" s="1">
        <v>1962</v>
      </c>
      <c r="S157" s="5">
        <f>(O12*($E12/365))+(O13*($E13/365))</f>
        <v>0</v>
      </c>
      <c r="T157" s="5">
        <f>(P12*($E12/365))+(P13*($E13/365))</f>
        <v>59.923287671232877</v>
      </c>
      <c r="U157" s="5">
        <f>(Q12*($E12/365))+(Q13*($E13/365))</f>
        <v>0</v>
      </c>
      <c r="V157" s="5"/>
      <c r="W157" s="5">
        <f t="shared" si="22"/>
        <v>59.923287671232877</v>
      </c>
    </row>
    <row r="158" spans="1:53" x14ac:dyDescent="0.15">
      <c r="A158" s="1">
        <v>1963</v>
      </c>
      <c r="B158" s="5">
        <f>(K14*($E14/365))+(K15*($E15/365))+(K16*($E16/365))</f>
        <v>6.7449445531637311</v>
      </c>
      <c r="C158" s="5">
        <f>(L14*($E14/365))+(L15*($E15/365))+(L16*($E16/365))</f>
        <v>93.255055446836252</v>
      </c>
      <c r="D158" s="5">
        <f>(M14*($E14/365))+(M15*($E15/365))+(M16*($E16/365))</f>
        <v>0</v>
      </c>
      <c r="E158" s="17">
        <f t="shared" si="21"/>
        <v>99.999999999999986</v>
      </c>
      <c r="G158" s="1">
        <v>1963</v>
      </c>
      <c r="H158" s="392">
        <f>(O14/$R14*100*($E14/365))+(O15/$R15*100*($E15/365))+(O16/$R16*100*($E16/365))</f>
        <v>0</v>
      </c>
      <c r="I158" s="392"/>
      <c r="J158" s="392">
        <f>(P14/$R14*100*($E14/365))+(P15/$R15*100*($E15/365))+(P16/$R16*100*($E16/365))</f>
        <v>100</v>
      </c>
      <c r="K158" s="392"/>
      <c r="L158" s="392">
        <f>(Q14/$R14*100*($E14/365))+(Q15/$R15*100*($E15/365))+(Q16/$R16*100*($E16/365))</f>
        <v>0</v>
      </c>
      <c r="M158" s="392"/>
      <c r="N158" s="363">
        <f t="shared" si="20"/>
        <v>100</v>
      </c>
      <c r="O158" s="363"/>
      <c r="R158" s="1">
        <v>1963</v>
      </c>
      <c r="S158" s="5">
        <f>(O14*($E14/365))+(O15*($E15/365))+(O16*($E16/365))</f>
        <v>0</v>
      </c>
      <c r="T158" s="5">
        <f>(P14*($E14/365))+(P15*($E15/365))+(P16*($E16/365))</f>
        <v>59.5</v>
      </c>
      <c r="U158" s="5">
        <f>(Q14*($E14/365))+(Q15*($E15/365))+(Q16*($E16/365))</f>
        <v>0</v>
      </c>
      <c r="V158" s="5"/>
      <c r="W158" s="5">
        <f t="shared" si="22"/>
        <v>59.5</v>
      </c>
    </row>
    <row r="159" spans="1:53" x14ac:dyDescent="0.15">
      <c r="A159" s="1">
        <v>1964</v>
      </c>
      <c r="B159" s="5">
        <f>(K17*($E17/366))+(K18*($E18/366))</f>
        <v>7.1428571428571423</v>
      </c>
      <c r="C159" s="5">
        <f>(L17*($E17/366))+(L18*($E18/366))</f>
        <v>92.857142857142861</v>
      </c>
      <c r="D159" s="5">
        <f>(M17*($E17/366))+(M18*($E18/366))</f>
        <v>0</v>
      </c>
      <c r="E159" s="17">
        <f t="shared" si="21"/>
        <v>100</v>
      </c>
      <c r="G159" s="1">
        <v>1964</v>
      </c>
      <c r="H159" s="392">
        <f>(O17/$R17*100*($E17/366))+(O18/$R18*100*($E18/366))</f>
        <v>0</v>
      </c>
      <c r="I159" s="392"/>
      <c r="J159" s="392">
        <f>(P17/$R17*100*($E17/366))+(P18/$R18*100*($E18/366))</f>
        <v>100</v>
      </c>
      <c r="K159" s="392"/>
      <c r="L159" s="392">
        <f>(Q17/$R17*100*($E17/366))+(Q18/$R18*100*($E18/366))</f>
        <v>0</v>
      </c>
      <c r="M159" s="392"/>
      <c r="N159" s="363">
        <f t="shared" si="20"/>
        <v>100</v>
      </c>
      <c r="O159" s="363"/>
      <c r="R159" s="1">
        <v>1964</v>
      </c>
      <c r="S159" s="5">
        <f>(O17*($E17/366))+(O18*($E18/366))</f>
        <v>0</v>
      </c>
      <c r="T159" s="5">
        <f>(P17*($E17/366))+(P18*($E18/366))</f>
        <v>60.837978142076508</v>
      </c>
      <c r="U159" s="5">
        <f>(Q17*($E17/366))+(Q18*($E18/366))</f>
        <v>0</v>
      </c>
      <c r="V159" s="5"/>
      <c r="W159" s="5">
        <f t="shared" si="22"/>
        <v>60.837978142076508</v>
      </c>
    </row>
    <row r="160" spans="1:53" x14ac:dyDescent="0.15">
      <c r="A160" s="1">
        <v>1965</v>
      </c>
      <c r="B160" s="5">
        <f>(K19*($E19/365))+(K20*($E20/365))+(K21*($E21/365))+(K22*($E22/365))</f>
        <v>14.198303979125898</v>
      </c>
      <c r="C160" s="5">
        <f>(L19*($E19/365))+(L20*($E20/365))+(L21*($E21/365))+(L22*($E22/365))</f>
        <v>85.801696020874104</v>
      </c>
      <c r="D160" s="5">
        <f>(M19*($E19/365))+(M20*($E20/365))+(M21*($E21/365))+(M22*($E22/365))</f>
        <v>0</v>
      </c>
      <c r="E160" s="17">
        <f t="shared" si="21"/>
        <v>100</v>
      </c>
      <c r="G160" s="1">
        <v>1965</v>
      </c>
      <c r="H160" s="392">
        <f>(O19/$R19*100*($E19/365))+(O20/$R20*100*($E20/365))+(O21/$R21*100*($E21/365))+(O22/$R22*100*($E22/365))</f>
        <v>0</v>
      </c>
      <c r="I160" s="392"/>
      <c r="J160" s="392">
        <f>(P19/$R19*100*($E19/365))+(P20/$R20*100*($E20/365))+(P21/$R21*100*($E21/365))+(P22/$R22*100*($E22/365))</f>
        <v>100</v>
      </c>
      <c r="K160" s="392"/>
      <c r="L160" s="392">
        <f>(Q19/$R19*100*($E19/365))+(Q20/$R20*100*($E20/365))+(Q21/$R21*100*($E21/365))+(Q22/$R22*100*($E22/365))</f>
        <v>0</v>
      </c>
      <c r="M160" s="392"/>
      <c r="N160" s="363">
        <f t="shared" si="20"/>
        <v>100</v>
      </c>
      <c r="O160" s="363"/>
      <c r="R160" s="1">
        <v>1965</v>
      </c>
      <c r="S160" s="5">
        <f>(O19*($E19/365))+(O20*($E20/365))+(O21*($E21/365))+(O22*($E22/365))</f>
        <v>0</v>
      </c>
      <c r="T160" s="5">
        <f>(P19*($E19/365))+(P20*($E20/365))+(P21*($E21/365))+(P22*($E22/365))</f>
        <v>67.8</v>
      </c>
      <c r="U160" s="5">
        <f>(Q19*($E19/365))+(Q20*($E20/365))+(Q21*($E21/365))+(Q22*($E22/365))</f>
        <v>0</v>
      </c>
      <c r="V160" s="5"/>
      <c r="W160" s="5">
        <f t="shared" si="22"/>
        <v>67.8</v>
      </c>
    </row>
    <row r="161" spans="1:23" x14ac:dyDescent="0.15">
      <c r="A161" s="1">
        <v>1966</v>
      </c>
      <c r="B161" s="5">
        <f>(K23*($E23/365))+(K24*($E24/365))+(K25*($E25/365))</f>
        <v>18.80821917808219</v>
      </c>
      <c r="C161" s="5">
        <f>(L23*($E23/365))+(L24*($E24/365))+(L25*($E25/365))</f>
        <v>81.191780821917803</v>
      </c>
      <c r="D161" s="5">
        <f>(M23*($E23/365))+(M24*($E24/365))+(M25*($E25/365))</f>
        <v>0</v>
      </c>
      <c r="E161" s="17">
        <f t="shared" si="21"/>
        <v>100</v>
      </c>
      <c r="G161" s="1">
        <v>1966</v>
      </c>
      <c r="H161" s="392">
        <f>(O23/$R23*100*($E23/365))+(O24/$R24*100*($E24/365))+(O25/$R25*100*($E25/365))</f>
        <v>0</v>
      </c>
      <c r="I161" s="392"/>
      <c r="J161" s="392">
        <f>(P23/$R23*100*($E23/365))+(P24/$R24*100*($E24/365))+(P25/$R25*100*($E25/365))</f>
        <v>100</v>
      </c>
      <c r="K161" s="392"/>
      <c r="L161" s="392">
        <f>(Q23/$R23*100*($E23/365))+(Q24/$R24*100*($E24/365))+(Q25/$R25*100*($E25/365))</f>
        <v>0</v>
      </c>
      <c r="M161" s="392"/>
      <c r="N161" s="363">
        <f t="shared" si="20"/>
        <v>100</v>
      </c>
      <c r="O161" s="363"/>
      <c r="R161" s="1">
        <v>1966</v>
      </c>
      <c r="S161" s="5">
        <f>(O23*($E23/365))+(O24*($E24/365))+(O25*($E25/365))</f>
        <v>0</v>
      </c>
      <c r="T161" s="5">
        <f>(P23*($E23/365))+(P24*($E24/365))+(P25*($E25/365))</f>
        <v>66.231780821917809</v>
      </c>
      <c r="U161" s="5">
        <f>(Q23*($E23/365))+(Q24*($E24/365))+(Q25*($E25/365))</f>
        <v>0</v>
      </c>
      <c r="V161" s="5"/>
      <c r="W161" s="5">
        <f>S161+T161+U161</f>
        <v>66.231780821917809</v>
      </c>
    </row>
    <row r="162" spans="1:23" x14ac:dyDescent="0.15">
      <c r="A162" s="1">
        <v>1967</v>
      </c>
      <c r="B162" s="5">
        <f>(K26*($E26/365))+(K27*($E27/365))</f>
        <v>18.75</v>
      </c>
      <c r="C162" s="5">
        <f>(L26*($E26/365))+(L27*($E27/365))</f>
        <v>81.25</v>
      </c>
      <c r="D162" s="5">
        <f>(M26*($E26/365))+(M27*($E27/365))</f>
        <v>0</v>
      </c>
      <c r="E162" s="17">
        <f t="shared" si="21"/>
        <v>100</v>
      </c>
      <c r="G162" s="1">
        <v>1967</v>
      </c>
      <c r="H162" s="392">
        <f>(O26/$R26*100*($E26/365))+(O27/$R27*100*($E27/365))</f>
        <v>0</v>
      </c>
      <c r="I162" s="392"/>
      <c r="J162" s="392">
        <f>(P26/$R26*100*($E26/365))+(P27/$R27*100*($E27/365))</f>
        <v>100</v>
      </c>
      <c r="K162" s="392"/>
      <c r="L162" s="392">
        <f>(Q26/$R26*100*($E26/365))+(Q27/$R27*100*($E27/365))</f>
        <v>0</v>
      </c>
      <c r="M162" s="392"/>
      <c r="N162" s="363">
        <f t="shared" si="20"/>
        <v>100</v>
      </c>
      <c r="O162" s="363"/>
      <c r="R162" s="1">
        <v>1967</v>
      </c>
      <c r="S162" s="5">
        <f>(O26*($E26/365))+(O27*($E27/365))</f>
        <v>0</v>
      </c>
      <c r="T162" s="5">
        <f>(P26*($E26/365))+(P27*($E27/365))</f>
        <v>57.2</v>
      </c>
      <c r="U162" s="5">
        <f>(Q26*($E26/365))+(Q27*($E27/365))</f>
        <v>0</v>
      </c>
      <c r="V162" s="5"/>
      <c r="W162" s="5">
        <f t="shared" si="22"/>
        <v>57.2</v>
      </c>
    </row>
    <row r="163" spans="1:23" x14ac:dyDescent="0.15">
      <c r="A163" s="1">
        <v>1968</v>
      </c>
      <c r="B163" s="5">
        <f>(K28*($E28/366))+(K29*($E29/366))+(K30*($E30/366))+(K31*($E31/366))</f>
        <v>8.1113387978142075</v>
      </c>
      <c r="C163" s="5">
        <f>(L28*($E28/366))+(L29*($E29/366))+(L30*($E30/366))+(L31*($E31/366))</f>
        <v>91.888661202185787</v>
      </c>
      <c r="D163" s="5">
        <f>(M28*($E28/366))+(M29*($E29/366))+(M30*($E30/366))+(M31*($E31/366))</f>
        <v>0</v>
      </c>
      <c r="E163" s="17">
        <f t="shared" si="21"/>
        <v>100</v>
      </c>
      <c r="G163" s="1">
        <v>1968</v>
      </c>
      <c r="H163" s="392">
        <f>(O28/$R28*100*($E28/366))+(O29/$R29*100*($E29/366))+(O30/$R30*100*($E30/366))+(O31/$R31*100*($E31/366))</f>
        <v>0</v>
      </c>
      <c r="I163" s="392"/>
      <c r="J163" s="392">
        <f>(P28/$R28*100*($E28/366))+(P29/$R29*100*($E29/366))+(P30/$R30*100*($E30/366))+(P31/$R31*100*($E31/366))</f>
        <v>100</v>
      </c>
      <c r="K163" s="392"/>
      <c r="L163" s="392">
        <f>(Q28/$R28*100*($E28/366))+(Q29/$R29*100*($E29/366))+(Q30/$R30*100*($E30/366))+(Q31/$R31*100*($E31/366))</f>
        <v>0</v>
      </c>
      <c r="M163" s="392"/>
      <c r="N163" s="363">
        <f t="shared" si="20"/>
        <v>100</v>
      </c>
      <c r="O163" s="363"/>
      <c r="R163" s="1">
        <v>1968</v>
      </c>
      <c r="S163" s="5">
        <f>(O28*($E28/366))+(O29*($E29/366))+(O30*($E30/366))+(O31*($E31/366))</f>
        <v>0</v>
      </c>
      <c r="T163" s="5">
        <f>(P28*($E28/366))+(P29*($E29/366))+(P30*($E30/366))+(P31*($E31/366))</f>
        <v>56.997540983606548</v>
      </c>
      <c r="U163" s="5">
        <f>(Q28*($E28/366))+(Q29*($E29/366))+(Q30*($E30/366))+(Q31*($E31/366))</f>
        <v>0</v>
      </c>
      <c r="V163" s="5"/>
      <c r="W163" s="5">
        <f>S163+T163+U163</f>
        <v>56.997540983606548</v>
      </c>
    </row>
    <row r="164" spans="1:23" x14ac:dyDescent="0.15">
      <c r="A164" s="1">
        <v>1969</v>
      </c>
      <c r="B164" s="5">
        <f>(K32*($E32/365))+(K33*($E33/365))</f>
        <v>94.794520547945211</v>
      </c>
      <c r="C164" s="5">
        <f>(L32*($E32/365))+(L33*($E33/365))</f>
        <v>5.2054794520547949</v>
      </c>
      <c r="D164" s="5">
        <f>(M32*($E32/365))+(M33*($E33/365))</f>
        <v>0</v>
      </c>
      <c r="E164" s="17">
        <f t="shared" si="21"/>
        <v>100</v>
      </c>
      <c r="G164" s="1">
        <v>1969</v>
      </c>
      <c r="H164" s="392">
        <f>(O32/$R32*100*($E32/365))+(O33/$R33*100*($E33/365))</f>
        <v>94.794520547945211</v>
      </c>
      <c r="I164" s="392"/>
      <c r="J164" s="392">
        <f>(P32/$R32*100*($E32/365))+(P33/$R33*100*($E33/365))</f>
        <v>5.2054794520547949</v>
      </c>
      <c r="K164" s="392"/>
      <c r="L164" s="392">
        <f>(Q32/$R32*100*($E32/365))+(Q33/$R33*100*($E33/365))</f>
        <v>0</v>
      </c>
      <c r="M164" s="392"/>
      <c r="N164" s="363">
        <f t="shared" si="20"/>
        <v>100</v>
      </c>
      <c r="O164" s="363"/>
      <c r="R164" s="1">
        <v>1969</v>
      </c>
      <c r="S164" s="5">
        <f>(O32*($E32/365))+(O33*($E33/365))</f>
        <v>41.804383561643839</v>
      </c>
      <c r="T164" s="5">
        <f>(P32*($E32/365))+(P33*($E33/365))</f>
        <v>2.9098630136986303</v>
      </c>
      <c r="U164" s="5">
        <f>(Q32*($E32/365))+(Q33*($E33/365))</f>
        <v>0</v>
      </c>
      <c r="V164" s="5"/>
      <c r="W164" s="5">
        <f t="shared" si="22"/>
        <v>44.714246575342472</v>
      </c>
    </row>
    <row r="165" spans="1:23" x14ac:dyDescent="0.15">
      <c r="A165" s="1">
        <v>1970</v>
      </c>
      <c r="B165" s="5">
        <f>(K34*($E34/365))+(K35*($E35/365))</f>
        <v>100</v>
      </c>
      <c r="C165" s="5">
        <f>(L34*($E34/365))+(L35*($E35/365))</f>
        <v>0</v>
      </c>
      <c r="D165" s="5">
        <f>(M34*($E34/365))+(M35*($E35/365))</f>
        <v>0</v>
      </c>
      <c r="E165" s="17">
        <f t="shared" si="21"/>
        <v>100</v>
      </c>
      <c r="G165" s="1">
        <v>1970</v>
      </c>
      <c r="H165" s="392">
        <f>(O34/$R34*100*($E34/365))+(O35/$R35*100*($E35/365))</f>
        <v>100</v>
      </c>
      <c r="I165" s="392"/>
      <c r="J165" s="392">
        <f>(P34/$R34*100*($E34/365))+(P35/$R35*100*($E35/365))</f>
        <v>0</v>
      </c>
      <c r="K165" s="392"/>
      <c r="L165" s="392">
        <f>(Q34/$R34*100*($E34/365))+(Q35/$R35*100*($E35/365))</f>
        <v>0</v>
      </c>
      <c r="M165" s="392"/>
      <c r="N165" s="363">
        <f t="shared" si="20"/>
        <v>100</v>
      </c>
      <c r="O165" s="363"/>
      <c r="R165" s="1">
        <v>1970</v>
      </c>
      <c r="S165" s="5">
        <f>(O34*($E34/365))+(O35*($E35/365))</f>
        <v>43.663561643835621</v>
      </c>
      <c r="T165" s="5">
        <f>(P34*($E34/365))+(P35*($E35/365))</f>
        <v>0</v>
      </c>
      <c r="U165" s="5">
        <f>(Q34*($E34/365))+(Q35*($E35/365))</f>
        <v>0</v>
      </c>
      <c r="V165" s="5"/>
      <c r="W165" s="5">
        <f t="shared" si="22"/>
        <v>43.663561643835621</v>
      </c>
    </row>
    <row r="166" spans="1:23" x14ac:dyDescent="0.15">
      <c r="A166" s="1">
        <v>1971</v>
      </c>
      <c r="B166" s="5">
        <f>(K36*($E36/365))+(K37*($E37/365))</f>
        <v>100</v>
      </c>
      <c r="C166" s="5">
        <f>(L36*($E36/365))+(L37*($E37/365))</f>
        <v>0</v>
      </c>
      <c r="D166" s="5">
        <f>(M36*($E36/365))+(M37*($E37/365))</f>
        <v>0</v>
      </c>
      <c r="E166" s="17">
        <f t="shared" si="21"/>
        <v>100</v>
      </c>
      <c r="G166" s="1">
        <v>1971</v>
      </c>
      <c r="H166" s="392">
        <f>(O36/$R36*100*($E36/365))+(O37/$R37*100*($E37/365))</f>
        <v>100</v>
      </c>
      <c r="I166" s="392"/>
      <c r="J166" s="392">
        <f>(P36/$R36*100*($E36/365))+(P37/$R37*100*($E37/365))</f>
        <v>0</v>
      </c>
      <c r="K166" s="392"/>
      <c r="L166" s="392">
        <f>(Q36/$R36*100*($E36/365))+(Q37/$R37*100*($E37/365))</f>
        <v>0</v>
      </c>
      <c r="M166" s="392"/>
      <c r="N166" s="363">
        <f t="shared" si="20"/>
        <v>100</v>
      </c>
      <c r="O166" s="363"/>
      <c r="R166" s="1">
        <v>1971</v>
      </c>
      <c r="S166" s="5">
        <f>(O36*($E36/365))+(O37*($E37/365))</f>
        <v>41.4</v>
      </c>
      <c r="T166" s="5">
        <f>(P36*($E36/365))+(P37*($E37/365))</f>
        <v>0</v>
      </c>
      <c r="U166" s="5">
        <f>(Q36*($E36/365))+(Q37*($E37/365))</f>
        <v>0</v>
      </c>
      <c r="V166" s="5"/>
      <c r="W166" s="5">
        <f t="shared" si="22"/>
        <v>41.4</v>
      </c>
    </row>
    <row r="167" spans="1:23" x14ac:dyDescent="0.15">
      <c r="A167" s="1">
        <v>1972</v>
      </c>
      <c r="B167" s="5">
        <f>(K38*($E38/366))+(K39*($E39/366))</f>
        <v>100.00000000000001</v>
      </c>
      <c r="C167" s="5">
        <f>(L38*($E38/366))+(L39*($E39/366))</f>
        <v>0</v>
      </c>
      <c r="D167" s="5">
        <f>(M38*($E38/366))+(M39*($E39/366))</f>
        <v>0</v>
      </c>
      <c r="E167" s="17">
        <f t="shared" si="21"/>
        <v>100.00000000000001</v>
      </c>
      <c r="G167" s="1">
        <v>1972</v>
      </c>
      <c r="H167" s="392">
        <f>(O38/$R38*100*($E38/366))+(O39/$R39*100*($E39/366))</f>
        <v>100.00000000000001</v>
      </c>
      <c r="I167" s="392"/>
      <c r="J167" s="392">
        <f>(P38/$R38*100*($E38/366))+(P39/$R39*100*($E39/366))</f>
        <v>0</v>
      </c>
      <c r="K167" s="392"/>
      <c r="L167" s="392">
        <f>(Q38/$R38*100*($E38/366))+(Q39/$R39*100*($E39/366))</f>
        <v>0</v>
      </c>
      <c r="M167" s="392"/>
      <c r="N167" s="363">
        <f t="shared" si="20"/>
        <v>100.00000000000001</v>
      </c>
      <c r="O167" s="363"/>
      <c r="R167" s="1">
        <v>1972</v>
      </c>
      <c r="S167" s="5">
        <f>(O38*($E38/366))+(O39*($E39/366))</f>
        <v>41.80573770491803</v>
      </c>
      <c r="T167" s="5">
        <f>(P38*($E38/366))+(P39*($E39/366))</f>
        <v>0</v>
      </c>
      <c r="U167" s="5">
        <f>(Q38*($E38/366))+(Q39*($E39/366))</f>
        <v>0</v>
      </c>
      <c r="V167" s="5"/>
      <c r="W167" s="5">
        <f t="shared" si="22"/>
        <v>41.80573770491803</v>
      </c>
    </row>
    <row r="168" spans="1:23" x14ac:dyDescent="0.15">
      <c r="A168" s="1">
        <v>1973</v>
      </c>
      <c r="B168" s="5">
        <f>(K40*($E40/365))+(K41*($E41/365))+(K42*($E42/365))</f>
        <v>93.483365949119388</v>
      </c>
      <c r="C168" s="5">
        <f>(L40*($E40/365))+(L41*($E41/365))+(L42*($E42/365))</f>
        <v>6.5166340508806258</v>
      </c>
      <c r="D168" s="5">
        <f>(M40*($E40/365))+(M41*($E41/365))+(M42*($E42/365))</f>
        <v>0</v>
      </c>
      <c r="E168" s="17">
        <f t="shared" si="21"/>
        <v>100.00000000000001</v>
      </c>
      <c r="G168" s="1">
        <v>1973</v>
      </c>
      <c r="H168" s="392">
        <f>(O40/$R40*100*($E40/365))+(O41/$R41*100*($E41/365))+(O42/$R42*100*($E42/365))</f>
        <v>100</v>
      </c>
      <c r="I168" s="392"/>
      <c r="J168" s="392">
        <f>(P40/$R40*100*($E40/365))+(P41/$R41*100*($E41/365))+(P42/$R42*100*($E42/365))</f>
        <v>0</v>
      </c>
      <c r="K168" s="392"/>
      <c r="L168" s="392">
        <f>(Q40/$R40*100*($E40/365))+(Q41/$R41*100*($E41/365))+(Q42/$R42*100*($E42/365))</f>
        <v>0</v>
      </c>
      <c r="M168" s="392"/>
      <c r="N168" s="363">
        <f t="shared" si="20"/>
        <v>100</v>
      </c>
      <c r="O168" s="363"/>
      <c r="R168" s="1">
        <v>1973</v>
      </c>
      <c r="S168" s="5">
        <f>(O40*($E40/365))+(O41*($E41/365))+(O42*($E42/365))</f>
        <v>44.100000000000009</v>
      </c>
      <c r="T168" s="5">
        <f>(P40*($E40/365))+(P41*($E41/365))+(P42*($E42/365))</f>
        <v>0</v>
      </c>
      <c r="U168" s="5">
        <f>(Q40*($E40/365))+(Q41*($E41/365))+(Q42*($E42/365))</f>
        <v>0</v>
      </c>
      <c r="V168" s="5"/>
      <c r="W168" s="5">
        <f t="shared" si="22"/>
        <v>44.100000000000009</v>
      </c>
    </row>
    <row r="169" spans="1:23" x14ac:dyDescent="0.15">
      <c r="A169" s="1">
        <v>1974</v>
      </c>
      <c r="B169" s="5">
        <f>(K43*($E43/365))+(K44*($E44/365))+(K45*($E45/365))</f>
        <v>92.638867981333732</v>
      </c>
      <c r="C169" s="5">
        <f>(L43*($E43/365))+(L44*($E44/365))+(L45*($E45/365))</f>
        <v>7.3611320186662645</v>
      </c>
      <c r="D169" s="5">
        <f>(M43*($E43/365))+(M44*($E44/365))+(M45*($E45/365))</f>
        <v>0</v>
      </c>
      <c r="E169" s="17">
        <f t="shared" si="21"/>
        <v>100</v>
      </c>
      <c r="G169" s="1">
        <v>1974</v>
      </c>
      <c r="H169" s="392">
        <f>(O43/$R43*100*($E43/365))+(O44/$R44*100*($E44/365))+(O45/$R45*100*($E45/365))</f>
        <v>100</v>
      </c>
      <c r="I169" s="392"/>
      <c r="J169" s="392">
        <f>(P43/$R43*100*($E43/365))+(P44/$R44*100*($E44/365))+(P45/$R45*100*($E45/365))</f>
        <v>0</v>
      </c>
      <c r="K169" s="392"/>
      <c r="L169" s="392">
        <f>(Q43/$R43*100*($E43/365))+(Q45/$R45*100*($E45/365))</f>
        <v>0</v>
      </c>
      <c r="M169" s="392"/>
      <c r="N169" s="363">
        <f t="shared" si="20"/>
        <v>100</v>
      </c>
      <c r="O169" s="363"/>
      <c r="R169" s="1">
        <v>1974</v>
      </c>
      <c r="S169" s="5">
        <f>(O43*($E43/365))+(O44*($E44/365))+(O45*($E45/365))</f>
        <v>42.38219178082192</v>
      </c>
      <c r="T169" s="5">
        <f>(P43*($E43/365))+(P44*($E44/365))+(P45*($E45/365))</f>
        <v>0</v>
      </c>
      <c r="U169" s="5">
        <f>(Q43*($E43/365))+(Q44*($E44/365))+(Q45*($E45/365))</f>
        <v>0</v>
      </c>
      <c r="V169" s="5"/>
      <c r="W169" s="5">
        <f>S169+T169+U169</f>
        <v>42.38219178082192</v>
      </c>
    </row>
    <row r="170" spans="1:23" x14ac:dyDescent="0.15">
      <c r="A170" s="1">
        <v>1975</v>
      </c>
      <c r="B170" s="5">
        <f>(K46*($E46/365))+(K47*($E47/365))+(K48*($E48/365))</f>
        <v>82.318229715489991</v>
      </c>
      <c r="C170" s="5">
        <f>(L46*($E46/365))+(L47*($E47/365))+(L48*($E48/365))</f>
        <v>17.681770284510012</v>
      </c>
      <c r="D170" s="5">
        <f>(M46*($E46/365))+(M47*($E47/365))+(M48*($E48/365))</f>
        <v>0</v>
      </c>
      <c r="E170" s="17">
        <f t="shared" si="21"/>
        <v>100</v>
      </c>
      <c r="G170" s="1">
        <v>1975</v>
      </c>
      <c r="H170" s="392">
        <f>(O46/$R46*100*($E46/365))+(O47/$R47*100*($E47/365))+(O48/$R48*100*($E48/365))</f>
        <v>100</v>
      </c>
      <c r="I170" s="392"/>
      <c r="J170" s="392">
        <f>(P46/$R46*100*($E46/365))+(P47/$R47*100*($E47/365))+(P48/$R48*100*($E48/365))</f>
        <v>0</v>
      </c>
      <c r="K170" s="392"/>
      <c r="L170" s="392">
        <f>(Q46/$R46*100*($E46/365))+(Q47/$R47*100*($E47/365))+(Q48/$R48*100*($E48/365))</f>
        <v>0</v>
      </c>
      <c r="M170" s="392"/>
      <c r="N170" s="363">
        <f t="shared" si="20"/>
        <v>100</v>
      </c>
      <c r="O170" s="363"/>
      <c r="R170" s="1">
        <v>1975</v>
      </c>
      <c r="S170" s="5">
        <f>(O46*($E46/365))+(O47*($E47/365))+(O48*($E48/365))</f>
        <v>33.1</v>
      </c>
      <c r="T170" s="5">
        <f>(P46*($E46/365))+(P47*($E47/365))+(P48*($E48/365))</f>
        <v>0</v>
      </c>
      <c r="U170" s="5">
        <f>(Q46*($E46/365))+(Q47*($E47/365))+(Q48*($E48/365))</f>
        <v>0</v>
      </c>
      <c r="V170" s="5"/>
      <c r="W170" s="5">
        <f t="shared" si="22"/>
        <v>33.1</v>
      </c>
    </row>
    <row r="171" spans="1:23" x14ac:dyDescent="0.15">
      <c r="A171" s="1">
        <v>1976</v>
      </c>
      <c r="B171" s="5">
        <f>(K49*($E49/366))+(K50*($E50/366))</f>
        <v>76.923076923076934</v>
      </c>
      <c r="C171" s="5">
        <f>(L49*($E49/366))+(L50*($E50/366))</f>
        <v>23.076923076923077</v>
      </c>
      <c r="D171" s="5">
        <f>(M49*($E49/366))+(M50*($E50/366))</f>
        <v>0</v>
      </c>
      <c r="E171" s="17">
        <f t="shared" si="21"/>
        <v>100.00000000000001</v>
      </c>
      <c r="G171" s="1">
        <v>1976</v>
      </c>
      <c r="H171" s="392">
        <f>(O49/$R49*100*($E49/366))+(O50/$R50*100*($E50/366))</f>
        <v>100</v>
      </c>
      <c r="I171" s="392"/>
      <c r="J171" s="392">
        <f>(P49/$R49*100*($E49/366))+(P50/$R50*100*($E50/366))</f>
        <v>0</v>
      </c>
      <c r="K171" s="392"/>
      <c r="L171" s="392">
        <f>(Q49/$R49*100*($E49/366))+(Q50/$R50*100*($E50/366))</f>
        <v>0</v>
      </c>
      <c r="M171" s="392"/>
      <c r="N171" s="363">
        <f t="shared" si="20"/>
        <v>100</v>
      </c>
      <c r="O171" s="363"/>
      <c r="R171" s="1">
        <v>1976</v>
      </c>
      <c r="S171" s="5">
        <f>(O49*($E49/366))+(O50*($E50/366))</f>
        <v>33.067213114754104</v>
      </c>
      <c r="T171" s="5">
        <f>(P49*($E49/366))+(P50*($E50/366))</f>
        <v>0</v>
      </c>
      <c r="U171" s="5">
        <f>(Q49*($E49/366))+(Q50*($E50/366))</f>
        <v>0</v>
      </c>
      <c r="V171" s="5"/>
      <c r="W171" s="5">
        <f t="shared" si="22"/>
        <v>33.067213114754104</v>
      </c>
    </row>
    <row r="172" spans="1:23" x14ac:dyDescent="0.15">
      <c r="A172" s="1">
        <v>1977</v>
      </c>
      <c r="B172" s="5">
        <f>(K51*($E51/365))+(K52*($E52/365))</f>
        <v>10.775252145115159</v>
      </c>
      <c r="C172" s="5">
        <f>(L51*($E51/365))+(L52*($E52/365))</f>
        <v>89.224747854884839</v>
      </c>
      <c r="D172" s="5">
        <f>(M51*($E51/365))+(M52*($E52/365))</f>
        <v>0</v>
      </c>
      <c r="E172" s="17">
        <f t="shared" si="21"/>
        <v>100</v>
      </c>
      <c r="G172" s="1">
        <v>1977</v>
      </c>
      <c r="H172" s="392">
        <f>(O51/$R51*100*($E51/365))+(O52/$R52*100*($E52/365))</f>
        <v>5.2054794520547949</v>
      </c>
      <c r="I172" s="392"/>
      <c r="J172" s="392">
        <f>(P51/$R51*100*($E51/365))+(P52/$R52*100*($E52/365))</f>
        <v>94.794520547945211</v>
      </c>
      <c r="K172" s="392"/>
      <c r="L172" s="392">
        <f>(Q51/$R51*100*($E51/365))+(Q52/$R52*100*($E52/365))</f>
        <v>0</v>
      </c>
      <c r="M172" s="392"/>
      <c r="N172" s="363">
        <f t="shared" si="20"/>
        <v>100</v>
      </c>
      <c r="O172" s="363"/>
      <c r="R172" s="1">
        <v>1977</v>
      </c>
      <c r="S172" s="5">
        <f>(O51*($E51/365))+(O52*($E52/365))</f>
        <v>1.7126027397260273</v>
      </c>
      <c r="T172" s="5">
        <f>(P51*($E51/365))+(P52*($E52/365))</f>
        <v>63.607123287671229</v>
      </c>
      <c r="U172" s="5">
        <f>(Q51*($E51/365))+(Q52*($E52/365))</f>
        <v>0</v>
      </c>
      <c r="V172" s="5"/>
      <c r="W172" s="5">
        <f t="shared" si="22"/>
        <v>65.319726027397252</v>
      </c>
    </row>
    <row r="173" spans="1:23" x14ac:dyDescent="0.15">
      <c r="A173" s="1">
        <v>1978</v>
      </c>
      <c r="B173" s="5">
        <f>(K53*($E53/365))+(K54*($E54/365))</f>
        <v>7.1428571428571432</v>
      </c>
      <c r="C173" s="5">
        <f>(L53*($E53/365))+(L54*($E54/365))</f>
        <v>92.857142857142861</v>
      </c>
      <c r="D173" s="5">
        <f>(M53*($E53/365))+(M54*($E54/365))</f>
        <v>0</v>
      </c>
      <c r="E173" s="17">
        <f t="shared" si="21"/>
        <v>100</v>
      </c>
      <c r="G173" s="1">
        <v>1978</v>
      </c>
      <c r="H173" s="392">
        <f>(O53/$R53*100*($E53/365))+(O54/$R54*100*($E54/365))</f>
        <v>0</v>
      </c>
      <c r="I173" s="392"/>
      <c r="J173" s="392">
        <f>(P53/$R53*100*($E53/365))+(P54/$R54*100*($E54/365))</f>
        <v>100.00000000000001</v>
      </c>
      <c r="K173" s="392"/>
      <c r="L173" s="392">
        <f>(Q53/$R53*100*($E53/365))+(Q54/$R54*100*($E54/365))</f>
        <v>0</v>
      </c>
      <c r="M173" s="392"/>
      <c r="N173" s="363">
        <f t="shared" si="20"/>
        <v>100.00000000000001</v>
      </c>
      <c r="O173" s="363"/>
      <c r="R173" s="1">
        <v>1978</v>
      </c>
      <c r="S173" s="5">
        <f>(O53*($E53/365))+(O54*($E54/365))</f>
        <v>0</v>
      </c>
      <c r="T173" s="5">
        <f>(P53*($E53/365))+(P54*($E54/365))</f>
        <v>66.596986301369867</v>
      </c>
      <c r="U173" s="5">
        <f>(Q53*($E53/365))+(Q54*($E54/365))</f>
        <v>0</v>
      </c>
      <c r="V173" s="5"/>
      <c r="W173" s="5">
        <f t="shared" si="22"/>
        <v>66.596986301369867</v>
      </c>
    </row>
    <row r="174" spans="1:23" x14ac:dyDescent="0.15">
      <c r="A174" s="1">
        <v>1979</v>
      </c>
      <c r="B174" s="5">
        <f>(K55*($E55/365))+(K56*($E56/365))+(K57*($E57/365))</f>
        <v>4.5988258317025439</v>
      </c>
      <c r="C174" s="5">
        <f>(L55*($E55/365))+(L56*($E56/365))+(L57*($E57/365))</f>
        <v>95.401174168297473</v>
      </c>
      <c r="D174" s="5">
        <f>(M55*($E55/365))+(M56*($E56/365))+(M57*($E57/365))</f>
        <v>0</v>
      </c>
      <c r="E174" s="17">
        <f t="shared" si="21"/>
        <v>100.00000000000001</v>
      </c>
      <c r="G174" s="1">
        <v>1979</v>
      </c>
      <c r="H174" s="392">
        <f>(O55/$R55*100*($E55/365))+(O56/$R56*100*($E56/365))+(O57/$R57*100*($E57/365))</f>
        <v>0</v>
      </c>
      <c r="I174" s="392"/>
      <c r="J174" s="392">
        <f>(P55/$R55*100*($E55/365))+(P56/$R56*100*($E56/365))+(P57/$R57*100*($E57/365))</f>
        <v>100</v>
      </c>
      <c r="K174" s="392"/>
      <c r="L174" s="392">
        <f>(Q55/$R55*100*($E55/365))+(Q56/$R56*100*($E56/365))+(Q57/$R57*100*($E57/365))</f>
        <v>0</v>
      </c>
      <c r="M174" s="392"/>
      <c r="N174" s="363">
        <f t="shared" si="20"/>
        <v>100</v>
      </c>
      <c r="O174" s="363"/>
      <c r="R174" s="1">
        <v>1979</v>
      </c>
      <c r="S174" s="5">
        <f>(O55*($E55/365))+(O56*($E56/365))+(O57*($E57/365))</f>
        <v>0</v>
      </c>
      <c r="T174" s="5">
        <f>(P55*($E55/365))+(P56*($E56/365))+(P57*($E57/365))</f>
        <v>63.70000000000001</v>
      </c>
      <c r="U174" s="5">
        <f>(Q55*($E55/365))+(Q56*($E56/365))+(Q57*($E57/365))</f>
        <v>0</v>
      </c>
      <c r="V174" s="5"/>
      <c r="W174" s="5">
        <f t="shared" si="22"/>
        <v>63.70000000000001</v>
      </c>
    </row>
    <row r="175" spans="1:23" x14ac:dyDescent="0.15">
      <c r="A175" s="1">
        <v>1980</v>
      </c>
      <c r="B175" s="5">
        <f>(K58*($E58/366))+(K59*($E59/366))</f>
        <v>0</v>
      </c>
      <c r="C175" s="5">
        <f>(L58*($E58/366))+(L59*($E59/366))</f>
        <v>100.00000000000001</v>
      </c>
      <c r="D175" s="5">
        <f>(M58*($E58/366))+(M59*($E59/366))</f>
        <v>0</v>
      </c>
      <c r="E175" s="17">
        <f t="shared" si="21"/>
        <v>100.00000000000001</v>
      </c>
      <c r="G175" s="1">
        <v>1980</v>
      </c>
      <c r="H175" s="392">
        <f>(O58/$R58*100*($E58/366))+(O59/$R59*100*($E59/366))</f>
        <v>0</v>
      </c>
      <c r="I175" s="392"/>
      <c r="J175" s="392">
        <f>(P58/$R58*100*($E58/366))+(P59/$R59*100*($E59/366))</f>
        <v>100.00000000000001</v>
      </c>
      <c r="K175" s="392"/>
      <c r="L175" s="392">
        <f>(Q58/$R58*100*($E58/366))+(Q59/$R59*100*($E59/366))</f>
        <v>0</v>
      </c>
      <c r="M175" s="392"/>
      <c r="N175" s="363">
        <f t="shared" si="20"/>
        <v>100.00000000000001</v>
      </c>
      <c r="O175" s="363"/>
      <c r="R175" s="1">
        <v>1980</v>
      </c>
      <c r="S175" s="5">
        <f>(O58*($E58/366))+(O59*($E59/366))</f>
        <v>0</v>
      </c>
      <c r="T175" s="5">
        <f>(P58*($E58/366))+(P59*($E59/366))</f>
        <v>62.463934426229514</v>
      </c>
      <c r="U175" s="5">
        <f>(Q58*($E58/366))+(Q59*($E59/366))</f>
        <v>0</v>
      </c>
      <c r="V175" s="5"/>
      <c r="W175" s="5">
        <f t="shared" si="22"/>
        <v>62.463934426229514</v>
      </c>
    </row>
    <row r="176" spans="1:23" x14ac:dyDescent="0.15">
      <c r="A176" s="1">
        <v>1981</v>
      </c>
      <c r="B176" s="5">
        <f>(K60*($E60/365))+(K61*($E61/365))</f>
        <v>94.794520547945211</v>
      </c>
      <c r="C176" s="5">
        <f>(L60*($E60/365))+(L61*($E61/365))</f>
        <v>5.2054794520547949</v>
      </c>
      <c r="D176" s="5">
        <f>(M60*($E60/365))+(M61*($E61/365))</f>
        <v>0</v>
      </c>
      <c r="E176" s="17">
        <f t="shared" si="21"/>
        <v>100</v>
      </c>
      <c r="G176" s="1">
        <v>1981</v>
      </c>
      <c r="H176" s="392">
        <f>(O60/$R60*100*($E60/365))+(O61/$R61*100*($E61/365))</f>
        <v>94.794520547945211</v>
      </c>
      <c r="I176" s="392"/>
      <c r="J176" s="392">
        <f>(P60/$R60*100*($E60/365))+(P61/$R61*100*($E61/365))</f>
        <v>5.2054794520547949</v>
      </c>
      <c r="K176" s="392"/>
      <c r="L176" s="392">
        <f>(Q60/$R60*100*($E60/365))+(Q61/$R61*100*($E61/365))</f>
        <v>0</v>
      </c>
      <c r="M176" s="392"/>
      <c r="N176" s="363">
        <f t="shared" si="20"/>
        <v>100</v>
      </c>
      <c r="O176" s="363"/>
      <c r="R176" s="1">
        <v>1981</v>
      </c>
      <c r="S176" s="5">
        <f>(O60*($E60/365))+(O61*($E61/365))</f>
        <v>41.804383561643839</v>
      </c>
      <c r="T176" s="5">
        <f>(P60*($E60/365))+(P61*($E61/365))</f>
        <v>2.9098630136986303</v>
      </c>
      <c r="U176" s="5">
        <f>(Q60*($E60/365))+(Q61*($E61/365))</f>
        <v>0</v>
      </c>
      <c r="V176" s="5"/>
      <c r="W176" s="5">
        <f t="shared" si="22"/>
        <v>44.714246575342472</v>
      </c>
    </row>
    <row r="177" spans="1:23" x14ac:dyDescent="0.15">
      <c r="A177" s="1">
        <v>1982</v>
      </c>
      <c r="B177" s="5">
        <f>(K62*($E62/365))+(K63*($E63/365))</f>
        <v>100</v>
      </c>
      <c r="C177" s="5">
        <f>(L62*($E62/365))+(L63*($E63/365))</f>
        <v>0</v>
      </c>
      <c r="D177" s="5">
        <f>(M62*($E62/365))+(M63*($E63/365))</f>
        <v>0</v>
      </c>
      <c r="E177" s="17">
        <f t="shared" si="21"/>
        <v>100</v>
      </c>
      <c r="G177" s="1">
        <v>1982</v>
      </c>
      <c r="H177" s="392">
        <f>(O62/$R62*100*($E62/365))+(O63/$R63*100*($E63/365))</f>
        <v>100</v>
      </c>
      <c r="I177" s="392"/>
      <c r="J177" s="392">
        <f>(P62/$R62*100*($E62/365))+(P63/$R63*100*($E63/365))</f>
        <v>0</v>
      </c>
      <c r="K177" s="392"/>
      <c r="L177" s="392">
        <f>(Q62/$R62*100*($E62/365))+(Q63/$R63*100*($E63/365))</f>
        <v>0</v>
      </c>
      <c r="M177" s="392"/>
      <c r="N177" s="363">
        <f t="shared" si="20"/>
        <v>100</v>
      </c>
      <c r="O177" s="363"/>
      <c r="R177" s="1">
        <v>1982</v>
      </c>
      <c r="S177" s="5">
        <f>(O62*($E62/365))+(O63*($E63/365))</f>
        <v>43.130136986301366</v>
      </c>
      <c r="T177" s="5">
        <f>(P62*($E62/365))+(P63*($E63/365))</f>
        <v>0</v>
      </c>
      <c r="U177" s="5">
        <f>(Q62*($E62/365))+(Q63*($E63/365))</f>
        <v>0</v>
      </c>
      <c r="V177" s="5"/>
      <c r="W177" s="5">
        <f t="shared" si="22"/>
        <v>43.130136986301366</v>
      </c>
    </row>
    <row r="178" spans="1:23" x14ac:dyDescent="0.15">
      <c r="A178" s="1">
        <v>1983</v>
      </c>
      <c r="B178" s="5">
        <f>(K64*($E64/365))+(K65*($E65/365))</f>
        <v>100</v>
      </c>
      <c r="C178" s="5">
        <f>(L64*($E64/365))+(L65*($E65/365))</f>
        <v>0</v>
      </c>
      <c r="D178" s="5">
        <f>(M64*($E64/365))+(M65*($E65/365))</f>
        <v>0</v>
      </c>
      <c r="E178" s="17">
        <f t="shared" si="21"/>
        <v>100</v>
      </c>
      <c r="G178" s="1">
        <v>1983</v>
      </c>
      <c r="H178" s="392">
        <f>(O64/$R64*100*($E64/365))+(O65/$R65*100*($E65/365))</f>
        <v>100</v>
      </c>
      <c r="I178" s="392"/>
      <c r="J178" s="392">
        <f>(P64/$R64*100*($E64/365))+(P65/$R65*100*($E65/365))</f>
        <v>0</v>
      </c>
      <c r="K178" s="392"/>
      <c r="L178" s="392">
        <f>(Q64/$R64*100*($E64/365))+(Q65/$R65*100*($E65/365))</f>
        <v>0</v>
      </c>
      <c r="M178" s="392"/>
      <c r="N178" s="363">
        <f t="shared" si="20"/>
        <v>100</v>
      </c>
      <c r="O178" s="363"/>
      <c r="R178" s="1">
        <v>1983</v>
      </c>
      <c r="S178" s="5">
        <f>(O64*($E64/365))+(O65*($E65/365))</f>
        <v>38.200000000000003</v>
      </c>
      <c r="T178" s="5">
        <f>(P64*($E64/365))+(P65*($E65/365))</f>
        <v>0</v>
      </c>
      <c r="U178" s="5">
        <f>(Q64*($E64/365))+(Q65*($E65/365))</f>
        <v>0</v>
      </c>
      <c r="V178" s="5"/>
      <c r="W178" s="5">
        <f t="shared" si="22"/>
        <v>38.200000000000003</v>
      </c>
    </row>
    <row r="179" spans="1:23" x14ac:dyDescent="0.15">
      <c r="A179" s="1">
        <v>1984</v>
      </c>
      <c r="B179" s="5">
        <f>(K66*($E66/366))+(K67*($E67/366))</f>
        <v>100</v>
      </c>
      <c r="C179" s="5">
        <f>(L66*($E66/366))+(L67*($E67/366))</f>
        <v>0</v>
      </c>
      <c r="D179" s="5">
        <f>(M66*($E66/366))+(M67*($E67/366))</f>
        <v>0</v>
      </c>
      <c r="E179" s="17">
        <f t="shared" si="21"/>
        <v>100</v>
      </c>
      <c r="G179" s="1">
        <v>1984</v>
      </c>
      <c r="H179" s="392">
        <f>(O66/$R66*100*($E66/366))+(O67/$R67*100*($E67/366))</f>
        <v>100</v>
      </c>
      <c r="I179" s="392"/>
      <c r="J179" s="392">
        <f>(P66/$R66*100*($E66/366))+(P67/$R67*100*($E67/366))</f>
        <v>0</v>
      </c>
      <c r="K179" s="392"/>
      <c r="L179" s="392">
        <f>(Q66/$R66*100*($E66/366))+(Q67/$R67*100*($E67/366))</f>
        <v>0</v>
      </c>
      <c r="M179" s="392"/>
      <c r="N179" s="363">
        <f t="shared" si="20"/>
        <v>100</v>
      </c>
      <c r="O179" s="363"/>
      <c r="R179" s="1">
        <v>1984</v>
      </c>
      <c r="S179" s="5">
        <f>(O66*($E66/366))+(O67*($E67/366))</f>
        <v>38.750819672131158</v>
      </c>
      <c r="T179" s="5">
        <f>(P66*($E66/366))+(P67*($E67/366))</f>
        <v>0</v>
      </c>
      <c r="U179" s="5">
        <f>(Q66*($E66/366))+(Q67*($E67/366))</f>
        <v>0</v>
      </c>
      <c r="V179" s="5"/>
      <c r="W179" s="5">
        <f t="shared" si="22"/>
        <v>38.750819672131158</v>
      </c>
    </row>
    <row r="180" spans="1:23" x14ac:dyDescent="0.15">
      <c r="A180" s="1">
        <v>1985</v>
      </c>
      <c r="B180" s="5">
        <f>(K68*($E68/365))+(K69*($E69/365))</f>
        <v>100</v>
      </c>
      <c r="C180" s="5">
        <f>(L68*($E68/365))+(L69*($E69/365))</f>
        <v>0</v>
      </c>
      <c r="D180" s="5">
        <f>(M68*($E68/365))+(M69*($E69/365))</f>
        <v>0</v>
      </c>
      <c r="E180" s="17">
        <f t="shared" si="21"/>
        <v>100</v>
      </c>
      <c r="G180" s="1">
        <v>1985</v>
      </c>
      <c r="H180" s="392">
        <f>(O68/$R68*100*($E68/365))+(O69/$R69*100*($E69/365))</f>
        <v>100</v>
      </c>
      <c r="I180" s="392"/>
      <c r="J180" s="392">
        <f>(P68/$R68*100*($E68/365))+(P69/$R69*100*($E69/365))</f>
        <v>0</v>
      </c>
      <c r="K180" s="392"/>
      <c r="L180" s="392">
        <f>(Q68/$R68*100*($E68/365))+(Q69/$R69*100*($E69/365))</f>
        <v>0</v>
      </c>
      <c r="M180" s="392"/>
      <c r="N180" s="363">
        <f t="shared" si="20"/>
        <v>100</v>
      </c>
      <c r="O180" s="363"/>
      <c r="R180" s="1">
        <v>1985</v>
      </c>
      <c r="S180" s="5">
        <f>(O68*($E68/365))+(O69*($E69/365))</f>
        <v>41.8</v>
      </c>
      <c r="T180" s="5">
        <f>(P68*($E68/365))+(P69*($E69/365))</f>
        <v>0</v>
      </c>
      <c r="U180" s="5">
        <f>(Q68*($E68/365))+(Q69*($E69/365))</f>
        <v>0</v>
      </c>
      <c r="V180" s="5"/>
      <c r="W180" s="5">
        <f t="shared" si="22"/>
        <v>41.8</v>
      </c>
    </row>
    <row r="181" spans="1:23" x14ac:dyDescent="0.15">
      <c r="A181" s="1">
        <v>1986</v>
      </c>
      <c r="B181" s="5">
        <f>(K70*($E70/365))+(K71*($E71/365))</f>
        <v>100</v>
      </c>
      <c r="C181" s="5">
        <f>(L70*($E70/365))+(L71*($E71/365))</f>
        <v>0</v>
      </c>
      <c r="D181" s="5">
        <f>(M70*($E70/365))+(M71*($E71/365))</f>
        <v>0</v>
      </c>
      <c r="E181" s="17">
        <f t="shared" si="21"/>
        <v>100</v>
      </c>
      <c r="G181" s="1">
        <v>1986</v>
      </c>
      <c r="H181" s="392">
        <f>(O70/$R70*100*($E70/365))+(O71/$R71*100*($E71/365))</f>
        <v>100</v>
      </c>
      <c r="I181" s="392"/>
      <c r="J181" s="392">
        <f>(P70/$R70*100*($E70/365))+(P71/$R71*100*($E71/365))</f>
        <v>0</v>
      </c>
      <c r="K181" s="392"/>
      <c r="L181" s="392">
        <f>(Q70/$R70*100*($E70/365))+(Q71/$R71*100*($E71/365))</f>
        <v>0</v>
      </c>
      <c r="M181" s="392"/>
      <c r="N181" s="363">
        <f t="shared" si="20"/>
        <v>100</v>
      </c>
      <c r="O181" s="363"/>
      <c r="R181" s="1">
        <v>1986</v>
      </c>
      <c r="S181" s="5">
        <f>(O70*($E70/365))+(O71*($E71/365))</f>
        <v>41.616164383561646</v>
      </c>
      <c r="T181" s="5">
        <f>(P70*($E70/365))+(P71*($E71/365))</f>
        <v>0</v>
      </c>
      <c r="U181" s="5">
        <f>(Q70*($E70/365))+(Q71*($E71/365))</f>
        <v>0</v>
      </c>
      <c r="V181" s="5"/>
      <c r="W181" s="5">
        <f t="shared" si="22"/>
        <v>41.616164383561646</v>
      </c>
    </row>
    <row r="182" spans="1:23" x14ac:dyDescent="0.15">
      <c r="A182" s="1">
        <v>1987</v>
      </c>
      <c r="B182" s="5">
        <f>(K72*($E72/365))+(K73*($E73/365))</f>
        <v>100</v>
      </c>
      <c r="C182" s="5">
        <f>(L72*($E72/365))+(L73*($E73/365))</f>
        <v>0</v>
      </c>
      <c r="D182" s="5">
        <f>(M72*($E72/365))+(M73*($E73/365))</f>
        <v>0</v>
      </c>
      <c r="E182" s="17">
        <f t="shared" si="21"/>
        <v>100</v>
      </c>
      <c r="G182" s="1">
        <v>1987</v>
      </c>
      <c r="H182" s="392">
        <f>(O72/$R72*100*($E72/365))+(O73/$R73*100*($E73/365))</f>
        <v>100</v>
      </c>
      <c r="I182" s="392"/>
      <c r="J182" s="392">
        <f>(P72/$R72*100*($E72/365))+(P73/$R73*100*($E73/365))</f>
        <v>0</v>
      </c>
      <c r="K182" s="392"/>
      <c r="L182" s="392">
        <f>(Q72/$R72*100*($E72/365))+(Q73/$R73*100*($E73/365))</f>
        <v>0</v>
      </c>
      <c r="M182" s="392"/>
      <c r="N182" s="363">
        <f t="shared" si="20"/>
        <v>100</v>
      </c>
      <c r="O182" s="363"/>
      <c r="R182" s="1">
        <v>1987</v>
      </c>
      <c r="S182" s="5">
        <f>(O72*($E72/365))+(O73*($E73/365))</f>
        <v>40.700000000000003</v>
      </c>
      <c r="T182" s="5">
        <f>(P72*($E72/365))+(P73*($E73/365))</f>
        <v>0</v>
      </c>
      <c r="U182" s="5">
        <f>(Q72*($E72/365))+(Q73*($E73/365))</f>
        <v>0</v>
      </c>
      <c r="V182" s="5"/>
      <c r="W182" s="5">
        <f t="shared" si="22"/>
        <v>40.700000000000003</v>
      </c>
    </row>
    <row r="183" spans="1:23" x14ac:dyDescent="0.15">
      <c r="A183" s="1">
        <v>1988</v>
      </c>
      <c r="B183" s="5">
        <f>(K74*($E74/366))+(K75*($E75/366))</f>
        <v>99.999999999999986</v>
      </c>
      <c r="C183" s="5">
        <f>(L74*($E74/366))+(L75*($E75/366))</f>
        <v>0</v>
      </c>
      <c r="D183" s="5">
        <f>(M74*($E74/366))+(M75*($E75/366))</f>
        <v>0</v>
      </c>
      <c r="E183" s="17">
        <f t="shared" si="21"/>
        <v>99.999999999999986</v>
      </c>
      <c r="G183" s="1">
        <v>1988</v>
      </c>
      <c r="H183" s="392">
        <f>(O74/$R74*100*($E74/366))+(O75/$R75*100*($E75/366))</f>
        <v>99.999999999999986</v>
      </c>
      <c r="I183" s="392"/>
      <c r="J183" s="392">
        <f>(P74/$R74*100*($E74/366))+(P75/$R75*100*($E75/366))</f>
        <v>0</v>
      </c>
      <c r="K183" s="392"/>
      <c r="L183" s="392">
        <f>(Q74/$R74*100*($E74/366))+(Q75/$R75*100*($E75/366))</f>
        <v>0</v>
      </c>
      <c r="M183" s="392"/>
      <c r="N183" s="363">
        <f t="shared" si="20"/>
        <v>99.999999999999986</v>
      </c>
      <c r="O183" s="363"/>
      <c r="R183" s="1">
        <v>1988</v>
      </c>
      <c r="S183" s="5">
        <f>(O74*($E74/366))+(O75*($E75/366))</f>
        <v>40.626229508196722</v>
      </c>
      <c r="T183" s="5">
        <f>(P74*($E74/366))+(P75*($E75/366))</f>
        <v>0</v>
      </c>
      <c r="U183" s="5">
        <f>(Q74*($E74/366))+(Q75*($E75/366))</f>
        <v>0</v>
      </c>
      <c r="V183" s="5"/>
      <c r="W183" s="5">
        <f t="shared" si="22"/>
        <v>40.626229508196722</v>
      </c>
    </row>
    <row r="184" spans="1:23" x14ac:dyDescent="0.15">
      <c r="A184" s="1">
        <v>1989</v>
      </c>
      <c r="B184" s="5">
        <f>(K76*($E76/365))+(K77*($E77/365))</f>
        <v>100</v>
      </c>
      <c r="C184" s="5">
        <f>(L76*($E76/365))+(L77*($E77/365))</f>
        <v>0</v>
      </c>
      <c r="D184" s="5">
        <f>(M76*($E76/365))+(M77*($E77/365))</f>
        <v>0</v>
      </c>
      <c r="E184" s="17">
        <f t="shared" si="21"/>
        <v>100</v>
      </c>
      <c r="G184" s="1">
        <v>1989</v>
      </c>
      <c r="H184" s="392">
        <f>(O76/$R76*100*($E76/365))+(O77/$R77*100*($E77/365))</f>
        <v>100</v>
      </c>
      <c r="I184" s="392"/>
      <c r="J184" s="392">
        <f>(P76/$R76*100*($E76/365))+(P77/$R77*100*($E77/365))</f>
        <v>0</v>
      </c>
      <c r="K184" s="392"/>
      <c r="L184" s="392">
        <f>(Q76/$R76*100*($E76/365))+(Q77/$R77*100*($E77/365))</f>
        <v>0</v>
      </c>
      <c r="M184" s="392"/>
      <c r="N184" s="363">
        <f t="shared" si="20"/>
        <v>100</v>
      </c>
      <c r="O184" s="363"/>
      <c r="R184" s="1">
        <v>1989</v>
      </c>
      <c r="S184" s="5">
        <f>(O76*($E76/365))+(O77*($E77/365))</f>
        <v>40.200000000000003</v>
      </c>
      <c r="T184" s="5">
        <f>(P76*($E76/365))+(P77*($E77/365))</f>
        <v>0</v>
      </c>
      <c r="U184" s="5">
        <f>(Q76*($E76/365))+(Q77*($E77/365))</f>
        <v>0</v>
      </c>
      <c r="V184" s="5"/>
      <c r="W184" s="5">
        <f t="shared" si="22"/>
        <v>40.200000000000003</v>
      </c>
    </row>
    <row r="185" spans="1:23" x14ac:dyDescent="0.15">
      <c r="A185" s="1">
        <v>1990</v>
      </c>
      <c r="B185" s="5">
        <f>(K78*($E78/365))+(K79*($E79/365))</f>
        <v>100</v>
      </c>
      <c r="C185" s="5">
        <f>(L78*($E78/365))+(L79*($E79/365))</f>
        <v>0</v>
      </c>
      <c r="D185" s="5">
        <f>(M78*($E78/365))+(M79*($E79/365))</f>
        <v>0</v>
      </c>
      <c r="E185" s="17">
        <f t="shared" si="21"/>
        <v>100</v>
      </c>
      <c r="G185" s="1">
        <v>1990</v>
      </c>
      <c r="H185" s="392">
        <f>(O78/$R78*100*($E78/365))+(O79/$R79*100*($E79/365))</f>
        <v>100</v>
      </c>
      <c r="I185" s="392"/>
      <c r="J185" s="392">
        <f>(P78/$R78*100*($E78/365))+(P79/$R79*100*($E79/365))</f>
        <v>0</v>
      </c>
      <c r="K185" s="392"/>
      <c r="L185" s="392">
        <f>(Q78/$R78*100*($E78/365))+(Q79/$R79*100*($E79/365))</f>
        <v>0</v>
      </c>
      <c r="M185" s="392"/>
      <c r="N185" s="363">
        <f t="shared" si="20"/>
        <v>100</v>
      </c>
      <c r="O185" s="363"/>
      <c r="R185" s="1">
        <v>1990</v>
      </c>
      <c r="S185" s="5">
        <f>(O78*($E78/365))+(O79*($E79/365))</f>
        <v>39.904109589041099</v>
      </c>
      <c r="T185" s="5">
        <f>(P78*($E78/365))+(P79*($E79/365))</f>
        <v>0</v>
      </c>
      <c r="U185" s="5">
        <f>(Q78*($E78/365))+(Q79*($E79/365))</f>
        <v>0</v>
      </c>
      <c r="V185" s="5"/>
      <c r="W185" s="5">
        <f t="shared" si="22"/>
        <v>39.904109589041099</v>
      </c>
    </row>
    <row r="186" spans="1:23" x14ac:dyDescent="0.15">
      <c r="A186" s="1">
        <v>1991</v>
      </c>
      <c r="B186" s="5">
        <f>(K80*($E80/365))+(K81*($E81/365))</f>
        <v>100</v>
      </c>
      <c r="C186" s="5">
        <f>(L80*($E80/365))+(L81*($E81/365))</f>
        <v>0</v>
      </c>
      <c r="D186" s="5">
        <f>(M80*($E80/365))+(M81*($E81/365))</f>
        <v>0</v>
      </c>
      <c r="E186" s="17">
        <f t="shared" si="21"/>
        <v>100</v>
      </c>
      <c r="G186" s="1">
        <v>1991</v>
      </c>
      <c r="H186" s="392">
        <f>(O80/$R80*100*($E80/365))+(O81/$R81*100*($E81/365))</f>
        <v>100</v>
      </c>
      <c r="I186" s="392"/>
      <c r="J186" s="392">
        <f>(P80/$R80*100*($E80/365))+(P81/$R81*100*($E81/365))</f>
        <v>0</v>
      </c>
      <c r="K186" s="392"/>
      <c r="L186" s="392">
        <f>(Q80/$R80*100*($E80/365))+(Q81/$R81*100*($E81/365))</f>
        <v>0</v>
      </c>
      <c r="M186" s="392"/>
      <c r="N186" s="363">
        <f t="shared" si="20"/>
        <v>100</v>
      </c>
      <c r="O186" s="363"/>
      <c r="R186" s="1">
        <v>1991</v>
      </c>
      <c r="S186" s="5">
        <f>(O80*($E80/365))+(O81*($E81/365))</f>
        <v>38.4</v>
      </c>
      <c r="T186" s="5">
        <f>(P80*($E80/365))+(P81*($E81/365))</f>
        <v>0</v>
      </c>
      <c r="U186" s="5">
        <f>(Q80*($E80/365))+(Q81*($E81/365))</f>
        <v>0</v>
      </c>
      <c r="V186" s="5"/>
      <c r="W186" s="5">
        <f t="shared" si="22"/>
        <v>38.4</v>
      </c>
    </row>
    <row r="187" spans="1:23" x14ac:dyDescent="0.15">
      <c r="A187" s="1">
        <v>1992</v>
      </c>
      <c r="B187" s="5">
        <f>(K82*($E82/366))+(K83*($E83/366))</f>
        <v>100</v>
      </c>
      <c r="C187" s="5">
        <f>(L82*($E82/366))+(L83*($E83/366))</f>
        <v>0</v>
      </c>
      <c r="D187" s="5">
        <f>(M82*($E82/366))+(M83*($E83/366))</f>
        <v>0</v>
      </c>
      <c r="E187" s="17">
        <f t="shared" si="21"/>
        <v>100</v>
      </c>
      <c r="G187" s="1">
        <v>1992</v>
      </c>
      <c r="H187" s="392">
        <f>(O82/$R82*100*($E82/366))+(O83/$R83*100*($E83/366))</f>
        <v>100</v>
      </c>
      <c r="I187" s="392"/>
      <c r="J187" s="392">
        <f>(P82/$R82*100*($E82/366))+(P83/$R83*100*($E83/366))</f>
        <v>0</v>
      </c>
      <c r="K187" s="392"/>
      <c r="L187" s="392">
        <f>(Q82/$R82*100*($E82/366))+(Q83/$R83*100*($E83/366))</f>
        <v>0</v>
      </c>
      <c r="M187" s="392"/>
      <c r="N187" s="363">
        <f t="shared" ref="N187:N207" si="23">H187+J187+L187</f>
        <v>100</v>
      </c>
      <c r="O187" s="363"/>
      <c r="R187" s="1">
        <v>1992</v>
      </c>
      <c r="S187" s="5">
        <f>(O82*($E82/366))+(O83*($E83/366))</f>
        <v>38.738524590163934</v>
      </c>
      <c r="T187" s="5">
        <f>(P82*($E82/366))+(P83*($E83/366))</f>
        <v>0</v>
      </c>
      <c r="U187" s="5">
        <f>(Q82*($E82/366))+(Q83*($E83/366))</f>
        <v>0</v>
      </c>
      <c r="V187" s="5"/>
      <c r="W187" s="5">
        <f t="shared" si="22"/>
        <v>38.738524590163934</v>
      </c>
    </row>
    <row r="188" spans="1:23" x14ac:dyDescent="0.15">
      <c r="A188" s="1">
        <v>1993</v>
      </c>
      <c r="B188" s="5">
        <f>(K84*($E84/365))+(K85*($E85/365))</f>
        <v>5.2054794520547949</v>
      </c>
      <c r="C188" s="5">
        <f>(L84*($E84/365))+(L85*($E85/365))</f>
        <v>94.794520547945211</v>
      </c>
      <c r="D188" s="5">
        <f>(M84*($E84/365))+(M85*($E85/365))</f>
        <v>0</v>
      </c>
      <c r="E188" s="17">
        <f t="shared" si="21"/>
        <v>100</v>
      </c>
      <c r="G188" s="1">
        <v>1993</v>
      </c>
      <c r="H188" s="392">
        <f>(O84/$R84*100*($E84/365))+(O85/$R85*100*($E85/365))</f>
        <v>5.2054794520547949</v>
      </c>
      <c r="I188" s="392"/>
      <c r="J188" s="392">
        <f>(P84/$R84*100*($E84/365))+(P85/$R85*100*($E85/365))</f>
        <v>94.794520547945211</v>
      </c>
      <c r="K188" s="392"/>
      <c r="L188" s="392">
        <f>(Q84/$R84*100*($E84/365))+(Q85/$R85*100*($E85/365))</f>
        <v>0</v>
      </c>
      <c r="M188" s="392"/>
      <c r="N188" s="363">
        <f t="shared" si="23"/>
        <v>100</v>
      </c>
      <c r="O188" s="363"/>
      <c r="R188" s="1">
        <v>1993</v>
      </c>
      <c r="S188" s="5">
        <f>(O84*($E84/365))+(O85*($E85/365))</f>
        <v>2.1082191780821917</v>
      </c>
      <c r="T188" s="5">
        <f>(P84*($E84/365))+(P85*($E85/365))</f>
        <v>56.213150684931506</v>
      </c>
      <c r="U188" s="5">
        <f>(Q84*($E84/365))+(Q85*($E85/365))</f>
        <v>0</v>
      </c>
      <c r="V188" s="5"/>
      <c r="W188" s="5">
        <f t="shared" si="22"/>
        <v>58.3213698630137</v>
      </c>
    </row>
    <row r="189" spans="1:23" x14ac:dyDescent="0.15">
      <c r="A189" s="1">
        <v>1994</v>
      </c>
      <c r="B189" s="5">
        <f>(K86*($E86/365))+(K87*($E87/365))</f>
        <v>0</v>
      </c>
      <c r="C189" s="5">
        <f>(L86*($E86/365))+(L87*($E87/365))</f>
        <v>100.00000000000001</v>
      </c>
      <c r="D189" s="5">
        <f>(M86*($E86/365))+(M87*($E87/365))</f>
        <v>0</v>
      </c>
      <c r="E189" s="17">
        <f t="shared" si="21"/>
        <v>100.00000000000001</v>
      </c>
      <c r="G189" s="1">
        <v>1994</v>
      </c>
      <c r="H189" s="392">
        <f>(O86/$R86*100*($E86/365))+(O87/$R87*100*($E87/365))</f>
        <v>0</v>
      </c>
      <c r="I189" s="392"/>
      <c r="J189" s="392">
        <f>(P86/$R86*100*($E86/365))+(P87/$R87*100*($E87/365))</f>
        <v>100.00000000000001</v>
      </c>
      <c r="K189" s="392"/>
      <c r="L189" s="392">
        <f>(Q86/$R86*100*($E86/365))+(Q87/$R87*100*($E87/365))</f>
        <v>0</v>
      </c>
      <c r="M189" s="392"/>
      <c r="N189" s="363">
        <f t="shared" si="23"/>
        <v>100.00000000000001</v>
      </c>
      <c r="O189" s="363"/>
      <c r="R189" s="1">
        <v>1994</v>
      </c>
      <c r="S189" s="5">
        <f>(O86*($E86/365))+(O87*($E87/365))</f>
        <v>0</v>
      </c>
      <c r="T189" s="5">
        <f>(P86*($E86/365))+(P87*($E87/365))</f>
        <v>57.465479452054794</v>
      </c>
      <c r="U189" s="5">
        <f>(Q86*($E86/365))+(Q87*($E87/365))</f>
        <v>0</v>
      </c>
      <c r="V189" s="5"/>
      <c r="W189" s="5">
        <f t="shared" si="22"/>
        <v>57.465479452054794</v>
      </c>
    </row>
    <row r="190" spans="1:23" x14ac:dyDescent="0.15">
      <c r="A190" s="1">
        <v>1995</v>
      </c>
      <c r="B190" s="5">
        <f>(K88*($E88/365))+(K89*($E89/365))</f>
        <v>0</v>
      </c>
      <c r="C190" s="5">
        <f>(L88*($E88/365))+(L89*($E89/365))</f>
        <v>100</v>
      </c>
      <c r="D190" s="5">
        <f>(M88*($E88/365))+(M89*($E89/365))</f>
        <v>0</v>
      </c>
      <c r="E190" s="17">
        <f t="shared" si="21"/>
        <v>100</v>
      </c>
      <c r="G190" s="1">
        <v>1995</v>
      </c>
      <c r="H190" s="392">
        <f>(O88/$R88*100*($E88/365))+(O89/$R89*100*($E89/365))</f>
        <v>0</v>
      </c>
      <c r="I190" s="392"/>
      <c r="J190" s="392">
        <f>(P88/$R88*100*($E88/365))+(P89/$R89*100*($E89/365))</f>
        <v>100</v>
      </c>
      <c r="K190" s="392"/>
      <c r="L190" s="392">
        <f>(Q88/$R88*100*($E88/365))+(Q89/$R89*100*($E89/365))</f>
        <v>0</v>
      </c>
      <c r="M190" s="392"/>
      <c r="N190" s="363">
        <f t="shared" si="23"/>
        <v>100</v>
      </c>
      <c r="O190" s="363"/>
      <c r="R190" s="1">
        <v>1995</v>
      </c>
      <c r="S190" s="5">
        <f>(O88*($E88/365))+(O89*($E89/365))</f>
        <v>0</v>
      </c>
      <c r="T190" s="5">
        <f>(P88*($E88/365))+(P89*($E89/365))</f>
        <v>46.9</v>
      </c>
      <c r="U190" s="5">
        <f>(Q88*($E88/365))+(Q89*($E89/365))</f>
        <v>0</v>
      </c>
      <c r="V190" s="5"/>
      <c r="W190" s="5">
        <f t="shared" si="22"/>
        <v>46.9</v>
      </c>
    </row>
    <row r="191" spans="1:23" x14ac:dyDescent="0.15">
      <c r="A191" s="1">
        <v>1996</v>
      </c>
      <c r="B191" s="5">
        <f>(K90*($E90/366))+(K91*($E91/366))</f>
        <v>0</v>
      </c>
      <c r="C191" s="5">
        <f>(L90*($E90/366))+(L91*($E91/366))</f>
        <v>100</v>
      </c>
      <c r="D191" s="5">
        <f>(M90*($E90/366))+(M91*($E91/366))</f>
        <v>0</v>
      </c>
      <c r="E191" s="17">
        <f t="shared" si="21"/>
        <v>100</v>
      </c>
      <c r="G191" s="1">
        <v>1996</v>
      </c>
      <c r="H191" s="392">
        <f>(O90/$R90*100*($E90/366))+(O91/$R91*100*($E91/366))</f>
        <v>0</v>
      </c>
      <c r="I191" s="392"/>
      <c r="J191" s="392">
        <f>(P90/$R90*100*($E90/366))+(P91/$R91*100*($E91/366))</f>
        <v>100</v>
      </c>
      <c r="K191" s="392"/>
      <c r="L191" s="392">
        <f>(Q90/$R90*100*($E90/366))+(Q91/$R91*100*($E91/366))</f>
        <v>0</v>
      </c>
      <c r="M191" s="392"/>
      <c r="N191" s="363">
        <f t="shared" si="23"/>
        <v>100</v>
      </c>
      <c r="O191" s="363"/>
      <c r="R191" s="1">
        <v>1996</v>
      </c>
      <c r="S191" s="5">
        <f>(O90*($E90/366))+(O91*($E91/366))</f>
        <v>0</v>
      </c>
      <c r="T191" s="5">
        <f>(P90*($E90/366))+(P91*($E91/366))</f>
        <v>47.009016393442622</v>
      </c>
      <c r="U191" s="5">
        <f>(Q90*($E90/366))+(Q91*($E91/366))</f>
        <v>0</v>
      </c>
      <c r="V191" s="5"/>
      <c r="W191" s="5">
        <f t="shared" si="22"/>
        <v>47.009016393442622</v>
      </c>
    </row>
    <row r="192" spans="1:23" x14ac:dyDescent="0.15">
      <c r="A192" s="1">
        <v>1997</v>
      </c>
      <c r="B192" s="5">
        <f>(K92*($E92/365))+(K93*($E93/365))</f>
        <v>5.2663622526636225</v>
      </c>
      <c r="C192" s="5">
        <f>(L92*($E92/365))+(L93*($E93/365))</f>
        <v>94.733637747336374</v>
      </c>
      <c r="D192" s="5">
        <f>(M92*($E92/365))+(M93*($E93/365))</f>
        <v>0</v>
      </c>
      <c r="E192" s="17">
        <f t="shared" si="21"/>
        <v>100</v>
      </c>
      <c r="G192" s="1">
        <v>1997</v>
      </c>
      <c r="H192" s="392">
        <f>(O92/$R92*100*($E92/365))+(O93/$R93*100*($E93/365))</f>
        <v>0</v>
      </c>
      <c r="I192" s="392"/>
      <c r="J192" s="392">
        <f>(P92/$R92*100*($E92/365))+(P93/$R93*100*($E93/365))</f>
        <v>100</v>
      </c>
      <c r="K192" s="392"/>
      <c r="L192" s="392">
        <f>(Q92/$R92*100*($E92/365))+(Q93/$R93*100*($E93/365))</f>
        <v>0</v>
      </c>
      <c r="M192" s="392"/>
      <c r="N192" s="363">
        <f t="shared" si="23"/>
        <v>100</v>
      </c>
      <c r="O192" s="363"/>
      <c r="R192" s="1">
        <v>1997</v>
      </c>
      <c r="S192" s="5">
        <f>(O92*($E92/365))+(O93*($E93/365))</f>
        <v>0</v>
      </c>
      <c r="T192" s="5">
        <f>(P92*($E92/365))+(P93*($E93/365))</f>
        <v>47.6</v>
      </c>
      <c r="U192" s="5">
        <f>(Q92*($E92/365))+(Q93*($E93/365))</f>
        <v>0</v>
      </c>
      <c r="V192" s="5"/>
      <c r="W192" s="5">
        <f>S192+T192+U192</f>
        <v>47.6</v>
      </c>
    </row>
    <row r="193" spans="1:23" x14ac:dyDescent="0.15">
      <c r="A193" s="1">
        <v>1998</v>
      </c>
      <c r="B193" s="5">
        <f>(K94*($E94/365))+(K95*($E95/365))</f>
        <v>5.5555555555555554</v>
      </c>
      <c r="C193" s="5">
        <f>(L94*($E94/365))+(L95*($E95/365))</f>
        <v>94.444444444444443</v>
      </c>
      <c r="D193" s="5">
        <f>(M94*($E94/365))+(M95*($E95/365))</f>
        <v>0</v>
      </c>
      <c r="E193" s="17">
        <f t="shared" si="21"/>
        <v>100</v>
      </c>
      <c r="G193" s="1">
        <v>1998</v>
      </c>
      <c r="H193" s="392">
        <f>(O94/$R94*100*($E94/365))+(O95/$R95*100*($E95/365))</f>
        <v>0</v>
      </c>
      <c r="I193" s="392"/>
      <c r="J193" s="392">
        <f>(P94/$R94*100*($E94/365))+(P95/$R95*100*($E95/365))</f>
        <v>100</v>
      </c>
      <c r="K193" s="392"/>
      <c r="L193" s="392">
        <f>(Q94/$R94*100*($E94/365))+(Q95/$R95*100*($E95/365))</f>
        <v>0</v>
      </c>
      <c r="M193" s="392"/>
      <c r="N193" s="363">
        <f t="shared" si="23"/>
        <v>100</v>
      </c>
      <c r="O193" s="363"/>
      <c r="R193" s="1">
        <v>1998</v>
      </c>
      <c r="S193" s="5">
        <f>(O94*($E94/365))+(O95*($E95/365))</f>
        <v>0</v>
      </c>
      <c r="T193" s="5">
        <f>(P94*($E94/365))+(P95*($E95/365))</f>
        <v>47.745479452054795</v>
      </c>
      <c r="U193" s="5">
        <f>(Q94*($E94/365))+(Q95*($E95/365))</f>
        <v>0</v>
      </c>
      <c r="V193" s="5"/>
      <c r="W193" s="5">
        <f t="shared" si="22"/>
        <v>47.745479452054795</v>
      </c>
    </row>
    <row r="194" spans="1:23" x14ac:dyDescent="0.15">
      <c r="A194" s="1">
        <v>1999</v>
      </c>
      <c r="B194" s="5">
        <f>(K96*($E96/365))+(K97*($E97/365))</f>
        <v>5.5555555555555554</v>
      </c>
      <c r="C194" s="5">
        <f>(L96*($E96/365))+(L97*($E97/365))</f>
        <v>94.444444444444443</v>
      </c>
      <c r="D194" s="5">
        <f>(M96*($E96/365))+(M97*($E97/365))</f>
        <v>0</v>
      </c>
      <c r="E194" s="17">
        <f t="shared" si="21"/>
        <v>100</v>
      </c>
      <c r="G194" s="1">
        <v>1999</v>
      </c>
      <c r="H194" s="392">
        <f>(O96/$R96*100*($E96/365))+(O97/$R97*100*($E97/365))</f>
        <v>0</v>
      </c>
      <c r="I194" s="392"/>
      <c r="J194" s="392">
        <f>(P96/$R96*100*($E96/365))+(P97/$R97*100*($E97/365))</f>
        <v>100</v>
      </c>
      <c r="K194" s="392"/>
      <c r="L194" s="392">
        <f>(Q96/$R96*100*($E96/365))+(Q97/$R97*100*($E97/365))</f>
        <v>0</v>
      </c>
      <c r="M194" s="392"/>
      <c r="N194" s="363">
        <f t="shared" si="23"/>
        <v>100</v>
      </c>
      <c r="O194" s="363"/>
      <c r="R194" s="1">
        <v>1999</v>
      </c>
      <c r="S194" s="5">
        <f>(O96*($E96/365))+(O97*($E97/365))</f>
        <v>0</v>
      </c>
      <c r="T194" s="5">
        <f>(P96*($E96/365))+(P97*($E97/365))</f>
        <v>48.5</v>
      </c>
      <c r="U194" s="5">
        <f>(Q96*($E96/365))+(Q97*($E97/365))</f>
        <v>0</v>
      </c>
      <c r="V194" s="5"/>
      <c r="W194" s="5">
        <f t="shared" si="22"/>
        <v>48.5</v>
      </c>
    </row>
    <row r="195" spans="1:23" x14ac:dyDescent="0.15">
      <c r="A195" s="1">
        <v>2000</v>
      </c>
      <c r="B195" s="5">
        <f>(K98*($E98/366))+(K99*($E99/366))</f>
        <v>5.5555555555555554</v>
      </c>
      <c r="C195" s="5">
        <f>(L98*($E98/366))+(L99*($E99/366))</f>
        <v>94.444444444444443</v>
      </c>
      <c r="D195" s="5">
        <f>(M98*($E98/366))+(M99*($E99/366))</f>
        <v>0</v>
      </c>
      <c r="E195" s="17">
        <f t="shared" si="21"/>
        <v>100</v>
      </c>
      <c r="G195" s="1">
        <v>2000</v>
      </c>
      <c r="H195" s="392">
        <f>(O98/$R98*100*($E98/366))+(O99/$R99*100*($E99/366))</f>
        <v>0</v>
      </c>
      <c r="I195" s="392"/>
      <c r="J195" s="392">
        <f>(P98/$R98*100*($E98/366))+(P99/$R99*100*($E99/366))</f>
        <v>100.00000000000001</v>
      </c>
      <c r="K195" s="392"/>
      <c r="L195" s="392">
        <f>(Q98/$R98*100*($E98/366))+(Q99/$R99*100*($E99/366))</f>
        <v>0</v>
      </c>
      <c r="M195" s="392"/>
      <c r="N195" s="363">
        <f t="shared" si="23"/>
        <v>100.00000000000001</v>
      </c>
      <c r="O195" s="363"/>
      <c r="R195" s="1">
        <v>2000</v>
      </c>
      <c r="S195" s="5">
        <f>(O98*($E98/366))+(O99*($E99/366))</f>
        <v>0</v>
      </c>
      <c r="T195" s="5">
        <f>(P98*($E98/366))+(P99*($E99/366))</f>
        <v>48.53005464480875</v>
      </c>
      <c r="U195" s="5">
        <f>(Q98*($E98/366))+(Q99*($E99/366))</f>
        <v>0</v>
      </c>
      <c r="V195" s="5"/>
      <c r="W195" s="5">
        <f t="shared" si="22"/>
        <v>48.53005464480875</v>
      </c>
    </row>
    <row r="196" spans="1:23" x14ac:dyDescent="0.15">
      <c r="A196" s="1">
        <v>2001</v>
      </c>
      <c r="B196" s="5">
        <f>(K100*($E100/365))+(K101*($E101/365))</f>
        <v>89.817351598173516</v>
      </c>
      <c r="C196" s="5">
        <f>(L100*($E100/365))+(L101*($E101/365))</f>
        <v>10.182648401826484</v>
      </c>
      <c r="D196" s="5">
        <f>(M100*($E100/365))+(M101*($E101/365))</f>
        <v>0</v>
      </c>
      <c r="E196" s="17">
        <f t="shared" si="21"/>
        <v>100</v>
      </c>
      <c r="G196" s="1">
        <v>2001</v>
      </c>
      <c r="H196" s="392">
        <f>(O100/$R100*100*($E100/365))+(O101/$R101*100*($E101/365))</f>
        <v>94.794520547945211</v>
      </c>
      <c r="I196" s="392"/>
      <c r="J196" s="392">
        <f>(P100/$R100*100*($E100/365))+(P101/$R101*100*($E101/365))</f>
        <v>5.2054794520547949</v>
      </c>
      <c r="K196" s="392"/>
      <c r="L196" s="392">
        <f>(Q100/$R100*100*($E100/365))+(Q101/$R101*100*($E101/365))</f>
        <v>0</v>
      </c>
      <c r="M196" s="392"/>
      <c r="N196" s="363">
        <f t="shared" si="23"/>
        <v>100</v>
      </c>
      <c r="O196" s="363"/>
      <c r="R196" s="1">
        <v>2001</v>
      </c>
      <c r="S196" s="5">
        <f>(O100*($E100/365))+(O101*($E101/365))</f>
        <v>48.155616438356162</v>
      </c>
      <c r="T196" s="5">
        <f>(P100*($E100/365))+(P101*($E101/365))</f>
        <v>2.5350684931506851</v>
      </c>
      <c r="U196" s="5">
        <f>(Q100*($E100/365))+(Q101*($E101/365))</f>
        <v>0</v>
      </c>
      <c r="V196" s="5"/>
      <c r="W196" s="5">
        <f t="shared" si="22"/>
        <v>50.690684931506844</v>
      </c>
    </row>
    <row r="197" spans="1:23" x14ac:dyDescent="0.15">
      <c r="A197" s="1">
        <v>2002</v>
      </c>
      <c r="B197" s="5">
        <f>(K102*($E102/365))+(K103*($E103/365))</f>
        <v>94.444444444444443</v>
      </c>
      <c r="C197" s="5">
        <f>(L102*($E102/365))+(L103*($E103/365))</f>
        <v>5.5555555555555545</v>
      </c>
      <c r="D197" s="5">
        <f>(M102*($E102/365))+(M103*($E103/365))</f>
        <v>0</v>
      </c>
      <c r="E197" s="17">
        <f t="shared" si="21"/>
        <v>100</v>
      </c>
      <c r="G197" s="1">
        <v>2002</v>
      </c>
      <c r="H197" s="392">
        <f>(O102/$R102*100*($E102/365))+(O103/$R103*100*($E103/365))</f>
        <v>100</v>
      </c>
      <c r="I197" s="392"/>
      <c r="J197" s="392">
        <f>(P102/$R102*100*($E102/365))+(P103/$R103*100*($E103/365))</f>
        <v>0</v>
      </c>
      <c r="K197" s="392"/>
      <c r="L197" s="392">
        <f>(Q102/$R102*100*($E102/365))+(Q103/$R103*100*($E103/365))</f>
        <v>0</v>
      </c>
      <c r="M197" s="392"/>
      <c r="N197" s="363">
        <f t="shared" si="23"/>
        <v>100</v>
      </c>
      <c r="O197" s="363"/>
      <c r="R197" s="1">
        <v>2002</v>
      </c>
      <c r="S197" s="5">
        <f>(O102*($E102/365))+(O103*($E103/365))</f>
        <v>51.081095890410957</v>
      </c>
      <c r="T197" s="5">
        <f>(P102*($E102/365))+(P103*($E103/365))</f>
        <v>0</v>
      </c>
      <c r="U197" s="5">
        <f>(Q102*($E102/365))+(Q103*($E103/365))</f>
        <v>0</v>
      </c>
      <c r="V197" s="5"/>
      <c r="W197" s="5">
        <f t="shared" si="22"/>
        <v>51.081095890410957</v>
      </c>
    </row>
    <row r="198" spans="1:23" x14ac:dyDescent="0.15">
      <c r="A198" s="1">
        <v>2003</v>
      </c>
      <c r="B198" s="5">
        <f>(K104*($E104/365))+(K105*($E105/365))</f>
        <v>94.720019226147556</v>
      </c>
      <c r="C198" s="5">
        <f>(L104*($E104/365))+(L105*($E105/365))</f>
        <v>5.2799807738524391</v>
      </c>
      <c r="D198" s="5">
        <f>(M104*($E104/365))+(M105*($E105/365))</f>
        <v>0</v>
      </c>
      <c r="E198" s="17">
        <f t="shared" si="21"/>
        <v>100</v>
      </c>
      <c r="G198" s="1">
        <v>2003</v>
      </c>
      <c r="H198" s="392">
        <f>(O104/$R104*100*($E104/365))+(O105/$R105*100*($E105/365))</f>
        <v>100</v>
      </c>
      <c r="I198" s="392"/>
      <c r="J198" s="392">
        <f>(P104/$R104*100*($E104/365))+(P105/$R105*100*($E105/365))</f>
        <v>0</v>
      </c>
      <c r="K198" s="392"/>
      <c r="L198" s="392">
        <f>(Q104/$R104*100*($E104/365))+(Q105/$R105*100*($E105/365))</f>
        <v>0</v>
      </c>
      <c r="M198" s="392"/>
      <c r="N198" s="363">
        <f t="shared" si="23"/>
        <v>100</v>
      </c>
      <c r="O198" s="363"/>
      <c r="R198" s="1">
        <v>2003</v>
      </c>
      <c r="S198" s="5">
        <f>(O104*($E104/365))+(O105*($E105/365))</f>
        <v>52.6</v>
      </c>
      <c r="T198" s="5">
        <f>(P104*($E104/365))+(P105*($E105/365))</f>
        <v>0</v>
      </c>
      <c r="U198" s="5">
        <f>(Q104*($E104/365))+(Q105*($E105/365))</f>
        <v>0</v>
      </c>
      <c r="V198" s="5"/>
      <c r="W198" s="5">
        <f t="shared" si="22"/>
        <v>52.6</v>
      </c>
    </row>
    <row r="199" spans="1:23" x14ac:dyDescent="0.15">
      <c r="A199" s="1">
        <v>2004</v>
      </c>
      <c r="B199" s="5">
        <f>(K106*($E106/366))+(K107*($E107/366))</f>
        <v>94.73684210526315</v>
      </c>
      <c r="C199" s="5">
        <f>(L106*($E106/366))+(L107*($E107/366))</f>
        <v>5.2631578947368425</v>
      </c>
      <c r="D199" s="5">
        <f>(M106*($E106/366))+(M107*($E107/366))</f>
        <v>0</v>
      </c>
      <c r="E199" s="17">
        <f t="shared" si="21"/>
        <v>100</v>
      </c>
      <c r="G199" s="1">
        <v>2004</v>
      </c>
      <c r="H199" s="392">
        <f>(O106/$R106*100*($E106/366))+(O107/$R107*100*($E107/366))</f>
        <v>100</v>
      </c>
      <c r="I199" s="392"/>
      <c r="J199" s="392">
        <f>(P106/$R106*100*($E106/366))+(P107/$R107*100*($E107/366))</f>
        <v>0</v>
      </c>
      <c r="K199" s="392"/>
      <c r="L199" s="392">
        <f>(Q106/$R106*100*($E106/366))+(Q107/$R107*100*($E107/366))</f>
        <v>0</v>
      </c>
      <c r="M199" s="392"/>
      <c r="N199" s="363">
        <f t="shared" si="23"/>
        <v>100</v>
      </c>
      <c r="O199" s="363"/>
      <c r="R199" s="1">
        <v>2004</v>
      </c>
      <c r="S199" s="5">
        <f>(O106*($E106/366))+(O107*($E107/366))</f>
        <v>52.68196721311476</v>
      </c>
      <c r="T199" s="5">
        <f>(P106*($E106/366))+(P107*($E107/366))</f>
        <v>0</v>
      </c>
      <c r="U199" s="5">
        <f>(Q106*($E106/366))+(Q107*($E107/366))</f>
        <v>0</v>
      </c>
      <c r="V199" s="5"/>
      <c r="W199" s="5">
        <f t="shared" si="22"/>
        <v>52.68196721311476</v>
      </c>
    </row>
    <row r="200" spans="1:23" x14ac:dyDescent="0.15">
      <c r="A200" s="1">
        <v>2005</v>
      </c>
      <c r="B200" s="5">
        <f>(K108*($E108/365))+(K109*($E109/365))</f>
        <v>95.417185554171851</v>
      </c>
      <c r="C200" s="5">
        <f>(L108*($E108/365))+(L109*($E109/365))</f>
        <v>4.582814445828145</v>
      </c>
      <c r="D200" s="5">
        <f>(M108*($E108/365))+(M109*($E109/365))</f>
        <v>0</v>
      </c>
      <c r="E200" s="17">
        <f t="shared" si="21"/>
        <v>100</v>
      </c>
      <c r="G200" s="1">
        <v>2005</v>
      </c>
      <c r="H200" s="392">
        <f>(O108/$R108*100*($E108/365))+(O109/$R109*100*($E109/365))</f>
        <v>100</v>
      </c>
      <c r="I200" s="392"/>
      <c r="J200" s="392">
        <f>(P108/$R108*100*($E108/365))+(P109/$R109*100*($E109/365))</f>
        <v>0</v>
      </c>
      <c r="K200" s="392"/>
      <c r="L200" s="392">
        <f>(Q108/$R108*100*($E108/365))+(Q109/$R109*100*($E109/365))</f>
        <v>0</v>
      </c>
      <c r="M200" s="392"/>
      <c r="N200" s="363">
        <f t="shared" si="23"/>
        <v>100</v>
      </c>
      <c r="O200" s="363"/>
      <c r="R200" s="1">
        <v>2005</v>
      </c>
      <c r="S200" s="5">
        <f>(O108*($E108/365))+(O109*($E109/365))</f>
        <v>53.1</v>
      </c>
      <c r="T200" s="5">
        <f>(P108*($E108/365))+(P109*($E109/365))</f>
        <v>0</v>
      </c>
      <c r="U200" s="5">
        <f>(Q108*($E108/365))+(Q109*($E109/365))</f>
        <v>0</v>
      </c>
      <c r="V200" s="5"/>
      <c r="W200" s="5">
        <f t="shared" si="22"/>
        <v>53.1</v>
      </c>
    </row>
    <row r="201" spans="1:23" x14ac:dyDescent="0.15">
      <c r="A201" s="1">
        <v>2006</v>
      </c>
      <c r="B201" s="5">
        <f>(K110*($E110/365))+(K111*($E111/365))+(K112*($E112/365))</f>
        <v>96.612702366127024</v>
      </c>
      <c r="C201" s="5">
        <f>(L110*($E110/365))+(L111*($E111/365))+(L112*($E112/365))</f>
        <v>3.387297633872977</v>
      </c>
      <c r="D201" s="5">
        <f>(M110*($E110/365))+(M111*($E111/365))+(M112*($E112/365))</f>
        <v>0</v>
      </c>
      <c r="E201" s="17">
        <f t="shared" si="21"/>
        <v>100</v>
      </c>
      <c r="G201" s="1">
        <v>2006</v>
      </c>
      <c r="H201" s="392">
        <f>(O110/$R110*100*($E110/365))+(O111/$R111*100*($E111/365))+(O112/$R112*100*($E112/365))</f>
        <v>100</v>
      </c>
      <c r="I201" s="392"/>
      <c r="J201" s="392">
        <f>(P110/$R110*100*($E110/365))+(P111/$R111*100*($E111/365))+(P112/$R112*100*($E112/365))</f>
        <v>0</v>
      </c>
      <c r="K201" s="392"/>
      <c r="L201" s="392">
        <f>(Q110/$R110*100*($E110/365))+(Q111/$R111*100*($E111/365))+(Q112/$R112*100*($E112/365))</f>
        <v>0</v>
      </c>
      <c r="M201" s="392"/>
      <c r="N201" s="363">
        <f t="shared" si="23"/>
        <v>100</v>
      </c>
      <c r="O201" s="363"/>
      <c r="R201" s="1">
        <v>2006</v>
      </c>
      <c r="S201" s="5">
        <f>(O110*($E110/365))+(O111*($E111/365))+(O112*($E112/365))</f>
        <v>52.090410958904108</v>
      </c>
      <c r="T201" s="5">
        <f>(P110*($E110/365))+(P111*($E111/365))+(P112*($E112/365))</f>
        <v>0</v>
      </c>
      <c r="U201" s="5">
        <f>(Q110*($E110/365))+(Q111*($E111/365))+(Q112*($E112/365))</f>
        <v>0</v>
      </c>
      <c r="V201" s="5"/>
      <c r="W201" s="5">
        <f>S201+T201+U201</f>
        <v>52.090410958904108</v>
      </c>
    </row>
    <row r="202" spans="1:23" x14ac:dyDescent="0.15">
      <c r="A202" s="1">
        <v>2007</v>
      </c>
      <c r="B202" s="5">
        <f>(K113*($E113/365))+(K114*($E114/365))</f>
        <v>100</v>
      </c>
      <c r="C202" s="5">
        <f>(L113*($E113/365))+(L114*($E114/365))</f>
        <v>0</v>
      </c>
      <c r="D202" s="5">
        <f>(M113*($E113/365))+(M114*($E114/365))</f>
        <v>0</v>
      </c>
      <c r="E202" s="17">
        <f t="shared" si="21"/>
        <v>100</v>
      </c>
      <c r="G202" s="1">
        <v>2007</v>
      </c>
      <c r="H202" s="392">
        <f>(O113/$R113*100*($E113/365))+(O114/$R114*100*($E114/365))</f>
        <v>100</v>
      </c>
      <c r="I202" s="392"/>
      <c r="J202" s="392">
        <f>(P113/$R113*100*($E113/365))+(P114/$R114*100*($E114/365))</f>
        <v>0</v>
      </c>
      <c r="K202" s="392"/>
      <c r="L202" s="392">
        <f>(Q113/$R113*100*($E113/365))+(Q114/$R114*100*($E114/365))</f>
        <v>0</v>
      </c>
      <c r="M202" s="392"/>
      <c r="N202" s="363">
        <f t="shared" si="23"/>
        <v>100</v>
      </c>
      <c r="O202" s="363"/>
      <c r="R202" s="1">
        <v>2007</v>
      </c>
      <c r="S202" s="5">
        <f>(O113*($E113/365))+(O114*($E114/365))</f>
        <v>46.4</v>
      </c>
      <c r="T202" s="5">
        <f>(P113*($E113/365))+(P114*($E114/365))</f>
        <v>0</v>
      </c>
      <c r="U202" s="5">
        <f>(Q113*($E113/365))+(Q114*($E114/365))</f>
        <v>0</v>
      </c>
      <c r="V202" s="5"/>
      <c r="W202" s="5">
        <f t="shared" si="22"/>
        <v>46.4</v>
      </c>
    </row>
    <row r="203" spans="1:23" x14ac:dyDescent="0.15">
      <c r="A203" s="1">
        <v>2008</v>
      </c>
      <c r="B203" s="5">
        <f>(K115*($E115/366))+(K116*($E116/366))</f>
        <v>100.00000000000001</v>
      </c>
      <c r="C203" s="5">
        <f>(L115*($E115/366))+(L116*($E116/366))</f>
        <v>0</v>
      </c>
      <c r="D203" s="5">
        <f>(M115*($E115/366))+(M116*($E116/366))</f>
        <v>0</v>
      </c>
      <c r="E203" s="17">
        <f t="shared" si="21"/>
        <v>100.00000000000001</v>
      </c>
      <c r="G203" s="1">
        <v>2008</v>
      </c>
      <c r="H203" s="392">
        <f>(O115/$R115*100*($E115/366))+(O116/$R116*100*($E116/366))</f>
        <v>100.00000000000001</v>
      </c>
      <c r="I203" s="392"/>
      <c r="J203" s="392">
        <f>(P115/$R115*100*($E115/366))+(P116/$R116*100*($E116/366))</f>
        <v>0</v>
      </c>
      <c r="K203" s="392"/>
      <c r="L203" s="392">
        <f>(Q115/$R115*100*($E115/366))+(Q116/$R116*100*($E116/366))</f>
        <v>0</v>
      </c>
      <c r="M203" s="392"/>
      <c r="N203" s="363">
        <f t="shared" si="23"/>
        <v>100.00000000000001</v>
      </c>
      <c r="O203" s="363"/>
      <c r="R203" s="1">
        <v>2008</v>
      </c>
      <c r="S203" s="5">
        <f>(O115*($E115/366))+(O116*($E116/366))</f>
        <v>45.528415300546449</v>
      </c>
      <c r="T203" s="5">
        <f>(P115*($E115/366))+(P116*($E116/366))</f>
        <v>0</v>
      </c>
      <c r="U203" s="5">
        <f>(Q115*($E115/366))+(Q116*($E116/366))</f>
        <v>0</v>
      </c>
      <c r="V203" s="5"/>
      <c r="W203" s="5">
        <f t="shared" si="22"/>
        <v>45.528415300546449</v>
      </c>
    </row>
    <row r="204" spans="1:23" x14ac:dyDescent="0.15">
      <c r="A204" s="1">
        <v>2009</v>
      </c>
      <c r="B204" s="5">
        <f>(K117*($E117/365))+(K118*($E118/365))</f>
        <v>16.357775987107171</v>
      </c>
      <c r="C204" s="5">
        <f>(L117*($E117/365))+(L118*($E118/365))</f>
        <v>83.642224012892825</v>
      </c>
      <c r="D204" s="5">
        <f>(M117*($E117/365))+(M118*($E118/365))</f>
        <v>0</v>
      </c>
      <c r="E204" s="17">
        <f t="shared" si="21"/>
        <v>100</v>
      </c>
      <c r="G204" s="1">
        <v>2009</v>
      </c>
      <c r="H204" s="392">
        <f>(O117/$R117*100*($E117/365))+(O118/$R118*100*($E118/365))</f>
        <v>5.2054794520547949</v>
      </c>
      <c r="I204" s="392"/>
      <c r="J204" s="392">
        <f>(P117/$R117*100*($E117/365))+(P118/$R118*100*($E118/365))</f>
        <v>94.794520547945211</v>
      </c>
      <c r="K204" s="392"/>
      <c r="L204" s="392">
        <f>(Q117/$R117*100*($E117/365))+(Q118/$R118*100*($E118/365))</f>
        <v>0</v>
      </c>
      <c r="M204" s="392"/>
      <c r="N204" s="363">
        <f t="shared" si="23"/>
        <v>100</v>
      </c>
      <c r="O204" s="363"/>
      <c r="R204" s="1">
        <v>2009</v>
      </c>
      <c r="S204" s="5">
        <f>(O117*($E117/365))+(O118*($E118/365))</f>
        <v>2.1290410958904111</v>
      </c>
      <c r="T204" s="5">
        <f>(P117*($E117/365))+(P118*($E118/365))</f>
        <v>56.02356164383562</v>
      </c>
      <c r="U204" s="5">
        <f>(Q117*($E117/365))+(Q118*($E118/365))</f>
        <v>0</v>
      </c>
      <c r="V204" s="5"/>
      <c r="W204" s="5">
        <f t="shared" si="22"/>
        <v>58.152602739726035</v>
      </c>
    </row>
    <row r="205" spans="1:23" x14ac:dyDescent="0.15">
      <c r="A205" s="1">
        <v>2010</v>
      </c>
      <c r="B205" s="5">
        <f>(K119*($E119/365))+(K120*($E120/365))</f>
        <v>11.764705882352938</v>
      </c>
      <c r="C205" s="5">
        <f>(L119*($E119/365))+(L120*($E120/365))</f>
        <v>88.235294117647058</v>
      </c>
      <c r="D205" s="5">
        <f>(M119*($E119/365))+(M120*($E120/365))</f>
        <v>0</v>
      </c>
      <c r="E205" s="17">
        <f t="shared" si="21"/>
        <v>100</v>
      </c>
      <c r="G205" s="1">
        <v>2010</v>
      </c>
      <c r="H205" s="392">
        <f>(O119/$R119*100*($E119/365))+(O120/$R120*100*($E120/365))</f>
        <v>0</v>
      </c>
      <c r="I205" s="392"/>
      <c r="J205" s="392">
        <f>(P119/$R119*100*($E119/365))+(P120/$R120*100*($E120/365))</f>
        <v>100</v>
      </c>
      <c r="K205" s="392"/>
      <c r="L205" s="392">
        <f>(Q119/$R119*100*($E119/365))+(Q120/$R120*100*($E120/365))</f>
        <v>0</v>
      </c>
      <c r="M205" s="392"/>
      <c r="N205" s="363">
        <f t="shared" si="23"/>
        <v>100</v>
      </c>
      <c r="O205" s="363"/>
      <c r="R205" s="1">
        <v>2010</v>
      </c>
      <c r="S205" s="5">
        <f>(O119*($E119/365))+(O120*($E120/365))</f>
        <v>0</v>
      </c>
      <c r="T205" s="5">
        <f>(P119*($E119/365))+(P120*($E120/365))</f>
        <v>56.683561643835617</v>
      </c>
      <c r="U205" s="5">
        <f>(Q119*($E119/365))+(Q120*($E120/365))</f>
        <v>0</v>
      </c>
      <c r="V205" s="5"/>
      <c r="W205" s="5">
        <f t="shared" si="22"/>
        <v>56.683561643835617</v>
      </c>
    </row>
    <row r="206" spans="1:23" x14ac:dyDescent="0.15">
      <c r="A206" s="1">
        <v>2011</v>
      </c>
      <c r="B206" s="5">
        <f>(K121*($E121/365))+(K122*($E122/365))</f>
        <v>8.7993553585817885</v>
      </c>
      <c r="C206" s="5">
        <f>(L121*($E121/365))+(L122*($E122/365))</f>
        <v>91.200644641418208</v>
      </c>
      <c r="D206" s="5">
        <f>(M121*($E121/365))+(M122*($E122/365))</f>
        <v>0</v>
      </c>
      <c r="E206" s="17">
        <f t="shared" si="21"/>
        <v>100</v>
      </c>
      <c r="G206" s="1">
        <v>2011</v>
      </c>
      <c r="H206" s="392">
        <f>(O121/$R121*100*($E121/365))+(O122/$R122*100*($E122/365))</f>
        <v>0</v>
      </c>
      <c r="I206" s="392"/>
      <c r="J206" s="392">
        <f>(P121/$R121*100*($E121/365))+(P122/$R122*100*($E122/365))</f>
        <v>100</v>
      </c>
      <c r="K206" s="392"/>
      <c r="L206" s="392">
        <f>(Q121/$R121*100*($E121/365))+(Q122/$R122*100*($E122/365))</f>
        <v>0</v>
      </c>
      <c r="M206" s="392"/>
      <c r="N206" s="363">
        <f t="shared" si="23"/>
        <v>100</v>
      </c>
      <c r="O206" s="363"/>
      <c r="R206" s="1">
        <v>2011</v>
      </c>
      <c r="S206" s="5">
        <f>(O121*($E121/365))+(O122*($E122/365))</f>
        <v>0</v>
      </c>
      <c r="T206" s="5">
        <f>(P121*($E121/365))+(P122*($E122/365))</f>
        <v>44.4</v>
      </c>
      <c r="U206" s="5">
        <f>(Q121*($E121/365))+(Q122*($E122/365))</f>
        <v>0</v>
      </c>
      <c r="V206" s="5"/>
      <c r="W206" s="5">
        <f t="shared" si="22"/>
        <v>44.4</v>
      </c>
    </row>
    <row r="207" spans="1:23" x14ac:dyDescent="0.15">
      <c r="A207" s="1">
        <v>2012</v>
      </c>
      <c r="B207" s="5">
        <f>(K123*($E123/366))+(K124*($E124/366))</f>
        <v>5.882352941176471</v>
      </c>
      <c r="C207" s="5">
        <f>(L123*($E123/366))+(L124*($E124/366))</f>
        <v>94.117647058823536</v>
      </c>
      <c r="D207" s="5">
        <f>(M123*($E123/366))+(M124*($E124/366))</f>
        <v>0</v>
      </c>
      <c r="E207" s="17">
        <f t="shared" si="21"/>
        <v>100</v>
      </c>
      <c r="G207" s="1">
        <v>2012</v>
      </c>
      <c r="H207" s="392">
        <f>(O123/$R123*100*($E123/366))+(O124/$R124*100*($E124/366))</f>
        <v>0</v>
      </c>
      <c r="I207" s="392"/>
      <c r="J207" s="392">
        <f>(P123/$R123*100*($E123/366))+(P124/$R124*100*($E124/366))</f>
        <v>100</v>
      </c>
      <c r="K207" s="392"/>
      <c r="L207" s="392">
        <f>(Q123/$R123*100*($E123/366))+(Q124/$R124*100*($E124/366))</f>
        <v>0</v>
      </c>
      <c r="M207" s="392"/>
      <c r="N207" s="363">
        <f t="shared" si="23"/>
        <v>100</v>
      </c>
      <c r="O207" s="363"/>
      <c r="R207" s="1">
        <v>2012</v>
      </c>
      <c r="S207" s="5">
        <f>(O123*($E123/366))+(O124*($E124/366))</f>
        <v>0</v>
      </c>
      <c r="T207" s="5">
        <f>(P123*($E123/366))+(P124*($E124/366))</f>
        <v>44.675409836065569</v>
      </c>
      <c r="U207" s="5">
        <f>(Q123*($E123/366))+(Q124*($E124/366))</f>
        <v>0</v>
      </c>
      <c r="V207" s="5"/>
      <c r="W207" s="5">
        <f t="shared" si="22"/>
        <v>44.675409836065569</v>
      </c>
    </row>
    <row r="208" spans="1:23" x14ac:dyDescent="0.15">
      <c r="A208" s="1">
        <v>2013</v>
      </c>
      <c r="B208" s="5">
        <f>(K125*($E125/365))+(K126*($E126/365))</f>
        <v>5.8823529411764701</v>
      </c>
      <c r="C208" s="5">
        <f>(L125*($E125/365))+(L126*($E126/365))</f>
        <v>94.117647058823522</v>
      </c>
      <c r="D208" s="5">
        <f>(M125*($E125/365))+(M126*($E126/365))</f>
        <v>0</v>
      </c>
      <c r="E208" s="17">
        <f t="shared" si="21"/>
        <v>99.999999999999986</v>
      </c>
      <c r="G208" s="1">
        <v>2013</v>
      </c>
      <c r="H208" s="392">
        <f>(O125/$R125*100*($E125/365))+(O126/$R126*100*($E126/365))</f>
        <v>0</v>
      </c>
      <c r="I208" s="392"/>
      <c r="J208" s="392">
        <f>(P125/$R125*100*($E125/365))+(P126/$R126*100*($E126/365))</f>
        <v>100</v>
      </c>
      <c r="K208" s="392"/>
      <c r="L208" s="392">
        <f>(Q125/$R125*100*($E125/365))+(Q126/$R126*100*($E126/365))</f>
        <v>0</v>
      </c>
      <c r="M208" s="392"/>
      <c r="N208" s="363">
        <f>H208+J208+L208</f>
        <v>100</v>
      </c>
      <c r="O208" s="363"/>
      <c r="R208" s="1">
        <v>2013</v>
      </c>
      <c r="S208" s="5">
        <f>(O125*($E125/365))+(O126*($E126/365))</f>
        <v>0</v>
      </c>
      <c r="T208" s="5">
        <f>(P125*($E125/365))+(P126*($E126/365))</f>
        <v>46.2</v>
      </c>
      <c r="U208" s="5">
        <f>(Q125*($E125/365))+(Q126*($E126/365))</f>
        <v>0</v>
      </c>
      <c r="W208" s="5">
        <f t="shared" si="22"/>
        <v>46.2</v>
      </c>
    </row>
    <row r="209" spans="1:23" x14ac:dyDescent="0.15">
      <c r="A209" s="1">
        <v>2014</v>
      </c>
      <c r="B209" s="5">
        <f>(K127*($E127/365))+(K128*($E128/365))+(K129*($E129/365))</f>
        <v>8.3964544721998386</v>
      </c>
      <c r="C209" s="5">
        <f>(L127*($E127/365))+(L128*($E128/365))+(L129*($E129/365))</f>
        <v>91.603545527800151</v>
      </c>
      <c r="D209" s="5">
        <f>(M127*($E127/365))+(M128*($E128/365))+(M129*($E129/365))</f>
        <v>0</v>
      </c>
      <c r="E209" s="17">
        <f>B209+C209+D209</f>
        <v>99.999999999999986</v>
      </c>
      <c r="G209" s="1">
        <v>2014</v>
      </c>
      <c r="H209" s="392">
        <f>(O127/$R127*100*($E127/365))+(O128/$R128*100*($E128/365))+(O129/$R129*100*($E129/365))</f>
        <v>0</v>
      </c>
      <c r="I209" s="392"/>
      <c r="J209" s="392">
        <f>(P127/$R127*100*($E127/365))+(P128/$R128*100*($E128/365))+(P129/$R129*100*($E129/365))</f>
        <v>100</v>
      </c>
      <c r="K209" s="392"/>
      <c r="L209" s="392">
        <f>(Q127/$R127*100*($E127/365))+(Q128/$R128*100*($E128/365))+(Q129/$R129*100*($E129/365))</f>
        <v>0</v>
      </c>
      <c r="M209" s="392"/>
      <c r="N209" s="363">
        <f>H209+J209+L209</f>
        <v>100</v>
      </c>
      <c r="O209" s="363"/>
      <c r="R209" s="1">
        <v>2014</v>
      </c>
      <c r="S209" s="5">
        <f>(O127*($E127/365))+(O128*($E128/365))+(O129*($E129/365))</f>
        <v>0</v>
      </c>
      <c r="T209" s="5">
        <f>(P127*($E127/365))+(P128*($E128/365))+(P129*($E129/365))</f>
        <v>45.723287671232882</v>
      </c>
      <c r="U209" s="5">
        <f>(Q127*($E127/365))+(Q128*($E128/365))+(Q129*($E129/365))</f>
        <v>0</v>
      </c>
      <c r="W209" s="5">
        <f>S209+T209+U209</f>
        <v>45.723287671232882</v>
      </c>
    </row>
    <row r="210" spans="1:23" x14ac:dyDescent="0.15">
      <c r="A210" s="1">
        <v>2015</v>
      </c>
      <c r="B210" s="5">
        <f>(K130*($E130/365))+(K131*($E131/365))</f>
        <v>6.5592264302981462</v>
      </c>
      <c r="C210" s="5">
        <f>(L130*($E130/365))+(L131*($E131/365))</f>
        <v>93.440773569701847</v>
      </c>
      <c r="D210" s="5">
        <f>(M130*($E130/365))+(M131*($E131/365))</f>
        <v>0</v>
      </c>
      <c r="E210" s="17">
        <f>B210+C210+D210</f>
        <v>100</v>
      </c>
      <c r="G210" s="1">
        <v>2015</v>
      </c>
      <c r="H210" s="392">
        <f>(O130/$R130*100*($E130/365))+(O131/$R131*100*($E131/365))</f>
        <v>0</v>
      </c>
      <c r="I210" s="392"/>
      <c r="J210" s="392">
        <f>(P130/$R130*100*($E130/365))+(P131/$R131*100*($E131/365))</f>
        <v>100</v>
      </c>
      <c r="K210" s="392"/>
      <c r="L210" s="392">
        <f>(Q130/$R130*100*($E130/365))+(Q131/$R131*100*($E131/365))</f>
        <v>0</v>
      </c>
      <c r="M210" s="392"/>
      <c r="N210" s="363">
        <f>H210+J210+L210</f>
        <v>100</v>
      </c>
      <c r="O210" s="363"/>
      <c r="R210" s="1">
        <v>2015</v>
      </c>
      <c r="S210" s="5">
        <f>(O130*($E130/365))+(O131*($E131/365))</f>
        <v>0</v>
      </c>
      <c r="T210" s="5">
        <f>(P130*($E130/365))+(P131*($E131/365))</f>
        <v>43.2</v>
      </c>
      <c r="U210" s="5">
        <f>(Q130*($E130/365))+(Q131*($E131/365))</f>
        <v>0</v>
      </c>
      <c r="W210" s="5">
        <f>S210+T210+U210</f>
        <v>43.2</v>
      </c>
    </row>
    <row r="211" spans="1:23" x14ac:dyDescent="0.15">
      <c r="A211" s="1">
        <v>2016</v>
      </c>
      <c r="B211" s="5">
        <f>(K132*($E132/366))+(K133*($E133/366))</f>
        <v>5.8823529411764701</v>
      </c>
      <c r="C211" s="5">
        <f>(L132*($E132/366))+(L133*($E133/366))</f>
        <v>94.117647058823522</v>
      </c>
      <c r="D211" s="5">
        <f>(M132*($E132/366))+(M133*($E133/366))</f>
        <v>0</v>
      </c>
      <c r="E211" s="17">
        <f t="shared" ref="E211" si="24">B211+C211+D211</f>
        <v>99.999999999999986</v>
      </c>
      <c r="G211" s="1">
        <v>2016</v>
      </c>
      <c r="H211" s="392">
        <f>(O132/$R132*100*($E132/366))+(O133/$R133*100*($E133/366))</f>
        <v>0</v>
      </c>
      <c r="I211" s="392"/>
      <c r="J211" s="392">
        <f>(P132/$R132*100*($E132/366))+(P133/$R133*100*($E133/366))</f>
        <v>100</v>
      </c>
      <c r="K211" s="392"/>
      <c r="L211" s="392">
        <f>(Q132/$R132*100*($E132/366))+(Q133/$R133*100*($E133/366))</f>
        <v>0</v>
      </c>
      <c r="M211" s="392"/>
      <c r="N211" s="363">
        <f t="shared" ref="N211" si="25">H211+J211+L211</f>
        <v>100</v>
      </c>
      <c r="O211" s="363"/>
      <c r="R211" s="1">
        <v>2016</v>
      </c>
      <c r="S211" s="5">
        <f>(O132*($E132/366))+(O133*($E133/366))</f>
        <v>0</v>
      </c>
      <c r="T211" s="5">
        <f>(P132*($E132/366))+(P133*($E133/366))</f>
        <v>44.6</v>
      </c>
      <c r="U211" s="5">
        <f>(Q132*($E132/366))+(Q133*($E133/366))</f>
        <v>0</v>
      </c>
      <c r="W211" s="5">
        <f t="shared" ref="W211" si="26">S211+T211+U211</f>
        <v>44.6</v>
      </c>
    </row>
    <row r="212" spans="1:23" x14ac:dyDescent="0.15">
      <c r="A212" s="1">
        <v>2017</v>
      </c>
      <c r="B212" s="5">
        <f>(K134*($E134/365))+(K135*($E135/365))+(K136*($E136/365))+(K137*($E137/365))</f>
        <v>81.885576148267518</v>
      </c>
      <c r="C212" s="5">
        <f>(L134*($E134/365))+(L135*($E135/365))+(L136*($E136/365))+(L137*($E137/365))</f>
        <v>4.8992747784045125</v>
      </c>
      <c r="D212" s="5">
        <f>(M134*($E134/365))+(M135*($E135/365))+(M136*($E136/365))+(M137*($E137/365))</f>
        <v>0</v>
      </c>
      <c r="E212" s="17">
        <f t="shared" ref="E212" si="27">B212+C212+D212</f>
        <v>86.784850926672036</v>
      </c>
      <c r="G212" s="1">
        <v>2017</v>
      </c>
      <c r="H212" s="392">
        <f>(O134/$R134*100*($E134/365))+(O135/$R135*100*($E135/365))+(O136/$R135*100*($E136/365))+(O137/$R137*100*($E137/365))</f>
        <v>94.794520547945197</v>
      </c>
      <c r="I212" s="392"/>
      <c r="J212" s="392">
        <f>(P134/$R134*100*($E134/365))+(P135/$R135*100*($E135/365))+(P136/$R135*100*($E136/365))+(P137/$R137*100*($E137/365))</f>
        <v>5.2054794520547949</v>
      </c>
      <c r="K212" s="392"/>
      <c r="L212" s="392">
        <f>(Q134/$R134*100*($E134/365))+(Q135/$R135*100*($E135/365))+(Q136/$R135*100*($E136/365))+(Q137/$R137*100*($E137/365))</f>
        <v>0</v>
      </c>
      <c r="M212" s="392"/>
      <c r="N212" s="363">
        <f t="shared" ref="N212" si="28">H212+J212+L212</f>
        <v>99.999999999999986</v>
      </c>
      <c r="O212" s="363"/>
      <c r="R212" s="1">
        <v>2017</v>
      </c>
      <c r="S212" s="5">
        <f>(O134*($E134/365))+(O135*($E135/365))+(O136*($E136/365))+(O137*($E137/365))</f>
        <v>52.516164383561637</v>
      </c>
      <c r="T212" s="5">
        <f>(P134*($E134/365))+(P135*($E135/365))+(P136*($E136/365))+(P137*($E137/365))</f>
        <v>2.3216438356164386</v>
      </c>
      <c r="U212" s="5">
        <f>(Q134*($E134/365))+(Q135*($E135/365))+(Q136*($E136/365))+(Q137*($E137/365))</f>
        <v>0</v>
      </c>
      <c r="W212" s="5">
        <f t="shared" ref="W212" si="29">S212+T212+U212</f>
        <v>54.837808219178079</v>
      </c>
    </row>
    <row r="213" spans="1:23" x14ac:dyDescent="0.15">
      <c r="A213" s="1">
        <v>2018</v>
      </c>
      <c r="B213" s="5">
        <f>(K138*($E138/365))+(K139*($E139/365))</f>
        <v>92.731668009669619</v>
      </c>
      <c r="C213" s="5">
        <f>(L138*($E138/365))+(L139*($E139/365))</f>
        <v>0</v>
      </c>
      <c r="D213" s="5">
        <f>(M138*($E138/365))+(M139*($E139/365))</f>
        <v>0</v>
      </c>
      <c r="E213" s="17">
        <f t="shared" ref="E213" si="30">B213+C213+D213</f>
        <v>92.731668009669619</v>
      </c>
      <c r="G213" s="1">
        <v>2018</v>
      </c>
      <c r="H213" s="392">
        <f>(O138/$R138*100*($E138/365))+(O139/$R139*100*($E139/365))</f>
        <v>100</v>
      </c>
      <c r="I213" s="392"/>
      <c r="J213" s="392">
        <f>(P138/$R138*100*($E138/365))+(P139/$R139*100*($E139/365))</f>
        <v>0</v>
      </c>
      <c r="K213" s="392"/>
      <c r="L213" s="392">
        <f>(Q138/$R138*100*($E138/365))+(Q139/$R139*100*($E139/365))</f>
        <v>0</v>
      </c>
      <c r="M213" s="392"/>
      <c r="N213" s="363">
        <f t="shared" ref="N213" si="31">H213+J213+L213</f>
        <v>100</v>
      </c>
      <c r="O213" s="363"/>
      <c r="R213" s="1">
        <v>2018</v>
      </c>
      <c r="S213" s="5">
        <f>(O138*($E138/365))+(O139*($E139/365))</f>
        <v>47.985479452054797</v>
      </c>
      <c r="T213" s="5">
        <f>(P138*($E138/365))+(P139*($E139/365))</f>
        <v>0</v>
      </c>
      <c r="U213" s="5">
        <f>(Q138*($E138/365))+(Q139*($E139/365))</f>
        <v>0</v>
      </c>
      <c r="W213" s="5">
        <f t="shared" ref="W213" si="32">S213+T213+U213</f>
        <v>47.985479452054797</v>
      </c>
    </row>
    <row r="214" spans="1:23" x14ac:dyDescent="0.15">
      <c r="A214" s="1">
        <v>2019</v>
      </c>
      <c r="B214" s="5">
        <f>(K140*($E140/365))+(K141*($E141/365))</f>
        <v>94.117647058823522</v>
      </c>
      <c r="C214" s="5">
        <f>(L140*($E140/365))+(L141*($E141/365))</f>
        <v>0</v>
      </c>
      <c r="D214" s="5">
        <f>(M140*($E140/365))+(M141*($E141/365))</f>
        <v>0</v>
      </c>
      <c r="E214" s="17">
        <f t="shared" ref="E214:E215" si="33">B214+C214+D214</f>
        <v>94.117647058823522</v>
      </c>
      <c r="G214" s="1">
        <v>2019</v>
      </c>
      <c r="H214" s="392">
        <f>(O140/$R140*100*($E140/365))+(O141/$R141*100*($E141/365))</f>
        <v>100</v>
      </c>
      <c r="I214" s="392"/>
      <c r="J214" s="392">
        <f>(P140/$R140*100*($E140/365))+(P141/$R141*100*($E141/365))</f>
        <v>0</v>
      </c>
      <c r="K214" s="392"/>
      <c r="L214" s="392">
        <f>(Q140/$R140*100*($E140/365))+(Q141/$R141*100*($E141/365))</f>
        <v>0</v>
      </c>
      <c r="M214" s="392"/>
      <c r="N214" s="363">
        <f t="shared" ref="N214" si="34">H214+J214+L214</f>
        <v>100</v>
      </c>
      <c r="O214" s="363"/>
      <c r="R214" s="1">
        <v>2019</v>
      </c>
      <c r="S214" s="5">
        <f>(O140*($E140/365))+(O141*($E141/365))</f>
        <v>45.7</v>
      </c>
      <c r="T214" s="5">
        <f>(P140*($E140/365))+(P141*($E141/365))</f>
        <v>0</v>
      </c>
      <c r="U214" s="5">
        <f>(Q140*($E140/365))+(Q141*($E141/365))</f>
        <v>0</v>
      </c>
      <c r="W214" s="5">
        <f t="shared" ref="W214:W215" si="35">S214+T214+U214</f>
        <v>45.7</v>
      </c>
    </row>
    <row r="215" spans="1:23" x14ac:dyDescent="0.15">
      <c r="A215" s="1">
        <v>2020</v>
      </c>
      <c r="B215" s="5">
        <f>(K142*($E142/366))+(K143*($E143/366))</f>
        <v>94.117647058823522</v>
      </c>
      <c r="C215" s="5">
        <f>(L142*($E142/366))+(L143*($E143/366))</f>
        <v>0</v>
      </c>
      <c r="D215" s="5">
        <f>(M142*($E142/366))+(M143*($E143/366))</f>
        <v>0</v>
      </c>
      <c r="E215" s="17">
        <f t="shared" si="33"/>
        <v>94.117647058823522</v>
      </c>
      <c r="G215" s="1">
        <v>2020</v>
      </c>
      <c r="H215" s="392">
        <f>(O142/$R142*100*($E142/366))+(O143/$R143*100*($E143/366))</f>
        <v>100</v>
      </c>
      <c r="I215" s="392"/>
      <c r="J215" s="392">
        <f>(P142/$R142*100*($E142/366))+(P143/$R143*100*($E143/366))</f>
        <v>0</v>
      </c>
      <c r="K215" s="392"/>
      <c r="L215" s="392">
        <f>(Q142/$R142*100*($E142/366))+(Q143/$R143*100*($E143/366))</f>
        <v>0</v>
      </c>
      <c r="M215" s="392"/>
      <c r="N215" s="363">
        <f t="shared" ref="N215" si="36">H215+J215+L215</f>
        <v>100</v>
      </c>
      <c r="O215" s="363"/>
      <c r="R215" s="1">
        <v>2020</v>
      </c>
      <c r="S215" s="5">
        <f>(O142*($E142/366))+(O143*($E143/366))</f>
        <v>49</v>
      </c>
      <c r="T215" s="5">
        <f>(P142*($E142/366))+(P143*($E143/366))</f>
        <v>0</v>
      </c>
      <c r="U215" s="5">
        <f>(Q142*($E142/366))+(Q143*($E143/366))</f>
        <v>0</v>
      </c>
      <c r="W215" s="5">
        <f t="shared" si="35"/>
        <v>49</v>
      </c>
    </row>
    <row r="216" spans="1:23" x14ac:dyDescent="0.15">
      <c r="A216" s="1">
        <v>2021</v>
      </c>
      <c r="B216" s="5">
        <f>(K144*($E144/365))+(K145*($E145/365))</f>
        <v>5.1571313456889598</v>
      </c>
      <c r="C216" s="5">
        <f>(L144*($E144/365))+(L145*($E145/365))</f>
        <v>88.613013698630141</v>
      </c>
      <c r="D216" s="5">
        <f>(M144*($E144/365))+(M145*($E145/365))</f>
        <v>0</v>
      </c>
      <c r="E216" s="17">
        <f t="shared" ref="E216" si="37">B216+C216+D216</f>
        <v>93.770145044319094</v>
      </c>
      <c r="G216" s="1">
        <v>2021</v>
      </c>
      <c r="H216" s="392">
        <f>(O144/$R144*100*($E144/365))+(O145/$R145*100*($E145/365))</f>
        <v>5.4794520547945202</v>
      </c>
      <c r="I216" s="392"/>
      <c r="J216" s="392">
        <f>(P144/$R144*100*($E144/365))+(P145/$R145*100*($E145/365))</f>
        <v>94.520547945205479</v>
      </c>
      <c r="K216" s="392"/>
      <c r="L216" s="392">
        <f>(Q144/$R144*100*($E144/365))+(Q145/$R145*100*($E145/365))</f>
        <v>0</v>
      </c>
      <c r="M216" s="392"/>
      <c r="N216" s="363">
        <f>H216+J216+L216</f>
        <v>100</v>
      </c>
      <c r="O216" s="363"/>
      <c r="R216" s="1">
        <v>2021</v>
      </c>
      <c r="S216" s="5">
        <f>(O144*($E144/365))+(O145*($E145/365))</f>
        <v>2.6849315068493151</v>
      </c>
      <c r="T216" s="5">
        <f>(P144*($E144/365))+(P145*($E145/365))</f>
        <v>48.205479452054796</v>
      </c>
      <c r="U216" s="5">
        <f>(Q144*($E144/365))+(Q145*($E145/365))</f>
        <v>0</v>
      </c>
      <c r="W216" s="5">
        <f t="shared" ref="W216" si="38">S216+T216+U216</f>
        <v>50.890410958904113</v>
      </c>
    </row>
    <row r="217" spans="1:23" x14ac:dyDescent="0.15">
      <c r="A217" s="1">
        <v>2022</v>
      </c>
      <c r="B217" s="5">
        <f>(K146*($E146/365))+(K147*($E147/365))</f>
        <v>0</v>
      </c>
      <c r="C217" s="5">
        <f>(L146*($E146/365))+(L147*($E147/365))</f>
        <v>93.75</v>
      </c>
      <c r="D217" s="5">
        <f>(M146*($E146/365))+(M147*($E147/365))</f>
        <v>0</v>
      </c>
      <c r="E217" s="17">
        <f t="shared" ref="E217" si="39">B217+C217+D217</f>
        <v>93.75</v>
      </c>
      <c r="G217" s="1">
        <v>2022</v>
      </c>
      <c r="H217" s="392">
        <f>(O146/$R146*100*($E146/365))+(O147/$R147*100*($E147/365))</f>
        <v>0</v>
      </c>
      <c r="I217" s="392"/>
      <c r="J217" s="392">
        <f>(P146/$R146*100*($E146/365))+(P147/$R147*100*($E147/365))</f>
        <v>100</v>
      </c>
      <c r="K217" s="392"/>
      <c r="L217" s="392">
        <f>(Q146/$R146*100*($E146/365))+(Q147/$R147*100*($E147/365))</f>
        <v>0</v>
      </c>
      <c r="M217" s="392"/>
      <c r="N217" s="363">
        <f>H217+J217+L217</f>
        <v>100</v>
      </c>
      <c r="O217" s="363"/>
      <c r="R217" s="1">
        <v>2022</v>
      </c>
      <c r="S217" s="5">
        <f>(O146*($E146/365))+(O147*($E147/365))</f>
        <v>0</v>
      </c>
      <c r="T217" s="5">
        <f>(P146*($E146/365))+(P147*($E147/365))</f>
        <v>47.3</v>
      </c>
      <c r="U217" s="5">
        <f>(Q146*($E146/365))+(Q147*($E147/365))</f>
        <v>0</v>
      </c>
      <c r="W217" s="5">
        <f t="shared" ref="W217" si="40">S217+T217+U217</f>
        <v>47.3</v>
      </c>
    </row>
  </sheetData>
  <mergeCells count="424">
    <mergeCell ref="H216:I216"/>
    <mergeCell ref="J216:K216"/>
    <mergeCell ref="L216:M216"/>
    <mergeCell ref="N216:O216"/>
    <mergeCell ref="J187:K187"/>
    <mergeCell ref="H213:I213"/>
    <mergeCell ref="L213:M213"/>
    <mergeCell ref="N213:O213"/>
    <mergeCell ref="J213:K213"/>
    <mergeCell ref="H211:I211"/>
    <mergeCell ref="J211:K211"/>
    <mergeCell ref="L211:M211"/>
    <mergeCell ref="H198:I198"/>
    <mergeCell ref="H199:I199"/>
    <mergeCell ref="J198:K198"/>
    <mergeCell ref="J199:K199"/>
    <mergeCell ref="N211:O211"/>
    <mergeCell ref="L205:M205"/>
    <mergeCell ref="N204:O204"/>
    <mergeCell ref="H210:I210"/>
    <mergeCell ref="J210:K210"/>
    <mergeCell ref="L210:M210"/>
    <mergeCell ref="N210:O210"/>
    <mergeCell ref="J189:K189"/>
    <mergeCell ref="J190:K190"/>
    <mergeCell ref="J191:K191"/>
    <mergeCell ref="H200:I200"/>
    <mergeCell ref="J200:K200"/>
    <mergeCell ref="N200:O200"/>
    <mergeCell ref="N198:O198"/>
    <mergeCell ref="N199:O199"/>
    <mergeCell ref="N192:O192"/>
    <mergeCell ref="N196:O196"/>
    <mergeCell ref="N197:O197"/>
    <mergeCell ref="H195:I195"/>
    <mergeCell ref="H196:I196"/>
    <mergeCell ref="H197:I197"/>
    <mergeCell ref="H193:I193"/>
    <mergeCell ref="H194:I194"/>
    <mergeCell ref="J195:K195"/>
    <mergeCell ref="J196:K196"/>
    <mergeCell ref="J197:K197"/>
    <mergeCell ref="H192:I192"/>
    <mergeCell ref="L195:M195"/>
    <mergeCell ref="L200:M200"/>
    <mergeCell ref="J182:K182"/>
    <mergeCell ref="J183:K183"/>
    <mergeCell ref="J184:K184"/>
    <mergeCell ref="J185:K185"/>
    <mergeCell ref="J174:K174"/>
    <mergeCell ref="H209:I209"/>
    <mergeCell ref="J209:K209"/>
    <mergeCell ref="L209:M209"/>
    <mergeCell ref="N209:O209"/>
    <mergeCell ref="N205:O205"/>
    <mergeCell ref="H206:I206"/>
    <mergeCell ref="J206:K206"/>
    <mergeCell ref="L206:M206"/>
    <mergeCell ref="N206:O206"/>
    <mergeCell ref="H208:I208"/>
    <mergeCell ref="J208:K208"/>
    <mergeCell ref="L208:M208"/>
    <mergeCell ref="H207:I207"/>
    <mergeCell ref="J207:K207"/>
    <mergeCell ref="L187:M187"/>
    <mergeCell ref="L188:M188"/>
    <mergeCell ref="L177:M177"/>
    <mergeCell ref="L178:M178"/>
    <mergeCell ref="J186:K186"/>
    <mergeCell ref="H205:I205"/>
    <mergeCell ref="J205:K205"/>
    <mergeCell ref="H201:I201"/>
    <mergeCell ref="J201:K201"/>
    <mergeCell ref="L201:M201"/>
    <mergeCell ref="H202:I202"/>
    <mergeCell ref="J202:K202"/>
    <mergeCell ref="L202:M202"/>
    <mergeCell ref="H203:I203"/>
    <mergeCell ref="J203:K203"/>
    <mergeCell ref="L203:M203"/>
    <mergeCell ref="H204:I204"/>
    <mergeCell ref="J204:K204"/>
    <mergeCell ref="L204:M204"/>
    <mergeCell ref="N183:O183"/>
    <mergeCell ref="L183:M183"/>
    <mergeCell ref="AX4:BA4"/>
    <mergeCell ref="N208:O208"/>
    <mergeCell ref="N207:O207"/>
    <mergeCell ref="N201:O201"/>
    <mergeCell ref="N202:O202"/>
    <mergeCell ref="AT4:AW4"/>
    <mergeCell ref="N203:O203"/>
    <mergeCell ref="L196:M196"/>
    <mergeCell ref="L197:M197"/>
    <mergeCell ref="L198:M198"/>
    <mergeCell ref="L199:M199"/>
    <mergeCell ref="N175:O175"/>
    <mergeCell ref="N176:O176"/>
    <mergeCell ref="R151:W151"/>
    <mergeCell ref="L184:M184"/>
    <mergeCell ref="L185:M185"/>
    <mergeCell ref="L186:M186"/>
    <mergeCell ref="L174:M174"/>
    <mergeCell ref="N174:O174"/>
    <mergeCell ref="N186:O186"/>
    <mergeCell ref="Z4:AC4"/>
    <mergeCell ref="L207:M207"/>
    <mergeCell ref="J177:K177"/>
    <mergeCell ref="L155:M155"/>
    <mergeCell ref="N184:O184"/>
    <mergeCell ref="N185:O185"/>
    <mergeCell ref="L179:M179"/>
    <mergeCell ref="L180:M180"/>
    <mergeCell ref="L181:M181"/>
    <mergeCell ref="L182:M182"/>
    <mergeCell ref="J172:K172"/>
    <mergeCell ref="L172:M172"/>
    <mergeCell ref="N172:O172"/>
    <mergeCell ref="J173:K173"/>
    <mergeCell ref="L173:M173"/>
    <mergeCell ref="N173:O173"/>
    <mergeCell ref="J180:K180"/>
    <mergeCell ref="L175:M175"/>
    <mergeCell ref="L170:M170"/>
    <mergeCell ref="N170:O170"/>
    <mergeCell ref="L166:M166"/>
    <mergeCell ref="N166:O166"/>
    <mergeCell ref="J162:K162"/>
    <mergeCell ref="L162:M162"/>
    <mergeCell ref="N162:O162"/>
    <mergeCell ref="N182:O182"/>
    <mergeCell ref="H179:I179"/>
    <mergeCell ref="H172:I172"/>
    <mergeCell ref="H173:I173"/>
    <mergeCell ref="N193:O193"/>
    <mergeCell ref="N194:O194"/>
    <mergeCell ref="N195:O195"/>
    <mergeCell ref="L193:M193"/>
    <mergeCell ref="L194:M194"/>
    <mergeCell ref="J192:K192"/>
    <mergeCell ref="J193:K193"/>
    <mergeCell ref="J194:K194"/>
    <mergeCell ref="N189:O189"/>
    <mergeCell ref="N190:O190"/>
    <mergeCell ref="L189:M189"/>
    <mergeCell ref="L190:M190"/>
    <mergeCell ref="L191:M191"/>
    <mergeCell ref="L192:M192"/>
    <mergeCell ref="N191:O191"/>
    <mergeCell ref="H182:I182"/>
    <mergeCell ref="H176:I176"/>
    <mergeCell ref="J188:K188"/>
    <mergeCell ref="N187:O187"/>
    <mergeCell ref="N188:O188"/>
    <mergeCell ref="J181:K181"/>
    <mergeCell ref="H189:I189"/>
    <mergeCell ref="H190:I190"/>
    <mergeCell ref="H191:I191"/>
    <mergeCell ref="H174:I174"/>
    <mergeCell ref="H175:I175"/>
    <mergeCell ref="N180:O180"/>
    <mergeCell ref="N181:O181"/>
    <mergeCell ref="N177:O177"/>
    <mergeCell ref="N178:O178"/>
    <mergeCell ref="N179:O179"/>
    <mergeCell ref="H180:I180"/>
    <mergeCell ref="H181:I181"/>
    <mergeCell ref="J178:K178"/>
    <mergeCell ref="J179:K179"/>
    <mergeCell ref="J176:K176"/>
    <mergeCell ref="L176:M176"/>
    <mergeCell ref="H183:I183"/>
    <mergeCell ref="H184:I184"/>
    <mergeCell ref="H185:I185"/>
    <mergeCell ref="H186:I186"/>
    <mergeCell ref="H187:I187"/>
    <mergeCell ref="H188:I188"/>
    <mergeCell ref="H177:I177"/>
    <mergeCell ref="H178:I178"/>
    <mergeCell ref="H171:I171"/>
    <mergeCell ref="J171:K171"/>
    <mergeCell ref="L171:M171"/>
    <mergeCell ref="N171:O171"/>
    <mergeCell ref="H168:I168"/>
    <mergeCell ref="J168:K168"/>
    <mergeCell ref="L168:M168"/>
    <mergeCell ref="N168:O168"/>
    <mergeCell ref="H169:I169"/>
    <mergeCell ref="J169:K169"/>
    <mergeCell ref="L169:M169"/>
    <mergeCell ref="N169:O169"/>
    <mergeCell ref="H170:I170"/>
    <mergeCell ref="J170:K170"/>
    <mergeCell ref="J167:K167"/>
    <mergeCell ref="L167:M167"/>
    <mergeCell ref="N167:O167"/>
    <mergeCell ref="H164:I164"/>
    <mergeCell ref="J164:K164"/>
    <mergeCell ref="L164:M164"/>
    <mergeCell ref="N164:O164"/>
    <mergeCell ref="H165:I165"/>
    <mergeCell ref="J165:K165"/>
    <mergeCell ref="L165:M165"/>
    <mergeCell ref="N165:O165"/>
    <mergeCell ref="H166:I166"/>
    <mergeCell ref="J166:K166"/>
    <mergeCell ref="G3:M3"/>
    <mergeCell ref="O3:Q3"/>
    <mergeCell ref="H159:I159"/>
    <mergeCell ref="J159:K159"/>
    <mergeCell ref="L159:M159"/>
    <mergeCell ref="N159:O159"/>
    <mergeCell ref="H156:I156"/>
    <mergeCell ref="J156:K156"/>
    <mergeCell ref="L156:M156"/>
    <mergeCell ref="N156:O156"/>
    <mergeCell ref="H157:I157"/>
    <mergeCell ref="J157:K157"/>
    <mergeCell ref="L157:M157"/>
    <mergeCell ref="N157:O157"/>
    <mergeCell ref="N155:O155"/>
    <mergeCell ref="J153:K153"/>
    <mergeCell ref="L153:M153"/>
    <mergeCell ref="N153:O153"/>
    <mergeCell ref="H155:I155"/>
    <mergeCell ref="J155:K155"/>
    <mergeCell ref="L154:M154"/>
    <mergeCell ref="N154:O154"/>
    <mergeCell ref="H158:I158"/>
    <mergeCell ref="J158:K158"/>
    <mergeCell ref="A4:A5"/>
    <mergeCell ref="B4:B5"/>
    <mergeCell ref="C4:D5"/>
    <mergeCell ref="E4:E5"/>
    <mergeCell ref="F4:F5"/>
    <mergeCell ref="G4:J4"/>
    <mergeCell ref="C11:D11"/>
    <mergeCell ref="H154:I154"/>
    <mergeCell ref="J154:K154"/>
    <mergeCell ref="C123:D123"/>
    <mergeCell ref="C124:D124"/>
    <mergeCell ref="C134:D134"/>
    <mergeCell ref="C135:D135"/>
    <mergeCell ref="C136:D136"/>
    <mergeCell ref="C137:D137"/>
    <mergeCell ref="C132:D132"/>
    <mergeCell ref="C133:D133"/>
    <mergeCell ref="C12:D12"/>
    <mergeCell ref="C9:D9"/>
    <mergeCell ref="C10:D10"/>
    <mergeCell ref="C13:D13"/>
    <mergeCell ref="C14:D14"/>
    <mergeCell ref="C15:D15"/>
    <mergeCell ref="C16:D16"/>
    <mergeCell ref="AD4:AG4"/>
    <mergeCell ref="AH4:AK4"/>
    <mergeCell ref="AL4:AO4"/>
    <mergeCell ref="U4:U5"/>
    <mergeCell ref="V4:Y4"/>
    <mergeCell ref="AP4:AS4"/>
    <mergeCell ref="C8:D8"/>
    <mergeCell ref="K4:N4"/>
    <mergeCell ref="O4:R4"/>
    <mergeCell ref="S4:S5"/>
    <mergeCell ref="T4:T5"/>
    <mergeCell ref="C7:D7"/>
    <mergeCell ref="C6:D6"/>
    <mergeCell ref="C17:D17"/>
    <mergeCell ref="C18:D18"/>
    <mergeCell ref="C19:D19"/>
    <mergeCell ref="C20:D20"/>
    <mergeCell ref="C21:D21"/>
    <mergeCell ref="C22:D22"/>
    <mergeCell ref="C23:D23"/>
    <mergeCell ref="C25:D25"/>
    <mergeCell ref="C24:D24"/>
    <mergeCell ref="C26:D26"/>
    <mergeCell ref="C27:D27"/>
    <mergeCell ref="C28:D28"/>
    <mergeCell ref="C29:D29"/>
    <mergeCell ref="C31:D31"/>
    <mergeCell ref="C32:D32"/>
    <mergeCell ref="C30:D30"/>
    <mergeCell ref="C33:D33"/>
    <mergeCell ref="C34:D34"/>
    <mergeCell ref="C35:D35"/>
    <mergeCell ref="C36:D36"/>
    <mergeCell ref="C37:D37"/>
    <mergeCell ref="C38:D38"/>
    <mergeCell ref="C39:D39"/>
    <mergeCell ref="C40:D40"/>
    <mergeCell ref="C41:D41"/>
    <mergeCell ref="C42:D42"/>
    <mergeCell ref="C43:D43"/>
    <mergeCell ref="C45:D45"/>
    <mergeCell ref="C44:D44"/>
    <mergeCell ref="C46:D46"/>
    <mergeCell ref="C47:D47"/>
    <mergeCell ref="C48:D48"/>
    <mergeCell ref="C49:D49"/>
    <mergeCell ref="C50:D50"/>
    <mergeCell ref="C51:D51"/>
    <mergeCell ref="C52:D52"/>
    <mergeCell ref="C53:D53"/>
    <mergeCell ref="C54:D54"/>
    <mergeCell ref="C55:D55"/>
    <mergeCell ref="C56:D56"/>
    <mergeCell ref="C57:D57"/>
    <mergeCell ref="C76:D76"/>
    <mergeCell ref="C77:D77"/>
    <mergeCell ref="C78:D78"/>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94:D94"/>
    <mergeCell ref="C95:D95"/>
    <mergeCell ref="C96:D96"/>
    <mergeCell ref="C74:D74"/>
    <mergeCell ref="C75:D75"/>
    <mergeCell ref="C79:D79"/>
    <mergeCell ref="C80:D80"/>
    <mergeCell ref="C81:D81"/>
    <mergeCell ref="C99:D99"/>
    <mergeCell ref="C93:D93"/>
    <mergeCell ref="C82:D82"/>
    <mergeCell ref="C83:D83"/>
    <mergeCell ref="C84:D84"/>
    <mergeCell ref="C85:D85"/>
    <mergeCell ref="C86:D86"/>
    <mergeCell ref="C87:D87"/>
    <mergeCell ref="C88:D88"/>
    <mergeCell ref="C89:D89"/>
    <mergeCell ref="C90:D90"/>
    <mergeCell ref="C91:D91"/>
    <mergeCell ref="C92:D92"/>
    <mergeCell ref="C97:D97"/>
    <mergeCell ref="C98:D98"/>
    <mergeCell ref="J161:K161"/>
    <mergeCell ref="C117:D117"/>
    <mergeCell ref="C118:D118"/>
    <mergeCell ref="C127:D127"/>
    <mergeCell ref="C128:D128"/>
    <mergeCell ref="C129:D129"/>
    <mergeCell ref="C130:D130"/>
    <mergeCell ref="C131:D131"/>
    <mergeCell ref="C138:D138"/>
    <mergeCell ref="C139:D139"/>
    <mergeCell ref="C144:D144"/>
    <mergeCell ref="C145:D145"/>
    <mergeCell ref="C146:D146"/>
    <mergeCell ref="C147:D147"/>
    <mergeCell ref="L160:M160"/>
    <mergeCell ref="N160:O160"/>
    <mergeCell ref="C119:D119"/>
    <mergeCell ref="C120:D120"/>
    <mergeCell ref="C121:D121"/>
    <mergeCell ref="C122:D122"/>
    <mergeCell ref="C126:D126"/>
    <mergeCell ref="C125:D125"/>
    <mergeCell ref="C142:D142"/>
    <mergeCell ref="C143:D143"/>
    <mergeCell ref="H153:I153"/>
    <mergeCell ref="H160:I160"/>
    <mergeCell ref="J175:K175"/>
    <mergeCell ref="H167:I167"/>
    <mergeCell ref="C103:D103"/>
    <mergeCell ref="C104:D104"/>
    <mergeCell ref="C100:D100"/>
    <mergeCell ref="C101:D101"/>
    <mergeCell ref="C102:D102"/>
    <mergeCell ref="C140:D140"/>
    <mergeCell ref="C141:D141"/>
    <mergeCell ref="C113:D113"/>
    <mergeCell ref="C105:D105"/>
    <mergeCell ref="C106:D106"/>
    <mergeCell ref="C114:D114"/>
    <mergeCell ref="C115:D115"/>
    <mergeCell ref="C116:D116"/>
    <mergeCell ref="C107:D107"/>
    <mergeCell ref="C108:D108"/>
    <mergeCell ref="C109:D109"/>
    <mergeCell ref="C110:D110"/>
    <mergeCell ref="C112:D112"/>
    <mergeCell ref="C111:D111"/>
    <mergeCell ref="H163:I163"/>
    <mergeCell ref="J163:K163"/>
    <mergeCell ref="H161:I161"/>
    <mergeCell ref="H217:I217"/>
    <mergeCell ref="J217:K217"/>
    <mergeCell ref="L217:M217"/>
    <mergeCell ref="N217:O217"/>
    <mergeCell ref="L158:M158"/>
    <mergeCell ref="N158:O158"/>
    <mergeCell ref="H215:I215"/>
    <mergeCell ref="J215:K215"/>
    <mergeCell ref="L215:M215"/>
    <mergeCell ref="N215:O215"/>
    <mergeCell ref="L214:M214"/>
    <mergeCell ref="N214:O214"/>
    <mergeCell ref="J212:K212"/>
    <mergeCell ref="L212:M212"/>
    <mergeCell ref="H212:I212"/>
    <mergeCell ref="N212:O212"/>
    <mergeCell ref="L163:M163"/>
    <mergeCell ref="N163:O163"/>
    <mergeCell ref="J160:K160"/>
    <mergeCell ref="L161:M161"/>
    <mergeCell ref="N161:O161"/>
    <mergeCell ref="H162:I162"/>
    <mergeCell ref="H214:I214"/>
    <mergeCell ref="J214:K214"/>
  </mergeCells>
  <phoneticPr fontId="0" type="noConversion"/>
  <pageMargins left="0.78740157480314965" right="0.78740157480314965" top="0.98425196850393704" bottom="0.98425196850393704" header="0.51181102362204722" footer="0.51181102362204722"/>
  <pageSetup paperSize="9" scale="125"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Arbeitsblätter</vt:lpstr>
      </vt:variant>
      <vt:variant>
        <vt:i4>36</vt:i4>
      </vt:variant>
    </vt:vector>
  </HeadingPairs>
  <TitlesOfParts>
    <vt:vector size="36" baseType="lpstr">
      <vt:lpstr>Australia</vt:lpstr>
      <vt:lpstr>Austria</vt:lpstr>
      <vt:lpstr>Belgium</vt:lpstr>
      <vt:lpstr>Bulgaria</vt:lpstr>
      <vt:lpstr>Canada</vt:lpstr>
      <vt:lpstr>Croatia</vt:lpstr>
      <vt:lpstr>Cyprus</vt:lpstr>
      <vt:lpstr>Czech Republic</vt:lpstr>
      <vt:lpstr>Denmark</vt:lpstr>
      <vt:lpstr>Estonia</vt:lpstr>
      <vt:lpstr>Finland</vt:lpstr>
      <vt:lpstr>France</vt:lpstr>
      <vt:lpstr>Germany</vt:lpstr>
      <vt:lpstr>Greece</vt:lpstr>
      <vt:lpstr>Hungary</vt:lpstr>
      <vt:lpstr>Iceland</vt:lpstr>
      <vt:lpstr>Ireland</vt:lpstr>
      <vt:lpstr>Italy</vt:lpstr>
      <vt:lpstr>Japan</vt:lpstr>
      <vt:lpstr>Latvia</vt:lpstr>
      <vt:lpstr>Lithuania</vt:lpstr>
      <vt:lpstr>Luxembourg</vt:lpstr>
      <vt:lpstr>Malta</vt:lpstr>
      <vt:lpstr>Netherlands</vt:lpstr>
      <vt:lpstr>New Zealand</vt:lpstr>
      <vt:lpstr>Norway</vt:lpstr>
      <vt:lpstr>Poland</vt:lpstr>
      <vt:lpstr>Portugal</vt:lpstr>
      <vt:lpstr>Romania</vt:lpstr>
      <vt:lpstr>Slovakia</vt:lpstr>
      <vt:lpstr>Slovenia</vt:lpstr>
      <vt:lpstr>Spain</vt:lpstr>
      <vt:lpstr>Sweden</vt:lpstr>
      <vt:lpstr>Switzerland</vt:lpstr>
      <vt:lpstr>United Kingdom</vt:lpstr>
      <vt:lpstr>United States</vt:lpstr>
    </vt:vector>
  </TitlesOfParts>
  <Company>Universität Bern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Isler, Christian (IPW)</dc:creator>
  <cp:lastModifiedBy>Klara Bruhn</cp:lastModifiedBy>
  <cp:lastPrinted>2014-09-26T08:25:19Z</cp:lastPrinted>
  <dcterms:created xsi:type="dcterms:W3CDTF">2005-12-13T12:13:00Z</dcterms:created>
  <dcterms:modified xsi:type="dcterms:W3CDTF">2024-09-13T12:49:30Z</dcterms:modified>
</cp:coreProperties>
</file>